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G:\My Drive\Financial\Budget\"/>
    </mc:Choice>
  </mc:AlternateContent>
  <xr:revisionPtr revIDLastSave="0" documentId="13_ncr:1_{37240E06-C91C-449B-90F8-53967F83FBE1}" xr6:coauthVersionLast="47" xr6:coauthVersionMax="47" xr10:uidLastSave="{00000000-0000-0000-0000-000000000000}"/>
  <bookViews>
    <workbookView xWindow="-57720" yWindow="-120" windowWidth="29040" windowHeight="15840" firstSheet="2" activeTab="7" xr2:uid="{00000000-000D-0000-FFFF-FFFF00000000}"/>
  </bookViews>
  <sheets>
    <sheet name="Sheet1" sheetId="1" r:id="rId1"/>
    <sheet name="Share Count" sheetId="19" r:id="rId2"/>
    <sheet name="Net Worth" sheetId="2" r:id="rId3"/>
    <sheet name="50-30-20" sheetId="3" r:id="rId4"/>
    <sheet name="Proposed Budget" sheetId="4" r:id="rId5"/>
    <sheet name="Monthly Breakdown" sheetId="6" r:id="rId6"/>
    <sheet name="Budget Breakdown" sheetId="5" r:id="rId7"/>
    <sheet name="Checking Transaction Log" sheetId="7" r:id="rId8"/>
    <sheet name="Savings Transaction Log" sheetId="8" r:id="rId9"/>
    <sheet name="Rental Breakdown" sheetId="9" r:id="rId10"/>
    <sheet name="Retirement Calculator" sheetId="10" r:id="rId11"/>
    <sheet name="TSP-401K" sheetId="11" r:id="rId12"/>
    <sheet name="Combined Retirement" sheetId="12" r:id="rId13"/>
    <sheet name="Isaac 401k" sheetId="13" r:id="rId14"/>
    <sheet name="Lorri 401b" sheetId="14" r:id="rId15"/>
    <sheet name="Guard Ret Calc" sheetId="15" r:id="rId16"/>
    <sheet name="Accounts" sheetId="16" r:id="rId17"/>
    <sheet name="Electric-Gas" sheetId="17" r:id="rId18"/>
    <sheet name="Investment Tax" sheetId="18" r:id="rId19"/>
  </sheets>
  <definedNames>
    <definedName name="_xlnm._FilterDatabase" localSheetId="7" hidden="1">'Checking Transaction Log'!$A$1:$G$1372</definedName>
    <definedName name="_xlnm._FilterDatabase" localSheetId="10" hidden="1">'Retirement Calculator'!$A$10:$P$10</definedName>
    <definedName name="Beg_Bal_2">#REF!</definedName>
    <definedName name="End_Bal_2">#REF!</definedName>
    <definedName name="Extra_Pay_2">#REF!</definedName>
    <definedName name="Int_2">#REF!</definedName>
    <definedName name="Interest_Rate_2">#REF!</definedName>
    <definedName name="Loan_Amount_2">#REF!</definedName>
    <definedName name="Loan_Start_2">#REF!</definedName>
    <definedName name="Loan_Years_2">#REF!</definedName>
    <definedName name="Num_Pmt_Per_Year_2">#REF!</definedName>
    <definedName name="Pay_Num_2">#REF!</definedName>
    <definedName name="Princ_2">#REF!</definedName>
    <definedName name="Sched_Pay_2">#REF!</definedName>
    <definedName name="Scheduled_Extra_Payments_2">#REF!</definedName>
    <definedName name="Scheduled_Monthly_Payment_2">#REF!</definedName>
    <definedName name="Total_Pay_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Y7TaH1PThT+ZCliwonASg/22YyCMOV95qK6S+0OPPNc="/>
    </ext>
  </extLst>
</workbook>
</file>

<file path=xl/calcChain.xml><?xml version="1.0" encoding="utf-8"?>
<calcChain xmlns="http://schemas.openxmlformats.org/spreadsheetml/2006/main">
  <c r="G5" i="7" l="1"/>
  <c r="B7" i="8"/>
  <c r="B8" i="8"/>
  <c r="B9" i="8"/>
  <c r="B10" i="8"/>
  <c r="J34" i="5"/>
  <c r="E34" i="5"/>
  <c r="O16" i="5"/>
  <c r="J16" i="5"/>
  <c r="E16" i="5"/>
  <c r="B12" i="8"/>
  <c r="B13" i="8"/>
  <c r="B11" i="8"/>
  <c r="B15" i="8"/>
  <c r="B16" i="8"/>
  <c r="B20" i="8"/>
  <c r="B24" i="8"/>
  <c r="B14" i="8"/>
  <c r="B17" i="8"/>
  <c r="B40" i="2"/>
  <c r="Z82" i="11"/>
  <c r="Y82" i="11"/>
  <c r="V83" i="11" s="1"/>
  <c r="U82" i="11"/>
  <c r="T82" i="11"/>
  <c r="Q83" i="11" s="1"/>
  <c r="P82" i="11"/>
  <c r="O82" i="11"/>
  <c r="L83" i="11" s="1"/>
  <c r="K82" i="11"/>
  <c r="J82" i="11"/>
  <c r="H83" i="11" s="1"/>
  <c r="E82" i="11"/>
  <c r="D82" i="11"/>
  <c r="D2" i="11" s="1"/>
  <c r="B18" i="8"/>
  <c r="B23" i="8"/>
  <c r="B21" i="8"/>
  <c r="B25" i="8"/>
  <c r="B19" i="8"/>
  <c r="B22" i="8"/>
  <c r="B31" i="8"/>
  <c r="B27" i="8"/>
  <c r="B28" i="8"/>
  <c r="B26" i="8"/>
  <c r="B29" i="8"/>
  <c r="B30" i="8"/>
  <c r="B32" i="8"/>
  <c r="B33" i="8"/>
  <c r="B34" i="8"/>
  <c r="B35" i="8"/>
  <c r="B43" i="8"/>
  <c r="B42" i="8"/>
  <c r="B41" i="8"/>
  <c r="B40" i="8"/>
  <c r="B39" i="8"/>
  <c r="B38" i="8"/>
  <c r="B37" i="8"/>
  <c r="B36" i="8"/>
  <c r="G82" i="11" l="1"/>
  <c r="A18" i="11"/>
  <c r="A30" i="11"/>
  <c r="A66" i="11"/>
  <c r="A74" i="11"/>
  <c r="A78" i="11"/>
  <c r="A11" i="11"/>
  <c r="A15" i="11"/>
  <c r="A19" i="11"/>
  <c r="A27" i="11"/>
  <c r="A31" i="11"/>
  <c r="A35" i="11"/>
  <c r="A43" i="11"/>
  <c r="A47" i="11"/>
  <c r="A51" i="11"/>
  <c r="A59" i="11"/>
  <c r="A63" i="11"/>
  <c r="A67" i="11"/>
  <c r="A75" i="11"/>
  <c r="A79" i="11"/>
  <c r="A10" i="11"/>
  <c r="A34" i="11"/>
  <c r="A42" i="11"/>
  <c r="A50" i="11"/>
  <c r="A8" i="11"/>
  <c r="A16" i="11"/>
  <c r="A24" i="11"/>
  <c r="A44" i="11"/>
  <c r="A80" i="11"/>
  <c r="A14" i="11"/>
  <c r="A38" i="11"/>
  <c r="A54" i="11"/>
  <c r="A70" i="11"/>
  <c r="A20" i="11"/>
  <c r="A32" i="11"/>
  <c r="A36" i="11"/>
  <c r="A48" i="11"/>
  <c r="A52" i="11"/>
  <c r="A56" i="11"/>
  <c r="A64" i="11"/>
  <c r="A68" i="11"/>
  <c r="A72" i="11"/>
  <c r="A9" i="11"/>
  <c r="A13" i="11"/>
  <c r="A17" i="11"/>
  <c r="A25" i="11"/>
  <c r="A29" i="11"/>
  <c r="A33" i="11"/>
  <c r="A41" i="11"/>
  <c r="A45" i="11"/>
  <c r="A49" i="11"/>
  <c r="A57" i="11"/>
  <c r="A61" i="11"/>
  <c r="A65" i="11"/>
  <c r="A73" i="11"/>
  <c r="A77" i="11"/>
  <c r="A81" i="11"/>
  <c r="F82" i="11"/>
  <c r="D83" i="11" s="1"/>
  <c r="B46" i="8"/>
  <c r="B45" i="8"/>
  <c r="B47" i="8"/>
  <c r="B48" i="8"/>
  <c r="B49" i="8"/>
  <c r="B50" i="8"/>
  <c r="B51" i="8"/>
  <c r="B44" i="8"/>
  <c r="B52" i="8"/>
  <c r="B53" i="8"/>
  <c r="B54" i="8"/>
  <c r="B55" i="8"/>
  <c r="N18" i="3"/>
  <c r="H26" i="3"/>
  <c r="M18" i="3"/>
  <c r="H16" i="3"/>
  <c r="G16" i="3"/>
  <c r="N14" i="3"/>
  <c r="N12" i="3"/>
  <c r="M12" i="3"/>
  <c r="H15" i="3"/>
  <c r="H10" i="3"/>
  <c r="N10" i="3"/>
  <c r="G10" i="3"/>
  <c r="H5" i="3"/>
  <c r="N5" i="3"/>
  <c r="G5" i="3"/>
  <c r="B58" i="8"/>
  <c r="B57" i="8"/>
  <c r="B60" i="8"/>
  <c r="B59" i="8"/>
  <c r="B63" i="8"/>
  <c r="B62" i="8"/>
  <c r="B56" i="8"/>
  <c r="F14" i="2"/>
  <c r="F2" i="2" s="1"/>
  <c r="B61" i="8"/>
  <c r="R24" i="18"/>
  <c r="P22" i="18"/>
  <c r="O22" i="18"/>
  <c r="N22" i="18"/>
  <c r="M22" i="18"/>
  <c r="L22" i="18"/>
  <c r="R22" i="18" s="1"/>
  <c r="K22" i="18"/>
  <c r="J22" i="18"/>
  <c r="I22" i="18"/>
  <c r="H22" i="18"/>
  <c r="G22" i="18"/>
  <c r="F22" i="18"/>
  <c r="E22" i="18"/>
  <c r="C22" i="18"/>
  <c r="P16" i="18"/>
  <c r="O16" i="18"/>
  <c r="N16" i="18"/>
  <c r="M16" i="18"/>
  <c r="L16" i="18"/>
  <c r="R16" i="18" s="1"/>
  <c r="K16" i="18"/>
  <c r="J16" i="18"/>
  <c r="I16" i="18"/>
  <c r="H16" i="18"/>
  <c r="G16" i="18"/>
  <c r="F16" i="18"/>
  <c r="E16" i="18"/>
  <c r="D16" i="18"/>
  <c r="C16" i="18"/>
  <c r="P11" i="18"/>
  <c r="O11" i="18"/>
  <c r="N11" i="18"/>
  <c r="M11" i="18"/>
  <c r="L11" i="18"/>
  <c r="R11" i="18" s="1"/>
  <c r="K11" i="18"/>
  <c r="J11" i="18"/>
  <c r="I11" i="18"/>
  <c r="H11" i="18"/>
  <c r="G11" i="18"/>
  <c r="F11" i="18"/>
  <c r="E11" i="18"/>
  <c r="D11" i="18"/>
  <c r="C11" i="18"/>
  <c r="R6" i="18"/>
  <c r="P6" i="18"/>
  <c r="O6" i="18"/>
  <c r="N6" i="18"/>
  <c r="M6" i="18"/>
  <c r="L6" i="18"/>
  <c r="K6" i="18"/>
  <c r="J6" i="18"/>
  <c r="I6" i="18"/>
  <c r="H6" i="18"/>
  <c r="F6" i="18"/>
  <c r="E6" i="18"/>
  <c r="D6" i="18"/>
  <c r="C6" i="18"/>
  <c r="K27" i="15"/>
  <c r="I27" i="15"/>
  <c r="G27" i="15"/>
  <c r="E27" i="15"/>
  <c r="K26" i="15"/>
  <c r="I26" i="15"/>
  <c r="G26" i="15"/>
  <c r="E26" i="15"/>
  <c r="K25" i="15"/>
  <c r="I25" i="15"/>
  <c r="G25" i="15"/>
  <c r="E25" i="15"/>
  <c r="K24" i="15"/>
  <c r="I24" i="15"/>
  <c r="G24" i="15"/>
  <c r="E24" i="15"/>
  <c r="K23" i="15"/>
  <c r="I23" i="15"/>
  <c r="G23" i="15"/>
  <c r="E23" i="15"/>
  <c r="K22" i="15"/>
  <c r="I22" i="15"/>
  <c r="G22" i="15"/>
  <c r="E22" i="15"/>
  <c r="K21" i="15"/>
  <c r="I21" i="15"/>
  <c r="G21" i="15"/>
  <c r="E21" i="15"/>
  <c r="K20" i="15"/>
  <c r="I20" i="15"/>
  <c r="G20" i="15"/>
  <c r="E20" i="15"/>
  <c r="K19" i="15"/>
  <c r="I19" i="15"/>
  <c r="G19" i="15"/>
  <c r="E19" i="15"/>
  <c r="K18" i="15"/>
  <c r="I18" i="15"/>
  <c r="G18" i="15"/>
  <c r="E18" i="15"/>
  <c r="K17" i="15"/>
  <c r="I17" i="15"/>
  <c r="G17" i="15"/>
  <c r="E17" i="15"/>
  <c r="K16" i="15"/>
  <c r="I16" i="15"/>
  <c r="G16" i="15"/>
  <c r="E16" i="15"/>
  <c r="K15" i="15"/>
  <c r="I15" i="15"/>
  <c r="G15" i="15"/>
  <c r="E15" i="15"/>
  <c r="K14" i="15"/>
  <c r="I14" i="15"/>
  <c r="G14" i="15"/>
  <c r="E14" i="15"/>
  <c r="K13" i="15"/>
  <c r="I13" i="15"/>
  <c r="G13" i="15"/>
  <c r="E13" i="15"/>
  <c r="K12" i="15"/>
  <c r="I12" i="15"/>
  <c r="G12" i="15"/>
  <c r="E12" i="15"/>
  <c r="K11" i="15"/>
  <c r="I11" i="15"/>
  <c r="G11" i="15"/>
  <c r="E11" i="15"/>
  <c r="K10" i="15"/>
  <c r="I10" i="15"/>
  <c r="G10" i="15"/>
  <c r="E10" i="15"/>
  <c r="K9" i="15"/>
  <c r="I9" i="15"/>
  <c r="G9" i="15"/>
  <c r="E9" i="15"/>
  <c r="K8" i="15"/>
  <c r="I8" i="15"/>
  <c r="G8" i="15"/>
  <c r="E8" i="15"/>
  <c r="K7" i="15"/>
  <c r="I7" i="15"/>
  <c r="G7" i="15"/>
  <c r="E7" i="15"/>
  <c r="D3" i="15"/>
  <c r="G56" i="14"/>
  <c r="G57" i="14" s="1"/>
  <c r="M8" i="14"/>
  <c r="M9" i="14" s="1"/>
  <c r="M10" i="14" s="1"/>
  <c r="G56" i="13"/>
  <c r="G57" i="13" s="1"/>
  <c r="M8" i="13"/>
  <c r="M9" i="13" s="1"/>
  <c r="E35" i="12"/>
  <c r="E32" i="12"/>
  <c r="E29" i="12"/>
  <c r="C24" i="12"/>
  <c r="C22" i="12"/>
  <c r="C17" i="12"/>
  <c r="L14" i="12"/>
  <c r="K14" i="12"/>
  <c r="K29" i="12" s="1"/>
  <c r="J14" i="12"/>
  <c r="J33" i="12" s="1"/>
  <c r="I14" i="12"/>
  <c r="I32" i="12" s="1"/>
  <c r="L13" i="12"/>
  <c r="K13" i="12"/>
  <c r="J13" i="12"/>
  <c r="I13" i="12"/>
  <c r="D13" i="12"/>
  <c r="I2" i="12" s="1"/>
  <c r="K2" i="12" s="1"/>
  <c r="C13" i="12"/>
  <c r="B13" i="12"/>
  <c r="E13" i="12" s="1"/>
  <c r="C18" i="12" s="1"/>
  <c r="O9" i="12"/>
  <c r="O8" i="12"/>
  <c r="O7" i="12"/>
  <c r="O6" i="12"/>
  <c r="O5" i="12"/>
  <c r="O4" i="12"/>
  <c r="G2" i="12"/>
  <c r="C1" i="12"/>
  <c r="B83" i="11"/>
  <c r="E81" i="11"/>
  <c r="D81" i="11"/>
  <c r="E80" i="11"/>
  <c r="D80" i="11"/>
  <c r="E79" i="11"/>
  <c r="D79" i="11"/>
  <c r="E78" i="11"/>
  <c r="D78" i="11"/>
  <c r="E77" i="11"/>
  <c r="D77" i="11"/>
  <c r="E76" i="11"/>
  <c r="D76" i="11"/>
  <c r="E75" i="11"/>
  <c r="D75" i="11"/>
  <c r="E74" i="11"/>
  <c r="D74" i="11"/>
  <c r="E73" i="11"/>
  <c r="D73" i="11"/>
  <c r="E72" i="11"/>
  <c r="D72" i="11"/>
  <c r="E71" i="11"/>
  <c r="D71" i="11"/>
  <c r="E70" i="11"/>
  <c r="D70" i="11"/>
  <c r="E69" i="11"/>
  <c r="D69" i="11"/>
  <c r="E68" i="11"/>
  <c r="D68" i="11"/>
  <c r="E67" i="11"/>
  <c r="D67" i="11"/>
  <c r="E66" i="11"/>
  <c r="D66" i="11"/>
  <c r="E65" i="11"/>
  <c r="D65" i="11"/>
  <c r="E64" i="11"/>
  <c r="D64" i="11"/>
  <c r="E63" i="11"/>
  <c r="D63" i="11"/>
  <c r="E62" i="11"/>
  <c r="D62" i="11"/>
  <c r="E61" i="11"/>
  <c r="D61" i="11"/>
  <c r="E60" i="11"/>
  <c r="D60" i="11"/>
  <c r="E59" i="11"/>
  <c r="D59" i="11"/>
  <c r="E58" i="11"/>
  <c r="D58" i="11"/>
  <c r="E57" i="11"/>
  <c r="D57" i="11"/>
  <c r="E56" i="11"/>
  <c r="D56" i="11"/>
  <c r="E55" i="11"/>
  <c r="D55" i="11"/>
  <c r="E54" i="11"/>
  <c r="D54" i="11"/>
  <c r="E53" i="11"/>
  <c r="D53" i="11"/>
  <c r="E52" i="11"/>
  <c r="D52" i="11"/>
  <c r="E51" i="11"/>
  <c r="D51" i="11"/>
  <c r="E50" i="11"/>
  <c r="D50" i="11"/>
  <c r="E49" i="11"/>
  <c r="D49" i="11"/>
  <c r="E48" i="11"/>
  <c r="D48" i="11"/>
  <c r="E47" i="11"/>
  <c r="D47" i="11"/>
  <c r="E46" i="11"/>
  <c r="D46" i="11"/>
  <c r="E45" i="11"/>
  <c r="D45" i="11"/>
  <c r="E44" i="11"/>
  <c r="D44" i="11"/>
  <c r="E43" i="11"/>
  <c r="D43" i="11"/>
  <c r="E42" i="11"/>
  <c r="D42" i="11"/>
  <c r="E41" i="11"/>
  <c r="D41" i="11"/>
  <c r="E40" i="11"/>
  <c r="D40" i="11"/>
  <c r="E39" i="11"/>
  <c r="D39" i="11"/>
  <c r="E38" i="11"/>
  <c r="D38" i="11"/>
  <c r="E37" i="11"/>
  <c r="D37" i="11"/>
  <c r="E36" i="11"/>
  <c r="D36" i="11"/>
  <c r="E35" i="11"/>
  <c r="D35" i="11"/>
  <c r="E34" i="11"/>
  <c r="D34" i="11"/>
  <c r="E33" i="11"/>
  <c r="D33" i="11"/>
  <c r="E32" i="11"/>
  <c r="D32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E19" i="11"/>
  <c r="D19" i="11"/>
  <c r="U18" i="11"/>
  <c r="T18" i="11"/>
  <c r="U19" i="11" s="1"/>
  <c r="E18" i="11"/>
  <c r="D18" i="11"/>
  <c r="E17" i="11"/>
  <c r="D17" i="11"/>
  <c r="Z16" i="11"/>
  <c r="Y16" i="11"/>
  <c r="Z17" i="11" s="1"/>
  <c r="E16" i="11"/>
  <c r="D16" i="11"/>
  <c r="E15" i="11"/>
  <c r="D15" i="11"/>
  <c r="E14" i="11"/>
  <c r="D14" i="11"/>
  <c r="E13" i="11"/>
  <c r="D13" i="11"/>
  <c r="E12" i="11"/>
  <c r="D12" i="11"/>
  <c r="E11" i="11"/>
  <c r="D11" i="11"/>
  <c r="E10" i="11"/>
  <c r="D10" i="11"/>
  <c r="K9" i="11"/>
  <c r="J9" i="11"/>
  <c r="J10" i="11" s="1"/>
  <c r="E9" i="11"/>
  <c r="D9" i="11"/>
  <c r="P8" i="11"/>
  <c r="O8" i="11"/>
  <c r="P9" i="11" s="1"/>
  <c r="K8" i="11"/>
  <c r="E8" i="11"/>
  <c r="D8" i="11"/>
  <c r="P7" i="11"/>
  <c r="F7" i="11"/>
  <c r="E7" i="11"/>
  <c r="D7" i="11"/>
  <c r="C2" i="11"/>
  <c r="A2" i="11" s="1"/>
  <c r="V1" i="11"/>
  <c r="Q1" i="11"/>
  <c r="H1171" i="10"/>
  <c r="G1171" i="10"/>
  <c r="C1171" i="10"/>
  <c r="B1171" i="10"/>
  <c r="I1170" i="10"/>
  <c r="G1170" i="10"/>
  <c r="E1170" i="10"/>
  <c r="C1170" i="10"/>
  <c r="B1170" i="10"/>
  <c r="H1170" i="10" s="1"/>
  <c r="H1169" i="10"/>
  <c r="G1169" i="10"/>
  <c r="C1169" i="10"/>
  <c r="B1169" i="10"/>
  <c r="I1168" i="10"/>
  <c r="G1168" i="10"/>
  <c r="E1168" i="10"/>
  <c r="C1168" i="10"/>
  <c r="B1168" i="10"/>
  <c r="H1168" i="10" s="1"/>
  <c r="H1167" i="10"/>
  <c r="G1167" i="10"/>
  <c r="C1167" i="10"/>
  <c r="B1167" i="10"/>
  <c r="I1166" i="10"/>
  <c r="G1166" i="10"/>
  <c r="E1166" i="10"/>
  <c r="C1166" i="10"/>
  <c r="B1166" i="10"/>
  <c r="H1166" i="10" s="1"/>
  <c r="H1165" i="10"/>
  <c r="G1165" i="10"/>
  <c r="C1165" i="10"/>
  <c r="B1165" i="10"/>
  <c r="I1164" i="10"/>
  <c r="G1164" i="10"/>
  <c r="E1164" i="10"/>
  <c r="C1164" i="10"/>
  <c r="B1164" i="10"/>
  <c r="H1164" i="10" s="1"/>
  <c r="H1163" i="10"/>
  <c r="G1163" i="10"/>
  <c r="C1163" i="10"/>
  <c r="B1163" i="10"/>
  <c r="I1162" i="10"/>
  <c r="G1162" i="10"/>
  <c r="E1162" i="10"/>
  <c r="C1162" i="10"/>
  <c r="B1162" i="10"/>
  <c r="H1162" i="10" s="1"/>
  <c r="H1161" i="10"/>
  <c r="G1161" i="10"/>
  <c r="C1161" i="10"/>
  <c r="B1161" i="10"/>
  <c r="I1160" i="10"/>
  <c r="G1160" i="10"/>
  <c r="E1160" i="10"/>
  <c r="C1160" i="10"/>
  <c r="B1160" i="10"/>
  <c r="H1160" i="10" s="1"/>
  <c r="H1159" i="10"/>
  <c r="G1159" i="10"/>
  <c r="C1159" i="10"/>
  <c r="B1159" i="10"/>
  <c r="I1158" i="10"/>
  <c r="G1158" i="10"/>
  <c r="E1158" i="10"/>
  <c r="C1158" i="10"/>
  <c r="B1158" i="10"/>
  <c r="H1158" i="10" s="1"/>
  <c r="H1157" i="10"/>
  <c r="G1157" i="10"/>
  <c r="C1157" i="10"/>
  <c r="B1157" i="10"/>
  <c r="I1156" i="10"/>
  <c r="G1156" i="10"/>
  <c r="E1156" i="10"/>
  <c r="C1156" i="10"/>
  <c r="B1156" i="10"/>
  <c r="H1156" i="10" s="1"/>
  <c r="H1155" i="10"/>
  <c r="G1155" i="10"/>
  <c r="C1155" i="10"/>
  <c r="B1155" i="10"/>
  <c r="I1154" i="10"/>
  <c r="G1154" i="10"/>
  <c r="E1154" i="10"/>
  <c r="C1154" i="10"/>
  <c r="B1154" i="10"/>
  <c r="H1154" i="10" s="1"/>
  <c r="H1153" i="10"/>
  <c r="G1153" i="10"/>
  <c r="C1153" i="10"/>
  <c r="B1153" i="10"/>
  <c r="I1152" i="10"/>
  <c r="G1152" i="10"/>
  <c r="E1152" i="10"/>
  <c r="C1152" i="10"/>
  <c r="B1152" i="10"/>
  <c r="H1152" i="10" s="1"/>
  <c r="H1151" i="10"/>
  <c r="G1151" i="10"/>
  <c r="C1151" i="10"/>
  <c r="B1151" i="10"/>
  <c r="I1150" i="10"/>
  <c r="G1150" i="10"/>
  <c r="E1150" i="10"/>
  <c r="C1150" i="10"/>
  <c r="B1150" i="10"/>
  <c r="H1150" i="10" s="1"/>
  <c r="H1149" i="10"/>
  <c r="G1149" i="10"/>
  <c r="C1149" i="10"/>
  <c r="B1149" i="10"/>
  <c r="I1148" i="10"/>
  <c r="G1148" i="10"/>
  <c r="E1148" i="10"/>
  <c r="C1148" i="10"/>
  <c r="B1148" i="10"/>
  <c r="H1148" i="10" s="1"/>
  <c r="H1147" i="10"/>
  <c r="G1147" i="10"/>
  <c r="C1147" i="10"/>
  <c r="B1147" i="10"/>
  <c r="I1146" i="10"/>
  <c r="G1146" i="10"/>
  <c r="E1146" i="10"/>
  <c r="C1146" i="10"/>
  <c r="B1146" i="10"/>
  <c r="H1146" i="10" s="1"/>
  <c r="H1145" i="10"/>
  <c r="G1145" i="10"/>
  <c r="C1145" i="10"/>
  <c r="B1145" i="10"/>
  <c r="I1144" i="10"/>
  <c r="G1144" i="10"/>
  <c r="E1144" i="10"/>
  <c r="C1144" i="10"/>
  <c r="B1144" i="10"/>
  <c r="H1144" i="10" s="1"/>
  <c r="H1143" i="10"/>
  <c r="G1143" i="10"/>
  <c r="C1143" i="10"/>
  <c r="B1143" i="10"/>
  <c r="I1142" i="10"/>
  <c r="G1142" i="10"/>
  <c r="E1142" i="10"/>
  <c r="C1142" i="10"/>
  <c r="B1142" i="10"/>
  <c r="H1142" i="10" s="1"/>
  <c r="H1141" i="10"/>
  <c r="G1141" i="10"/>
  <c r="C1141" i="10"/>
  <c r="B1141" i="10"/>
  <c r="I1140" i="10"/>
  <c r="G1140" i="10"/>
  <c r="E1140" i="10"/>
  <c r="C1140" i="10"/>
  <c r="B1140" i="10"/>
  <c r="H1140" i="10" s="1"/>
  <c r="H1139" i="10"/>
  <c r="G1139" i="10"/>
  <c r="C1139" i="10"/>
  <c r="B1139" i="10"/>
  <c r="I1138" i="10"/>
  <c r="G1138" i="10"/>
  <c r="E1138" i="10"/>
  <c r="C1138" i="10"/>
  <c r="B1138" i="10"/>
  <c r="H1138" i="10" s="1"/>
  <c r="H1137" i="10"/>
  <c r="G1137" i="10"/>
  <c r="C1137" i="10"/>
  <c r="B1137" i="10"/>
  <c r="I1136" i="10"/>
  <c r="G1136" i="10"/>
  <c r="E1136" i="10"/>
  <c r="C1136" i="10"/>
  <c r="B1136" i="10"/>
  <c r="H1136" i="10" s="1"/>
  <c r="H1135" i="10"/>
  <c r="G1135" i="10"/>
  <c r="C1135" i="10"/>
  <c r="B1135" i="10"/>
  <c r="I1134" i="10"/>
  <c r="G1134" i="10"/>
  <c r="E1134" i="10"/>
  <c r="C1134" i="10"/>
  <c r="B1134" i="10"/>
  <c r="H1134" i="10" s="1"/>
  <c r="H1133" i="10"/>
  <c r="G1133" i="10"/>
  <c r="C1133" i="10"/>
  <c r="B1133" i="10"/>
  <c r="I1132" i="10"/>
  <c r="G1132" i="10"/>
  <c r="E1132" i="10"/>
  <c r="C1132" i="10"/>
  <c r="B1132" i="10"/>
  <c r="H1132" i="10" s="1"/>
  <c r="H1131" i="10"/>
  <c r="G1131" i="10"/>
  <c r="C1131" i="10"/>
  <c r="B1131" i="10"/>
  <c r="I1130" i="10"/>
  <c r="G1130" i="10"/>
  <c r="E1130" i="10"/>
  <c r="C1130" i="10"/>
  <c r="B1130" i="10"/>
  <c r="H1130" i="10" s="1"/>
  <c r="H1129" i="10"/>
  <c r="G1129" i="10"/>
  <c r="C1129" i="10"/>
  <c r="B1129" i="10"/>
  <c r="I1128" i="10"/>
  <c r="G1128" i="10"/>
  <c r="E1128" i="10"/>
  <c r="C1128" i="10"/>
  <c r="B1128" i="10"/>
  <c r="H1128" i="10" s="1"/>
  <c r="H1127" i="10"/>
  <c r="G1127" i="10"/>
  <c r="C1127" i="10"/>
  <c r="B1127" i="10"/>
  <c r="I1126" i="10"/>
  <c r="G1126" i="10"/>
  <c r="E1126" i="10"/>
  <c r="C1126" i="10"/>
  <c r="B1126" i="10"/>
  <c r="H1126" i="10" s="1"/>
  <c r="N1125" i="10"/>
  <c r="H1125" i="10"/>
  <c r="G1125" i="10"/>
  <c r="C1125" i="10"/>
  <c r="B1125" i="10"/>
  <c r="I1124" i="10"/>
  <c r="G1124" i="10"/>
  <c r="E1124" i="10"/>
  <c r="C1124" i="10"/>
  <c r="B1124" i="10"/>
  <c r="H1124" i="10" s="1"/>
  <c r="H1123" i="10"/>
  <c r="G1123" i="10"/>
  <c r="C1123" i="10"/>
  <c r="B1123" i="10"/>
  <c r="I1122" i="10"/>
  <c r="G1122" i="10"/>
  <c r="E1122" i="10"/>
  <c r="C1122" i="10"/>
  <c r="B1122" i="10"/>
  <c r="H1122" i="10" s="1"/>
  <c r="N1121" i="10"/>
  <c r="H1121" i="10"/>
  <c r="G1121" i="10"/>
  <c r="C1121" i="10"/>
  <c r="B1121" i="10"/>
  <c r="I1120" i="10"/>
  <c r="G1120" i="10"/>
  <c r="E1120" i="10"/>
  <c r="C1120" i="10"/>
  <c r="B1120" i="10"/>
  <c r="H1120" i="10" s="1"/>
  <c r="N1119" i="10"/>
  <c r="H1119" i="10"/>
  <c r="G1119" i="10"/>
  <c r="C1119" i="10"/>
  <c r="B1119" i="10"/>
  <c r="I1118" i="10"/>
  <c r="G1118" i="10"/>
  <c r="E1118" i="10"/>
  <c r="C1118" i="10"/>
  <c r="B1118" i="10"/>
  <c r="H1118" i="10" s="1"/>
  <c r="N1117" i="10"/>
  <c r="I1117" i="10"/>
  <c r="G1117" i="10"/>
  <c r="E1117" i="10"/>
  <c r="C1117" i="10"/>
  <c r="B1117" i="10"/>
  <c r="H1117" i="10" s="1"/>
  <c r="N1116" i="10"/>
  <c r="H1116" i="10"/>
  <c r="G1116" i="10"/>
  <c r="C1116" i="10"/>
  <c r="I1116" i="10" s="1"/>
  <c r="B1116" i="10"/>
  <c r="N1115" i="10"/>
  <c r="I1115" i="10"/>
  <c r="G1115" i="10"/>
  <c r="E1115" i="10"/>
  <c r="C1115" i="10"/>
  <c r="B1115" i="10"/>
  <c r="H1115" i="10" s="1"/>
  <c r="N1114" i="10"/>
  <c r="H1114" i="10"/>
  <c r="G1114" i="10"/>
  <c r="C1114" i="10"/>
  <c r="B1114" i="10"/>
  <c r="N1113" i="10"/>
  <c r="I1113" i="10"/>
  <c r="G1113" i="10"/>
  <c r="E1113" i="10"/>
  <c r="C1113" i="10"/>
  <c r="B1113" i="10"/>
  <c r="H1113" i="10" s="1"/>
  <c r="N1112" i="10"/>
  <c r="H1112" i="10"/>
  <c r="G1112" i="10"/>
  <c r="C1112" i="10"/>
  <c r="I1112" i="10" s="1"/>
  <c r="B1112" i="10"/>
  <c r="N1111" i="10"/>
  <c r="I1111" i="10"/>
  <c r="G1111" i="10"/>
  <c r="E1111" i="10"/>
  <c r="C1111" i="10"/>
  <c r="B1111" i="10"/>
  <c r="H1111" i="10" s="1"/>
  <c r="N1110" i="10"/>
  <c r="H1110" i="10"/>
  <c r="G1110" i="10"/>
  <c r="C1110" i="10"/>
  <c r="B1110" i="10"/>
  <c r="N1109" i="10"/>
  <c r="I1109" i="10"/>
  <c r="G1109" i="10"/>
  <c r="E1109" i="10"/>
  <c r="C1109" i="10"/>
  <c r="B1109" i="10"/>
  <c r="H1109" i="10" s="1"/>
  <c r="N1108" i="10"/>
  <c r="H1108" i="10"/>
  <c r="G1108" i="10"/>
  <c r="C1108" i="10"/>
  <c r="I1108" i="10" s="1"/>
  <c r="B1108" i="10"/>
  <c r="N1107" i="10"/>
  <c r="I1107" i="10"/>
  <c r="G1107" i="10"/>
  <c r="E1107" i="10"/>
  <c r="C1107" i="10"/>
  <c r="B1107" i="10"/>
  <c r="H1107" i="10" s="1"/>
  <c r="N1106" i="10"/>
  <c r="H1106" i="10"/>
  <c r="G1106" i="10"/>
  <c r="C1106" i="10"/>
  <c r="B1106" i="10"/>
  <c r="N1105" i="10"/>
  <c r="I1105" i="10"/>
  <c r="G1105" i="10"/>
  <c r="E1105" i="10"/>
  <c r="C1105" i="10"/>
  <c r="B1105" i="10"/>
  <c r="H1105" i="10" s="1"/>
  <c r="N1104" i="10"/>
  <c r="H1104" i="10"/>
  <c r="G1104" i="10"/>
  <c r="C1104" i="10"/>
  <c r="I1104" i="10" s="1"/>
  <c r="B1104" i="10"/>
  <c r="N1103" i="10"/>
  <c r="G1103" i="10"/>
  <c r="C1103" i="10"/>
  <c r="B1103" i="10"/>
  <c r="H1103" i="10" s="1"/>
  <c r="N1102" i="10"/>
  <c r="H1102" i="10"/>
  <c r="G1102" i="10"/>
  <c r="C1102" i="10"/>
  <c r="B1102" i="10"/>
  <c r="N1101" i="10"/>
  <c r="I1101" i="10"/>
  <c r="G1101" i="10"/>
  <c r="E1101" i="10"/>
  <c r="C1101" i="10"/>
  <c r="B1101" i="10"/>
  <c r="H1101" i="10" s="1"/>
  <c r="N1100" i="10"/>
  <c r="G1100" i="10"/>
  <c r="C1100" i="10"/>
  <c r="I1100" i="10" s="1"/>
  <c r="B1100" i="10"/>
  <c r="H1100" i="10" s="1"/>
  <c r="N1099" i="10"/>
  <c r="G1099" i="10"/>
  <c r="C1099" i="10"/>
  <c r="B1099" i="10"/>
  <c r="H1099" i="10" s="1"/>
  <c r="N1098" i="10"/>
  <c r="H1098" i="10"/>
  <c r="G1098" i="10"/>
  <c r="C1098" i="10"/>
  <c r="B1098" i="10"/>
  <c r="N1097" i="10"/>
  <c r="I1097" i="10"/>
  <c r="G1097" i="10"/>
  <c r="E1097" i="10"/>
  <c r="C1097" i="10"/>
  <c r="B1097" i="10"/>
  <c r="H1097" i="10" s="1"/>
  <c r="N1096" i="10"/>
  <c r="G1096" i="10"/>
  <c r="C1096" i="10"/>
  <c r="I1096" i="10" s="1"/>
  <c r="B1096" i="10"/>
  <c r="H1096" i="10" s="1"/>
  <c r="N1095" i="10"/>
  <c r="G1095" i="10"/>
  <c r="C1095" i="10"/>
  <c r="B1095" i="10"/>
  <c r="H1095" i="10" s="1"/>
  <c r="N1094" i="10"/>
  <c r="H1094" i="10"/>
  <c r="G1094" i="10"/>
  <c r="C1094" i="10"/>
  <c r="B1094" i="10"/>
  <c r="N1093" i="10"/>
  <c r="I1093" i="10"/>
  <c r="G1093" i="10"/>
  <c r="E1093" i="10"/>
  <c r="C1093" i="10"/>
  <c r="B1093" i="10"/>
  <c r="H1093" i="10" s="1"/>
  <c r="N1092" i="10"/>
  <c r="G1092" i="10"/>
  <c r="C1092" i="10"/>
  <c r="I1092" i="10" s="1"/>
  <c r="B1092" i="10"/>
  <c r="H1092" i="10" s="1"/>
  <c r="N1091" i="10"/>
  <c r="G1091" i="10"/>
  <c r="C1091" i="10"/>
  <c r="B1091" i="10"/>
  <c r="H1091" i="10" s="1"/>
  <c r="N1090" i="10"/>
  <c r="H1090" i="10"/>
  <c r="G1090" i="10"/>
  <c r="C1090" i="10"/>
  <c r="B1090" i="10"/>
  <c r="N1089" i="10"/>
  <c r="I1089" i="10"/>
  <c r="G1089" i="10"/>
  <c r="E1089" i="10"/>
  <c r="C1089" i="10"/>
  <c r="B1089" i="10"/>
  <c r="H1089" i="10" s="1"/>
  <c r="N1088" i="10"/>
  <c r="G1088" i="10"/>
  <c r="C1088" i="10"/>
  <c r="I1088" i="10" s="1"/>
  <c r="B1088" i="10"/>
  <c r="H1088" i="10" s="1"/>
  <c r="N1087" i="10"/>
  <c r="G1087" i="10"/>
  <c r="C1087" i="10"/>
  <c r="B1087" i="10"/>
  <c r="H1087" i="10" s="1"/>
  <c r="N1086" i="10"/>
  <c r="H1086" i="10"/>
  <c r="G1086" i="10"/>
  <c r="C1086" i="10"/>
  <c r="B1086" i="10"/>
  <c r="N1085" i="10"/>
  <c r="I1085" i="10"/>
  <c r="G1085" i="10"/>
  <c r="E1085" i="10"/>
  <c r="C1085" i="10"/>
  <c r="B1085" i="10"/>
  <c r="H1085" i="10" s="1"/>
  <c r="N1084" i="10"/>
  <c r="G1084" i="10"/>
  <c r="C1084" i="10"/>
  <c r="I1084" i="10" s="1"/>
  <c r="B1084" i="10"/>
  <c r="H1084" i="10" s="1"/>
  <c r="N1083" i="10"/>
  <c r="G1083" i="10"/>
  <c r="C1083" i="10"/>
  <c r="B1083" i="10"/>
  <c r="H1083" i="10" s="1"/>
  <c r="N1082" i="10"/>
  <c r="H1082" i="10"/>
  <c r="G1082" i="10"/>
  <c r="C1082" i="10"/>
  <c r="B1082" i="10"/>
  <c r="N1081" i="10"/>
  <c r="I1081" i="10"/>
  <c r="H1081" i="10"/>
  <c r="G1081" i="10"/>
  <c r="E1081" i="10"/>
  <c r="C1081" i="10"/>
  <c r="B1081" i="10"/>
  <c r="N1080" i="10"/>
  <c r="I1080" i="10"/>
  <c r="G1080" i="10"/>
  <c r="E1080" i="10"/>
  <c r="C1080" i="10"/>
  <c r="B1080" i="10"/>
  <c r="H1080" i="10" s="1"/>
  <c r="N1079" i="10"/>
  <c r="G1079" i="10"/>
  <c r="C1079" i="10"/>
  <c r="B1079" i="10"/>
  <c r="H1079" i="10" s="1"/>
  <c r="N1078" i="10"/>
  <c r="H1078" i="10"/>
  <c r="G1078" i="10"/>
  <c r="C1078" i="10"/>
  <c r="B1078" i="10"/>
  <c r="N1077" i="10"/>
  <c r="I1077" i="10"/>
  <c r="H1077" i="10"/>
  <c r="G1077" i="10"/>
  <c r="E1077" i="10"/>
  <c r="C1077" i="10"/>
  <c r="B1077" i="10"/>
  <c r="N1076" i="10"/>
  <c r="I1076" i="10"/>
  <c r="G1076" i="10"/>
  <c r="E1076" i="10"/>
  <c r="C1076" i="10"/>
  <c r="B1076" i="10"/>
  <c r="H1076" i="10" s="1"/>
  <c r="N1075" i="10"/>
  <c r="G1075" i="10"/>
  <c r="C1075" i="10"/>
  <c r="B1075" i="10"/>
  <c r="H1075" i="10" s="1"/>
  <c r="N1074" i="10"/>
  <c r="H1074" i="10"/>
  <c r="G1074" i="10"/>
  <c r="C1074" i="10"/>
  <c r="B1074" i="10"/>
  <c r="N1073" i="10"/>
  <c r="I1073" i="10"/>
  <c r="H1073" i="10"/>
  <c r="G1073" i="10"/>
  <c r="E1073" i="10"/>
  <c r="C1073" i="10"/>
  <c r="B1073" i="10"/>
  <c r="N1072" i="10"/>
  <c r="I1072" i="10"/>
  <c r="G1072" i="10"/>
  <c r="E1072" i="10"/>
  <c r="C1072" i="10"/>
  <c r="B1072" i="10"/>
  <c r="H1072" i="10" s="1"/>
  <c r="N1071" i="10"/>
  <c r="G1071" i="10"/>
  <c r="C1071" i="10"/>
  <c r="B1071" i="10"/>
  <c r="H1071" i="10" s="1"/>
  <c r="N1070" i="10"/>
  <c r="H1070" i="10"/>
  <c r="G1070" i="10"/>
  <c r="C1070" i="10"/>
  <c r="B1070" i="10"/>
  <c r="N1069" i="10"/>
  <c r="I1069" i="10"/>
  <c r="H1069" i="10"/>
  <c r="G1069" i="10"/>
  <c r="E1069" i="10"/>
  <c r="C1069" i="10"/>
  <c r="B1069" i="10"/>
  <c r="N1068" i="10"/>
  <c r="I1068" i="10"/>
  <c r="G1068" i="10"/>
  <c r="E1068" i="10"/>
  <c r="C1068" i="10"/>
  <c r="B1068" i="10"/>
  <c r="H1068" i="10" s="1"/>
  <c r="N1067" i="10"/>
  <c r="G1067" i="10"/>
  <c r="C1067" i="10"/>
  <c r="B1067" i="10"/>
  <c r="H1067" i="10" s="1"/>
  <c r="N1066" i="10"/>
  <c r="H1066" i="10"/>
  <c r="G1066" i="10"/>
  <c r="C1066" i="10"/>
  <c r="B1066" i="10"/>
  <c r="N1065" i="10"/>
  <c r="I1065" i="10"/>
  <c r="H1065" i="10"/>
  <c r="G1065" i="10"/>
  <c r="E1065" i="10"/>
  <c r="C1065" i="10"/>
  <c r="B1065" i="10"/>
  <c r="N1064" i="10"/>
  <c r="I1064" i="10"/>
  <c r="G1064" i="10"/>
  <c r="E1064" i="10"/>
  <c r="C1064" i="10"/>
  <c r="B1064" i="10"/>
  <c r="H1064" i="10" s="1"/>
  <c r="N1063" i="10"/>
  <c r="G1063" i="10"/>
  <c r="C1063" i="10"/>
  <c r="B1063" i="10"/>
  <c r="H1063" i="10" s="1"/>
  <c r="N1062" i="10"/>
  <c r="H1062" i="10"/>
  <c r="G1062" i="10"/>
  <c r="C1062" i="10"/>
  <c r="B1062" i="10"/>
  <c r="N1061" i="10"/>
  <c r="I1061" i="10"/>
  <c r="H1061" i="10"/>
  <c r="G1061" i="10"/>
  <c r="E1061" i="10"/>
  <c r="C1061" i="10"/>
  <c r="B1061" i="10"/>
  <c r="N1060" i="10"/>
  <c r="I1060" i="10"/>
  <c r="G1060" i="10"/>
  <c r="E1060" i="10"/>
  <c r="C1060" i="10"/>
  <c r="B1060" i="10"/>
  <c r="H1060" i="10" s="1"/>
  <c r="N1059" i="10"/>
  <c r="G1059" i="10"/>
  <c r="C1059" i="10"/>
  <c r="B1059" i="10"/>
  <c r="H1059" i="10" s="1"/>
  <c r="N1058" i="10"/>
  <c r="H1058" i="10"/>
  <c r="G1058" i="10"/>
  <c r="C1058" i="10"/>
  <c r="B1058" i="10"/>
  <c r="N1057" i="10"/>
  <c r="I1057" i="10"/>
  <c r="H1057" i="10"/>
  <c r="G1057" i="10"/>
  <c r="E1057" i="10"/>
  <c r="C1057" i="10"/>
  <c r="B1057" i="10"/>
  <c r="N1056" i="10"/>
  <c r="I1056" i="10"/>
  <c r="G1056" i="10"/>
  <c r="E1056" i="10"/>
  <c r="C1056" i="10"/>
  <c r="B1056" i="10"/>
  <c r="H1056" i="10" s="1"/>
  <c r="N1055" i="10"/>
  <c r="G1055" i="10"/>
  <c r="C1055" i="10"/>
  <c r="B1055" i="10"/>
  <c r="H1055" i="10" s="1"/>
  <c r="N1054" i="10"/>
  <c r="H1054" i="10"/>
  <c r="G1054" i="10"/>
  <c r="C1054" i="10"/>
  <c r="B1054" i="10"/>
  <c r="N1053" i="10"/>
  <c r="I1053" i="10"/>
  <c r="H1053" i="10"/>
  <c r="G1053" i="10"/>
  <c r="E1053" i="10"/>
  <c r="C1053" i="10"/>
  <c r="B1053" i="10"/>
  <c r="N1052" i="10"/>
  <c r="I1052" i="10"/>
  <c r="G1052" i="10"/>
  <c r="E1052" i="10"/>
  <c r="C1052" i="10"/>
  <c r="B1052" i="10"/>
  <c r="H1052" i="10" s="1"/>
  <c r="N1051" i="10"/>
  <c r="G1051" i="10"/>
  <c r="C1051" i="10"/>
  <c r="B1051" i="10"/>
  <c r="H1051" i="10" s="1"/>
  <c r="N1050" i="10"/>
  <c r="H1050" i="10"/>
  <c r="G1050" i="10"/>
  <c r="C1050" i="10"/>
  <c r="B1050" i="10"/>
  <c r="N1049" i="10"/>
  <c r="I1049" i="10"/>
  <c r="H1049" i="10"/>
  <c r="G1049" i="10"/>
  <c r="E1049" i="10"/>
  <c r="C1049" i="10"/>
  <c r="B1049" i="10"/>
  <c r="N1048" i="10"/>
  <c r="I1048" i="10"/>
  <c r="G1048" i="10"/>
  <c r="E1048" i="10"/>
  <c r="C1048" i="10"/>
  <c r="B1048" i="10"/>
  <c r="H1048" i="10" s="1"/>
  <c r="N1047" i="10"/>
  <c r="G1047" i="10"/>
  <c r="C1047" i="10"/>
  <c r="B1047" i="10"/>
  <c r="H1047" i="10" s="1"/>
  <c r="N1046" i="10"/>
  <c r="H1046" i="10"/>
  <c r="G1046" i="10"/>
  <c r="C1046" i="10"/>
  <c r="B1046" i="10"/>
  <c r="N1045" i="10"/>
  <c r="I1045" i="10"/>
  <c r="H1045" i="10"/>
  <c r="G1045" i="10"/>
  <c r="E1045" i="10"/>
  <c r="C1045" i="10"/>
  <c r="B1045" i="10"/>
  <c r="N1044" i="10"/>
  <c r="I1044" i="10"/>
  <c r="G1044" i="10"/>
  <c r="E1044" i="10"/>
  <c r="C1044" i="10"/>
  <c r="B1044" i="10"/>
  <c r="H1044" i="10" s="1"/>
  <c r="N1043" i="10"/>
  <c r="G1043" i="10"/>
  <c r="C1043" i="10"/>
  <c r="B1043" i="10"/>
  <c r="H1043" i="10" s="1"/>
  <c r="N1042" i="10"/>
  <c r="H1042" i="10"/>
  <c r="G1042" i="10"/>
  <c r="C1042" i="10"/>
  <c r="B1042" i="10"/>
  <c r="N1041" i="10"/>
  <c r="I1041" i="10"/>
  <c r="H1041" i="10"/>
  <c r="G1041" i="10"/>
  <c r="E1041" i="10"/>
  <c r="C1041" i="10"/>
  <c r="B1041" i="10"/>
  <c r="N1040" i="10"/>
  <c r="G1040" i="10"/>
  <c r="C1040" i="10"/>
  <c r="I1040" i="10" s="1"/>
  <c r="B1040" i="10"/>
  <c r="H1040" i="10" s="1"/>
  <c r="N1039" i="10"/>
  <c r="G1039" i="10"/>
  <c r="C1039" i="10"/>
  <c r="B1039" i="10"/>
  <c r="H1039" i="10" s="1"/>
  <c r="N1038" i="10"/>
  <c r="H1038" i="10"/>
  <c r="G1038" i="10"/>
  <c r="C1038" i="10"/>
  <c r="B1038" i="10"/>
  <c r="N1037" i="10"/>
  <c r="I1037" i="10"/>
  <c r="H1037" i="10"/>
  <c r="G1037" i="10"/>
  <c r="E1037" i="10"/>
  <c r="C1037" i="10"/>
  <c r="B1037" i="10"/>
  <c r="N1036" i="10"/>
  <c r="G1036" i="10"/>
  <c r="C1036" i="10"/>
  <c r="I1036" i="10" s="1"/>
  <c r="B1036" i="10"/>
  <c r="H1036" i="10" s="1"/>
  <c r="N1035" i="10"/>
  <c r="G1035" i="10"/>
  <c r="C1035" i="10"/>
  <c r="B1035" i="10"/>
  <c r="H1035" i="10" s="1"/>
  <c r="N1034" i="10"/>
  <c r="H1034" i="10"/>
  <c r="G1034" i="10"/>
  <c r="C1034" i="10"/>
  <c r="B1034" i="10"/>
  <c r="N1033" i="10"/>
  <c r="I1033" i="10"/>
  <c r="G1033" i="10"/>
  <c r="E1033" i="10"/>
  <c r="C1033" i="10"/>
  <c r="B1033" i="10"/>
  <c r="H1033" i="10" s="1"/>
  <c r="N1032" i="10"/>
  <c r="G1032" i="10"/>
  <c r="C1032" i="10"/>
  <c r="I1032" i="10" s="1"/>
  <c r="B1032" i="10"/>
  <c r="H1032" i="10" s="1"/>
  <c r="N1031" i="10"/>
  <c r="G1031" i="10"/>
  <c r="C1031" i="10"/>
  <c r="B1031" i="10"/>
  <c r="H1031" i="10" s="1"/>
  <c r="N1030" i="10"/>
  <c r="H1030" i="10"/>
  <c r="G1030" i="10"/>
  <c r="C1030" i="10"/>
  <c r="B1030" i="10"/>
  <c r="N1029" i="10"/>
  <c r="I1029" i="10"/>
  <c r="H1029" i="10"/>
  <c r="G1029" i="10"/>
  <c r="E1029" i="10"/>
  <c r="C1029" i="10"/>
  <c r="B1029" i="10"/>
  <c r="N1028" i="10"/>
  <c r="I1028" i="10"/>
  <c r="G1028" i="10"/>
  <c r="E1028" i="10"/>
  <c r="C1028" i="10"/>
  <c r="B1028" i="10"/>
  <c r="H1028" i="10" s="1"/>
  <c r="N1027" i="10"/>
  <c r="G1027" i="10"/>
  <c r="C1027" i="10"/>
  <c r="B1027" i="10"/>
  <c r="H1027" i="10" s="1"/>
  <c r="N1026" i="10"/>
  <c r="H1026" i="10"/>
  <c r="G1026" i="10"/>
  <c r="C1026" i="10"/>
  <c r="B1026" i="10"/>
  <c r="N1025" i="10"/>
  <c r="I1025" i="10"/>
  <c r="H1025" i="10"/>
  <c r="G1025" i="10"/>
  <c r="E1025" i="10"/>
  <c r="C1025" i="10"/>
  <c r="B1025" i="10"/>
  <c r="N1024" i="10"/>
  <c r="G1024" i="10"/>
  <c r="E1024" i="10"/>
  <c r="C1024" i="10"/>
  <c r="I1024" i="10" s="1"/>
  <c r="B1024" i="10"/>
  <c r="H1024" i="10" s="1"/>
  <c r="N1023" i="10"/>
  <c r="G1023" i="10"/>
  <c r="C1023" i="10"/>
  <c r="B1023" i="10"/>
  <c r="H1023" i="10" s="1"/>
  <c r="N1022" i="10"/>
  <c r="H1022" i="10"/>
  <c r="G1022" i="10"/>
  <c r="C1022" i="10"/>
  <c r="B1022" i="10"/>
  <c r="N1021" i="10"/>
  <c r="I1021" i="10"/>
  <c r="H1021" i="10"/>
  <c r="G1021" i="10"/>
  <c r="E1021" i="10"/>
  <c r="C1021" i="10"/>
  <c r="B1021" i="10"/>
  <c r="N1020" i="10"/>
  <c r="G1020" i="10"/>
  <c r="C1020" i="10"/>
  <c r="I1020" i="10" s="1"/>
  <c r="B1020" i="10"/>
  <c r="H1020" i="10" s="1"/>
  <c r="N1019" i="10"/>
  <c r="G1019" i="10"/>
  <c r="C1019" i="10"/>
  <c r="B1019" i="10"/>
  <c r="H1019" i="10" s="1"/>
  <c r="N1018" i="10"/>
  <c r="H1018" i="10"/>
  <c r="G1018" i="10"/>
  <c r="C1018" i="10"/>
  <c r="B1018" i="10"/>
  <c r="N1017" i="10"/>
  <c r="I1017" i="10"/>
  <c r="G1017" i="10"/>
  <c r="E1017" i="10"/>
  <c r="C1017" i="10"/>
  <c r="B1017" i="10"/>
  <c r="H1017" i="10" s="1"/>
  <c r="N1016" i="10"/>
  <c r="G1016" i="10"/>
  <c r="C1016" i="10"/>
  <c r="I1016" i="10" s="1"/>
  <c r="B1016" i="10"/>
  <c r="H1016" i="10" s="1"/>
  <c r="N1015" i="10"/>
  <c r="G1015" i="10"/>
  <c r="C1015" i="10"/>
  <c r="B1015" i="10"/>
  <c r="H1015" i="10" s="1"/>
  <c r="N1014" i="10"/>
  <c r="H1014" i="10"/>
  <c r="G1014" i="10"/>
  <c r="C1014" i="10"/>
  <c r="B1014" i="10"/>
  <c r="N1013" i="10"/>
  <c r="I1013" i="10"/>
  <c r="G1013" i="10"/>
  <c r="E1013" i="10"/>
  <c r="C1013" i="10"/>
  <c r="B1013" i="10"/>
  <c r="H1013" i="10" s="1"/>
  <c r="N1012" i="10"/>
  <c r="G1012" i="10"/>
  <c r="C1012" i="10"/>
  <c r="I1012" i="10" s="1"/>
  <c r="B1012" i="10"/>
  <c r="H1012" i="10" s="1"/>
  <c r="N1011" i="10"/>
  <c r="G1011" i="10"/>
  <c r="C1011" i="10"/>
  <c r="B1011" i="10"/>
  <c r="H1011" i="10" s="1"/>
  <c r="N1010" i="10"/>
  <c r="H1010" i="10"/>
  <c r="G1010" i="10"/>
  <c r="C1010" i="10"/>
  <c r="B1010" i="10"/>
  <c r="N1009" i="10"/>
  <c r="I1009" i="10"/>
  <c r="H1009" i="10"/>
  <c r="G1009" i="10"/>
  <c r="E1009" i="10"/>
  <c r="C1009" i="10"/>
  <c r="B1009" i="10"/>
  <c r="N1008" i="10"/>
  <c r="G1008" i="10"/>
  <c r="C1008" i="10"/>
  <c r="I1008" i="10" s="1"/>
  <c r="B1008" i="10"/>
  <c r="H1008" i="10" s="1"/>
  <c r="N1007" i="10"/>
  <c r="G1007" i="10"/>
  <c r="C1007" i="10"/>
  <c r="B1007" i="10"/>
  <c r="H1007" i="10" s="1"/>
  <c r="N1006" i="10"/>
  <c r="H1006" i="10"/>
  <c r="G1006" i="10"/>
  <c r="C1006" i="10"/>
  <c r="B1006" i="10"/>
  <c r="N1005" i="10"/>
  <c r="I1005" i="10"/>
  <c r="G1005" i="10"/>
  <c r="E1005" i="10"/>
  <c r="C1005" i="10"/>
  <c r="B1005" i="10"/>
  <c r="H1005" i="10" s="1"/>
  <c r="N1004" i="10"/>
  <c r="G1004" i="10"/>
  <c r="C1004" i="10"/>
  <c r="I1004" i="10" s="1"/>
  <c r="B1004" i="10"/>
  <c r="H1004" i="10" s="1"/>
  <c r="N1003" i="10"/>
  <c r="G1003" i="10"/>
  <c r="C1003" i="10"/>
  <c r="B1003" i="10"/>
  <c r="H1003" i="10" s="1"/>
  <c r="N1002" i="10"/>
  <c r="H1002" i="10"/>
  <c r="G1002" i="10"/>
  <c r="C1002" i="10"/>
  <c r="B1002" i="10"/>
  <c r="N1001" i="10"/>
  <c r="I1001" i="10"/>
  <c r="G1001" i="10"/>
  <c r="E1001" i="10"/>
  <c r="C1001" i="10"/>
  <c r="B1001" i="10"/>
  <c r="H1001" i="10" s="1"/>
  <c r="N1000" i="10"/>
  <c r="G1000" i="10"/>
  <c r="C1000" i="10"/>
  <c r="I1000" i="10" s="1"/>
  <c r="B1000" i="10"/>
  <c r="H1000" i="10" s="1"/>
  <c r="N999" i="10"/>
  <c r="G999" i="10"/>
  <c r="C999" i="10"/>
  <c r="B999" i="10"/>
  <c r="H999" i="10" s="1"/>
  <c r="N998" i="10"/>
  <c r="H998" i="10"/>
  <c r="G998" i="10"/>
  <c r="C998" i="10"/>
  <c r="B998" i="10"/>
  <c r="N997" i="10"/>
  <c r="I997" i="10"/>
  <c r="G997" i="10"/>
  <c r="E997" i="10"/>
  <c r="C997" i="10"/>
  <c r="B997" i="10"/>
  <c r="H997" i="10" s="1"/>
  <c r="N996" i="10"/>
  <c r="G996" i="10"/>
  <c r="C996" i="10"/>
  <c r="I996" i="10" s="1"/>
  <c r="B996" i="10"/>
  <c r="H996" i="10" s="1"/>
  <c r="N995" i="10"/>
  <c r="G995" i="10"/>
  <c r="C995" i="10"/>
  <c r="B995" i="10"/>
  <c r="H995" i="10" s="1"/>
  <c r="N994" i="10"/>
  <c r="H994" i="10"/>
  <c r="G994" i="10"/>
  <c r="C994" i="10"/>
  <c r="B994" i="10"/>
  <c r="N993" i="10"/>
  <c r="I993" i="10"/>
  <c r="G993" i="10"/>
  <c r="E993" i="10"/>
  <c r="C993" i="10"/>
  <c r="B993" i="10"/>
  <c r="H993" i="10" s="1"/>
  <c r="N992" i="10"/>
  <c r="G992" i="10"/>
  <c r="C992" i="10"/>
  <c r="I992" i="10" s="1"/>
  <c r="B992" i="10"/>
  <c r="H992" i="10" s="1"/>
  <c r="N991" i="10"/>
  <c r="G991" i="10"/>
  <c r="C991" i="10"/>
  <c r="B991" i="10"/>
  <c r="H991" i="10" s="1"/>
  <c r="N990" i="10"/>
  <c r="H990" i="10"/>
  <c r="G990" i="10"/>
  <c r="C990" i="10"/>
  <c r="B990" i="10"/>
  <c r="N989" i="10"/>
  <c r="I989" i="10"/>
  <c r="G989" i="10"/>
  <c r="E989" i="10"/>
  <c r="C989" i="10"/>
  <c r="B989" i="10"/>
  <c r="H989" i="10" s="1"/>
  <c r="N988" i="10"/>
  <c r="G988" i="10"/>
  <c r="C988" i="10"/>
  <c r="I988" i="10" s="1"/>
  <c r="B988" i="10"/>
  <c r="H988" i="10" s="1"/>
  <c r="N987" i="10"/>
  <c r="G987" i="10"/>
  <c r="C987" i="10"/>
  <c r="B987" i="10"/>
  <c r="H987" i="10" s="1"/>
  <c r="N986" i="10"/>
  <c r="H986" i="10"/>
  <c r="G986" i="10"/>
  <c r="C986" i="10"/>
  <c r="B986" i="10"/>
  <c r="N985" i="10"/>
  <c r="I985" i="10"/>
  <c r="G985" i="10"/>
  <c r="E985" i="10"/>
  <c r="C985" i="10"/>
  <c r="B985" i="10"/>
  <c r="H985" i="10" s="1"/>
  <c r="N984" i="10"/>
  <c r="G984" i="10"/>
  <c r="C984" i="10"/>
  <c r="I984" i="10" s="1"/>
  <c r="B984" i="10"/>
  <c r="H984" i="10" s="1"/>
  <c r="N983" i="10"/>
  <c r="G983" i="10"/>
  <c r="C983" i="10"/>
  <c r="B983" i="10"/>
  <c r="H983" i="10" s="1"/>
  <c r="N982" i="10"/>
  <c r="H982" i="10"/>
  <c r="G982" i="10"/>
  <c r="C982" i="10"/>
  <c r="B982" i="10"/>
  <c r="N981" i="10"/>
  <c r="I981" i="10"/>
  <c r="G981" i="10"/>
  <c r="E981" i="10"/>
  <c r="C981" i="10"/>
  <c r="B981" i="10"/>
  <c r="H981" i="10" s="1"/>
  <c r="N980" i="10"/>
  <c r="G980" i="10"/>
  <c r="C980" i="10"/>
  <c r="I980" i="10" s="1"/>
  <c r="B980" i="10"/>
  <c r="H980" i="10" s="1"/>
  <c r="N979" i="10"/>
  <c r="G979" i="10"/>
  <c r="C979" i="10"/>
  <c r="B979" i="10"/>
  <c r="H979" i="10" s="1"/>
  <c r="N978" i="10"/>
  <c r="H978" i="10"/>
  <c r="G978" i="10"/>
  <c r="C978" i="10"/>
  <c r="B978" i="10"/>
  <c r="N977" i="10"/>
  <c r="I977" i="10"/>
  <c r="G977" i="10"/>
  <c r="E977" i="10"/>
  <c r="C977" i="10"/>
  <c r="B977" i="10"/>
  <c r="H977" i="10" s="1"/>
  <c r="N976" i="10"/>
  <c r="G976" i="10"/>
  <c r="C976" i="10"/>
  <c r="I976" i="10" s="1"/>
  <c r="B976" i="10"/>
  <c r="H976" i="10" s="1"/>
  <c r="N975" i="10"/>
  <c r="G975" i="10"/>
  <c r="C975" i="10"/>
  <c r="B975" i="10"/>
  <c r="H975" i="10" s="1"/>
  <c r="N974" i="10"/>
  <c r="H974" i="10"/>
  <c r="G974" i="10"/>
  <c r="C974" i="10"/>
  <c r="B974" i="10"/>
  <c r="N973" i="10"/>
  <c r="I973" i="10"/>
  <c r="G973" i="10"/>
  <c r="E973" i="10"/>
  <c r="C973" i="10"/>
  <c r="B973" i="10"/>
  <c r="H973" i="10" s="1"/>
  <c r="N972" i="10"/>
  <c r="G972" i="10"/>
  <c r="C972" i="10"/>
  <c r="I972" i="10" s="1"/>
  <c r="B972" i="10"/>
  <c r="H972" i="10" s="1"/>
  <c r="N971" i="10"/>
  <c r="G971" i="10"/>
  <c r="C971" i="10"/>
  <c r="B971" i="10"/>
  <c r="H971" i="10" s="1"/>
  <c r="N970" i="10"/>
  <c r="H970" i="10"/>
  <c r="G970" i="10"/>
  <c r="C970" i="10"/>
  <c r="B970" i="10"/>
  <c r="N969" i="10"/>
  <c r="I969" i="10"/>
  <c r="G969" i="10"/>
  <c r="E969" i="10"/>
  <c r="C969" i="10"/>
  <c r="B969" i="10"/>
  <c r="H969" i="10" s="1"/>
  <c r="N968" i="10"/>
  <c r="G968" i="10"/>
  <c r="C968" i="10"/>
  <c r="I968" i="10" s="1"/>
  <c r="B968" i="10"/>
  <c r="H968" i="10" s="1"/>
  <c r="N967" i="10"/>
  <c r="G967" i="10"/>
  <c r="C967" i="10"/>
  <c r="B967" i="10"/>
  <c r="H967" i="10" s="1"/>
  <c r="N966" i="10"/>
  <c r="H966" i="10"/>
  <c r="G966" i="10"/>
  <c r="C966" i="10"/>
  <c r="B966" i="10"/>
  <c r="N965" i="10"/>
  <c r="I965" i="10"/>
  <c r="G965" i="10"/>
  <c r="E965" i="10"/>
  <c r="C965" i="10"/>
  <c r="B965" i="10"/>
  <c r="H965" i="10" s="1"/>
  <c r="N964" i="10"/>
  <c r="G964" i="10"/>
  <c r="C964" i="10"/>
  <c r="I964" i="10" s="1"/>
  <c r="B964" i="10"/>
  <c r="H964" i="10" s="1"/>
  <c r="N963" i="10"/>
  <c r="G963" i="10"/>
  <c r="C963" i="10"/>
  <c r="B963" i="10"/>
  <c r="H963" i="10" s="1"/>
  <c r="N962" i="10"/>
  <c r="H962" i="10"/>
  <c r="G962" i="10"/>
  <c r="C962" i="10"/>
  <c r="B962" i="10"/>
  <c r="N961" i="10"/>
  <c r="I961" i="10"/>
  <c r="G961" i="10"/>
  <c r="E961" i="10"/>
  <c r="C961" i="10"/>
  <c r="B961" i="10"/>
  <c r="H961" i="10" s="1"/>
  <c r="N960" i="10"/>
  <c r="G960" i="10"/>
  <c r="C960" i="10"/>
  <c r="I960" i="10" s="1"/>
  <c r="B960" i="10"/>
  <c r="H960" i="10" s="1"/>
  <c r="N959" i="10"/>
  <c r="G959" i="10"/>
  <c r="C959" i="10"/>
  <c r="B959" i="10"/>
  <c r="H959" i="10" s="1"/>
  <c r="N958" i="10"/>
  <c r="H958" i="10"/>
  <c r="G958" i="10"/>
  <c r="C958" i="10"/>
  <c r="B958" i="10"/>
  <c r="N957" i="10"/>
  <c r="I957" i="10"/>
  <c r="G957" i="10"/>
  <c r="E957" i="10"/>
  <c r="C957" i="10"/>
  <c r="B957" i="10"/>
  <c r="H957" i="10" s="1"/>
  <c r="N956" i="10"/>
  <c r="G956" i="10"/>
  <c r="C956" i="10"/>
  <c r="I956" i="10" s="1"/>
  <c r="B956" i="10"/>
  <c r="H956" i="10" s="1"/>
  <c r="N955" i="10"/>
  <c r="G955" i="10"/>
  <c r="C955" i="10"/>
  <c r="B955" i="10"/>
  <c r="H955" i="10" s="1"/>
  <c r="N954" i="10"/>
  <c r="H954" i="10"/>
  <c r="G954" i="10"/>
  <c r="C954" i="10"/>
  <c r="B954" i="10"/>
  <c r="N953" i="10"/>
  <c r="I953" i="10"/>
  <c r="G953" i="10"/>
  <c r="E953" i="10"/>
  <c r="C953" i="10"/>
  <c r="B953" i="10"/>
  <c r="H953" i="10" s="1"/>
  <c r="N952" i="10"/>
  <c r="G952" i="10"/>
  <c r="C952" i="10"/>
  <c r="I952" i="10" s="1"/>
  <c r="B952" i="10"/>
  <c r="H952" i="10" s="1"/>
  <c r="N951" i="10"/>
  <c r="G951" i="10"/>
  <c r="C951" i="10"/>
  <c r="B951" i="10"/>
  <c r="H951" i="10" s="1"/>
  <c r="N950" i="10"/>
  <c r="H950" i="10"/>
  <c r="G950" i="10"/>
  <c r="C950" i="10"/>
  <c r="B950" i="10"/>
  <c r="N949" i="10"/>
  <c r="I949" i="10"/>
  <c r="G949" i="10"/>
  <c r="E949" i="10"/>
  <c r="C949" i="10"/>
  <c r="B949" i="10"/>
  <c r="H949" i="10" s="1"/>
  <c r="N948" i="10"/>
  <c r="G948" i="10"/>
  <c r="C948" i="10"/>
  <c r="I948" i="10" s="1"/>
  <c r="B948" i="10"/>
  <c r="H948" i="10" s="1"/>
  <c r="N947" i="10"/>
  <c r="G947" i="10"/>
  <c r="C947" i="10"/>
  <c r="B947" i="10"/>
  <c r="H947" i="10" s="1"/>
  <c r="N946" i="10"/>
  <c r="H946" i="10"/>
  <c r="G946" i="10"/>
  <c r="C946" i="10"/>
  <c r="B946" i="10"/>
  <c r="N945" i="10"/>
  <c r="I945" i="10"/>
  <c r="G945" i="10"/>
  <c r="E945" i="10"/>
  <c r="C945" i="10"/>
  <c r="B945" i="10"/>
  <c r="H945" i="10" s="1"/>
  <c r="N944" i="10"/>
  <c r="G944" i="10"/>
  <c r="C944" i="10"/>
  <c r="I944" i="10" s="1"/>
  <c r="B944" i="10"/>
  <c r="H944" i="10" s="1"/>
  <c r="N943" i="10"/>
  <c r="G943" i="10"/>
  <c r="C943" i="10"/>
  <c r="B943" i="10"/>
  <c r="H943" i="10" s="1"/>
  <c r="N942" i="10"/>
  <c r="H942" i="10"/>
  <c r="G942" i="10"/>
  <c r="C942" i="10"/>
  <c r="B942" i="10"/>
  <c r="N941" i="10"/>
  <c r="I941" i="10"/>
  <c r="G941" i="10"/>
  <c r="E941" i="10"/>
  <c r="C941" i="10"/>
  <c r="B941" i="10"/>
  <c r="H941" i="10" s="1"/>
  <c r="N940" i="10"/>
  <c r="G940" i="10"/>
  <c r="C940" i="10"/>
  <c r="I940" i="10" s="1"/>
  <c r="B940" i="10"/>
  <c r="H940" i="10" s="1"/>
  <c r="N939" i="10"/>
  <c r="G939" i="10"/>
  <c r="C939" i="10"/>
  <c r="B939" i="10"/>
  <c r="H939" i="10" s="1"/>
  <c r="N938" i="10"/>
  <c r="H938" i="10"/>
  <c r="G938" i="10"/>
  <c r="C938" i="10"/>
  <c r="B938" i="10"/>
  <c r="N937" i="10"/>
  <c r="I937" i="10"/>
  <c r="H937" i="10"/>
  <c r="G937" i="10"/>
  <c r="E937" i="10"/>
  <c r="C937" i="10"/>
  <c r="B937" i="10"/>
  <c r="N936" i="10"/>
  <c r="G936" i="10"/>
  <c r="C936" i="10"/>
  <c r="I936" i="10" s="1"/>
  <c r="B936" i="10"/>
  <c r="H936" i="10" s="1"/>
  <c r="N935" i="10"/>
  <c r="G935" i="10"/>
  <c r="C935" i="10"/>
  <c r="B935" i="10"/>
  <c r="H935" i="10" s="1"/>
  <c r="N934" i="10"/>
  <c r="H934" i="10"/>
  <c r="G934" i="10"/>
  <c r="C934" i="10"/>
  <c r="B934" i="10"/>
  <c r="N933" i="10"/>
  <c r="I933" i="10"/>
  <c r="G933" i="10"/>
  <c r="E933" i="10"/>
  <c r="C933" i="10"/>
  <c r="B933" i="10"/>
  <c r="H933" i="10" s="1"/>
  <c r="N932" i="10"/>
  <c r="G932" i="10"/>
  <c r="C932" i="10"/>
  <c r="I932" i="10" s="1"/>
  <c r="B932" i="10"/>
  <c r="H932" i="10" s="1"/>
  <c r="N931" i="10"/>
  <c r="G931" i="10"/>
  <c r="C931" i="10"/>
  <c r="B931" i="10"/>
  <c r="H931" i="10" s="1"/>
  <c r="N930" i="10"/>
  <c r="H930" i="10"/>
  <c r="G930" i="10"/>
  <c r="C930" i="10"/>
  <c r="B930" i="10"/>
  <c r="N929" i="10"/>
  <c r="I929" i="10"/>
  <c r="G929" i="10"/>
  <c r="E929" i="10"/>
  <c r="C929" i="10"/>
  <c r="B929" i="10"/>
  <c r="H929" i="10" s="1"/>
  <c r="N928" i="10"/>
  <c r="G928" i="10"/>
  <c r="C928" i="10"/>
  <c r="I928" i="10" s="1"/>
  <c r="B928" i="10"/>
  <c r="H928" i="10" s="1"/>
  <c r="N927" i="10"/>
  <c r="G927" i="10"/>
  <c r="C927" i="10"/>
  <c r="B927" i="10"/>
  <c r="H927" i="10" s="1"/>
  <c r="N926" i="10"/>
  <c r="H926" i="10"/>
  <c r="G926" i="10"/>
  <c r="C926" i="10"/>
  <c r="B926" i="10"/>
  <c r="N925" i="10"/>
  <c r="I925" i="10"/>
  <c r="G925" i="10"/>
  <c r="E925" i="10"/>
  <c r="C925" i="10"/>
  <c r="B925" i="10"/>
  <c r="H925" i="10" s="1"/>
  <c r="N924" i="10"/>
  <c r="G924" i="10"/>
  <c r="C924" i="10"/>
  <c r="I924" i="10" s="1"/>
  <c r="B924" i="10"/>
  <c r="H924" i="10" s="1"/>
  <c r="N923" i="10"/>
  <c r="G923" i="10"/>
  <c r="C923" i="10"/>
  <c r="B923" i="10"/>
  <c r="H923" i="10" s="1"/>
  <c r="N922" i="10"/>
  <c r="H922" i="10"/>
  <c r="G922" i="10"/>
  <c r="C922" i="10"/>
  <c r="B922" i="10"/>
  <c r="N921" i="10"/>
  <c r="I921" i="10"/>
  <c r="G921" i="10"/>
  <c r="E921" i="10"/>
  <c r="C921" i="10"/>
  <c r="B921" i="10"/>
  <c r="H921" i="10" s="1"/>
  <c r="N920" i="10"/>
  <c r="G920" i="10"/>
  <c r="C920" i="10"/>
  <c r="I920" i="10" s="1"/>
  <c r="B920" i="10"/>
  <c r="H920" i="10" s="1"/>
  <c r="N919" i="10"/>
  <c r="G919" i="10"/>
  <c r="C919" i="10"/>
  <c r="B919" i="10"/>
  <c r="H919" i="10" s="1"/>
  <c r="N918" i="10"/>
  <c r="H918" i="10"/>
  <c r="G918" i="10"/>
  <c r="C918" i="10"/>
  <c r="B918" i="10"/>
  <c r="N917" i="10"/>
  <c r="I917" i="10"/>
  <c r="G917" i="10"/>
  <c r="E917" i="10"/>
  <c r="C917" i="10"/>
  <c r="B917" i="10"/>
  <c r="H917" i="10" s="1"/>
  <c r="N916" i="10"/>
  <c r="G916" i="10"/>
  <c r="C916" i="10"/>
  <c r="I916" i="10" s="1"/>
  <c r="B916" i="10"/>
  <c r="H916" i="10" s="1"/>
  <c r="N915" i="10"/>
  <c r="G915" i="10"/>
  <c r="C915" i="10"/>
  <c r="B915" i="10"/>
  <c r="H915" i="10" s="1"/>
  <c r="N914" i="10"/>
  <c r="H914" i="10"/>
  <c r="G914" i="10"/>
  <c r="C914" i="10"/>
  <c r="B914" i="10"/>
  <c r="N913" i="10"/>
  <c r="I913" i="10"/>
  <c r="G913" i="10"/>
  <c r="E913" i="10"/>
  <c r="C913" i="10"/>
  <c r="B913" i="10"/>
  <c r="H913" i="10" s="1"/>
  <c r="N912" i="10"/>
  <c r="G912" i="10"/>
  <c r="C912" i="10"/>
  <c r="I912" i="10" s="1"/>
  <c r="B912" i="10"/>
  <c r="H912" i="10" s="1"/>
  <c r="N911" i="10"/>
  <c r="G911" i="10"/>
  <c r="C911" i="10"/>
  <c r="B911" i="10"/>
  <c r="H911" i="10" s="1"/>
  <c r="N910" i="10"/>
  <c r="H910" i="10"/>
  <c r="G910" i="10"/>
  <c r="C910" i="10"/>
  <c r="B910" i="10"/>
  <c r="N909" i="10"/>
  <c r="I909" i="10"/>
  <c r="G909" i="10"/>
  <c r="E909" i="10"/>
  <c r="C909" i="10"/>
  <c r="B909" i="10"/>
  <c r="H909" i="10" s="1"/>
  <c r="N908" i="10"/>
  <c r="G908" i="10"/>
  <c r="C908" i="10"/>
  <c r="I908" i="10" s="1"/>
  <c r="B908" i="10"/>
  <c r="H908" i="10" s="1"/>
  <c r="N907" i="10"/>
  <c r="G907" i="10"/>
  <c r="C907" i="10"/>
  <c r="B907" i="10"/>
  <c r="H907" i="10" s="1"/>
  <c r="N906" i="10"/>
  <c r="H906" i="10"/>
  <c r="G906" i="10"/>
  <c r="C906" i="10"/>
  <c r="B906" i="10"/>
  <c r="N905" i="10"/>
  <c r="I905" i="10"/>
  <c r="G905" i="10"/>
  <c r="E905" i="10"/>
  <c r="C905" i="10"/>
  <c r="B905" i="10"/>
  <c r="H905" i="10" s="1"/>
  <c r="N904" i="10"/>
  <c r="G904" i="10"/>
  <c r="C904" i="10"/>
  <c r="I904" i="10" s="1"/>
  <c r="B904" i="10"/>
  <c r="H904" i="10" s="1"/>
  <c r="N903" i="10"/>
  <c r="G903" i="10"/>
  <c r="C903" i="10"/>
  <c r="B903" i="10"/>
  <c r="H903" i="10" s="1"/>
  <c r="N902" i="10"/>
  <c r="H902" i="10"/>
  <c r="G902" i="10"/>
  <c r="C902" i="10"/>
  <c r="B902" i="10"/>
  <c r="N901" i="10"/>
  <c r="I901" i="10"/>
  <c r="G901" i="10"/>
  <c r="E901" i="10"/>
  <c r="C901" i="10"/>
  <c r="B901" i="10"/>
  <c r="H901" i="10" s="1"/>
  <c r="N900" i="10"/>
  <c r="G900" i="10"/>
  <c r="C900" i="10"/>
  <c r="I900" i="10" s="1"/>
  <c r="B900" i="10"/>
  <c r="H900" i="10" s="1"/>
  <c r="N899" i="10"/>
  <c r="G899" i="10"/>
  <c r="C899" i="10"/>
  <c r="B899" i="10"/>
  <c r="H899" i="10" s="1"/>
  <c r="N898" i="10"/>
  <c r="H898" i="10"/>
  <c r="G898" i="10"/>
  <c r="C898" i="10"/>
  <c r="B898" i="10"/>
  <c r="N897" i="10"/>
  <c r="I897" i="10"/>
  <c r="G897" i="10"/>
  <c r="E897" i="10"/>
  <c r="C897" i="10"/>
  <c r="B897" i="10"/>
  <c r="H897" i="10" s="1"/>
  <c r="N896" i="10"/>
  <c r="G896" i="10"/>
  <c r="C896" i="10"/>
  <c r="I896" i="10" s="1"/>
  <c r="B896" i="10"/>
  <c r="H896" i="10" s="1"/>
  <c r="N895" i="10"/>
  <c r="G895" i="10"/>
  <c r="C895" i="10"/>
  <c r="B895" i="10"/>
  <c r="H895" i="10" s="1"/>
  <c r="N894" i="10"/>
  <c r="H894" i="10"/>
  <c r="G894" i="10"/>
  <c r="C894" i="10"/>
  <c r="B894" i="10"/>
  <c r="N893" i="10"/>
  <c r="I893" i="10"/>
  <c r="G893" i="10"/>
  <c r="E893" i="10"/>
  <c r="C893" i="10"/>
  <c r="B893" i="10"/>
  <c r="H893" i="10" s="1"/>
  <c r="N892" i="10"/>
  <c r="G892" i="10"/>
  <c r="C892" i="10"/>
  <c r="I892" i="10" s="1"/>
  <c r="B892" i="10"/>
  <c r="H892" i="10" s="1"/>
  <c r="N891" i="10"/>
  <c r="G891" i="10"/>
  <c r="C891" i="10"/>
  <c r="B891" i="10"/>
  <c r="H891" i="10" s="1"/>
  <c r="N890" i="10"/>
  <c r="H890" i="10"/>
  <c r="G890" i="10"/>
  <c r="C890" i="10"/>
  <c r="B890" i="10"/>
  <c r="N889" i="10"/>
  <c r="I889" i="10"/>
  <c r="G889" i="10"/>
  <c r="E889" i="10"/>
  <c r="C889" i="10"/>
  <c r="B889" i="10"/>
  <c r="H889" i="10" s="1"/>
  <c r="N888" i="10"/>
  <c r="G888" i="10"/>
  <c r="C888" i="10"/>
  <c r="I888" i="10" s="1"/>
  <c r="B888" i="10"/>
  <c r="H888" i="10" s="1"/>
  <c r="N887" i="10"/>
  <c r="G887" i="10"/>
  <c r="C887" i="10"/>
  <c r="B887" i="10"/>
  <c r="H887" i="10" s="1"/>
  <c r="N886" i="10"/>
  <c r="H886" i="10"/>
  <c r="G886" i="10"/>
  <c r="C886" i="10"/>
  <c r="B886" i="10"/>
  <c r="N885" i="10"/>
  <c r="I885" i="10"/>
  <c r="G885" i="10"/>
  <c r="E885" i="10"/>
  <c r="C885" i="10"/>
  <c r="B885" i="10"/>
  <c r="H885" i="10" s="1"/>
  <c r="N884" i="10"/>
  <c r="G884" i="10"/>
  <c r="C884" i="10"/>
  <c r="I884" i="10" s="1"/>
  <c r="B884" i="10"/>
  <c r="H884" i="10" s="1"/>
  <c r="N883" i="10"/>
  <c r="G883" i="10"/>
  <c r="C883" i="10"/>
  <c r="B883" i="10"/>
  <c r="H883" i="10" s="1"/>
  <c r="N882" i="10"/>
  <c r="H882" i="10"/>
  <c r="G882" i="10"/>
  <c r="C882" i="10"/>
  <c r="B882" i="10"/>
  <c r="N881" i="10"/>
  <c r="I881" i="10"/>
  <c r="G881" i="10"/>
  <c r="E881" i="10"/>
  <c r="C881" i="10"/>
  <c r="B881" i="10"/>
  <c r="H881" i="10" s="1"/>
  <c r="N880" i="10"/>
  <c r="G880" i="10"/>
  <c r="C880" i="10"/>
  <c r="I880" i="10" s="1"/>
  <c r="B880" i="10"/>
  <c r="H880" i="10" s="1"/>
  <c r="N879" i="10"/>
  <c r="G879" i="10"/>
  <c r="C879" i="10"/>
  <c r="B879" i="10"/>
  <c r="H879" i="10" s="1"/>
  <c r="N878" i="10"/>
  <c r="H878" i="10"/>
  <c r="G878" i="10"/>
  <c r="C878" i="10"/>
  <c r="B878" i="10"/>
  <c r="N877" i="10"/>
  <c r="I877" i="10"/>
  <c r="G877" i="10"/>
  <c r="E877" i="10"/>
  <c r="C877" i="10"/>
  <c r="B877" i="10"/>
  <c r="H877" i="10" s="1"/>
  <c r="N876" i="10"/>
  <c r="G876" i="10"/>
  <c r="C876" i="10"/>
  <c r="I876" i="10" s="1"/>
  <c r="B876" i="10"/>
  <c r="H876" i="10" s="1"/>
  <c r="N875" i="10"/>
  <c r="G875" i="10"/>
  <c r="C875" i="10"/>
  <c r="B875" i="10"/>
  <c r="H875" i="10" s="1"/>
  <c r="N874" i="10"/>
  <c r="H874" i="10"/>
  <c r="G874" i="10"/>
  <c r="C874" i="10"/>
  <c r="B874" i="10"/>
  <c r="N873" i="10"/>
  <c r="I873" i="10"/>
  <c r="G873" i="10"/>
  <c r="E873" i="10"/>
  <c r="C873" i="10"/>
  <c r="B873" i="10"/>
  <c r="H873" i="10" s="1"/>
  <c r="N872" i="10"/>
  <c r="G872" i="10"/>
  <c r="C872" i="10"/>
  <c r="I872" i="10" s="1"/>
  <c r="B872" i="10"/>
  <c r="H872" i="10" s="1"/>
  <c r="N871" i="10"/>
  <c r="G871" i="10"/>
  <c r="C871" i="10"/>
  <c r="B871" i="10"/>
  <c r="H871" i="10" s="1"/>
  <c r="N870" i="10"/>
  <c r="H870" i="10"/>
  <c r="G870" i="10"/>
  <c r="C870" i="10"/>
  <c r="B870" i="10"/>
  <c r="N869" i="10"/>
  <c r="I869" i="10"/>
  <c r="G869" i="10"/>
  <c r="E869" i="10"/>
  <c r="C869" i="10"/>
  <c r="B869" i="10"/>
  <c r="H869" i="10" s="1"/>
  <c r="N868" i="10"/>
  <c r="G868" i="10"/>
  <c r="C868" i="10"/>
  <c r="I868" i="10" s="1"/>
  <c r="B868" i="10"/>
  <c r="H868" i="10" s="1"/>
  <c r="N867" i="10"/>
  <c r="G867" i="10"/>
  <c r="C867" i="10"/>
  <c r="B867" i="10"/>
  <c r="H867" i="10" s="1"/>
  <c r="N866" i="10"/>
  <c r="H866" i="10"/>
  <c r="G866" i="10"/>
  <c r="C866" i="10"/>
  <c r="B866" i="10"/>
  <c r="N865" i="10"/>
  <c r="I865" i="10"/>
  <c r="G865" i="10"/>
  <c r="E865" i="10"/>
  <c r="C865" i="10"/>
  <c r="B865" i="10"/>
  <c r="H865" i="10" s="1"/>
  <c r="N864" i="10"/>
  <c r="G864" i="10"/>
  <c r="C864" i="10"/>
  <c r="I864" i="10" s="1"/>
  <c r="B864" i="10"/>
  <c r="H864" i="10" s="1"/>
  <c r="N863" i="10"/>
  <c r="G863" i="10"/>
  <c r="C863" i="10"/>
  <c r="B863" i="10"/>
  <c r="H863" i="10" s="1"/>
  <c r="N862" i="10"/>
  <c r="H862" i="10"/>
  <c r="G862" i="10"/>
  <c r="C862" i="10"/>
  <c r="B862" i="10"/>
  <c r="N861" i="10"/>
  <c r="I861" i="10"/>
  <c r="G861" i="10"/>
  <c r="E861" i="10"/>
  <c r="C861" i="10"/>
  <c r="B861" i="10"/>
  <c r="H861" i="10" s="1"/>
  <c r="N860" i="10"/>
  <c r="G860" i="10"/>
  <c r="C860" i="10"/>
  <c r="I860" i="10" s="1"/>
  <c r="B860" i="10"/>
  <c r="H860" i="10" s="1"/>
  <c r="N859" i="10"/>
  <c r="G859" i="10"/>
  <c r="C859" i="10"/>
  <c r="B859" i="10"/>
  <c r="H859" i="10" s="1"/>
  <c r="N858" i="10"/>
  <c r="H858" i="10"/>
  <c r="G858" i="10"/>
  <c r="C858" i="10"/>
  <c r="B858" i="10"/>
  <c r="N857" i="10"/>
  <c r="I857" i="10"/>
  <c r="G857" i="10"/>
  <c r="E857" i="10"/>
  <c r="C857" i="10"/>
  <c r="B857" i="10"/>
  <c r="H857" i="10" s="1"/>
  <c r="N856" i="10"/>
  <c r="G856" i="10"/>
  <c r="C856" i="10"/>
  <c r="I856" i="10" s="1"/>
  <c r="B856" i="10"/>
  <c r="H856" i="10" s="1"/>
  <c r="N855" i="10"/>
  <c r="G855" i="10"/>
  <c r="C855" i="10"/>
  <c r="B855" i="10"/>
  <c r="H855" i="10" s="1"/>
  <c r="N854" i="10"/>
  <c r="H854" i="10"/>
  <c r="G854" i="10"/>
  <c r="C854" i="10"/>
  <c r="B854" i="10"/>
  <c r="N853" i="10"/>
  <c r="I853" i="10"/>
  <c r="G853" i="10"/>
  <c r="E853" i="10"/>
  <c r="C853" i="10"/>
  <c r="B853" i="10"/>
  <c r="H853" i="10" s="1"/>
  <c r="N852" i="10"/>
  <c r="G852" i="10"/>
  <c r="C852" i="10"/>
  <c r="I852" i="10" s="1"/>
  <c r="B852" i="10"/>
  <c r="H852" i="10" s="1"/>
  <c r="N851" i="10"/>
  <c r="G851" i="10"/>
  <c r="C851" i="10"/>
  <c r="B851" i="10"/>
  <c r="H851" i="10" s="1"/>
  <c r="N850" i="10"/>
  <c r="H850" i="10"/>
  <c r="G850" i="10"/>
  <c r="C850" i="10"/>
  <c r="B850" i="10"/>
  <c r="N849" i="10"/>
  <c r="I849" i="10"/>
  <c r="G849" i="10"/>
  <c r="E849" i="10"/>
  <c r="C849" i="10"/>
  <c r="B849" i="10"/>
  <c r="H849" i="10" s="1"/>
  <c r="N848" i="10"/>
  <c r="G848" i="10"/>
  <c r="C848" i="10"/>
  <c r="I848" i="10" s="1"/>
  <c r="B848" i="10"/>
  <c r="H848" i="10" s="1"/>
  <c r="N847" i="10"/>
  <c r="G847" i="10"/>
  <c r="C847" i="10"/>
  <c r="B847" i="10"/>
  <c r="H847" i="10" s="1"/>
  <c r="N846" i="10"/>
  <c r="H846" i="10"/>
  <c r="G846" i="10"/>
  <c r="C846" i="10"/>
  <c r="B846" i="10"/>
  <c r="N845" i="10"/>
  <c r="I845" i="10"/>
  <c r="G845" i="10"/>
  <c r="E845" i="10"/>
  <c r="C845" i="10"/>
  <c r="B845" i="10"/>
  <c r="H845" i="10" s="1"/>
  <c r="N844" i="10"/>
  <c r="G844" i="10"/>
  <c r="C844" i="10"/>
  <c r="I844" i="10" s="1"/>
  <c r="B844" i="10"/>
  <c r="H844" i="10" s="1"/>
  <c r="N843" i="10"/>
  <c r="G843" i="10"/>
  <c r="C843" i="10"/>
  <c r="B843" i="10"/>
  <c r="H843" i="10" s="1"/>
  <c r="N842" i="10"/>
  <c r="H842" i="10"/>
  <c r="G842" i="10"/>
  <c r="C842" i="10"/>
  <c r="B842" i="10"/>
  <c r="N841" i="10"/>
  <c r="I841" i="10"/>
  <c r="G841" i="10"/>
  <c r="E841" i="10"/>
  <c r="C841" i="10"/>
  <c r="B841" i="10"/>
  <c r="H841" i="10" s="1"/>
  <c r="N840" i="10"/>
  <c r="G840" i="10"/>
  <c r="C840" i="10"/>
  <c r="I840" i="10" s="1"/>
  <c r="B840" i="10"/>
  <c r="H840" i="10" s="1"/>
  <c r="N839" i="10"/>
  <c r="G839" i="10"/>
  <c r="C839" i="10"/>
  <c r="B839" i="10"/>
  <c r="H839" i="10" s="1"/>
  <c r="N838" i="10"/>
  <c r="H838" i="10"/>
  <c r="G838" i="10"/>
  <c r="C838" i="10"/>
  <c r="B838" i="10"/>
  <c r="N837" i="10"/>
  <c r="I837" i="10"/>
  <c r="G837" i="10"/>
  <c r="E837" i="10"/>
  <c r="C837" i="10"/>
  <c r="B837" i="10"/>
  <c r="H837" i="10" s="1"/>
  <c r="N836" i="10"/>
  <c r="G836" i="10"/>
  <c r="C836" i="10"/>
  <c r="I836" i="10" s="1"/>
  <c r="B836" i="10"/>
  <c r="H836" i="10" s="1"/>
  <c r="N835" i="10"/>
  <c r="G835" i="10"/>
  <c r="C835" i="10"/>
  <c r="B835" i="10"/>
  <c r="H835" i="10" s="1"/>
  <c r="N834" i="10"/>
  <c r="H834" i="10"/>
  <c r="G834" i="10"/>
  <c r="C834" i="10"/>
  <c r="B834" i="10"/>
  <c r="N833" i="10"/>
  <c r="I833" i="10"/>
  <c r="G833" i="10"/>
  <c r="E833" i="10"/>
  <c r="C833" i="10"/>
  <c r="B833" i="10"/>
  <c r="H833" i="10" s="1"/>
  <c r="N832" i="10"/>
  <c r="G832" i="10"/>
  <c r="C832" i="10"/>
  <c r="I832" i="10" s="1"/>
  <c r="B832" i="10"/>
  <c r="H832" i="10" s="1"/>
  <c r="N831" i="10"/>
  <c r="G831" i="10"/>
  <c r="C831" i="10"/>
  <c r="B831" i="10"/>
  <c r="H831" i="10" s="1"/>
  <c r="N830" i="10"/>
  <c r="H830" i="10"/>
  <c r="G830" i="10"/>
  <c r="C830" i="10"/>
  <c r="B830" i="10"/>
  <c r="N829" i="10"/>
  <c r="I829" i="10"/>
  <c r="G829" i="10"/>
  <c r="E829" i="10"/>
  <c r="C829" i="10"/>
  <c r="B829" i="10"/>
  <c r="H829" i="10" s="1"/>
  <c r="N828" i="10"/>
  <c r="G828" i="10"/>
  <c r="C828" i="10"/>
  <c r="I828" i="10" s="1"/>
  <c r="B828" i="10"/>
  <c r="H828" i="10" s="1"/>
  <c r="N827" i="10"/>
  <c r="G827" i="10"/>
  <c r="C827" i="10"/>
  <c r="B827" i="10"/>
  <c r="H827" i="10" s="1"/>
  <c r="N826" i="10"/>
  <c r="H826" i="10"/>
  <c r="G826" i="10"/>
  <c r="C826" i="10"/>
  <c r="B826" i="10"/>
  <c r="N825" i="10"/>
  <c r="I825" i="10"/>
  <c r="G825" i="10"/>
  <c r="E825" i="10"/>
  <c r="C825" i="10"/>
  <c r="B825" i="10"/>
  <c r="H825" i="10" s="1"/>
  <c r="N824" i="10"/>
  <c r="G824" i="10"/>
  <c r="C824" i="10"/>
  <c r="I824" i="10" s="1"/>
  <c r="B824" i="10"/>
  <c r="H824" i="10" s="1"/>
  <c r="N823" i="10"/>
  <c r="G823" i="10"/>
  <c r="C823" i="10"/>
  <c r="B823" i="10"/>
  <c r="H823" i="10" s="1"/>
  <c r="N822" i="10"/>
  <c r="H822" i="10"/>
  <c r="G822" i="10"/>
  <c r="C822" i="10"/>
  <c r="B822" i="10"/>
  <c r="N821" i="10"/>
  <c r="I821" i="10"/>
  <c r="G821" i="10"/>
  <c r="E821" i="10"/>
  <c r="C821" i="10"/>
  <c r="B821" i="10"/>
  <c r="H821" i="10" s="1"/>
  <c r="N820" i="10"/>
  <c r="G820" i="10"/>
  <c r="C820" i="10"/>
  <c r="I820" i="10" s="1"/>
  <c r="B820" i="10"/>
  <c r="H820" i="10" s="1"/>
  <c r="N819" i="10"/>
  <c r="G819" i="10"/>
  <c r="C819" i="10"/>
  <c r="B819" i="10"/>
  <c r="H819" i="10" s="1"/>
  <c r="N818" i="10"/>
  <c r="H818" i="10"/>
  <c r="G818" i="10"/>
  <c r="C818" i="10"/>
  <c r="B818" i="10"/>
  <c r="N817" i="10"/>
  <c r="I817" i="10"/>
  <c r="H817" i="10"/>
  <c r="G817" i="10"/>
  <c r="E817" i="10"/>
  <c r="C817" i="10"/>
  <c r="B817" i="10"/>
  <c r="N816" i="10"/>
  <c r="G816" i="10"/>
  <c r="C816" i="10"/>
  <c r="I816" i="10" s="1"/>
  <c r="B816" i="10"/>
  <c r="H816" i="10" s="1"/>
  <c r="N815" i="10"/>
  <c r="G815" i="10"/>
  <c r="C815" i="10"/>
  <c r="B815" i="10"/>
  <c r="H815" i="10" s="1"/>
  <c r="N814" i="10"/>
  <c r="H814" i="10"/>
  <c r="G814" i="10"/>
  <c r="C814" i="10"/>
  <c r="B814" i="10"/>
  <c r="N813" i="10"/>
  <c r="I813" i="10"/>
  <c r="G813" i="10"/>
  <c r="E813" i="10"/>
  <c r="C813" i="10"/>
  <c r="B813" i="10"/>
  <c r="H813" i="10" s="1"/>
  <c r="N812" i="10"/>
  <c r="G812" i="10"/>
  <c r="C812" i="10"/>
  <c r="I812" i="10" s="1"/>
  <c r="B812" i="10"/>
  <c r="H812" i="10" s="1"/>
  <c r="N811" i="10"/>
  <c r="G811" i="10"/>
  <c r="C811" i="10"/>
  <c r="B811" i="10"/>
  <c r="H811" i="10" s="1"/>
  <c r="N810" i="10"/>
  <c r="H810" i="10"/>
  <c r="G810" i="10"/>
  <c r="C810" i="10"/>
  <c r="B810" i="10"/>
  <c r="N809" i="10"/>
  <c r="I809" i="10"/>
  <c r="G809" i="10"/>
  <c r="E809" i="10"/>
  <c r="C809" i="10"/>
  <c r="B809" i="10"/>
  <c r="H809" i="10" s="1"/>
  <c r="N808" i="10"/>
  <c r="G808" i="10"/>
  <c r="C808" i="10"/>
  <c r="I808" i="10" s="1"/>
  <c r="B808" i="10"/>
  <c r="H808" i="10" s="1"/>
  <c r="N807" i="10"/>
  <c r="G807" i="10"/>
  <c r="C807" i="10"/>
  <c r="B807" i="10"/>
  <c r="H807" i="10" s="1"/>
  <c r="N806" i="10"/>
  <c r="H806" i="10"/>
  <c r="G806" i="10"/>
  <c r="C806" i="10"/>
  <c r="B806" i="10"/>
  <c r="N805" i="10"/>
  <c r="I805" i="10"/>
  <c r="H805" i="10"/>
  <c r="G805" i="10"/>
  <c r="E805" i="10"/>
  <c r="C805" i="10"/>
  <c r="B805" i="10"/>
  <c r="N804" i="10"/>
  <c r="G804" i="10"/>
  <c r="C804" i="10"/>
  <c r="I804" i="10" s="1"/>
  <c r="B804" i="10"/>
  <c r="H804" i="10" s="1"/>
  <c r="N803" i="10"/>
  <c r="G803" i="10"/>
  <c r="C803" i="10"/>
  <c r="B803" i="10"/>
  <c r="H803" i="10" s="1"/>
  <c r="N802" i="10"/>
  <c r="H802" i="10"/>
  <c r="G802" i="10"/>
  <c r="C802" i="10"/>
  <c r="B802" i="10"/>
  <c r="N801" i="10"/>
  <c r="I801" i="10"/>
  <c r="H801" i="10"/>
  <c r="G801" i="10"/>
  <c r="E801" i="10"/>
  <c r="C801" i="10"/>
  <c r="B801" i="10"/>
  <c r="N800" i="10"/>
  <c r="G800" i="10"/>
  <c r="C800" i="10"/>
  <c r="I800" i="10" s="1"/>
  <c r="B800" i="10"/>
  <c r="H800" i="10" s="1"/>
  <c r="N799" i="10"/>
  <c r="G799" i="10"/>
  <c r="C799" i="10"/>
  <c r="B799" i="10"/>
  <c r="H799" i="10" s="1"/>
  <c r="N798" i="10"/>
  <c r="H798" i="10"/>
  <c r="G798" i="10"/>
  <c r="C798" i="10"/>
  <c r="B798" i="10"/>
  <c r="N797" i="10"/>
  <c r="I797" i="10"/>
  <c r="G797" i="10"/>
  <c r="E797" i="10"/>
  <c r="C797" i="10"/>
  <c r="B797" i="10"/>
  <c r="H797" i="10" s="1"/>
  <c r="N796" i="10"/>
  <c r="G796" i="10"/>
  <c r="C796" i="10"/>
  <c r="I796" i="10" s="1"/>
  <c r="B796" i="10"/>
  <c r="H796" i="10" s="1"/>
  <c r="N795" i="10"/>
  <c r="G795" i="10"/>
  <c r="C795" i="10"/>
  <c r="B795" i="10"/>
  <c r="H795" i="10" s="1"/>
  <c r="N794" i="10"/>
  <c r="H794" i="10"/>
  <c r="G794" i="10"/>
  <c r="C794" i="10"/>
  <c r="B794" i="10"/>
  <c r="N793" i="10"/>
  <c r="I793" i="10"/>
  <c r="H793" i="10"/>
  <c r="G793" i="10"/>
  <c r="E793" i="10"/>
  <c r="C793" i="10"/>
  <c r="B793" i="10"/>
  <c r="N792" i="10"/>
  <c r="G792" i="10"/>
  <c r="C792" i="10"/>
  <c r="I792" i="10" s="1"/>
  <c r="B792" i="10"/>
  <c r="H792" i="10" s="1"/>
  <c r="N791" i="10"/>
  <c r="C791" i="10"/>
  <c r="B791" i="10"/>
  <c r="H791" i="10" s="1"/>
  <c r="N790" i="10"/>
  <c r="H790" i="10"/>
  <c r="C790" i="10"/>
  <c r="B790" i="10"/>
  <c r="N789" i="10"/>
  <c r="I789" i="10"/>
  <c r="H789" i="10"/>
  <c r="E789" i="10"/>
  <c r="C789" i="10"/>
  <c r="B789" i="10"/>
  <c r="N788" i="10"/>
  <c r="C788" i="10"/>
  <c r="I788" i="10" s="1"/>
  <c r="B788" i="10"/>
  <c r="H788" i="10" s="1"/>
  <c r="C787" i="10"/>
  <c r="B787" i="10"/>
  <c r="H787" i="10" s="1"/>
  <c r="H786" i="10"/>
  <c r="C786" i="10"/>
  <c r="B786" i="10"/>
  <c r="I785" i="10"/>
  <c r="H785" i="10"/>
  <c r="E785" i="10"/>
  <c r="C785" i="10"/>
  <c r="B785" i="10"/>
  <c r="C784" i="10"/>
  <c r="I784" i="10" s="1"/>
  <c r="B784" i="10"/>
  <c r="H784" i="10" s="1"/>
  <c r="C783" i="10"/>
  <c r="B783" i="10"/>
  <c r="H783" i="10" s="1"/>
  <c r="H782" i="10"/>
  <c r="C782" i="10"/>
  <c r="B782" i="10"/>
  <c r="N781" i="10"/>
  <c r="I781" i="10"/>
  <c r="E781" i="10"/>
  <c r="C781" i="10"/>
  <c r="B781" i="10"/>
  <c r="H781" i="10" s="1"/>
  <c r="N780" i="10"/>
  <c r="C780" i="10"/>
  <c r="I780" i="10" s="1"/>
  <c r="B780" i="10"/>
  <c r="H780" i="10" s="1"/>
  <c r="N779" i="10"/>
  <c r="C779" i="10"/>
  <c r="B779" i="10"/>
  <c r="H779" i="10" s="1"/>
  <c r="N778" i="10"/>
  <c r="H778" i="10"/>
  <c r="C778" i="10"/>
  <c r="B778" i="10"/>
  <c r="N777" i="10"/>
  <c r="I777" i="10"/>
  <c r="E777" i="10"/>
  <c r="C777" i="10"/>
  <c r="B777" i="10"/>
  <c r="H777" i="10" s="1"/>
  <c r="N776" i="10"/>
  <c r="C776" i="10"/>
  <c r="I776" i="10" s="1"/>
  <c r="B776" i="10"/>
  <c r="H776" i="10" s="1"/>
  <c r="N775" i="10"/>
  <c r="C775" i="10"/>
  <c r="B775" i="10"/>
  <c r="H775" i="10" s="1"/>
  <c r="N774" i="10"/>
  <c r="H774" i="10"/>
  <c r="C774" i="10"/>
  <c r="B774" i="10"/>
  <c r="N773" i="10"/>
  <c r="I773" i="10"/>
  <c r="E773" i="10"/>
  <c r="C773" i="10"/>
  <c r="B773" i="10"/>
  <c r="H773" i="10" s="1"/>
  <c r="N772" i="10"/>
  <c r="C772" i="10"/>
  <c r="I772" i="10" s="1"/>
  <c r="B772" i="10"/>
  <c r="H772" i="10" s="1"/>
  <c r="N771" i="10"/>
  <c r="C771" i="10"/>
  <c r="B771" i="10"/>
  <c r="H771" i="10" s="1"/>
  <c r="N770" i="10"/>
  <c r="H770" i="10"/>
  <c r="C770" i="10"/>
  <c r="B770" i="10"/>
  <c r="N769" i="10"/>
  <c r="I769" i="10"/>
  <c r="E769" i="10"/>
  <c r="C769" i="10"/>
  <c r="B769" i="10"/>
  <c r="H769" i="10" s="1"/>
  <c r="N768" i="10"/>
  <c r="C768" i="10"/>
  <c r="I768" i="10" s="1"/>
  <c r="B768" i="10"/>
  <c r="H768" i="10" s="1"/>
  <c r="N767" i="10"/>
  <c r="C767" i="10"/>
  <c r="B767" i="10"/>
  <c r="H767" i="10" s="1"/>
  <c r="N766" i="10"/>
  <c r="H766" i="10"/>
  <c r="C766" i="10"/>
  <c r="B766" i="10"/>
  <c r="N765" i="10"/>
  <c r="I765" i="10"/>
  <c r="E765" i="10"/>
  <c r="C765" i="10"/>
  <c r="B765" i="10"/>
  <c r="H765" i="10" s="1"/>
  <c r="N764" i="10"/>
  <c r="C764" i="10"/>
  <c r="I764" i="10" s="1"/>
  <c r="B764" i="10"/>
  <c r="H764" i="10" s="1"/>
  <c r="N763" i="10"/>
  <c r="C763" i="10"/>
  <c r="B763" i="10"/>
  <c r="H763" i="10" s="1"/>
  <c r="N762" i="10"/>
  <c r="H762" i="10"/>
  <c r="C762" i="10"/>
  <c r="B762" i="10"/>
  <c r="N761" i="10"/>
  <c r="I761" i="10"/>
  <c r="E761" i="10"/>
  <c r="C761" i="10"/>
  <c r="B761" i="10"/>
  <c r="H761" i="10" s="1"/>
  <c r="N760" i="10"/>
  <c r="C760" i="10"/>
  <c r="I760" i="10" s="1"/>
  <c r="B760" i="10"/>
  <c r="H760" i="10" s="1"/>
  <c r="N759" i="10"/>
  <c r="C759" i="10"/>
  <c r="B759" i="10"/>
  <c r="H759" i="10" s="1"/>
  <c r="N758" i="10"/>
  <c r="H758" i="10"/>
  <c r="C758" i="10"/>
  <c r="B758" i="10"/>
  <c r="N757" i="10"/>
  <c r="I757" i="10"/>
  <c r="E757" i="10"/>
  <c r="C757" i="10"/>
  <c r="B757" i="10"/>
  <c r="H757" i="10" s="1"/>
  <c r="N756" i="10"/>
  <c r="C756" i="10"/>
  <c r="I756" i="10" s="1"/>
  <c r="B756" i="10"/>
  <c r="H756" i="10" s="1"/>
  <c r="N755" i="10"/>
  <c r="C755" i="10"/>
  <c r="B755" i="10"/>
  <c r="H755" i="10" s="1"/>
  <c r="N754" i="10"/>
  <c r="H754" i="10"/>
  <c r="C754" i="10"/>
  <c r="B754" i="10"/>
  <c r="N753" i="10"/>
  <c r="I753" i="10"/>
  <c r="E753" i="10"/>
  <c r="C753" i="10"/>
  <c r="B753" i="10"/>
  <c r="H753" i="10" s="1"/>
  <c r="N752" i="10"/>
  <c r="C752" i="10"/>
  <c r="I752" i="10" s="1"/>
  <c r="B752" i="10"/>
  <c r="H752" i="10" s="1"/>
  <c r="N751" i="10"/>
  <c r="C751" i="10"/>
  <c r="B751" i="10"/>
  <c r="H751" i="10" s="1"/>
  <c r="N750" i="10"/>
  <c r="H750" i="10"/>
  <c r="C750" i="10"/>
  <c r="B750" i="10"/>
  <c r="N749" i="10"/>
  <c r="I749" i="10"/>
  <c r="E749" i="10"/>
  <c r="C749" i="10"/>
  <c r="B749" i="10"/>
  <c r="H749" i="10" s="1"/>
  <c r="N748" i="10"/>
  <c r="C748" i="10"/>
  <c r="I748" i="10" s="1"/>
  <c r="B748" i="10"/>
  <c r="H748" i="10" s="1"/>
  <c r="N747" i="10"/>
  <c r="C747" i="10"/>
  <c r="B747" i="10"/>
  <c r="H747" i="10" s="1"/>
  <c r="N746" i="10"/>
  <c r="H746" i="10"/>
  <c r="C746" i="10"/>
  <c r="B746" i="10"/>
  <c r="N745" i="10"/>
  <c r="I745" i="10"/>
  <c r="E745" i="10"/>
  <c r="C745" i="10"/>
  <c r="B745" i="10"/>
  <c r="H745" i="10" s="1"/>
  <c r="N744" i="10"/>
  <c r="C744" i="10"/>
  <c r="I744" i="10" s="1"/>
  <c r="B744" i="10"/>
  <c r="H744" i="10" s="1"/>
  <c r="N743" i="10"/>
  <c r="C743" i="10"/>
  <c r="B743" i="10"/>
  <c r="H743" i="10" s="1"/>
  <c r="N742" i="10"/>
  <c r="H742" i="10"/>
  <c r="C742" i="10"/>
  <c r="B742" i="10"/>
  <c r="N741" i="10"/>
  <c r="I741" i="10"/>
  <c r="E741" i="10"/>
  <c r="C741" i="10"/>
  <c r="B741" i="10"/>
  <c r="H741" i="10" s="1"/>
  <c r="N740" i="10"/>
  <c r="C740" i="10"/>
  <c r="I740" i="10" s="1"/>
  <c r="B740" i="10"/>
  <c r="H740" i="10" s="1"/>
  <c r="N739" i="10"/>
  <c r="C739" i="10"/>
  <c r="B739" i="10"/>
  <c r="H739" i="10" s="1"/>
  <c r="N738" i="10"/>
  <c r="H738" i="10"/>
  <c r="C738" i="10"/>
  <c r="B738" i="10"/>
  <c r="N737" i="10"/>
  <c r="I737" i="10"/>
  <c r="E737" i="10"/>
  <c r="C737" i="10"/>
  <c r="B737" i="10"/>
  <c r="H737" i="10" s="1"/>
  <c r="N736" i="10"/>
  <c r="C736" i="10"/>
  <c r="I736" i="10" s="1"/>
  <c r="B736" i="10"/>
  <c r="H736" i="10" s="1"/>
  <c r="N735" i="10"/>
  <c r="C735" i="10"/>
  <c r="B735" i="10"/>
  <c r="H735" i="10" s="1"/>
  <c r="N734" i="10"/>
  <c r="H734" i="10"/>
  <c r="C734" i="10"/>
  <c r="B734" i="10"/>
  <c r="N733" i="10"/>
  <c r="I733" i="10"/>
  <c r="E733" i="10"/>
  <c r="C733" i="10"/>
  <c r="B733" i="10"/>
  <c r="H733" i="10" s="1"/>
  <c r="N732" i="10"/>
  <c r="C732" i="10"/>
  <c r="I732" i="10" s="1"/>
  <c r="B732" i="10"/>
  <c r="H732" i="10" s="1"/>
  <c r="N731" i="10"/>
  <c r="C731" i="10"/>
  <c r="B731" i="10"/>
  <c r="H731" i="10" s="1"/>
  <c r="N730" i="10"/>
  <c r="H730" i="10"/>
  <c r="C730" i="10"/>
  <c r="B730" i="10"/>
  <c r="N729" i="10"/>
  <c r="I729" i="10"/>
  <c r="E729" i="10"/>
  <c r="C729" i="10"/>
  <c r="B729" i="10"/>
  <c r="H729" i="10" s="1"/>
  <c r="N728" i="10"/>
  <c r="C728" i="10"/>
  <c r="I728" i="10" s="1"/>
  <c r="B728" i="10"/>
  <c r="H728" i="10" s="1"/>
  <c r="N727" i="10"/>
  <c r="C727" i="10"/>
  <c r="B727" i="10"/>
  <c r="H727" i="10" s="1"/>
  <c r="N726" i="10"/>
  <c r="H726" i="10"/>
  <c r="C726" i="10"/>
  <c r="B726" i="10"/>
  <c r="N725" i="10"/>
  <c r="I725" i="10"/>
  <c r="E725" i="10"/>
  <c r="C725" i="10"/>
  <c r="B725" i="10"/>
  <c r="H725" i="10" s="1"/>
  <c r="N724" i="10"/>
  <c r="C724" i="10"/>
  <c r="I724" i="10" s="1"/>
  <c r="B724" i="10"/>
  <c r="H724" i="10" s="1"/>
  <c r="N723" i="10"/>
  <c r="C723" i="10"/>
  <c r="B723" i="10"/>
  <c r="H723" i="10" s="1"/>
  <c r="N722" i="10"/>
  <c r="H722" i="10"/>
  <c r="C722" i="10"/>
  <c r="B722" i="10"/>
  <c r="N721" i="10"/>
  <c r="I721" i="10"/>
  <c r="E721" i="10"/>
  <c r="C721" i="10"/>
  <c r="B721" i="10"/>
  <c r="H721" i="10" s="1"/>
  <c r="N720" i="10"/>
  <c r="C720" i="10"/>
  <c r="I720" i="10" s="1"/>
  <c r="B720" i="10"/>
  <c r="H720" i="10" s="1"/>
  <c r="N719" i="10"/>
  <c r="C719" i="10"/>
  <c r="B719" i="10"/>
  <c r="H719" i="10" s="1"/>
  <c r="N718" i="10"/>
  <c r="H718" i="10"/>
  <c r="C718" i="10"/>
  <c r="B718" i="10"/>
  <c r="N717" i="10"/>
  <c r="I717" i="10"/>
  <c r="E717" i="10"/>
  <c r="C717" i="10"/>
  <c r="B717" i="10"/>
  <c r="H717" i="10" s="1"/>
  <c r="N716" i="10"/>
  <c r="C716" i="10"/>
  <c r="I716" i="10" s="1"/>
  <c r="B716" i="10"/>
  <c r="H716" i="10" s="1"/>
  <c r="N715" i="10"/>
  <c r="C715" i="10"/>
  <c r="B715" i="10"/>
  <c r="H715" i="10" s="1"/>
  <c r="N714" i="10"/>
  <c r="H714" i="10"/>
  <c r="C714" i="10"/>
  <c r="B714" i="10"/>
  <c r="N713" i="10"/>
  <c r="I713" i="10"/>
  <c r="E713" i="10"/>
  <c r="C713" i="10"/>
  <c r="B713" i="10"/>
  <c r="H713" i="10" s="1"/>
  <c r="N712" i="10"/>
  <c r="C712" i="10"/>
  <c r="I712" i="10" s="1"/>
  <c r="B712" i="10"/>
  <c r="H712" i="10" s="1"/>
  <c r="N711" i="10"/>
  <c r="C711" i="10"/>
  <c r="B711" i="10"/>
  <c r="H711" i="10" s="1"/>
  <c r="N710" i="10"/>
  <c r="H710" i="10"/>
  <c r="C710" i="10"/>
  <c r="B710" i="10"/>
  <c r="N709" i="10"/>
  <c r="I709" i="10"/>
  <c r="E709" i="10"/>
  <c r="C709" i="10"/>
  <c r="B709" i="10"/>
  <c r="H709" i="10" s="1"/>
  <c r="N708" i="10"/>
  <c r="C708" i="10"/>
  <c r="I708" i="10" s="1"/>
  <c r="B708" i="10"/>
  <c r="H708" i="10" s="1"/>
  <c r="N707" i="10"/>
  <c r="C707" i="10"/>
  <c r="B707" i="10"/>
  <c r="H707" i="10" s="1"/>
  <c r="N706" i="10"/>
  <c r="H706" i="10"/>
  <c r="C706" i="10"/>
  <c r="B706" i="10"/>
  <c r="N705" i="10"/>
  <c r="I705" i="10"/>
  <c r="E705" i="10"/>
  <c r="C705" i="10"/>
  <c r="B705" i="10"/>
  <c r="H705" i="10" s="1"/>
  <c r="N704" i="10"/>
  <c r="C704" i="10"/>
  <c r="I704" i="10" s="1"/>
  <c r="B704" i="10"/>
  <c r="H704" i="10" s="1"/>
  <c r="N703" i="10"/>
  <c r="C703" i="10"/>
  <c r="B703" i="10"/>
  <c r="H703" i="10" s="1"/>
  <c r="N702" i="10"/>
  <c r="H702" i="10"/>
  <c r="C702" i="10"/>
  <c r="B702" i="10"/>
  <c r="N701" i="10"/>
  <c r="I701" i="10"/>
  <c r="E701" i="10"/>
  <c r="C701" i="10"/>
  <c r="B701" i="10"/>
  <c r="H701" i="10" s="1"/>
  <c r="N700" i="10"/>
  <c r="C700" i="10"/>
  <c r="I700" i="10" s="1"/>
  <c r="B700" i="10"/>
  <c r="H700" i="10" s="1"/>
  <c r="N699" i="10"/>
  <c r="C699" i="10"/>
  <c r="B699" i="10"/>
  <c r="H699" i="10" s="1"/>
  <c r="N698" i="10"/>
  <c r="H698" i="10"/>
  <c r="C698" i="10"/>
  <c r="B698" i="10"/>
  <c r="N697" i="10"/>
  <c r="I697" i="10"/>
  <c r="E697" i="10"/>
  <c r="C697" i="10"/>
  <c r="B697" i="10"/>
  <c r="H697" i="10" s="1"/>
  <c r="N696" i="10"/>
  <c r="C696" i="10"/>
  <c r="I696" i="10" s="1"/>
  <c r="B696" i="10"/>
  <c r="H696" i="10" s="1"/>
  <c r="N695" i="10"/>
  <c r="C695" i="10"/>
  <c r="B695" i="10"/>
  <c r="H695" i="10" s="1"/>
  <c r="N694" i="10"/>
  <c r="H694" i="10"/>
  <c r="C694" i="10"/>
  <c r="B694" i="10"/>
  <c r="N693" i="10"/>
  <c r="I693" i="10"/>
  <c r="E693" i="10"/>
  <c r="C693" i="10"/>
  <c r="B693" i="10"/>
  <c r="H693" i="10" s="1"/>
  <c r="N692" i="10"/>
  <c r="C692" i="10"/>
  <c r="I692" i="10" s="1"/>
  <c r="B692" i="10"/>
  <c r="H692" i="10" s="1"/>
  <c r="N691" i="10"/>
  <c r="C691" i="10"/>
  <c r="B691" i="10"/>
  <c r="H691" i="10" s="1"/>
  <c r="N690" i="10"/>
  <c r="H690" i="10"/>
  <c r="C690" i="10"/>
  <c r="B690" i="10"/>
  <c r="N689" i="10"/>
  <c r="I689" i="10"/>
  <c r="E689" i="10"/>
  <c r="C689" i="10"/>
  <c r="B689" i="10"/>
  <c r="H689" i="10" s="1"/>
  <c r="N688" i="10"/>
  <c r="C688" i="10"/>
  <c r="I688" i="10" s="1"/>
  <c r="B688" i="10"/>
  <c r="H688" i="10" s="1"/>
  <c r="N687" i="10"/>
  <c r="C687" i="10"/>
  <c r="B687" i="10"/>
  <c r="H687" i="10" s="1"/>
  <c r="N686" i="10"/>
  <c r="H686" i="10"/>
  <c r="C686" i="10"/>
  <c r="B686" i="10"/>
  <c r="N685" i="10"/>
  <c r="I685" i="10"/>
  <c r="E685" i="10"/>
  <c r="C685" i="10"/>
  <c r="B685" i="10"/>
  <c r="H685" i="10" s="1"/>
  <c r="N684" i="10"/>
  <c r="C684" i="10"/>
  <c r="I684" i="10" s="1"/>
  <c r="B684" i="10"/>
  <c r="H684" i="10" s="1"/>
  <c r="N683" i="10"/>
  <c r="C683" i="10"/>
  <c r="B683" i="10"/>
  <c r="H683" i="10" s="1"/>
  <c r="N682" i="10"/>
  <c r="H682" i="10"/>
  <c r="C682" i="10"/>
  <c r="B682" i="10"/>
  <c r="N681" i="10"/>
  <c r="I681" i="10"/>
  <c r="E681" i="10"/>
  <c r="C681" i="10"/>
  <c r="B681" i="10"/>
  <c r="H681" i="10" s="1"/>
  <c r="N680" i="10"/>
  <c r="C680" i="10"/>
  <c r="I680" i="10" s="1"/>
  <c r="B680" i="10"/>
  <c r="H680" i="10" s="1"/>
  <c r="N679" i="10"/>
  <c r="C679" i="10"/>
  <c r="B679" i="10"/>
  <c r="H679" i="10" s="1"/>
  <c r="N678" i="10"/>
  <c r="H678" i="10"/>
  <c r="C678" i="10"/>
  <c r="B678" i="10"/>
  <c r="N677" i="10"/>
  <c r="I677" i="10"/>
  <c r="E677" i="10"/>
  <c r="C677" i="10"/>
  <c r="B677" i="10"/>
  <c r="H677" i="10" s="1"/>
  <c r="N676" i="10"/>
  <c r="C676" i="10"/>
  <c r="I676" i="10" s="1"/>
  <c r="B676" i="10"/>
  <c r="H676" i="10" s="1"/>
  <c r="N675" i="10"/>
  <c r="C675" i="10"/>
  <c r="B675" i="10"/>
  <c r="H675" i="10" s="1"/>
  <c r="N674" i="10"/>
  <c r="H674" i="10"/>
  <c r="C674" i="10"/>
  <c r="B674" i="10"/>
  <c r="N673" i="10"/>
  <c r="I673" i="10"/>
  <c r="E673" i="10"/>
  <c r="C673" i="10"/>
  <c r="B673" i="10"/>
  <c r="H673" i="10" s="1"/>
  <c r="N672" i="10"/>
  <c r="C672" i="10"/>
  <c r="I672" i="10" s="1"/>
  <c r="B672" i="10"/>
  <c r="H672" i="10" s="1"/>
  <c r="N671" i="10"/>
  <c r="C671" i="10"/>
  <c r="B671" i="10"/>
  <c r="H671" i="10" s="1"/>
  <c r="N670" i="10"/>
  <c r="H670" i="10"/>
  <c r="C670" i="10"/>
  <c r="B670" i="10"/>
  <c r="N669" i="10"/>
  <c r="I669" i="10"/>
  <c r="E669" i="10"/>
  <c r="C669" i="10"/>
  <c r="B669" i="10"/>
  <c r="H669" i="10" s="1"/>
  <c r="N668" i="10"/>
  <c r="C668" i="10"/>
  <c r="I668" i="10" s="1"/>
  <c r="B668" i="10"/>
  <c r="H668" i="10" s="1"/>
  <c r="N667" i="10"/>
  <c r="C667" i="10"/>
  <c r="B667" i="10"/>
  <c r="H667" i="10" s="1"/>
  <c r="N666" i="10"/>
  <c r="H666" i="10"/>
  <c r="C666" i="10"/>
  <c r="B666" i="10"/>
  <c r="N665" i="10"/>
  <c r="I665" i="10"/>
  <c r="E665" i="10"/>
  <c r="C665" i="10"/>
  <c r="B665" i="10"/>
  <c r="H665" i="10" s="1"/>
  <c r="N664" i="10"/>
  <c r="C664" i="10"/>
  <c r="I664" i="10" s="1"/>
  <c r="B664" i="10"/>
  <c r="H664" i="10" s="1"/>
  <c r="N663" i="10"/>
  <c r="C663" i="10"/>
  <c r="B663" i="10"/>
  <c r="H663" i="10" s="1"/>
  <c r="N662" i="10"/>
  <c r="H662" i="10"/>
  <c r="C662" i="10"/>
  <c r="B662" i="10"/>
  <c r="N661" i="10"/>
  <c r="I661" i="10"/>
  <c r="E661" i="10"/>
  <c r="C661" i="10"/>
  <c r="B661" i="10"/>
  <c r="H661" i="10" s="1"/>
  <c r="N660" i="10"/>
  <c r="C660" i="10"/>
  <c r="I660" i="10" s="1"/>
  <c r="B660" i="10"/>
  <c r="H660" i="10" s="1"/>
  <c r="N659" i="10"/>
  <c r="C659" i="10"/>
  <c r="B659" i="10"/>
  <c r="H659" i="10" s="1"/>
  <c r="N658" i="10"/>
  <c r="H658" i="10"/>
  <c r="C658" i="10"/>
  <c r="B658" i="10"/>
  <c r="N657" i="10"/>
  <c r="I657" i="10"/>
  <c r="E657" i="10"/>
  <c r="C657" i="10"/>
  <c r="B657" i="10"/>
  <c r="H657" i="10" s="1"/>
  <c r="N656" i="10"/>
  <c r="C656" i="10"/>
  <c r="I656" i="10" s="1"/>
  <c r="B656" i="10"/>
  <c r="H656" i="10" s="1"/>
  <c r="N655" i="10"/>
  <c r="C655" i="10"/>
  <c r="B655" i="10"/>
  <c r="H655" i="10" s="1"/>
  <c r="N654" i="10"/>
  <c r="H654" i="10"/>
  <c r="C654" i="10"/>
  <c r="B654" i="10"/>
  <c r="N653" i="10"/>
  <c r="I653" i="10"/>
  <c r="E653" i="10"/>
  <c r="C653" i="10"/>
  <c r="B653" i="10"/>
  <c r="H653" i="10" s="1"/>
  <c r="N652" i="10"/>
  <c r="C652" i="10"/>
  <c r="I652" i="10" s="1"/>
  <c r="B652" i="10"/>
  <c r="H652" i="10" s="1"/>
  <c r="N651" i="10"/>
  <c r="C651" i="10"/>
  <c r="B651" i="10"/>
  <c r="H651" i="10" s="1"/>
  <c r="N650" i="10"/>
  <c r="H650" i="10"/>
  <c r="C650" i="10"/>
  <c r="B650" i="10"/>
  <c r="N649" i="10"/>
  <c r="I649" i="10"/>
  <c r="E649" i="10"/>
  <c r="C649" i="10"/>
  <c r="B649" i="10"/>
  <c r="H649" i="10" s="1"/>
  <c r="N648" i="10"/>
  <c r="C648" i="10"/>
  <c r="I648" i="10" s="1"/>
  <c r="B648" i="10"/>
  <c r="H648" i="10" s="1"/>
  <c r="N647" i="10"/>
  <c r="C647" i="10"/>
  <c r="B647" i="10"/>
  <c r="H647" i="10" s="1"/>
  <c r="N646" i="10"/>
  <c r="H646" i="10"/>
  <c r="C646" i="10"/>
  <c r="B646" i="10"/>
  <c r="N645" i="10"/>
  <c r="I645" i="10"/>
  <c r="E645" i="10"/>
  <c r="C645" i="10"/>
  <c r="B645" i="10"/>
  <c r="H645" i="10" s="1"/>
  <c r="N644" i="10"/>
  <c r="C644" i="10"/>
  <c r="I644" i="10" s="1"/>
  <c r="B644" i="10"/>
  <c r="H644" i="10" s="1"/>
  <c r="N643" i="10"/>
  <c r="C643" i="10"/>
  <c r="B643" i="10"/>
  <c r="H643" i="10" s="1"/>
  <c r="N642" i="10"/>
  <c r="H642" i="10"/>
  <c r="C642" i="10"/>
  <c r="B642" i="10"/>
  <c r="N641" i="10"/>
  <c r="I641" i="10"/>
  <c r="E641" i="10"/>
  <c r="C641" i="10"/>
  <c r="B641" i="10"/>
  <c r="H641" i="10" s="1"/>
  <c r="N640" i="10"/>
  <c r="C640" i="10"/>
  <c r="I640" i="10" s="1"/>
  <c r="B640" i="10"/>
  <c r="H640" i="10" s="1"/>
  <c r="N639" i="10"/>
  <c r="C639" i="10"/>
  <c r="B639" i="10"/>
  <c r="H639" i="10" s="1"/>
  <c r="N638" i="10"/>
  <c r="H638" i="10"/>
  <c r="C638" i="10"/>
  <c r="B638" i="10"/>
  <c r="N637" i="10"/>
  <c r="I637" i="10"/>
  <c r="E637" i="10"/>
  <c r="C637" i="10"/>
  <c r="B637" i="10"/>
  <c r="H637" i="10" s="1"/>
  <c r="N636" i="10"/>
  <c r="C636" i="10"/>
  <c r="I636" i="10" s="1"/>
  <c r="B636" i="10"/>
  <c r="H636" i="10" s="1"/>
  <c r="N635" i="10"/>
  <c r="C635" i="10"/>
  <c r="B635" i="10"/>
  <c r="H635" i="10" s="1"/>
  <c r="N634" i="10"/>
  <c r="H634" i="10"/>
  <c r="C634" i="10"/>
  <c r="B634" i="10"/>
  <c r="N633" i="10"/>
  <c r="I633" i="10"/>
  <c r="E633" i="10"/>
  <c r="C633" i="10"/>
  <c r="B633" i="10"/>
  <c r="H633" i="10" s="1"/>
  <c r="N632" i="10"/>
  <c r="C632" i="10"/>
  <c r="I632" i="10" s="1"/>
  <c r="B632" i="10"/>
  <c r="H632" i="10" s="1"/>
  <c r="N631" i="10"/>
  <c r="C631" i="10"/>
  <c r="B631" i="10"/>
  <c r="H631" i="10" s="1"/>
  <c r="N630" i="10"/>
  <c r="H630" i="10"/>
  <c r="C630" i="10"/>
  <c r="B630" i="10"/>
  <c r="N629" i="10"/>
  <c r="I629" i="10"/>
  <c r="E629" i="10"/>
  <c r="C629" i="10"/>
  <c r="B629" i="10"/>
  <c r="H629" i="10" s="1"/>
  <c r="N628" i="10"/>
  <c r="C628" i="10"/>
  <c r="I628" i="10" s="1"/>
  <c r="B628" i="10"/>
  <c r="H628" i="10" s="1"/>
  <c r="N627" i="10"/>
  <c r="C627" i="10"/>
  <c r="B627" i="10"/>
  <c r="H627" i="10" s="1"/>
  <c r="N626" i="10"/>
  <c r="H626" i="10"/>
  <c r="C626" i="10"/>
  <c r="B626" i="10"/>
  <c r="N625" i="10"/>
  <c r="I625" i="10"/>
  <c r="E625" i="10"/>
  <c r="C625" i="10"/>
  <c r="B625" i="10"/>
  <c r="H625" i="10" s="1"/>
  <c r="N624" i="10"/>
  <c r="C624" i="10"/>
  <c r="I624" i="10" s="1"/>
  <c r="B624" i="10"/>
  <c r="H624" i="10" s="1"/>
  <c r="N623" i="10"/>
  <c r="C623" i="10"/>
  <c r="B623" i="10"/>
  <c r="H623" i="10" s="1"/>
  <c r="N622" i="10"/>
  <c r="H622" i="10"/>
  <c r="C622" i="10"/>
  <c r="B622" i="10"/>
  <c r="N621" i="10"/>
  <c r="I621" i="10"/>
  <c r="E621" i="10"/>
  <c r="C621" i="10"/>
  <c r="B621" i="10"/>
  <c r="H621" i="10" s="1"/>
  <c r="N620" i="10"/>
  <c r="C620" i="10"/>
  <c r="I620" i="10" s="1"/>
  <c r="B620" i="10"/>
  <c r="H620" i="10" s="1"/>
  <c r="N619" i="10"/>
  <c r="C619" i="10"/>
  <c r="B619" i="10"/>
  <c r="H619" i="10" s="1"/>
  <c r="N618" i="10"/>
  <c r="H618" i="10"/>
  <c r="C618" i="10"/>
  <c r="B618" i="10"/>
  <c r="N617" i="10"/>
  <c r="I617" i="10"/>
  <c r="E617" i="10"/>
  <c r="C617" i="10"/>
  <c r="B617" i="10"/>
  <c r="H617" i="10" s="1"/>
  <c r="N616" i="10"/>
  <c r="C616" i="10"/>
  <c r="I616" i="10" s="1"/>
  <c r="B616" i="10"/>
  <c r="H616" i="10" s="1"/>
  <c r="N615" i="10"/>
  <c r="C615" i="10"/>
  <c r="B615" i="10"/>
  <c r="H615" i="10" s="1"/>
  <c r="N614" i="10"/>
  <c r="H614" i="10"/>
  <c r="C614" i="10"/>
  <c r="B614" i="10"/>
  <c r="N613" i="10"/>
  <c r="I613" i="10"/>
  <c r="E613" i="10"/>
  <c r="C613" i="10"/>
  <c r="B613" i="10"/>
  <c r="H613" i="10" s="1"/>
  <c r="N612" i="10"/>
  <c r="C612" i="10"/>
  <c r="I612" i="10" s="1"/>
  <c r="B612" i="10"/>
  <c r="H612" i="10" s="1"/>
  <c r="N611" i="10"/>
  <c r="C611" i="10"/>
  <c r="B611" i="10"/>
  <c r="H611" i="10" s="1"/>
  <c r="N610" i="10"/>
  <c r="H610" i="10"/>
  <c r="C610" i="10"/>
  <c r="B610" i="10"/>
  <c r="N609" i="10"/>
  <c r="I609" i="10"/>
  <c r="E609" i="10"/>
  <c r="C609" i="10"/>
  <c r="B609" i="10"/>
  <c r="H609" i="10" s="1"/>
  <c r="N608" i="10"/>
  <c r="C608" i="10"/>
  <c r="I608" i="10" s="1"/>
  <c r="B608" i="10"/>
  <c r="H608" i="10" s="1"/>
  <c r="N607" i="10"/>
  <c r="C607" i="10"/>
  <c r="B607" i="10"/>
  <c r="H607" i="10" s="1"/>
  <c r="N606" i="10"/>
  <c r="H606" i="10"/>
  <c r="C606" i="10"/>
  <c r="B606" i="10"/>
  <c r="N605" i="10"/>
  <c r="I605" i="10"/>
  <c r="E605" i="10"/>
  <c r="C605" i="10"/>
  <c r="B605" i="10"/>
  <c r="H605" i="10" s="1"/>
  <c r="N604" i="10"/>
  <c r="C604" i="10"/>
  <c r="I604" i="10" s="1"/>
  <c r="B604" i="10"/>
  <c r="H604" i="10" s="1"/>
  <c r="N603" i="10"/>
  <c r="C603" i="10"/>
  <c r="B603" i="10"/>
  <c r="H603" i="10" s="1"/>
  <c r="N602" i="10"/>
  <c r="H602" i="10"/>
  <c r="C602" i="10"/>
  <c r="B602" i="10"/>
  <c r="N601" i="10"/>
  <c r="I601" i="10"/>
  <c r="E601" i="10"/>
  <c r="C601" i="10"/>
  <c r="B601" i="10"/>
  <c r="H601" i="10" s="1"/>
  <c r="N600" i="10"/>
  <c r="C600" i="10"/>
  <c r="I600" i="10" s="1"/>
  <c r="B600" i="10"/>
  <c r="H600" i="10" s="1"/>
  <c r="N599" i="10"/>
  <c r="C599" i="10"/>
  <c r="B599" i="10"/>
  <c r="H599" i="10" s="1"/>
  <c r="N598" i="10"/>
  <c r="H598" i="10"/>
  <c r="C598" i="10"/>
  <c r="B598" i="10"/>
  <c r="N597" i="10"/>
  <c r="I597" i="10"/>
  <c r="E597" i="10"/>
  <c r="C597" i="10"/>
  <c r="B597" i="10"/>
  <c r="H597" i="10" s="1"/>
  <c r="N596" i="10"/>
  <c r="C596" i="10"/>
  <c r="I596" i="10" s="1"/>
  <c r="B596" i="10"/>
  <c r="H596" i="10" s="1"/>
  <c r="N595" i="10"/>
  <c r="C595" i="10"/>
  <c r="B595" i="10"/>
  <c r="H595" i="10" s="1"/>
  <c r="N594" i="10"/>
  <c r="H594" i="10"/>
  <c r="C594" i="10"/>
  <c r="B594" i="10"/>
  <c r="N593" i="10"/>
  <c r="I593" i="10"/>
  <c r="E593" i="10"/>
  <c r="C593" i="10"/>
  <c r="B593" i="10"/>
  <c r="H593" i="10" s="1"/>
  <c r="N592" i="10"/>
  <c r="C592" i="10"/>
  <c r="I592" i="10" s="1"/>
  <c r="B592" i="10"/>
  <c r="H592" i="10" s="1"/>
  <c r="N591" i="10"/>
  <c r="C591" i="10"/>
  <c r="B591" i="10"/>
  <c r="H591" i="10" s="1"/>
  <c r="N590" i="10"/>
  <c r="H590" i="10"/>
  <c r="C590" i="10"/>
  <c r="B590" i="10"/>
  <c r="N589" i="10"/>
  <c r="I589" i="10"/>
  <c r="E589" i="10"/>
  <c r="C589" i="10"/>
  <c r="B589" i="10"/>
  <c r="H589" i="10" s="1"/>
  <c r="N588" i="10"/>
  <c r="C588" i="10"/>
  <c r="I588" i="10" s="1"/>
  <c r="B588" i="10"/>
  <c r="H588" i="10" s="1"/>
  <c r="N587" i="10"/>
  <c r="C587" i="10"/>
  <c r="B587" i="10"/>
  <c r="H587" i="10" s="1"/>
  <c r="N586" i="10"/>
  <c r="H586" i="10"/>
  <c r="C586" i="10"/>
  <c r="B586" i="10"/>
  <c r="N585" i="10"/>
  <c r="I585" i="10"/>
  <c r="E585" i="10"/>
  <c r="C585" i="10"/>
  <c r="B585" i="10"/>
  <c r="H585" i="10" s="1"/>
  <c r="N584" i="10"/>
  <c r="C584" i="10"/>
  <c r="I584" i="10" s="1"/>
  <c r="B584" i="10"/>
  <c r="H584" i="10" s="1"/>
  <c r="N583" i="10"/>
  <c r="C583" i="10"/>
  <c r="B583" i="10"/>
  <c r="H583" i="10" s="1"/>
  <c r="N582" i="10"/>
  <c r="H582" i="10"/>
  <c r="C582" i="10"/>
  <c r="B582" i="10"/>
  <c r="N581" i="10"/>
  <c r="I581" i="10"/>
  <c r="E581" i="10"/>
  <c r="C581" i="10"/>
  <c r="B581" i="10"/>
  <c r="H581" i="10" s="1"/>
  <c r="N580" i="10"/>
  <c r="C580" i="10"/>
  <c r="I580" i="10" s="1"/>
  <c r="B580" i="10"/>
  <c r="H580" i="10" s="1"/>
  <c r="N579" i="10"/>
  <c r="C579" i="10"/>
  <c r="B579" i="10"/>
  <c r="H579" i="10" s="1"/>
  <c r="N578" i="10"/>
  <c r="H578" i="10"/>
  <c r="C578" i="10"/>
  <c r="B578" i="10"/>
  <c r="N577" i="10"/>
  <c r="I577" i="10"/>
  <c r="E577" i="10"/>
  <c r="C577" i="10"/>
  <c r="B577" i="10"/>
  <c r="H577" i="10" s="1"/>
  <c r="N576" i="10"/>
  <c r="C576" i="10"/>
  <c r="I576" i="10" s="1"/>
  <c r="B576" i="10"/>
  <c r="H576" i="10" s="1"/>
  <c r="N575" i="10"/>
  <c r="C575" i="10"/>
  <c r="B575" i="10"/>
  <c r="H575" i="10" s="1"/>
  <c r="N574" i="10"/>
  <c r="H574" i="10"/>
  <c r="C574" i="10"/>
  <c r="B574" i="10"/>
  <c r="N573" i="10"/>
  <c r="I573" i="10"/>
  <c r="E573" i="10"/>
  <c r="C573" i="10"/>
  <c r="B573" i="10"/>
  <c r="H573" i="10" s="1"/>
  <c r="N572" i="10"/>
  <c r="C572" i="10"/>
  <c r="I572" i="10" s="1"/>
  <c r="B572" i="10"/>
  <c r="H572" i="10" s="1"/>
  <c r="N571" i="10"/>
  <c r="C571" i="10"/>
  <c r="B571" i="10"/>
  <c r="H571" i="10" s="1"/>
  <c r="N570" i="10"/>
  <c r="H570" i="10"/>
  <c r="C570" i="10"/>
  <c r="B570" i="10"/>
  <c r="N569" i="10"/>
  <c r="I569" i="10"/>
  <c r="E569" i="10"/>
  <c r="C569" i="10"/>
  <c r="B569" i="10"/>
  <c r="H569" i="10" s="1"/>
  <c r="N568" i="10"/>
  <c r="C568" i="10"/>
  <c r="I568" i="10" s="1"/>
  <c r="B568" i="10"/>
  <c r="H568" i="10" s="1"/>
  <c r="N567" i="10"/>
  <c r="C567" i="10"/>
  <c r="B567" i="10"/>
  <c r="H567" i="10" s="1"/>
  <c r="N566" i="10"/>
  <c r="H566" i="10"/>
  <c r="C566" i="10"/>
  <c r="B566" i="10"/>
  <c r="N565" i="10"/>
  <c r="I565" i="10"/>
  <c r="E565" i="10"/>
  <c r="C565" i="10"/>
  <c r="B565" i="10"/>
  <c r="H565" i="10" s="1"/>
  <c r="N564" i="10"/>
  <c r="C564" i="10"/>
  <c r="I564" i="10" s="1"/>
  <c r="B564" i="10"/>
  <c r="H564" i="10" s="1"/>
  <c r="N563" i="10"/>
  <c r="C563" i="10"/>
  <c r="B563" i="10"/>
  <c r="H563" i="10" s="1"/>
  <c r="N562" i="10"/>
  <c r="H562" i="10"/>
  <c r="C562" i="10"/>
  <c r="B562" i="10"/>
  <c r="N561" i="10"/>
  <c r="I561" i="10"/>
  <c r="E561" i="10"/>
  <c r="C561" i="10"/>
  <c r="B561" i="10"/>
  <c r="H561" i="10" s="1"/>
  <c r="N560" i="10"/>
  <c r="C560" i="10"/>
  <c r="I560" i="10" s="1"/>
  <c r="B560" i="10"/>
  <c r="H560" i="10" s="1"/>
  <c r="N559" i="10"/>
  <c r="C559" i="10"/>
  <c r="B559" i="10"/>
  <c r="H559" i="10" s="1"/>
  <c r="N558" i="10"/>
  <c r="H558" i="10"/>
  <c r="C558" i="10"/>
  <c r="B558" i="10"/>
  <c r="N557" i="10"/>
  <c r="I557" i="10"/>
  <c r="E557" i="10"/>
  <c r="C557" i="10"/>
  <c r="B557" i="10"/>
  <c r="H557" i="10" s="1"/>
  <c r="N556" i="10"/>
  <c r="C556" i="10"/>
  <c r="I556" i="10" s="1"/>
  <c r="B556" i="10"/>
  <c r="H556" i="10" s="1"/>
  <c r="N555" i="10"/>
  <c r="C555" i="10"/>
  <c r="B555" i="10"/>
  <c r="H555" i="10" s="1"/>
  <c r="N554" i="10"/>
  <c r="H554" i="10"/>
  <c r="C554" i="10"/>
  <c r="B554" i="10"/>
  <c r="N553" i="10"/>
  <c r="I553" i="10"/>
  <c r="E553" i="10"/>
  <c r="C553" i="10"/>
  <c r="B553" i="10"/>
  <c r="H553" i="10" s="1"/>
  <c r="N552" i="10"/>
  <c r="C552" i="10"/>
  <c r="I552" i="10" s="1"/>
  <c r="B552" i="10"/>
  <c r="H552" i="10" s="1"/>
  <c r="N551" i="10"/>
  <c r="C551" i="10"/>
  <c r="B551" i="10"/>
  <c r="H551" i="10" s="1"/>
  <c r="N550" i="10"/>
  <c r="H550" i="10"/>
  <c r="C550" i="10"/>
  <c r="B550" i="10"/>
  <c r="N549" i="10"/>
  <c r="I549" i="10"/>
  <c r="E549" i="10"/>
  <c r="C549" i="10"/>
  <c r="B549" i="10"/>
  <c r="H549" i="10" s="1"/>
  <c r="N548" i="10"/>
  <c r="C548" i="10"/>
  <c r="I548" i="10" s="1"/>
  <c r="B548" i="10"/>
  <c r="H548" i="10" s="1"/>
  <c r="N547" i="10"/>
  <c r="C547" i="10"/>
  <c r="B547" i="10"/>
  <c r="H547" i="10" s="1"/>
  <c r="N546" i="10"/>
  <c r="H546" i="10"/>
  <c r="C546" i="10"/>
  <c r="B546" i="10"/>
  <c r="N545" i="10"/>
  <c r="I545" i="10"/>
  <c r="E545" i="10"/>
  <c r="C545" i="10"/>
  <c r="B545" i="10"/>
  <c r="H545" i="10" s="1"/>
  <c r="N544" i="10"/>
  <c r="C544" i="10"/>
  <c r="I544" i="10" s="1"/>
  <c r="B544" i="10"/>
  <c r="H544" i="10" s="1"/>
  <c r="N543" i="10"/>
  <c r="C543" i="10"/>
  <c r="B543" i="10"/>
  <c r="H543" i="10" s="1"/>
  <c r="N542" i="10"/>
  <c r="H542" i="10"/>
  <c r="C542" i="10"/>
  <c r="B542" i="10"/>
  <c r="N541" i="10"/>
  <c r="I541" i="10"/>
  <c r="E541" i="10"/>
  <c r="C541" i="10"/>
  <c r="B541" i="10"/>
  <c r="H541" i="10" s="1"/>
  <c r="N540" i="10"/>
  <c r="C540" i="10"/>
  <c r="I540" i="10" s="1"/>
  <c r="B540" i="10"/>
  <c r="H540" i="10" s="1"/>
  <c r="N539" i="10"/>
  <c r="C539" i="10"/>
  <c r="B539" i="10"/>
  <c r="H539" i="10" s="1"/>
  <c r="N538" i="10"/>
  <c r="H538" i="10"/>
  <c r="C538" i="10"/>
  <c r="B538" i="10"/>
  <c r="N537" i="10"/>
  <c r="I537" i="10"/>
  <c r="E537" i="10"/>
  <c r="C537" i="10"/>
  <c r="B537" i="10"/>
  <c r="H537" i="10" s="1"/>
  <c r="N536" i="10"/>
  <c r="C536" i="10"/>
  <c r="I536" i="10" s="1"/>
  <c r="B536" i="10"/>
  <c r="H536" i="10" s="1"/>
  <c r="N535" i="10"/>
  <c r="C535" i="10"/>
  <c r="B535" i="10"/>
  <c r="H535" i="10" s="1"/>
  <c r="N534" i="10"/>
  <c r="H534" i="10"/>
  <c r="C534" i="10"/>
  <c r="B534" i="10"/>
  <c r="N533" i="10"/>
  <c r="I533" i="10"/>
  <c r="H533" i="10"/>
  <c r="E533" i="10"/>
  <c r="C533" i="10"/>
  <c r="B533" i="10"/>
  <c r="N532" i="10"/>
  <c r="C532" i="10"/>
  <c r="I532" i="10" s="1"/>
  <c r="B532" i="10"/>
  <c r="H532" i="10" s="1"/>
  <c r="N531" i="10"/>
  <c r="C531" i="10"/>
  <c r="B531" i="10"/>
  <c r="H531" i="10" s="1"/>
  <c r="N530" i="10"/>
  <c r="H530" i="10"/>
  <c r="C530" i="10"/>
  <c r="B530" i="10"/>
  <c r="N529" i="10"/>
  <c r="I529" i="10"/>
  <c r="H529" i="10"/>
  <c r="E529" i="10"/>
  <c r="C529" i="10"/>
  <c r="B529" i="10"/>
  <c r="N528" i="10"/>
  <c r="C528" i="10"/>
  <c r="I528" i="10" s="1"/>
  <c r="B528" i="10"/>
  <c r="H528" i="10" s="1"/>
  <c r="N527" i="10"/>
  <c r="C527" i="10"/>
  <c r="B527" i="10"/>
  <c r="H527" i="10" s="1"/>
  <c r="N526" i="10"/>
  <c r="H526" i="10"/>
  <c r="C526" i="10"/>
  <c r="B526" i="10"/>
  <c r="N525" i="10"/>
  <c r="I525" i="10"/>
  <c r="H525" i="10"/>
  <c r="E525" i="10"/>
  <c r="C525" i="10"/>
  <c r="B525" i="10"/>
  <c r="N524" i="10"/>
  <c r="C524" i="10"/>
  <c r="I524" i="10" s="1"/>
  <c r="B524" i="10"/>
  <c r="H524" i="10" s="1"/>
  <c r="N523" i="10"/>
  <c r="C523" i="10"/>
  <c r="B523" i="10"/>
  <c r="H523" i="10" s="1"/>
  <c r="N522" i="10"/>
  <c r="H522" i="10"/>
  <c r="C522" i="10"/>
  <c r="B522" i="10"/>
  <c r="N521" i="10"/>
  <c r="I521" i="10"/>
  <c r="E521" i="10"/>
  <c r="C521" i="10"/>
  <c r="B521" i="10"/>
  <c r="H521" i="10" s="1"/>
  <c r="N520" i="10"/>
  <c r="C520" i="10"/>
  <c r="I520" i="10" s="1"/>
  <c r="B520" i="10"/>
  <c r="H520" i="10" s="1"/>
  <c r="N519" i="10"/>
  <c r="C519" i="10"/>
  <c r="B519" i="10"/>
  <c r="H519" i="10" s="1"/>
  <c r="N518" i="10"/>
  <c r="H518" i="10"/>
  <c r="C518" i="10"/>
  <c r="B518" i="10"/>
  <c r="N517" i="10"/>
  <c r="I517" i="10"/>
  <c r="H517" i="10"/>
  <c r="E517" i="10"/>
  <c r="C517" i="10"/>
  <c r="B517" i="10"/>
  <c r="N516" i="10"/>
  <c r="C516" i="10"/>
  <c r="I516" i="10" s="1"/>
  <c r="B516" i="10"/>
  <c r="H516" i="10" s="1"/>
  <c r="N515" i="10"/>
  <c r="C515" i="10"/>
  <c r="B515" i="10"/>
  <c r="H515" i="10" s="1"/>
  <c r="N514" i="10"/>
  <c r="H514" i="10"/>
  <c r="C514" i="10"/>
  <c r="B514" i="10"/>
  <c r="N513" i="10"/>
  <c r="I513" i="10"/>
  <c r="H513" i="10"/>
  <c r="E513" i="10"/>
  <c r="C513" i="10"/>
  <c r="B513" i="10"/>
  <c r="N512" i="10"/>
  <c r="C512" i="10"/>
  <c r="I512" i="10" s="1"/>
  <c r="B512" i="10"/>
  <c r="H512" i="10" s="1"/>
  <c r="N511" i="10"/>
  <c r="C511" i="10"/>
  <c r="B511" i="10"/>
  <c r="H511" i="10" s="1"/>
  <c r="N510" i="10"/>
  <c r="H510" i="10"/>
  <c r="C510" i="10"/>
  <c r="B510" i="10"/>
  <c r="N509" i="10"/>
  <c r="I509" i="10"/>
  <c r="H509" i="10"/>
  <c r="E509" i="10"/>
  <c r="C509" i="10"/>
  <c r="B509" i="10"/>
  <c r="N508" i="10"/>
  <c r="I508" i="10"/>
  <c r="E508" i="10"/>
  <c r="C508" i="10"/>
  <c r="B508" i="10"/>
  <c r="H508" i="10" s="1"/>
  <c r="N507" i="10"/>
  <c r="C507" i="10"/>
  <c r="B507" i="10"/>
  <c r="H507" i="10" s="1"/>
  <c r="N506" i="10"/>
  <c r="H506" i="10"/>
  <c r="C506" i="10"/>
  <c r="B506" i="10"/>
  <c r="N505" i="10"/>
  <c r="I505" i="10"/>
  <c r="H505" i="10"/>
  <c r="E505" i="10"/>
  <c r="C505" i="10"/>
  <c r="B505" i="10"/>
  <c r="N504" i="10"/>
  <c r="I504" i="10"/>
  <c r="E504" i="10"/>
  <c r="C504" i="10"/>
  <c r="B504" i="10"/>
  <c r="H504" i="10" s="1"/>
  <c r="N503" i="10"/>
  <c r="C503" i="10"/>
  <c r="B503" i="10"/>
  <c r="H503" i="10" s="1"/>
  <c r="N502" i="10"/>
  <c r="H502" i="10"/>
  <c r="C502" i="10"/>
  <c r="B502" i="10"/>
  <c r="N501" i="10"/>
  <c r="I501" i="10"/>
  <c r="H501" i="10"/>
  <c r="E501" i="10"/>
  <c r="C501" i="10"/>
  <c r="B501" i="10"/>
  <c r="N500" i="10"/>
  <c r="I500" i="10"/>
  <c r="E500" i="10"/>
  <c r="C500" i="10"/>
  <c r="B500" i="10"/>
  <c r="H500" i="10" s="1"/>
  <c r="N499" i="10"/>
  <c r="C499" i="10"/>
  <c r="B499" i="10"/>
  <c r="H499" i="10" s="1"/>
  <c r="N498" i="10"/>
  <c r="H498" i="10"/>
  <c r="C498" i="10"/>
  <c r="B498" i="10"/>
  <c r="N497" i="10"/>
  <c r="I497" i="10"/>
  <c r="H497" i="10"/>
  <c r="E497" i="10"/>
  <c r="C497" i="10"/>
  <c r="B497" i="10"/>
  <c r="N496" i="10"/>
  <c r="I496" i="10"/>
  <c r="E496" i="10"/>
  <c r="C496" i="10"/>
  <c r="B496" i="10"/>
  <c r="H496" i="10" s="1"/>
  <c r="N495" i="10"/>
  <c r="C495" i="10"/>
  <c r="B495" i="10"/>
  <c r="H495" i="10" s="1"/>
  <c r="N494" i="10"/>
  <c r="H494" i="10"/>
  <c r="C494" i="10"/>
  <c r="B494" i="10"/>
  <c r="N493" i="10"/>
  <c r="I493" i="10"/>
  <c r="H493" i="10"/>
  <c r="E493" i="10"/>
  <c r="C493" i="10"/>
  <c r="B493" i="10"/>
  <c r="N492" i="10"/>
  <c r="I492" i="10"/>
  <c r="E492" i="10"/>
  <c r="C492" i="10"/>
  <c r="B492" i="10"/>
  <c r="H492" i="10" s="1"/>
  <c r="N491" i="10"/>
  <c r="C491" i="10"/>
  <c r="B491" i="10"/>
  <c r="H491" i="10" s="1"/>
  <c r="N490" i="10"/>
  <c r="H490" i="10"/>
  <c r="C490" i="10"/>
  <c r="B490" i="10"/>
  <c r="N489" i="10"/>
  <c r="I489" i="10"/>
  <c r="H489" i="10"/>
  <c r="E489" i="10"/>
  <c r="C489" i="10"/>
  <c r="B489" i="10"/>
  <c r="N488" i="10"/>
  <c r="I488" i="10"/>
  <c r="E488" i="10"/>
  <c r="C488" i="10"/>
  <c r="B488" i="10"/>
  <c r="H488" i="10" s="1"/>
  <c r="N487" i="10"/>
  <c r="C487" i="10"/>
  <c r="B487" i="10"/>
  <c r="H487" i="10" s="1"/>
  <c r="N486" i="10"/>
  <c r="H486" i="10"/>
  <c r="C486" i="10"/>
  <c r="B486" i="10"/>
  <c r="N485" i="10"/>
  <c r="I485" i="10"/>
  <c r="H485" i="10"/>
  <c r="E485" i="10"/>
  <c r="C485" i="10"/>
  <c r="B485" i="10"/>
  <c r="N484" i="10"/>
  <c r="I484" i="10"/>
  <c r="E484" i="10"/>
  <c r="C484" i="10"/>
  <c r="B484" i="10"/>
  <c r="H484" i="10" s="1"/>
  <c r="N483" i="10"/>
  <c r="C483" i="10"/>
  <c r="B483" i="10"/>
  <c r="H483" i="10" s="1"/>
  <c r="N482" i="10"/>
  <c r="H482" i="10"/>
  <c r="C482" i="10"/>
  <c r="B482" i="10"/>
  <c r="N481" i="10"/>
  <c r="I481" i="10"/>
  <c r="H481" i="10"/>
  <c r="E481" i="10"/>
  <c r="C481" i="10"/>
  <c r="B481" i="10"/>
  <c r="N480" i="10"/>
  <c r="I480" i="10"/>
  <c r="E480" i="10"/>
  <c r="C480" i="10"/>
  <c r="B480" i="10"/>
  <c r="H480" i="10" s="1"/>
  <c r="N479" i="10"/>
  <c r="C479" i="10"/>
  <c r="B479" i="10"/>
  <c r="H479" i="10" s="1"/>
  <c r="N478" i="10"/>
  <c r="H478" i="10"/>
  <c r="C478" i="10"/>
  <c r="B478" i="10"/>
  <c r="N477" i="10"/>
  <c r="I477" i="10"/>
  <c r="H477" i="10"/>
  <c r="E477" i="10"/>
  <c r="C477" i="10"/>
  <c r="B477" i="10"/>
  <c r="N476" i="10"/>
  <c r="I476" i="10"/>
  <c r="E476" i="10"/>
  <c r="C476" i="10"/>
  <c r="B476" i="10"/>
  <c r="H476" i="10" s="1"/>
  <c r="N475" i="10"/>
  <c r="C475" i="10"/>
  <c r="B475" i="10"/>
  <c r="H475" i="10" s="1"/>
  <c r="N474" i="10"/>
  <c r="H474" i="10"/>
  <c r="C474" i="10"/>
  <c r="B474" i="10"/>
  <c r="N473" i="10"/>
  <c r="I473" i="10"/>
  <c r="H473" i="10"/>
  <c r="E473" i="10"/>
  <c r="C473" i="10"/>
  <c r="B473" i="10"/>
  <c r="N472" i="10"/>
  <c r="I472" i="10"/>
  <c r="E472" i="10"/>
  <c r="C472" i="10"/>
  <c r="B472" i="10"/>
  <c r="H472" i="10" s="1"/>
  <c r="N471" i="10"/>
  <c r="C471" i="10"/>
  <c r="B471" i="10"/>
  <c r="H471" i="10" s="1"/>
  <c r="N470" i="10"/>
  <c r="H470" i="10"/>
  <c r="C470" i="10"/>
  <c r="B470" i="10"/>
  <c r="N469" i="10"/>
  <c r="I469" i="10"/>
  <c r="H469" i="10"/>
  <c r="E469" i="10"/>
  <c r="C469" i="10"/>
  <c r="B469" i="10"/>
  <c r="N468" i="10"/>
  <c r="I468" i="10"/>
  <c r="E468" i="10"/>
  <c r="C468" i="10"/>
  <c r="B468" i="10"/>
  <c r="H468" i="10" s="1"/>
  <c r="N467" i="10"/>
  <c r="C467" i="10"/>
  <c r="B467" i="10"/>
  <c r="H467" i="10" s="1"/>
  <c r="N466" i="10"/>
  <c r="H466" i="10"/>
  <c r="C466" i="10"/>
  <c r="B466" i="10"/>
  <c r="N465" i="10"/>
  <c r="I465" i="10"/>
  <c r="H465" i="10"/>
  <c r="E465" i="10"/>
  <c r="C465" i="10"/>
  <c r="B465" i="10"/>
  <c r="N464" i="10"/>
  <c r="I464" i="10"/>
  <c r="E464" i="10"/>
  <c r="C464" i="10"/>
  <c r="B464" i="10"/>
  <c r="H464" i="10" s="1"/>
  <c r="N463" i="10"/>
  <c r="C463" i="10"/>
  <c r="B463" i="10"/>
  <c r="H463" i="10" s="1"/>
  <c r="N462" i="10"/>
  <c r="H462" i="10"/>
  <c r="C462" i="10"/>
  <c r="B462" i="10"/>
  <c r="N461" i="10"/>
  <c r="I461" i="10"/>
  <c r="H461" i="10"/>
  <c r="E461" i="10"/>
  <c r="C461" i="10"/>
  <c r="B461" i="10"/>
  <c r="N460" i="10"/>
  <c r="I460" i="10"/>
  <c r="E460" i="10"/>
  <c r="C460" i="10"/>
  <c r="B460" i="10"/>
  <c r="H460" i="10" s="1"/>
  <c r="N459" i="10"/>
  <c r="C459" i="10"/>
  <c r="B459" i="10"/>
  <c r="H459" i="10" s="1"/>
  <c r="N458" i="10"/>
  <c r="H458" i="10"/>
  <c r="C458" i="10"/>
  <c r="B458" i="10"/>
  <c r="N457" i="10"/>
  <c r="I457" i="10"/>
  <c r="H457" i="10"/>
  <c r="E457" i="10"/>
  <c r="C457" i="10"/>
  <c r="B457" i="10"/>
  <c r="N456" i="10"/>
  <c r="I456" i="10"/>
  <c r="E456" i="10"/>
  <c r="C456" i="10"/>
  <c r="B456" i="10"/>
  <c r="H456" i="10" s="1"/>
  <c r="N455" i="10"/>
  <c r="C455" i="10"/>
  <c r="B455" i="10"/>
  <c r="H455" i="10" s="1"/>
  <c r="N454" i="10"/>
  <c r="H454" i="10"/>
  <c r="C454" i="10"/>
  <c r="B454" i="10"/>
  <c r="N453" i="10"/>
  <c r="I453" i="10"/>
  <c r="H453" i="10"/>
  <c r="E453" i="10"/>
  <c r="C453" i="10"/>
  <c r="B453" i="10"/>
  <c r="N452" i="10"/>
  <c r="I452" i="10"/>
  <c r="E452" i="10"/>
  <c r="C452" i="10"/>
  <c r="B452" i="10"/>
  <c r="H452" i="10" s="1"/>
  <c r="N451" i="10"/>
  <c r="C451" i="10"/>
  <c r="B451" i="10"/>
  <c r="H451" i="10" s="1"/>
  <c r="N450" i="10"/>
  <c r="H450" i="10"/>
  <c r="G450" i="10"/>
  <c r="C450" i="10"/>
  <c r="B450" i="10"/>
  <c r="N449" i="10"/>
  <c r="I449" i="10"/>
  <c r="H449" i="10"/>
  <c r="G449" i="10"/>
  <c r="E449" i="10"/>
  <c r="C449" i="10"/>
  <c r="B449" i="10"/>
  <c r="N448" i="10"/>
  <c r="I448" i="10"/>
  <c r="G448" i="10"/>
  <c r="E448" i="10"/>
  <c r="C448" i="10"/>
  <c r="B448" i="10"/>
  <c r="H448" i="10" s="1"/>
  <c r="N447" i="10"/>
  <c r="G447" i="10"/>
  <c r="C447" i="10"/>
  <c r="B447" i="10"/>
  <c r="H447" i="10" s="1"/>
  <c r="N446" i="10"/>
  <c r="H446" i="10"/>
  <c r="G446" i="10"/>
  <c r="C446" i="10"/>
  <c r="B446" i="10"/>
  <c r="N445" i="10"/>
  <c r="I445" i="10"/>
  <c r="H445" i="10"/>
  <c r="G445" i="10"/>
  <c r="E445" i="10"/>
  <c r="C445" i="10"/>
  <c r="B445" i="10"/>
  <c r="N444" i="10"/>
  <c r="G444" i="10"/>
  <c r="C444" i="10"/>
  <c r="I444" i="10" s="1"/>
  <c r="B444" i="10"/>
  <c r="H444" i="10" s="1"/>
  <c r="N443" i="10"/>
  <c r="G443" i="10"/>
  <c r="C443" i="10"/>
  <c r="B443" i="10"/>
  <c r="H443" i="10" s="1"/>
  <c r="N442" i="10"/>
  <c r="H442" i="10"/>
  <c r="G442" i="10"/>
  <c r="C442" i="10"/>
  <c r="B442" i="10"/>
  <c r="N441" i="10"/>
  <c r="I441" i="10"/>
  <c r="H441" i="10"/>
  <c r="G441" i="10"/>
  <c r="E441" i="10"/>
  <c r="C441" i="10"/>
  <c r="B441" i="10"/>
  <c r="N440" i="10"/>
  <c r="G440" i="10"/>
  <c r="C440" i="10"/>
  <c r="I440" i="10" s="1"/>
  <c r="B440" i="10"/>
  <c r="H440" i="10" s="1"/>
  <c r="N439" i="10"/>
  <c r="G439" i="10"/>
  <c r="C439" i="10"/>
  <c r="B439" i="10"/>
  <c r="H439" i="10" s="1"/>
  <c r="N438" i="10"/>
  <c r="H438" i="10"/>
  <c r="G438" i="10"/>
  <c r="C438" i="10"/>
  <c r="B438" i="10"/>
  <c r="N437" i="10"/>
  <c r="I437" i="10"/>
  <c r="H437" i="10"/>
  <c r="G437" i="10"/>
  <c r="E437" i="10"/>
  <c r="C437" i="10"/>
  <c r="B437" i="10"/>
  <c r="N436" i="10"/>
  <c r="H436" i="10"/>
  <c r="G436" i="10"/>
  <c r="C436" i="10"/>
  <c r="I436" i="10" s="1"/>
  <c r="B436" i="10"/>
  <c r="N435" i="10"/>
  <c r="I435" i="10"/>
  <c r="G435" i="10"/>
  <c r="E435" i="10"/>
  <c r="C435" i="10"/>
  <c r="B435" i="10"/>
  <c r="H435" i="10" s="1"/>
  <c r="N434" i="10"/>
  <c r="H434" i="10"/>
  <c r="G434" i="10"/>
  <c r="C434" i="10"/>
  <c r="B434" i="10"/>
  <c r="N433" i="10"/>
  <c r="I433" i="10"/>
  <c r="G433" i="10"/>
  <c r="E433" i="10"/>
  <c r="C433" i="10"/>
  <c r="B433" i="10"/>
  <c r="H433" i="10" s="1"/>
  <c r="N432" i="10"/>
  <c r="H432" i="10"/>
  <c r="G432" i="10"/>
  <c r="C432" i="10"/>
  <c r="I432" i="10" s="1"/>
  <c r="B432" i="10"/>
  <c r="N431" i="10"/>
  <c r="I431" i="10"/>
  <c r="G431" i="10"/>
  <c r="E431" i="10"/>
  <c r="C431" i="10"/>
  <c r="B431" i="10"/>
  <c r="H431" i="10" s="1"/>
  <c r="N430" i="10"/>
  <c r="H430" i="10"/>
  <c r="G430" i="10"/>
  <c r="C430" i="10"/>
  <c r="B430" i="10"/>
  <c r="N429" i="10"/>
  <c r="I429" i="10"/>
  <c r="G429" i="10"/>
  <c r="E429" i="10"/>
  <c r="C429" i="10"/>
  <c r="B429" i="10"/>
  <c r="H429" i="10" s="1"/>
  <c r="N428" i="10"/>
  <c r="H428" i="10"/>
  <c r="G428" i="10"/>
  <c r="C428" i="10"/>
  <c r="I428" i="10" s="1"/>
  <c r="B428" i="10"/>
  <c r="N427" i="10"/>
  <c r="I427" i="10"/>
  <c r="G427" i="10"/>
  <c r="E427" i="10"/>
  <c r="C427" i="10"/>
  <c r="B427" i="10"/>
  <c r="H427" i="10" s="1"/>
  <c r="N426" i="10"/>
  <c r="H426" i="10"/>
  <c r="G426" i="10"/>
  <c r="C426" i="10"/>
  <c r="B426" i="10"/>
  <c r="N425" i="10"/>
  <c r="I425" i="10"/>
  <c r="G425" i="10"/>
  <c r="E425" i="10"/>
  <c r="C425" i="10"/>
  <c r="B425" i="10"/>
  <c r="H425" i="10" s="1"/>
  <c r="N424" i="10"/>
  <c r="H424" i="10"/>
  <c r="G424" i="10"/>
  <c r="C424" i="10"/>
  <c r="I424" i="10" s="1"/>
  <c r="B424" i="10"/>
  <c r="N423" i="10"/>
  <c r="I423" i="10"/>
  <c r="G423" i="10"/>
  <c r="E423" i="10"/>
  <c r="C423" i="10"/>
  <c r="B423" i="10"/>
  <c r="H423" i="10" s="1"/>
  <c r="N422" i="10"/>
  <c r="H422" i="10"/>
  <c r="G422" i="10"/>
  <c r="C422" i="10"/>
  <c r="B422" i="10"/>
  <c r="N421" i="10"/>
  <c r="I421" i="10"/>
  <c r="G421" i="10"/>
  <c r="E421" i="10"/>
  <c r="C421" i="10"/>
  <c r="B421" i="10"/>
  <c r="H421" i="10" s="1"/>
  <c r="N420" i="10"/>
  <c r="H420" i="10"/>
  <c r="G420" i="10"/>
  <c r="C420" i="10"/>
  <c r="I420" i="10" s="1"/>
  <c r="B420" i="10"/>
  <c r="N419" i="10"/>
  <c r="I419" i="10"/>
  <c r="G419" i="10"/>
  <c r="E419" i="10"/>
  <c r="C419" i="10"/>
  <c r="B419" i="10"/>
  <c r="H419" i="10" s="1"/>
  <c r="N418" i="10"/>
  <c r="H418" i="10"/>
  <c r="G418" i="10"/>
  <c r="C418" i="10"/>
  <c r="B418" i="10"/>
  <c r="N417" i="10"/>
  <c r="I417" i="10"/>
  <c r="G417" i="10"/>
  <c r="E417" i="10"/>
  <c r="C417" i="10"/>
  <c r="B417" i="10"/>
  <c r="H417" i="10" s="1"/>
  <c r="N416" i="10"/>
  <c r="H416" i="10"/>
  <c r="G416" i="10"/>
  <c r="C416" i="10"/>
  <c r="I416" i="10" s="1"/>
  <c r="B416" i="10"/>
  <c r="N415" i="10"/>
  <c r="I415" i="10"/>
  <c r="G415" i="10"/>
  <c r="E415" i="10"/>
  <c r="C415" i="10"/>
  <c r="B415" i="10"/>
  <c r="H415" i="10" s="1"/>
  <c r="N414" i="10"/>
  <c r="H414" i="10"/>
  <c r="G414" i="10"/>
  <c r="C414" i="10"/>
  <c r="B414" i="10"/>
  <c r="N413" i="10"/>
  <c r="I413" i="10"/>
  <c r="G413" i="10"/>
  <c r="E413" i="10"/>
  <c r="C413" i="10"/>
  <c r="B413" i="10"/>
  <c r="H413" i="10" s="1"/>
  <c r="N412" i="10"/>
  <c r="H412" i="10"/>
  <c r="G412" i="10"/>
  <c r="C412" i="10"/>
  <c r="I412" i="10" s="1"/>
  <c r="B412" i="10"/>
  <c r="N411" i="10"/>
  <c r="I411" i="10"/>
  <c r="G411" i="10"/>
  <c r="E411" i="10"/>
  <c r="C411" i="10"/>
  <c r="B411" i="10"/>
  <c r="H411" i="10" s="1"/>
  <c r="N410" i="10"/>
  <c r="H410" i="10"/>
  <c r="G410" i="10"/>
  <c r="C410" i="10"/>
  <c r="B410" i="10"/>
  <c r="N409" i="10"/>
  <c r="I409" i="10"/>
  <c r="G409" i="10"/>
  <c r="E409" i="10"/>
  <c r="C409" i="10"/>
  <c r="B409" i="10"/>
  <c r="H409" i="10" s="1"/>
  <c r="N408" i="10"/>
  <c r="H408" i="10"/>
  <c r="G408" i="10"/>
  <c r="C408" i="10"/>
  <c r="I408" i="10" s="1"/>
  <c r="B408" i="10"/>
  <c r="N407" i="10"/>
  <c r="I407" i="10"/>
  <c r="G407" i="10"/>
  <c r="E407" i="10"/>
  <c r="C407" i="10"/>
  <c r="B407" i="10"/>
  <c r="H407" i="10" s="1"/>
  <c r="N406" i="10"/>
  <c r="H406" i="10"/>
  <c r="G406" i="10"/>
  <c r="C406" i="10"/>
  <c r="B406" i="10"/>
  <c r="N405" i="10"/>
  <c r="I405" i="10"/>
  <c r="G405" i="10"/>
  <c r="E405" i="10"/>
  <c r="C405" i="10"/>
  <c r="B405" i="10"/>
  <c r="H405" i="10" s="1"/>
  <c r="N404" i="10"/>
  <c r="H404" i="10"/>
  <c r="G404" i="10"/>
  <c r="C404" i="10"/>
  <c r="I404" i="10" s="1"/>
  <c r="B404" i="10"/>
  <c r="N403" i="10"/>
  <c r="I403" i="10"/>
  <c r="G403" i="10"/>
  <c r="E403" i="10"/>
  <c r="C403" i="10"/>
  <c r="B403" i="10"/>
  <c r="H403" i="10" s="1"/>
  <c r="N402" i="10"/>
  <c r="H402" i="10"/>
  <c r="G402" i="10"/>
  <c r="C402" i="10"/>
  <c r="B402" i="10"/>
  <c r="N401" i="10"/>
  <c r="I401" i="10"/>
  <c r="G401" i="10"/>
  <c r="E401" i="10"/>
  <c r="C401" i="10"/>
  <c r="B401" i="10"/>
  <c r="H401" i="10" s="1"/>
  <c r="N400" i="10"/>
  <c r="H400" i="10"/>
  <c r="G400" i="10"/>
  <c r="C400" i="10"/>
  <c r="I400" i="10" s="1"/>
  <c r="B400" i="10"/>
  <c r="N399" i="10"/>
  <c r="I399" i="10"/>
  <c r="G399" i="10"/>
  <c r="E399" i="10"/>
  <c r="C399" i="10"/>
  <c r="B399" i="10"/>
  <c r="H399" i="10" s="1"/>
  <c r="N398" i="10"/>
  <c r="H398" i="10"/>
  <c r="G398" i="10"/>
  <c r="C398" i="10"/>
  <c r="B398" i="10"/>
  <c r="N397" i="10"/>
  <c r="I397" i="10"/>
  <c r="G397" i="10"/>
  <c r="E397" i="10"/>
  <c r="C397" i="10"/>
  <c r="B397" i="10"/>
  <c r="H397" i="10" s="1"/>
  <c r="N396" i="10"/>
  <c r="H396" i="10"/>
  <c r="G396" i="10"/>
  <c r="C396" i="10"/>
  <c r="I396" i="10" s="1"/>
  <c r="B396" i="10"/>
  <c r="N395" i="10"/>
  <c r="I395" i="10"/>
  <c r="G395" i="10"/>
  <c r="E395" i="10"/>
  <c r="C395" i="10"/>
  <c r="B395" i="10"/>
  <c r="H395" i="10" s="1"/>
  <c r="N394" i="10"/>
  <c r="H394" i="10"/>
  <c r="G394" i="10"/>
  <c r="C394" i="10"/>
  <c r="B394" i="10"/>
  <c r="N393" i="10"/>
  <c r="I393" i="10"/>
  <c r="G393" i="10"/>
  <c r="E393" i="10"/>
  <c r="C393" i="10"/>
  <c r="B393" i="10"/>
  <c r="H393" i="10" s="1"/>
  <c r="N392" i="10"/>
  <c r="H392" i="10"/>
  <c r="G392" i="10"/>
  <c r="C392" i="10"/>
  <c r="I392" i="10" s="1"/>
  <c r="B392" i="10"/>
  <c r="N391" i="10"/>
  <c r="I391" i="10"/>
  <c r="G391" i="10"/>
  <c r="E391" i="10"/>
  <c r="C391" i="10"/>
  <c r="B391" i="10"/>
  <c r="H391" i="10" s="1"/>
  <c r="N390" i="10"/>
  <c r="H390" i="10"/>
  <c r="G390" i="10"/>
  <c r="C390" i="10"/>
  <c r="B390" i="10"/>
  <c r="N389" i="10"/>
  <c r="I389" i="10"/>
  <c r="G389" i="10"/>
  <c r="E389" i="10"/>
  <c r="C389" i="10"/>
  <c r="B389" i="10"/>
  <c r="H389" i="10" s="1"/>
  <c r="N388" i="10"/>
  <c r="H388" i="10"/>
  <c r="G388" i="10"/>
  <c r="C388" i="10"/>
  <c r="I388" i="10" s="1"/>
  <c r="B388" i="10"/>
  <c r="N387" i="10"/>
  <c r="I387" i="10"/>
  <c r="G387" i="10"/>
  <c r="E387" i="10"/>
  <c r="C387" i="10"/>
  <c r="B387" i="10"/>
  <c r="H387" i="10" s="1"/>
  <c r="N386" i="10"/>
  <c r="H386" i="10"/>
  <c r="G386" i="10"/>
  <c r="C386" i="10"/>
  <c r="B386" i="10"/>
  <c r="N385" i="10"/>
  <c r="I385" i="10"/>
  <c r="G385" i="10"/>
  <c r="E385" i="10"/>
  <c r="C385" i="10"/>
  <c r="B385" i="10"/>
  <c r="H385" i="10" s="1"/>
  <c r="N384" i="10"/>
  <c r="H384" i="10"/>
  <c r="G384" i="10"/>
  <c r="C384" i="10"/>
  <c r="I384" i="10" s="1"/>
  <c r="B384" i="10"/>
  <c r="N383" i="10"/>
  <c r="I383" i="10"/>
  <c r="G383" i="10"/>
  <c r="E383" i="10"/>
  <c r="C383" i="10"/>
  <c r="B383" i="10"/>
  <c r="H383" i="10" s="1"/>
  <c r="N382" i="10"/>
  <c r="H382" i="10"/>
  <c r="G382" i="10"/>
  <c r="C382" i="10"/>
  <c r="B382" i="10"/>
  <c r="N381" i="10"/>
  <c r="I381" i="10"/>
  <c r="G381" i="10"/>
  <c r="E381" i="10"/>
  <c r="C381" i="10"/>
  <c r="B381" i="10"/>
  <c r="H381" i="10" s="1"/>
  <c r="N380" i="10"/>
  <c r="H380" i="10"/>
  <c r="G380" i="10"/>
  <c r="C380" i="10"/>
  <c r="I380" i="10" s="1"/>
  <c r="B380" i="10"/>
  <c r="N379" i="10"/>
  <c r="I379" i="10"/>
  <c r="G379" i="10"/>
  <c r="E379" i="10"/>
  <c r="C379" i="10"/>
  <c r="B379" i="10"/>
  <c r="H379" i="10" s="1"/>
  <c r="N378" i="10"/>
  <c r="H378" i="10"/>
  <c r="G378" i="10"/>
  <c r="C378" i="10"/>
  <c r="B378" i="10"/>
  <c r="N377" i="10"/>
  <c r="I377" i="10"/>
  <c r="G377" i="10"/>
  <c r="E377" i="10"/>
  <c r="C377" i="10"/>
  <c r="B377" i="10"/>
  <c r="H377" i="10" s="1"/>
  <c r="N376" i="10"/>
  <c r="H376" i="10"/>
  <c r="G376" i="10"/>
  <c r="C376" i="10"/>
  <c r="I376" i="10" s="1"/>
  <c r="B376" i="10"/>
  <c r="N375" i="10"/>
  <c r="I375" i="10"/>
  <c r="G375" i="10"/>
  <c r="E375" i="10"/>
  <c r="C375" i="10"/>
  <c r="B375" i="10"/>
  <c r="H375" i="10" s="1"/>
  <c r="N374" i="10"/>
  <c r="H374" i="10"/>
  <c r="G374" i="10"/>
  <c r="C374" i="10"/>
  <c r="B374" i="10"/>
  <c r="N373" i="10"/>
  <c r="I373" i="10"/>
  <c r="G373" i="10"/>
  <c r="E373" i="10"/>
  <c r="C373" i="10"/>
  <c r="B373" i="10"/>
  <c r="H373" i="10" s="1"/>
  <c r="N372" i="10"/>
  <c r="H372" i="10"/>
  <c r="G372" i="10"/>
  <c r="C372" i="10"/>
  <c r="I372" i="10" s="1"/>
  <c r="B372" i="10"/>
  <c r="N371" i="10"/>
  <c r="I371" i="10"/>
  <c r="G371" i="10"/>
  <c r="E371" i="10"/>
  <c r="C371" i="10"/>
  <c r="B371" i="10"/>
  <c r="H371" i="10" s="1"/>
  <c r="N370" i="10"/>
  <c r="H370" i="10"/>
  <c r="G370" i="10"/>
  <c r="C370" i="10"/>
  <c r="B370" i="10"/>
  <c r="N369" i="10"/>
  <c r="I369" i="10"/>
  <c r="G369" i="10"/>
  <c r="E369" i="10"/>
  <c r="C369" i="10"/>
  <c r="B369" i="10"/>
  <c r="H369" i="10" s="1"/>
  <c r="N368" i="10"/>
  <c r="H368" i="10"/>
  <c r="G368" i="10"/>
  <c r="C368" i="10"/>
  <c r="I368" i="10" s="1"/>
  <c r="B368" i="10"/>
  <c r="N367" i="10"/>
  <c r="I367" i="10"/>
  <c r="G367" i="10"/>
  <c r="E367" i="10"/>
  <c r="C367" i="10"/>
  <c r="B367" i="10"/>
  <c r="H367" i="10" s="1"/>
  <c r="N366" i="10"/>
  <c r="H366" i="10"/>
  <c r="G366" i="10"/>
  <c r="C366" i="10"/>
  <c r="B366" i="10"/>
  <c r="N365" i="10"/>
  <c r="I365" i="10"/>
  <c r="G365" i="10"/>
  <c r="E365" i="10"/>
  <c r="C365" i="10"/>
  <c r="B365" i="10"/>
  <c r="H365" i="10" s="1"/>
  <c r="N364" i="10"/>
  <c r="H364" i="10"/>
  <c r="G364" i="10"/>
  <c r="C364" i="10"/>
  <c r="I364" i="10" s="1"/>
  <c r="B364" i="10"/>
  <c r="N363" i="10"/>
  <c r="I363" i="10"/>
  <c r="G363" i="10"/>
  <c r="E363" i="10"/>
  <c r="C363" i="10"/>
  <c r="B363" i="10"/>
  <c r="H363" i="10" s="1"/>
  <c r="N362" i="10"/>
  <c r="H362" i="10"/>
  <c r="G362" i="10"/>
  <c r="C362" i="10"/>
  <c r="B362" i="10"/>
  <c r="N361" i="10"/>
  <c r="I361" i="10"/>
  <c r="G361" i="10"/>
  <c r="E361" i="10"/>
  <c r="C361" i="10"/>
  <c r="B361" i="10"/>
  <c r="H361" i="10" s="1"/>
  <c r="N360" i="10"/>
  <c r="H360" i="10"/>
  <c r="G360" i="10"/>
  <c r="C360" i="10"/>
  <c r="I360" i="10" s="1"/>
  <c r="B360" i="10"/>
  <c r="N359" i="10"/>
  <c r="I359" i="10"/>
  <c r="G359" i="10"/>
  <c r="E359" i="10"/>
  <c r="C359" i="10"/>
  <c r="B359" i="10"/>
  <c r="H359" i="10" s="1"/>
  <c r="N358" i="10"/>
  <c r="H358" i="10"/>
  <c r="G358" i="10"/>
  <c r="C358" i="10"/>
  <c r="B358" i="10"/>
  <c r="N357" i="10"/>
  <c r="I357" i="10"/>
  <c r="G357" i="10"/>
  <c r="E357" i="10"/>
  <c r="C357" i="10"/>
  <c r="B357" i="10"/>
  <c r="H357" i="10" s="1"/>
  <c r="N356" i="10"/>
  <c r="H356" i="10"/>
  <c r="G356" i="10"/>
  <c r="C356" i="10"/>
  <c r="I356" i="10" s="1"/>
  <c r="B356" i="10"/>
  <c r="N355" i="10"/>
  <c r="I355" i="10"/>
  <c r="G355" i="10"/>
  <c r="E355" i="10"/>
  <c r="C355" i="10"/>
  <c r="B355" i="10"/>
  <c r="H355" i="10" s="1"/>
  <c r="N354" i="10"/>
  <c r="H354" i="10"/>
  <c r="G354" i="10"/>
  <c r="C354" i="10"/>
  <c r="B354" i="10"/>
  <c r="N353" i="10"/>
  <c r="I353" i="10"/>
  <c r="E353" i="10"/>
  <c r="C353" i="10"/>
  <c r="B353" i="10"/>
  <c r="H353" i="10" s="1"/>
  <c r="N352" i="10"/>
  <c r="H352" i="10"/>
  <c r="C352" i="10"/>
  <c r="I352" i="10" s="1"/>
  <c r="B352" i="10"/>
  <c r="N351" i="10"/>
  <c r="I351" i="10"/>
  <c r="E351" i="10"/>
  <c r="C351" i="10"/>
  <c r="B351" i="10"/>
  <c r="H351" i="10" s="1"/>
  <c r="N350" i="10"/>
  <c r="H350" i="10"/>
  <c r="C350" i="10"/>
  <c r="B350" i="10"/>
  <c r="N349" i="10"/>
  <c r="I349" i="10"/>
  <c r="E349" i="10"/>
  <c r="C349" i="10"/>
  <c r="B349" i="10"/>
  <c r="H349" i="10" s="1"/>
  <c r="N348" i="10"/>
  <c r="H348" i="10"/>
  <c r="C348" i="10"/>
  <c r="I348" i="10" s="1"/>
  <c r="B348" i="10"/>
  <c r="N347" i="10"/>
  <c r="I347" i="10"/>
  <c r="E347" i="10"/>
  <c r="C347" i="10"/>
  <c r="B347" i="10"/>
  <c r="H347" i="10" s="1"/>
  <c r="H346" i="10"/>
  <c r="C346" i="10"/>
  <c r="B346" i="10"/>
  <c r="I345" i="10"/>
  <c r="E345" i="10"/>
  <c r="C345" i="10"/>
  <c r="B345" i="10"/>
  <c r="H345" i="10" s="1"/>
  <c r="H344" i="10"/>
  <c r="C344" i="10"/>
  <c r="I344" i="10" s="1"/>
  <c r="B344" i="10"/>
  <c r="I343" i="10"/>
  <c r="E343" i="10"/>
  <c r="C343" i="10"/>
  <c r="B343" i="10"/>
  <c r="H343" i="10" s="1"/>
  <c r="H342" i="10"/>
  <c r="C342" i="10"/>
  <c r="B342" i="10"/>
  <c r="I341" i="10"/>
  <c r="E341" i="10"/>
  <c r="C341" i="10"/>
  <c r="B341" i="10"/>
  <c r="H341" i="10" s="1"/>
  <c r="H340" i="10"/>
  <c r="C340" i="10"/>
  <c r="I340" i="10" s="1"/>
  <c r="B340" i="10"/>
  <c r="I339" i="10"/>
  <c r="E339" i="10"/>
  <c r="C339" i="10"/>
  <c r="B339" i="10"/>
  <c r="H339" i="10" s="1"/>
  <c r="H338" i="10"/>
  <c r="C338" i="10"/>
  <c r="B338" i="10"/>
  <c r="I337" i="10"/>
  <c r="E337" i="10"/>
  <c r="C337" i="10"/>
  <c r="B337" i="10"/>
  <c r="H337" i="10" s="1"/>
  <c r="H336" i="10"/>
  <c r="C336" i="10"/>
  <c r="I336" i="10" s="1"/>
  <c r="B336" i="10"/>
  <c r="I335" i="10"/>
  <c r="E335" i="10"/>
  <c r="C335" i="10"/>
  <c r="B335" i="10"/>
  <c r="H335" i="10" s="1"/>
  <c r="H334" i="10"/>
  <c r="C334" i="10"/>
  <c r="B334" i="10"/>
  <c r="I333" i="10"/>
  <c r="E333" i="10"/>
  <c r="C333" i="10"/>
  <c r="B333" i="10"/>
  <c r="H333" i="10" s="1"/>
  <c r="H332" i="10"/>
  <c r="C332" i="10"/>
  <c r="I332" i="10" s="1"/>
  <c r="B332" i="10"/>
  <c r="I331" i="10"/>
  <c r="E331" i="10"/>
  <c r="C331" i="10"/>
  <c r="B331" i="10"/>
  <c r="H331" i="10" s="1"/>
  <c r="H330" i="10"/>
  <c r="C330" i="10"/>
  <c r="B330" i="10"/>
  <c r="I329" i="10"/>
  <c r="E329" i="10"/>
  <c r="C329" i="10"/>
  <c r="B329" i="10"/>
  <c r="H329" i="10" s="1"/>
  <c r="H328" i="10"/>
  <c r="C328" i="10"/>
  <c r="I328" i="10" s="1"/>
  <c r="B328" i="10"/>
  <c r="I327" i="10"/>
  <c r="E327" i="10"/>
  <c r="C327" i="10"/>
  <c r="B327" i="10"/>
  <c r="H327" i="10" s="1"/>
  <c r="H326" i="10"/>
  <c r="C326" i="10"/>
  <c r="B326" i="10"/>
  <c r="I325" i="10"/>
  <c r="E325" i="10"/>
  <c r="C325" i="10"/>
  <c r="B325" i="10"/>
  <c r="H325" i="10" s="1"/>
  <c r="H324" i="10"/>
  <c r="C324" i="10"/>
  <c r="I324" i="10" s="1"/>
  <c r="B324" i="10"/>
  <c r="I323" i="10"/>
  <c r="E323" i="10"/>
  <c r="C323" i="10"/>
  <c r="B323" i="10"/>
  <c r="H323" i="10" s="1"/>
  <c r="H322" i="10"/>
  <c r="C322" i="10"/>
  <c r="B322" i="10"/>
  <c r="I321" i="10"/>
  <c r="E321" i="10"/>
  <c r="C321" i="10"/>
  <c r="B321" i="10"/>
  <c r="H321" i="10" s="1"/>
  <c r="H320" i="10"/>
  <c r="C320" i="10"/>
  <c r="I320" i="10" s="1"/>
  <c r="B320" i="10"/>
  <c r="I319" i="10"/>
  <c r="E319" i="10"/>
  <c r="C319" i="10"/>
  <c r="B319" i="10"/>
  <c r="H319" i="10" s="1"/>
  <c r="H318" i="10"/>
  <c r="C318" i="10"/>
  <c r="B318" i="10"/>
  <c r="I317" i="10"/>
  <c r="E317" i="10"/>
  <c r="C317" i="10"/>
  <c r="B317" i="10"/>
  <c r="H317" i="10" s="1"/>
  <c r="H316" i="10"/>
  <c r="C316" i="10"/>
  <c r="I316" i="10" s="1"/>
  <c r="B316" i="10"/>
  <c r="I315" i="10"/>
  <c r="E315" i="10"/>
  <c r="C315" i="10"/>
  <c r="B315" i="10"/>
  <c r="H315" i="10" s="1"/>
  <c r="H314" i="10"/>
  <c r="C314" i="10"/>
  <c r="B314" i="10"/>
  <c r="I313" i="10"/>
  <c r="E313" i="10"/>
  <c r="C313" i="10"/>
  <c r="B313" i="10"/>
  <c r="H313" i="10" s="1"/>
  <c r="H312" i="10"/>
  <c r="C312" i="10"/>
  <c r="I312" i="10" s="1"/>
  <c r="B312" i="10"/>
  <c r="I311" i="10"/>
  <c r="E311" i="10"/>
  <c r="C311" i="10"/>
  <c r="B311" i="10"/>
  <c r="H311" i="10" s="1"/>
  <c r="H310" i="10"/>
  <c r="C310" i="10"/>
  <c r="B310" i="10"/>
  <c r="I309" i="10"/>
  <c r="E309" i="10"/>
  <c r="C309" i="10"/>
  <c r="B309" i="10"/>
  <c r="H309" i="10" s="1"/>
  <c r="H308" i="10"/>
  <c r="C308" i="10"/>
  <c r="I308" i="10" s="1"/>
  <c r="B308" i="10"/>
  <c r="I307" i="10"/>
  <c r="E307" i="10"/>
  <c r="C307" i="10"/>
  <c r="B307" i="10"/>
  <c r="H307" i="10" s="1"/>
  <c r="H306" i="10"/>
  <c r="C306" i="10"/>
  <c r="B306" i="10"/>
  <c r="I305" i="10"/>
  <c r="E305" i="10"/>
  <c r="C305" i="10"/>
  <c r="B305" i="10"/>
  <c r="H305" i="10" s="1"/>
  <c r="H304" i="10"/>
  <c r="C304" i="10"/>
  <c r="I304" i="10" s="1"/>
  <c r="B304" i="10"/>
  <c r="I303" i="10"/>
  <c r="E303" i="10"/>
  <c r="C303" i="10"/>
  <c r="B303" i="10"/>
  <c r="H303" i="10" s="1"/>
  <c r="H302" i="10"/>
  <c r="C302" i="10"/>
  <c r="B302" i="10"/>
  <c r="I301" i="10"/>
  <c r="E301" i="10"/>
  <c r="C301" i="10"/>
  <c r="B301" i="10"/>
  <c r="H301" i="10" s="1"/>
  <c r="H300" i="10"/>
  <c r="C300" i="10"/>
  <c r="I300" i="10" s="1"/>
  <c r="B300" i="10"/>
  <c r="N299" i="10"/>
  <c r="I299" i="10"/>
  <c r="E299" i="10"/>
  <c r="C299" i="10"/>
  <c r="B299" i="10"/>
  <c r="H299" i="10" s="1"/>
  <c r="N298" i="10"/>
  <c r="H298" i="10"/>
  <c r="C298" i="10"/>
  <c r="B298" i="10"/>
  <c r="N297" i="10"/>
  <c r="I297" i="10"/>
  <c r="E297" i="10"/>
  <c r="C297" i="10"/>
  <c r="B297" i="10"/>
  <c r="H297" i="10" s="1"/>
  <c r="N296" i="10"/>
  <c r="H296" i="10"/>
  <c r="C296" i="10"/>
  <c r="I296" i="10" s="1"/>
  <c r="B296" i="10"/>
  <c r="N295" i="10"/>
  <c r="I295" i="10"/>
  <c r="E295" i="10"/>
  <c r="C295" i="10"/>
  <c r="B295" i="10"/>
  <c r="H295" i="10" s="1"/>
  <c r="N294" i="10"/>
  <c r="H294" i="10"/>
  <c r="C294" i="10"/>
  <c r="B294" i="10"/>
  <c r="N293" i="10"/>
  <c r="I293" i="10"/>
  <c r="E293" i="10"/>
  <c r="C293" i="10"/>
  <c r="B293" i="10"/>
  <c r="H293" i="10" s="1"/>
  <c r="N292" i="10"/>
  <c r="H292" i="10"/>
  <c r="C292" i="10"/>
  <c r="I292" i="10" s="1"/>
  <c r="B292" i="10"/>
  <c r="N291" i="10"/>
  <c r="I291" i="10"/>
  <c r="E291" i="10"/>
  <c r="C291" i="10"/>
  <c r="B291" i="10"/>
  <c r="H291" i="10" s="1"/>
  <c r="N290" i="10"/>
  <c r="H290" i="10"/>
  <c r="C290" i="10"/>
  <c r="B290" i="10"/>
  <c r="N289" i="10"/>
  <c r="I289" i="10"/>
  <c r="E289" i="10"/>
  <c r="C289" i="10"/>
  <c r="B289" i="10"/>
  <c r="H289" i="10" s="1"/>
  <c r="N288" i="10"/>
  <c r="H288" i="10"/>
  <c r="C288" i="10"/>
  <c r="I288" i="10" s="1"/>
  <c r="B288" i="10"/>
  <c r="N287" i="10"/>
  <c r="I287" i="10"/>
  <c r="E287" i="10"/>
  <c r="C287" i="10"/>
  <c r="B287" i="10"/>
  <c r="H287" i="10" s="1"/>
  <c r="N286" i="10"/>
  <c r="H286" i="10"/>
  <c r="C286" i="10"/>
  <c r="B286" i="10"/>
  <c r="N285" i="10"/>
  <c r="I285" i="10"/>
  <c r="E285" i="10"/>
  <c r="C285" i="10"/>
  <c r="B285" i="10"/>
  <c r="H285" i="10" s="1"/>
  <c r="N284" i="10"/>
  <c r="H284" i="10"/>
  <c r="C284" i="10"/>
  <c r="I284" i="10" s="1"/>
  <c r="B284" i="10"/>
  <c r="N283" i="10"/>
  <c r="I283" i="10"/>
  <c r="E283" i="10"/>
  <c r="C283" i="10"/>
  <c r="B283" i="10"/>
  <c r="H283" i="10" s="1"/>
  <c r="N282" i="10"/>
  <c r="H282" i="10"/>
  <c r="C282" i="10"/>
  <c r="B282" i="10"/>
  <c r="N281" i="10"/>
  <c r="I281" i="10"/>
  <c r="E281" i="10"/>
  <c r="C281" i="10"/>
  <c r="B281" i="10"/>
  <c r="H281" i="10" s="1"/>
  <c r="N280" i="10"/>
  <c r="H280" i="10"/>
  <c r="C280" i="10"/>
  <c r="I280" i="10" s="1"/>
  <c r="B280" i="10"/>
  <c r="N279" i="10"/>
  <c r="I279" i="10"/>
  <c r="E279" i="10"/>
  <c r="C279" i="10"/>
  <c r="B279" i="10"/>
  <c r="H279" i="10" s="1"/>
  <c r="N278" i="10"/>
  <c r="H278" i="10"/>
  <c r="C278" i="10"/>
  <c r="B278" i="10"/>
  <c r="N277" i="10"/>
  <c r="I277" i="10"/>
  <c r="E277" i="10"/>
  <c r="C277" i="10"/>
  <c r="B277" i="10"/>
  <c r="H277" i="10" s="1"/>
  <c r="N276" i="10"/>
  <c r="H276" i="10"/>
  <c r="C276" i="10"/>
  <c r="I276" i="10" s="1"/>
  <c r="B276" i="10"/>
  <c r="N275" i="10"/>
  <c r="I275" i="10"/>
  <c r="E275" i="10"/>
  <c r="C275" i="10"/>
  <c r="B275" i="10"/>
  <c r="H275" i="10" s="1"/>
  <c r="N274" i="10"/>
  <c r="H274" i="10"/>
  <c r="C274" i="10"/>
  <c r="B274" i="10"/>
  <c r="N273" i="10"/>
  <c r="I273" i="10"/>
  <c r="E273" i="10"/>
  <c r="C273" i="10"/>
  <c r="B273" i="10"/>
  <c r="H273" i="10" s="1"/>
  <c r="N272" i="10"/>
  <c r="H272" i="10"/>
  <c r="C272" i="10"/>
  <c r="I272" i="10" s="1"/>
  <c r="B272" i="10"/>
  <c r="N271" i="10"/>
  <c r="I271" i="10"/>
  <c r="E271" i="10"/>
  <c r="C271" i="10"/>
  <c r="B271" i="10"/>
  <c r="H271" i="10" s="1"/>
  <c r="N270" i="10"/>
  <c r="H270" i="10"/>
  <c r="C270" i="10"/>
  <c r="B270" i="10"/>
  <c r="N269" i="10"/>
  <c r="I269" i="10"/>
  <c r="E269" i="10"/>
  <c r="C269" i="10"/>
  <c r="B269" i="10"/>
  <c r="H269" i="10" s="1"/>
  <c r="N268" i="10"/>
  <c r="H268" i="10"/>
  <c r="C268" i="10"/>
  <c r="I268" i="10" s="1"/>
  <c r="B268" i="10"/>
  <c r="N267" i="10"/>
  <c r="I267" i="10"/>
  <c r="E267" i="10"/>
  <c r="C267" i="10"/>
  <c r="B267" i="10"/>
  <c r="H267" i="10" s="1"/>
  <c r="N266" i="10"/>
  <c r="H266" i="10"/>
  <c r="C266" i="10"/>
  <c r="B266" i="10"/>
  <c r="N265" i="10"/>
  <c r="I265" i="10"/>
  <c r="E265" i="10"/>
  <c r="C265" i="10"/>
  <c r="B265" i="10"/>
  <c r="H265" i="10" s="1"/>
  <c r="N264" i="10"/>
  <c r="H264" i="10"/>
  <c r="C264" i="10"/>
  <c r="I264" i="10" s="1"/>
  <c r="B264" i="10"/>
  <c r="N263" i="10"/>
  <c r="I263" i="10"/>
  <c r="E263" i="10"/>
  <c r="C263" i="10"/>
  <c r="B263" i="10"/>
  <c r="H263" i="10" s="1"/>
  <c r="N262" i="10"/>
  <c r="H262" i="10"/>
  <c r="C262" i="10"/>
  <c r="B262" i="10"/>
  <c r="N261" i="10"/>
  <c r="I261" i="10"/>
  <c r="E261" i="10"/>
  <c r="C261" i="10"/>
  <c r="B261" i="10"/>
  <c r="H261" i="10" s="1"/>
  <c r="N260" i="10"/>
  <c r="H260" i="10"/>
  <c r="C260" i="10"/>
  <c r="I260" i="10" s="1"/>
  <c r="B260" i="10"/>
  <c r="N259" i="10"/>
  <c r="I259" i="10"/>
  <c r="E259" i="10"/>
  <c r="C259" i="10"/>
  <c r="B259" i="10"/>
  <c r="H259" i="10" s="1"/>
  <c r="N258" i="10"/>
  <c r="H258" i="10"/>
  <c r="C258" i="10"/>
  <c r="B258" i="10"/>
  <c r="N257" i="10"/>
  <c r="I257" i="10"/>
  <c r="E257" i="10"/>
  <c r="C257" i="10"/>
  <c r="B257" i="10"/>
  <c r="H257" i="10" s="1"/>
  <c r="N256" i="10"/>
  <c r="H256" i="10"/>
  <c r="C256" i="10"/>
  <c r="I256" i="10" s="1"/>
  <c r="B256" i="10"/>
  <c r="N255" i="10"/>
  <c r="I255" i="10"/>
  <c r="E255" i="10"/>
  <c r="C255" i="10"/>
  <c r="B255" i="10"/>
  <c r="H255" i="10" s="1"/>
  <c r="N254" i="10"/>
  <c r="H254" i="10"/>
  <c r="C254" i="10"/>
  <c r="B254" i="10"/>
  <c r="N253" i="10"/>
  <c r="I253" i="10"/>
  <c r="E253" i="10"/>
  <c r="C253" i="10"/>
  <c r="B253" i="10"/>
  <c r="H253" i="10" s="1"/>
  <c r="N252" i="10"/>
  <c r="H252" i="10"/>
  <c r="C252" i="10"/>
  <c r="I252" i="10" s="1"/>
  <c r="B252" i="10"/>
  <c r="N251" i="10"/>
  <c r="I251" i="10"/>
  <c r="E251" i="10"/>
  <c r="C251" i="10"/>
  <c r="B251" i="10"/>
  <c r="H251" i="10" s="1"/>
  <c r="N250" i="10"/>
  <c r="H250" i="10"/>
  <c r="C250" i="10"/>
  <c r="B250" i="10"/>
  <c r="N249" i="10"/>
  <c r="I249" i="10"/>
  <c r="E249" i="10"/>
  <c r="C249" i="10"/>
  <c r="B249" i="10"/>
  <c r="H249" i="10" s="1"/>
  <c r="N248" i="10"/>
  <c r="H248" i="10"/>
  <c r="C248" i="10"/>
  <c r="I248" i="10" s="1"/>
  <c r="B248" i="10"/>
  <c r="N247" i="10"/>
  <c r="I247" i="10"/>
  <c r="E247" i="10"/>
  <c r="C247" i="10"/>
  <c r="B247" i="10"/>
  <c r="H247" i="10" s="1"/>
  <c r="N246" i="10"/>
  <c r="H246" i="10"/>
  <c r="C246" i="10"/>
  <c r="B246" i="10"/>
  <c r="N245" i="10"/>
  <c r="I245" i="10"/>
  <c r="E245" i="10"/>
  <c r="C245" i="10"/>
  <c r="B245" i="10"/>
  <c r="H245" i="10" s="1"/>
  <c r="N244" i="10"/>
  <c r="H244" i="10"/>
  <c r="C244" i="10"/>
  <c r="I244" i="10" s="1"/>
  <c r="B244" i="10"/>
  <c r="N243" i="10"/>
  <c r="I243" i="10"/>
  <c r="E243" i="10"/>
  <c r="C243" i="10"/>
  <c r="B243" i="10"/>
  <c r="H243" i="10" s="1"/>
  <c r="N242" i="10"/>
  <c r="H242" i="10"/>
  <c r="C242" i="10"/>
  <c r="B242" i="10"/>
  <c r="N241" i="10"/>
  <c r="I241" i="10"/>
  <c r="E241" i="10"/>
  <c r="C241" i="10"/>
  <c r="B241" i="10"/>
  <c r="H241" i="10" s="1"/>
  <c r="N240" i="10"/>
  <c r="H240" i="10"/>
  <c r="C240" i="10"/>
  <c r="I240" i="10" s="1"/>
  <c r="B240" i="10"/>
  <c r="N239" i="10"/>
  <c r="I239" i="10"/>
  <c r="E239" i="10"/>
  <c r="C239" i="10"/>
  <c r="B239" i="10"/>
  <c r="H239" i="10" s="1"/>
  <c r="N238" i="10"/>
  <c r="H238" i="10"/>
  <c r="C238" i="10"/>
  <c r="B238" i="10"/>
  <c r="N237" i="10"/>
  <c r="I237" i="10"/>
  <c r="E237" i="10"/>
  <c r="C237" i="10"/>
  <c r="B237" i="10"/>
  <c r="H237" i="10" s="1"/>
  <c r="N236" i="10"/>
  <c r="H236" i="10"/>
  <c r="C236" i="10"/>
  <c r="I236" i="10" s="1"/>
  <c r="B236" i="10"/>
  <c r="N235" i="10"/>
  <c r="I235" i="10"/>
  <c r="E235" i="10"/>
  <c r="C235" i="10"/>
  <c r="B235" i="10"/>
  <c r="H235" i="10" s="1"/>
  <c r="N234" i="10"/>
  <c r="H234" i="10"/>
  <c r="C234" i="10"/>
  <c r="B234" i="10"/>
  <c r="N233" i="10"/>
  <c r="I233" i="10"/>
  <c r="E233" i="10"/>
  <c r="C233" i="10"/>
  <c r="B233" i="10"/>
  <c r="H233" i="10" s="1"/>
  <c r="N232" i="10"/>
  <c r="H232" i="10"/>
  <c r="C232" i="10"/>
  <c r="I232" i="10" s="1"/>
  <c r="B232" i="10"/>
  <c r="N231" i="10"/>
  <c r="I231" i="10"/>
  <c r="E231" i="10"/>
  <c r="C231" i="10"/>
  <c r="B231" i="10"/>
  <c r="H231" i="10" s="1"/>
  <c r="N230" i="10"/>
  <c r="H230" i="10"/>
  <c r="C230" i="10"/>
  <c r="B230" i="10"/>
  <c r="N229" i="10"/>
  <c r="I229" i="10"/>
  <c r="E229" i="10"/>
  <c r="C229" i="10"/>
  <c r="B229" i="10"/>
  <c r="H229" i="10" s="1"/>
  <c r="N228" i="10"/>
  <c r="H228" i="10"/>
  <c r="C228" i="10"/>
  <c r="I228" i="10" s="1"/>
  <c r="B228" i="10"/>
  <c r="N227" i="10"/>
  <c r="I227" i="10"/>
  <c r="E227" i="10"/>
  <c r="C227" i="10"/>
  <c r="B227" i="10"/>
  <c r="H227" i="10" s="1"/>
  <c r="N226" i="10"/>
  <c r="H226" i="10"/>
  <c r="C226" i="10"/>
  <c r="B226" i="10"/>
  <c r="N225" i="10"/>
  <c r="I225" i="10"/>
  <c r="E225" i="10"/>
  <c r="C225" i="10"/>
  <c r="B225" i="10"/>
  <c r="H225" i="10" s="1"/>
  <c r="N224" i="10"/>
  <c r="H224" i="10"/>
  <c r="C224" i="10"/>
  <c r="I224" i="10" s="1"/>
  <c r="B224" i="10"/>
  <c r="N223" i="10"/>
  <c r="I223" i="10"/>
  <c r="E223" i="10"/>
  <c r="C223" i="10"/>
  <c r="B223" i="10"/>
  <c r="H223" i="10" s="1"/>
  <c r="N222" i="10"/>
  <c r="H222" i="10"/>
  <c r="C222" i="10"/>
  <c r="B222" i="10"/>
  <c r="N221" i="10"/>
  <c r="I221" i="10"/>
  <c r="E221" i="10"/>
  <c r="C221" i="10"/>
  <c r="B221" i="10"/>
  <c r="H221" i="10" s="1"/>
  <c r="N220" i="10"/>
  <c r="H220" i="10"/>
  <c r="C220" i="10"/>
  <c r="I220" i="10" s="1"/>
  <c r="B220" i="10"/>
  <c r="N219" i="10"/>
  <c r="I219" i="10"/>
  <c r="E219" i="10"/>
  <c r="C219" i="10"/>
  <c r="B219" i="10"/>
  <c r="H219" i="10" s="1"/>
  <c r="N218" i="10"/>
  <c r="H218" i="10"/>
  <c r="C218" i="10"/>
  <c r="B218" i="10"/>
  <c r="N217" i="10"/>
  <c r="I217" i="10"/>
  <c r="E217" i="10"/>
  <c r="C217" i="10"/>
  <c r="B217" i="10"/>
  <c r="H217" i="10" s="1"/>
  <c r="N216" i="10"/>
  <c r="H216" i="10"/>
  <c r="C216" i="10"/>
  <c r="I216" i="10" s="1"/>
  <c r="B216" i="10"/>
  <c r="N215" i="10"/>
  <c r="I215" i="10"/>
  <c r="E215" i="10"/>
  <c r="C215" i="10"/>
  <c r="B215" i="10"/>
  <c r="H215" i="10" s="1"/>
  <c r="N214" i="10"/>
  <c r="H214" i="10"/>
  <c r="C214" i="10"/>
  <c r="B214" i="10"/>
  <c r="N213" i="10"/>
  <c r="I213" i="10"/>
  <c r="E213" i="10"/>
  <c r="C213" i="10"/>
  <c r="B213" i="10"/>
  <c r="H213" i="10" s="1"/>
  <c r="N212" i="10"/>
  <c r="H212" i="10"/>
  <c r="C212" i="10"/>
  <c r="I212" i="10" s="1"/>
  <c r="B212" i="10"/>
  <c r="N211" i="10"/>
  <c r="I211" i="10"/>
  <c r="E211" i="10"/>
  <c r="C211" i="10"/>
  <c r="B211" i="10"/>
  <c r="H211" i="10" s="1"/>
  <c r="N210" i="10"/>
  <c r="H210" i="10"/>
  <c r="C210" i="10"/>
  <c r="B210" i="10"/>
  <c r="N209" i="10"/>
  <c r="I209" i="10"/>
  <c r="E209" i="10"/>
  <c r="C209" i="10"/>
  <c r="B209" i="10"/>
  <c r="H209" i="10" s="1"/>
  <c r="N208" i="10"/>
  <c r="H208" i="10"/>
  <c r="C208" i="10"/>
  <c r="I208" i="10" s="1"/>
  <c r="B208" i="10"/>
  <c r="N207" i="10"/>
  <c r="I207" i="10"/>
  <c r="E207" i="10"/>
  <c r="C207" i="10"/>
  <c r="B207" i="10"/>
  <c r="H207" i="10" s="1"/>
  <c r="N206" i="10"/>
  <c r="H206" i="10"/>
  <c r="C206" i="10"/>
  <c r="B206" i="10"/>
  <c r="N205" i="10"/>
  <c r="I205" i="10"/>
  <c r="E205" i="10"/>
  <c r="C205" i="10"/>
  <c r="B205" i="10"/>
  <c r="H205" i="10" s="1"/>
  <c r="N204" i="10"/>
  <c r="H204" i="10"/>
  <c r="C204" i="10"/>
  <c r="I204" i="10" s="1"/>
  <c r="B204" i="10"/>
  <c r="N203" i="10"/>
  <c r="I203" i="10"/>
  <c r="E203" i="10"/>
  <c r="C203" i="10"/>
  <c r="B203" i="10"/>
  <c r="H203" i="10" s="1"/>
  <c r="N202" i="10"/>
  <c r="H202" i="10"/>
  <c r="C202" i="10"/>
  <c r="B202" i="10"/>
  <c r="N201" i="10"/>
  <c r="I201" i="10"/>
  <c r="E201" i="10"/>
  <c r="C201" i="10"/>
  <c r="B201" i="10"/>
  <c r="H201" i="10" s="1"/>
  <c r="N200" i="10"/>
  <c r="H200" i="10"/>
  <c r="C200" i="10"/>
  <c r="I200" i="10" s="1"/>
  <c r="B200" i="10"/>
  <c r="N199" i="10"/>
  <c r="I199" i="10"/>
  <c r="E199" i="10"/>
  <c r="C199" i="10"/>
  <c r="B199" i="10"/>
  <c r="H199" i="10" s="1"/>
  <c r="N198" i="10"/>
  <c r="H198" i="10"/>
  <c r="C198" i="10"/>
  <c r="B198" i="10"/>
  <c r="N197" i="10"/>
  <c r="I197" i="10"/>
  <c r="E197" i="10"/>
  <c r="C197" i="10"/>
  <c r="B197" i="10"/>
  <c r="H197" i="10" s="1"/>
  <c r="N196" i="10"/>
  <c r="H196" i="10"/>
  <c r="C196" i="10"/>
  <c r="I196" i="10" s="1"/>
  <c r="B196" i="10"/>
  <c r="N195" i="10"/>
  <c r="I195" i="10"/>
  <c r="E195" i="10"/>
  <c r="C195" i="10"/>
  <c r="B195" i="10"/>
  <c r="H195" i="10" s="1"/>
  <c r="N194" i="10"/>
  <c r="H194" i="10"/>
  <c r="C194" i="10"/>
  <c r="B194" i="10"/>
  <c r="N193" i="10"/>
  <c r="I193" i="10"/>
  <c r="E193" i="10"/>
  <c r="C193" i="10"/>
  <c r="B193" i="10"/>
  <c r="H193" i="10" s="1"/>
  <c r="N192" i="10"/>
  <c r="H192" i="10"/>
  <c r="C192" i="10"/>
  <c r="I192" i="10" s="1"/>
  <c r="B192" i="10"/>
  <c r="N191" i="10"/>
  <c r="I191" i="10"/>
  <c r="E191" i="10"/>
  <c r="C191" i="10"/>
  <c r="B191" i="10"/>
  <c r="H191" i="10" s="1"/>
  <c r="N190" i="10"/>
  <c r="H190" i="10"/>
  <c r="C190" i="10"/>
  <c r="B190" i="10"/>
  <c r="N189" i="10"/>
  <c r="I189" i="10"/>
  <c r="E189" i="10"/>
  <c r="C189" i="10"/>
  <c r="B189" i="10"/>
  <c r="H189" i="10" s="1"/>
  <c r="N188" i="10"/>
  <c r="H188" i="10"/>
  <c r="C188" i="10"/>
  <c r="I188" i="10" s="1"/>
  <c r="B188" i="10"/>
  <c r="N187" i="10"/>
  <c r="I187" i="10"/>
  <c r="E187" i="10"/>
  <c r="C187" i="10"/>
  <c r="B187" i="10"/>
  <c r="H187" i="10" s="1"/>
  <c r="N186" i="10"/>
  <c r="H186" i="10"/>
  <c r="C186" i="10"/>
  <c r="B186" i="10"/>
  <c r="N185" i="10"/>
  <c r="I185" i="10"/>
  <c r="E185" i="10"/>
  <c r="C185" i="10"/>
  <c r="B185" i="10"/>
  <c r="H185" i="10" s="1"/>
  <c r="N184" i="10"/>
  <c r="H184" i="10"/>
  <c r="C184" i="10"/>
  <c r="I184" i="10" s="1"/>
  <c r="B184" i="10"/>
  <c r="N183" i="10"/>
  <c r="I183" i="10"/>
  <c r="E183" i="10"/>
  <c r="C183" i="10"/>
  <c r="B183" i="10"/>
  <c r="H183" i="10" s="1"/>
  <c r="N182" i="10"/>
  <c r="H182" i="10"/>
  <c r="C182" i="10"/>
  <c r="B182" i="10"/>
  <c r="N181" i="10"/>
  <c r="I181" i="10"/>
  <c r="E181" i="10"/>
  <c r="C181" i="10"/>
  <c r="B181" i="10"/>
  <c r="H181" i="10" s="1"/>
  <c r="N180" i="10"/>
  <c r="H180" i="10"/>
  <c r="C180" i="10"/>
  <c r="I180" i="10" s="1"/>
  <c r="B180" i="10"/>
  <c r="N179" i="10"/>
  <c r="I179" i="10"/>
  <c r="E179" i="10"/>
  <c r="C179" i="10"/>
  <c r="B179" i="10"/>
  <c r="H179" i="10" s="1"/>
  <c r="N178" i="10"/>
  <c r="H178" i="10"/>
  <c r="C178" i="10"/>
  <c r="B178" i="10"/>
  <c r="N177" i="10"/>
  <c r="I177" i="10"/>
  <c r="E177" i="10"/>
  <c r="C177" i="10"/>
  <c r="B177" i="10"/>
  <c r="H177" i="10" s="1"/>
  <c r="N176" i="10"/>
  <c r="H176" i="10"/>
  <c r="C176" i="10"/>
  <c r="I176" i="10" s="1"/>
  <c r="B176" i="10"/>
  <c r="N175" i="10"/>
  <c r="I175" i="10"/>
  <c r="E175" i="10"/>
  <c r="C175" i="10"/>
  <c r="B175" i="10"/>
  <c r="H175" i="10" s="1"/>
  <c r="N174" i="10"/>
  <c r="H174" i="10"/>
  <c r="C174" i="10"/>
  <c r="B174" i="10"/>
  <c r="N173" i="10"/>
  <c r="I173" i="10"/>
  <c r="E173" i="10"/>
  <c r="C173" i="10"/>
  <c r="B173" i="10"/>
  <c r="H173" i="10" s="1"/>
  <c r="N172" i="10"/>
  <c r="H172" i="10"/>
  <c r="C172" i="10"/>
  <c r="I172" i="10" s="1"/>
  <c r="B172" i="10"/>
  <c r="N171" i="10"/>
  <c r="I171" i="10"/>
  <c r="E171" i="10"/>
  <c r="C171" i="10"/>
  <c r="B171" i="10"/>
  <c r="H171" i="10" s="1"/>
  <c r="N170" i="10"/>
  <c r="H170" i="10"/>
  <c r="C170" i="10"/>
  <c r="B170" i="10"/>
  <c r="N169" i="10"/>
  <c r="I169" i="10"/>
  <c r="E169" i="10"/>
  <c r="C169" i="10"/>
  <c r="B169" i="10"/>
  <c r="H169" i="10" s="1"/>
  <c r="N168" i="10"/>
  <c r="H168" i="10"/>
  <c r="C168" i="10"/>
  <c r="I168" i="10" s="1"/>
  <c r="B168" i="10"/>
  <c r="N167" i="10"/>
  <c r="I167" i="10"/>
  <c r="E167" i="10"/>
  <c r="C167" i="10"/>
  <c r="B167" i="10"/>
  <c r="H167" i="10" s="1"/>
  <c r="N166" i="10"/>
  <c r="H166" i="10"/>
  <c r="C166" i="10"/>
  <c r="B166" i="10"/>
  <c r="N165" i="10"/>
  <c r="I165" i="10"/>
  <c r="E165" i="10"/>
  <c r="C165" i="10"/>
  <c r="B165" i="10"/>
  <c r="H165" i="10" s="1"/>
  <c r="N164" i="10"/>
  <c r="H164" i="10"/>
  <c r="C164" i="10"/>
  <c r="I164" i="10" s="1"/>
  <c r="B164" i="10"/>
  <c r="N163" i="10"/>
  <c r="I163" i="10"/>
  <c r="E163" i="10"/>
  <c r="C163" i="10"/>
  <c r="B163" i="10"/>
  <c r="H163" i="10" s="1"/>
  <c r="N162" i="10"/>
  <c r="H162" i="10"/>
  <c r="C162" i="10"/>
  <c r="B162" i="10"/>
  <c r="N161" i="10"/>
  <c r="I161" i="10"/>
  <c r="E161" i="10"/>
  <c r="C161" i="10"/>
  <c r="B161" i="10"/>
  <c r="H161" i="10" s="1"/>
  <c r="N160" i="10"/>
  <c r="H160" i="10"/>
  <c r="C160" i="10"/>
  <c r="I160" i="10" s="1"/>
  <c r="B160" i="10"/>
  <c r="N159" i="10"/>
  <c r="I159" i="10"/>
  <c r="E159" i="10"/>
  <c r="C159" i="10"/>
  <c r="B159" i="10"/>
  <c r="H159" i="10" s="1"/>
  <c r="N158" i="10"/>
  <c r="H158" i="10"/>
  <c r="C158" i="10"/>
  <c r="B158" i="10"/>
  <c r="N157" i="10"/>
  <c r="I157" i="10"/>
  <c r="E157" i="10"/>
  <c r="C157" i="10"/>
  <c r="B157" i="10"/>
  <c r="H157" i="10" s="1"/>
  <c r="N156" i="10"/>
  <c r="H156" i="10"/>
  <c r="C156" i="10"/>
  <c r="I156" i="10" s="1"/>
  <c r="B156" i="10"/>
  <c r="N155" i="10"/>
  <c r="I155" i="10"/>
  <c r="E155" i="10"/>
  <c r="C155" i="10"/>
  <c r="B155" i="10"/>
  <c r="H155" i="10" s="1"/>
  <c r="N154" i="10"/>
  <c r="H154" i="10"/>
  <c r="C154" i="10"/>
  <c r="B154" i="10"/>
  <c r="N153" i="10"/>
  <c r="I153" i="10"/>
  <c r="E153" i="10"/>
  <c r="C153" i="10"/>
  <c r="B153" i="10"/>
  <c r="H153" i="10" s="1"/>
  <c r="N152" i="10"/>
  <c r="H152" i="10"/>
  <c r="C152" i="10"/>
  <c r="I152" i="10" s="1"/>
  <c r="B152" i="10"/>
  <c r="N151" i="10"/>
  <c r="I151" i="10"/>
  <c r="E151" i="10"/>
  <c r="C151" i="10"/>
  <c r="B151" i="10"/>
  <c r="H151" i="10" s="1"/>
  <c r="N150" i="10"/>
  <c r="H150" i="10"/>
  <c r="C150" i="10"/>
  <c r="B150" i="10"/>
  <c r="N149" i="10"/>
  <c r="I149" i="10"/>
  <c r="E149" i="10"/>
  <c r="C149" i="10"/>
  <c r="B149" i="10"/>
  <c r="H149" i="10" s="1"/>
  <c r="N148" i="10"/>
  <c r="H148" i="10"/>
  <c r="C148" i="10"/>
  <c r="I148" i="10" s="1"/>
  <c r="B148" i="10"/>
  <c r="N147" i="10"/>
  <c r="I147" i="10"/>
  <c r="E147" i="10"/>
  <c r="C147" i="10"/>
  <c r="B147" i="10"/>
  <c r="H147" i="10" s="1"/>
  <c r="N146" i="10"/>
  <c r="H146" i="10"/>
  <c r="C146" i="10"/>
  <c r="B146" i="10"/>
  <c r="N145" i="10"/>
  <c r="I145" i="10"/>
  <c r="E145" i="10"/>
  <c r="C145" i="10"/>
  <c r="B145" i="10"/>
  <c r="H145" i="10" s="1"/>
  <c r="N144" i="10"/>
  <c r="H144" i="10"/>
  <c r="C144" i="10"/>
  <c r="I144" i="10" s="1"/>
  <c r="B144" i="10"/>
  <c r="N143" i="10"/>
  <c r="I143" i="10"/>
  <c r="E143" i="10"/>
  <c r="C143" i="10"/>
  <c r="B143" i="10"/>
  <c r="H143" i="10" s="1"/>
  <c r="N142" i="10"/>
  <c r="H142" i="10"/>
  <c r="C142" i="10"/>
  <c r="B142" i="10"/>
  <c r="N141" i="10"/>
  <c r="I141" i="10"/>
  <c r="E141" i="10"/>
  <c r="C141" i="10"/>
  <c r="B141" i="10"/>
  <c r="H141" i="10" s="1"/>
  <c r="N140" i="10"/>
  <c r="H140" i="10"/>
  <c r="C140" i="10"/>
  <c r="I140" i="10" s="1"/>
  <c r="B140" i="10"/>
  <c r="N139" i="10"/>
  <c r="I139" i="10"/>
  <c r="E139" i="10"/>
  <c r="C139" i="10"/>
  <c r="B139" i="10"/>
  <c r="H139" i="10" s="1"/>
  <c r="N138" i="10"/>
  <c r="H138" i="10"/>
  <c r="C138" i="10"/>
  <c r="B138" i="10"/>
  <c r="N137" i="10"/>
  <c r="I137" i="10"/>
  <c r="E137" i="10"/>
  <c r="C137" i="10"/>
  <c r="B137" i="10"/>
  <c r="H137" i="10" s="1"/>
  <c r="N136" i="10"/>
  <c r="H136" i="10"/>
  <c r="C136" i="10"/>
  <c r="I136" i="10" s="1"/>
  <c r="B136" i="10"/>
  <c r="N135" i="10"/>
  <c r="I135" i="10"/>
  <c r="E135" i="10"/>
  <c r="C135" i="10"/>
  <c r="B135" i="10"/>
  <c r="H135" i="10" s="1"/>
  <c r="N134" i="10"/>
  <c r="H134" i="10"/>
  <c r="C134" i="10"/>
  <c r="B134" i="10"/>
  <c r="N133" i="10"/>
  <c r="I133" i="10"/>
  <c r="E133" i="10"/>
  <c r="C133" i="10"/>
  <c r="B133" i="10"/>
  <c r="H133" i="10" s="1"/>
  <c r="N132" i="10"/>
  <c r="H132" i="10"/>
  <c r="C132" i="10"/>
  <c r="I132" i="10" s="1"/>
  <c r="B132" i="10"/>
  <c r="N131" i="10"/>
  <c r="I131" i="10"/>
  <c r="E131" i="10"/>
  <c r="C131" i="10"/>
  <c r="B131" i="10"/>
  <c r="H131" i="10" s="1"/>
  <c r="N130" i="10"/>
  <c r="H130" i="10"/>
  <c r="C130" i="10"/>
  <c r="B130" i="10"/>
  <c r="N129" i="10"/>
  <c r="I129" i="10"/>
  <c r="E129" i="10"/>
  <c r="C129" i="10"/>
  <c r="B129" i="10"/>
  <c r="H129" i="10" s="1"/>
  <c r="N128" i="10"/>
  <c r="H128" i="10"/>
  <c r="C128" i="10"/>
  <c r="I128" i="10" s="1"/>
  <c r="B128" i="10"/>
  <c r="N127" i="10"/>
  <c r="I127" i="10"/>
  <c r="E127" i="10"/>
  <c r="C127" i="10"/>
  <c r="B127" i="10"/>
  <c r="H127" i="10" s="1"/>
  <c r="N126" i="10"/>
  <c r="H126" i="10"/>
  <c r="C126" i="10"/>
  <c r="B126" i="10"/>
  <c r="N125" i="10"/>
  <c r="I125" i="10"/>
  <c r="E125" i="10"/>
  <c r="C125" i="10"/>
  <c r="B125" i="10"/>
  <c r="H125" i="10" s="1"/>
  <c r="N124" i="10"/>
  <c r="H124" i="10"/>
  <c r="C124" i="10"/>
  <c r="I124" i="10" s="1"/>
  <c r="B124" i="10"/>
  <c r="N123" i="10"/>
  <c r="I123" i="10"/>
  <c r="E123" i="10"/>
  <c r="C123" i="10"/>
  <c r="B123" i="10"/>
  <c r="H123" i="10" s="1"/>
  <c r="N122" i="10"/>
  <c r="H122" i="10"/>
  <c r="C122" i="10"/>
  <c r="B122" i="10"/>
  <c r="N121" i="10"/>
  <c r="I121" i="10"/>
  <c r="E121" i="10"/>
  <c r="C121" i="10"/>
  <c r="B121" i="10"/>
  <c r="H121" i="10" s="1"/>
  <c r="N120" i="10"/>
  <c r="H120" i="10"/>
  <c r="C120" i="10"/>
  <c r="I120" i="10" s="1"/>
  <c r="B120" i="10"/>
  <c r="N119" i="10"/>
  <c r="I119" i="10"/>
  <c r="E119" i="10"/>
  <c r="C119" i="10"/>
  <c r="B119" i="10"/>
  <c r="H119" i="10" s="1"/>
  <c r="N118" i="10"/>
  <c r="H118" i="10"/>
  <c r="C118" i="10"/>
  <c r="B118" i="10"/>
  <c r="N117" i="10"/>
  <c r="I117" i="10"/>
  <c r="E117" i="10"/>
  <c r="C117" i="10"/>
  <c r="B117" i="10"/>
  <c r="H117" i="10" s="1"/>
  <c r="N116" i="10"/>
  <c r="H116" i="10"/>
  <c r="C116" i="10"/>
  <c r="I116" i="10" s="1"/>
  <c r="B116" i="10"/>
  <c r="N115" i="10"/>
  <c r="I115" i="10"/>
  <c r="E115" i="10"/>
  <c r="C115" i="10"/>
  <c r="B115" i="10"/>
  <c r="H115" i="10" s="1"/>
  <c r="N114" i="10"/>
  <c r="H114" i="10"/>
  <c r="C114" i="10"/>
  <c r="B114" i="10"/>
  <c r="N113" i="10"/>
  <c r="I113" i="10"/>
  <c r="E113" i="10"/>
  <c r="C113" i="10"/>
  <c r="B113" i="10"/>
  <c r="H113" i="10" s="1"/>
  <c r="N112" i="10"/>
  <c r="H112" i="10"/>
  <c r="C112" i="10"/>
  <c r="I112" i="10" s="1"/>
  <c r="B112" i="10"/>
  <c r="N111" i="10"/>
  <c r="I111" i="10"/>
  <c r="E111" i="10"/>
  <c r="C111" i="10"/>
  <c r="B111" i="10"/>
  <c r="H111" i="10" s="1"/>
  <c r="N110" i="10"/>
  <c r="H110" i="10"/>
  <c r="C110" i="10"/>
  <c r="B110" i="10"/>
  <c r="N109" i="10"/>
  <c r="I109" i="10"/>
  <c r="E109" i="10"/>
  <c r="C109" i="10"/>
  <c r="B109" i="10"/>
  <c r="H109" i="10" s="1"/>
  <c r="N108" i="10"/>
  <c r="H108" i="10"/>
  <c r="C108" i="10"/>
  <c r="I108" i="10" s="1"/>
  <c r="B108" i="10"/>
  <c r="N107" i="10"/>
  <c r="I107" i="10"/>
  <c r="E107" i="10"/>
  <c r="C107" i="10"/>
  <c r="B107" i="10"/>
  <c r="H107" i="10" s="1"/>
  <c r="N106" i="10"/>
  <c r="H106" i="10"/>
  <c r="C106" i="10"/>
  <c r="B106" i="10"/>
  <c r="N105" i="10"/>
  <c r="I105" i="10"/>
  <c r="E105" i="10"/>
  <c r="C105" i="10"/>
  <c r="B105" i="10"/>
  <c r="H105" i="10" s="1"/>
  <c r="N104" i="10"/>
  <c r="H104" i="10"/>
  <c r="C104" i="10"/>
  <c r="I104" i="10" s="1"/>
  <c r="B104" i="10"/>
  <c r="N103" i="10"/>
  <c r="I103" i="10"/>
  <c r="E103" i="10"/>
  <c r="C103" i="10"/>
  <c r="B103" i="10"/>
  <c r="H103" i="10" s="1"/>
  <c r="N102" i="10"/>
  <c r="H102" i="10"/>
  <c r="C102" i="10"/>
  <c r="B102" i="10"/>
  <c r="N101" i="10"/>
  <c r="I101" i="10"/>
  <c r="E101" i="10"/>
  <c r="C101" i="10"/>
  <c r="B101" i="10"/>
  <c r="H101" i="10" s="1"/>
  <c r="N100" i="10"/>
  <c r="H100" i="10"/>
  <c r="C100" i="10"/>
  <c r="I100" i="10" s="1"/>
  <c r="B100" i="10"/>
  <c r="N99" i="10"/>
  <c r="I99" i="10"/>
  <c r="E99" i="10"/>
  <c r="C99" i="10"/>
  <c r="B99" i="10"/>
  <c r="H99" i="10" s="1"/>
  <c r="N98" i="10"/>
  <c r="H98" i="10"/>
  <c r="C98" i="10"/>
  <c r="B98" i="10"/>
  <c r="N97" i="10"/>
  <c r="I97" i="10"/>
  <c r="E97" i="10"/>
  <c r="C97" i="10"/>
  <c r="B97" i="10"/>
  <c r="H97" i="10" s="1"/>
  <c r="N96" i="10"/>
  <c r="H96" i="10"/>
  <c r="C96" i="10"/>
  <c r="I96" i="10" s="1"/>
  <c r="B96" i="10"/>
  <c r="N95" i="10"/>
  <c r="I95" i="10"/>
  <c r="E95" i="10"/>
  <c r="C95" i="10"/>
  <c r="B95" i="10"/>
  <c r="H95" i="10" s="1"/>
  <c r="N94" i="10"/>
  <c r="H94" i="10"/>
  <c r="C94" i="10"/>
  <c r="B94" i="10"/>
  <c r="N93" i="10"/>
  <c r="I93" i="10"/>
  <c r="E93" i="10"/>
  <c r="C93" i="10"/>
  <c r="B93" i="10"/>
  <c r="H93" i="10" s="1"/>
  <c r="N92" i="10"/>
  <c r="H92" i="10"/>
  <c r="C92" i="10"/>
  <c r="I92" i="10" s="1"/>
  <c r="B92" i="10"/>
  <c r="N91" i="10"/>
  <c r="I91" i="10"/>
  <c r="E91" i="10"/>
  <c r="C91" i="10"/>
  <c r="B91" i="10"/>
  <c r="H91" i="10" s="1"/>
  <c r="N90" i="10"/>
  <c r="H90" i="10"/>
  <c r="C90" i="10"/>
  <c r="B90" i="10"/>
  <c r="N89" i="10"/>
  <c r="I89" i="10"/>
  <c r="E89" i="10"/>
  <c r="C89" i="10"/>
  <c r="B89" i="10"/>
  <c r="H89" i="10" s="1"/>
  <c r="N88" i="10"/>
  <c r="H88" i="10"/>
  <c r="C88" i="10"/>
  <c r="I88" i="10" s="1"/>
  <c r="B88" i="10"/>
  <c r="N87" i="10"/>
  <c r="I87" i="10"/>
  <c r="E87" i="10"/>
  <c r="C87" i="10"/>
  <c r="B87" i="10"/>
  <c r="H87" i="10" s="1"/>
  <c r="N86" i="10"/>
  <c r="H86" i="10"/>
  <c r="C86" i="10"/>
  <c r="B86" i="10"/>
  <c r="N85" i="10"/>
  <c r="I85" i="10"/>
  <c r="E85" i="10"/>
  <c r="C85" i="10"/>
  <c r="B85" i="10"/>
  <c r="H85" i="10" s="1"/>
  <c r="N84" i="10"/>
  <c r="H84" i="10"/>
  <c r="C84" i="10"/>
  <c r="I84" i="10" s="1"/>
  <c r="B84" i="10"/>
  <c r="N83" i="10"/>
  <c r="I83" i="10"/>
  <c r="E83" i="10"/>
  <c r="C83" i="10"/>
  <c r="B83" i="10"/>
  <c r="H83" i="10" s="1"/>
  <c r="N82" i="10"/>
  <c r="H82" i="10"/>
  <c r="C82" i="10"/>
  <c r="B82" i="10"/>
  <c r="N81" i="10"/>
  <c r="I81" i="10"/>
  <c r="E81" i="10"/>
  <c r="C81" i="10"/>
  <c r="B81" i="10"/>
  <c r="H81" i="10" s="1"/>
  <c r="N80" i="10"/>
  <c r="H80" i="10"/>
  <c r="C80" i="10"/>
  <c r="I80" i="10" s="1"/>
  <c r="B80" i="10"/>
  <c r="N79" i="10"/>
  <c r="I79" i="10"/>
  <c r="E79" i="10"/>
  <c r="C79" i="10"/>
  <c r="B79" i="10"/>
  <c r="H79" i="10" s="1"/>
  <c r="N78" i="10"/>
  <c r="H78" i="10"/>
  <c r="C78" i="10"/>
  <c r="B78" i="10"/>
  <c r="N77" i="10"/>
  <c r="K77" i="10"/>
  <c r="I77" i="10"/>
  <c r="E77" i="10"/>
  <c r="C77" i="10"/>
  <c r="B77" i="10"/>
  <c r="H77" i="10" s="1"/>
  <c r="N76" i="10"/>
  <c r="H76" i="10"/>
  <c r="C76" i="10"/>
  <c r="I76" i="10" s="1"/>
  <c r="B76" i="10"/>
  <c r="N75" i="10"/>
  <c r="K75" i="10"/>
  <c r="I75" i="10"/>
  <c r="E75" i="10"/>
  <c r="C75" i="10"/>
  <c r="B75" i="10"/>
  <c r="H75" i="10" s="1"/>
  <c r="N74" i="10"/>
  <c r="H74" i="10"/>
  <c r="C74" i="10"/>
  <c r="K74" i="10" s="1"/>
  <c r="B74" i="10"/>
  <c r="N73" i="10"/>
  <c r="K73" i="10"/>
  <c r="I73" i="10"/>
  <c r="E73" i="10"/>
  <c r="C73" i="10"/>
  <c r="B73" i="10"/>
  <c r="H73" i="10" s="1"/>
  <c r="N72" i="10"/>
  <c r="H72" i="10"/>
  <c r="C72" i="10"/>
  <c r="I72" i="10" s="1"/>
  <c r="B72" i="10"/>
  <c r="N71" i="10"/>
  <c r="K71" i="10"/>
  <c r="I71" i="10"/>
  <c r="E71" i="10"/>
  <c r="C71" i="10"/>
  <c r="B71" i="10"/>
  <c r="H71" i="10" s="1"/>
  <c r="N70" i="10"/>
  <c r="H70" i="10"/>
  <c r="C70" i="10"/>
  <c r="K70" i="10" s="1"/>
  <c r="B70" i="10"/>
  <c r="N69" i="10"/>
  <c r="K69" i="10"/>
  <c r="I69" i="10"/>
  <c r="E69" i="10"/>
  <c r="C69" i="10"/>
  <c r="B69" i="10"/>
  <c r="H69" i="10" s="1"/>
  <c r="N68" i="10"/>
  <c r="H68" i="10"/>
  <c r="C68" i="10"/>
  <c r="I68" i="10" s="1"/>
  <c r="B68" i="10"/>
  <c r="N67" i="10"/>
  <c r="K67" i="10"/>
  <c r="I67" i="10"/>
  <c r="E67" i="10"/>
  <c r="C67" i="10"/>
  <c r="B67" i="10"/>
  <c r="H67" i="10" s="1"/>
  <c r="N66" i="10"/>
  <c r="H66" i="10"/>
  <c r="C66" i="10"/>
  <c r="K66" i="10" s="1"/>
  <c r="B66" i="10"/>
  <c r="N65" i="10"/>
  <c r="K65" i="10"/>
  <c r="I65" i="10"/>
  <c r="E65" i="10"/>
  <c r="C65" i="10"/>
  <c r="B65" i="10"/>
  <c r="H65" i="10" s="1"/>
  <c r="N64" i="10"/>
  <c r="H64" i="10"/>
  <c r="C64" i="10"/>
  <c r="I64" i="10" s="1"/>
  <c r="B64" i="10"/>
  <c r="N63" i="10"/>
  <c r="K63" i="10"/>
  <c r="I63" i="10"/>
  <c r="E63" i="10"/>
  <c r="C63" i="10"/>
  <c r="B63" i="10"/>
  <c r="H63" i="10" s="1"/>
  <c r="N62" i="10"/>
  <c r="H62" i="10"/>
  <c r="C62" i="10"/>
  <c r="K62" i="10" s="1"/>
  <c r="B62" i="10"/>
  <c r="N61" i="10"/>
  <c r="K61" i="10"/>
  <c r="I61" i="10"/>
  <c r="E61" i="10"/>
  <c r="C61" i="10"/>
  <c r="B61" i="10"/>
  <c r="H61" i="10" s="1"/>
  <c r="N60" i="10"/>
  <c r="H60" i="10"/>
  <c r="C60" i="10"/>
  <c r="I60" i="10" s="1"/>
  <c r="B60" i="10"/>
  <c r="N59" i="10"/>
  <c r="K59" i="10"/>
  <c r="I59" i="10"/>
  <c r="E59" i="10"/>
  <c r="C59" i="10"/>
  <c r="B59" i="10"/>
  <c r="H59" i="10" s="1"/>
  <c r="N58" i="10"/>
  <c r="H58" i="10"/>
  <c r="C58" i="10"/>
  <c r="K58" i="10" s="1"/>
  <c r="B58" i="10"/>
  <c r="N57" i="10"/>
  <c r="K57" i="10"/>
  <c r="I57" i="10"/>
  <c r="E57" i="10"/>
  <c r="C57" i="10"/>
  <c r="B57" i="10"/>
  <c r="H57" i="10" s="1"/>
  <c r="N56" i="10"/>
  <c r="H56" i="10"/>
  <c r="C56" i="10"/>
  <c r="I56" i="10" s="1"/>
  <c r="B56" i="10"/>
  <c r="N55" i="10"/>
  <c r="K55" i="10"/>
  <c r="I55" i="10"/>
  <c r="E55" i="10"/>
  <c r="C55" i="10"/>
  <c r="B55" i="10"/>
  <c r="H55" i="10" s="1"/>
  <c r="N54" i="10"/>
  <c r="H54" i="10"/>
  <c r="C54" i="10"/>
  <c r="K54" i="10" s="1"/>
  <c r="B54" i="10"/>
  <c r="N53" i="10"/>
  <c r="K53" i="10"/>
  <c r="I53" i="10"/>
  <c r="E53" i="10"/>
  <c r="C53" i="10"/>
  <c r="B53" i="10"/>
  <c r="H53" i="10" s="1"/>
  <c r="N52" i="10"/>
  <c r="H52" i="10"/>
  <c r="C52" i="10"/>
  <c r="I52" i="10" s="1"/>
  <c r="B52" i="10"/>
  <c r="N51" i="10"/>
  <c r="K51" i="10"/>
  <c r="I51" i="10"/>
  <c r="E51" i="10"/>
  <c r="C51" i="10"/>
  <c r="B51" i="10"/>
  <c r="H51" i="10" s="1"/>
  <c r="N50" i="10"/>
  <c r="H50" i="10"/>
  <c r="C50" i="10"/>
  <c r="K50" i="10" s="1"/>
  <c r="B50" i="10"/>
  <c r="N49" i="10"/>
  <c r="K49" i="10"/>
  <c r="I49" i="10"/>
  <c r="E49" i="10"/>
  <c r="C49" i="10"/>
  <c r="B49" i="10"/>
  <c r="H49" i="10" s="1"/>
  <c r="N48" i="10"/>
  <c r="H48" i="10"/>
  <c r="C48" i="10"/>
  <c r="I48" i="10" s="1"/>
  <c r="B48" i="10"/>
  <c r="N47" i="10"/>
  <c r="K47" i="10"/>
  <c r="I47" i="10"/>
  <c r="E47" i="10"/>
  <c r="C47" i="10"/>
  <c r="B47" i="10"/>
  <c r="H47" i="10" s="1"/>
  <c r="N46" i="10"/>
  <c r="H46" i="10"/>
  <c r="C46" i="10"/>
  <c r="K46" i="10" s="1"/>
  <c r="B46" i="10"/>
  <c r="N45" i="10"/>
  <c r="K45" i="10"/>
  <c r="I45" i="10"/>
  <c r="E45" i="10"/>
  <c r="C45" i="10"/>
  <c r="B45" i="10"/>
  <c r="H45" i="10" s="1"/>
  <c r="N44" i="10"/>
  <c r="H44" i="10"/>
  <c r="C44" i="10"/>
  <c r="I44" i="10" s="1"/>
  <c r="B44" i="10"/>
  <c r="N43" i="10"/>
  <c r="K43" i="10"/>
  <c r="I43" i="10"/>
  <c r="E43" i="10"/>
  <c r="C43" i="10"/>
  <c r="B43" i="10"/>
  <c r="H43" i="10" s="1"/>
  <c r="N42" i="10"/>
  <c r="H42" i="10"/>
  <c r="C42" i="10"/>
  <c r="K42" i="10" s="1"/>
  <c r="B42" i="10"/>
  <c r="N41" i="10"/>
  <c r="K41" i="10"/>
  <c r="I41" i="10"/>
  <c r="E41" i="10"/>
  <c r="C41" i="10"/>
  <c r="B41" i="10"/>
  <c r="H41" i="10" s="1"/>
  <c r="N40" i="10"/>
  <c r="H40" i="10"/>
  <c r="C40" i="10"/>
  <c r="I40" i="10" s="1"/>
  <c r="B40" i="10"/>
  <c r="N39" i="10"/>
  <c r="K39" i="10"/>
  <c r="I39" i="10"/>
  <c r="E39" i="10"/>
  <c r="C39" i="10"/>
  <c r="B39" i="10"/>
  <c r="H39" i="10" s="1"/>
  <c r="N38" i="10"/>
  <c r="H38" i="10"/>
  <c r="C38" i="10"/>
  <c r="K38" i="10" s="1"/>
  <c r="B38" i="10"/>
  <c r="N37" i="10"/>
  <c r="K37" i="10"/>
  <c r="I37" i="10"/>
  <c r="E37" i="10"/>
  <c r="C37" i="10"/>
  <c r="B37" i="10"/>
  <c r="H37" i="10" s="1"/>
  <c r="N36" i="10"/>
  <c r="H36" i="10"/>
  <c r="C36" i="10"/>
  <c r="I36" i="10" s="1"/>
  <c r="B36" i="10"/>
  <c r="N35" i="10"/>
  <c r="K35" i="10"/>
  <c r="I35" i="10"/>
  <c r="E35" i="10"/>
  <c r="C35" i="10"/>
  <c r="B35" i="10"/>
  <c r="H35" i="10" s="1"/>
  <c r="N34" i="10"/>
  <c r="H34" i="10"/>
  <c r="C34" i="10"/>
  <c r="K34" i="10" s="1"/>
  <c r="B34" i="10"/>
  <c r="N33" i="10"/>
  <c r="K33" i="10"/>
  <c r="I33" i="10"/>
  <c r="E33" i="10"/>
  <c r="C33" i="10"/>
  <c r="B33" i="10"/>
  <c r="H33" i="10" s="1"/>
  <c r="N32" i="10"/>
  <c r="H32" i="10"/>
  <c r="C32" i="10"/>
  <c r="I32" i="10" s="1"/>
  <c r="B32" i="10"/>
  <c r="N31" i="10"/>
  <c r="K31" i="10"/>
  <c r="I31" i="10"/>
  <c r="E31" i="10"/>
  <c r="C31" i="10"/>
  <c r="B31" i="10"/>
  <c r="H31" i="10" s="1"/>
  <c r="N30" i="10"/>
  <c r="H30" i="10"/>
  <c r="C30" i="10"/>
  <c r="K30" i="10" s="1"/>
  <c r="B30" i="10"/>
  <c r="N29" i="10"/>
  <c r="K29" i="10"/>
  <c r="I29" i="10"/>
  <c r="E29" i="10"/>
  <c r="C29" i="10"/>
  <c r="B29" i="10"/>
  <c r="H29" i="10" s="1"/>
  <c r="N28" i="10"/>
  <c r="H28" i="10"/>
  <c r="C28" i="10"/>
  <c r="I28" i="10" s="1"/>
  <c r="B28" i="10"/>
  <c r="N27" i="10"/>
  <c r="K27" i="10"/>
  <c r="I27" i="10"/>
  <c r="E27" i="10"/>
  <c r="C27" i="10"/>
  <c r="B27" i="10"/>
  <c r="H27" i="10" s="1"/>
  <c r="N26" i="10"/>
  <c r="H26" i="10"/>
  <c r="C26" i="10"/>
  <c r="K26" i="10" s="1"/>
  <c r="B26" i="10"/>
  <c r="N25" i="10"/>
  <c r="K25" i="10"/>
  <c r="I25" i="10"/>
  <c r="E25" i="10"/>
  <c r="C25" i="10"/>
  <c r="B25" i="10"/>
  <c r="H25" i="10" s="1"/>
  <c r="N24" i="10"/>
  <c r="H24" i="10"/>
  <c r="C24" i="10"/>
  <c r="I24" i="10" s="1"/>
  <c r="B24" i="10"/>
  <c r="N23" i="10"/>
  <c r="K23" i="10"/>
  <c r="I23" i="10"/>
  <c r="E23" i="10"/>
  <c r="C23" i="10"/>
  <c r="B23" i="10"/>
  <c r="H23" i="10" s="1"/>
  <c r="N22" i="10"/>
  <c r="H22" i="10"/>
  <c r="C22" i="10"/>
  <c r="K22" i="10" s="1"/>
  <c r="B22" i="10"/>
  <c r="N21" i="10"/>
  <c r="K21" i="10"/>
  <c r="I21" i="10"/>
  <c r="E21" i="10"/>
  <c r="C21" i="10"/>
  <c r="B21" i="10"/>
  <c r="H21" i="10" s="1"/>
  <c r="N20" i="10"/>
  <c r="H20" i="10"/>
  <c r="C20" i="10"/>
  <c r="I20" i="10" s="1"/>
  <c r="B20" i="10"/>
  <c r="N19" i="10"/>
  <c r="K19" i="10"/>
  <c r="I19" i="10"/>
  <c r="E19" i="10"/>
  <c r="C19" i="10"/>
  <c r="B19" i="10"/>
  <c r="H19" i="10" s="1"/>
  <c r="N18" i="10"/>
  <c r="H18" i="10"/>
  <c r="C18" i="10"/>
  <c r="K18" i="10" s="1"/>
  <c r="B18" i="10"/>
  <c r="N17" i="10"/>
  <c r="K17" i="10"/>
  <c r="I17" i="10"/>
  <c r="E17" i="10"/>
  <c r="C17" i="10"/>
  <c r="B17" i="10"/>
  <c r="H17" i="10" s="1"/>
  <c r="N16" i="10"/>
  <c r="H16" i="10"/>
  <c r="C16" i="10"/>
  <c r="I16" i="10" s="1"/>
  <c r="B16" i="10"/>
  <c r="N15" i="10"/>
  <c r="K15" i="10"/>
  <c r="I15" i="10"/>
  <c r="E15" i="10"/>
  <c r="C15" i="10"/>
  <c r="B15" i="10"/>
  <c r="H15" i="10" s="1"/>
  <c r="N14" i="10"/>
  <c r="H14" i="10"/>
  <c r="C14" i="10"/>
  <c r="K14" i="10" s="1"/>
  <c r="B14" i="10"/>
  <c r="N13" i="10"/>
  <c r="K13" i="10"/>
  <c r="I13" i="10"/>
  <c r="E13" i="10"/>
  <c r="C13" i="10"/>
  <c r="B13" i="10"/>
  <c r="H13" i="10" s="1"/>
  <c r="N12" i="10"/>
  <c r="H12" i="10"/>
  <c r="C12" i="10"/>
  <c r="I12" i="10" s="1"/>
  <c r="B12" i="10"/>
  <c r="N11" i="10"/>
  <c r="K11" i="10"/>
  <c r="I11" i="10"/>
  <c r="E11" i="10"/>
  <c r="C11" i="10"/>
  <c r="B11" i="10"/>
  <c r="H11" i="10" s="1"/>
  <c r="K7" i="10"/>
  <c r="C6" i="10" a="1"/>
  <c r="C6" i="10" s="1"/>
  <c r="D6" i="10" s="1" a="1"/>
  <c r="D6" i="10" s="1"/>
  <c r="N5" i="10"/>
  <c r="O5" i="10" s="1"/>
  <c r="B1" i="10"/>
  <c r="B3" i="10" s="1"/>
  <c r="Q1" i="12" s="1"/>
  <c r="D16" i="9"/>
  <c r="D11" i="9"/>
  <c r="E11" i="9" s="1"/>
  <c r="D7" i="9"/>
  <c r="E7" i="9" s="1"/>
  <c r="D6" i="9"/>
  <c r="E6" i="9" s="1"/>
  <c r="D5" i="9"/>
  <c r="E5" i="9" s="1"/>
  <c r="D4" i="9"/>
  <c r="E4" i="9" s="1"/>
  <c r="D3" i="9"/>
  <c r="D9" i="9" s="1"/>
  <c r="B115" i="8"/>
  <c r="B114" i="8"/>
  <c r="B113" i="8"/>
  <c r="B112" i="8"/>
  <c r="B111" i="8"/>
  <c r="B110" i="8"/>
  <c r="B109" i="8"/>
  <c r="B108" i="8"/>
  <c r="B107" i="8"/>
  <c r="B106" i="8"/>
  <c r="B105" i="8"/>
  <c r="B104" i="8"/>
  <c r="B103" i="8"/>
  <c r="B102" i="8"/>
  <c r="B101" i="8"/>
  <c r="B100" i="8"/>
  <c r="B99" i="8"/>
  <c r="B98" i="8"/>
  <c r="B97" i="8"/>
  <c r="B96" i="8"/>
  <c r="B95" i="8"/>
  <c r="B94" i="8"/>
  <c r="B93" i="8"/>
  <c r="B92" i="8"/>
  <c r="B91" i="8"/>
  <c r="B90" i="8"/>
  <c r="B89" i="8"/>
  <c r="B88" i="8"/>
  <c r="B87" i="8"/>
  <c r="B86" i="8"/>
  <c r="B85" i="8"/>
  <c r="B84" i="8"/>
  <c r="B83" i="8"/>
  <c r="B82" i="8"/>
  <c r="B81" i="8"/>
  <c r="B80" i="8"/>
  <c r="B79" i="8"/>
  <c r="B78" i="8"/>
  <c r="B77" i="8"/>
  <c r="B76" i="8"/>
  <c r="B75" i="8"/>
  <c r="B74" i="8"/>
  <c r="B73" i="8"/>
  <c r="B72" i="8"/>
  <c r="B71" i="8"/>
  <c r="B70" i="8"/>
  <c r="B69" i="8"/>
  <c r="B68" i="8"/>
  <c r="B67" i="8"/>
  <c r="B66" i="8"/>
  <c r="B65" i="8"/>
  <c r="B64" i="8"/>
  <c r="AC5" i="8"/>
  <c r="AB5" i="8"/>
  <c r="J30" i="3" s="1"/>
  <c r="AA5" i="8"/>
  <c r="Z5" i="8"/>
  <c r="J29" i="3" s="1"/>
  <c r="Y5" i="8"/>
  <c r="X5" i="8"/>
  <c r="J28" i="3" s="1"/>
  <c r="W5" i="8"/>
  <c r="V5" i="8"/>
  <c r="J27" i="3" s="1"/>
  <c r="U5" i="8"/>
  <c r="T5" i="8"/>
  <c r="S5" i="8"/>
  <c r="R5" i="8"/>
  <c r="P17" i="3" s="1"/>
  <c r="Q5" i="8"/>
  <c r="P5" i="8"/>
  <c r="J25" i="3" s="1"/>
  <c r="O5" i="8"/>
  <c r="N5" i="8"/>
  <c r="J24" i="3" s="1"/>
  <c r="M5" i="8"/>
  <c r="L5" i="8"/>
  <c r="J23" i="3" s="1"/>
  <c r="K5" i="8"/>
  <c r="J5" i="8"/>
  <c r="J22" i="3" s="1"/>
  <c r="I5" i="8"/>
  <c r="H5" i="8"/>
  <c r="J21" i="3" s="1"/>
  <c r="G5" i="8"/>
  <c r="F5" i="8"/>
  <c r="E5" i="8"/>
  <c r="D5" i="8"/>
  <c r="AC3" i="8"/>
  <c r="AC2" i="8" s="1"/>
  <c r="AA3" i="8"/>
  <c r="AA2" i="8" s="1"/>
  <c r="Y3" i="8"/>
  <c r="Y2" i="8" s="1"/>
  <c r="W3" i="8"/>
  <c r="W2" i="8" s="1"/>
  <c r="U3" i="8"/>
  <c r="U2" i="8" s="1"/>
  <c r="S3" i="8"/>
  <c r="S2" i="8" s="1"/>
  <c r="Q3" i="8"/>
  <c r="O3" i="8"/>
  <c r="O2" i="8" s="1"/>
  <c r="M3" i="8"/>
  <c r="M2" i="8" s="1"/>
  <c r="K3" i="8"/>
  <c r="K2" i="8" s="1"/>
  <c r="I3" i="8"/>
  <c r="I2" i="8" s="1"/>
  <c r="G3" i="8"/>
  <c r="G2" i="8" s="1"/>
  <c r="E3" i="8"/>
  <c r="E2" i="8" s="1"/>
  <c r="AB1" i="8"/>
  <c r="Z1" i="8"/>
  <c r="X1" i="8"/>
  <c r="V1" i="8"/>
  <c r="T1" i="8"/>
  <c r="R1" i="8"/>
  <c r="N1" i="8"/>
  <c r="L1" i="8"/>
  <c r="J1" i="8"/>
  <c r="H1" i="8"/>
  <c r="G1371" i="7"/>
  <c r="G1370" i="7" s="1"/>
  <c r="G1369" i="7" s="1"/>
  <c r="G1368" i="7" s="1"/>
  <c r="G1367" i="7" s="1"/>
  <c r="G1366" i="7" s="1"/>
  <c r="G1365" i="7" s="1"/>
  <c r="G1364" i="7" s="1"/>
  <c r="G1363" i="7" s="1"/>
  <c r="G1362" i="7" s="1"/>
  <c r="G1361" i="7" s="1"/>
  <c r="G1360" i="7" s="1"/>
  <c r="G1359" i="7" s="1"/>
  <c r="G1358" i="7" s="1"/>
  <c r="G1357" i="7" s="1"/>
  <c r="G1356" i="7" s="1"/>
  <c r="G1355" i="7" s="1"/>
  <c r="G1354" i="7" s="1"/>
  <c r="G1353" i="7" s="1"/>
  <c r="G1352" i="7" s="1"/>
  <c r="G1351" i="7" s="1"/>
  <c r="G1350" i="7" s="1"/>
  <c r="G1349" i="7" s="1"/>
  <c r="G1348" i="7" s="1"/>
  <c r="G1347" i="7" s="1"/>
  <c r="G1346" i="7" s="1"/>
  <c r="G1345" i="7" s="1"/>
  <c r="G1344" i="7" s="1"/>
  <c r="G1343" i="7" s="1"/>
  <c r="G1342" i="7" s="1"/>
  <c r="G1341" i="7" s="1"/>
  <c r="G1340" i="7" s="1"/>
  <c r="G1339" i="7" s="1"/>
  <c r="G1338" i="7" s="1"/>
  <c r="G1337" i="7" s="1"/>
  <c r="G1336" i="7" s="1"/>
  <c r="G1335" i="7" s="1"/>
  <c r="G1334" i="7" s="1"/>
  <c r="G1333" i="7" s="1"/>
  <c r="G1332" i="7" s="1"/>
  <c r="G1331" i="7" s="1"/>
  <c r="G1330" i="7" s="1"/>
  <c r="G1329" i="7" s="1"/>
  <c r="G1328" i="7" s="1"/>
  <c r="G1327" i="7" s="1"/>
  <c r="G1326" i="7" s="1"/>
  <c r="G1325" i="7" s="1"/>
  <c r="G1324" i="7" s="1"/>
  <c r="G1323" i="7" s="1"/>
  <c r="G1322" i="7" s="1"/>
  <c r="G1321" i="7" s="1"/>
  <c r="G1320" i="7" s="1"/>
  <c r="G1319" i="7" s="1"/>
  <c r="G1318" i="7" s="1"/>
  <c r="G1317" i="7" s="1"/>
  <c r="G1316" i="7" s="1"/>
  <c r="G1315" i="7" s="1"/>
  <c r="G1314" i="7" s="1"/>
  <c r="G1313" i="7" s="1"/>
  <c r="G1312" i="7" s="1"/>
  <c r="G1311" i="7" s="1"/>
  <c r="G1310" i="7" s="1"/>
  <c r="G1309" i="7" s="1"/>
  <c r="G1308" i="7" s="1"/>
  <c r="G1307" i="7" s="1"/>
  <c r="G1306" i="7" s="1"/>
  <c r="G1305" i="7" s="1"/>
  <c r="G1304" i="7" s="1"/>
  <c r="G1303" i="7" s="1"/>
  <c r="G1302" i="7" s="1"/>
  <c r="G1301" i="7" s="1"/>
  <c r="G1300" i="7" s="1"/>
  <c r="G1299" i="7" s="1"/>
  <c r="G1298" i="7" s="1"/>
  <c r="G1297" i="7" s="1"/>
  <c r="G1296" i="7" s="1"/>
  <c r="G1295" i="7" s="1"/>
  <c r="G1294" i="7" s="1"/>
  <c r="G1293" i="7" s="1"/>
  <c r="G1292" i="7" s="1"/>
  <c r="G1291" i="7" s="1"/>
  <c r="G1290" i="7" s="1"/>
  <c r="G1289" i="7" s="1"/>
  <c r="G1288" i="7" s="1"/>
  <c r="G1287" i="7" s="1"/>
  <c r="G1286" i="7" s="1"/>
  <c r="G1285" i="7" s="1"/>
  <c r="G1284" i="7" s="1"/>
  <c r="G1283" i="7" s="1"/>
  <c r="G1282" i="7" s="1"/>
  <c r="G1281" i="7" s="1"/>
  <c r="G1280" i="7" s="1"/>
  <c r="G1279" i="7" s="1"/>
  <c r="G1278" i="7" s="1"/>
  <c r="G1277" i="7" s="1"/>
  <c r="G1276" i="7" s="1"/>
  <c r="G1275" i="7" s="1"/>
  <c r="G1274" i="7" s="1"/>
  <c r="G1273" i="7" s="1"/>
  <c r="G1272" i="7" s="1"/>
  <c r="G1271" i="7" s="1"/>
  <c r="G1270" i="7" s="1"/>
  <c r="G1269" i="7" s="1"/>
  <c r="G1268" i="7" s="1"/>
  <c r="G1267" i="7" s="1"/>
  <c r="G1266" i="7" s="1"/>
  <c r="G1265" i="7" s="1"/>
  <c r="G1264" i="7" s="1"/>
  <c r="G1263" i="7" s="1"/>
  <c r="G1262" i="7" s="1"/>
  <c r="G1261" i="7" s="1"/>
  <c r="G1260" i="7" s="1"/>
  <c r="G1259" i="7" s="1"/>
  <c r="G1258" i="7" s="1"/>
  <c r="G1257" i="7" s="1"/>
  <c r="G1256" i="7" s="1"/>
  <c r="G1255" i="7" s="1"/>
  <c r="G1254" i="7" s="1"/>
  <c r="G1253" i="7" s="1"/>
  <c r="G1252" i="7" s="1"/>
  <c r="G1251" i="7" s="1"/>
  <c r="G1250" i="7" s="1"/>
  <c r="G1249" i="7" s="1"/>
  <c r="G1248" i="7" s="1"/>
  <c r="G1247" i="7" s="1"/>
  <c r="G1246" i="7" s="1"/>
  <c r="G1245" i="7" s="1"/>
  <c r="G1244" i="7" s="1"/>
  <c r="G1243" i="7" s="1"/>
  <c r="G1242" i="7" s="1"/>
  <c r="G1241" i="7" s="1"/>
  <c r="G1240" i="7" s="1"/>
  <c r="G1239" i="7" s="1"/>
  <c r="G1238" i="7" s="1"/>
  <c r="G1237" i="7" s="1"/>
  <c r="G1236" i="7" s="1"/>
  <c r="G1235" i="7" s="1"/>
  <c r="G1234" i="7" s="1"/>
  <c r="G1233" i="7" s="1"/>
  <c r="G1232" i="7" s="1"/>
  <c r="G1231" i="7" s="1"/>
  <c r="G1230" i="7" s="1"/>
  <c r="G1229" i="7" s="1"/>
  <c r="G1228" i="7" s="1"/>
  <c r="G1227" i="7" s="1"/>
  <c r="G1226" i="7" s="1"/>
  <c r="G1225" i="7" s="1"/>
  <c r="G1224" i="7" s="1"/>
  <c r="G1223" i="7" s="1"/>
  <c r="G1222" i="7" s="1"/>
  <c r="G1221" i="7" s="1"/>
  <c r="G1220" i="7" s="1"/>
  <c r="G1219" i="7" s="1"/>
  <c r="G1218" i="7" s="1"/>
  <c r="G1217" i="7" s="1"/>
  <c r="G1216" i="7" s="1"/>
  <c r="G1215" i="7" s="1"/>
  <c r="G1214" i="7" s="1"/>
  <c r="G1213" i="7" s="1"/>
  <c r="G1212" i="7" s="1"/>
  <c r="G1211" i="7" s="1"/>
  <c r="G1210" i="7" s="1"/>
  <c r="G1209" i="7" s="1"/>
  <c r="G1208" i="7" s="1"/>
  <c r="G1207" i="7" s="1"/>
  <c r="G1206" i="7" s="1"/>
  <c r="G1205" i="7" s="1"/>
  <c r="G1204" i="7" s="1"/>
  <c r="G1203" i="7" s="1"/>
  <c r="G1202" i="7" s="1"/>
  <c r="G1201" i="7" s="1"/>
  <c r="G1200" i="7" s="1"/>
  <c r="G1199" i="7" s="1"/>
  <c r="G1198" i="7" s="1"/>
  <c r="G1197" i="7" s="1"/>
  <c r="G1196" i="7" s="1"/>
  <c r="G1195" i="7" s="1"/>
  <c r="G1194" i="7" s="1"/>
  <c r="G1193" i="7" s="1"/>
  <c r="G1192" i="7" s="1"/>
  <c r="G1191" i="7" s="1"/>
  <c r="G1190" i="7" s="1"/>
  <c r="G1189" i="7" s="1"/>
  <c r="G1188" i="7" s="1"/>
  <c r="G1187" i="7" s="1"/>
  <c r="G1186" i="7" s="1"/>
  <c r="G1185" i="7" s="1"/>
  <c r="G1184" i="7" s="1"/>
  <c r="G1183" i="7" s="1"/>
  <c r="G1182" i="7" s="1"/>
  <c r="G1181" i="7" s="1"/>
  <c r="G1180" i="7" s="1"/>
  <c r="G1179" i="7" s="1"/>
  <c r="G1178" i="7" s="1"/>
  <c r="G1177" i="7" s="1"/>
  <c r="G1176" i="7" s="1"/>
  <c r="G1175" i="7" s="1"/>
  <c r="G1174" i="7" s="1"/>
  <c r="G1173" i="7" s="1"/>
  <c r="G1172" i="7" s="1"/>
  <c r="G1171" i="7" s="1"/>
  <c r="G1170" i="7" s="1"/>
  <c r="G1169" i="7" s="1"/>
  <c r="G1168" i="7" s="1"/>
  <c r="G1167" i="7" s="1"/>
  <c r="G1166" i="7" s="1"/>
  <c r="G1165" i="7" s="1"/>
  <c r="G1164" i="7" s="1"/>
  <c r="G1163" i="7" s="1"/>
  <c r="G1162" i="7" s="1"/>
  <c r="G1161" i="7" s="1"/>
  <c r="G1160" i="7" s="1"/>
  <c r="G1159" i="7" s="1"/>
  <c r="G1158" i="7" s="1"/>
  <c r="G1157" i="7" s="1"/>
  <c r="G1156" i="7" s="1"/>
  <c r="G1155" i="7" s="1"/>
  <c r="G1154" i="7" s="1"/>
  <c r="G1153" i="7" s="1"/>
  <c r="G1152" i="7" s="1"/>
  <c r="G1151" i="7" s="1"/>
  <c r="G1150" i="7" s="1"/>
  <c r="G1149" i="7" s="1"/>
  <c r="G1148" i="7" s="1"/>
  <c r="G1147" i="7" s="1"/>
  <c r="G1146" i="7" s="1"/>
  <c r="G1145" i="7" s="1"/>
  <c r="G1144" i="7" s="1"/>
  <c r="G1143" i="7" s="1"/>
  <c r="G1142" i="7" s="1"/>
  <c r="G1141" i="7" s="1"/>
  <c r="G1140" i="7" s="1"/>
  <c r="G1139" i="7" s="1"/>
  <c r="G1138" i="7" s="1"/>
  <c r="G1137" i="7" s="1"/>
  <c r="G1136" i="7" s="1"/>
  <c r="G1135" i="7" s="1"/>
  <c r="G1134" i="7" s="1"/>
  <c r="G1133" i="7" s="1"/>
  <c r="G1132" i="7" s="1"/>
  <c r="G1131" i="7" s="1"/>
  <c r="G1130" i="7" s="1"/>
  <c r="G1129" i="7" s="1"/>
  <c r="G1128" i="7" s="1"/>
  <c r="G1127" i="7" s="1"/>
  <c r="G1126" i="7" s="1"/>
  <c r="G1125" i="7" s="1"/>
  <c r="G1124" i="7" s="1"/>
  <c r="G1123" i="7" s="1"/>
  <c r="G1122" i="7" s="1"/>
  <c r="G1121" i="7" s="1"/>
  <c r="G1120" i="7" s="1"/>
  <c r="G1119" i="7" s="1"/>
  <c r="G1118" i="7" s="1"/>
  <c r="G1117" i="7" s="1"/>
  <c r="G1116" i="7" s="1"/>
  <c r="G1115" i="7" s="1"/>
  <c r="G1114" i="7" s="1"/>
  <c r="G1113" i="7" s="1"/>
  <c r="G1112" i="7" s="1"/>
  <c r="G1111" i="7" s="1"/>
  <c r="G1110" i="7" s="1"/>
  <c r="G1109" i="7" s="1"/>
  <c r="G1108" i="7" s="1"/>
  <c r="G1107" i="7" s="1"/>
  <c r="G1106" i="7" s="1"/>
  <c r="G1105" i="7" s="1"/>
  <c r="G1104" i="7" s="1"/>
  <c r="G1103" i="7" s="1"/>
  <c r="G1102" i="7" s="1"/>
  <c r="G1101" i="7" s="1"/>
  <c r="G1100" i="7" s="1"/>
  <c r="G1099" i="7" s="1"/>
  <c r="G1098" i="7" s="1"/>
  <c r="G1097" i="7" s="1"/>
  <c r="G1096" i="7" s="1"/>
  <c r="G1095" i="7" s="1"/>
  <c r="G1094" i="7" s="1"/>
  <c r="G1093" i="7" s="1"/>
  <c r="G1092" i="7" s="1"/>
  <c r="G1091" i="7" s="1"/>
  <c r="G1090" i="7" s="1"/>
  <c r="G1089" i="7" s="1"/>
  <c r="G1088" i="7" s="1"/>
  <c r="G1087" i="7" s="1"/>
  <c r="G1086" i="7" s="1"/>
  <c r="G1085" i="7" s="1"/>
  <c r="G1084" i="7" s="1"/>
  <c r="G1083" i="7" s="1"/>
  <c r="G1082" i="7" s="1"/>
  <c r="G1081" i="7" s="1"/>
  <c r="G1080" i="7" s="1"/>
  <c r="G1079" i="7" s="1"/>
  <c r="G1078" i="7" s="1"/>
  <c r="G1077" i="7" s="1"/>
  <c r="G1076" i="7" s="1"/>
  <c r="G1075" i="7" s="1"/>
  <c r="G1074" i="7" s="1"/>
  <c r="G1073" i="7" s="1"/>
  <c r="G1072" i="7" s="1"/>
  <c r="G1071" i="7" s="1"/>
  <c r="G1070" i="7" s="1"/>
  <c r="G1069" i="7" s="1"/>
  <c r="G1068" i="7" s="1"/>
  <c r="G1067" i="7" s="1"/>
  <c r="G1066" i="7" s="1"/>
  <c r="G1065" i="7" s="1"/>
  <c r="G1064" i="7" s="1"/>
  <c r="G1063" i="7" s="1"/>
  <c r="G1062" i="7" s="1"/>
  <c r="G1061" i="7" s="1"/>
  <c r="G1060" i="7" s="1"/>
  <c r="G1059" i="7" s="1"/>
  <c r="G1058" i="7" s="1"/>
  <c r="G1057" i="7" s="1"/>
  <c r="G1056" i="7" s="1"/>
  <c r="G1055" i="7" s="1"/>
  <c r="G1054" i="7" s="1"/>
  <c r="G1053" i="7" s="1"/>
  <c r="G1052" i="7" s="1"/>
  <c r="G1051" i="7" s="1"/>
  <c r="G1050" i="7" s="1"/>
  <c r="G1049" i="7" s="1"/>
  <c r="G1048" i="7" s="1"/>
  <c r="G1047" i="7" s="1"/>
  <c r="G1046" i="7" s="1"/>
  <c r="G1045" i="7" s="1"/>
  <c r="G1044" i="7" s="1"/>
  <c r="G1043" i="7" s="1"/>
  <c r="G1042" i="7" s="1"/>
  <c r="G1041" i="7" s="1"/>
  <c r="G1040" i="7" s="1"/>
  <c r="G1039" i="7" s="1"/>
  <c r="G1038" i="7" s="1"/>
  <c r="G1037" i="7" s="1"/>
  <c r="G1036" i="7" s="1"/>
  <c r="G1035" i="7" s="1"/>
  <c r="G1034" i="7" s="1"/>
  <c r="G1033" i="7" s="1"/>
  <c r="G1032" i="7" s="1"/>
  <c r="G1031" i="7" s="1"/>
  <c r="G1030" i="7" s="1"/>
  <c r="G1029" i="7" s="1"/>
  <c r="G1028" i="7" s="1"/>
  <c r="G1027" i="7" s="1"/>
  <c r="G1026" i="7" s="1"/>
  <c r="G1025" i="7" s="1"/>
  <c r="G1024" i="7" s="1"/>
  <c r="G1023" i="7" s="1"/>
  <c r="G1022" i="7" s="1"/>
  <c r="G1021" i="7" s="1"/>
  <c r="G1020" i="7" s="1"/>
  <c r="G1019" i="7" s="1"/>
  <c r="G1018" i="7" s="1"/>
  <c r="G1017" i="7" s="1"/>
  <c r="G1016" i="7" s="1"/>
  <c r="G1015" i="7" s="1"/>
  <c r="G1014" i="7" s="1"/>
  <c r="G1013" i="7" s="1"/>
  <c r="G1012" i="7" s="1"/>
  <c r="G1011" i="7" s="1"/>
  <c r="G1010" i="7" s="1"/>
  <c r="G1009" i="7" s="1"/>
  <c r="G1008" i="7" s="1"/>
  <c r="G1007" i="7" s="1"/>
  <c r="G1006" i="7" s="1"/>
  <c r="G1005" i="7" s="1"/>
  <c r="G1004" i="7" s="1"/>
  <c r="G1003" i="7" s="1"/>
  <c r="G1002" i="7" s="1"/>
  <c r="G1001" i="7" s="1"/>
  <c r="G1000" i="7" s="1"/>
  <c r="G999" i="7" s="1"/>
  <c r="G998" i="7" s="1"/>
  <c r="G997" i="7" s="1"/>
  <c r="G996" i="7" s="1"/>
  <c r="G995" i="7" s="1"/>
  <c r="G994" i="7" s="1"/>
  <c r="G993" i="7" s="1"/>
  <c r="G992" i="7" s="1"/>
  <c r="G991" i="7" s="1"/>
  <c r="G990" i="7" s="1"/>
  <c r="G989" i="7" s="1"/>
  <c r="G988" i="7" s="1"/>
  <c r="G987" i="7" s="1"/>
  <c r="G986" i="7" s="1"/>
  <c r="G985" i="7" s="1"/>
  <c r="G984" i="7" s="1"/>
  <c r="G983" i="7" s="1"/>
  <c r="G982" i="7" s="1"/>
  <c r="G981" i="7" s="1"/>
  <c r="G980" i="7" s="1"/>
  <c r="G979" i="7" s="1"/>
  <c r="G978" i="7" s="1"/>
  <c r="G977" i="7" s="1"/>
  <c r="G976" i="7" s="1"/>
  <c r="G975" i="7" s="1"/>
  <c r="G974" i="7" s="1"/>
  <c r="G973" i="7" s="1"/>
  <c r="G972" i="7" s="1"/>
  <c r="G971" i="7" s="1"/>
  <c r="G970" i="7" s="1"/>
  <c r="G969" i="7" s="1"/>
  <c r="G968" i="7" s="1"/>
  <c r="G967" i="7" s="1"/>
  <c r="G966" i="7" s="1"/>
  <c r="G965" i="7" s="1"/>
  <c r="G964" i="7" s="1"/>
  <c r="G963" i="7" s="1"/>
  <c r="G962" i="7" s="1"/>
  <c r="G961" i="7" s="1"/>
  <c r="G960" i="7" s="1"/>
  <c r="G959" i="7" s="1"/>
  <c r="G958" i="7" s="1"/>
  <c r="G957" i="7" s="1"/>
  <c r="G956" i="7" s="1"/>
  <c r="G955" i="7" s="1"/>
  <c r="G954" i="7" s="1"/>
  <c r="G953" i="7" s="1"/>
  <c r="G952" i="7" s="1"/>
  <c r="G951" i="7" s="1"/>
  <c r="G950" i="7" s="1"/>
  <c r="G949" i="7" s="1"/>
  <c r="G948" i="7" s="1"/>
  <c r="G947" i="7" s="1"/>
  <c r="G946" i="7" s="1"/>
  <c r="G945" i="7" s="1"/>
  <c r="G944" i="7" s="1"/>
  <c r="G943" i="7" s="1"/>
  <c r="G942" i="7" s="1"/>
  <c r="G941" i="7" s="1"/>
  <c r="G940" i="7" s="1"/>
  <c r="G939" i="7" s="1"/>
  <c r="G938" i="7" s="1"/>
  <c r="G937" i="7" s="1"/>
  <c r="G936" i="7" s="1"/>
  <c r="G935" i="7" s="1"/>
  <c r="G934" i="7" s="1"/>
  <c r="G933" i="7" s="1"/>
  <c r="G932" i="7" s="1"/>
  <c r="G931" i="7" s="1"/>
  <c r="G930" i="7" s="1"/>
  <c r="G929" i="7" s="1"/>
  <c r="G928" i="7" s="1"/>
  <c r="G927" i="7" s="1"/>
  <c r="G926" i="7" s="1"/>
  <c r="G925" i="7" s="1"/>
  <c r="G924" i="7" s="1"/>
  <c r="G923" i="7" s="1"/>
  <c r="G922" i="7" s="1"/>
  <c r="G921" i="7" s="1"/>
  <c r="G920" i="7" s="1"/>
  <c r="G919" i="7" s="1"/>
  <c r="G918" i="7" s="1"/>
  <c r="G917" i="7" s="1"/>
  <c r="G916" i="7" s="1"/>
  <c r="G915" i="7" s="1"/>
  <c r="G914" i="7" s="1"/>
  <c r="G913" i="7" s="1"/>
  <c r="G912" i="7" s="1"/>
  <c r="G911" i="7" s="1"/>
  <c r="G910" i="7" s="1"/>
  <c r="G909" i="7" s="1"/>
  <c r="G908" i="7" s="1"/>
  <c r="G907" i="7" s="1"/>
  <c r="G906" i="7" s="1"/>
  <c r="G905" i="7" s="1"/>
  <c r="G904" i="7" s="1"/>
  <c r="G903" i="7" s="1"/>
  <c r="G902" i="7" s="1"/>
  <c r="G901" i="7" s="1"/>
  <c r="G900" i="7" s="1"/>
  <c r="G899" i="7" s="1"/>
  <c r="G898" i="7" s="1"/>
  <c r="G897" i="7" s="1"/>
  <c r="G896" i="7" s="1"/>
  <c r="G895" i="7" s="1"/>
  <c r="G894" i="7" s="1"/>
  <c r="G893" i="7" s="1"/>
  <c r="G892" i="7" s="1"/>
  <c r="G891" i="7" s="1"/>
  <c r="G890" i="7" s="1"/>
  <c r="G889" i="7" s="1"/>
  <c r="G888" i="7" s="1"/>
  <c r="G887" i="7" s="1"/>
  <c r="G886" i="7" s="1"/>
  <c r="G885" i="7" s="1"/>
  <c r="G884" i="7" s="1"/>
  <c r="G883" i="7" s="1"/>
  <c r="G882" i="7" s="1"/>
  <c r="G881" i="7" s="1"/>
  <c r="G880" i="7" s="1"/>
  <c r="G879" i="7" s="1"/>
  <c r="G878" i="7" s="1"/>
  <c r="G877" i="7" s="1"/>
  <c r="G876" i="7" s="1"/>
  <c r="G875" i="7" s="1"/>
  <c r="G874" i="7" s="1"/>
  <c r="G873" i="7" s="1"/>
  <c r="G872" i="7" s="1"/>
  <c r="G871" i="7" s="1"/>
  <c r="G870" i="7" s="1"/>
  <c r="G869" i="7" s="1"/>
  <c r="G868" i="7" s="1"/>
  <c r="G867" i="7" s="1"/>
  <c r="G866" i="7" s="1"/>
  <c r="G865" i="7" s="1"/>
  <c r="G864" i="7" s="1"/>
  <c r="G863" i="7" s="1"/>
  <c r="G862" i="7" s="1"/>
  <c r="G861" i="7" s="1"/>
  <c r="G860" i="7" s="1"/>
  <c r="G859" i="7" s="1"/>
  <c r="G858" i="7" s="1"/>
  <c r="G857" i="7" s="1"/>
  <c r="G856" i="7" s="1"/>
  <c r="G855" i="7" s="1"/>
  <c r="G854" i="7" s="1"/>
  <c r="G853" i="7" s="1"/>
  <c r="G852" i="7" s="1"/>
  <c r="G851" i="7" s="1"/>
  <c r="G850" i="7" s="1"/>
  <c r="G849" i="7" s="1"/>
  <c r="G848" i="7" s="1"/>
  <c r="G847" i="7" s="1"/>
  <c r="G846" i="7" s="1"/>
  <c r="G845" i="7" s="1"/>
  <c r="G844" i="7" s="1"/>
  <c r="G843" i="7" s="1"/>
  <c r="G842" i="7" s="1"/>
  <c r="G841" i="7" s="1"/>
  <c r="G840" i="7" s="1"/>
  <c r="G839" i="7" s="1"/>
  <c r="G838" i="7" s="1"/>
  <c r="G837" i="7" s="1"/>
  <c r="G836" i="7" s="1"/>
  <c r="G835" i="7" s="1"/>
  <c r="G834" i="7" s="1"/>
  <c r="G833" i="7" s="1"/>
  <c r="G832" i="7" s="1"/>
  <c r="G831" i="7" s="1"/>
  <c r="G830" i="7" s="1"/>
  <c r="G829" i="7" s="1"/>
  <c r="G828" i="7" s="1"/>
  <c r="G827" i="7" s="1"/>
  <c r="G826" i="7" s="1"/>
  <c r="G825" i="7" s="1"/>
  <c r="G824" i="7" s="1"/>
  <c r="G823" i="7" s="1"/>
  <c r="G822" i="7" s="1"/>
  <c r="G821" i="7" s="1"/>
  <c r="G820" i="7" s="1"/>
  <c r="G819" i="7" s="1"/>
  <c r="G818" i="7" s="1"/>
  <c r="G817" i="7" s="1"/>
  <c r="G816" i="7" s="1"/>
  <c r="G815" i="7" s="1"/>
  <c r="G814" i="7" s="1"/>
  <c r="G813" i="7" s="1"/>
  <c r="G812" i="7" s="1"/>
  <c r="G811" i="7" s="1"/>
  <c r="G810" i="7" s="1"/>
  <c r="G809" i="7" s="1"/>
  <c r="G808" i="7" s="1"/>
  <c r="G807" i="7" s="1"/>
  <c r="G806" i="7" s="1"/>
  <c r="G805" i="7" s="1"/>
  <c r="G804" i="7" s="1"/>
  <c r="G803" i="7" s="1"/>
  <c r="G802" i="7" s="1"/>
  <c r="G801" i="7" s="1"/>
  <c r="G800" i="7" s="1"/>
  <c r="G799" i="7" s="1"/>
  <c r="G798" i="7" s="1"/>
  <c r="G797" i="7" s="1"/>
  <c r="G796" i="7" s="1"/>
  <c r="G795" i="7" s="1"/>
  <c r="G794" i="7" s="1"/>
  <c r="G793" i="7" s="1"/>
  <c r="G792" i="7" s="1"/>
  <c r="G791" i="7" s="1"/>
  <c r="G790" i="7" s="1"/>
  <c r="G789" i="7" s="1"/>
  <c r="G788" i="7" s="1"/>
  <c r="G787" i="7" s="1"/>
  <c r="G786" i="7" s="1"/>
  <c r="G785" i="7" s="1"/>
  <c r="G784" i="7" s="1"/>
  <c r="G783" i="7" s="1"/>
  <c r="G782" i="7" s="1"/>
  <c r="G781" i="7" s="1"/>
  <c r="G780" i="7" s="1"/>
  <c r="G779" i="7" s="1"/>
  <c r="G778" i="7" s="1"/>
  <c r="G777" i="7" s="1"/>
  <c r="G776" i="7" s="1"/>
  <c r="G775" i="7" s="1"/>
  <c r="G774" i="7" s="1"/>
  <c r="G773" i="7" s="1"/>
  <c r="G772" i="7" s="1"/>
  <c r="G771" i="7" s="1"/>
  <c r="G770" i="7" s="1"/>
  <c r="G769" i="7" s="1"/>
  <c r="G768" i="7" s="1"/>
  <c r="G767" i="7" s="1"/>
  <c r="G766" i="7" s="1"/>
  <c r="G765" i="7" s="1"/>
  <c r="G764" i="7" s="1"/>
  <c r="G763" i="7" s="1"/>
  <c r="G762" i="7" s="1"/>
  <c r="G761" i="7" s="1"/>
  <c r="G760" i="7" s="1"/>
  <c r="G759" i="7" s="1"/>
  <c r="G758" i="7" s="1"/>
  <c r="G757" i="7" s="1"/>
  <c r="G756" i="7" s="1"/>
  <c r="G755" i="7" s="1"/>
  <c r="G754" i="7" s="1"/>
  <c r="G753" i="7" s="1"/>
  <c r="G752" i="7" s="1"/>
  <c r="G751" i="7" s="1"/>
  <c r="G750" i="7" s="1"/>
  <c r="G749" i="7" s="1"/>
  <c r="G748" i="7" s="1"/>
  <c r="G747" i="7" s="1"/>
  <c r="G746" i="7" s="1"/>
  <c r="G745" i="7" s="1"/>
  <c r="G744" i="7" s="1"/>
  <c r="G743" i="7" s="1"/>
  <c r="G742" i="7" s="1"/>
  <c r="G741" i="7" s="1"/>
  <c r="G740" i="7" s="1"/>
  <c r="G739" i="7" s="1"/>
  <c r="G738" i="7" s="1"/>
  <c r="G737" i="7" s="1"/>
  <c r="G736" i="7" s="1"/>
  <c r="G735" i="7" s="1"/>
  <c r="G734" i="7" s="1"/>
  <c r="G733" i="7" s="1"/>
  <c r="G732" i="7" s="1"/>
  <c r="G731" i="7" s="1"/>
  <c r="G730" i="7" s="1"/>
  <c r="G729" i="7" s="1"/>
  <c r="G728" i="7" s="1"/>
  <c r="G727" i="7" s="1"/>
  <c r="G726" i="7" s="1"/>
  <c r="G725" i="7" s="1"/>
  <c r="G724" i="7" s="1"/>
  <c r="G723" i="7" s="1"/>
  <c r="G722" i="7" s="1"/>
  <c r="G721" i="7" s="1"/>
  <c r="G720" i="7" s="1"/>
  <c r="G719" i="7" s="1"/>
  <c r="G718" i="7" s="1"/>
  <c r="G717" i="7" s="1"/>
  <c r="G716" i="7" s="1"/>
  <c r="G715" i="7" s="1"/>
  <c r="G714" i="7" s="1"/>
  <c r="G713" i="7" s="1"/>
  <c r="G712" i="7" s="1"/>
  <c r="G711" i="7" s="1"/>
  <c r="G710" i="7" s="1"/>
  <c r="G709" i="7" s="1"/>
  <c r="G708" i="7" s="1"/>
  <c r="G707" i="7" s="1"/>
  <c r="G706" i="7" s="1"/>
  <c r="G705" i="7" s="1"/>
  <c r="G704" i="7" s="1"/>
  <c r="G703" i="7" s="1"/>
  <c r="G702" i="7" s="1"/>
  <c r="G701" i="7" s="1"/>
  <c r="G700" i="7" s="1"/>
  <c r="G699" i="7" s="1"/>
  <c r="G698" i="7" s="1"/>
  <c r="G697" i="7" s="1"/>
  <c r="G696" i="7" s="1"/>
  <c r="G695" i="7" s="1"/>
  <c r="G694" i="7" s="1"/>
  <c r="G693" i="7" s="1"/>
  <c r="G692" i="7" s="1"/>
  <c r="G691" i="7" s="1"/>
  <c r="G690" i="7" s="1"/>
  <c r="G689" i="7" s="1"/>
  <c r="G688" i="7" s="1"/>
  <c r="G687" i="7" s="1"/>
  <c r="G686" i="7" s="1"/>
  <c r="G685" i="7" s="1"/>
  <c r="G684" i="7" s="1"/>
  <c r="G683" i="7" s="1"/>
  <c r="G682" i="7" s="1"/>
  <c r="G681" i="7" s="1"/>
  <c r="G680" i="7" s="1"/>
  <c r="G679" i="7" s="1"/>
  <c r="G678" i="7" s="1"/>
  <c r="G677" i="7" s="1"/>
  <c r="G676" i="7" s="1"/>
  <c r="G675" i="7" s="1"/>
  <c r="G674" i="7" s="1"/>
  <c r="G673" i="7" s="1"/>
  <c r="G672" i="7" s="1"/>
  <c r="G671" i="7" s="1"/>
  <c r="G670" i="7" s="1"/>
  <c r="G669" i="7" s="1"/>
  <c r="G668" i="7" s="1"/>
  <c r="G667" i="7" s="1"/>
  <c r="G666" i="7" s="1"/>
  <c r="G665" i="7" s="1"/>
  <c r="G664" i="7" s="1"/>
  <c r="G663" i="7" s="1"/>
  <c r="G662" i="7" s="1"/>
  <c r="G661" i="7" s="1"/>
  <c r="G660" i="7" s="1"/>
  <c r="G659" i="7" s="1"/>
  <c r="G658" i="7" s="1"/>
  <c r="G657" i="7" s="1"/>
  <c r="G656" i="7" s="1"/>
  <c r="G655" i="7" s="1"/>
  <c r="G654" i="7" s="1"/>
  <c r="G653" i="7" s="1"/>
  <c r="G652" i="7" s="1"/>
  <c r="G651" i="7" s="1"/>
  <c r="G650" i="7" s="1"/>
  <c r="G649" i="7" s="1"/>
  <c r="G648" i="7" s="1"/>
  <c r="G647" i="7" s="1"/>
  <c r="G646" i="7" s="1"/>
  <c r="G645" i="7" s="1"/>
  <c r="G644" i="7" s="1"/>
  <c r="G643" i="7" s="1"/>
  <c r="G642" i="7" s="1"/>
  <c r="G641" i="7" s="1"/>
  <c r="G640" i="7" s="1"/>
  <c r="G639" i="7" s="1"/>
  <c r="G638" i="7" s="1"/>
  <c r="G637" i="7" s="1"/>
  <c r="G636" i="7" s="1"/>
  <c r="G635" i="7" s="1"/>
  <c r="G634" i="7" s="1"/>
  <c r="G633" i="7" s="1"/>
  <c r="G632" i="7" s="1"/>
  <c r="G631" i="7" s="1"/>
  <c r="G630" i="7" s="1"/>
  <c r="G629" i="7" s="1"/>
  <c r="G628" i="7" s="1"/>
  <c r="G627" i="7" s="1"/>
  <c r="G626" i="7" s="1"/>
  <c r="G625" i="7" s="1"/>
  <c r="G624" i="7" s="1"/>
  <c r="G623" i="7" s="1"/>
  <c r="G622" i="7" s="1"/>
  <c r="G621" i="7" s="1"/>
  <c r="G620" i="7" s="1"/>
  <c r="G619" i="7" s="1"/>
  <c r="G618" i="7" s="1"/>
  <c r="G617" i="7" s="1"/>
  <c r="T2" i="7"/>
  <c r="T1" i="7" s="1"/>
  <c r="R2" i="7"/>
  <c r="G2" i="7" s="1"/>
  <c r="B2" i="2" s="1"/>
  <c r="P2" i="7"/>
  <c r="P1" i="7" s="1"/>
  <c r="N2" i="7"/>
  <c r="N1" i="7" s="1"/>
  <c r="L2" i="7"/>
  <c r="J2" i="7"/>
  <c r="AE52" i="6"/>
  <c r="AC52" i="6"/>
  <c r="AA52" i="6"/>
  <c r="Y52" i="6"/>
  <c r="W52" i="6"/>
  <c r="U52" i="6"/>
  <c r="S52" i="6"/>
  <c r="Q52" i="6"/>
  <c r="O52" i="6"/>
  <c r="M52" i="6"/>
  <c r="K52" i="6"/>
  <c r="I52" i="6"/>
  <c r="AE51" i="6"/>
  <c r="AC51" i="6"/>
  <c r="AA51" i="6"/>
  <c r="Y51" i="6"/>
  <c r="W51" i="6"/>
  <c r="U51" i="6"/>
  <c r="S51" i="6"/>
  <c r="Q51" i="6"/>
  <c r="O51" i="6"/>
  <c r="M51" i="6"/>
  <c r="K51" i="6"/>
  <c r="I51" i="6"/>
  <c r="AE50" i="6"/>
  <c r="AC50" i="6"/>
  <c r="AA50" i="6"/>
  <c r="Y50" i="6"/>
  <c r="W50" i="6"/>
  <c r="U50" i="6"/>
  <c r="S50" i="6"/>
  <c r="Q50" i="6"/>
  <c r="O50" i="6"/>
  <c r="M50" i="6"/>
  <c r="K50" i="6"/>
  <c r="I50" i="6"/>
  <c r="AE49" i="6"/>
  <c r="AC49" i="6"/>
  <c r="AA49" i="6"/>
  <c r="Y49" i="6"/>
  <c r="W49" i="6"/>
  <c r="U49" i="6"/>
  <c r="S49" i="6"/>
  <c r="Q49" i="6"/>
  <c r="O49" i="6"/>
  <c r="M49" i="6"/>
  <c r="K49" i="6"/>
  <c r="I49" i="6"/>
  <c r="AE46" i="6"/>
  <c r="AC46" i="6"/>
  <c r="AA46" i="6"/>
  <c r="Y46" i="6"/>
  <c r="W46" i="6"/>
  <c r="U46" i="6"/>
  <c r="S46" i="6"/>
  <c r="Q46" i="6"/>
  <c r="O46" i="6"/>
  <c r="M46" i="6"/>
  <c r="K46" i="6"/>
  <c r="I46" i="6"/>
  <c r="C46" i="6"/>
  <c r="B46" i="6"/>
  <c r="A46" i="6"/>
  <c r="AE45" i="6"/>
  <c r="AC45" i="6"/>
  <c r="AA45" i="6"/>
  <c r="Y45" i="6"/>
  <c r="W45" i="6"/>
  <c r="U45" i="6"/>
  <c r="S45" i="6"/>
  <c r="Q45" i="6"/>
  <c r="O45" i="6"/>
  <c r="M45" i="6"/>
  <c r="K45" i="6"/>
  <c r="I45" i="6"/>
  <c r="C45" i="6"/>
  <c r="B45" i="6"/>
  <c r="A45" i="6"/>
  <c r="AE43" i="6"/>
  <c r="AC43" i="6"/>
  <c r="AD43" i="6" s="1"/>
  <c r="AA43" i="6"/>
  <c r="Y43" i="6"/>
  <c r="Z43" i="6" s="1"/>
  <c r="W43" i="6"/>
  <c r="U43" i="6"/>
  <c r="V43" i="6" s="1"/>
  <c r="S43" i="6"/>
  <c r="Q43" i="6"/>
  <c r="R43" i="6" s="1"/>
  <c r="O43" i="6"/>
  <c r="M43" i="6"/>
  <c r="N43" i="6" s="1"/>
  <c r="K43" i="6"/>
  <c r="I43" i="6"/>
  <c r="J43" i="6" s="1"/>
  <c r="H43" i="6"/>
  <c r="C43" i="6"/>
  <c r="B43" i="6"/>
  <c r="A43" i="6"/>
  <c r="AE42" i="6"/>
  <c r="AC42" i="6"/>
  <c r="AD42" i="6" s="1"/>
  <c r="AA42" i="6"/>
  <c r="Y42" i="6"/>
  <c r="Z42" i="6" s="1"/>
  <c r="W42" i="6"/>
  <c r="U42" i="6"/>
  <c r="V42" i="6" s="1"/>
  <c r="S42" i="6"/>
  <c r="Q42" i="6"/>
  <c r="R42" i="6" s="1"/>
  <c r="O42" i="6"/>
  <c r="M42" i="6"/>
  <c r="N42" i="6" s="1"/>
  <c r="K42" i="6"/>
  <c r="I42" i="6"/>
  <c r="J42" i="6" s="1"/>
  <c r="H42" i="6"/>
  <c r="C42" i="6"/>
  <c r="B42" i="6"/>
  <c r="A42" i="6"/>
  <c r="AE41" i="6"/>
  <c r="AC41" i="6"/>
  <c r="AD41" i="6" s="1"/>
  <c r="AA41" i="6"/>
  <c r="Y41" i="6"/>
  <c r="Z41" i="6" s="1"/>
  <c r="W41" i="6"/>
  <c r="U41" i="6"/>
  <c r="V41" i="6" s="1"/>
  <c r="S41" i="6"/>
  <c r="Q41" i="6"/>
  <c r="R41" i="6" s="1"/>
  <c r="O41" i="6"/>
  <c r="M41" i="6"/>
  <c r="N41" i="6" s="1"/>
  <c r="K41" i="6"/>
  <c r="I41" i="6"/>
  <c r="J41" i="6" s="1"/>
  <c r="H41" i="6"/>
  <c r="C41" i="6"/>
  <c r="B41" i="6"/>
  <c r="A41" i="6"/>
  <c r="AE40" i="6"/>
  <c r="AC40" i="6"/>
  <c r="AD40" i="6" s="1"/>
  <c r="AA40" i="6"/>
  <c r="Y40" i="6"/>
  <c r="Z40" i="6" s="1"/>
  <c r="W40" i="6"/>
  <c r="U40" i="6"/>
  <c r="V40" i="6" s="1"/>
  <c r="S40" i="6"/>
  <c r="Q40" i="6"/>
  <c r="R40" i="6" s="1"/>
  <c r="O40" i="6"/>
  <c r="M40" i="6"/>
  <c r="N40" i="6" s="1"/>
  <c r="K40" i="6"/>
  <c r="I40" i="6"/>
  <c r="J40" i="6" s="1"/>
  <c r="H40" i="6"/>
  <c r="C40" i="6"/>
  <c r="B40" i="6"/>
  <c r="A40" i="6"/>
  <c r="AE39" i="6"/>
  <c r="AC39" i="6"/>
  <c r="AD39" i="6" s="1"/>
  <c r="AA39" i="6"/>
  <c r="Y39" i="6"/>
  <c r="Z39" i="6" s="1"/>
  <c r="W39" i="6"/>
  <c r="U39" i="6"/>
  <c r="V39" i="6" s="1"/>
  <c r="S39" i="6"/>
  <c r="Q39" i="6"/>
  <c r="R39" i="6" s="1"/>
  <c r="O39" i="6"/>
  <c r="M39" i="6"/>
  <c r="N39" i="6" s="1"/>
  <c r="K39" i="6"/>
  <c r="I39" i="6"/>
  <c r="J39" i="6" s="1"/>
  <c r="H39" i="6"/>
  <c r="C39" i="6"/>
  <c r="B39" i="6"/>
  <c r="A39" i="6"/>
  <c r="AE38" i="6"/>
  <c r="AC38" i="6"/>
  <c r="AD38" i="6" s="1"/>
  <c r="AA38" i="6"/>
  <c r="Y38" i="6"/>
  <c r="Z38" i="6" s="1"/>
  <c r="W38" i="6"/>
  <c r="U38" i="6"/>
  <c r="V38" i="6" s="1"/>
  <c r="S38" i="6"/>
  <c r="Q38" i="6"/>
  <c r="R38" i="6" s="1"/>
  <c r="O38" i="6"/>
  <c r="M38" i="6"/>
  <c r="N38" i="6" s="1"/>
  <c r="K38" i="6"/>
  <c r="I38" i="6"/>
  <c r="J38" i="6" s="1"/>
  <c r="H38" i="6"/>
  <c r="C38" i="6"/>
  <c r="B38" i="6"/>
  <c r="A38" i="6"/>
  <c r="AE37" i="6"/>
  <c r="AC37" i="6"/>
  <c r="AD37" i="6" s="1"/>
  <c r="AA37" i="6"/>
  <c r="Y37" i="6"/>
  <c r="Z37" i="6" s="1"/>
  <c r="W37" i="6"/>
  <c r="U37" i="6"/>
  <c r="V37" i="6" s="1"/>
  <c r="S37" i="6"/>
  <c r="Q37" i="6"/>
  <c r="R37" i="6" s="1"/>
  <c r="O37" i="6"/>
  <c r="M37" i="6"/>
  <c r="N37" i="6" s="1"/>
  <c r="K37" i="6"/>
  <c r="I37" i="6"/>
  <c r="J37" i="6" s="1"/>
  <c r="H37" i="6"/>
  <c r="C37" i="6"/>
  <c r="P1" i="8" s="1"/>
  <c r="B37" i="6"/>
  <c r="A37" i="6"/>
  <c r="AE36" i="6"/>
  <c r="AC36" i="6"/>
  <c r="AD36" i="6" s="1"/>
  <c r="AA36" i="6"/>
  <c r="Y36" i="6"/>
  <c r="Z36" i="6" s="1"/>
  <c r="W36" i="6"/>
  <c r="U36" i="6"/>
  <c r="V36" i="6" s="1"/>
  <c r="S36" i="6"/>
  <c r="Q36" i="6"/>
  <c r="R36" i="6" s="1"/>
  <c r="O36" i="6"/>
  <c r="M36" i="6"/>
  <c r="N36" i="6" s="1"/>
  <c r="K36" i="6"/>
  <c r="I36" i="6"/>
  <c r="H36" i="6"/>
  <c r="C36" i="6"/>
  <c r="B36" i="6"/>
  <c r="A36" i="6"/>
  <c r="AE35" i="6"/>
  <c r="AC35" i="6"/>
  <c r="AD35" i="6" s="1"/>
  <c r="AA35" i="6"/>
  <c r="Y35" i="6"/>
  <c r="Z35" i="6" s="1"/>
  <c r="W35" i="6"/>
  <c r="U35" i="6"/>
  <c r="V35" i="6" s="1"/>
  <c r="S35" i="6"/>
  <c r="Q35" i="6"/>
  <c r="R35" i="6" s="1"/>
  <c r="O35" i="6"/>
  <c r="M35" i="6"/>
  <c r="N35" i="6" s="1"/>
  <c r="K35" i="6"/>
  <c r="I35" i="6"/>
  <c r="J35" i="6" s="1"/>
  <c r="H35" i="6"/>
  <c r="C35" i="6"/>
  <c r="B35" i="6"/>
  <c r="A35" i="6"/>
  <c r="AE34" i="6"/>
  <c r="AC34" i="6"/>
  <c r="AD34" i="6" s="1"/>
  <c r="AA34" i="6"/>
  <c r="Y34" i="6"/>
  <c r="Z34" i="6" s="1"/>
  <c r="W34" i="6"/>
  <c r="U34" i="6"/>
  <c r="V34" i="6" s="1"/>
  <c r="S34" i="6"/>
  <c r="Q34" i="6"/>
  <c r="O34" i="6"/>
  <c r="M34" i="6"/>
  <c r="N34" i="6" s="1"/>
  <c r="K34" i="6"/>
  <c r="I34" i="6"/>
  <c r="J34" i="6" s="1"/>
  <c r="H34" i="6"/>
  <c r="C34" i="6"/>
  <c r="B34" i="6"/>
  <c r="A34" i="6"/>
  <c r="AE33" i="6"/>
  <c r="AC33" i="6"/>
  <c r="AD33" i="6" s="1"/>
  <c r="AA33" i="6"/>
  <c r="Y33" i="6"/>
  <c r="Z33" i="6" s="1"/>
  <c r="W33" i="6"/>
  <c r="U33" i="6"/>
  <c r="S33" i="6"/>
  <c r="Q33" i="6"/>
  <c r="R33" i="6" s="1"/>
  <c r="O33" i="6"/>
  <c r="M33" i="6"/>
  <c r="N33" i="6" s="1"/>
  <c r="K33" i="6"/>
  <c r="I33" i="6"/>
  <c r="J33" i="6" s="1"/>
  <c r="H33" i="6"/>
  <c r="C33" i="6"/>
  <c r="B33" i="6"/>
  <c r="A33" i="6"/>
  <c r="AE31" i="6"/>
  <c r="AC31" i="6"/>
  <c r="AD31" i="6" s="1"/>
  <c r="AA31" i="6"/>
  <c r="Y31" i="6"/>
  <c r="Z31" i="6" s="1"/>
  <c r="W31" i="6"/>
  <c r="U31" i="6"/>
  <c r="V31" i="6" s="1"/>
  <c r="S31" i="6"/>
  <c r="Q31" i="6"/>
  <c r="R31" i="6" s="1"/>
  <c r="O31" i="6"/>
  <c r="M31" i="6"/>
  <c r="N31" i="6" s="1"/>
  <c r="K31" i="6"/>
  <c r="I31" i="6"/>
  <c r="J31" i="6" s="1"/>
  <c r="H31" i="6"/>
  <c r="C31" i="6"/>
  <c r="B31" i="6"/>
  <c r="A31" i="6"/>
  <c r="AE30" i="6"/>
  <c r="AC30" i="6"/>
  <c r="AD30" i="6" s="1"/>
  <c r="AA30" i="6"/>
  <c r="Y30" i="6"/>
  <c r="Z30" i="6" s="1"/>
  <c r="W30" i="6"/>
  <c r="U30" i="6"/>
  <c r="V30" i="6" s="1"/>
  <c r="S30" i="6"/>
  <c r="Q30" i="6"/>
  <c r="R30" i="6" s="1"/>
  <c r="O30" i="6"/>
  <c r="M30" i="6"/>
  <c r="N30" i="6" s="1"/>
  <c r="K30" i="6"/>
  <c r="I30" i="6"/>
  <c r="J30" i="6" s="1"/>
  <c r="H30" i="6"/>
  <c r="C30" i="6"/>
  <c r="B30" i="6"/>
  <c r="A30" i="6"/>
  <c r="AE29" i="6"/>
  <c r="AC29" i="6"/>
  <c r="AD29" i="6" s="1"/>
  <c r="AA29" i="6"/>
  <c r="Y29" i="6"/>
  <c r="Z29" i="6" s="1"/>
  <c r="W29" i="6"/>
  <c r="U29" i="6"/>
  <c r="V29" i="6" s="1"/>
  <c r="S29" i="6"/>
  <c r="Q29" i="6"/>
  <c r="O29" i="6"/>
  <c r="M29" i="6"/>
  <c r="N29" i="6" s="1"/>
  <c r="K29" i="6"/>
  <c r="I29" i="6"/>
  <c r="J29" i="6" s="1"/>
  <c r="H29" i="6"/>
  <c r="C29" i="6"/>
  <c r="B29" i="6"/>
  <c r="A29" i="6"/>
  <c r="AE28" i="6"/>
  <c r="AC28" i="6"/>
  <c r="AD28" i="6" s="1"/>
  <c r="AA28" i="6"/>
  <c r="Y28" i="6"/>
  <c r="Z28" i="6" s="1"/>
  <c r="W28" i="6"/>
  <c r="U28" i="6"/>
  <c r="V28" i="6" s="1"/>
  <c r="S28" i="6"/>
  <c r="Q28" i="6"/>
  <c r="R28" i="6" s="1"/>
  <c r="O28" i="6"/>
  <c r="M28" i="6"/>
  <c r="N28" i="6" s="1"/>
  <c r="K28" i="6"/>
  <c r="I28" i="6"/>
  <c r="J28" i="6" s="1"/>
  <c r="H28" i="6"/>
  <c r="C28" i="6"/>
  <c r="B28" i="6"/>
  <c r="A28" i="6"/>
  <c r="AE27" i="6"/>
  <c r="AC27" i="6"/>
  <c r="AD27" i="6" s="1"/>
  <c r="AA27" i="6"/>
  <c r="Y27" i="6"/>
  <c r="Z27" i="6" s="1"/>
  <c r="W27" i="6"/>
  <c r="U27" i="6"/>
  <c r="V27" i="6" s="1"/>
  <c r="S27" i="6"/>
  <c r="Q27" i="6"/>
  <c r="R27" i="6" s="1"/>
  <c r="O27" i="6"/>
  <c r="M27" i="6"/>
  <c r="N27" i="6" s="1"/>
  <c r="K27" i="6"/>
  <c r="I27" i="6"/>
  <c r="J27" i="6" s="1"/>
  <c r="H27" i="6"/>
  <c r="C27" i="6"/>
  <c r="B27" i="6"/>
  <c r="A27" i="6"/>
  <c r="AE26" i="6"/>
  <c r="AC26" i="6"/>
  <c r="AD26" i="6" s="1"/>
  <c r="AA26" i="6"/>
  <c r="Y26" i="6"/>
  <c r="Z26" i="6" s="1"/>
  <c r="W26" i="6"/>
  <c r="U26" i="6"/>
  <c r="V26" i="6" s="1"/>
  <c r="S26" i="6"/>
  <c r="Q26" i="6"/>
  <c r="R26" i="6" s="1"/>
  <c r="O26" i="6"/>
  <c r="M26" i="6"/>
  <c r="N26" i="6" s="1"/>
  <c r="K26" i="6"/>
  <c r="I26" i="6"/>
  <c r="J26" i="6" s="1"/>
  <c r="H26" i="6"/>
  <c r="C26" i="6"/>
  <c r="B26" i="6"/>
  <c r="A26" i="6"/>
  <c r="AE25" i="6"/>
  <c r="AC25" i="6"/>
  <c r="AD25" i="6" s="1"/>
  <c r="AA25" i="6"/>
  <c r="Y25" i="6"/>
  <c r="Z25" i="6" s="1"/>
  <c r="W25" i="6"/>
  <c r="U25" i="6"/>
  <c r="V25" i="6" s="1"/>
  <c r="S25" i="6"/>
  <c r="Q25" i="6"/>
  <c r="R25" i="6" s="1"/>
  <c r="O25" i="6"/>
  <c r="M25" i="6"/>
  <c r="N25" i="6" s="1"/>
  <c r="K25" i="6"/>
  <c r="I25" i="6"/>
  <c r="J25" i="6" s="1"/>
  <c r="H25" i="6"/>
  <c r="C25" i="6"/>
  <c r="B25" i="6"/>
  <c r="A25" i="6"/>
  <c r="AE24" i="6"/>
  <c r="AC24" i="6"/>
  <c r="AD24" i="6" s="1"/>
  <c r="AA24" i="6"/>
  <c r="Y24" i="6"/>
  <c r="Z24" i="6" s="1"/>
  <c r="W24" i="6"/>
  <c r="U24" i="6"/>
  <c r="V24" i="6" s="1"/>
  <c r="S24" i="6"/>
  <c r="Q24" i="6"/>
  <c r="R24" i="6" s="1"/>
  <c r="O24" i="6"/>
  <c r="M24" i="6"/>
  <c r="N24" i="6" s="1"/>
  <c r="K24" i="6"/>
  <c r="I24" i="6"/>
  <c r="J24" i="6" s="1"/>
  <c r="H24" i="6"/>
  <c r="C24" i="6"/>
  <c r="B24" i="6"/>
  <c r="A24" i="6"/>
  <c r="AE23" i="6"/>
  <c r="AC23" i="6"/>
  <c r="AD23" i="6" s="1"/>
  <c r="AA23" i="6"/>
  <c r="Y23" i="6"/>
  <c r="Z23" i="6" s="1"/>
  <c r="W23" i="6"/>
  <c r="U23" i="6"/>
  <c r="V23" i="6" s="1"/>
  <c r="S23" i="6"/>
  <c r="Q23" i="6"/>
  <c r="R23" i="6" s="1"/>
  <c r="O23" i="6"/>
  <c r="M23" i="6"/>
  <c r="N23" i="6" s="1"/>
  <c r="K23" i="6"/>
  <c r="I23" i="6"/>
  <c r="J23" i="6" s="1"/>
  <c r="H23" i="6"/>
  <c r="C23" i="6"/>
  <c r="B23" i="6"/>
  <c r="A23" i="6"/>
  <c r="AE22" i="6"/>
  <c r="AC22" i="6"/>
  <c r="AD22" i="6" s="1"/>
  <c r="AA22" i="6"/>
  <c r="Y22" i="6"/>
  <c r="Z22" i="6" s="1"/>
  <c r="W22" i="6"/>
  <c r="U22" i="6"/>
  <c r="V22" i="6" s="1"/>
  <c r="S22" i="6"/>
  <c r="Q22" i="6"/>
  <c r="R22" i="6" s="1"/>
  <c r="O22" i="6"/>
  <c r="M22" i="6"/>
  <c r="N22" i="6" s="1"/>
  <c r="K22" i="6"/>
  <c r="I22" i="6"/>
  <c r="J22" i="6" s="1"/>
  <c r="H22" i="6"/>
  <c r="C22" i="6"/>
  <c r="B22" i="6"/>
  <c r="A22" i="6"/>
  <c r="AE21" i="6"/>
  <c r="AC21" i="6"/>
  <c r="AD21" i="6" s="1"/>
  <c r="AA21" i="6"/>
  <c r="Y21" i="6"/>
  <c r="Z21" i="6" s="1"/>
  <c r="W21" i="6"/>
  <c r="U21" i="6"/>
  <c r="V21" i="6" s="1"/>
  <c r="S21" i="6"/>
  <c r="Q21" i="6"/>
  <c r="R21" i="6" s="1"/>
  <c r="O21" i="6"/>
  <c r="M21" i="6"/>
  <c r="N21" i="6" s="1"/>
  <c r="K21" i="6"/>
  <c r="I21" i="6"/>
  <c r="J21" i="6" s="1"/>
  <c r="H21" i="6"/>
  <c r="C21" i="6"/>
  <c r="B21" i="6"/>
  <c r="A21" i="6"/>
  <c r="AE20" i="6"/>
  <c r="AC20" i="6"/>
  <c r="AD20" i="6" s="1"/>
  <c r="AA20" i="6"/>
  <c r="Y20" i="6"/>
  <c r="Z20" i="6" s="1"/>
  <c r="W20" i="6"/>
  <c r="U20" i="6"/>
  <c r="V20" i="6" s="1"/>
  <c r="S20" i="6"/>
  <c r="Q20" i="6"/>
  <c r="R20" i="6" s="1"/>
  <c r="O20" i="6"/>
  <c r="M20" i="6"/>
  <c r="N20" i="6" s="1"/>
  <c r="K20" i="6"/>
  <c r="I20" i="6"/>
  <c r="J20" i="6" s="1"/>
  <c r="H20" i="6"/>
  <c r="C20" i="6"/>
  <c r="B20" i="6"/>
  <c r="A20" i="6"/>
  <c r="AE19" i="6"/>
  <c r="AC19" i="6"/>
  <c r="AD19" i="6" s="1"/>
  <c r="AA19" i="6"/>
  <c r="Y19" i="6"/>
  <c r="Z19" i="6" s="1"/>
  <c r="W19" i="6"/>
  <c r="U19" i="6"/>
  <c r="V19" i="6" s="1"/>
  <c r="S19" i="6"/>
  <c r="Q19" i="6"/>
  <c r="R19" i="6" s="1"/>
  <c r="O19" i="6"/>
  <c r="M19" i="6"/>
  <c r="N19" i="6" s="1"/>
  <c r="K19" i="6"/>
  <c r="I19" i="6"/>
  <c r="J19" i="6" s="1"/>
  <c r="H19" i="6"/>
  <c r="C19" i="6"/>
  <c r="B19" i="6"/>
  <c r="A19" i="6"/>
  <c r="AE18" i="6"/>
  <c r="AC18" i="6"/>
  <c r="AD18" i="6" s="1"/>
  <c r="AA18" i="6"/>
  <c r="Y18" i="6"/>
  <c r="Z18" i="6" s="1"/>
  <c r="W18" i="6"/>
  <c r="U18" i="6"/>
  <c r="V18" i="6" s="1"/>
  <c r="S18" i="6"/>
  <c r="Q18" i="6"/>
  <c r="R18" i="6" s="1"/>
  <c r="O18" i="6"/>
  <c r="M18" i="6"/>
  <c r="N18" i="6" s="1"/>
  <c r="K18" i="6"/>
  <c r="I18" i="6"/>
  <c r="J18" i="6" s="1"/>
  <c r="H18" i="6"/>
  <c r="C18" i="6"/>
  <c r="B18" i="6"/>
  <c r="A18" i="6"/>
  <c r="AE17" i="6"/>
  <c r="AC17" i="6"/>
  <c r="AD17" i="6" s="1"/>
  <c r="AA17" i="6"/>
  <c r="Y17" i="6"/>
  <c r="Z17" i="6" s="1"/>
  <c r="W17" i="6"/>
  <c r="U17" i="6"/>
  <c r="V17" i="6" s="1"/>
  <c r="S17" i="6"/>
  <c r="Q17" i="6"/>
  <c r="R17" i="6" s="1"/>
  <c r="O17" i="6"/>
  <c r="M17" i="6"/>
  <c r="N17" i="6" s="1"/>
  <c r="K17" i="6"/>
  <c r="I17" i="6"/>
  <c r="J17" i="6" s="1"/>
  <c r="H17" i="6"/>
  <c r="C17" i="6"/>
  <c r="B17" i="6"/>
  <c r="A17" i="6"/>
  <c r="AE16" i="6"/>
  <c r="AC16" i="6"/>
  <c r="AD16" i="6" s="1"/>
  <c r="AA16" i="6"/>
  <c r="Y16" i="6"/>
  <c r="Z16" i="6" s="1"/>
  <c r="W16" i="6"/>
  <c r="U16" i="6"/>
  <c r="V16" i="6" s="1"/>
  <c r="S16" i="6"/>
  <c r="Q16" i="6"/>
  <c r="R16" i="6" s="1"/>
  <c r="O16" i="6"/>
  <c r="M16" i="6"/>
  <c r="N16" i="6" s="1"/>
  <c r="K16" i="6"/>
  <c r="I16" i="6"/>
  <c r="J16" i="6" s="1"/>
  <c r="H16" i="6"/>
  <c r="C16" i="6"/>
  <c r="B16" i="6"/>
  <c r="A16" i="6"/>
  <c r="AE15" i="6"/>
  <c r="AC15" i="6"/>
  <c r="AD15" i="6" s="1"/>
  <c r="AA15" i="6"/>
  <c r="Y15" i="6"/>
  <c r="Z15" i="6" s="1"/>
  <c r="W15" i="6"/>
  <c r="U15" i="6"/>
  <c r="V15" i="6" s="1"/>
  <c r="S15" i="6"/>
  <c r="Q15" i="6"/>
  <c r="R15" i="6" s="1"/>
  <c r="O15" i="6"/>
  <c r="M15" i="6"/>
  <c r="N15" i="6" s="1"/>
  <c r="K15" i="6"/>
  <c r="I15" i="6"/>
  <c r="J15" i="6" s="1"/>
  <c r="H15" i="6"/>
  <c r="C15" i="6"/>
  <c r="B15" i="6"/>
  <c r="A15" i="6"/>
  <c r="AE14" i="6"/>
  <c r="AC14" i="6"/>
  <c r="AD14" i="6" s="1"/>
  <c r="AA14" i="6"/>
  <c r="Y14" i="6"/>
  <c r="Z14" i="6" s="1"/>
  <c r="W14" i="6"/>
  <c r="U14" i="6"/>
  <c r="V14" i="6" s="1"/>
  <c r="S14" i="6"/>
  <c r="Q14" i="6"/>
  <c r="R14" i="6" s="1"/>
  <c r="O14" i="6"/>
  <c r="M14" i="6"/>
  <c r="N14" i="6" s="1"/>
  <c r="K14" i="6"/>
  <c r="I14" i="6"/>
  <c r="J14" i="6" s="1"/>
  <c r="H14" i="6"/>
  <c r="C14" i="6"/>
  <c r="B14" i="6"/>
  <c r="A14" i="6"/>
  <c r="AE12" i="6"/>
  <c r="AC12" i="6"/>
  <c r="AD12" i="6" s="1"/>
  <c r="AA12" i="6"/>
  <c r="Y12" i="6"/>
  <c r="Z12" i="6" s="1"/>
  <c r="W12" i="6"/>
  <c r="U12" i="6"/>
  <c r="V12" i="6" s="1"/>
  <c r="S12" i="6"/>
  <c r="Q12" i="6"/>
  <c r="R12" i="6" s="1"/>
  <c r="O12" i="6"/>
  <c r="M12" i="6"/>
  <c r="N12" i="6" s="1"/>
  <c r="K12" i="6"/>
  <c r="I12" i="6"/>
  <c r="J12" i="6" s="1"/>
  <c r="H12" i="6"/>
  <c r="C12" i="6"/>
  <c r="B12" i="6"/>
  <c r="A12" i="6"/>
  <c r="AE11" i="6"/>
  <c r="AC11" i="6"/>
  <c r="AD11" i="6" s="1"/>
  <c r="AA11" i="6"/>
  <c r="Y11" i="6"/>
  <c r="Z11" i="6" s="1"/>
  <c r="W11" i="6"/>
  <c r="U11" i="6"/>
  <c r="V11" i="6" s="1"/>
  <c r="S11" i="6"/>
  <c r="Q11" i="6"/>
  <c r="R11" i="6" s="1"/>
  <c r="O11" i="6"/>
  <c r="M11" i="6"/>
  <c r="N11" i="6" s="1"/>
  <c r="K11" i="6"/>
  <c r="I11" i="6"/>
  <c r="J11" i="6" s="1"/>
  <c r="H11" i="6"/>
  <c r="C11" i="6"/>
  <c r="B11" i="6"/>
  <c r="A11" i="6"/>
  <c r="AE10" i="6"/>
  <c r="AC10" i="6"/>
  <c r="AD10" i="6" s="1"/>
  <c r="AA10" i="6"/>
  <c r="Y10" i="6"/>
  <c r="Z10" i="6" s="1"/>
  <c r="W10" i="6"/>
  <c r="U10" i="6"/>
  <c r="V10" i="6" s="1"/>
  <c r="S10" i="6"/>
  <c r="Q10" i="6"/>
  <c r="R10" i="6" s="1"/>
  <c r="O10" i="6"/>
  <c r="M10" i="6"/>
  <c r="N10" i="6" s="1"/>
  <c r="K10" i="6"/>
  <c r="I10" i="6"/>
  <c r="J10" i="6" s="1"/>
  <c r="H10" i="6"/>
  <c r="C10" i="6"/>
  <c r="B10" i="6"/>
  <c r="A10" i="6"/>
  <c r="AE9" i="6"/>
  <c r="AC9" i="6"/>
  <c r="AD9" i="6" s="1"/>
  <c r="AA9" i="6"/>
  <c r="Y9" i="6"/>
  <c r="Z9" i="6" s="1"/>
  <c r="W9" i="6"/>
  <c r="U9" i="6"/>
  <c r="V9" i="6" s="1"/>
  <c r="S9" i="6"/>
  <c r="Q9" i="6"/>
  <c r="R9" i="6" s="1"/>
  <c r="O9" i="6"/>
  <c r="M9" i="6"/>
  <c r="N9" i="6" s="1"/>
  <c r="K9" i="6"/>
  <c r="I9" i="6"/>
  <c r="J9" i="6" s="1"/>
  <c r="H9" i="6"/>
  <c r="C9" i="6"/>
  <c r="B9" i="6"/>
  <c r="A9" i="6"/>
  <c r="AE8" i="6"/>
  <c r="AC8" i="6"/>
  <c r="AD8" i="6" s="1"/>
  <c r="AA8" i="6"/>
  <c r="Y8" i="6"/>
  <c r="Z8" i="6" s="1"/>
  <c r="W8" i="6"/>
  <c r="U8" i="6"/>
  <c r="V8" i="6" s="1"/>
  <c r="S8" i="6"/>
  <c r="Q8" i="6"/>
  <c r="R8" i="6" s="1"/>
  <c r="O8" i="6"/>
  <c r="M8" i="6"/>
  <c r="N8" i="6" s="1"/>
  <c r="K8" i="6"/>
  <c r="I8" i="6"/>
  <c r="J8" i="6" s="1"/>
  <c r="H8" i="6"/>
  <c r="C8" i="6"/>
  <c r="B8" i="6"/>
  <c r="A8" i="6"/>
  <c r="AE7" i="6"/>
  <c r="AC7" i="6"/>
  <c r="AD7" i="6" s="1"/>
  <c r="AA7" i="6"/>
  <c r="Y7" i="6"/>
  <c r="Z7" i="6" s="1"/>
  <c r="W7" i="6"/>
  <c r="U7" i="6"/>
  <c r="V7" i="6" s="1"/>
  <c r="S7" i="6"/>
  <c r="Q7" i="6"/>
  <c r="R7" i="6" s="1"/>
  <c r="O7" i="6"/>
  <c r="M7" i="6"/>
  <c r="N7" i="6" s="1"/>
  <c r="K7" i="6"/>
  <c r="I7" i="6"/>
  <c r="J7" i="6" s="1"/>
  <c r="H7" i="6"/>
  <c r="C7" i="6"/>
  <c r="B7" i="6"/>
  <c r="A7" i="6"/>
  <c r="AE6" i="6"/>
  <c r="AC6" i="6"/>
  <c r="AD6" i="6" s="1"/>
  <c r="AA6" i="6"/>
  <c r="Y6" i="6"/>
  <c r="Z6" i="6" s="1"/>
  <c r="W6" i="6"/>
  <c r="U6" i="6"/>
  <c r="V6" i="6" s="1"/>
  <c r="S6" i="6"/>
  <c r="Q6" i="6"/>
  <c r="R6" i="6" s="1"/>
  <c r="O6" i="6"/>
  <c r="M6" i="6"/>
  <c r="N6" i="6" s="1"/>
  <c r="K6" i="6"/>
  <c r="I6" i="6"/>
  <c r="J6" i="6" s="1"/>
  <c r="H6" i="6"/>
  <c r="C6" i="6"/>
  <c r="B6" i="6"/>
  <c r="A6" i="6"/>
  <c r="AE5" i="6"/>
  <c r="AC5" i="6"/>
  <c r="AD5" i="6" s="1"/>
  <c r="AA5" i="6"/>
  <c r="Y5" i="6"/>
  <c r="Z5" i="6" s="1"/>
  <c r="W5" i="6"/>
  <c r="U5" i="6"/>
  <c r="V5" i="6" s="1"/>
  <c r="S5" i="6"/>
  <c r="Q5" i="6"/>
  <c r="R5" i="6" s="1"/>
  <c r="O5" i="6"/>
  <c r="M5" i="6"/>
  <c r="N5" i="6" s="1"/>
  <c r="K5" i="6"/>
  <c r="I5" i="6"/>
  <c r="J5" i="6" s="1"/>
  <c r="H5" i="6"/>
  <c r="C5" i="6"/>
  <c r="B5" i="6"/>
  <c r="A5" i="6"/>
  <c r="O31" i="5"/>
  <c r="J31" i="5"/>
  <c r="E31" i="5"/>
  <c r="O30" i="5"/>
  <c r="J30" i="5"/>
  <c r="E30" i="5"/>
  <c r="O29" i="5"/>
  <c r="J29" i="5"/>
  <c r="E29" i="5"/>
  <c r="O28" i="5"/>
  <c r="J28" i="5"/>
  <c r="E28" i="5"/>
  <c r="O27" i="5"/>
  <c r="J27" i="5"/>
  <c r="E27" i="5"/>
  <c r="O26" i="5"/>
  <c r="J26" i="5"/>
  <c r="E26" i="5"/>
  <c r="O25" i="5"/>
  <c r="J25" i="5"/>
  <c r="E25" i="5"/>
  <c r="O24" i="5"/>
  <c r="J24" i="5"/>
  <c r="E24" i="5"/>
  <c r="O23" i="5"/>
  <c r="J23" i="5"/>
  <c r="E23" i="5"/>
  <c r="O22" i="5"/>
  <c r="J22" i="5"/>
  <c r="E22" i="5"/>
  <c r="O21" i="5"/>
  <c r="J21" i="5"/>
  <c r="E21" i="5"/>
  <c r="O20" i="5"/>
  <c r="O34" i="5" s="1"/>
  <c r="J20" i="5"/>
  <c r="E20" i="5"/>
  <c r="J13" i="5"/>
  <c r="J12" i="5"/>
  <c r="J11" i="5"/>
  <c r="J10" i="5"/>
  <c r="J9" i="5"/>
  <c r="J8" i="5"/>
  <c r="J7" i="5"/>
  <c r="J6" i="5"/>
  <c r="J5" i="5"/>
  <c r="J4" i="5"/>
  <c r="J3" i="5"/>
  <c r="J2" i="5"/>
  <c r="J66" i="4"/>
  <c r="K66" i="4" s="1"/>
  <c r="L65" i="4"/>
  <c r="J16" i="4" s="1"/>
  <c r="M64" i="4"/>
  <c r="L64" i="4"/>
  <c r="L63" i="4"/>
  <c r="M63" i="4" s="1"/>
  <c r="M62" i="4"/>
  <c r="L62" i="4"/>
  <c r="L61" i="4"/>
  <c r="M61" i="4" s="1"/>
  <c r="J56" i="4"/>
  <c r="J57" i="4" s="1"/>
  <c r="J68" i="4" s="1"/>
  <c r="L55" i="4"/>
  <c r="M55" i="4" s="1"/>
  <c r="M54" i="4"/>
  <c r="L54" i="4"/>
  <c r="K54" i="4"/>
  <c r="L53" i="4"/>
  <c r="J5" i="4" s="1"/>
  <c r="J51" i="4"/>
  <c r="K65" i="4" s="1"/>
  <c r="L49" i="4"/>
  <c r="M49" i="4" s="1"/>
  <c r="J49" i="4"/>
  <c r="K53" i="4" s="1"/>
  <c r="G45" i="4"/>
  <c r="F45" i="4"/>
  <c r="D45" i="4"/>
  <c r="H45" i="6" s="1"/>
  <c r="G43" i="4"/>
  <c r="F43" i="4"/>
  <c r="H30" i="3" s="1"/>
  <c r="F42" i="4"/>
  <c r="G42" i="4" s="1"/>
  <c r="J41" i="4"/>
  <c r="L41" i="4" s="1"/>
  <c r="F41" i="4"/>
  <c r="H28" i="3" s="1"/>
  <c r="F40" i="4"/>
  <c r="G40" i="4" s="1"/>
  <c r="F39" i="4"/>
  <c r="G39" i="4" s="1"/>
  <c r="M38" i="4"/>
  <c r="L38" i="4"/>
  <c r="F38" i="4"/>
  <c r="G38" i="4" s="1"/>
  <c r="M37" i="4"/>
  <c r="L37" i="4"/>
  <c r="F37" i="4"/>
  <c r="G37" i="4" s="1"/>
  <c r="G36" i="4"/>
  <c r="F36" i="4"/>
  <c r="F35" i="4"/>
  <c r="G35" i="4" s="1"/>
  <c r="G34" i="4"/>
  <c r="F34" i="4"/>
  <c r="G33" i="4"/>
  <c r="F33" i="4"/>
  <c r="M31" i="4"/>
  <c r="L31" i="4"/>
  <c r="K31" i="4"/>
  <c r="F31" i="4"/>
  <c r="G31" i="4" s="1"/>
  <c r="G30" i="4"/>
  <c r="F30" i="4"/>
  <c r="L29" i="4"/>
  <c r="M29" i="4" s="1"/>
  <c r="J29" i="4"/>
  <c r="J32" i="4" s="1"/>
  <c r="G29" i="4"/>
  <c r="F29" i="4"/>
  <c r="F28" i="4"/>
  <c r="G28" i="4" s="1"/>
  <c r="G27" i="4"/>
  <c r="F27" i="4"/>
  <c r="F26" i="4"/>
  <c r="G26" i="4" s="1"/>
  <c r="G25" i="4"/>
  <c r="F25" i="4"/>
  <c r="G24" i="4"/>
  <c r="F24" i="4"/>
  <c r="F23" i="4"/>
  <c r="G23" i="4" s="1"/>
  <c r="L22" i="4"/>
  <c r="M22" i="4" s="1"/>
  <c r="N22" i="4" s="1"/>
  <c r="F22" i="4"/>
  <c r="N11" i="3" s="1"/>
  <c r="L21" i="4"/>
  <c r="F21" i="4"/>
  <c r="H14" i="3" s="1"/>
  <c r="G20" i="4"/>
  <c r="F20" i="4"/>
  <c r="F19" i="4"/>
  <c r="G19" i="4" s="1"/>
  <c r="G18" i="4"/>
  <c r="F18" i="4"/>
  <c r="G17" i="4"/>
  <c r="F17" i="4"/>
  <c r="G16" i="4"/>
  <c r="F16" i="4"/>
  <c r="G15" i="4"/>
  <c r="F15" i="4"/>
  <c r="H8" i="3" s="1"/>
  <c r="G14" i="4"/>
  <c r="F14" i="4"/>
  <c r="J12" i="4"/>
  <c r="F12" i="4"/>
  <c r="N9" i="3" s="1"/>
  <c r="L11" i="4"/>
  <c r="J11" i="4"/>
  <c r="F11" i="4"/>
  <c r="G11" i="4" s="1"/>
  <c r="G10" i="4"/>
  <c r="F10" i="4"/>
  <c r="F9" i="4"/>
  <c r="G9" i="4" s="1"/>
  <c r="G8" i="4"/>
  <c r="F8" i="4"/>
  <c r="G7" i="4"/>
  <c r="F7" i="4"/>
  <c r="G6" i="4"/>
  <c r="F6" i="4"/>
  <c r="N4" i="3" s="1"/>
  <c r="G5" i="4"/>
  <c r="F5" i="4"/>
  <c r="J3" i="4"/>
  <c r="L3" i="4" s="1"/>
  <c r="H23" i="3"/>
  <c r="G23" i="3"/>
  <c r="G30" i="3"/>
  <c r="G20" i="3"/>
  <c r="G28" i="3"/>
  <c r="H27" i="3"/>
  <c r="G27" i="3"/>
  <c r="M14" i="3"/>
  <c r="G29" i="3"/>
  <c r="G14" i="3"/>
  <c r="H24" i="3"/>
  <c r="G24" i="3"/>
  <c r="G8" i="3"/>
  <c r="H25" i="3"/>
  <c r="G25" i="3"/>
  <c r="M11" i="3"/>
  <c r="H19" i="3"/>
  <c r="G19" i="3"/>
  <c r="M15" i="3"/>
  <c r="H13" i="3"/>
  <c r="G13" i="3"/>
  <c r="N16" i="3"/>
  <c r="M16" i="3"/>
  <c r="H18" i="3"/>
  <c r="G18" i="3"/>
  <c r="G12" i="3"/>
  <c r="H11" i="3"/>
  <c r="G11" i="3"/>
  <c r="M5" i="3"/>
  <c r="H22" i="3"/>
  <c r="G22" i="3"/>
  <c r="N13" i="3"/>
  <c r="M13" i="3"/>
  <c r="H21" i="3"/>
  <c r="G21" i="3"/>
  <c r="M10" i="3"/>
  <c r="G26" i="3"/>
  <c r="H9" i="3"/>
  <c r="G9" i="3"/>
  <c r="G15" i="3"/>
  <c r="M8" i="3"/>
  <c r="H6" i="3"/>
  <c r="G6" i="3"/>
  <c r="M17" i="3"/>
  <c r="N7" i="3"/>
  <c r="M7" i="3"/>
  <c r="B7" i="3"/>
  <c r="M9" i="3"/>
  <c r="H17" i="3"/>
  <c r="G17" i="3"/>
  <c r="B6" i="3"/>
  <c r="T5" i="3"/>
  <c r="S5" i="3"/>
  <c r="M6" i="3"/>
  <c r="H4" i="3"/>
  <c r="G4" i="3"/>
  <c r="S4" i="3"/>
  <c r="M4" i="3"/>
  <c r="H7" i="3"/>
  <c r="G7" i="3"/>
  <c r="F31" i="2"/>
  <c r="O32" i="2"/>
  <c r="O39" i="2" s="1"/>
  <c r="O31" i="2"/>
  <c r="B31" i="2"/>
  <c r="O29" i="2"/>
  <c r="O28" i="2"/>
  <c r="O25" i="2"/>
  <c r="C25" i="2"/>
  <c r="O24" i="2"/>
  <c r="C24" i="2"/>
  <c r="F28" i="2"/>
  <c r="C23" i="2"/>
  <c r="F27" i="2"/>
  <c r="O21" i="2"/>
  <c r="F26" i="2"/>
  <c r="B19" i="2"/>
  <c r="K17" i="2"/>
  <c r="K16" i="2"/>
  <c r="K15" i="2"/>
  <c r="O14" i="2"/>
  <c r="O15" i="2" s="1"/>
  <c r="O7" i="2"/>
  <c r="K6" i="2"/>
  <c r="C6" i="2"/>
  <c r="K5" i="2"/>
  <c r="C5" i="2"/>
  <c r="O4" i="2"/>
  <c r="C4" i="2"/>
  <c r="C3" i="2"/>
  <c r="O2" i="2"/>
  <c r="C2" i="2"/>
  <c r="A82" i="11" l="1"/>
  <c r="A101" i="11"/>
  <c r="L3" i="2"/>
  <c r="O8" i="2"/>
  <c r="A69" i="11"/>
  <c r="A53" i="11"/>
  <c r="A37" i="11"/>
  <c r="A21" i="11"/>
  <c r="A76" i="11"/>
  <c r="A60" i="11"/>
  <c r="A40" i="11"/>
  <c r="A12" i="11"/>
  <c r="A26" i="11"/>
  <c r="A28" i="11"/>
  <c r="A62" i="11"/>
  <c r="A22" i="11"/>
  <c r="A71" i="11"/>
  <c r="A55" i="11"/>
  <c r="A39" i="11"/>
  <c r="A23" i="11"/>
  <c r="A7" i="11"/>
  <c r="A58" i="11"/>
  <c r="A46" i="11"/>
  <c r="O9" i="11"/>
  <c r="Y17" i="11"/>
  <c r="Y18" i="11" s="1"/>
  <c r="G8" i="11"/>
  <c r="F8" i="11"/>
  <c r="G9" i="11" s="1"/>
  <c r="K10" i="11"/>
  <c r="T19" i="11"/>
  <c r="T20" i="11" s="1"/>
  <c r="A87" i="11"/>
  <c r="AF23" i="6"/>
  <c r="AF7" i="6"/>
  <c r="AF22" i="6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77" i="10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3" i="10"/>
  <c r="G62" i="10"/>
  <c r="G61" i="10"/>
  <c r="G60" i="10"/>
  <c r="G59" i="10"/>
  <c r="G58" i="10"/>
  <c r="G57" i="10"/>
  <c r="G56" i="10"/>
  <c r="G55" i="10"/>
  <c r="G54" i="10"/>
  <c r="G53" i="10"/>
  <c r="G52" i="10"/>
  <c r="G51" i="10"/>
  <c r="G50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L3" i="10"/>
  <c r="K3" i="10"/>
  <c r="AF26" i="6"/>
  <c r="P18" i="3"/>
  <c r="J26" i="3"/>
  <c r="AF5" i="6"/>
  <c r="J32" i="12"/>
  <c r="J31" i="12"/>
  <c r="J29" i="12"/>
  <c r="J28" i="12"/>
  <c r="J26" i="12"/>
  <c r="J24" i="12"/>
  <c r="J23" i="12"/>
  <c r="J21" i="12"/>
  <c r="J19" i="12"/>
  <c r="I33" i="12"/>
  <c r="I27" i="12"/>
  <c r="I20" i="12"/>
  <c r="AF14" i="6"/>
  <c r="AF36" i="6"/>
  <c r="AF15" i="6"/>
  <c r="AF20" i="6"/>
  <c r="AF29" i="6"/>
  <c r="N787" i="10"/>
  <c r="N786" i="10"/>
  <c r="N784" i="10"/>
  <c r="N783" i="10"/>
  <c r="N782" i="10"/>
  <c r="N785" i="10"/>
  <c r="N346" i="10"/>
  <c r="N345" i="10"/>
  <c r="N344" i="10"/>
  <c r="N343" i="10"/>
  <c r="N342" i="10"/>
  <c r="N341" i="10"/>
  <c r="N340" i="10"/>
  <c r="N339" i="10"/>
  <c r="N338" i="10"/>
  <c r="N337" i="10"/>
  <c r="N336" i="10"/>
  <c r="N335" i="10"/>
  <c r="N334" i="10"/>
  <c r="N333" i="10"/>
  <c r="N332" i="10"/>
  <c r="N331" i="10"/>
  <c r="N330" i="10"/>
  <c r="N329" i="10"/>
  <c r="N328" i="10"/>
  <c r="N327" i="10"/>
  <c r="N326" i="10"/>
  <c r="N325" i="10"/>
  <c r="N324" i="10"/>
  <c r="N323" i="10"/>
  <c r="N322" i="10"/>
  <c r="N321" i="10"/>
  <c r="N320" i="10"/>
  <c r="N319" i="10"/>
  <c r="N318" i="10"/>
  <c r="N317" i="10"/>
  <c r="N316" i="10"/>
  <c r="N315" i="10"/>
  <c r="N314" i="10"/>
  <c r="N313" i="10"/>
  <c r="N312" i="10"/>
  <c r="N311" i="10"/>
  <c r="N310" i="10"/>
  <c r="N309" i="10"/>
  <c r="N308" i="10"/>
  <c r="N307" i="10"/>
  <c r="N306" i="10"/>
  <c r="N305" i="10"/>
  <c r="N304" i="10"/>
  <c r="N303" i="10"/>
  <c r="N302" i="10"/>
  <c r="N301" i="10"/>
  <c r="N300" i="10"/>
  <c r="AF8" i="6"/>
  <c r="F21" i="5"/>
  <c r="H21" i="5" s="1"/>
  <c r="F9" i="5"/>
  <c r="L2" i="2"/>
  <c r="O30" i="2"/>
  <c r="O38" i="2" s="1"/>
  <c r="F30" i="2"/>
  <c r="Q2" i="8"/>
  <c r="A3" i="8"/>
  <c r="B6" i="2" s="1"/>
  <c r="K7" i="2" s="1"/>
  <c r="K8" i="2" s="1"/>
  <c r="G616" i="7"/>
  <c r="G615" i="7" s="1"/>
  <c r="G614" i="7" s="1"/>
  <c r="G613" i="7" s="1"/>
  <c r="G612" i="7" s="1"/>
  <c r="G611" i="7" s="1"/>
  <c r="G610" i="7" s="1"/>
  <c r="G609" i="7" s="1"/>
  <c r="G608" i="7" s="1"/>
  <c r="G607" i="7" s="1"/>
  <c r="G606" i="7" s="1"/>
  <c r="G605" i="7" s="1"/>
  <c r="G604" i="7" s="1"/>
  <c r="G603" i="7" s="1"/>
  <c r="G602" i="7" s="1"/>
  <c r="G601" i="7" s="1"/>
  <c r="G600" i="7" s="1"/>
  <c r="G599" i="7" s="1"/>
  <c r="G598" i="7" s="1"/>
  <c r="G597" i="7" s="1"/>
  <c r="G596" i="7" s="1"/>
  <c r="G595" i="7" s="1"/>
  <c r="G594" i="7" s="1"/>
  <c r="G593" i="7" s="1"/>
  <c r="G592" i="7" s="1"/>
  <c r="G591" i="7" s="1"/>
  <c r="G590" i="7" s="1"/>
  <c r="G589" i="7" s="1"/>
  <c r="F23" i="5"/>
  <c r="AF40" i="6"/>
  <c r="K54" i="6"/>
  <c r="F4" i="5"/>
  <c r="F2" i="5"/>
  <c r="F5" i="5"/>
  <c r="S54" i="6"/>
  <c r="F6" i="5"/>
  <c r="F8" i="5"/>
  <c r="P5" i="5"/>
  <c r="P9" i="5"/>
  <c r="P13" i="5"/>
  <c r="AF27" i="6"/>
  <c r="F31" i="5"/>
  <c r="P8" i="5"/>
  <c r="AF11" i="6"/>
  <c r="AA54" i="6"/>
  <c r="F3" i="5"/>
  <c r="AF16" i="6"/>
  <c r="AF17" i="6"/>
  <c r="AF18" i="6"/>
  <c r="AF10" i="6"/>
  <c r="AF12" i="6"/>
  <c r="F10" i="5"/>
  <c r="P2" i="5"/>
  <c r="P6" i="5"/>
  <c r="P10" i="5"/>
  <c r="F11" i="5"/>
  <c r="P4" i="5"/>
  <c r="P12" i="5"/>
  <c r="F7" i="5"/>
  <c r="P25" i="5"/>
  <c r="Q25" i="5" s="1"/>
  <c r="F12" i="5"/>
  <c r="F13" i="5"/>
  <c r="P30" i="5"/>
  <c r="Q30" i="5" s="1"/>
  <c r="Q3" i="6"/>
  <c r="E38" i="6"/>
  <c r="D38" i="6" s="1"/>
  <c r="AC54" i="6"/>
  <c r="P29" i="5"/>
  <c r="Q29" i="5" s="1"/>
  <c r="P3" i="5"/>
  <c r="P7" i="5"/>
  <c r="P11" i="5"/>
  <c r="AF24" i="6"/>
  <c r="AF43" i="6"/>
  <c r="G3" i="7"/>
  <c r="AF9" i="6"/>
  <c r="AF21" i="6"/>
  <c r="E42" i="6"/>
  <c r="D42" i="6" s="1"/>
  <c r="P22" i="5"/>
  <c r="Q22" i="5" s="1"/>
  <c r="F25" i="5"/>
  <c r="H25" i="5" s="1"/>
  <c r="AF31" i="6"/>
  <c r="AF35" i="6"/>
  <c r="AF39" i="6"/>
  <c r="P20" i="5"/>
  <c r="Q20" i="5" s="1"/>
  <c r="E37" i="6"/>
  <c r="D37" i="6" s="1"/>
  <c r="E43" i="6"/>
  <c r="D43" i="6" s="1"/>
  <c r="E46" i="6"/>
  <c r="D46" i="6" s="1"/>
  <c r="E51" i="6"/>
  <c r="D6" i="3" s="1"/>
  <c r="AF6" i="6"/>
  <c r="AF19" i="6"/>
  <c r="AF25" i="6"/>
  <c r="K26" i="5"/>
  <c r="L26" i="5" s="1"/>
  <c r="F30" i="5"/>
  <c r="G30" i="5" s="1"/>
  <c r="E29" i="6"/>
  <c r="D29" i="6" s="1"/>
  <c r="E31" i="6"/>
  <c r="D31" i="6" s="1"/>
  <c r="P21" i="5"/>
  <c r="Q21" i="5" s="1"/>
  <c r="P24" i="5"/>
  <c r="Q24" i="5" s="1"/>
  <c r="E39" i="6"/>
  <c r="D39" i="6" s="1"/>
  <c r="E45" i="6"/>
  <c r="V5" i="3" s="1"/>
  <c r="AF28" i="6"/>
  <c r="F29" i="5"/>
  <c r="H29" i="5" s="1"/>
  <c r="AF30" i="6"/>
  <c r="E33" i="6"/>
  <c r="D33" i="6" s="1"/>
  <c r="P31" i="5"/>
  <c r="Q31" i="5" s="1"/>
  <c r="E35" i="6"/>
  <c r="D35" i="6" s="1"/>
  <c r="E40" i="6"/>
  <c r="D40" i="6" s="1"/>
  <c r="P23" i="5"/>
  <c r="Q23" i="5" s="1"/>
  <c r="P26" i="5"/>
  <c r="Q26" i="5" s="1"/>
  <c r="E36" i="6"/>
  <c r="D36" i="6" s="1"/>
  <c r="E41" i="6"/>
  <c r="D41" i="6" s="1"/>
  <c r="F22" i="5"/>
  <c r="G22" i="5" s="1"/>
  <c r="P28" i="5"/>
  <c r="Q28" i="5" s="1"/>
  <c r="Y3" i="6"/>
  <c r="O3" i="6"/>
  <c r="W3" i="6"/>
  <c r="AE3" i="6"/>
  <c r="F27" i="5"/>
  <c r="E28" i="6"/>
  <c r="R29" i="6"/>
  <c r="V33" i="6"/>
  <c r="AF34" i="6"/>
  <c r="R34" i="6"/>
  <c r="J36" i="6"/>
  <c r="AF38" i="6"/>
  <c r="AF42" i="6"/>
  <c r="M54" i="6"/>
  <c r="U54" i="6"/>
  <c r="AF33" i="6"/>
  <c r="P27" i="5"/>
  <c r="Q27" i="5" s="1"/>
  <c r="AF37" i="6"/>
  <c r="AF41" i="6"/>
  <c r="O54" i="6"/>
  <c r="W54" i="6"/>
  <c r="AE54" i="6"/>
  <c r="E34" i="6"/>
  <c r="D34" i="6" s="1"/>
  <c r="F26" i="5"/>
  <c r="G26" i="5" s="1"/>
  <c r="K30" i="5"/>
  <c r="L30" i="5" s="1"/>
  <c r="K3" i="6"/>
  <c r="S3" i="6"/>
  <c r="AA3" i="6"/>
  <c r="E30" i="6"/>
  <c r="I54" i="6"/>
  <c r="Q54" i="6"/>
  <c r="Y54" i="6"/>
  <c r="E50" i="6"/>
  <c r="D5" i="3" s="1"/>
  <c r="E49" i="6"/>
  <c r="F49" i="6" s="1"/>
  <c r="G49" i="6" s="1"/>
  <c r="E52" i="6"/>
  <c r="D7" i="3" s="1"/>
  <c r="L16" i="4"/>
  <c r="K68" i="4"/>
  <c r="L68" i="4"/>
  <c r="L5" i="4"/>
  <c r="K5" i="4"/>
  <c r="J33" i="4"/>
  <c r="L32" i="4"/>
  <c r="J35" i="4"/>
  <c r="J15" i="4"/>
  <c r="M41" i="4"/>
  <c r="AD45" i="6"/>
  <c r="Z45" i="6"/>
  <c r="V45" i="6"/>
  <c r="R45" i="6"/>
  <c r="N45" i="6"/>
  <c r="J45" i="6"/>
  <c r="AF45" i="6"/>
  <c r="AB45" i="6"/>
  <c r="X45" i="6"/>
  <c r="T45" i="6"/>
  <c r="P45" i="6"/>
  <c r="L45" i="6"/>
  <c r="Q3" i="12"/>
  <c r="R3" i="12" s="1"/>
  <c r="C2" i="12"/>
  <c r="N8" i="13"/>
  <c r="E9" i="9"/>
  <c r="D13" i="9"/>
  <c r="E13" i="9" s="1"/>
  <c r="K22" i="5"/>
  <c r="I3" i="6"/>
  <c r="E8" i="6"/>
  <c r="E11" i="6"/>
  <c r="E18" i="6"/>
  <c r="E19" i="6"/>
  <c r="E20" i="6"/>
  <c r="E21" i="6"/>
  <c r="E23" i="6"/>
  <c r="H20" i="3"/>
  <c r="F24" i="5"/>
  <c r="H24" i="5" s="1"/>
  <c r="K24" i="5"/>
  <c r="M24" i="5" s="1"/>
  <c r="F28" i="5"/>
  <c r="H28" i="5" s="1"/>
  <c r="M3" i="6"/>
  <c r="AC3" i="6"/>
  <c r="E3" i="9"/>
  <c r="E16" i="9"/>
  <c r="E19" i="9" s="1"/>
  <c r="C7" i="10" a="1"/>
  <c r="C7" i="10" s="1"/>
  <c r="D7" i="10" s="1" a="1"/>
  <c r="D7" i="10" s="1"/>
  <c r="K12" i="10"/>
  <c r="E14" i="10"/>
  <c r="I14" i="10"/>
  <c r="K16" i="10"/>
  <c r="E18" i="10"/>
  <c r="I18" i="10"/>
  <c r="K20" i="10"/>
  <c r="E22" i="10"/>
  <c r="I22" i="10"/>
  <c r="K24" i="10"/>
  <c r="E26" i="10"/>
  <c r="I26" i="10"/>
  <c r="K28" i="10"/>
  <c r="E30" i="10"/>
  <c r="I30" i="10"/>
  <c r="K32" i="10"/>
  <c r="E34" i="10"/>
  <c r="I34" i="10"/>
  <c r="K36" i="10"/>
  <c r="E38" i="10"/>
  <c r="I38" i="10"/>
  <c r="K40" i="10"/>
  <c r="E42" i="10"/>
  <c r="I42" i="10"/>
  <c r="K44" i="10"/>
  <c r="E46" i="10"/>
  <c r="I46" i="10"/>
  <c r="K48" i="10"/>
  <c r="E50" i="10"/>
  <c r="I50" i="10"/>
  <c r="K52" i="10"/>
  <c r="E54" i="10"/>
  <c r="I54" i="10"/>
  <c r="K56" i="10"/>
  <c r="E58" i="10"/>
  <c r="I58" i="10"/>
  <c r="K60" i="10"/>
  <c r="E62" i="10"/>
  <c r="I62" i="10"/>
  <c r="K64" i="10"/>
  <c r="E66" i="10"/>
  <c r="I66" i="10"/>
  <c r="K68" i="10"/>
  <c r="E70" i="10"/>
  <c r="I70" i="10"/>
  <c r="K72" i="10"/>
  <c r="E74" i="10"/>
  <c r="I74" i="10"/>
  <c r="K76" i="10"/>
  <c r="E78" i="10"/>
  <c r="I78" i="10"/>
  <c r="E82" i="10"/>
  <c r="I82" i="10"/>
  <c r="E86" i="10"/>
  <c r="I86" i="10"/>
  <c r="E90" i="10"/>
  <c r="I90" i="10"/>
  <c r="E94" i="10"/>
  <c r="I94" i="10"/>
  <c r="E98" i="10"/>
  <c r="I98" i="10"/>
  <c r="E102" i="10"/>
  <c r="I102" i="10"/>
  <c r="E106" i="10"/>
  <c r="I106" i="10"/>
  <c r="E110" i="10"/>
  <c r="I110" i="10"/>
  <c r="E114" i="10"/>
  <c r="I114" i="10"/>
  <c r="E118" i="10"/>
  <c r="I118" i="10"/>
  <c r="E122" i="10"/>
  <c r="I122" i="10"/>
  <c r="E126" i="10"/>
  <c r="I126" i="10"/>
  <c r="E130" i="10"/>
  <c r="I130" i="10"/>
  <c r="E134" i="10"/>
  <c r="I134" i="10"/>
  <c r="E138" i="10"/>
  <c r="I138" i="10"/>
  <c r="E142" i="10"/>
  <c r="I142" i="10"/>
  <c r="E146" i="10"/>
  <c r="I146" i="10"/>
  <c r="E150" i="10"/>
  <c r="I150" i="10"/>
  <c r="E154" i="10"/>
  <c r="I154" i="10"/>
  <c r="E158" i="10"/>
  <c r="I158" i="10"/>
  <c r="E162" i="10"/>
  <c r="I162" i="10"/>
  <c r="E166" i="10"/>
  <c r="I166" i="10"/>
  <c r="E170" i="10"/>
  <c r="I170" i="10"/>
  <c r="E174" i="10"/>
  <c r="I174" i="10"/>
  <c r="E178" i="10"/>
  <c r="I178" i="10"/>
  <c r="E182" i="10"/>
  <c r="I182" i="10"/>
  <c r="E186" i="10"/>
  <c r="I186" i="10"/>
  <c r="E190" i="10"/>
  <c r="I190" i="10"/>
  <c r="E194" i="10"/>
  <c r="I194" i="10"/>
  <c r="E198" i="10"/>
  <c r="I198" i="10"/>
  <c r="E202" i="10"/>
  <c r="I202" i="10"/>
  <c r="E206" i="10"/>
  <c r="I206" i="10"/>
  <c r="E210" i="10"/>
  <c r="I210" i="10"/>
  <c r="E214" i="10"/>
  <c r="I214" i="10"/>
  <c r="E218" i="10"/>
  <c r="I218" i="10"/>
  <c r="E222" i="10"/>
  <c r="I222" i="10"/>
  <c r="E226" i="10"/>
  <c r="I226" i="10"/>
  <c r="E230" i="10"/>
  <c r="I230" i="10"/>
  <c r="E234" i="10"/>
  <c r="I234" i="10"/>
  <c r="E238" i="10"/>
  <c r="I238" i="10"/>
  <c r="E242" i="10"/>
  <c r="I242" i="10"/>
  <c r="E246" i="10"/>
  <c r="I246" i="10"/>
  <c r="E250" i="10"/>
  <c r="I250" i="10"/>
  <c r="E254" i="10"/>
  <c r="I254" i="10"/>
  <c r="E258" i="10"/>
  <c r="I258" i="10"/>
  <c r="E262" i="10"/>
  <c r="I262" i="10"/>
  <c r="E266" i="10"/>
  <c r="I266" i="10"/>
  <c r="E270" i="10"/>
  <c r="I270" i="10"/>
  <c r="E274" i="10"/>
  <c r="I274" i="10"/>
  <c r="E278" i="10"/>
  <c r="I278" i="10"/>
  <c r="E282" i="10"/>
  <c r="I282" i="10"/>
  <c r="E286" i="10"/>
  <c r="I286" i="10"/>
  <c r="E290" i="10"/>
  <c r="I290" i="10"/>
  <c r="E294" i="10"/>
  <c r="I294" i="10"/>
  <c r="E298" i="10"/>
  <c r="I298" i="10"/>
  <c r="E302" i="10"/>
  <c r="I302" i="10"/>
  <c r="E306" i="10"/>
  <c r="I306" i="10"/>
  <c r="E310" i="10"/>
  <c r="I310" i="10"/>
  <c r="E314" i="10"/>
  <c r="I314" i="10"/>
  <c r="E318" i="10"/>
  <c r="I318" i="10"/>
  <c r="E322" i="10"/>
  <c r="I322" i="10"/>
  <c r="E326" i="10"/>
  <c r="I326" i="10"/>
  <c r="E330" i="10"/>
  <c r="I330" i="10"/>
  <c r="E334" i="10"/>
  <c r="I334" i="10"/>
  <c r="E338" i="10"/>
  <c r="I338" i="10"/>
  <c r="E342" i="10"/>
  <c r="I342" i="10"/>
  <c r="E346" i="10"/>
  <c r="I346" i="10"/>
  <c r="E350" i="10"/>
  <c r="I350" i="10"/>
  <c r="E354" i="10"/>
  <c r="I354" i="10"/>
  <c r="E358" i="10"/>
  <c r="I358" i="10"/>
  <c r="E362" i="10"/>
  <c r="I362" i="10"/>
  <c r="E366" i="10"/>
  <c r="I366" i="10"/>
  <c r="E370" i="10"/>
  <c r="I370" i="10"/>
  <c r="E374" i="10"/>
  <c r="I374" i="10"/>
  <c r="E378" i="10"/>
  <c r="I378" i="10"/>
  <c r="E382" i="10"/>
  <c r="I382" i="10"/>
  <c r="E386" i="10"/>
  <c r="I386" i="10"/>
  <c r="E390" i="10"/>
  <c r="I390" i="10"/>
  <c r="E394" i="10"/>
  <c r="I394" i="10"/>
  <c r="E398" i="10"/>
  <c r="I398" i="10"/>
  <c r="E402" i="10"/>
  <c r="I402" i="10"/>
  <c r="E406" i="10"/>
  <c r="I406" i="10"/>
  <c r="E410" i="10"/>
  <c r="I410" i="10"/>
  <c r="E414" i="10"/>
  <c r="I414" i="10"/>
  <c r="E418" i="10"/>
  <c r="I418" i="10"/>
  <c r="E422" i="10"/>
  <c r="I422" i="10"/>
  <c r="E426" i="10"/>
  <c r="I426" i="10"/>
  <c r="E430" i="10"/>
  <c r="I430" i="10"/>
  <c r="E434" i="10"/>
  <c r="I434" i="10"/>
  <c r="E438" i="10"/>
  <c r="I438" i="10"/>
  <c r="E442" i="10"/>
  <c r="I442" i="10"/>
  <c r="E446" i="10"/>
  <c r="I446" i="10"/>
  <c r="E450" i="10"/>
  <c r="I450" i="10"/>
  <c r="E454" i="10"/>
  <c r="I454" i="10"/>
  <c r="E458" i="10"/>
  <c r="I458" i="10"/>
  <c r="E462" i="10"/>
  <c r="I462" i="10"/>
  <c r="E466" i="10"/>
  <c r="I466" i="10"/>
  <c r="E470" i="10"/>
  <c r="I470" i="10"/>
  <c r="E474" i="10"/>
  <c r="I474" i="10"/>
  <c r="E478" i="10"/>
  <c r="I478" i="10"/>
  <c r="E482" i="10"/>
  <c r="I482" i="10"/>
  <c r="E486" i="10"/>
  <c r="I486" i="10"/>
  <c r="E490" i="10"/>
  <c r="I490" i="10"/>
  <c r="E494" i="10"/>
  <c r="I494" i="10"/>
  <c r="E498" i="10"/>
  <c r="I498" i="10"/>
  <c r="E502" i="10"/>
  <c r="I502" i="10"/>
  <c r="E506" i="10"/>
  <c r="I506" i="10"/>
  <c r="E510" i="10"/>
  <c r="I510" i="10"/>
  <c r="E514" i="10"/>
  <c r="I514" i="10"/>
  <c r="E518" i="10"/>
  <c r="I518" i="10"/>
  <c r="E522" i="10"/>
  <c r="I522" i="10"/>
  <c r="E526" i="10"/>
  <c r="I526" i="10"/>
  <c r="E530" i="10"/>
  <c r="I530" i="10"/>
  <c r="E534" i="10"/>
  <c r="I534" i="10"/>
  <c r="E538" i="10"/>
  <c r="I538" i="10"/>
  <c r="E542" i="10"/>
  <c r="I542" i="10"/>
  <c r="E546" i="10"/>
  <c r="I546" i="10"/>
  <c r="E550" i="10"/>
  <c r="I550" i="10"/>
  <c r="E554" i="10"/>
  <c r="I554" i="10"/>
  <c r="E558" i="10"/>
  <c r="I558" i="10"/>
  <c r="E562" i="10"/>
  <c r="I562" i="10"/>
  <c r="E566" i="10"/>
  <c r="I566" i="10"/>
  <c r="E570" i="10"/>
  <c r="I570" i="10"/>
  <c r="E574" i="10"/>
  <c r="I574" i="10"/>
  <c r="E578" i="10"/>
  <c r="I578" i="10"/>
  <c r="E582" i="10"/>
  <c r="I582" i="10"/>
  <c r="E586" i="10"/>
  <c r="I586" i="10"/>
  <c r="E590" i="10"/>
  <c r="I590" i="10"/>
  <c r="E594" i="10"/>
  <c r="I594" i="10"/>
  <c r="E598" i="10"/>
  <c r="I598" i="10"/>
  <c r="E602" i="10"/>
  <c r="I602" i="10"/>
  <c r="E606" i="10"/>
  <c r="I606" i="10"/>
  <c r="E610" i="10"/>
  <c r="I610" i="10"/>
  <c r="E614" i="10"/>
  <c r="I614" i="10"/>
  <c r="E618" i="10"/>
  <c r="I618" i="10"/>
  <c r="E622" i="10"/>
  <c r="I622" i="10"/>
  <c r="E626" i="10"/>
  <c r="I626" i="10"/>
  <c r="E630" i="10"/>
  <c r="I630" i="10"/>
  <c r="E634" i="10"/>
  <c r="I634" i="10"/>
  <c r="E638" i="10"/>
  <c r="I638" i="10"/>
  <c r="E642" i="10"/>
  <c r="I642" i="10"/>
  <c r="E646" i="10"/>
  <c r="I646" i="10"/>
  <c r="E650" i="10"/>
  <c r="I650" i="10"/>
  <c r="E654" i="10"/>
  <c r="I654" i="10"/>
  <c r="E658" i="10"/>
  <c r="I658" i="10"/>
  <c r="E662" i="10"/>
  <c r="I662" i="10"/>
  <c r="E666" i="10"/>
  <c r="I666" i="10"/>
  <c r="E670" i="10"/>
  <c r="I670" i="10"/>
  <c r="E674" i="10"/>
  <c r="I674" i="10"/>
  <c r="E678" i="10"/>
  <c r="I678" i="10"/>
  <c r="E682" i="10"/>
  <c r="I682" i="10"/>
  <c r="E686" i="10"/>
  <c r="I686" i="10"/>
  <c r="E690" i="10"/>
  <c r="I690" i="10"/>
  <c r="E694" i="10"/>
  <c r="I694" i="10"/>
  <c r="E698" i="10"/>
  <c r="I698" i="10"/>
  <c r="E702" i="10"/>
  <c r="I702" i="10"/>
  <c r="E706" i="10"/>
  <c r="I706" i="10"/>
  <c r="E710" i="10"/>
  <c r="I710" i="10"/>
  <c r="E714" i="10"/>
  <c r="I714" i="10"/>
  <c r="E718" i="10"/>
  <c r="I718" i="10"/>
  <c r="E722" i="10"/>
  <c r="I722" i="10"/>
  <c r="E726" i="10"/>
  <c r="I726" i="10"/>
  <c r="E730" i="10"/>
  <c r="I730" i="10"/>
  <c r="E734" i="10"/>
  <c r="I734" i="10"/>
  <c r="E738" i="10"/>
  <c r="I738" i="10"/>
  <c r="E742" i="10"/>
  <c r="I742" i="10"/>
  <c r="E746" i="10"/>
  <c r="I746" i="10"/>
  <c r="E750" i="10"/>
  <c r="I750" i="10"/>
  <c r="E754" i="10"/>
  <c r="I754" i="10"/>
  <c r="E758" i="10"/>
  <c r="I758" i="10"/>
  <c r="E762" i="10"/>
  <c r="I762" i="10"/>
  <c r="E766" i="10"/>
  <c r="I766" i="10"/>
  <c r="E770" i="10"/>
  <c r="I770" i="10"/>
  <c r="E774" i="10"/>
  <c r="I774" i="10"/>
  <c r="E778" i="10"/>
  <c r="I778" i="10"/>
  <c r="E782" i="10"/>
  <c r="I782" i="10"/>
  <c r="E786" i="10"/>
  <c r="I786" i="10"/>
  <c r="E790" i="10"/>
  <c r="I790" i="10"/>
  <c r="E794" i="10"/>
  <c r="I794" i="10"/>
  <c r="E798" i="10"/>
  <c r="I798" i="10"/>
  <c r="E802" i="10"/>
  <c r="I802" i="10"/>
  <c r="E806" i="10"/>
  <c r="I806" i="10"/>
  <c r="E810" i="10"/>
  <c r="I810" i="10"/>
  <c r="E814" i="10"/>
  <c r="I814" i="10"/>
  <c r="E818" i="10"/>
  <c r="I818" i="10"/>
  <c r="E822" i="10"/>
  <c r="I822" i="10"/>
  <c r="E826" i="10"/>
  <c r="I826" i="10"/>
  <c r="E830" i="10"/>
  <c r="I830" i="10"/>
  <c r="E834" i="10"/>
  <c r="I834" i="10"/>
  <c r="E838" i="10"/>
  <c r="I838" i="10"/>
  <c r="E842" i="10"/>
  <c r="I842" i="10"/>
  <c r="E846" i="10"/>
  <c r="I846" i="10"/>
  <c r="E850" i="10"/>
  <c r="I850" i="10"/>
  <c r="E854" i="10"/>
  <c r="I854" i="10"/>
  <c r="E858" i="10"/>
  <c r="I858" i="10"/>
  <c r="E862" i="10"/>
  <c r="I862" i="10"/>
  <c r="E866" i="10"/>
  <c r="I866" i="10"/>
  <c r="E870" i="10"/>
  <c r="I870" i="10"/>
  <c r="E874" i="10"/>
  <c r="I874" i="10"/>
  <c r="E878" i="10"/>
  <c r="I878" i="10"/>
  <c r="E882" i="10"/>
  <c r="I882" i="10"/>
  <c r="E886" i="10"/>
  <c r="I886" i="10"/>
  <c r="E890" i="10"/>
  <c r="I890" i="10"/>
  <c r="E894" i="10"/>
  <c r="I894" i="10"/>
  <c r="E898" i="10"/>
  <c r="I898" i="10"/>
  <c r="E902" i="10"/>
  <c r="I902" i="10"/>
  <c r="E906" i="10"/>
  <c r="I906" i="10"/>
  <c r="E910" i="10"/>
  <c r="I910" i="10"/>
  <c r="E914" i="10"/>
  <c r="I914" i="10"/>
  <c r="E918" i="10"/>
  <c r="I918" i="10"/>
  <c r="E922" i="10"/>
  <c r="I922" i="10"/>
  <c r="E926" i="10"/>
  <c r="I926" i="10"/>
  <c r="E930" i="10"/>
  <c r="I930" i="10"/>
  <c r="E934" i="10"/>
  <c r="I934" i="10"/>
  <c r="E938" i="10"/>
  <c r="I938" i="10"/>
  <c r="E942" i="10"/>
  <c r="I942" i="10"/>
  <c r="E946" i="10"/>
  <c r="I946" i="10"/>
  <c r="E950" i="10"/>
  <c r="I950" i="10"/>
  <c r="E954" i="10"/>
  <c r="I954" i="10"/>
  <c r="E958" i="10"/>
  <c r="I958" i="10"/>
  <c r="E962" i="10"/>
  <c r="I962" i="10"/>
  <c r="E966" i="10"/>
  <c r="I966" i="10"/>
  <c r="E970" i="10"/>
  <c r="I970" i="10"/>
  <c r="E974" i="10"/>
  <c r="I974" i="10"/>
  <c r="E978" i="10"/>
  <c r="I978" i="10"/>
  <c r="E982" i="10"/>
  <c r="I982" i="10"/>
  <c r="E986" i="10"/>
  <c r="I986" i="10"/>
  <c r="E990" i="10"/>
  <c r="I990" i="10"/>
  <c r="E994" i="10"/>
  <c r="I994" i="10"/>
  <c r="E998" i="10"/>
  <c r="I998" i="10"/>
  <c r="E1002" i="10"/>
  <c r="I1002" i="10"/>
  <c r="E1006" i="10"/>
  <c r="I1006" i="10"/>
  <c r="E1010" i="10"/>
  <c r="I1010" i="10"/>
  <c r="E1014" i="10"/>
  <c r="I1014" i="10"/>
  <c r="E1018" i="10"/>
  <c r="I1018" i="10"/>
  <c r="E1022" i="10"/>
  <c r="I1022" i="10"/>
  <c r="E1026" i="10"/>
  <c r="I1026" i="10"/>
  <c r="E1030" i="10"/>
  <c r="I1030" i="10"/>
  <c r="E1034" i="10"/>
  <c r="I1034" i="10"/>
  <c r="E1038" i="10"/>
  <c r="I1038" i="10"/>
  <c r="E1042" i="10"/>
  <c r="I1042" i="10"/>
  <c r="E1046" i="10"/>
  <c r="I1046" i="10"/>
  <c r="E1050" i="10"/>
  <c r="I1050" i="10"/>
  <c r="E1054" i="10"/>
  <c r="I1054" i="10"/>
  <c r="E1058" i="10"/>
  <c r="I1058" i="10"/>
  <c r="E1062" i="10"/>
  <c r="I1062" i="10"/>
  <c r="E1066" i="10"/>
  <c r="I1066" i="10"/>
  <c r="E1070" i="10"/>
  <c r="I1070" i="10"/>
  <c r="E1074" i="10"/>
  <c r="I1074" i="10"/>
  <c r="E1078" i="10"/>
  <c r="I1078" i="10"/>
  <c r="E1082" i="10"/>
  <c r="I1082" i="10"/>
  <c r="E1086" i="10"/>
  <c r="I1086" i="10"/>
  <c r="E1090" i="10"/>
  <c r="I1090" i="10"/>
  <c r="E1094" i="10"/>
  <c r="I1094" i="10"/>
  <c r="E1098" i="10"/>
  <c r="I1098" i="10"/>
  <c r="E1102" i="10"/>
  <c r="I1102" i="10"/>
  <c r="E1106" i="10"/>
  <c r="I1106" i="10"/>
  <c r="E1110" i="10"/>
  <c r="I1110" i="10"/>
  <c r="E1114" i="10"/>
  <c r="I1114" i="10"/>
  <c r="I1119" i="10"/>
  <c r="E1119" i="10"/>
  <c r="I1121" i="10"/>
  <c r="E1121" i="10"/>
  <c r="U21" i="11"/>
  <c r="T21" i="11"/>
  <c r="G58" i="13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G99" i="13" s="1"/>
  <c r="G100" i="13" s="1"/>
  <c r="G101" i="13" s="1"/>
  <c r="G102" i="13" s="1"/>
  <c r="G103" i="13" s="1"/>
  <c r="G104" i="13" s="1"/>
  <c r="G105" i="13" s="1"/>
  <c r="G106" i="13" s="1"/>
  <c r="G107" i="13" s="1"/>
  <c r="G108" i="13" s="1"/>
  <c r="G109" i="13" s="1"/>
  <c r="G110" i="13" s="1"/>
  <c r="G111" i="13" s="1"/>
  <c r="G112" i="13" s="1"/>
  <c r="G113" i="13" s="1"/>
  <c r="G114" i="13" s="1"/>
  <c r="G115" i="13" s="1"/>
  <c r="G116" i="13" s="1"/>
  <c r="G117" i="13" s="1"/>
  <c r="G118" i="13" s="1"/>
  <c r="G119" i="13" s="1"/>
  <c r="G120" i="13" s="1"/>
  <c r="G121" i="13" s="1"/>
  <c r="G122" i="13" s="1"/>
  <c r="G123" i="13" s="1"/>
  <c r="G124" i="13" s="1"/>
  <c r="G125" i="13" s="1"/>
  <c r="G126" i="13" s="1"/>
  <c r="G127" i="13" s="1"/>
  <c r="G128" i="13" s="1"/>
  <c r="G129" i="13" s="1"/>
  <c r="G130" i="13" s="1"/>
  <c r="G131" i="13" s="1"/>
  <c r="G132" i="13" s="1"/>
  <c r="G133" i="13" s="1"/>
  <c r="G134" i="13" s="1"/>
  <c r="G135" i="13" s="1"/>
  <c r="G136" i="13" s="1"/>
  <c r="G137" i="13" s="1"/>
  <c r="G138" i="13" s="1"/>
  <c r="G139" i="13" s="1"/>
  <c r="G140" i="13" s="1"/>
  <c r="G141" i="13" s="1"/>
  <c r="G142" i="13" s="1"/>
  <c r="G143" i="13" s="1"/>
  <c r="G144" i="13" s="1"/>
  <c r="G145" i="13" s="1"/>
  <c r="G146" i="13" s="1"/>
  <c r="G147" i="13" s="1"/>
  <c r="G148" i="13" s="1"/>
  <c r="G149" i="13" s="1"/>
  <c r="G150" i="13" s="1"/>
  <c r="G151" i="13" s="1"/>
  <c r="G152" i="13" s="1"/>
  <c r="G153" i="13" s="1"/>
  <c r="G154" i="13" s="1"/>
  <c r="G155" i="13" s="1"/>
  <c r="G156" i="13" s="1"/>
  <c r="G157" i="13" s="1"/>
  <c r="G158" i="13" s="1"/>
  <c r="G159" i="13" s="1"/>
  <c r="G160" i="13" s="1"/>
  <c r="G161" i="13" s="1"/>
  <c r="G162" i="13" s="1"/>
  <c r="G163" i="13" s="1"/>
  <c r="G164" i="13" s="1"/>
  <c r="G165" i="13" s="1"/>
  <c r="G166" i="13" s="1"/>
  <c r="G167" i="13" s="1"/>
  <c r="G168" i="13" s="1"/>
  <c r="G169" i="13" s="1"/>
  <c r="G170" i="13" s="1"/>
  <c r="G171" i="13" s="1"/>
  <c r="G172" i="13" s="1"/>
  <c r="G173" i="13" s="1"/>
  <c r="G174" i="13" s="1"/>
  <c r="G175" i="13" s="1"/>
  <c r="G176" i="13" s="1"/>
  <c r="G177" i="13" s="1"/>
  <c r="G178" i="13" s="1"/>
  <c r="G179" i="13" s="1"/>
  <c r="G180" i="13" s="1"/>
  <c r="G181" i="13" s="1"/>
  <c r="G182" i="13" s="1"/>
  <c r="G183" i="13" s="1"/>
  <c r="G184" i="13" s="1"/>
  <c r="G185" i="13" s="1"/>
  <c r="G186" i="13" s="1"/>
  <c r="G187" i="13" s="1"/>
  <c r="G188" i="13" s="1"/>
  <c r="G189" i="13" s="1"/>
  <c r="G190" i="13" s="1"/>
  <c r="G191" i="13" s="1"/>
  <c r="G192" i="13" s="1"/>
  <c r="G193" i="13" s="1"/>
  <c r="G194" i="13" s="1"/>
  <c r="G195" i="13" s="1"/>
  <c r="G196" i="13" s="1"/>
  <c r="G197" i="13" s="1"/>
  <c r="G198" i="13" s="1"/>
  <c r="G199" i="13" s="1"/>
  <c r="G200" i="13" s="1"/>
  <c r="G201" i="13" s="1"/>
  <c r="G202" i="13" s="1"/>
  <c r="G203" i="13" s="1"/>
  <c r="G204" i="13" s="1"/>
  <c r="G205" i="13" s="1"/>
  <c r="G206" i="13" s="1"/>
  <c r="G207" i="13" s="1"/>
  <c r="G208" i="13" s="1"/>
  <c r="G209" i="13" s="1"/>
  <c r="G210" i="13" s="1"/>
  <c r="G211" i="13" s="1"/>
  <c r="G212" i="13" s="1"/>
  <c r="G213" i="13" s="1"/>
  <c r="G214" i="13" s="1"/>
  <c r="G215" i="13" s="1"/>
  <c r="G216" i="13" s="1"/>
  <c r="G217" i="13" s="1"/>
  <c r="G218" i="13" s="1"/>
  <c r="G219" i="13" s="1"/>
  <c r="G220" i="13" s="1"/>
  <c r="G221" i="13" s="1"/>
  <c r="G222" i="13" s="1"/>
  <c r="G223" i="13" s="1"/>
  <c r="G224" i="13" s="1"/>
  <c r="G225" i="13" s="1"/>
  <c r="G226" i="13" s="1"/>
  <c r="G227" i="13" s="1"/>
  <c r="G228" i="13" s="1"/>
  <c r="G229" i="13" s="1"/>
  <c r="G230" i="13" s="1"/>
  <c r="G231" i="13" s="1"/>
  <c r="G232" i="13" s="1"/>
  <c r="G233" i="13" s="1"/>
  <c r="G234" i="13" s="1"/>
  <c r="G235" i="13" s="1"/>
  <c r="G236" i="13" s="1"/>
  <c r="G237" i="13" s="1"/>
  <c r="G238" i="13" s="1"/>
  <c r="G239" i="13" s="1"/>
  <c r="G240" i="13" s="1"/>
  <c r="G241" i="13" s="1"/>
  <c r="G242" i="13" s="1"/>
  <c r="G243" i="13" s="1"/>
  <c r="G244" i="13" s="1"/>
  <c r="G245" i="13" s="1"/>
  <c r="G246" i="13" s="1"/>
  <c r="G247" i="13" s="1"/>
  <c r="G248" i="13" s="1"/>
  <c r="G249" i="13" s="1"/>
  <c r="G250" i="13" s="1"/>
  <c r="G251" i="13" s="1"/>
  <c r="G252" i="13" s="1"/>
  <c r="G253" i="13" s="1"/>
  <c r="G254" i="13" s="1"/>
  <c r="G255" i="13" s="1"/>
  <c r="G256" i="13" s="1"/>
  <c r="G257" i="13" s="1"/>
  <c r="G258" i="13" s="1"/>
  <c r="G259" i="13" s="1"/>
  <c r="G260" i="13" s="1"/>
  <c r="G261" i="13" s="1"/>
  <c r="G262" i="13" s="1"/>
  <c r="G263" i="13" s="1"/>
  <c r="G264" i="13" s="1"/>
  <c r="G265" i="13" s="1"/>
  <c r="G266" i="13" s="1"/>
  <c r="G267" i="13" s="1"/>
  <c r="G268" i="13" s="1"/>
  <c r="G269" i="13" s="1"/>
  <c r="G270" i="13" s="1"/>
  <c r="G271" i="13" s="1"/>
  <c r="G272" i="13" s="1"/>
  <c r="G273" i="13" s="1"/>
  <c r="G274" i="13" s="1"/>
  <c r="G275" i="13" s="1"/>
  <c r="G276" i="13" s="1"/>
  <c r="G277" i="13" s="1"/>
  <c r="G278" i="13" s="1"/>
  <c r="G279" i="13" s="1"/>
  <c r="G280" i="13" s="1"/>
  <c r="G281" i="13" s="1"/>
  <c r="G282" i="13" s="1"/>
  <c r="G283" i="13" s="1"/>
  <c r="G284" i="13" s="1"/>
  <c r="G285" i="13" s="1"/>
  <c r="G286" i="13" s="1"/>
  <c r="G287" i="13" s="1"/>
  <c r="G288" i="13" s="1"/>
  <c r="G289" i="13" s="1"/>
  <c r="G290" i="13" s="1"/>
  <c r="G291" i="13" s="1"/>
  <c r="G292" i="13" s="1"/>
  <c r="G293" i="13" s="1"/>
  <c r="G294" i="13" s="1"/>
  <c r="G295" i="13" s="1"/>
  <c r="G296" i="13" s="1"/>
  <c r="G297" i="13" s="1"/>
  <c r="G298" i="13" s="1"/>
  <c r="G299" i="13" s="1"/>
  <c r="G300" i="13" s="1"/>
  <c r="G301" i="13" s="1"/>
  <c r="G302" i="13" s="1"/>
  <c r="G303" i="13" s="1"/>
  <c r="G304" i="13" s="1"/>
  <c r="G305" i="13" s="1"/>
  <c r="G306" i="13" s="1"/>
  <c r="G307" i="13" s="1"/>
  <c r="G308" i="13" s="1"/>
  <c r="G309" i="13" s="1"/>
  <c r="G310" i="13" s="1"/>
  <c r="G311" i="13" s="1"/>
  <c r="G312" i="13" s="1"/>
  <c r="G313" i="13" s="1"/>
  <c r="G314" i="13" s="1"/>
  <c r="G315" i="13" s="1"/>
  <c r="G316" i="13" s="1"/>
  <c r="G317" i="13" s="1"/>
  <c r="G318" i="13" s="1"/>
  <c r="G319" i="13" s="1"/>
  <c r="G320" i="13" s="1"/>
  <c r="G321" i="13" s="1"/>
  <c r="G322" i="13" s="1"/>
  <c r="G323" i="13" s="1"/>
  <c r="G324" i="13" s="1"/>
  <c r="G325" i="13" s="1"/>
  <c r="G326" i="13" s="1"/>
  <c r="G327" i="13" s="1"/>
  <c r="G328" i="13" s="1"/>
  <c r="G329" i="13" s="1"/>
  <c r="G330" i="13" s="1"/>
  <c r="G331" i="13" s="1"/>
  <c r="G332" i="13" s="1"/>
  <c r="G333" i="13" s="1"/>
  <c r="G334" i="13" s="1"/>
  <c r="G335" i="13" s="1"/>
  <c r="G336" i="13" s="1"/>
  <c r="G337" i="13" s="1"/>
  <c r="G338" i="13" s="1"/>
  <c r="G339" i="13" s="1"/>
  <c r="G340" i="13" s="1"/>
  <c r="G341" i="13" s="1"/>
  <c r="G342" i="13" s="1"/>
  <c r="G343" i="13" s="1"/>
  <c r="G344" i="13" s="1"/>
  <c r="G345" i="13" s="1"/>
  <c r="G346" i="13" s="1"/>
  <c r="G347" i="13" s="1"/>
  <c r="G348" i="13" s="1"/>
  <c r="G349" i="13" s="1"/>
  <c r="G350" i="13" s="1"/>
  <c r="G351" i="13" s="1"/>
  <c r="G352" i="13" s="1"/>
  <c r="G353" i="13" s="1"/>
  <c r="G354" i="13" s="1"/>
  <c r="G355" i="13" s="1"/>
  <c r="G356" i="13" s="1"/>
  <c r="G357" i="13" s="1"/>
  <c r="G358" i="13" s="1"/>
  <c r="G359" i="13" s="1"/>
  <c r="G360" i="13" s="1"/>
  <c r="G361" i="13" s="1"/>
  <c r="G362" i="13" s="1"/>
  <c r="G363" i="13" s="1"/>
  <c r="G364" i="13" s="1"/>
  <c r="G365" i="13" s="1"/>
  <c r="G366" i="13" s="1"/>
  <c r="G367" i="13" s="1"/>
  <c r="G368" i="13" s="1"/>
  <c r="G369" i="13" s="1"/>
  <c r="G370" i="13" s="1"/>
  <c r="G371" i="13" s="1"/>
  <c r="G372" i="13" s="1"/>
  <c r="G373" i="13" s="1"/>
  <c r="G374" i="13" s="1"/>
  <c r="G375" i="13" s="1"/>
  <c r="G376" i="13" s="1"/>
  <c r="G377" i="13" s="1"/>
  <c r="G378" i="13" s="1"/>
  <c r="G379" i="13" s="1"/>
  <c r="G380" i="13" s="1"/>
  <c r="G381" i="13" s="1"/>
  <c r="G382" i="13" s="1"/>
  <c r="G383" i="13" s="1"/>
  <c r="G384" i="13" s="1"/>
  <c r="G385" i="13" s="1"/>
  <c r="G386" i="13" s="1"/>
  <c r="G387" i="13" s="1"/>
  <c r="G388" i="13" s="1"/>
  <c r="G389" i="13" s="1"/>
  <c r="G390" i="13" s="1"/>
  <c r="G391" i="13" s="1"/>
  <c r="G392" i="13" s="1"/>
  <c r="G393" i="13" s="1"/>
  <c r="G394" i="13" s="1"/>
  <c r="G395" i="13" s="1"/>
  <c r="G396" i="13" s="1"/>
  <c r="G397" i="13" s="1"/>
  <c r="G398" i="13" s="1"/>
  <c r="G399" i="13" s="1"/>
  <c r="G400" i="13" s="1"/>
  <c r="G401" i="13" s="1"/>
  <c r="G402" i="13" s="1"/>
  <c r="G403" i="13" s="1"/>
  <c r="G404" i="13" s="1"/>
  <c r="G405" i="13" s="1"/>
  <c r="G406" i="13" s="1"/>
  <c r="G407" i="13" s="1"/>
  <c r="G408" i="13" s="1"/>
  <c r="G409" i="13" s="1"/>
  <c r="G410" i="13" s="1"/>
  <c r="G411" i="13" s="1"/>
  <c r="G412" i="13" s="1"/>
  <c r="G413" i="13" s="1"/>
  <c r="G414" i="13" s="1"/>
  <c r="G415" i="13" s="1"/>
  <c r="G416" i="13" s="1"/>
  <c r="G417" i="13" s="1"/>
  <c r="G418" i="13" s="1"/>
  <c r="G419" i="13" s="1"/>
  <c r="G420" i="13" s="1"/>
  <c r="G421" i="13" s="1"/>
  <c r="G422" i="13" s="1"/>
  <c r="G423" i="13" s="1"/>
  <c r="G424" i="13" s="1"/>
  <c r="G425" i="13" s="1"/>
  <c r="G426" i="13" s="1"/>
  <c r="G427" i="13" s="1"/>
  <c r="G428" i="13" s="1"/>
  <c r="G429" i="13" s="1"/>
  <c r="G430" i="13" s="1"/>
  <c r="G431" i="13" s="1"/>
  <c r="G432" i="13" s="1"/>
  <c r="G433" i="13" s="1"/>
  <c r="G434" i="13" s="1"/>
  <c r="G435" i="13" s="1"/>
  <c r="G436" i="13" s="1"/>
  <c r="G437" i="13" s="1"/>
  <c r="G438" i="13" s="1"/>
  <c r="G439" i="13" s="1"/>
  <c r="G440" i="13" s="1"/>
  <c r="G441" i="13" s="1"/>
  <c r="G442" i="13" s="1"/>
  <c r="G443" i="13" s="1"/>
  <c r="G444" i="13" s="1"/>
  <c r="G445" i="13" s="1"/>
  <c r="G446" i="13" s="1"/>
  <c r="G447" i="13" s="1"/>
  <c r="G448" i="13" s="1"/>
  <c r="G449" i="13" s="1"/>
  <c r="G450" i="13" s="1"/>
  <c r="G451" i="13" s="1"/>
  <c r="G452" i="13" s="1"/>
  <c r="G453" i="13" s="1"/>
  <c r="G454" i="13" s="1"/>
  <c r="G455" i="13" s="1"/>
  <c r="G456" i="13" s="1"/>
  <c r="G457" i="13" s="1"/>
  <c r="G458" i="13" s="1"/>
  <c r="G459" i="13" s="1"/>
  <c r="G460" i="13" s="1"/>
  <c r="G461" i="13" s="1"/>
  <c r="G462" i="13" s="1"/>
  <c r="G463" i="13" s="1"/>
  <c r="G464" i="13" s="1"/>
  <c r="G465" i="13" s="1"/>
  <c r="G466" i="13" s="1"/>
  <c r="G467" i="13" s="1"/>
  <c r="G468" i="13" s="1"/>
  <c r="G469" i="13" s="1"/>
  <c r="G470" i="13" s="1"/>
  <c r="G471" i="13" s="1"/>
  <c r="G472" i="13" s="1"/>
  <c r="G473" i="13" s="1"/>
  <c r="G474" i="13" s="1"/>
  <c r="G475" i="13" s="1"/>
  <c r="G476" i="13" s="1"/>
  <c r="G477" i="13" s="1"/>
  <c r="G478" i="13" s="1"/>
  <c r="G479" i="13" s="1"/>
  <c r="G480" i="13" s="1"/>
  <c r="G481" i="13" s="1"/>
  <c r="G482" i="13" s="1"/>
  <c r="G483" i="13" s="1"/>
  <c r="G484" i="13" s="1"/>
  <c r="G485" i="13" s="1"/>
  <c r="G486" i="13" s="1"/>
  <c r="G487" i="13" s="1"/>
  <c r="G488" i="13" s="1"/>
  <c r="G489" i="13" s="1"/>
  <c r="G490" i="13" s="1"/>
  <c r="G491" i="13" s="1"/>
  <c r="G492" i="13" s="1"/>
  <c r="G493" i="13" s="1"/>
  <c r="G494" i="13" s="1"/>
  <c r="G495" i="13" s="1"/>
  <c r="G496" i="13" s="1"/>
  <c r="G497" i="13" s="1"/>
  <c r="G498" i="13" s="1"/>
  <c r="G499" i="13" s="1"/>
  <c r="G500" i="13" s="1"/>
  <c r="G501" i="13" s="1"/>
  <c r="G502" i="13" s="1"/>
  <c r="G503" i="13" s="1"/>
  <c r="G504" i="13" s="1"/>
  <c r="G505" i="13" s="1"/>
  <c r="G506" i="13" s="1"/>
  <c r="G507" i="13" s="1"/>
  <c r="G508" i="13" s="1"/>
  <c r="G509" i="13" s="1"/>
  <c r="G510" i="13" s="1"/>
  <c r="G511" i="13" s="1"/>
  <c r="G512" i="13" s="1"/>
  <c r="G513" i="13" s="1"/>
  <c r="G514" i="13" s="1"/>
  <c r="G515" i="13" s="1"/>
  <c r="G516" i="13" s="1"/>
  <c r="G517" i="13" s="1"/>
  <c r="G518" i="13" s="1"/>
  <c r="G519" i="13" s="1"/>
  <c r="G520" i="13" s="1"/>
  <c r="G521" i="13" s="1"/>
  <c r="G522" i="13" s="1"/>
  <c r="G523" i="13" s="1"/>
  <c r="G524" i="13" s="1"/>
  <c r="G525" i="13" s="1"/>
  <c r="G526" i="13" s="1"/>
  <c r="G527" i="13" s="1"/>
  <c r="G528" i="13" s="1"/>
  <c r="G529" i="13" s="1"/>
  <c r="G530" i="13" s="1"/>
  <c r="G531" i="13" s="1"/>
  <c r="G532" i="13" s="1"/>
  <c r="G533" i="13" s="1"/>
  <c r="G534" i="13" s="1"/>
  <c r="G535" i="13" s="1"/>
  <c r="G536" i="13" s="1"/>
  <c r="G537" i="13" s="1"/>
  <c r="G538" i="13" s="1"/>
  <c r="G539" i="13" s="1"/>
  <c r="G540" i="13" s="1"/>
  <c r="G541" i="13" s="1"/>
  <c r="G542" i="13" s="1"/>
  <c r="G543" i="13" s="1"/>
  <c r="G544" i="13" s="1"/>
  <c r="G545" i="13" s="1"/>
  <c r="G546" i="13" s="1"/>
  <c r="G547" i="13" s="1"/>
  <c r="G548" i="13" s="1"/>
  <c r="G549" i="13" s="1"/>
  <c r="G550" i="13" s="1"/>
  <c r="G551" i="13" s="1"/>
  <c r="G552" i="13" s="1"/>
  <c r="G553" i="13" s="1"/>
  <c r="G554" i="13" s="1"/>
  <c r="G555" i="13" s="1"/>
  <c r="G556" i="13" s="1"/>
  <c r="G557" i="13" s="1"/>
  <c r="G558" i="13" s="1"/>
  <c r="G559" i="13" s="1"/>
  <c r="G560" i="13" s="1"/>
  <c r="G561" i="13" s="1"/>
  <c r="G562" i="13" s="1"/>
  <c r="G563" i="13" s="1"/>
  <c r="G564" i="13" s="1"/>
  <c r="G565" i="13" s="1"/>
  <c r="G566" i="13" s="1"/>
  <c r="G567" i="13" s="1"/>
  <c r="G568" i="13" s="1"/>
  <c r="G569" i="13" s="1"/>
  <c r="G570" i="13" s="1"/>
  <c r="G571" i="13" s="1"/>
  <c r="G572" i="13" s="1"/>
  <c r="G573" i="13" s="1"/>
  <c r="G574" i="13" s="1"/>
  <c r="G575" i="13" s="1"/>
  <c r="G576" i="13" s="1"/>
  <c r="G577" i="13" s="1"/>
  <c r="G578" i="13" s="1"/>
  <c r="G579" i="13" s="1"/>
  <c r="G580" i="13" s="1"/>
  <c r="G581" i="13" s="1"/>
  <c r="G582" i="13" s="1"/>
  <c r="G583" i="13" s="1"/>
  <c r="G584" i="13" s="1"/>
  <c r="G585" i="13" s="1"/>
  <c r="G586" i="13" s="1"/>
  <c r="G587" i="13" s="1"/>
  <c r="G588" i="13" s="1"/>
  <c r="G589" i="13" s="1"/>
  <c r="G590" i="13" s="1"/>
  <c r="G591" i="13" s="1"/>
  <c r="G592" i="13" s="1"/>
  <c r="G593" i="13" s="1"/>
  <c r="G594" i="13" s="1"/>
  <c r="G595" i="13" s="1"/>
  <c r="G596" i="13" s="1"/>
  <c r="G597" i="13" s="1"/>
  <c r="G598" i="13" s="1"/>
  <c r="G599" i="13" s="1"/>
  <c r="G600" i="13" s="1"/>
  <c r="G601" i="13" s="1"/>
  <c r="G602" i="13" s="1"/>
  <c r="G603" i="13" s="1"/>
  <c r="G604" i="13" s="1"/>
  <c r="G605" i="13" s="1"/>
  <c r="G606" i="13" s="1"/>
  <c r="G607" i="13" s="1"/>
  <c r="G608" i="13" s="1"/>
  <c r="G609" i="13" s="1"/>
  <c r="G610" i="13" s="1"/>
  <c r="G611" i="13" s="1"/>
  <c r="G612" i="13" s="1"/>
  <c r="G613" i="13" s="1"/>
  <c r="G614" i="13" s="1"/>
  <c r="G615" i="13" s="1"/>
  <c r="G616" i="13" s="1"/>
  <c r="G617" i="13" s="1"/>
  <c r="G618" i="13" s="1"/>
  <c r="G619" i="13" s="1"/>
  <c r="G620" i="13" s="1"/>
  <c r="G621" i="13" s="1"/>
  <c r="G622" i="13" s="1"/>
  <c r="G623" i="13" s="1"/>
  <c r="G624" i="13" s="1"/>
  <c r="G625" i="13" s="1"/>
  <c r="G626" i="13" s="1"/>
  <c r="G627" i="13" s="1"/>
  <c r="G628" i="13" s="1"/>
  <c r="G629" i="13" s="1"/>
  <c r="G630" i="13" s="1"/>
  <c r="G631" i="13" s="1"/>
  <c r="G632" i="13" s="1"/>
  <c r="G633" i="13" s="1"/>
  <c r="G634" i="13" s="1"/>
  <c r="G635" i="13" s="1"/>
  <c r="G636" i="13" s="1"/>
  <c r="G637" i="13" s="1"/>
  <c r="G638" i="13" s="1"/>
  <c r="G639" i="13" s="1"/>
  <c r="G640" i="13" s="1"/>
  <c r="G641" i="13" s="1"/>
  <c r="G642" i="13" s="1"/>
  <c r="G643" i="13" s="1"/>
  <c r="G644" i="13" s="1"/>
  <c r="G645" i="13" s="1"/>
  <c r="G646" i="13" s="1"/>
  <c r="G647" i="13" s="1"/>
  <c r="G648" i="13" s="1"/>
  <c r="G649" i="13" s="1"/>
  <c r="G650" i="13" s="1"/>
  <c r="G651" i="13" s="1"/>
  <c r="G652" i="13" s="1"/>
  <c r="G653" i="13" s="1"/>
  <c r="G654" i="13" s="1"/>
  <c r="G655" i="13" s="1"/>
  <c r="G656" i="13" s="1"/>
  <c r="G657" i="13" s="1"/>
  <c r="G658" i="13" s="1"/>
  <c r="G659" i="13" s="1"/>
  <c r="G660" i="13" s="1"/>
  <c r="G661" i="13" s="1"/>
  <c r="G662" i="13" s="1"/>
  <c r="G663" i="13" s="1"/>
  <c r="G664" i="13" s="1"/>
  <c r="G665" i="13" s="1"/>
  <c r="G666" i="13" s="1"/>
  <c r="G667" i="13" s="1"/>
  <c r="G668" i="13" s="1"/>
  <c r="G669" i="13" s="1"/>
  <c r="G670" i="13" s="1"/>
  <c r="G671" i="13" s="1"/>
  <c r="G672" i="13" s="1"/>
  <c r="G673" i="13" s="1"/>
  <c r="G674" i="13" s="1"/>
  <c r="G675" i="13" s="1"/>
  <c r="G676" i="13" s="1"/>
  <c r="G677" i="13" s="1"/>
  <c r="G678" i="13" s="1"/>
  <c r="G679" i="13" s="1"/>
  <c r="G680" i="13" s="1"/>
  <c r="G681" i="13" s="1"/>
  <c r="G682" i="13" s="1"/>
  <c r="G683" i="13" s="1"/>
  <c r="G684" i="13" s="1"/>
  <c r="G685" i="13" s="1"/>
  <c r="G686" i="13" s="1"/>
  <c r="G687" i="13" s="1"/>
  <c r="G688" i="13" s="1"/>
  <c r="G689" i="13" s="1"/>
  <c r="G690" i="13" s="1"/>
  <c r="G691" i="13" s="1"/>
  <c r="G692" i="13" s="1"/>
  <c r="G693" i="13" s="1"/>
  <c r="G694" i="13" s="1"/>
  <c r="G695" i="13" s="1"/>
  <c r="G696" i="13" s="1"/>
  <c r="G697" i="13" s="1"/>
  <c r="G698" i="13" s="1"/>
  <c r="G699" i="13" s="1"/>
  <c r="G700" i="13" s="1"/>
  <c r="G701" i="13" s="1"/>
  <c r="G702" i="13" s="1"/>
  <c r="G703" i="13" s="1"/>
  <c r="G704" i="13" s="1"/>
  <c r="G705" i="13" s="1"/>
  <c r="G706" i="13" s="1"/>
  <c r="G707" i="13" s="1"/>
  <c r="G708" i="13" s="1"/>
  <c r="G709" i="13" s="1"/>
  <c r="G710" i="13" s="1"/>
  <c r="G711" i="13" s="1"/>
  <c r="G712" i="13" s="1"/>
  <c r="G713" i="13" s="1"/>
  <c r="G714" i="13" s="1"/>
  <c r="G715" i="13" s="1"/>
  <c r="G716" i="13" s="1"/>
  <c r="G717" i="13" s="1"/>
  <c r="G718" i="13" s="1"/>
  <c r="G719" i="13" s="1"/>
  <c r="G720" i="13" s="1"/>
  <c r="G721" i="13" s="1"/>
  <c r="G722" i="13" s="1"/>
  <c r="G723" i="13" s="1"/>
  <c r="G724" i="13" s="1"/>
  <c r="G725" i="13" s="1"/>
  <c r="G726" i="13" s="1"/>
  <c r="G727" i="13" s="1"/>
  <c r="G728" i="13" s="1"/>
  <c r="G729" i="13" s="1"/>
  <c r="G730" i="13" s="1"/>
  <c r="G731" i="13" s="1"/>
  <c r="G732" i="13" s="1"/>
  <c r="G733" i="13" s="1"/>
  <c r="G734" i="13" s="1"/>
  <c r="G735" i="13" s="1"/>
  <c r="G736" i="13" s="1"/>
  <c r="G737" i="13" s="1"/>
  <c r="G738" i="13" s="1"/>
  <c r="G739" i="13" s="1"/>
  <c r="G740" i="13" s="1"/>
  <c r="G741" i="13" s="1"/>
  <c r="G742" i="13" s="1"/>
  <c r="G743" i="13" s="1"/>
  <c r="G744" i="13" s="1"/>
  <c r="G745" i="13" s="1"/>
  <c r="G746" i="13" s="1"/>
  <c r="G747" i="13" s="1"/>
  <c r="G748" i="13" s="1"/>
  <c r="G749" i="13" s="1"/>
  <c r="G750" i="13" s="1"/>
  <c r="G751" i="13" s="1"/>
  <c r="G752" i="13" s="1"/>
  <c r="G753" i="13" s="1"/>
  <c r="G754" i="13" s="1"/>
  <c r="G755" i="13" s="1"/>
  <c r="G756" i="13" s="1"/>
  <c r="G757" i="13" s="1"/>
  <c r="G758" i="13" s="1"/>
  <c r="G759" i="13" s="1"/>
  <c r="G760" i="13" s="1"/>
  <c r="G761" i="13" s="1"/>
  <c r="G762" i="13" s="1"/>
  <c r="G763" i="13" s="1"/>
  <c r="G764" i="13" s="1"/>
  <c r="G765" i="13" s="1"/>
  <c r="G766" i="13" s="1"/>
  <c r="G767" i="13" s="1"/>
  <c r="G768" i="13" s="1"/>
  <c r="G769" i="13" s="1"/>
  <c r="G770" i="13" s="1"/>
  <c r="G771" i="13" s="1"/>
  <c r="G772" i="13" s="1"/>
  <c r="G773" i="13" s="1"/>
  <c r="G774" i="13" s="1"/>
  <c r="G775" i="13" s="1"/>
  <c r="G776" i="13" s="1"/>
  <c r="G777" i="13" s="1"/>
  <c r="G778" i="13" s="1"/>
  <c r="G779" i="13" s="1"/>
  <c r="G780" i="13" s="1"/>
  <c r="G781" i="13" s="1"/>
  <c r="G782" i="13" s="1"/>
  <c r="G783" i="13" s="1"/>
  <c r="G784" i="13" s="1"/>
  <c r="G785" i="13" s="1"/>
  <c r="G786" i="13" s="1"/>
  <c r="G787" i="13" s="1"/>
  <c r="G788" i="13" s="1"/>
  <c r="G789" i="13" s="1"/>
  <c r="G790" i="13" s="1"/>
  <c r="G791" i="13" s="1"/>
  <c r="G792" i="13" s="1"/>
  <c r="G793" i="13" s="1"/>
  <c r="G794" i="13" s="1"/>
  <c r="G795" i="13" s="1"/>
  <c r="G796" i="13" s="1"/>
  <c r="G797" i="13" s="1"/>
  <c r="G798" i="13" s="1"/>
  <c r="G799" i="13" s="1"/>
  <c r="G800" i="13" s="1"/>
  <c r="G801" i="13" s="1"/>
  <c r="G802" i="13" s="1"/>
  <c r="G803" i="13" s="1"/>
  <c r="G804" i="13" s="1"/>
  <c r="G805" i="13" s="1"/>
  <c r="G806" i="13" s="1"/>
  <c r="G807" i="13" s="1"/>
  <c r="G808" i="13" s="1"/>
  <c r="G809" i="13" s="1"/>
  <c r="G810" i="13" s="1"/>
  <c r="G811" i="13" s="1"/>
  <c r="G812" i="13" s="1"/>
  <c r="G813" i="13" s="1"/>
  <c r="G814" i="13" s="1"/>
  <c r="G815" i="13" s="1"/>
  <c r="G816" i="13" s="1"/>
  <c r="G817" i="13" s="1"/>
  <c r="G818" i="13" s="1"/>
  <c r="G819" i="13" s="1"/>
  <c r="G820" i="13" s="1"/>
  <c r="G821" i="13" s="1"/>
  <c r="G822" i="13" s="1"/>
  <c r="G823" i="13" s="1"/>
  <c r="G824" i="13" s="1"/>
  <c r="G825" i="13" s="1"/>
  <c r="G826" i="13" s="1"/>
  <c r="G827" i="13" s="1"/>
  <c r="G828" i="13" s="1"/>
  <c r="G829" i="13" s="1"/>
  <c r="G830" i="13" s="1"/>
  <c r="G831" i="13" s="1"/>
  <c r="G832" i="13" s="1"/>
  <c r="G833" i="13" s="1"/>
  <c r="G834" i="13" s="1"/>
  <c r="G835" i="13" s="1"/>
  <c r="G836" i="13" s="1"/>
  <c r="G837" i="13" s="1"/>
  <c r="G838" i="13" s="1"/>
  <c r="G839" i="13" s="1"/>
  <c r="G840" i="13" s="1"/>
  <c r="G841" i="13" s="1"/>
  <c r="G842" i="13" s="1"/>
  <c r="G843" i="13" s="1"/>
  <c r="G844" i="13" s="1"/>
  <c r="G845" i="13" s="1"/>
  <c r="G846" i="13" s="1"/>
  <c r="G847" i="13" s="1"/>
  <c r="G848" i="13" s="1"/>
  <c r="G849" i="13" s="1"/>
  <c r="G850" i="13" s="1"/>
  <c r="G851" i="13" s="1"/>
  <c r="G852" i="13" s="1"/>
  <c r="G853" i="13" s="1"/>
  <c r="G854" i="13" s="1"/>
  <c r="G855" i="13" s="1"/>
  <c r="G856" i="13" s="1"/>
  <c r="G857" i="13" s="1"/>
  <c r="G858" i="13" s="1"/>
  <c r="G859" i="13" s="1"/>
  <c r="G860" i="13" s="1"/>
  <c r="G861" i="13" s="1"/>
  <c r="G862" i="13" s="1"/>
  <c r="G863" i="13" s="1"/>
  <c r="G864" i="13" s="1"/>
  <c r="G865" i="13" s="1"/>
  <c r="G866" i="13" s="1"/>
  <c r="G867" i="13" s="1"/>
  <c r="G868" i="13" s="1"/>
  <c r="G869" i="13" s="1"/>
  <c r="G870" i="13" s="1"/>
  <c r="G871" i="13" s="1"/>
  <c r="G872" i="13" s="1"/>
  <c r="G873" i="13" s="1"/>
  <c r="G874" i="13" s="1"/>
  <c r="G875" i="13" s="1"/>
  <c r="G876" i="13" s="1"/>
  <c r="G877" i="13" s="1"/>
  <c r="G878" i="13" s="1"/>
  <c r="G879" i="13" s="1"/>
  <c r="G880" i="13" s="1"/>
  <c r="G881" i="13" s="1"/>
  <c r="G882" i="13" s="1"/>
  <c r="G883" i="13" s="1"/>
  <c r="G884" i="13" s="1"/>
  <c r="G885" i="13" s="1"/>
  <c r="G886" i="13" s="1"/>
  <c r="G887" i="13" s="1"/>
  <c r="G888" i="13" s="1"/>
  <c r="G889" i="13" s="1"/>
  <c r="G890" i="13" s="1"/>
  <c r="G891" i="13" s="1"/>
  <c r="G892" i="13" s="1"/>
  <c r="G893" i="13" s="1"/>
  <c r="G894" i="13" s="1"/>
  <c r="G895" i="13" s="1"/>
  <c r="G896" i="13" s="1"/>
  <c r="G897" i="13" s="1"/>
  <c r="G898" i="13" s="1"/>
  <c r="G899" i="13" s="1"/>
  <c r="G900" i="13" s="1"/>
  <c r="G901" i="13" s="1"/>
  <c r="G902" i="13" s="1"/>
  <c r="G903" i="13" s="1"/>
  <c r="G904" i="13" s="1"/>
  <c r="G905" i="13" s="1"/>
  <c r="G906" i="13" s="1"/>
  <c r="G907" i="13" s="1"/>
  <c r="G908" i="13" s="1"/>
  <c r="G909" i="13" s="1"/>
  <c r="G910" i="13" s="1"/>
  <c r="G911" i="13" s="1"/>
  <c r="G912" i="13" s="1"/>
  <c r="G913" i="13" s="1"/>
  <c r="G914" i="13" s="1"/>
  <c r="G915" i="13" s="1"/>
  <c r="G916" i="13" s="1"/>
  <c r="G917" i="13" s="1"/>
  <c r="G918" i="13" s="1"/>
  <c r="G919" i="13" s="1"/>
  <c r="G920" i="13" s="1"/>
  <c r="G921" i="13" s="1"/>
  <c r="G922" i="13" s="1"/>
  <c r="G923" i="13" s="1"/>
  <c r="G924" i="13" s="1"/>
  <c r="G925" i="13" s="1"/>
  <c r="G926" i="13" s="1"/>
  <c r="G927" i="13" s="1"/>
  <c r="G928" i="13" s="1"/>
  <c r="G929" i="13" s="1"/>
  <c r="G930" i="13" s="1"/>
  <c r="G931" i="13" s="1"/>
  <c r="G932" i="13" s="1"/>
  <c r="G933" i="13" s="1"/>
  <c r="G934" i="13" s="1"/>
  <c r="G935" i="13" s="1"/>
  <c r="G936" i="13" s="1"/>
  <c r="G937" i="13" s="1"/>
  <c r="G938" i="13" s="1"/>
  <c r="G939" i="13" s="1"/>
  <c r="G940" i="13" s="1"/>
  <c r="G941" i="13" s="1"/>
  <c r="G942" i="13" s="1"/>
  <c r="G943" i="13" s="1"/>
  <c r="G944" i="13" s="1"/>
  <c r="G945" i="13" s="1"/>
  <c r="G946" i="13" s="1"/>
  <c r="G947" i="13" s="1"/>
  <c r="G948" i="13" s="1"/>
  <c r="G949" i="13" s="1"/>
  <c r="G950" i="13" s="1"/>
  <c r="G951" i="13" s="1"/>
  <c r="G952" i="13" s="1"/>
  <c r="G953" i="13" s="1"/>
  <c r="G954" i="13" s="1"/>
  <c r="G955" i="13" s="1"/>
  <c r="G956" i="13" s="1"/>
  <c r="G957" i="13" s="1"/>
  <c r="G958" i="13" s="1"/>
  <c r="G959" i="13" s="1"/>
  <c r="G960" i="13" s="1"/>
  <c r="G961" i="13" s="1"/>
  <c r="G962" i="13" s="1"/>
  <c r="G963" i="13" s="1"/>
  <c r="G964" i="13" s="1"/>
  <c r="G965" i="13" s="1"/>
  <c r="G966" i="13" s="1"/>
  <c r="G967" i="13" s="1"/>
  <c r="G968" i="13" s="1"/>
  <c r="G969" i="13" s="1"/>
  <c r="G970" i="13" s="1"/>
  <c r="G971" i="13" s="1"/>
  <c r="G972" i="13" s="1"/>
  <c r="G973" i="13" s="1"/>
  <c r="G974" i="13" s="1"/>
  <c r="G975" i="13" s="1"/>
  <c r="G976" i="13" s="1"/>
  <c r="G977" i="13" s="1"/>
  <c r="G978" i="13" s="1"/>
  <c r="G979" i="13" s="1"/>
  <c r="G980" i="13" s="1"/>
  <c r="G981" i="13" s="1"/>
  <c r="G982" i="13" s="1"/>
  <c r="G983" i="13" s="1"/>
  <c r="G984" i="13" s="1"/>
  <c r="G985" i="13" s="1"/>
  <c r="G986" i="13" s="1"/>
  <c r="G987" i="13" s="1"/>
  <c r="G988" i="13" s="1"/>
  <c r="G989" i="13" s="1"/>
  <c r="G990" i="13" s="1"/>
  <c r="G991" i="13" s="1"/>
  <c r="G992" i="13" s="1"/>
  <c r="G993" i="13" s="1"/>
  <c r="G994" i="13" s="1"/>
  <c r="G995" i="13" s="1"/>
  <c r="G996" i="13" s="1"/>
  <c r="G997" i="13" s="1"/>
  <c r="G998" i="13" s="1"/>
  <c r="G999" i="13" s="1"/>
  <c r="G1000" i="13" s="1"/>
  <c r="G1001" i="13" s="1"/>
  <c r="G1002" i="13" s="1"/>
  <c r="G1003" i="13" s="1"/>
  <c r="G1004" i="13" s="1"/>
  <c r="G1005" i="13" s="1"/>
  <c r="G1006" i="13" s="1"/>
  <c r="G1007" i="13" s="1"/>
  <c r="G1008" i="13" s="1"/>
  <c r="G1009" i="13" s="1"/>
  <c r="G1010" i="13" s="1"/>
  <c r="G1011" i="13" s="1"/>
  <c r="G1012" i="13" s="1"/>
  <c r="G1013" i="13" s="1"/>
  <c r="G1014" i="13" s="1"/>
  <c r="G1015" i="13" s="1"/>
  <c r="G1016" i="13" s="1"/>
  <c r="G1017" i="13" s="1"/>
  <c r="G1018" i="13" s="1"/>
  <c r="G1019" i="13" s="1"/>
  <c r="G1020" i="13" s="1"/>
  <c r="G1021" i="13" s="1"/>
  <c r="G1022" i="13" s="1"/>
  <c r="G1023" i="13" s="1"/>
  <c r="G1024" i="13" s="1"/>
  <c r="G1025" i="13" s="1"/>
  <c r="G1026" i="13" s="1"/>
  <c r="G1027" i="13" s="1"/>
  <c r="G1028" i="13" s="1"/>
  <c r="G1029" i="13" s="1"/>
  <c r="G1030" i="13" s="1"/>
  <c r="G1031" i="13" s="1"/>
  <c r="G1032" i="13" s="1"/>
  <c r="G1033" i="13" s="1"/>
  <c r="G1034" i="13" s="1"/>
  <c r="G1035" i="13" s="1"/>
  <c r="G1036" i="13" s="1"/>
  <c r="G1037" i="13" s="1"/>
  <c r="G1038" i="13" s="1"/>
  <c r="G1039" i="13" s="1"/>
  <c r="G1040" i="13" s="1"/>
  <c r="G1041" i="13" s="1"/>
  <c r="G1042" i="13" s="1"/>
  <c r="G1043" i="13" s="1"/>
  <c r="G1044" i="13" s="1"/>
  <c r="G1045" i="13" s="1"/>
  <c r="G1046" i="13" s="1"/>
  <c r="G1047" i="13" s="1"/>
  <c r="G1048" i="13" s="1"/>
  <c r="G1049" i="13" s="1"/>
  <c r="G1050" i="13" s="1"/>
  <c r="G1051" i="13" s="1"/>
  <c r="G1052" i="13" s="1"/>
  <c r="G1053" i="13" s="1"/>
  <c r="G1054" i="13" s="1"/>
  <c r="G1055" i="13" s="1"/>
  <c r="G1056" i="13" s="1"/>
  <c r="G1057" i="13" s="1"/>
  <c r="G1058" i="13" s="1"/>
  <c r="G1059" i="13" s="1"/>
  <c r="G1060" i="13" s="1"/>
  <c r="G1061" i="13" s="1"/>
  <c r="G1062" i="13" s="1"/>
  <c r="G1063" i="13" s="1"/>
  <c r="G1064" i="13" s="1"/>
  <c r="G1065" i="13" s="1"/>
  <c r="G1066" i="13" s="1"/>
  <c r="G1067" i="13" s="1"/>
  <c r="G1068" i="13" s="1"/>
  <c r="G1069" i="13" s="1"/>
  <c r="G1070" i="13" s="1"/>
  <c r="G1071" i="13" s="1"/>
  <c r="G1072" i="13" s="1"/>
  <c r="G1073" i="13" s="1"/>
  <c r="G1074" i="13" s="1"/>
  <c r="G1075" i="13" s="1"/>
  <c r="G1076" i="13" s="1"/>
  <c r="G1077" i="13" s="1"/>
  <c r="G1078" i="13" s="1"/>
  <c r="G1079" i="13" s="1"/>
  <c r="G1080" i="13" s="1"/>
  <c r="G1081" i="13" s="1"/>
  <c r="G1082" i="13" s="1"/>
  <c r="G1083" i="13" s="1"/>
  <c r="G1084" i="13" s="1"/>
  <c r="G1085" i="13" s="1"/>
  <c r="G1086" i="13" s="1"/>
  <c r="G1087" i="13" s="1"/>
  <c r="G1088" i="13" s="1"/>
  <c r="G1089" i="13" s="1"/>
  <c r="G1090" i="13" s="1"/>
  <c r="G1091" i="13" s="1"/>
  <c r="G1092" i="13" s="1"/>
  <c r="G1093" i="13" s="1"/>
  <c r="G1094" i="13" s="1"/>
  <c r="G1095" i="13" s="1"/>
  <c r="G1096" i="13" s="1"/>
  <c r="G1097" i="13" s="1"/>
  <c r="G1098" i="13" s="1"/>
  <c r="G1099" i="13" s="1"/>
  <c r="G1100" i="13" s="1"/>
  <c r="G1101" i="13" s="1"/>
  <c r="G1102" i="13" s="1"/>
  <c r="G1103" i="13" s="1"/>
  <c r="G1104" i="13" s="1"/>
  <c r="G1105" i="13" s="1"/>
  <c r="G1106" i="13" s="1"/>
  <c r="G1107" i="13" s="1"/>
  <c r="G1108" i="13" s="1"/>
  <c r="G1109" i="13" s="1"/>
  <c r="G1110" i="13" s="1"/>
  <c r="G1111" i="13" s="1"/>
  <c r="G1112" i="13" s="1"/>
  <c r="G1113" i="13" s="1"/>
  <c r="G1114" i="13" s="1"/>
  <c r="G1115" i="13" s="1"/>
  <c r="G1116" i="13" s="1"/>
  <c r="G1117" i="13" s="1"/>
  <c r="G1118" i="13" s="1"/>
  <c r="G1119" i="13" s="1"/>
  <c r="G1120" i="13" s="1"/>
  <c r="G1121" i="13" s="1"/>
  <c r="G1122" i="13" s="1"/>
  <c r="G1123" i="13" s="1"/>
  <c r="G1124" i="13" s="1"/>
  <c r="G1125" i="13" s="1"/>
  <c r="G1126" i="13" s="1"/>
  <c r="G1127" i="13" s="1"/>
  <c r="G1128" i="13" s="1"/>
  <c r="G1129" i="13" s="1"/>
  <c r="G1130" i="13" s="1"/>
  <c r="G1131" i="13" s="1"/>
  <c r="G1132" i="13" s="1"/>
  <c r="G1133" i="13" s="1"/>
  <c r="G1134" i="13" s="1"/>
  <c r="G1135" i="13" s="1"/>
  <c r="G1136" i="13" s="1"/>
  <c r="G1137" i="13" s="1"/>
  <c r="G1138" i="13" s="1"/>
  <c r="G1139" i="13" s="1"/>
  <c r="G1140" i="13" s="1"/>
  <c r="G1141" i="13" s="1"/>
  <c r="G1142" i="13" s="1"/>
  <c r="G1143" i="13" s="1"/>
  <c r="G1144" i="13" s="1"/>
  <c r="G1145" i="13" s="1"/>
  <c r="G1146" i="13" s="1"/>
  <c r="G1147" i="13" s="1"/>
  <c r="G1148" i="13" s="1"/>
  <c r="G1149" i="13" s="1"/>
  <c r="G1150" i="13" s="1"/>
  <c r="G1151" i="13" s="1"/>
  <c r="G1152" i="13" s="1"/>
  <c r="G1153" i="13" s="1"/>
  <c r="G1154" i="13" s="1"/>
  <c r="G1155" i="13" s="1"/>
  <c r="G1156" i="13" s="1"/>
  <c r="G1157" i="13" s="1"/>
  <c r="G1158" i="13" s="1"/>
  <c r="G1159" i="13" s="1"/>
  <c r="G1160" i="13" s="1"/>
  <c r="G1161" i="13" s="1"/>
  <c r="G1162" i="13" s="1"/>
  <c r="G1163" i="13" s="1"/>
  <c r="G1164" i="13" s="1"/>
  <c r="G1165" i="13" s="1"/>
  <c r="G1166" i="13" s="1"/>
  <c r="G1167" i="13" s="1"/>
  <c r="G1168" i="13" s="1"/>
  <c r="G1169" i="13" s="1"/>
  <c r="G1170" i="13" s="1"/>
  <c r="G1171" i="13" s="1"/>
  <c r="G1172" i="13" s="1"/>
  <c r="G1173" i="13" s="1"/>
  <c r="G1174" i="13" s="1"/>
  <c r="G1175" i="13" s="1"/>
  <c r="G1176" i="13" s="1"/>
  <c r="G1177" i="13" s="1"/>
  <c r="G1178" i="13" s="1"/>
  <c r="G1179" i="13" s="1"/>
  <c r="G1180" i="13" s="1"/>
  <c r="G1181" i="13" s="1"/>
  <c r="G1182" i="13" s="1"/>
  <c r="G1183" i="13" s="1"/>
  <c r="G1184" i="13" s="1"/>
  <c r="G1185" i="13" s="1"/>
  <c r="G1186" i="13" s="1"/>
  <c r="G1187" i="13" s="1"/>
  <c r="G1188" i="13" s="1"/>
  <c r="G1189" i="13" s="1"/>
  <c r="G1190" i="13" s="1"/>
  <c r="G1191" i="13" s="1"/>
  <c r="G1192" i="13" s="1"/>
  <c r="G1193" i="13" s="1"/>
  <c r="G1194" i="13" s="1"/>
  <c r="G1195" i="13" s="1"/>
  <c r="G1196" i="13" s="1"/>
  <c r="G1197" i="13" s="1"/>
  <c r="G1198" i="13" s="1"/>
  <c r="G1199" i="13" s="1"/>
  <c r="G1200" i="13" s="1"/>
  <c r="G1201" i="13" s="1"/>
  <c r="G1202" i="13" s="1"/>
  <c r="G1203" i="13" s="1"/>
  <c r="G1204" i="13" s="1"/>
  <c r="G1205" i="13" s="1"/>
  <c r="G1206" i="13" s="1"/>
  <c r="G1207" i="13" s="1"/>
  <c r="G1208" i="13" s="1"/>
  <c r="G1209" i="13" s="1"/>
  <c r="G1210" i="13" s="1"/>
  <c r="G1211" i="13" s="1"/>
  <c r="G1212" i="13" s="1"/>
  <c r="G1213" i="13" s="1"/>
  <c r="G1214" i="13" s="1"/>
  <c r="G1215" i="13" s="1"/>
  <c r="G1216" i="13" s="1"/>
  <c r="G1217" i="13" s="1"/>
  <c r="G1218" i="13" s="1"/>
  <c r="G1219" i="13" s="1"/>
  <c r="C113" i="13"/>
  <c r="C112" i="13"/>
  <c r="C111" i="13"/>
  <c r="C110" i="13"/>
  <c r="C109" i="13"/>
  <c r="E6" i="6"/>
  <c r="E7" i="6"/>
  <c r="E10" i="6"/>
  <c r="E14" i="6"/>
  <c r="E17" i="6"/>
  <c r="E22" i="6"/>
  <c r="E24" i="6"/>
  <c r="E25" i="6"/>
  <c r="N6" i="3"/>
  <c r="H29" i="3"/>
  <c r="L12" i="4"/>
  <c r="J59" i="4"/>
  <c r="K64" i="4"/>
  <c r="F20" i="5"/>
  <c r="K20" i="5"/>
  <c r="K28" i="5"/>
  <c r="M28" i="5" s="1"/>
  <c r="U3" i="6"/>
  <c r="H12" i="3"/>
  <c r="N15" i="3"/>
  <c r="G12" i="4"/>
  <c r="G21" i="4"/>
  <c r="G22" i="4"/>
  <c r="G41" i="4"/>
  <c r="M53" i="4"/>
  <c r="K55" i="4"/>
  <c r="L56" i="4"/>
  <c r="M56" i="4" s="1"/>
  <c r="K63" i="4"/>
  <c r="M65" i="4"/>
  <c r="K23" i="5"/>
  <c r="K27" i="5"/>
  <c r="K31" i="5"/>
  <c r="L5" i="6"/>
  <c r="P5" i="6"/>
  <c r="T5" i="6"/>
  <c r="X5" i="6"/>
  <c r="AB5" i="6"/>
  <c r="L6" i="6"/>
  <c r="P6" i="6"/>
  <c r="T6" i="6"/>
  <c r="X6" i="6"/>
  <c r="AB6" i="6"/>
  <c r="L7" i="6"/>
  <c r="P7" i="6"/>
  <c r="T7" i="6"/>
  <c r="X7" i="6"/>
  <c r="AB7" i="6"/>
  <c r="L8" i="6"/>
  <c r="P8" i="6"/>
  <c r="T8" i="6"/>
  <c r="X8" i="6"/>
  <c r="AB8" i="6"/>
  <c r="L9" i="6"/>
  <c r="P9" i="6"/>
  <c r="T9" i="6"/>
  <c r="X9" i="6"/>
  <c r="AB9" i="6"/>
  <c r="L10" i="6"/>
  <c r="P10" i="6"/>
  <c r="T10" i="6"/>
  <c r="X10" i="6"/>
  <c r="AB10" i="6"/>
  <c r="L11" i="6"/>
  <c r="P11" i="6"/>
  <c r="T11" i="6"/>
  <c r="X11" i="6"/>
  <c r="AB11" i="6"/>
  <c r="L12" i="6"/>
  <c r="P12" i="6"/>
  <c r="T12" i="6"/>
  <c r="X12" i="6"/>
  <c r="AB12" i="6"/>
  <c r="L14" i="6"/>
  <c r="P14" i="6"/>
  <c r="T14" i="6"/>
  <c r="X14" i="6"/>
  <c r="AB14" i="6"/>
  <c r="L15" i="6"/>
  <c r="P15" i="6"/>
  <c r="T15" i="6"/>
  <c r="X15" i="6"/>
  <c r="AB15" i="6"/>
  <c r="L16" i="6"/>
  <c r="P16" i="6"/>
  <c r="T16" i="6"/>
  <c r="X16" i="6"/>
  <c r="AB16" i="6"/>
  <c r="L17" i="6"/>
  <c r="P17" i="6"/>
  <c r="T17" i="6"/>
  <c r="X17" i="6"/>
  <c r="AB17" i="6"/>
  <c r="L18" i="6"/>
  <c r="P18" i="6"/>
  <c r="T18" i="6"/>
  <c r="X18" i="6"/>
  <c r="AB18" i="6"/>
  <c r="L19" i="6"/>
  <c r="P19" i="6"/>
  <c r="T19" i="6"/>
  <c r="X19" i="6"/>
  <c r="AB19" i="6"/>
  <c r="L20" i="6"/>
  <c r="P20" i="6"/>
  <c r="T20" i="6"/>
  <c r="X20" i="6"/>
  <c r="AB20" i="6"/>
  <c r="L21" i="6"/>
  <c r="P21" i="6"/>
  <c r="T21" i="6"/>
  <c r="X21" i="6"/>
  <c r="AB21" i="6"/>
  <c r="L22" i="6"/>
  <c r="P22" i="6"/>
  <c r="T22" i="6"/>
  <c r="X22" i="6"/>
  <c r="AB22" i="6"/>
  <c r="L23" i="6"/>
  <c r="P23" i="6"/>
  <c r="T23" i="6"/>
  <c r="X23" i="6"/>
  <c r="AB23" i="6"/>
  <c r="L24" i="6"/>
  <c r="P24" i="6"/>
  <c r="T24" i="6"/>
  <c r="X24" i="6"/>
  <c r="AB24" i="6"/>
  <c r="L25" i="6"/>
  <c r="P25" i="6"/>
  <c r="T25" i="6"/>
  <c r="X25" i="6"/>
  <c r="AB25" i="6"/>
  <c r="L26" i="6"/>
  <c r="P26" i="6"/>
  <c r="T26" i="6"/>
  <c r="X26" i="6"/>
  <c r="AB26" i="6"/>
  <c r="L27" i="6"/>
  <c r="P27" i="6"/>
  <c r="T27" i="6"/>
  <c r="X27" i="6"/>
  <c r="AB27" i="6"/>
  <c r="L28" i="6"/>
  <c r="P28" i="6"/>
  <c r="T28" i="6"/>
  <c r="X28" i="6"/>
  <c r="AB28" i="6"/>
  <c r="L29" i="6"/>
  <c r="P29" i="6"/>
  <c r="T29" i="6"/>
  <c r="X29" i="6"/>
  <c r="AB29" i="6"/>
  <c r="L30" i="6"/>
  <c r="P30" i="6"/>
  <c r="T30" i="6"/>
  <c r="X30" i="6"/>
  <c r="AB30" i="6"/>
  <c r="L31" i="6"/>
  <c r="P31" i="6"/>
  <c r="T31" i="6"/>
  <c r="X31" i="6"/>
  <c r="AB31" i="6"/>
  <c r="L33" i="6"/>
  <c r="P33" i="6"/>
  <c r="T33" i="6"/>
  <c r="X33" i="6"/>
  <c r="AB33" i="6"/>
  <c r="L34" i="6"/>
  <c r="P34" i="6"/>
  <c r="T34" i="6"/>
  <c r="X34" i="6"/>
  <c r="AB34" i="6"/>
  <c r="L35" i="6"/>
  <c r="P35" i="6"/>
  <c r="T35" i="6"/>
  <c r="X35" i="6"/>
  <c r="AB35" i="6"/>
  <c r="L36" i="6"/>
  <c r="P36" i="6"/>
  <c r="T36" i="6"/>
  <c r="X36" i="6"/>
  <c r="AB36" i="6"/>
  <c r="L37" i="6"/>
  <c r="P37" i="6"/>
  <c r="T37" i="6"/>
  <c r="X37" i="6"/>
  <c r="AB37" i="6"/>
  <c r="L38" i="6"/>
  <c r="P38" i="6"/>
  <c r="T38" i="6"/>
  <c r="X38" i="6"/>
  <c r="AB38" i="6"/>
  <c r="L39" i="6"/>
  <c r="P39" i="6"/>
  <c r="T39" i="6"/>
  <c r="X39" i="6"/>
  <c r="AB39" i="6"/>
  <c r="L40" i="6"/>
  <c r="P40" i="6"/>
  <c r="T40" i="6"/>
  <c r="X40" i="6"/>
  <c r="AB40" i="6"/>
  <c r="L41" i="6"/>
  <c r="P41" i="6"/>
  <c r="T41" i="6"/>
  <c r="X41" i="6"/>
  <c r="AB41" i="6"/>
  <c r="L42" i="6"/>
  <c r="P42" i="6"/>
  <c r="T42" i="6"/>
  <c r="X42" i="6"/>
  <c r="AB42" i="6"/>
  <c r="L43" i="6"/>
  <c r="P43" i="6"/>
  <c r="T43" i="6"/>
  <c r="X43" i="6"/>
  <c r="AB43" i="6"/>
  <c r="E439" i="10"/>
  <c r="I439" i="10"/>
  <c r="E443" i="10"/>
  <c r="I443" i="10"/>
  <c r="E447" i="10"/>
  <c r="I447" i="10"/>
  <c r="E451" i="10"/>
  <c r="I451" i="10"/>
  <c r="E455" i="10"/>
  <c r="I455" i="10"/>
  <c r="E459" i="10"/>
  <c r="I459" i="10"/>
  <c r="E463" i="10"/>
  <c r="I463" i="10"/>
  <c r="E467" i="10"/>
  <c r="I467" i="10"/>
  <c r="E471" i="10"/>
  <c r="I471" i="10"/>
  <c r="E475" i="10"/>
  <c r="I475" i="10"/>
  <c r="E479" i="10"/>
  <c r="I479" i="10"/>
  <c r="E483" i="10"/>
  <c r="I483" i="10"/>
  <c r="E487" i="10"/>
  <c r="I487" i="10"/>
  <c r="E491" i="10"/>
  <c r="I491" i="10"/>
  <c r="E495" i="10"/>
  <c r="I495" i="10"/>
  <c r="E499" i="10"/>
  <c r="I499" i="10"/>
  <c r="E503" i="10"/>
  <c r="I503" i="10"/>
  <c r="E507" i="10"/>
  <c r="I507" i="10"/>
  <c r="E511" i="10"/>
  <c r="I511" i="10"/>
  <c r="E515" i="10"/>
  <c r="I515" i="10"/>
  <c r="E519" i="10"/>
  <c r="I519" i="10"/>
  <c r="E523" i="10"/>
  <c r="I523" i="10"/>
  <c r="E527" i="10"/>
  <c r="I527" i="10"/>
  <c r="E531" i="10"/>
  <c r="I531" i="10"/>
  <c r="E535" i="10"/>
  <c r="I535" i="10"/>
  <c r="E539" i="10"/>
  <c r="I539" i="10"/>
  <c r="E543" i="10"/>
  <c r="I543" i="10"/>
  <c r="E547" i="10"/>
  <c r="I547" i="10"/>
  <c r="E551" i="10"/>
  <c r="I551" i="10"/>
  <c r="E555" i="10"/>
  <c r="I555" i="10"/>
  <c r="E559" i="10"/>
  <c r="I559" i="10"/>
  <c r="E563" i="10"/>
  <c r="I563" i="10"/>
  <c r="E567" i="10"/>
  <c r="I567" i="10"/>
  <c r="E571" i="10"/>
  <c r="I571" i="10"/>
  <c r="E575" i="10"/>
  <c r="I575" i="10"/>
  <c r="E579" i="10"/>
  <c r="I579" i="10"/>
  <c r="E583" i="10"/>
  <c r="I583" i="10"/>
  <c r="E587" i="10"/>
  <c r="I587" i="10"/>
  <c r="E591" i="10"/>
  <c r="I591" i="10"/>
  <c r="E595" i="10"/>
  <c r="I595" i="10"/>
  <c r="E599" i="10"/>
  <c r="I599" i="10"/>
  <c r="E603" i="10"/>
  <c r="I603" i="10"/>
  <c r="E607" i="10"/>
  <c r="I607" i="10"/>
  <c r="E611" i="10"/>
  <c r="I611" i="10"/>
  <c r="E615" i="10"/>
  <c r="I615" i="10"/>
  <c r="E619" i="10"/>
  <c r="I619" i="10"/>
  <c r="E623" i="10"/>
  <c r="I623" i="10"/>
  <c r="E627" i="10"/>
  <c r="I627" i="10"/>
  <c r="E631" i="10"/>
  <c r="I631" i="10"/>
  <c r="E635" i="10"/>
  <c r="I635" i="10"/>
  <c r="E639" i="10"/>
  <c r="I639" i="10"/>
  <c r="E643" i="10"/>
  <c r="I643" i="10"/>
  <c r="E647" i="10"/>
  <c r="I647" i="10"/>
  <c r="E651" i="10"/>
  <c r="I651" i="10"/>
  <c r="E655" i="10"/>
  <c r="I655" i="10"/>
  <c r="E659" i="10"/>
  <c r="I659" i="10"/>
  <c r="E663" i="10"/>
  <c r="I663" i="10"/>
  <c r="E667" i="10"/>
  <c r="I667" i="10"/>
  <c r="E671" i="10"/>
  <c r="I671" i="10"/>
  <c r="E675" i="10"/>
  <c r="I675" i="10"/>
  <c r="E679" i="10"/>
  <c r="I679" i="10"/>
  <c r="E683" i="10"/>
  <c r="I683" i="10"/>
  <c r="E687" i="10"/>
  <c r="I687" i="10"/>
  <c r="E691" i="10"/>
  <c r="I691" i="10"/>
  <c r="E695" i="10"/>
  <c r="I695" i="10"/>
  <c r="E699" i="10"/>
  <c r="I699" i="10"/>
  <c r="E703" i="10"/>
  <c r="I703" i="10"/>
  <c r="E707" i="10"/>
  <c r="I707" i="10"/>
  <c r="E711" i="10"/>
  <c r="I711" i="10"/>
  <c r="E715" i="10"/>
  <c r="I715" i="10"/>
  <c r="E719" i="10"/>
  <c r="I719" i="10"/>
  <c r="E723" i="10"/>
  <c r="I723" i="10"/>
  <c r="E727" i="10"/>
  <c r="I727" i="10"/>
  <c r="E731" i="10"/>
  <c r="I731" i="10"/>
  <c r="E735" i="10"/>
  <c r="I735" i="10"/>
  <c r="E739" i="10"/>
  <c r="I739" i="10"/>
  <c r="E743" i="10"/>
  <c r="I743" i="10"/>
  <c r="E747" i="10"/>
  <c r="I747" i="10"/>
  <c r="E751" i="10"/>
  <c r="I751" i="10"/>
  <c r="E755" i="10"/>
  <c r="I755" i="10"/>
  <c r="E759" i="10"/>
  <c r="I759" i="10"/>
  <c r="E763" i="10"/>
  <c r="I763" i="10"/>
  <c r="E767" i="10"/>
  <c r="I767" i="10"/>
  <c r="E771" i="10"/>
  <c r="I771" i="10"/>
  <c r="E775" i="10"/>
  <c r="I775" i="10"/>
  <c r="E779" i="10"/>
  <c r="I779" i="10"/>
  <c r="E783" i="10"/>
  <c r="I783" i="10"/>
  <c r="E787" i="10"/>
  <c r="I787" i="10"/>
  <c r="E791" i="10"/>
  <c r="I791" i="10"/>
  <c r="E795" i="10"/>
  <c r="I795" i="10"/>
  <c r="E799" i="10"/>
  <c r="I799" i="10"/>
  <c r="E803" i="10"/>
  <c r="I803" i="10"/>
  <c r="E807" i="10"/>
  <c r="I807" i="10"/>
  <c r="E811" i="10"/>
  <c r="I811" i="10"/>
  <c r="E815" i="10"/>
  <c r="I815" i="10"/>
  <c r="E819" i="10"/>
  <c r="I819" i="10"/>
  <c r="E823" i="10"/>
  <c r="I823" i="10"/>
  <c r="E827" i="10"/>
  <c r="I827" i="10"/>
  <c r="E831" i="10"/>
  <c r="I831" i="10"/>
  <c r="E835" i="10"/>
  <c r="I835" i="10"/>
  <c r="E839" i="10"/>
  <c r="I839" i="10"/>
  <c r="E843" i="10"/>
  <c r="I843" i="10"/>
  <c r="E847" i="10"/>
  <c r="I847" i="10"/>
  <c r="E851" i="10"/>
  <c r="I851" i="10"/>
  <c r="E855" i="10"/>
  <c r="I855" i="10"/>
  <c r="E859" i="10"/>
  <c r="I859" i="10"/>
  <c r="E863" i="10"/>
  <c r="I863" i="10"/>
  <c r="E867" i="10"/>
  <c r="I867" i="10"/>
  <c r="E871" i="10"/>
  <c r="I871" i="10"/>
  <c r="E875" i="10"/>
  <c r="I875" i="10"/>
  <c r="E879" i="10"/>
  <c r="I879" i="10"/>
  <c r="E883" i="10"/>
  <c r="I883" i="10"/>
  <c r="E887" i="10"/>
  <c r="I887" i="10"/>
  <c r="E891" i="10"/>
  <c r="I891" i="10"/>
  <c r="E895" i="10"/>
  <c r="I895" i="10"/>
  <c r="E899" i="10"/>
  <c r="I899" i="10"/>
  <c r="E903" i="10"/>
  <c r="I903" i="10"/>
  <c r="E907" i="10"/>
  <c r="I907" i="10"/>
  <c r="E911" i="10"/>
  <c r="I911" i="10"/>
  <c r="E915" i="10"/>
  <c r="I915" i="10"/>
  <c r="E919" i="10"/>
  <c r="I919" i="10"/>
  <c r="E923" i="10"/>
  <c r="I923" i="10"/>
  <c r="E927" i="10"/>
  <c r="I927" i="10"/>
  <c r="E931" i="10"/>
  <c r="I931" i="10"/>
  <c r="E935" i="10"/>
  <c r="I935" i="10"/>
  <c r="E939" i="10"/>
  <c r="I939" i="10"/>
  <c r="E943" i="10"/>
  <c r="I943" i="10"/>
  <c r="E947" i="10"/>
  <c r="I947" i="10"/>
  <c r="E951" i="10"/>
  <c r="I951" i="10"/>
  <c r="E955" i="10"/>
  <c r="I955" i="10"/>
  <c r="E959" i="10"/>
  <c r="I959" i="10"/>
  <c r="E963" i="10"/>
  <c r="I963" i="10"/>
  <c r="E967" i="10"/>
  <c r="I967" i="10"/>
  <c r="E971" i="10"/>
  <c r="I971" i="10"/>
  <c r="E975" i="10"/>
  <c r="I975" i="10"/>
  <c r="E979" i="10"/>
  <c r="I979" i="10"/>
  <c r="E983" i="10"/>
  <c r="I983" i="10"/>
  <c r="E987" i="10"/>
  <c r="I987" i="10"/>
  <c r="E991" i="10"/>
  <c r="I991" i="10"/>
  <c r="E995" i="10"/>
  <c r="I995" i="10"/>
  <c r="E999" i="10"/>
  <c r="I999" i="10"/>
  <c r="E1003" i="10"/>
  <c r="I1003" i="10"/>
  <c r="E1007" i="10"/>
  <c r="I1007" i="10"/>
  <c r="E1011" i="10"/>
  <c r="I1011" i="10"/>
  <c r="E1015" i="10"/>
  <c r="I1015" i="10"/>
  <c r="E1019" i="10"/>
  <c r="I1019" i="10"/>
  <c r="E1023" i="10"/>
  <c r="I1023" i="10"/>
  <c r="E1027" i="10"/>
  <c r="I1027" i="10"/>
  <c r="E1031" i="10"/>
  <c r="I1031" i="10"/>
  <c r="E1035" i="10"/>
  <c r="I1035" i="10"/>
  <c r="E1039" i="10"/>
  <c r="I1039" i="10"/>
  <c r="E1043" i="10"/>
  <c r="I1043" i="10"/>
  <c r="E1047" i="10"/>
  <c r="I1047" i="10"/>
  <c r="E1051" i="10"/>
  <c r="I1051" i="10"/>
  <c r="E1055" i="10"/>
  <c r="I1055" i="10"/>
  <c r="E1059" i="10"/>
  <c r="I1059" i="10"/>
  <c r="E1063" i="10"/>
  <c r="I1063" i="10"/>
  <c r="E1067" i="10"/>
  <c r="I1067" i="10"/>
  <c r="E1071" i="10"/>
  <c r="I1071" i="10"/>
  <c r="E1075" i="10"/>
  <c r="I1075" i="10"/>
  <c r="E1079" i="10"/>
  <c r="I1079" i="10"/>
  <c r="E1083" i="10"/>
  <c r="I1083" i="10"/>
  <c r="E1087" i="10"/>
  <c r="I1087" i="10"/>
  <c r="E1091" i="10"/>
  <c r="I1091" i="10"/>
  <c r="E1095" i="10"/>
  <c r="I1095" i="10"/>
  <c r="E1099" i="10"/>
  <c r="I1099" i="10"/>
  <c r="E1103" i="10"/>
  <c r="I1103" i="10"/>
  <c r="I1125" i="10"/>
  <c r="E1125" i="10"/>
  <c r="Z19" i="11"/>
  <c r="Y19" i="11"/>
  <c r="E5" i="6"/>
  <c r="E9" i="6"/>
  <c r="E12" i="6"/>
  <c r="E15" i="6"/>
  <c r="E16" i="6"/>
  <c r="E26" i="6"/>
  <c r="E27" i="6"/>
  <c r="E12" i="10"/>
  <c r="E16" i="10"/>
  <c r="E20" i="10"/>
  <c r="E24" i="10"/>
  <c r="E28" i="10"/>
  <c r="E32" i="10"/>
  <c r="E36" i="10"/>
  <c r="E40" i="10"/>
  <c r="E44" i="10"/>
  <c r="E48" i="10"/>
  <c r="E52" i="10"/>
  <c r="E56" i="10"/>
  <c r="E60" i="10"/>
  <c r="E64" i="10"/>
  <c r="E68" i="10"/>
  <c r="E72" i="10"/>
  <c r="E76" i="10"/>
  <c r="E80" i="10"/>
  <c r="E84" i="10"/>
  <c r="E88" i="10"/>
  <c r="E92" i="10"/>
  <c r="E96" i="10"/>
  <c r="E100" i="10"/>
  <c r="E104" i="10"/>
  <c r="E108" i="10"/>
  <c r="E112" i="10"/>
  <c r="E116" i="10"/>
  <c r="E120" i="10"/>
  <c r="E124" i="10"/>
  <c r="E128" i="10"/>
  <c r="E132" i="10"/>
  <c r="E136" i="10"/>
  <c r="E140" i="10"/>
  <c r="E144" i="10"/>
  <c r="E148" i="10"/>
  <c r="E152" i="10"/>
  <c r="E156" i="10"/>
  <c r="E160" i="10"/>
  <c r="E164" i="10"/>
  <c r="E168" i="10"/>
  <c r="E172" i="10"/>
  <c r="E176" i="10"/>
  <c r="E180" i="10"/>
  <c r="E184" i="10"/>
  <c r="E188" i="10"/>
  <c r="E192" i="10"/>
  <c r="E196" i="10"/>
  <c r="E200" i="10"/>
  <c r="E204" i="10"/>
  <c r="E208" i="10"/>
  <c r="E212" i="10"/>
  <c r="E216" i="10"/>
  <c r="E220" i="10"/>
  <c r="E224" i="10"/>
  <c r="E228" i="10"/>
  <c r="E232" i="10"/>
  <c r="E236" i="10"/>
  <c r="E240" i="10"/>
  <c r="E244" i="10"/>
  <c r="E248" i="10"/>
  <c r="E252" i="10"/>
  <c r="E256" i="10"/>
  <c r="E260" i="10"/>
  <c r="E264" i="10"/>
  <c r="E268" i="10"/>
  <c r="E272" i="10"/>
  <c r="E276" i="10"/>
  <c r="E280" i="10"/>
  <c r="E284" i="10"/>
  <c r="E288" i="10"/>
  <c r="E292" i="10"/>
  <c r="E296" i="10"/>
  <c r="E300" i="10"/>
  <c r="E304" i="10"/>
  <c r="E308" i="10"/>
  <c r="E312" i="10"/>
  <c r="E316" i="10"/>
  <c r="E320" i="10"/>
  <c r="E324" i="10"/>
  <c r="E328" i="10"/>
  <c r="E332" i="10"/>
  <c r="E336" i="10"/>
  <c r="E340" i="10"/>
  <c r="E344" i="10"/>
  <c r="E348" i="10"/>
  <c r="E352" i="10"/>
  <c r="E356" i="10"/>
  <c r="E360" i="10"/>
  <c r="E364" i="10"/>
  <c r="E368" i="10"/>
  <c r="E372" i="10"/>
  <c r="E376" i="10"/>
  <c r="E380" i="10"/>
  <c r="E384" i="10"/>
  <c r="E388" i="10"/>
  <c r="E392" i="10"/>
  <c r="E396" i="10"/>
  <c r="E400" i="10"/>
  <c r="E404" i="10"/>
  <c r="E408" i="10"/>
  <c r="E412" i="10"/>
  <c r="E416" i="10"/>
  <c r="E420" i="10"/>
  <c r="E424" i="10"/>
  <c r="E428" i="10"/>
  <c r="E432" i="10"/>
  <c r="E436" i="10"/>
  <c r="E440" i="10"/>
  <c r="E444" i="10"/>
  <c r="E512" i="10"/>
  <c r="E516" i="10"/>
  <c r="E520" i="10"/>
  <c r="E524" i="10"/>
  <c r="E528" i="10"/>
  <c r="E532" i="10"/>
  <c r="E536" i="10"/>
  <c r="E540" i="10"/>
  <c r="E544" i="10"/>
  <c r="E548" i="10"/>
  <c r="E552" i="10"/>
  <c r="E556" i="10"/>
  <c r="E560" i="10"/>
  <c r="E564" i="10"/>
  <c r="E568" i="10"/>
  <c r="E572" i="10"/>
  <c r="E576" i="10"/>
  <c r="E580" i="10"/>
  <c r="E584" i="10"/>
  <c r="E588" i="10"/>
  <c r="E592" i="10"/>
  <c r="E596" i="10"/>
  <c r="E600" i="10"/>
  <c r="E604" i="10"/>
  <c r="E608" i="10"/>
  <c r="E612" i="10"/>
  <c r="E616" i="10"/>
  <c r="E620" i="10"/>
  <c r="E624" i="10"/>
  <c r="E628" i="10"/>
  <c r="E632" i="10"/>
  <c r="E636" i="10"/>
  <c r="E640" i="10"/>
  <c r="E644" i="10"/>
  <c r="E648" i="10"/>
  <c r="E652" i="10"/>
  <c r="E656" i="10"/>
  <c r="E660" i="10"/>
  <c r="E664" i="10"/>
  <c r="E668" i="10"/>
  <c r="E672" i="10"/>
  <c r="E676" i="10"/>
  <c r="E680" i="10"/>
  <c r="E684" i="10"/>
  <c r="E688" i="10"/>
  <c r="E692" i="10"/>
  <c r="E696" i="10"/>
  <c r="E700" i="10"/>
  <c r="E704" i="10"/>
  <c r="E708" i="10"/>
  <c r="E712" i="10"/>
  <c r="E716" i="10"/>
  <c r="E720" i="10"/>
  <c r="E724" i="10"/>
  <c r="E728" i="10"/>
  <c r="E732" i="10"/>
  <c r="E736" i="10"/>
  <c r="E740" i="10"/>
  <c r="E744" i="10"/>
  <c r="E748" i="10"/>
  <c r="E752" i="10"/>
  <c r="E756" i="10"/>
  <c r="E760" i="10"/>
  <c r="E764" i="10"/>
  <c r="E768" i="10"/>
  <c r="E772" i="10"/>
  <c r="E776" i="10"/>
  <c r="E780" i="10"/>
  <c r="E784" i="10"/>
  <c r="E788" i="10"/>
  <c r="E792" i="10"/>
  <c r="E796" i="10"/>
  <c r="E800" i="10"/>
  <c r="E804" i="10"/>
  <c r="E808" i="10"/>
  <c r="E812" i="10"/>
  <c r="E816" i="10"/>
  <c r="E820" i="10"/>
  <c r="E824" i="10"/>
  <c r="E828" i="10"/>
  <c r="E832" i="10"/>
  <c r="E836" i="10"/>
  <c r="E840" i="10"/>
  <c r="E844" i="10"/>
  <c r="E848" i="10"/>
  <c r="E852" i="10"/>
  <c r="E856" i="10"/>
  <c r="E860" i="10"/>
  <c r="E864" i="10"/>
  <c r="E868" i="10"/>
  <c r="E872" i="10"/>
  <c r="E876" i="10"/>
  <c r="E880" i="10"/>
  <c r="E884" i="10"/>
  <c r="E888" i="10"/>
  <c r="E892" i="10"/>
  <c r="E896" i="10"/>
  <c r="E900" i="10"/>
  <c r="E904" i="10"/>
  <c r="E908" i="10"/>
  <c r="E912" i="10"/>
  <c r="E916" i="10"/>
  <c r="E920" i="10"/>
  <c r="E924" i="10"/>
  <c r="E928" i="10"/>
  <c r="E932" i="10"/>
  <c r="E936" i="10"/>
  <c r="E940" i="10"/>
  <c r="E944" i="10"/>
  <c r="E948" i="10"/>
  <c r="E952" i="10"/>
  <c r="E956" i="10"/>
  <c r="E960" i="10"/>
  <c r="E964" i="10"/>
  <c r="E968" i="10"/>
  <c r="E972" i="10"/>
  <c r="E976" i="10"/>
  <c r="E980" i="10"/>
  <c r="E984" i="10"/>
  <c r="E988" i="10"/>
  <c r="E992" i="10"/>
  <c r="E996" i="10"/>
  <c r="E1000" i="10"/>
  <c r="E1004" i="10"/>
  <c r="E1008" i="10"/>
  <c r="E1012" i="10"/>
  <c r="E1016" i="10"/>
  <c r="E1020" i="10"/>
  <c r="E1032" i="10"/>
  <c r="E1036" i="10"/>
  <c r="E1040" i="10"/>
  <c r="E1084" i="10"/>
  <c r="E1088" i="10"/>
  <c r="E1092" i="10"/>
  <c r="E1096" i="10"/>
  <c r="E1100" i="10"/>
  <c r="E1104" i="10"/>
  <c r="E1108" i="10"/>
  <c r="E1112" i="10"/>
  <c r="E1116" i="10"/>
  <c r="N1171" i="10"/>
  <c r="N1167" i="10"/>
  <c r="N1163" i="10"/>
  <c r="N1159" i="10"/>
  <c r="N1155" i="10"/>
  <c r="N1151" i="10"/>
  <c r="N1147" i="10"/>
  <c r="N1143" i="10"/>
  <c r="N1139" i="10"/>
  <c r="N1135" i="10"/>
  <c r="N1131" i="10"/>
  <c r="N1127" i="10"/>
  <c r="N1123" i="10"/>
  <c r="N1170" i="10"/>
  <c r="N1166" i="10"/>
  <c r="N1162" i="10"/>
  <c r="N1158" i="10"/>
  <c r="N1154" i="10"/>
  <c r="N1150" i="10"/>
  <c r="N1146" i="10"/>
  <c r="N1142" i="10"/>
  <c r="N1138" i="10"/>
  <c r="N1134" i="10"/>
  <c r="N1130" i="10"/>
  <c r="N1126" i="10"/>
  <c r="N1122" i="10"/>
  <c r="N1118" i="10"/>
  <c r="N1169" i="10"/>
  <c r="N1165" i="10"/>
  <c r="N1161" i="10"/>
  <c r="N1157" i="10"/>
  <c r="N1153" i="10"/>
  <c r="N1149" i="10"/>
  <c r="N1145" i="10"/>
  <c r="N1141" i="10"/>
  <c r="N1137" i="10"/>
  <c r="N1133" i="10"/>
  <c r="N1129" i="10"/>
  <c r="N1168" i="10"/>
  <c r="N1164" i="10"/>
  <c r="N1160" i="10"/>
  <c r="N1156" i="10"/>
  <c r="N1152" i="10"/>
  <c r="N1148" i="10"/>
  <c r="N1144" i="10"/>
  <c r="N1140" i="10"/>
  <c r="N1136" i="10"/>
  <c r="N1132" i="10"/>
  <c r="N1128" i="10"/>
  <c r="N1124" i="10"/>
  <c r="N1120" i="10"/>
  <c r="N17" i="3"/>
  <c r="N8" i="3"/>
  <c r="K21" i="5"/>
  <c r="K25" i="5"/>
  <c r="K29" i="5"/>
  <c r="K11" i="11"/>
  <c r="J11" i="11"/>
  <c r="M10" i="13"/>
  <c r="E1123" i="10"/>
  <c r="I1123" i="10"/>
  <c r="E1127" i="10"/>
  <c r="I1127" i="10"/>
  <c r="E1131" i="10"/>
  <c r="I1131" i="10"/>
  <c r="E1135" i="10"/>
  <c r="I1135" i="10"/>
  <c r="E1139" i="10"/>
  <c r="I1139" i="10"/>
  <c r="E1143" i="10"/>
  <c r="I1143" i="10"/>
  <c r="E1147" i="10"/>
  <c r="I1147" i="10"/>
  <c r="E1151" i="10"/>
  <c r="I1151" i="10"/>
  <c r="E1155" i="10"/>
  <c r="I1155" i="10"/>
  <c r="E1159" i="10"/>
  <c r="I1159" i="10"/>
  <c r="E1163" i="10"/>
  <c r="I1163" i="10"/>
  <c r="E1167" i="10"/>
  <c r="I1167" i="10"/>
  <c r="E1171" i="10"/>
  <c r="I1171" i="10"/>
  <c r="P10" i="11"/>
  <c r="Z18" i="11"/>
  <c r="U20" i="11"/>
  <c r="A91" i="11"/>
  <c r="K20" i="12"/>
  <c r="I22" i="12"/>
  <c r="I25" i="12"/>
  <c r="K27" i="12"/>
  <c r="I30" i="12"/>
  <c r="K33" i="12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G7" i="11"/>
  <c r="K19" i="12"/>
  <c r="I21" i="12"/>
  <c r="J22" i="12"/>
  <c r="K23" i="12"/>
  <c r="I24" i="12"/>
  <c r="J25" i="12"/>
  <c r="K26" i="12"/>
  <c r="I28" i="12"/>
  <c r="I29" i="12"/>
  <c r="J30" i="12"/>
  <c r="K31" i="12"/>
  <c r="K32" i="12"/>
  <c r="E1129" i="10"/>
  <c r="I1129" i="10"/>
  <c r="E1133" i="10"/>
  <c r="I1133" i="10"/>
  <c r="E1137" i="10"/>
  <c r="I1137" i="10"/>
  <c r="E1141" i="10"/>
  <c r="I1141" i="10"/>
  <c r="E1145" i="10"/>
  <c r="I1145" i="10"/>
  <c r="E1149" i="10"/>
  <c r="I1149" i="10"/>
  <c r="E1153" i="10"/>
  <c r="I1153" i="10"/>
  <c r="E1157" i="10"/>
  <c r="I1157" i="10"/>
  <c r="E1161" i="10"/>
  <c r="I1161" i="10"/>
  <c r="E1165" i="10"/>
  <c r="I1165" i="10"/>
  <c r="E1169" i="10"/>
  <c r="I1169" i="10"/>
  <c r="K22" i="12"/>
  <c r="K25" i="12"/>
  <c r="K30" i="12"/>
  <c r="E2" i="12"/>
  <c r="I19" i="12"/>
  <c r="J20" i="12"/>
  <c r="K21" i="12"/>
  <c r="I23" i="12"/>
  <c r="K24" i="12"/>
  <c r="I26" i="12"/>
  <c r="J27" i="12"/>
  <c r="K28" i="12"/>
  <c r="I31" i="12"/>
  <c r="M11" i="14"/>
  <c r="G58" i="14"/>
  <c r="K34" i="5" l="1"/>
  <c r="M34" i="5" s="1"/>
  <c r="F16" i="5"/>
  <c r="P16" i="5"/>
  <c r="G27" i="5"/>
  <c r="F34" i="5"/>
  <c r="H34" i="5" s="1"/>
  <c r="O10" i="11"/>
  <c r="F9" i="11"/>
  <c r="G10" i="11" s="1"/>
  <c r="F43" i="6"/>
  <c r="F39" i="6"/>
  <c r="F35" i="6"/>
  <c r="F30" i="6"/>
  <c r="F26" i="6"/>
  <c r="F22" i="6"/>
  <c r="F18" i="6"/>
  <c r="F14" i="6"/>
  <c r="F9" i="6"/>
  <c r="F5" i="6"/>
  <c r="F42" i="6"/>
  <c r="F34" i="6"/>
  <c r="F25" i="6"/>
  <c r="F21" i="6"/>
  <c r="F17" i="6"/>
  <c r="F12" i="6"/>
  <c r="F8" i="6"/>
  <c r="F41" i="6"/>
  <c r="F37" i="6"/>
  <c r="F33" i="6"/>
  <c r="F28" i="6"/>
  <c r="F24" i="6"/>
  <c r="F20" i="6"/>
  <c r="F16" i="6"/>
  <c r="F11" i="6"/>
  <c r="F7" i="6"/>
  <c r="F38" i="6"/>
  <c r="F29" i="6"/>
  <c r="F40" i="6"/>
  <c r="F31" i="6"/>
  <c r="F27" i="6"/>
  <c r="F23" i="6"/>
  <c r="F19" i="6"/>
  <c r="F15" i="6"/>
  <c r="F10" i="6"/>
  <c r="F6" i="6"/>
  <c r="F45" i="6"/>
  <c r="F36" i="6"/>
  <c r="V7" i="3"/>
  <c r="A2" i="8"/>
  <c r="H23" i="5"/>
  <c r="G23" i="5"/>
  <c r="G31" i="5"/>
  <c r="H31" i="5"/>
  <c r="P12" i="3"/>
  <c r="J15" i="3"/>
  <c r="J5" i="3"/>
  <c r="P5" i="3"/>
  <c r="J10" i="3"/>
  <c r="P10" i="3"/>
  <c r="J16" i="3"/>
  <c r="P14" i="3"/>
  <c r="H2" i="3"/>
  <c r="N2" i="3"/>
  <c r="G21" i="5"/>
  <c r="G20" i="5"/>
  <c r="L20" i="5"/>
  <c r="G588" i="7"/>
  <c r="G587" i="7" s="1"/>
  <c r="G586" i="7" s="1"/>
  <c r="G585" i="7" s="1"/>
  <c r="G584" i="7" s="1"/>
  <c r="G583" i="7" s="1"/>
  <c r="G582" i="7" s="1"/>
  <c r="G581" i="7" s="1"/>
  <c r="G580" i="7" s="1"/>
  <c r="G579" i="7" s="1"/>
  <c r="G578" i="7" s="1"/>
  <c r="G577" i="7" s="1"/>
  <c r="K5" i="5"/>
  <c r="L5" i="5" s="1"/>
  <c r="D52" i="6"/>
  <c r="D51" i="6"/>
  <c r="G29" i="5"/>
  <c r="D49" i="6"/>
  <c r="J18" i="3"/>
  <c r="H30" i="5"/>
  <c r="K4" i="5"/>
  <c r="M4" i="5" s="1"/>
  <c r="H22" i="5"/>
  <c r="D50" i="6"/>
  <c r="D4" i="3"/>
  <c r="D2" i="3" s="1"/>
  <c r="Q18" i="3" s="1"/>
  <c r="M26" i="5"/>
  <c r="H27" i="5"/>
  <c r="P34" i="5"/>
  <c r="G25" i="5"/>
  <c r="D45" i="6"/>
  <c r="K8" i="5"/>
  <c r="M8" i="5" s="1"/>
  <c r="V4" i="3"/>
  <c r="J20" i="3"/>
  <c r="H26" i="5"/>
  <c r="Q34" i="5"/>
  <c r="D28" i="6"/>
  <c r="J17" i="3"/>
  <c r="M30" i="5"/>
  <c r="D30" i="6"/>
  <c r="J19" i="3"/>
  <c r="K12" i="5"/>
  <c r="M12" i="5" s="1"/>
  <c r="K2" i="5"/>
  <c r="E54" i="6"/>
  <c r="G59" i="14"/>
  <c r="M12" i="14"/>
  <c r="K3" i="5"/>
  <c r="M21" i="5"/>
  <c r="J8" i="3"/>
  <c r="D15" i="6"/>
  <c r="M31" i="5"/>
  <c r="L31" i="5"/>
  <c r="M20" i="5"/>
  <c r="K61" i="4"/>
  <c r="K62" i="4"/>
  <c r="L59" i="4"/>
  <c r="M59" i="4" s="1"/>
  <c r="K11" i="2"/>
  <c r="L11" i="2" s="1"/>
  <c r="K10" i="2"/>
  <c r="L10" i="2" s="1"/>
  <c r="D17" i="6"/>
  <c r="P4" i="3"/>
  <c r="D6" i="6"/>
  <c r="J12" i="3"/>
  <c r="D19" i="6"/>
  <c r="G24" i="5"/>
  <c r="L28" i="5"/>
  <c r="K37" i="4"/>
  <c r="J39" i="4"/>
  <c r="K35" i="4"/>
  <c r="J40" i="4"/>
  <c r="L40" i="4" s="1"/>
  <c r="K38" i="4"/>
  <c r="L35" i="4"/>
  <c r="L21" i="5"/>
  <c r="D18" i="9"/>
  <c r="E18" i="9" s="1"/>
  <c r="D27" i="6"/>
  <c r="P16" i="3"/>
  <c r="D12" i="6"/>
  <c r="P9" i="3"/>
  <c r="Z20" i="11"/>
  <c r="Y20" i="11"/>
  <c r="M27" i="5"/>
  <c r="L27" i="5"/>
  <c r="H20" i="5"/>
  <c r="D25" i="6"/>
  <c r="J7" i="3"/>
  <c r="D14" i="6"/>
  <c r="U22" i="11"/>
  <c r="T22" i="11"/>
  <c r="D23" i="6"/>
  <c r="D18" i="6"/>
  <c r="J11" i="3"/>
  <c r="L22" i="5"/>
  <c r="M22" i="5"/>
  <c r="Q4" i="12"/>
  <c r="K6" i="5"/>
  <c r="M32" i="4"/>
  <c r="J6" i="4"/>
  <c r="J12" i="11"/>
  <c r="K12" i="11"/>
  <c r="K11" i="5"/>
  <c r="M29" i="5"/>
  <c r="P15" i="3"/>
  <c r="D26" i="6"/>
  <c r="D9" i="6"/>
  <c r="P6" i="3"/>
  <c r="M23" i="5"/>
  <c r="L23" i="5"/>
  <c r="P13" i="3"/>
  <c r="D24" i="6"/>
  <c r="D10" i="6"/>
  <c r="P7" i="3"/>
  <c r="N8" i="14"/>
  <c r="C4" i="12"/>
  <c r="C5" i="12" s="1"/>
  <c r="D21" i="6"/>
  <c r="J14" i="3"/>
  <c r="D11" i="6"/>
  <c r="P8" i="3"/>
  <c r="N9" i="13"/>
  <c r="K10" i="5"/>
  <c r="G28" i="5"/>
  <c r="M11" i="13"/>
  <c r="K7" i="5"/>
  <c r="M25" i="5"/>
  <c r="J9" i="3"/>
  <c r="D16" i="6"/>
  <c r="D5" i="6"/>
  <c r="J4" i="3"/>
  <c r="E3" i="6"/>
  <c r="D22" i="6"/>
  <c r="P11" i="3"/>
  <c r="D7" i="6"/>
  <c r="D20" i="6"/>
  <c r="J13" i="3"/>
  <c r="D8" i="6"/>
  <c r="J6" i="3"/>
  <c r="K13" i="5"/>
  <c r="L29" i="5"/>
  <c r="C3" i="12"/>
  <c r="B17" i="12"/>
  <c r="B22" i="12" s="1"/>
  <c r="L15" i="4"/>
  <c r="K15" i="4"/>
  <c r="L24" i="5"/>
  <c r="K9" i="5"/>
  <c r="L25" i="5"/>
  <c r="M68" i="4"/>
  <c r="N68" i="4"/>
  <c r="K16" i="5" l="1"/>
  <c r="M16" i="5" s="1"/>
  <c r="G34" i="5"/>
  <c r="L34" i="5"/>
  <c r="O11" i="11"/>
  <c r="F10" i="11"/>
  <c r="G11" i="11" s="1"/>
  <c r="P11" i="11"/>
  <c r="G36" i="6"/>
  <c r="G15" i="6"/>
  <c r="G42" i="6"/>
  <c r="G17" i="6"/>
  <c r="G19" i="6"/>
  <c r="G38" i="6"/>
  <c r="G34" i="6"/>
  <c r="G20" i="6"/>
  <c r="G16" i="6"/>
  <c r="G21" i="6"/>
  <c r="G12" i="6"/>
  <c r="G40" i="6"/>
  <c r="G31" i="6"/>
  <c r="G27" i="6"/>
  <c r="G23" i="6"/>
  <c r="G10" i="6"/>
  <c r="G6" i="6"/>
  <c r="G43" i="6"/>
  <c r="G39" i="6"/>
  <c r="G35" i="6"/>
  <c r="G30" i="6"/>
  <c r="G26" i="6"/>
  <c r="G22" i="6"/>
  <c r="G18" i="6"/>
  <c r="G14" i="6"/>
  <c r="G9" i="6"/>
  <c r="G5" i="6"/>
  <c r="G29" i="6"/>
  <c r="G25" i="6"/>
  <c r="G28" i="6"/>
  <c r="G24" i="6"/>
  <c r="G11" i="6"/>
  <c r="G7" i="6"/>
  <c r="G8" i="6"/>
  <c r="G41" i="6"/>
  <c r="G37" i="6"/>
  <c r="G33" i="6"/>
  <c r="G45" i="6"/>
  <c r="Q12" i="3"/>
  <c r="K16" i="3"/>
  <c r="K5" i="3"/>
  <c r="K10" i="3"/>
  <c r="J2" i="3"/>
  <c r="T2" i="5"/>
  <c r="G576" i="7"/>
  <c r="G575" i="7" s="1"/>
  <c r="G574" i="7" s="1"/>
  <c r="G573" i="7" s="1"/>
  <c r="G572" i="7" s="1"/>
  <c r="G571" i="7" s="1"/>
  <c r="G570" i="7" s="1"/>
  <c r="G569" i="7" s="1"/>
  <c r="G568" i="7" s="1"/>
  <c r="G567" i="7" s="1"/>
  <c r="G566" i="7" s="1"/>
  <c r="G565" i="7" s="1"/>
  <c r="G564" i="7" s="1"/>
  <c r="G563" i="7" s="1"/>
  <c r="G562" i="7" s="1"/>
  <c r="G561" i="7" s="1"/>
  <c r="G560" i="7" s="1"/>
  <c r="G559" i="7" s="1"/>
  <c r="G558" i="7" s="1"/>
  <c r="G557" i="7" s="1"/>
  <c r="G556" i="7" s="1"/>
  <c r="G555" i="7" s="1"/>
  <c r="G554" i="7" s="1"/>
  <c r="G553" i="7" s="1"/>
  <c r="G552" i="7" s="1"/>
  <c r="G551" i="7" s="1"/>
  <c r="G550" i="7" s="1"/>
  <c r="G549" i="7" s="1"/>
  <c r="G548" i="7" s="1"/>
  <c r="G547" i="7" s="1"/>
  <c r="G546" i="7" s="1"/>
  <c r="G545" i="7" s="1"/>
  <c r="G544" i="7" s="1"/>
  <c r="G543" i="7" s="1"/>
  <c r="T5" i="5"/>
  <c r="M5" i="5"/>
  <c r="T8" i="5"/>
  <c r="L4" i="5"/>
  <c r="L8" i="5"/>
  <c r="E4" i="3"/>
  <c r="E7" i="3"/>
  <c r="K6" i="3"/>
  <c r="Q13" i="3"/>
  <c r="Q7" i="3"/>
  <c r="K11" i="3"/>
  <c r="Q8" i="3"/>
  <c r="Q15" i="3"/>
  <c r="Q6" i="3"/>
  <c r="T4" i="5"/>
  <c r="L12" i="5"/>
  <c r="L2" i="5"/>
  <c r="T12" i="5"/>
  <c r="M2" i="5"/>
  <c r="Q11" i="3"/>
  <c r="Q14" i="3"/>
  <c r="K13" i="3"/>
  <c r="Q5" i="3"/>
  <c r="K4" i="3"/>
  <c r="K9" i="3"/>
  <c r="K14" i="3"/>
  <c r="K15" i="3"/>
  <c r="B4" i="3"/>
  <c r="O68" i="4"/>
  <c r="K13" i="11"/>
  <c r="J13" i="11"/>
  <c r="K7" i="3"/>
  <c r="Z21" i="11"/>
  <c r="Y21" i="11"/>
  <c r="J14" i="4"/>
  <c r="M40" i="4"/>
  <c r="M13" i="14"/>
  <c r="B24" i="12"/>
  <c r="D22" i="12"/>
  <c r="E22" i="12" s="1"/>
  <c r="K2" i="10"/>
  <c r="M7" i="5"/>
  <c r="T7" i="5"/>
  <c r="L7" i="5"/>
  <c r="M10" i="5"/>
  <c r="T10" i="5"/>
  <c r="L10" i="5"/>
  <c r="M13" i="5"/>
  <c r="L13" i="5"/>
  <c r="T13" i="5"/>
  <c r="M12" i="13"/>
  <c r="M11" i="5"/>
  <c r="T11" i="5"/>
  <c r="L11" i="5"/>
  <c r="L6" i="4"/>
  <c r="L7" i="4" s="1"/>
  <c r="K6" i="4"/>
  <c r="J7" i="4"/>
  <c r="K7" i="4" s="1"/>
  <c r="R4" i="12"/>
  <c r="Q5" i="12"/>
  <c r="Q10" i="3"/>
  <c r="K8" i="3"/>
  <c r="N10" i="13"/>
  <c r="J8" i="14" a="1"/>
  <c r="J8" i="14" s="1"/>
  <c r="N9" i="14"/>
  <c r="W7" i="3"/>
  <c r="Q16" i="3"/>
  <c r="M35" i="4"/>
  <c r="J9" i="4"/>
  <c r="L39" i="4"/>
  <c r="J42" i="4"/>
  <c r="K12" i="3"/>
  <c r="M9" i="5"/>
  <c r="T9" i="5"/>
  <c r="L9" i="5"/>
  <c r="M6" i="5"/>
  <c r="T6" i="5"/>
  <c r="L6" i="5"/>
  <c r="U23" i="11"/>
  <c r="T23" i="11"/>
  <c r="K28" i="3"/>
  <c r="W5" i="3"/>
  <c r="K30" i="3"/>
  <c r="E6" i="3"/>
  <c r="K23" i="3"/>
  <c r="K21" i="3"/>
  <c r="K17" i="3"/>
  <c r="K18" i="3"/>
  <c r="K24" i="3"/>
  <c r="K27" i="3"/>
  <c r="E5" i="3"/>
  <c r="K26" i="3"/>
  <c r="K29" i="3"/>
  <c r="K22" i="3"/>
  <c r="K19" i="3"/>
  <c r="K20" i="3"/>
  <c r="W4" i="3"/>
  <c r="K25" i="3"/>
  <c r="Q17" i="3"/>
  <c r="Q9" i="3"/>
  <c r="P2" i="3"/>
  <c r="Q2" i="3" s="1"/>
  <c r="Q4" i="3"/>
  <c r="M3" i="5"/>
  <c r="T3" i="5"/>
  <c r="L3" i="5"/>
  <c r="G60" i="14"/>
  <c r="L16" i="5" l="1"/>
  <c r="F11" i="11"/>
  <c r="G12" i="11" s="1"/>
  <c r="P12" i="11"/>
  <c r="O12" i="11"/>
  <c r="K2" i="3"/>
  <c r="G542" i="7"/>
  <c r="G541" i="7" s="1"/>
  <c r="G540" i="7" s="1"/>
  <c r="G539" i="7" s="1"/>
  <c r="G538" i="7" s="1"/>
  <c r="G537" i="7" s="1"/>
  <c r="G536" i="7" s="1"/>
  <c r="G535" i="7" s="1"/>
  <c r="G534" i="7" s="1"/>
  <c r="G533" i="7" s="1"/>
  <c r="G532" i="7" s="1"/>
  <c r="G531" i="7" s="1"/>
  <c r="G530" i="7" s="1"/>
  <c r="G529" i="7" s="1"/>
  <c r="G528" i="7" s="1"/>
  <c r="G527" i="7" s="1"/>
  <c r="G526" i="7" s="1"/>
  <c r="G525" i="7" s="1"/>
  <c r="G524" i="7" s="1"/>
  <c r="G523" i="7" s="1"/>
  <c r="G522" i="7" s="1"/>
  <c r="G521" i="7" s="1"/>
  <c r="G520" i="7" s="1"/>
  <c r="G519" i="7" s="1"/>
  <c r="G518" i="7" s="1"/>
  <c r="G517" i="7" s="1"/>
  <c r="G516" i="7" s="1"/>
  <c r="G515" i="7" s="1"/>
  <c r="G514" i="7" s="1"/>
  <c r="G513" i="7" s="1"/>
  <c r="G512" i="7" s="1"/>
  <c r="G511" i="7" s="1"/>
  <c r="G510" i="7" s="1"/>
  <c r="G509" i="7" s="1"/>
  <c r="G508" i="7" s="1"/>
  <c r="G507" i="7" s="1"/>
  <c r="G506" i="7" s="1"/>
  <c r="G505" i="7" s="1"/>
  <c r="G504" i="7" s="1"/>
  <c r="G503" i="7" s="1"/>
  <c r="G502" i="7" s="1"/>
  <c r="G501" i="7" s="1"/>
  <c r="G500" i="7" s="1"/>
  <c r="G499" i="7" s="1"/>
  <c r="G498" i="7" s="1"/>
  <c r="G497" i="7" s="1"/>
  <c r="G496" i="7" s="1"/>
  <c r="G495" i="7" s="1"/>
  <c r="G494" i="7" s="1"/>
  <c r="G493" i="7" s="1"/>
  <c r="G492" i="7" s="1"/>
  <c r="G491" i="7" s="1"/>
  <c r="G490" i="7" s="1"/>
  <c r="G489" i="7" s="1"/>
  <c r="G488" i="7" s="1"/>
  <c r="G487" i="7" s="1"/>
  <c r="G486" i="7" s="1"/>
  <c r="G485" i="7" s="1"/>
  <c r="G484" i="7" s="1"/>
  <c r="G483" i="7" s="1"/>
  <c r="G482" i="7" s="1"/>
  <c r="G481" i="7" s="1"/>
  <c r="G480" i="7" s="1"/>
  <c r="G479" i="7" s="1"/>
  <c r="G478" i="7" s="1"/>
  <c r="G477" i="7" s="1"/>
  <c r="G476" i="7" s="1"/>
  <c r="G475" i="7" s="1"/>
  <c r="G474" i="7" s="1"/>
  <c r="G473" i="7" s="1"/>
  <c r="G472" i="7" s="1"/>
  <c r="G471" i="7" s="1"/>
  <c r="G470" i="7" s="1"/>
  <c r="G469" i="7" s="1"/>
  <c r="G468" i="7" s="1"/>
  <c r="G467" i="7" s="1"/>
  <c r="G466" i="7" s="1"/>
  <c r="G465" i="7" s="1"/>
  <c r="G464" i="7" s="1"/>
  <c r="G463" i="7" s="1"/>
  <c r="G462" i="7" s="1"/>
  <c r="G461" i="7" s="1"/>
  <c r="G460" i="7" s="1"/>
  <c r="G459" i="7" s="1"/>
  <c r="G458" i="7" s="1"/>
  <c r="G457" i="7" s="1"/>
  <c r="G456" i="7" s="1"/>
  <c r="G455" i="7" s="1"/>
  <c r="G454" i="7" s="1"/>
  <c r="G453" i="7" s="1"/>
  <c r="G452" i="7" s="1"/>
  <c r="G451" i="7" s="1"/>
  <c r="G450" i="7" s="1"/>
  <c r="G449" i="7" s="1"/>
  <c r="G448" i="7" s="1"/>
  <c r="G447" i="7" s="1"/>
  <c r="G446" i="7" s="1"/>
  <c r="G445" i="7" s="1"/>
  <c r="G444" i="7" s="1"/>
  <c r="G443" i="7" s="1"/>
  <c r="G442" i="7" s="1"/>
  <c r="G441" i="7" s="1"/>
  <c r="G440" i="7" s="1"/>
  <c r="G439" i="7" s="1"/>
  <c r="G438" i="7" s="1"/>
  <c r="G437" i="7" s="1"/>
  <c r="G436" i="7" s="1"/>
  <c r="G435" i="7" s="1"/>
  <c r="G434" i="7" s="1"/>
  <c r="G433" i="7" s="1"/>
  <c r="G432" i="7" s="1"/>
  <c r="G431" i="7" s="1"/>
  <c r="G430" i="7" s="1"/>
  <c r="G429" i="7" s="1"/>
  <c r="G428" i="7" s="1"/>
  <c r="G427" i="7" s="1"/>
  <c r="G426" i="7" s="1"/>
  <c r="G425" i="7" s="1"/>
  <c r="G424" i="7" s="1"/>
  <c r="G423" i="7" s="1"/>
  <c r="G422" i="7" s="1"/>
  <c r="G421" i="7" s="1"/>
  <c r="G420" i="7" s="1"/>
  <c r="G419" i="7" s="1"/>
  <c r="G418" i="7" s="1"/>
  <c r="G417" i="7" s="1"/>
  <c r="G416" i="7" s="1"/>
  <c r="G415" i="7" s="1"/>
  <c r="G414" i="7" s="1"/>
  <c r="G413" i="7" s="1"/>
  <c r="G412" i="7" s="1"/>
  <c r="G411" i="7" s="1"/>
  <c r="G410" i="7" s="1"/>
  <c r="G409" i="7" s="1"/>
  <c r="G408" i="7" s="1"/>
  <c r="G407" i="7" s="1"/>
  <c r="G406" i="7" s="1"/>
  <c r="G405" i="7" s="1"/>
  <c r="G404" i="7" s="1"/>
  <c r="G403" i="7" s="1"/>
  <c r="G402" i="7" s="1"/>
  <c r="G401" i="7" s="1"/>
  <c r="G400" i="7" s="1"/>
  <c r="G399" i="7" s="1"/>
  <c r="G398" i="7" s="1"/>
  <c r="G397" i="7" s="1"/>
  <c r="G396" i="7" s="1"/>
  <c r="G395" i="7" s="1"/>
  <c r="G394" i="7" s="1"/>
  <c r="G393" i="7" s="1"/>
  <c r="G392" i="7" s="1"/>
  <c r="G391" i="7" s="1"/>
  <c r="G390" i="7" s="1"/>
  <c r="G389" i="7" s="1"/>
  <c r="G388" i="7" s="1"/>
  <c r="G387" i="7" s="1"/>
  <c r="G386" i="7" s="1"/>
  <c r="T16" i="5"/>
  <c r="V6" i="3" s="1"/>
  <c r="V2" i="3" s="1"/>
  <c r="W2" i="3" s="1"/>
  <c r="L9" i="4"/>
  <c r="K12" i="4"/>
  <c r="K16" i="4"/>
  <c r="K11" i="4"/>
  <c r="M13" i="13"/>
  <c r="M14" i="14"/>
  <c r="K14" i="11"/>
  <c r="J14" i="11"/>
  <c r="F1167" i="10"/>
  <c r="O1167" i="10" s="1"/>
  <c r="P1167" i="10" s="1"/>
  <c r="F1163" i="10"/>
  <c r="O1163" i="10" s="1"/>
  <c r="P1163" i="10" s="1"/>
  <c r="F1159" i="10"/>
  <c r="O1159" i="10" s="1"/>
  <c r="P1159" i="10" s="1"/>
  <c r="F1155" i="10"/>
  <c r="O1155" i="10" s="1"/>
  <c r="P1155" i="10" s="1"/>
  <c r="F1151" i="10"/>
  <c r="O1151" i="10" s="1"/>
  <c r="P1151" i="10" s="1"/>
  <c r="F1147" i="10"/>
  <c r="O1147" i="10" s="1"/>
  <c r="P1147" i="10" s="1"/>
  <c r="F1143" i="10"/>
  <c r="O1143" i="10" s="1"/>
  <c r="P1143" i="10" s="1"/>
  <c r="F1139" i="10"/>
  <c r="O1139" i="10" s="1"/>
  <c r="P1139" i="10" s="1"/>
  <c r="F1135" i="10"/>
  <c r="O1135" i="10" s="1"/>
  <c r="P1135" i="10" s="1"/>
  <c r="F1131" i="10"/>
  <c r="O1131" i="10" s="1"/>
  <c r="P1131" i="10" s="1"/>
  <c r="F1127" i="10"/>
  <c r="O1127" i="10" s="1"/>
  <c r="P1127" i="10" s="1"/>
  <c r="D24" i="12"/>
  <c r="F1123" i="10"/>
  <c r="O1123" i="10" s="1"/>
  <c r="P1123" i="10" s="1"/>
  <c r="F1116" i="10"/>
  <c r="O1116" i="10" s="1"/>
  <c r="P1116" i="10" s="1"/>
  <c r="F1112" i="10"/>
  <c r="O1112" i="10" s="1"/>
  <c r="P1112" i="10" s="1"/>
  <c r="F1108" i="10"/>
  <c r="O1108" i="10" s="1"/>
  <c r="P1108" i="10" s="1"/>
  <c r="F1104" i="10"/>
  <c r="O1104" i="10" s="1"/>
  <c r="P1104" i="10" s="1"/>
  <c r="F436" i="10"/>
  <c r="O436" i="10" s="1"/>
  <c r="P436" i="10" s="1"/>
  <c r="F432" i="10"/>
  <c r="O432" i="10" s="1"/>
  <c r="P432" i="10" s="1"/>
  <c r="F428" i="10"/>
  <c r="O428" i="10" s="1"/>
  <c r="P428" i="10" s="1"/>
  <c r="F424" i="10"/>
  <c r="O424" i="10" s="1"/>
  <c r="P424" i="10" s="1"/>
  <c r="F420" i="10"/>
  <c r="O420" i="10" s="1"/>
  <c r="P420" i="10" s="1"/>
  <c r="F416" i="10"/>
  <c r="O416" i="10" s="1"/>
  <c r="P416" i="10" s="1"/>
  <c r="F412" i="10"/>
  <c r="O412" i="10" s="1"/>
  <c r="P412" i="10" s="1"/>
  <c r="F408" i="10"/>
  <c r="O408" i="10" s="1"/>
  <c r="P408" i="10" s="1"/>
  <c r="F404" i="10"/>
  <c r="O404" i="10" s="1"/>
  <c r="P404" i="10" s="1"/>
  <c r="F400" i="10"/>
  <c r="O400" i="10" s="1"/>
  <c r="P400" i="10" s="1"/>
  <c r="F396" i="10"/>
  <c r="O396" i="10" s="1"/>
  <c r="P396" i="10" s="1"/>
  <c r="F392" i="10"/>
  <c r="O392" i="10" s="1"/>
  <c r="P392" i="10" s="1"/>
  <c r="F388" i="10"/>
  <c r="O388" i="10" s="1"/>
  <c r="P388" i="10" s="1"/>
  <c r="F384" i="10"/>
  <c r="O384" i="10" s="1"/>
  <c r="P384" i="10" s="1"/>
  <c r="F380" i="10"/>
  <c r="O380" i="10" s="1"/>
  <c r="P380" i="10" s="1"/>
  <c r="F376" i="10"/>
  <c r="O376" i="10" s="1"/>
  <c r="P376" i="10" s="1"/>
  <c r="F372" i="10"/>
  <c r="O372" i="10" s="1"/>
  <c r="P372" i="10" s="1"/>
  <c r="F368" i="10"/>
  <c r="O368" i="10" s="1"/>
  <c r="P368" i="10" s="1"/>
  <c r="F364" i="10"/>
  <c r="O364" i="10" s="1"/>
  <c r="P364" i="10" s="1"/>
  <c r="F360" i="10"/>
  <c r="O360" i="10" s="1"/>
  <c r="P360" i="10" s="1"/>
  <c r="F356" i="10"/>
  <c r="O356" i="10" s="1"/>
  <c r="P356" i="10" s="1"/>
  <c r="F352" i="10"/>
  <c r="O352" i="10" s="1"/>
  <c r="P352" i="10" s="1"/>
  <c r="F348" i="10"/>
  <c r="O348" i="10" s="1"/>
  <c r="P348" i="10" s="1"/>
  <c r="F344" i="10"/>
  <c r="O344" i="10" s="1"/>
  <c r="P344" i="10" s="1"/>
  <c r="F340" i="10"/>
  <c r="O340" i="10" s="1"/>
  <c r="P340" i="10" s="1"/>
  <c r="F336" i="10"/>
  <c r="O336" i="10" s="1"/>
  <c r="P336" i="10" s="1"/>
  <c r="F332" i="10"/>
  <c r="O332" i="10" s="1"/>
  <c r="P332" i="10" s="1"/>
  <c r="F328" i="10"/>
  <c r="O328" i="10" s="1"/>
  <c r="P328" i="10" s="1"/>
  <c r="F324" i="10"/>
  <c r="O324" i="10" s="1"/>
  <c r="P324" i="10" s="1"/>
  <c r="F320" i="10"/>
  <c r="O320" i="10" s="1"/>
  <c r="P320" i="10" s="1"/>
  <c r="F316" i="10"/>
  <c r="O316" i="10" s="1"/>
  <c r="P316" i="10" s="1"/>
  <c r="F312" i="10"/>
  <c r="O312" i="10" s="1"/>
  <c r="P312" i="10" s="1"/>
  <c r="F308" i="10"/>
  <c r="O308" i="10" s="1"/>
  <c r="P308" i="10" s="1"/>
  <c r="F304" i="10"/>
  <c r="O304" i="10" s="1"/>
  <c r="P304" i="10" s="1"/>
  <c r="F300" i="10"/>
  <c r="O300" i="10" s="1"/>
  <c r="P300" i="10" s="1"/>
  <c r="F296" i="10"/>
  <c r="O296" i="10" s="1"/>
  <c r="P296" i="10" s="1"/>
  <c r="F292" i="10"/>
  <c r="O292" i="10" s="1"/>
  <c r="P292" i="10" s="1"/>
  <c r="F288" i="10"/>
  <c r="O288" i="10" s="1"/>
  <c r="P288" i="10" s="1"/>
  <c r="F284" i="10"/>
  <c r="O284" i="10" s="1"/>
  <c r="P284" i="10" s="1"/>
  <c r="F280" i="10"/>
  <c r="O280" i="10" s="1"/>
  <c r="P280" i="10" s="1"/>
  <c r="F276" i="10"/>
  <c r="O276" i="10" s="1"/>
  <c r="P276" i="10" s="1"/>
  <c r="F272" i="10"/>
  <c r="O272" i="10" s="1"/>
  <c r="P272" i="10" s="1"/>
  <c r="F268" i="10"/>
  <c r="O268" i="10" s="1"/>
  <c r="P268" i="10" s="1"/>
  <c r="F264" i="10"/>
  <c r="O264" i="10" s="1"/>
  <c r="P264" i="10" s="1"/>
  <c r="F260" i="10"/>
  <c r="O260" i="10" s="1"/>
  <c r="P260" i="10" s="1"/>
  <c r="F256" i="10"/>
  <c r="O256" i="10" s="1"/>
  <c r="P256" i="10" s="1"/>
  <c r="F252" i="10"/>
  <c r="O252" i="10" s="1"/>
  <c r="P252" i="10" s="1"/>
  <c r="F248" i="10"/>
  <c r="O248" i="10" s="1"/>
  <c r="P248" i="10" s="1"/>
  <c r="F244" i="10"/>
  <c r="O244" i="10" s="1"/>
  <c r="P244" i="10" s="1"/>
  <c r="F240" i="10"/>
  <c r="O240" i="10" s="1"/>
  <c r="P240" i="10" s="1"/>
  <c r="F236" i="10"/>
  <c r="O236" i="10" s="1"/>
  <c r="P236" i="10" s="1"/>
  <c r="F232" i="10"/>
  <c r="O232" i="10" s="1"/>
  <c r="P232" i="10" s="1"/>
  <c r="F228" i="10"/>
  <c r="O228" i="10" s="1"/>
  <c r="P228" i="10" s="1"/>
  <c r="F224" i="10"/>
  <c r="O224" i="10" s="1"/>
  <c r="P224" i="10" s="1"/>
  <c r="F220" i="10"/>
  <c r="O220" i="10" s="1"/>
  <c r="P220" i="10" s="1"/>
  <c r="F216" i="10"/>
  <c r="O216" i="10" s="1"/>
  <c r="P216" i="10" s="1"/>
  <c r="F212" i="10"/>
  <c r="O212" i="10" s="1"/>
  <c r="P212" i="10" s="1"/>
  <c r="F208" i="10"/>
  <c r="O208" i="10" s="1"/>
  <c r="P208" i="10" s="1"/>
  <c r="F204" i="10"/>
  <c r="O204" i="10" s="1"/>
  <c r="P204" i="10" s="1"/>
  <c r="F200" i="10"/>
  <c r="O200" i="10" s="1"/>
  <c r="P200" i="10" s="1"/>
  <c r="F196" i="10"/>
  <c r="O196" i="10" s="1"/>
  <c r="P196" i="10" s="1"/>
  <c r="F192" i="10"/>
  <c r="O192" i="10" s="1"/>
  <c r="P192" i="10" s="1"/>
  <c r="F188" i="10"/>
  <c r="O188" i="10" s="1"/>
  <c r="P188" i="10" s="1"/>
  <c r="F184" i="10"/>
  <c r="O184" i="10" s="1"/>
  <c r="P184" i="10" s="1"/>
  <c r="F180" i="10"/>
  <c r="O180" i="10" s="1"/>
  <c r="P180" i="10" s="1"/>
  <c r="F176" i="10"/>
  <c r="O176" i="10" s="1"/>
  <c r="P176" i="10" s="1"/>
  <c r="F172" i="10"/>
  <c r="O172" i="10" s="1"/>
  <c r="P172" i="10" s="1"/>
  <c r="F168" i="10"/>
  <c r="O168" i="10" s="1"/>
  <c r="P168" i="10" s="1"/>
  <c r="F164" i="10"/>
  <c r="O164" i="10" s="1"/>
  <c r="P164" i="10" s="1"/>
  <c r="F160" i="10"/>
  <c r="O160" i="10" s="1"/>
  <c r="P160" i="10" s="1"/>
  <c r="F156" i="10"/>
  <c r="O156" i="10" s="1"/>
  <c r="P156" i="10" s="1"/>
  <c r="F152" i="10"/>
  <c r="O152" i="10" s="1"/>
  <c r="P152" i="10" s="1"/>
  <c r="F148" i="10"/>
  <c r="O148" i="10" s="1"/>
  <c r="P148" i="10" s="1"/>
  <c r="F144" i="10"/>
  <c r="O144" i="10" s="1"/>
  <c r="P144" i="10" s="1"/>
  <c r="F140" i="10"/>
  <c r="O140" i="10" s="1"/>
  <c r="P140" i="10" s="1"/>
  <c r="F136" i="10"/>
  <c r="O136" i="10" s="1"/>
  <c r="P136" i="10" s="1"/>
  <c r="F132" i="10"/>
  <c r="O132" i="10" s="1"/>
  <c r="P132" i="10" s="1"/>
  <c r="F128" i="10"/>
  <c r="O128" i="10" s="1"/>
  <c r="P128" i="10" s="1"/>
  <c r="F124" i="10"/>
  <c r="O124" i="10" s="1"/>
  <c r="P124" i="10" s="1"/>
  <c r="F120" i="10"/>
  <c r="O120" i="10" s="1"/>
  <c r="P120" i="10" s="1"/>
  <c r="F116" i="10"/>
  <c r="O116" i="10" s="1"/>
  <c r="P116" i="10" s="1"/>
  <c r="F112" i="10"/>
  <c r="O112" i="10" s="1"/>
  <c r="P112" i="10" s="1"/>
  <c r="F108" i="10"/>
  <c r="O108" i="10" s="1"/>
  <c r="P108" i="10" s="1"/>
  <c r="F104" i="10"/>
  <c r="O104" i="10" s="1"/>
  <c r="P104" i="10" s="1"/>
  <c r="F100" i="10"/>
  <c r="O100" i="10" s="1"/>
  <c r="P100" i="10" s="1"/>
  <c r="F96" i="10"/>
  <c r="O96" i="10" s="1"/>
  <c r="P96" i="10" s="1"/>
  <c r="F92" i="10"/>
  <c r="O92" i="10" s="1"/>
  <c r="P92" i="10" s="1"/>
  <c r="F88" i="10"/>
  <c r="O88" i="10" s="1"/>
  <c r="P88" i="10" s="1"/>
  <c r="F84" i="10"/>
  <c r="O84" i="10" s="1"/>
  <c r="P84" i="10" s="1"/>
  <c r="F80" i="10"/>
  <c r="O80" i="10" s="1"/>
  <c r="P80" i="10" s="1"/>
  <c r="F76" i="10"/>
  <c r="O76" i="10" s="1"/>
  <c r="P76" i="10" s="1"/>
  <c r="J76" i="10" s="1"/>
  <c r="F72" i="10"/>
  <c r="O72" i="10" s="1"/>
  <c r="P72" i="10" s="1"/>
  <c r="J72" i="10" s="1"/>
  <c r="F68" i="10"/>
  <c r="O68" i="10" s="1"/>
  <c r="P68" i="10" s="1"/>
  <c r="J68" i="10" s="1"/>
  <c r="F64" i="10"/>
  <c r="O64" i="10" s="1"/>
  <c r="P64" i="10" s="1"/>
  <c r="J64" i="10" s="1"/>
  <c r="F60" i="10"/>
  <c r="O60" i="10" s="1"/>
  <c r="P60" i="10" s="1"/>
  <c r="J60" i="10" s="1"/>
  <c r="F56" i="10"/>
  <c r="O56" i="10" s="1"/>
  <c r="P56" i="10" s="1"/>
  <c r="J56" i="10" s="1"/>
  <c r="F52" i="10"/>
  <c r="O52" i="10" s="1"/>
  <c r="P52" i="10" s="1"/>
  <c r="J52" i="10" s="1"/>
  <c r="F48" i="10"/>
  <c r="O48" i="10" s="1"/>
  <c r="P48" i="10" s="1"/>
  <c r="J48" i="10" s="1"/>
  <c r="F44" i="10"/>
  <c r="O44" i="10" s="1"/>
  <c r="P44" i="10" s="1"/>
  <c r="J44" i="10" s="1"/>
  <c r="F40" i="10"/>
  <c r="O40" i="10" s="1"/>
  <c r="P40" i="10" s="1"/>
  <c r="J40" i="10" s="1"/>
  <c r="F36" i="10"/>
  <c r="O36" i="10" s="1"/>
  <c r="P36" i="10" s="1"/>
  <c r="J36" i="10" s="1"/>
  <c r="F32" i="10"/>
  <c r="O32" i="10" s="1"/>
  <c r="P32" i="10" s="1"/>
  <c r="J32" i="10" s="1"/>
  <c r="F28" i="10"/>
  <c r="O28" i="10" s="1"/>
  <c r="P28" i="10" s="1"/>
  <c r="J28" i="10" s="1"/>
  <c r="F24" i="10"/>
  <c r="O24" i="10" s="1"/>
  <c r="P24" i="10" s="1"/>
  <c r="J24" i="10" s="1"/>
  <c r="F20" i="10"/>
  <c r="O20" i="10" s="1"/>
  <c r="P20" i="10" s="1"/>
  <c r="J20" i="10" s="1"/>
  <c r="F16" i="10"/>
  <c r="O16" i="10" s="1"/>
  <c r="P16" i="10" s="1"/>
  <c r="J16" i="10" s="1"/>
  <c r="F12" i="10"/>
  <c r="O12" i="10" s="1"/>
  <c r="P12" i="10" s="1"/>
  <c r="J12" i="10" s="1"/>
  <c r="J9" i="13" s="1" a="1"/>
  <c r="J9" i="13" s="1"/>
  <c r="L2" i="10"/>
  <c r="F1077" i="10"/>
  <c r="O1077" i="10" s="1"/>
  <c r="P1077" i="10" s="1"/>
  <c r="F1073" i="10"/>
  <c r="O1073" i="10" s="1"/>
  <c r="P1073" i="10" s="1"/>
  <c r="F1069" i="10"/>
  <c r="O1069" i="10" s="1"/>
  <c r="P1069" i="10" s="1"/>
  <c r="F1065" i="10"/>
  <c r="O1065" i="10" s="1"/>
  <c r="P1065" i="10" s="1"/>
  <c r="F1061" i="10"/>
  <c r="O1061" i="10" s="1"/>
  <c r="P1061" i="10" s="1"/>
  <c r="F1057" i="10"/>
  <c r="O1057" i="10" s="1"/>
  <c r="P1057" i="10" s="1"/>
  <c r="F1053" i="10"/>
  <c r="O1053" i="10" s="1"/>
  <c r="P1053" i="10" s="1"/>
  <c r="F1049" i="10"/>
  <c r="O1049" i="10" s="1"/>
  <c r="P1049" i="10" s="1"/>
  <c r="F1045" i="10"/>
  <c r="O1045" i="10" s="1"/>
  <c r="P1045" i="10" s="1"/>
  <c r="F1041" i="10"/>
  <c r="O1041" i="10" s="1"/>
  <c r="P1041" i="10" s="1"/>
  <c r="F1037" i="10"/>
  <c r="O1037" i="10" s="1"/>
  <c r="P1037" i="10" s="1"/>
  <c r="F1029" i="10"/>
  <c r="O1029" i="10" s="1"/>
  <c r="P1029" i="10" s="1"/>
  <c r="F1025" i="10"/>
  <c r="O1025" i="10" s="1"/>
  <c r="P1025" i="10" s="1"/>
  <c r="F1021" i="10"/>
  <c r="O1021" i="10" s="1"/>
  <c r="P1021" i="10" s="1"/>
  <c r="F1009" i="10"/>
  <c r="O1009" i="10" s="1"/>
  <c r="P1009" i="10" s="1"/>
  <c r="F937" i="10"/>
  <c r="O937" i="10" s="1"/>
  <c r="P937" i="10" s="1"/>
  <c r="F817" i="10"/>
  <c r="O817" i="10" s="1"/>
  <c r="P817" i="10" s="1"/>
  <c r="F805" i="10"/>
  <c r="O805" i="10" s="1"/>
  <c r="P805" i="10" s="1"/>
  <c r="F801" i="10"/>
  <c r="O801" i="10" s="1"/>
  <c r="P801" i="10" s="1"/>
  <c r="F793" i="10"/>
  <c r="O793" i="10" s="1"/>
  <c r="P793" i="10" s="1"/>
  <c r="F789" i="10"/>
  <c r="O789" i="10" s="1"/>
  <c r="P789" i="10" s="1"/>
  <c r="F785" i="10"/>
  <c r="O785" i="10" s="1"/>
  <c r="P785" i="10" s="1"/>
  <c r="F533" i="10"/>
  <c r="O533" i="10" s="1"/>
  <c r="P533" i="10" s="1"/>
  <c r="F529" i="10"/>
  <c r="O529" i="10" s="1"/>
  <c r="P529" i="10" s="1"/>
  <c r="F525" i="10"/>
  <c r="O525" i="10" s="1"/>
  <c r="P525" i="10" s="1"/>
  <c r="F517" i="10"/>
  <c r="O517" i="10" s="1"/>
  <c r="P517" i="10" s="1"/>
  <c r="F513" i="10"/>
  <c r="O513" i="10" s="1"/>
  <c r="P513" i="10" s="1"/>
  <c r="F509" i="10"/>
  <c r="O509" i="10" s="1"/>
  <c r="P509" i="10" s="1"/>
  <c r="F505" i="10"/>
  <c r="O505" i="10" s="1"/>
  <c r="P505" i="10" s="1"/>
  <c r="F501" i="10"/>
  <c r="O501" i="10" s="1"/>
  <c r="P501" i="10" s="1"/>
  <c r="F497" i="10"/>
  <c r="O497" i="10" s="1"/>
  <c r="P497" i="10" s="1"/>
  <c r="F493" i="10"/>
  <c r="O493" i="10" s="1"/>
  <c r="P493" i="10" s="1"/>
  <c r="F489" i="10"/>
  <c r="O489" i="10" s="1"/>
  <c r="P489" i="10" s="1"/>
  <c r="F485" i="10"/>
  <c r="O485" i="10" s="1"/>
  <c r="P485" i="10" s="1"/>
  <c r="F481" i="10"/>
  <c r="O481" i="10" s="1"/>
  <c r="P481" i="10" s="1"/>
  <c r="F477" i="10"/>
  <c r="O477" i="10" s="1"/>
  <c r="P477" i="10" s="1"/>
  <c r="F473" i="10"/>
  <c r="O473" i="10" s="1"/>
  <c r="P473" i="10" s="1"/>
  <c r="F469" i="10"/>
  <c r="O469" i="10" s="1"/>
  <c r="P469" i="10" s="1"/>
  <c r="F465" i="10"/>
  <c r="O465" i="10" s="1"/>
  <c r="P465" i="10" s="1"/>
  <c r="F461" i="10"/>
  <c r="O461" i="10" s="1"/>
  <c r="P461" i="10" s="1"/>
  <c r="F457" i="10"/>
  <c r="O457" i="10" s="1"/>
  <c r="P457" i="10" s="1"/>
  <c r="F453" i="10"/>
  <c r="O453" i="10" s="1"/>
  <c r="P453" i="10" s="1"/>
  <c r="F449" i="10"/>
  <c r="O449" i="10" s="1"/>
  <c r="P449" i="10" s="1"/>
  <c r="F445" i="10"/>
  <c r="O445" i="10" s="1"/>
  <c r="P445" i="10" s="1"/>
  <c r="F37" i="10"/>
  <c r="O37" i="10" s="1"/>
  <c r="P37" i="10" s="1"/>
  <c r="J37" i="10" s="1"/>
  <c r="F53" i="10"/>
  <c r="O53" i="10" s="1"/>
  <c r="P53" i="10" s="1"/>
  <c r="J53" i="10" s="1"/>
  <c r="F103" i="10"/>
  <c r="O103" i="10" s="1"/>
  <c r="P103" i="10" s="1"/>
  <c r="F119" i="10"/>
  <c r="O119" i="10" s="1"/>
  <c r="P119" i="10" s="1"/>
  <c r="F135" i="10"/>
  <c r="O135" i="10" s="1"/>
  <c r="P135" i="10" s="1"/>
  <c r="F151" i="10"/>
  <c r="O151" i="10" s="1"/>
  <c r="P151" i="10" s="1"/>
  <c r="F207" i="10"/>
  <c r="O207" i="10" s="1"/>
  <c r="P207" i="10" s="1"/>
  <c r="F274" i="10"/>
  <c r="O274" i="10" s="1"/>
  <c r="P274" i="10" s="1"/>
  <c r="F410" i="10"/>
  <c r="O410" i="10" s="1"/>
  <c r="P410" i="10" s="1"/>
  <c r="F532" i="10"/>
  <c r="O532" i="10" s="1"/>
  <c r="P532" i="10" s="1"/>
  <c r="F552" i="10"/>
  <c r="O552" i="10" s="1"/>
  <c r="P552" i="10" s="1"/>
  <c r="F568" i="10"/>
  <c r="O568" i="10" s="1"/>
  <c r="P568" i="10" s="1"/>
  <c r="F584" i="10"/>
  <c r="O584" i="10" s="1"/>
  <c r="P584" i="10" s="1"/>
  <c r="F649" i="10"/>
  <c r="O649" i="10" s="1"/>
  <c r="P649" i="10" s="1"/>
  <c r="F729" i="10"/>
  <c r="O729" i="10" s="1"/>
  <c r="P729" i="10" s="1"/>
  <c r="F744" i="10"/>
  <c r="O744" i="10" s="1"/>
  <c r="P744" i="10" s="1"/>
  <c r="F766" i="10"/>
  <c r="O766" i="10" s="1"/>
  <c r="P766" i="10" s="1"/>
  <c r="F790" i="10"/>
  <c r="O790" i="10" s="1"/>
  <c r="P790" i="10" s="1"/>
  <c r="F811" i="10"/>
  <c r="O811" i="10" s="1"/>
  <c r="P811" i="10" s="1"/>
  <c r="F886" i="10"/>
  <c r="O886" i="10" s="1"/>
  <c r="P886" i="10" s="1"/>
  <c r="F902" i="10"/>
  <c r="O902" i="10" s="1"/>
  <c r="P902" i="10" s="1"/>
  <c r="F918" i="10"/>
  <c r="O918" i="10" s="1"/>
  <c r="P918" i="10" s="1"/>
  <c r="F963" i="10"/>
  <c r="O963" i="10" s="1"/>
  <c r="P963" i="10" s="1"/>
  <c r="F979" i="10"/>
  <c r="O979" i="10" s="1"/>
  <c r="P979" i="10" s="1"/>
  <c r="F1017" i="10"/>
  <c r="O1017" i="10" s="1"/>
  <c r="P1017" i="10" s="1"/>
  <c r="F85" i="10"/>
  <c r="O85" i="10" s="1"/>
  <c r="P85" i="10" s="1"/>
  <c r="F117" i="10"/>
  <c r="O117" i="10" s="1"/>
  <c r="P117" i="10" s="1"/>
  <c r="F149" i="10"/>
  <c r="O149" i="10" s="1"/>
  <c r="P149" i="10" s="1"/>
  <c r="F181" i="10"/>
  <c r="O181" i="10" s="1"/>
  <c r="P181" i="10" s="1"/>
  <c r="F213" i="10"/>
  <c r="O213" i="10" s="1"/>
  <c r="P213" i="10" s="1"/>
  <c r="F245" i="10"/>
  <c r="O245" i="10" s="1"/>
  <c r="P245" i="10" s="1"/>
  <c r="F277" i="10"/>
  <c r="O277" i="10" s="1"/>
  <c r="P277" i="10" s="1"/>
  <c r="F309" i="10"/>
  <c r="O309" i="10" s="1"/>
  <c r="P309" i="10" s="1"/>
  <c r="F341" i="10"/>
  <c r="O341" i="10" s="1"/>
  <c r="P341" i="10" s="1"/>
  <c r="F373" i="10"/>
  <c r="O373" i="10" s="1"/>
  <c r="P373" i="10" s="1"/>
  <c r="F405" i="10"/>
  <c r="O405" i="10" s="1"/>
  <c r="P405" i="10" s="1"/>
  <c r="F437" i="10"/>
  <c r="O437" i="10" s="1"/>
  <c r="P437" i="10" s="1"/>
  <c r="F441" i="10"/>
  <c r="O441" i="10" s="1"/>
  <c r="P441" i="10" s="1"/>
  <c r="F450" i="10"/>
  <c r="O450" i="10" s="1"/>
  <c r="P450" i="10" s="1"/>
  <c r="F456" i="10"/>
  <c r="O456" i="10" s="1"/>
  <c r="P456" i="10" s="1"/>
  <c r="F466" i="10"/>
  <c r="O466" i="10" s="1"/>
  <c r="P466" i="10" s="1"/>
  <c r="F472" i="10"/>
  <c r="O472" i="10" s="1"/>
  <c r="P472" i="10" s="1"/>
  <c r="F482" i="10"/>
  <c r="O482" i="10" s="1"/>
  <c r="P482" i="10" s="1"/>
  <c r="F488" i="10"/>
  <c r="O488" i="10" s="1"/>
  <c r="P488" i="10" s="1"/>
  <c r="F498" i="10"/>
  <c r="O498" i="10" s="1"/>
  <c r="P498" i="10" s="1"/>
  <c r="F504" i="10"/>
  <c r="O504" i="10" s="1"/>
  <c r="P504" i="10" s="1"/>
  <c r="F515" i="10"/>
  <c r="O515" i="10" s="1"/>
  <c r="P515" i="10" s="1"/>
  <c r="F520" i="10"/>
  <c r="O520" i="10" s="1"/>
  <c r="P520" i="10" s="1"/>
  <c r="F548" i="10"/>
  <c r="O548" i="10" s="1"/>
  <c r="P548" i="10" s="1"/>
  <c r="F554" i="10"/>
  <c r="O554" i="10" s="1"/>
  <c r="P554" i="10" s="1"/>
  <c r="F580" i="10"/>
  <c r="O580" i="10" s="1"/>
  <c r="P580" i="10" s="1"/>
  <c r="F586" i="10"/>
  <c r="O586" i="10" s="1"/>
  <c r="P586" i="10" s="1"/>
  <c r="F612" i="10"/>
  <c r="O612" i="10" s="1"/>
  <c r="P612" i="10" s="1"/>
  <c r="F618" i="10"/>
  <c r="O618" i="10" s="1"/>
  <c r="P618" i="10" s="1"/>
  <c r="F645" i="10"/>
  <c r="O645" i="10" s="1"/>
  <c r="P645" i="10" s="1"/>
  <c r="F659" i="10"/>
  <c r="O659" i="10" s="1"/>
  <c r="P659" i="10" s="1"/>
  <c r="F677" i="10"/>
  <c r="O677" i="10" s="1"/>
  <c r="P677" i="10" s="1"/>
  <c r="F691" i="10"/>
  <c r="O691" i="10" s="1"/>
  <c r="P691" i="10" s="1"/>
  <c r="F709" i="10"/>
  <c r="O709" i="10" s="1"/>
  <c r="P709" i="10" s="1"/>
  <c r="F723" i="10"/>
  <c r="O723" i="10" s="1"/>
  <c r="P723" i="10" s="1"/>
  <c r="F741" i="10"/>
  <c r="O741" i="10" s="1"/>
  <c r="P741" i="10" s="1"/>
  <c r="F755" i="10"/>
  <c r="O755" i="10" s="1"/>
  <c r="P755" i="10" s="1"/>
  <c r="F773" i="10"/>
  <c r="O773" i="10" s="1"/>
  <c r="P773" i="10" s="1"/>
  <c r="F807" i="10"/>
  <c r="O807" i="10" s="1"/>
  <c r="P807" i="10" s="1"/>
  <c r="F827" i="10"/>
  <c r="O827" i="10" s="1"/>
  <c r="P827" i="10" s="1"/>
  <c r="F845" i="10"/>
  <c r="O845" i="10" s="1"/>
  <c r="P845" i="10" s="1"/>
  <c r="F859" i="10"/>
  <c r="O859" i="10" s="1"/>
  <c r="P859" i="10" s="1"/>
  <c r="F877" i="10"/>
  <c r="O877" i="10" s="1"/>
  <c r="P877" i="10" s="1"/>
  <c r="F891" i="10"/>
  <c r="O891" i="10" s="1"/>
  <c r="P891" i="10" s="1"/>
  <c r="F909" i="10"/>
  <c r="O909" i="10" s="1"/>
  <c r="P909" i="10" s="1"/>
  <c r="F923" i="10"/>
  <c r="O923" i="10" s="1"/>
  <c r="P923" i="10" s="1"/>
  <c r="F943" i="10"/>
  <c r="O943" i="10" s="1"/>
  <c r="P943" i="10" s="1"/>
  <c r="F961" i="10"/>
  <c r="O961" i="10" s="1"/>
  <c r="P961" i="10" s="1"/>
  <c r="F975" i="10"/>
  <c r="O975" i="10" s="1"/>
  <c r="P975" i="10" s="1"/>
  <c r="F993" i="10"/>
  <c r="O993" i="10" s="1"/>
  <c r="P993" i="10" s="1"/>
  <c r="F1007" i="10"/>
  <c r="O1007" i="10" s="1"/>
  <c r="P1007" i="10" s="1"/>
  <c r="F1012" i="10"/>
  <c r="O1012" i="10" s="1"/>
  <c r="P1012" i="10" s="1"/>
  <c r="F1018" i="10"/>
  <c r="O1018" i="10" s="1"/>
  <c r="P1018" i="10" s="1"/>
  <c r="F1039" i="10"/>
  <c r="O1039" i="10" s="1"/>
  <c r="P1039" i="10" s="1"/>
  <c r="F1044" i="10"/>
  <c r="O1044" i="10" s="1"/>
  <c r="P1044" i="10" s="1"/>
  <c r="F1054" i="10"/>
  <c r="O1054" i="10" s="1"/>
  <c r="P1054" i="10" s="1"/>
  <c r="F1060" i="10"/>
  <c r="O1060" i="10" s="1"/>
  <c r="P1060" i="10" s="1"/>
  <c r="F1070" i="10"/>
  <c r="O1070" i="10" s="1"/>
  <c r="P1070" i="10" s="1"/>
  <c r="F1076" i="10"/>
  <c r="O1076" i="10" s="1"/>
  <c r="P1076" i="10" s="1"/>
  <c r="F1081" i="10"/>
  <c r="O1081" i="10" s="1"/>
  <c r="P1081" i="10" s="1"/>
  <c r="F1085" i="10"/>
  <c r="O1085" i="10" s="1"/>
  <c r="P1085" i="10" s="1"/>
  <c r="F1100" i="10"/>
  <c r="O1100" i="10" s="1"/>
  <c r="P1100" i="10" s="1"/>
  <c r="F1113" i="10"/>
  <c r="O1113" i="10" s="1"/>
  <c r="P1113" i="10" s="1"/>
  <c r="F1119" i="10"/>
  <c r="O1119" i="10" s="1"/>
  <c r="P1119" i="10" s="1"/>
  <c r="F13" i="10"/>
  <c r="O13" i="10" s="1"/>
  <c r="P13" i="10" s="1"/>
  <c r="J13" i="10" s="1"/>
  <c r="J10" i="13" s="1" a="1"/>
  <c r="J10" i="13" s="1"/>
  <c r="F51" i="10"/>
  <c r="O51" i="10" s="1"/>
  <c r="P51" i="10" s="1"/>
  <c r="J51" i="10" s="1"/>
  <c r="F95" i="10"/>
  <c r="O95" i="10" s="1"/>
  <c r="P95" i="10" s="1"/>
  <c r="F146" i="10"/>
  <c r="O146" i="10" s="1"/>
  <c r="P146" i="10" s="1"/>
  <c r="F194" i="10"/>
  <c r="O194" i="10" s="1"/>
  <c r="P194" i="10" s="1"/>
  <c r="F226" i="10"/>
  <c r="O226" i="10" s="1"/>
  <c r="P226" i="10" s="1"/>
  <c r="F242" i="10"/>
  <c r="O242" i="10" s="1"/>
  <c r="P242" i="10" s="1"/>
  <c r="F258" i="10"/>
  <c r="O258" i="10" s="1"/>
  <c r="P258" i="10" s="1"/>
  <c r="F290" i="10"/>
  <c r="O290" i="10" s="1"/>
  <c r="P290" i="10" s="1"/>
  <c r="F306" i="10"/>
  <c r="O306" i="10" s="1"/>
  <c r="P306" i="10" s="1"/>
  <c r="F322" i="10"/>
  <c r="O322" i="10" s="1"/>
  <c r="P322" i="10" s="1"/>
  <c r="F338" i="10"/>
  <c r="O338" i="10" s="1"/>
  <c r="P338" i="10" s="1"/>
  <c r="F359" i="10"/>
  <c r="O359" i="10" s="1"/>
  <c r="P359" i="10" s="1"/>
  <c r="F407" i="10"/>
  <c r="O407" i="10" s="1"/>
  <c r="P407" i="10" s="1"/>
  <c r="F418" i="10"/>
  <c r="O418" i="10" s="1"/>
  <c r="P418" i="10" s="1"/>
  <c r="F616" i="10"/>
  <c r="O616" i="10" s="1"/>
  <c r="P616" i="10" s="1"/>
  <c r="F633" i="10"/>
  <c r="O633" i="10" s="1"/>
  <c r="P633" i="10" s="1"/>
  <c r="F647" i="10"/>
  <c r="O647" i="10" s="1"/>
  <c r="P647" i="10" s="1"/>
  <c r="F664" i="10"/>
  <c r="O664" i="10" s="1"/>
  <c r="P664" i="10" s="1"/>
  <c r="F718" i="10"/>
  <c r="O718" i="10" s="1"/>
  <c r="P718" i="10" s="1"/>
  <c r="F812" i="10"/>
  <c r="O812" i="10" s="1"/>
  <c r="P812" i="10" s="1"/>
  <c r="F838" i="10"/>
  <c r="O838" i="10" s="1"/>
  <c r="P838" i="10" s="1"/>
  <c r="F897" i="10"/>
  <c r="O897" i="10" s="1"/>
  <c r="P897" i="10" s="1"/>
  <c r="F934" i="10"/>
  <c r="O934" i="10" s="1"/>
  <c r="P934" i="10" s="1"/>
  <c r="F1015" i="10"/>
  <c r="O1015" i="10" s="1"/>
  <c r="P1015" i="10" s="1"/>
  <c r="F1089" i="10"/>
  <c r="O1089" i="10" s="1"/>
  <c r="P1089" i="10" s="1"/>
  <c r="F1107" i="10"/>
  <c r="O1107" i="10" s="1"/>
  <c r="P1107" i="10" s="1"/>
  <c r="F83" i="10"/>
  <c r="O83" i="10" s="1"/>
  <c r="P83" i="10" s="1"/>
  <c r="F99" i="10"/>
  <c r="O99" i="10" s="1"/>
  <c r="P99" i="10" s="1"/>
  <c r="F115" i="10"/>
  <c r="O115" i="10" s="1"/>
  <c r="P115" i="10" s="1"/>
  <c r="F131" i="10"/>
  <c r="O131" i="10" s="1"/>
  <c r="P131" i="10" s="1"/>
  <c r="F147" i="10"/>
  <c r="O147" i="10" s="1"/>
  <c r="P147" i="10" s="1"/>
  <c r="F163" i="10"/>
  <c r="O163" i="10" s="1"/>
  <c r="P163" i="10" s="1"/>
  <c r="F179" i="10"/>
  <c r="O179" i="10" s="1"/>
  <c r="P179" i="10" s="1"/>
  <c r="F195" i="10"/>
  <c r="O195" i="10" s="1"/>
  <c r="P195" i="10" s="1"/>
  <c r="F211" i="10"/>
  <c r="O211" i="10" s="1"/>
  <c r="P211" i="10" s="1"/>
  <c r="F227" i="10"/>
  <c r="O227" i="10" s="1"/>
  <c r="P227" i="10" s="1"/>
  <c r="F243" i="10"/>
  <c r="O243" i="10" s="1"/>
  <c r="P243" i="10" s="1"/>
  <c r="F259" i="10"/>
  <c r="O259" i="10" s="1"/>
  <c r="P259" i="10" s="1"/>
  <c r="F275" i="10"/>
  <c r="O275" i="10" s="1"/>
  <c r="P275" i="10" s="1"/>
  <c r="F291" i="10"/>
  <c r="O291" i="10" s="1"/>
  <c r="P291" i="10" s="1"/>
  <c r="F307" i="10"/>
  <c r="O307" i="10" s="1"/>
  <c r="P307" i="10" s="1"/>
  <c r="F323" i="10"/>
  <c r="O323" i="10" s="1"/>
  <c r="P323" i="10" s="1"/>
  <c r="F339" i="10"/>
  <c r="O339" i="10" s="1"/>
  <c r="P339" i="10" s="1"/>
  <c r="F355" i="10"/>
  <c r="O355" i="10" s="1"/>
  <c r="P355" i="10" s="1"/>
  <c r="F371" i="10"/>
  <c r="O371" i="10" s="1"/>
  <c r="P371" i="10" s="1"/>
  <c r="F387" i="10"/>
  <c r="O387" i="10" s="1"/>
  <c r="P387" i="10" s="1"/>
  <c r="F403" i="10"/>
  <c r="O403" i="10" s="1"/>
  <c r="P403" i="10" s="1"/>
  <c r="F419" i="10"/>
  <c r="O419" i="10" s="1"/>
  <c r="P419" i="10" s="1"/>
  <c r="F435" i="10"/>
  <c r="O435" i="10" s="1"/>
  <c r="P435" i="10" s="1"/>
  <c r="F522" i="10"/>
  <c r="O522" i="10" s="1"/>
  <c r="P522" i="10" s="1"/>
  <c r="F530" i="10"/>
  <c r="O530" i="10" s="1"/>
  <c r="P530" i="10" s="1"/>
  <c r="F544" i="10"/>
  <c r="O544" i="10" s="1"/>
  <c r="P544" i="10" s="1"/>
  <c r="F550" i="10"/>
  <c r="O550" i="10" s="1"/>
  <c r="P550" i="10" s="1"/>
  <c r="F576" i="10"/>
  <c r="O576" i="10" s="1"/>
  <c r="P576" i="10" s="1"/>
  <c r="F582" i="10"/>
  <c r="O582" i="10" s="1"/>
  <c r="P582" i="10" s="1"/>
  <c r="F608" i="10"/>
  <c r="O608" i="10" s="1"/>
  <c r="P608" i="10" s="1"/>
  <c r="F614" i="10"/>
  <c r="O614" i="10" s="1"/>
  <c r="P614" i="10" s="1"/>
  <c r="F641" i="10"/>
  <c r="O641" i="10" s="1"/>
  <c r="P641" i="10" s="1"/>
  <c r="F655" i="10"/>
  <c r="O655" i="10" s="1"/>
  <c r="P655" i="10" s="1"/>
  <c r="F673" i="10"/>
  <c r="O673" i="10" s="1"/>
  <c r="P673" i="10" s="1"/>
  <c r="F687" i="10"/>
  <c r="O687" i="10" s="1"/>
  <c r="P687" i="10" s="1"/>
  <c r="F705" i="10"/>
  <c r="O705" i="10" s="1"/>
  <c r="P705" i="10" s="1"/>
  <c r="F719" i="10"/>
  <c r="O719" i="10" s="1"/>
  <c r="P719" i="10" s="1"/>
  <c r="F737" i="10"/>
  <c r="O737" i="10" s="1"/>
  <c r="P737" i="10" s="1"/>
  <c r="F751" i="10"/>
  <c r="O751" i="10" s="1"/>
  <c r="P751" i="10" s="1"/>
  <c r="F769" i="10"/>
  <c r="O769" i="10" s="1"/>
  <c r="P769" i="10" s="1"/>
  <c r="F783" i="10"/>
  <c r="O783" i="10" s="1"/>
  <c r="P783" i="10" s="1"/>
  <c r="F788" i="10"/>
  <c r="O788" i="10" s="1"/>
  <c r="P788" i="10" s="1"/>
  <c r="F840" i="10"/>
  <c r="O840" i="10" s="1"/>
  <c r="P840" i="10" s="1"/>
  <c r="F846" i="10"/>
  <c r="O846" i="10" s="1"/>
  <c r="P846" i="10" s="1"/>
  <c r="F872" i="10"/>
  <c r="O872" i="10" s="1"/>
  <c r="P872" i="10" s="1"/>
  <c r="F878" i="10"/>
  <c r="O878" i="10" s="1"/>
  <c r="P878" i="10" s="1"/>
  <c r="F904" i="10"/>
  <c r="O904" i="10" s="1"/>
  <c r="P904" i="10" s="1"/>
  <c r="F910" i="10"/>
  <c r="O910" i="10" s="1"/>
  <c r="P910" i="10" s="1"/>
  <c r="F936" i="10"/>
  <c r="O936" i="10" s="1"/>
  <c r="P936" i="10" s="1"/>
  <c r="F941" i="10"/>
  <c r="O941" i="10" s="1"/>
  <c r="P941" i="10" s="1"/>
  <c r="F955" i="10"/>
  <c r="O955" i="10" s="1"/>
  <c r="P955" i="10" s="1"/>
  <c r="F973" i="10"/>
  <c r="O973" i="10" s="1"/>
  <c r="P973" i="10" s="1"/>
  <c r="F987" i="10"/>
  <c r="O987" i="10" s="1"/>
  <c r="P987" i="10" s="1"/>
  <c r="F1005" i="10"/>
  <c r="O1005" i="10" s="1"/>
  <c r="P1005" i="10" s="1"/>
  <c r="F1026" i="10"/>
  <c r="O1026" i="10" s="1"/>
  <c r="P1026" i="10" s="1"/>
  <c r="F1032" i="10"/>
  <c r="O1032" i="10" s="1"/>
  <c r="P1032" i="10" s="1"/>
  <c r="F1095" i="10"/>
  <c r="O1095" i="10" s="1"/>
  <c r="P1095" i="10" s="1"/>
  <c r="F1102" i="10"/>
  <c r="O1102" i="10" s="1"/>
  <c r="P1102" i="10" s="1"/>
  <c r="F1111" i="10"/>
  <c r="O1111" i="10" s="1"/>
  <c r="P1111" i="10" s="1"/>
  <c r="F11" i="10"/>
  <c r="O11" i="10" s="1"/>
  <c r="P11" i="10" s="1"/>
  <c r="J11" i="10" s="1"/>
  <c r="F27" i="10"/>
  <c r="O27" i="10" s="1"/>
  <c r="P27" i="10" s="1"/>
  <c r="J27" i="10" s="1"/>
  <c r="F43" i="10"/>
  <c r="O43" i="10" s="1"/>
  <c r="P43" i="10" s="1"/>
  <c r="J43" i="10" s="1"/>
  <c r="F63" i="10"/>
  <c r="O63" i="10" s="1"/>
  <c r="P63" i="10" s="1"/>
  <c r="J63" i="10" s="1"/>
  <c r="F79" i="10"/>
  <c r="O79" i="10" s="1"/>
  <c r="P79" i="10" s="1"/>
  <c r="F239" i="10"/>
  <c r="O239" i="10" s="1"/>
  <c r="P239" i="10" s="1"/>
  <c r="F255" i="10"/>
  <c r="O255" i="10" s="1"/>
  <c r="P255" i="10" s="1"/>
  <c r="F266" i="10"/>
  <c r="O266" i="10" s="1"/>
  <c r="P266" i="10" s="1"/>
  <c r="F298" i="10"/>
  <c r="O298" i="10" s="1"/>
  <c r="P298" i="10" s="1"/>
  <c r="F415" i="10"/>
  <c r="O415" i="10" s="1"/>
  <c r="P415" i="10" s="1"/>
  <c r="F527" i="10"/>
  <c r="O527" i="10" s="1"/>
  <c r="P527" i="10" s="1"/>
  <c r="F558" i="10"/>
  <c r="O558" i="10" s="1"/>
  <c r="P558" i="10" s="1"/>
  <c r="F574" i="10"/>
  <c r="O574" i="10" s="1"/>
  <c r="P574" i="10" s="1"/>
  <c r="F697" i="10"/>
  <c r="O697" i="10" s="1"/>
  <c r="P697" i="10" s="1"/>
  <c r="F712" i="10"/>
  <c r="O712" i="10" s="1"/>
  <c r="P712" i="10" s="1"/>
  <c r="F775" i="10"/>
  <c r="O775" i="10" s="1"/>
  <c r="P775" i="10" s="1"/>
  <c r="F794" i="10"/>
  <c r="O794" i="10" s="1"/>
  <c r="P794" i="10" s="1"/>
  <c r="F833" i="10"/>
  <c r="O833" i="10" s="1"/>
  <c r="P833" i="10" s="1"/>
  <c r="F912" i="10"/>
  <c r="O912" i="10" s="1"/>
  <c r="P912" i="10" s="1"/>
  <c r="F1103" i="10"/>
  <c r="O1103" i="10" s="1"/>
  <c r="P1103" i="10" s="1"/>
  <c r="F105" i="10"/>
  <c r="O105" i="10" s="1"/>
  <c r="P105" i="10" s="1"/>
  <c r="F137" i="10"/>
  <c r="O137" i="10" s="1"/>
  <c r="P137" i="10" s="1"/>
  <c r="F169" i="10"/>
  <c r="O169" i="10" s="1"/>
  <c r="P169" i="10" s="1"/>
  <c r="F201" i="10"/>
  <c r="O201" i="10" s="1"/>
  <c r="P201" i="10" s="1"/>
  <c r="F233" i="10"/>
  <c r="O233" i="10" s="1"/>
  <c r="P233" i="10" s="1"/>
  <c r="F265" i="10"/>
  <c r="O265" i="10" s="1"/>
  <c r="P265" i="10" s="1"/>
  <c r="F297" i="10"/>
  <c r="O297" i="10" s="1"/>
  <c r="P297" i="10" s="1"/>
  <c r="F329" i="10"/>
  <c r="O329" i="10" s="1"/>
  <c r="P329" i="10" s="1"/>
  <c r="F361" i="10"/>
  <c r="O361" i="10" s="1"/>
  <c r="P361" i="10" s="1"/>
  <c r="F393" i="10"/>
  <c r="O393" i="10" s="1"/>
  <c r="P393" i="10" s="1"/>
  <c r="F425" i="10"/>
  <c r="O425" i="10" s="1"/>
  <c r="P425" i="10" s="1"/>
  <c r="F442" i="10"/>
  <c r="O442" i="10" s="1"/>
  <c r="P442" i="10" s="1"/>
  <c r="F454" i="10"/>
  <c r="O454" i="10" s="1"/>
  <c r="P454" i="10" s="1"/>
  <c r="F460" i="10"/>
  <c r="O460" i="10" s="1"/>
  <c r="P460" i="10" s="1"/>
  <c r="F470" i="10"/>
  <c r="O470" i="10" s="1"/>
  <c r="P470" i="10" s="1"/>
  <c r="F476" i="10"/>
  <c r="O476" i="10" s="1"/>
  <c r="P476" i="10" s="1"/>
  <c r="F486" i="10"/>
  <c r="O486" i="10" s="1"/>
  <c r="P486" i="10" s="1"/>
  <c r="F492" i="10"/>
  <c r="O492" i="10" s="1"/>
  <c r="P492" i="10" s="1"/>
  <c r="F502" i="10"/>
  <c r="O502" i="10" s="1"/>
  <c r="P502" i="10" s="1"/>
  <c r="F508" i="10"/>
  <c r="O508" i="10" s="1"/>
  <c r="P508" i="10" s="1"/>
  <c r="F514" i="10"/>
  <c r="O514" i="10" s="1"/>
  <c r="P514" i="10" s="1"/>
  <c r="F556" i="10"/>
  <c r="O556" i="10" s="1"/>
  <c r="P556" i="10" s="1"/>
  <c r="F562" i="10"/>
  <c r="O562" i="10" s="1"/>
  <c r="P562" i="10" s="1"/>
  <c r="F588" i="10"/>
  <c r="O588" i="10" s="1"/>
  <c r="P588" i="10" s="1"/>
  <c r="F594" i="10"/>
  <c r="O594" i="10" s="1"/>
  <c r="P594" i="10" s="1"/>
  <c r="F620" i="10"/>
  <c r="O620" i="10" s="1"/>
  <c r="P620" i="10" s="1"/>
  <c r="F626" i="10"/>
  <c r="O626" i="10" s="1"/>
  <c r="P626" i="10" s="1"/>
  <c r="F652" i="10"/>
  <c r="O652" i="10" s="1"/>
  <c r="P652" i="10" s="1"/>
  <c r="F658" i="10"/>
  <c r="O658" i="10" s="1"/>
  <c r="P658" i="10" s="1"/>
  <c r="F684" i="10"/>
  <c r="O684" i="10" s="1"/>
  <c r="P684" i="10" s="1"/>
  <c r="F690" i="10"/>
  <c r="O690" i="10" s="1"/>
  <c r="P690" i="10" s="1"/>
  <c r="F716" i="10"/>
  <c r="O716" i="10" s="1"/>
  <c r="P716" i="10" s="1"/>
  <c r="F722" i="10"/>
  <c r="O722" i="10" s="1"/>
  <c r="P722" i="10" s="1"/>
  <c r="F748" i="10"/>
  <c r="O748" i="10" s="1"/>
  <c r="P748" i="10" s="1"/>
  <c r="F754" i="10"/>
  <c r="O754" i="10" s="1"/>
  <c r="P754" i="10" s="1"/>
  <c r="F780" i="10"/>
  <c r="O780" i="10" s="1"/>
  <c r="P780" i="10" s="1"/>
  <c r="F802" i="10"/>
  <c r="O802" i="10" s="1"/>
  <c r="P802" i="10" s="1"/>
  <c r="F816" i="10"/>
  <c r="O816" i="10" s="1"/>
  <c r="P816" i="10" s="1"/>
  <c r="F821" i="10"/>
  <c r="O821" i="10" s="1"/>
  <c r="P821" i="10" s="1"/>
  <c r="F835" i="10"/>
  <c r="O835" i="10" s="1"/>
  <c r="P835" i="10" s="1"/>
  <c r="F853" i="10"/>
  <c r="O853" i="10" s="1"/>
  <c r="P853" i="10" s="1"/>
  <c r="F867" i="10"/>
  <c r="O867" i="10" s="1"/>
  <c r="P867" i="10" s="1"/>
  <c r="F885" i="10"/>
  <c r="O885" i="10" s="1"/>
  <c r="P885" i="10" s="1"/>
  <c r="F899" i="10"/>
  <c r="O899" i="10" s="1"/>
  <c r="P899" i="10" s="1"/>
  <c r="F917" i="10"/>
  <c r="O917" i="10" s="1"/>
  <c r="P917" i="10" s="1"/>
  <c r="F931" i="10"/>
  <c r="O931" i="10" s="1"/>
  <c r="P931" i="10" s="1"/>
  <c r="F951" i="10"/>
  <c r="O951" i="10" s="1"/>
  <c r="P951" i="10" s="1"/>
  <c r="F969" i="10"/>
  <c r="O969" i="10" s="1"/>
  <c r="P969" i="10" s="1"/>
  <c r="F983" i="10"/>
  <c r="O983" i="10" s="1"/>
  <c r="P983" i="10" s="1"/>
  <c r="F1001" i="10"/>
  <c r="O1001" i="10" s="1"/>
  <c r="P1001" i="10" s="1"/>
  <c r="F1034" i="10"/>
  <c r="O1034" i="10" s="1"/>
  <c r="P1034" i="10" s="1"/>
  <c r="F1042" i="10"/>
  <c r="O1042" i="10" s="1"/>
  <c r="P1042" i="10" s="1"/>
  <c r="F1048" i="10"/>
  <c r="O1048" i="10" s="1"/>
  <c r="P1048" i="10" s="1"/>
  <c r="F1058" i="10"/>
  <c r="O1058" i="10" s="1"/>
  <c r="P1058" i="10" s="1"/>
  <c r="F1064" i="10"/>
  <c r="O1064" i="10" s="1"/>
  <c r="P1064" i="10" s="1"/>
  <c r="F1074" i="10"/>
  <c r="O1074" i="10" s="1"/>
  <c r="P1074" i="10" s="1"/>
  <c r="F1080" i="10"/>
  <c r="O1080" i="10" s="1"/>
  <c r="P1080" i="10" s="1"/>
  <c r="F1091" i="10"/>
  <c r="O1091" i="10" s="1"/>
  <c r="P1091" i="10" s="1"/>
  <c r="F1098" i="10"/>
  <c r="O1098" i="10" s="1"/>
  <c r="P1098" i="10" s="1"/>
  <c r="F1142" i="10"/>
  <c r="O1142" i="10" s="1"/>
  <c r="P1142" i="10" s="1"/>
  <c r="F1124" i="10"/>
  <c r="O1124" i="10" s="1"/>
  <c r="P1124" i="10" s="1"/>
  <c r="F1145" i="10"/>
  <c r="O1145" i="10" s="1"/>
  <c r="P1145" i="10" s="1"/>
  <c r="F1152" i="10"/>
  <c r="O1152" i="10" s="1"/>
  <c r="P1152" i="10" s="1"/>
  <c r="F1130" i="10"/>
  <c r="O1130" i="10" s="1"/>
  <c r="P1130" i="10" s="1"/>
  <c r="F1162" i="10"/>
  <c r="O1162" i="10" s="1"/>
  <c r="P1162" i="10" s="1"/>
  <c r="F1170" i="10"/>
  <c r="O1170" i="10" s="1"/>
  <c r="P1170" i="10" s="1"/>
  <c r="F1132" i="10"/>
  <c r="O1132" i="10" s="1"/>
  <c r="P1132" i="10" s="1"/>
  <c r="F1157" i="10"/>
  <c r="O1157" i="10" s="1"/>
  <c r="P1157" i="10" s="1"/>
  <c r="F1164" i="10"/>
  <c r="O1164" i="10" s="1"/>
  <c r="P1164" i="10" s="1"/>
  <c r="F41" i="10"/>
  <c r="O41" i="10" s="1"/>
  <c r="P41" i="10" s="1"/>
  <c r="J41" i="10" s="1"/>
  <c r="F61" i="10"/>
  <c r="O61" i="10" s="1"/>
  <c r="P61" i="10" s="1"/>
  <c r="J61" i="10" s="1"/>
  <c r="F87" i="10"/>
  <c r="O87" i="10" s="1"/>
  <c r="P87" i="10" s="1"/>
  <c r="F154" i="10"/>
  <c r="O154" i="10" s="1"/>
  <c r="P154" i="10" s="1"/>
  <c r="F178" i="10"/>
  <c r="O178" i="10" s="1"/>
  <c r="P178" i="10" s="1"/>
  <c r="F210" i="10"/>
  <c r="O210" i="10" s="1"/>
  <c r="P210" i="10" s="1"/>
  <c r="F311" i="10"/>
  <c r="O311" i="10" s="1"/>
  <c r="P311" i="10" s="1"/>
  <c r="F327" i="10"/>
  <c r="O327" i="10" s="1"/>
  <c r="P327" i="10" s="1"/>
  <c r="F354" i="10"/>
  <c r="O354" i="10" s="1"/>
  <c r="P354" i="10" s="1"/>
  <c r="F536" i="10"/>
  <c r="O536" i="10" s="1"/>
  <c r="P536" i="10" s="1"/>
  <c r="F713" i="10"/>
  <c r="O713" i="10" s="1"/>
  <c r="P713" i="10" s="1"/>
  <c r="F734" i="10"/>
  <c r="O734" i="10" s="1"/>
  <c r="P734" i="10" s="1"/>
  <c r="F832" i="10"/>
  <c r="O832" i="10" s="1"/>
  <c r="P832" i="10" s="1"/>
  <c r="F948" i="10"/>
  <c r="O948" i="10" s="1"/>
  <c r="P948" i="10" s="1"/>
  <c r="F1002" i="10"/>
  <c r="O1002" i="10" s="1"/>
  <c r="P1002" i="10" s="1"/>
  <c r="F1087" i="10"/>
  <c r="O1087" i="10" s="1"/>
  <c r="P1087" i="10" s="1"/>
  <c r="F109" i="10"/>
  <c r="O109" i="10" s="1"/>
  <c r="P109" i="10" s="1"/>
  <c r="F141" i="10"/>
  <c r="O141" i="10" s="1"/>
  <c r="P141" i="10" s="1"/>
  <c r="F173" i="10"/>
  <c r="O173" i="10" s="1"/>
  <c r="P173" i="10" s="1"/>
  <c r="F205" i="10"/>
  <c r="O205" i="10" s="1"/>
  <c r="P205" i="10" s="1"/>
  <c r="F237" i="10"/>
  <c r="O237" i="10" s="1"/>
  <c r="P237" i="10" s="1"/>
  <c r="F269" i="10"/>
  <c r="O269" i="10" s="1"/>
  <c r="P269" i="10" s="1"/>
  <c r="F301" i="10"/>
  <c r="O301" i="10" s="1"/>
  <c r="P301" i="10" s="1"/>
  <c r="F333" i="10"/>
  <c r="O333" i="10" s="1"/>
  <c r="P333" i="10" s="1"/>
  <c r="F365" i="10"/>
  <c r="O365" i="10" s="1"/>
  <c r="P365" i="10" s="1"/>
  <c r="F397" i="10"/>
  <c r="O397" i="10" s="1"/>
  <c r="P397" i="10" s="1"/>
  <c r="F429" i="10"/>
  <c r="O429" i="10" s="1"/>
  <c r="P429" i="10" s="1"/>
  <c r="F447" i="10"/>
  <c r="O447" i="10" s="1"/>
  <c r="P447" i="10" s="1"/>
  <c r="F463" i="10"/>
  <c r="O463" i="10" s="1"/>
  <c r="P463" i="10" s="1"/>
  <c r="F479" i="10"/>
  <c r="O479" i="10" s="1"/>
  <c r="P479" i="10" s="1"/>
  <c r="F495" i="10"/>
  <c r="O495" i="10" s="1"/>
  <c r="P495" i="10" s="1"/>
  <c r="F511" i="10"/>
  <c r="O511" i="10" s="1"/>
  <c r="P511" i="10" s="1"/>
  <c r="F516" i="10"/>
  <c r="O516" i="10" s="1"/>
  <c r="P516" i="10" s="1"/>
  <c r="F521" i="10"/>
  <c r="O521" i="10" s="1"/>
  <c r="P521" i="10" s="1"/>
  <c r="F549" i="10"/>
  <c r="O549" i="10" s="1"/>
  <c r="P549" i="10" s="1"/>
  <c r="F563" i="10"/>
  <c r="O563" i="10" s="1"/>
  <c r="P563" i="10" s="1"/>
  <c r="F581" i="10"/>
  <c r="O581" i="10" s="1"/>
  <c r="P581" i="10" s="1"/>
  <c r="F595" i="10"/>
  <c r="O595" i="10" s="1"/>
  <c r="P595" i="10" s="1"/>
  <c r="F613" i="10"/>
  <c r="O613" i="10" s="1"/>
  <c r="P613" i="10" s="1"/>
  <c r="F627" i="10"/>
  <c r="O627" i="10" s="1"/>
  <c r="P627" i="10" s="1"/>
  <c r="F634" i="10"/>
  <c r="O634" i="10" s="1"/>
  <c r="P634" i="10" s="1"/>
  <c r="F660" i="10"/>
  <c r="O660" i="10" s="1"/>
  <c r="P660" i="10" s="1"/>
  <c r="F666" i="10"/>
  <c r="O666" i="10" s="1"/>
  <c r="P666" i="10" s="1"/>
  <c r="F692" i="10"/>
  <c r="O692" i="10" s="1"/>
  <c r="P692" i="10" s="1"/>
  <c r="F698" i="10"/>
  <c r="O698" i="10" s="1"/>
  <c r="P698" i="10" s="1"/>
  <c r="F724" i="10"/>
  <c r="O724" i="10" s="1"/>
  <c r="P724" i="10" s="1"/>
  <c r="F730" i="10"/>
  <c r="O730" i="10" s="1"/>
  <c r="P730" i="10" s="1"/>
  <c r="F756" i="10"/>
  <c r="O756" i="10" s="1"/>
  <c r="P756" i="10" s="1"/>
  <c r="F762" i="10"/>
  <c r="O762" i="10" s="1"/>
  <c r="P762" i="10" s="1"/>
  <c r="F803" i="10"/>
  <c r="O803" i="10" s="1"/>
  <c r="P803" i="10" s="1"/>
  <c r="F808" i="10"/>
  <c r="O808" i="10" s="1"/>
  <c r="P808" i="10" s="1"/>
  <c r="F814" i="10"/>
  <c r="O814" i="10" s="1"/>
  <c r="P814" i="10" s="1"/>
  <c r="F828" i="10"/>
  <c r="O828" i="10" s="1"/>
  <c r="P828" i="10" s="1"/>
  <c r="F834" i="10"/>
  <c r="O834" i="10" s="1"/>
  <c r="P834" i="10" s="1"/>
  <c r="F860" i="10"/>
  <c r="O860" i="10" s="1"/>
  <c r="P860" i="10" s="1"/>
  <c r="F866" i="10"/>
  <c r="O866" i="10" s="1"/>
  <c r="P866" i="10" s="1"/>
  <c r="F892" i="10"/>
  <c r="O892" i="10" s="1"/>
  <c r="P892" i="10" s="1"/>
  <c r="F898" i="10"/>
  <c r="O898" i="10" s="1"/>
  <c r="P898" i="10" s="1"/>
  <c r="F924" i="10"/>
  <c r="O924" i="10" s="1"/>
  <c r="P924" i="10" s="1"/>
  <c r="F930" i="10"/>
  <c r="O930" i="10" s="1"/>
  <c r="P930" i="10" s="1"/>
  <c r="F944" i="10"/>
  <c r="O944" i="10" s="1"/>
  <c r="P944" i="10" s="1"/>
  <c r="F950" i="10"/>
  <c r="O950" i="10" s="1"/>
  <c r="P950" i="10" s="1"/>
  <c r="F976" i="10"/>
  <c r="O976" i="10" s="1"/>
  <c r="P976" i="10" s="1"/>
  <c r="F982" i="10"/>
  <c r="O982" i="10" s="1"/>
  <c r="P982" i="10" s="1"/>
  <c r="F1008" i="10"/>
  <c r="O1008" i="10" s="1"/>
  <c r="P1008" i="10" s="1"/>
  <c r="F1013" i="10"/>
  <c r="O1013" i="10" s="1"/>
  <c r="P1013" i="10" s="1"/>
  <c r="F1035" i="10"/>
  <c r="O1035" i="10" s="1"/>
  <c r="P1035" i="10" s="1"/>
  <c r="F1040" i="10"/>
  <c r="O1040" i="10" s="1"/>
  <c r="P1040" i="10" s="1"/>
  <c r="F1051" i="10"/>
  <c r="O1051" i="10" s="1"/>
  <c r="P1051" i="10" s="1"/>
  <c r="F1067" i="10"/>
  <c r="O1067" i="10" s="1"/>
  <c r="P1067" i="10" s="1"/>
  <c r="F1101" i="10"/>
  <c r="O1101" i="10" s="1"/>
  <c r="P1101" i="10" s="1"/>
  <c r="F17" i="10"/>
  <c r="O17" i="10" s="1"/>
  <c r="P17" i="10" s="1"/>
  <c r="J17" i="10" s="1"/>
  <c r="F57" i="10"/>
  <c r="O57" i="10" s="1"/>
  <c r="P57" i="10" s="1"/>
  <c r="J57" i="10" s="1"/>
  <c r="F82" i="10"/>
  <c r="O82" i="10" s="1"/>
  <c r="P82" i="10" s="1"/>
  <c r="F98" i="10"/>
  <c r="O98" i="10" s="1"/>
  <c r="P98" i="10" s="1"/>
  <c r="F114" i="10"/>
  <c r="O114" i="10" s="1"/>
  <c r="P114" i="10" s="1"/>
  <c r="F130" i="10"/>
  <c r="O130" i="10" s="1"/>
  <c r="P130" i="10" s="1"/>
  <c r="F167" i="10"/>
  <c r="O167" i="10" s="1"/>
  <c r="P167" i="10" s="1"/>
  <c r="F279" i="10"/>
  <c r="O279" i="10" s="1"/>
  <c r="P279" i="10" s="1"/>
  <c r="F343" i="10"/>
  <c r="O343" i="10" s="1"/>
  <c r="P343" i="10" s="1"/>
  <c r="F362" i="10"/>
  <c r="O362" i="10" s="1"/>
  <c r="P362" i="10" s="1"/>
  <c r="F535" i="10"/>
  <c r="O535" i="10" s="1"/>
  <c r="P535" i="10" s="1"/>
  <c r="F553" i="10"/>
  <c r="O553" i="10" s="1"/>
  <c r="P553" i="10" s="1"/>
  <c r="F583" i="10"/>
  <c r="O583" i="10" s="1"/>
  <c r="P583" i="10" s="1"/>
  <c r="F600" i="10"/>
  <c r="O600" i="10" s="1"/>
  <c r="P600" i="10" s="1"/>
  <c r="F670" i="10"/>
  <c r="O670" i="10" s="1"/>
  <c r="P670" i="10" s="1"/>
  <c r="F686" i="10"/>
  <c r="O686" i="10" s="1"/>
  <c r="P686" i="10" s="1"/>
  <c r="F743" i="10"/>
  <c r="O743" i="10" s="1"/>
  <c r="P743" i="10" s="1"/>
  <c r="F776" i="10"/>
  <c r="O776" i="10" s="1"/>
  <c r="P776" i="10" s="1"/>
  <c r="F863" i="10"/>
  <c r="O863" i="10" s="1"/>
  <c r="P863" i="10" s="1"/>
  <c r="F879" i="10"/>
  <c r="O879" i="10" s="1"/>
  <c r="P879" i="10" s="1"/>
  <c r="F980" i="10"/>
  <c r="O980" i="10" s="1"/>
  <c r="P980" i="10" s="1"/>
  <c r="F996" i="10"/>
  <c r="O996" i="10" s="1"/>
  <c r="P996" i="10" s="1"/>
  <c r="F1094" i="10"/>
  <c r="O1094" i="10" s="1"/>
  <c r="P1094" i="10" s="1"/>
  <c r="F1110" i="10"/>
  <c r="O1110" i="10" s="1"/>
  <c r="P1110" i="10" s="1"/>
  <c r="F14" i="10"/>
  <c r="O14" i="10" s="1"/>
  <c r="P14" i="10" s="1"/>
  <c r="J14" i="10" s="1"/>
  <c r="F18" i="10"/>
  <c r="O18" i="10" s="1"/>
  <c r="P18" i="10" s="1"/>
  <c r="J18" i="10" s="1"/>
  <c r="F22" i="10"/>
  <c r="O22" i="10" s="1"/>
  <c r="P22" i="10" s="1"/>
  <c r="J22" i="10" s="1"/>
  <c r="F26" i="10"/>
  <c r="O26" i="10" s="1"/>
  <c r="P26" i="10" s="1"/>
  <c r="J26" i="10" s="1"/>
  <c r="F30" i="10"/>
  <c r="O30" i="10" s="1"/>
  <c r="P30" i="10" s="1"/>
  <c r="J30" i="10" s="1"/>
  <c r="F34" i="10"/>
  <c r="O34" i="10" s="1"/>
  <c r="P34" i="10" s="1"/>
  <c r="J34" i="10" s="1"/>
  <c r="F38" i="10"/>
  <c r="O38" i="10" s="1"/>
  <c r="P38" i="10" s="1"/>
  <c r="J38" i="10" s="1"/>
  <c r="F42" i="10"/>
  <c r="O42" i="10" s="1"/>
  <c r="P42" i="10" s="1"/>
  <c r="J42" i="10" s="1"/>
  <c r="F46" i="10"/>
  <c r="O46" i="10" s="1"/>
  <c r="P46" i="10" s="1"/>
  <c r="J46" i="10" s="1"/>
  <c r="F50" i="10"/>
  <c r="O50" i="10" s="1"/>
  <c r="P50" i="10" s="1"/>
  <c r="J50" i="10" s="1"/>
  <c r="F54" i="10"/>
  <c r="O54" i="10" s="1"/>
  <c r="P54" i="10" s="1"/>
  <c r="J54" i="10" s="1"/>
  <c r="F58" i="10"/>
  <c r="O58" i="10" s="1"/>
  <c r="P58" i="10" s="1"/>
  <c r="J58" i="10" s="1"/>
  <c r="F62" i="10"/>
  <c r="O62" i="10" s="1"/>
  <c r="P62" i="10" s="1"/>
  <c r="J62" i="10" s="1"/>
  <c r="F66" i="10"/>
  <c r="O66" i="10" s="1"/>
  <c r="P66" i="10" s="1"/>
  <c r="J66" i="10" s="1"/>
  <c r="F70" i="10"/>
  <c r="O70" i="10" s="1"/>
  <c r="P70" i="10" s="1"/>
  <c r="J70" i="10" s="1"/>
  <c r="F74" i="10"/>
  <c r="O74" i="10" s="1"/>
  <c r="P74" i="10" s="1"/>
  <c r="J74" i="10" s="1"/>
  <c r="F78" i="10"/>
  <c r="O78" i="10" s="1"/>
  <c r="P78" i="10" s="1"/>
  <c r="F94" i="10"/>
  <c r="O94" i="10" s="1"/>
  <c r="P94" i="10" s="1"/>
  <c r="F110" i="10"/>
  <c r="O110" i="10" s="1"/>
  <c r="P110" i="10" s="1"/>
  <c r="F126" i="10"/>
  <c r="O126" i="10" s="1"/>
  <c r="P126" i="10" s="1"/>
  <c r="F142" i="10"/>
  <c r="O142" i="10" s="1"/>
  <c r="P142" i="10" s="1"/>
  <c r="F158" i="10"/>
  <c r="O158" i="10" s="1"/>
  <c r="P158" i="10" s="1"/>
  <c r="F174" i="10"/>
  <c r="O174" i="10" s="1"/>
  <c r="P174" i="10" s="1"/>
  <c r="F190" i="10"/>
  <c r="O190" i="10" s="1"/>
  <c r="P190" i="10" s="1"/>
  <c r="F206" i="10"/>
  <c r="O206" i="10" s="1"/>
  <c r="P206" i="10" s="1"/>
  <c r="F222" i="10"/>
  <c r="O222" i="10" s="1"/>
  <c r="P222" i="10" s="1"/>
  <c r="F238" i="10"/>
  <c r="O238" i="10" s="1"/>
  <c r="P238" i="10" s="1"/>
  <c r="F254" i="10"/>
  <c r="O254" i="10" s="1"/>
  <c r="P254" i="10" s="1"/>
  <c r="F270" i="10"/>
  <c r="O270" i="10" s="1"/>
  <c r="P270" i="10" s="1"/>
  <c r="F286" i="10"/>
  <c r="O286" i="10" s="1"/>
  <c r="P286" i="10" s="1"/>
  <c r="F302" i="10"/>
  <c r="O302" i="10" s="1"/>
  <c r="P302" i="10" s="1"/>
  <c r="F318" i="10"/>
  <c r="O318" i="10" s="1"/>
  <c r="P318" i="10" s="1"/>
  <c r="F334" i="10"/>
  <c r="O334" i="10" s="1"/>
  <c r="P334" i="10" s="1"/>
  <c r="F350" i="10"/>
  <c r="O350" i="10" s="1"/>
  <c r="P350" i="10" s="1"/>
  <c r="F366" i="10"/>
  <c r="O366" i="10" s="1"/>
  <c r="P366" i="10" s="1"/>
  <c r="F382" i="10"/>
  <c r="O382" i="10" s="1"/>
  <c r="P382" i="10" s="1"/>
  <c r="F398" i="10"/>
  <c r="O398" i="10" s="1"/>
  <c r="P398" i="10" s="1"/>
  <c r="F414" i="10"/>
  <c r="O414" i="10" s="1"/>
  <c r="P414" i="10" s="1"/>
  <c r="F430" i="10"/>
  <c r="O430" i="10" s="1"/>
  <c r="P430" i="10" s="1"/>
  <c r="F545" i="10"/>
  <c r="O545" i="10" s="1"/>
  <c r="P545" i="10" s="1"/>
  <c r="F559" i="10"/>
  <c r="O559" i="10" s="1"/>
  <c r="P559" i="10" s="1"/>
  <c r="F577" i="10"/>
  <c r="O577" i="10" s="1"/>
  <c r="P577" i="10" s="1"/>
  <c r="F591" i="10"/>
  <c r="O591" i="10" s="1"/>
  <c r="P591" i="10" s="1"/>
  <c r="F609" i="10"/>
  <c r="O609" i="10" s="1"/>
  <c r="P609" i="10" s="1"/>
  <c r="F623" i="10"/>
  <c r="O623" i="10" s="1"/>
  <c r="P623" i="10" s="1"/>
  <c r="F630" i="10"/>
  <c r="O630" i="10" s="1"/>
  <c r="P630" i="10" s="1"/>
  <c r="F656" i="10"/>
  <c r="O656" i="10" s="1"/>
  <c r="P656" i="10" s="1"/>
  <c r="F662" i="10"/>
  <c r="O662" i="10" s="1"/>
  <c r="P662" i="10" s="1"/>
  <c r="F688" i="10"/>
  <c r="O688" i="10" s="1"/>
  <c r="P688" i="10" s="1"/>
  <c r="F694" i="10"/>
  <c r="O694" i="10" s="1"/>
  <c r="P694" i="10" s="1"/>
  <c r="F720" i="10"/>
  <c r="O720" i="10" s="1"/>
  <c r="P720" i="10" s="1"/>
  <c r="F726" i="10"/>
  <c r="O726" i="10" s="1"/>
  <c r="P726" i="10" s="1"/>
  <c r="F752" i="10"/>
  <c r="O752" i="10" s="1"/>
  <c r="P752" i="10" s="1"/>
  <c r="F758" i="10"/>
  <c r="O758" i="10" s="1"/>
  <c r="P758" i="10" s="1"/>
  <c r="F784" i="10"/>
  <c r="O784" i="10" s="1"/>
  <c r="P784" i="10" s="1"/>
  <c r="F795" i="10"/>
  <c r="O795" i="10" s="1"/>
  <c r="P795" i="10" s="1"/>
  <c r="F823" i="10"/>
  <c r="O823" i="10" s="1"/>
  <c r="P823" i="10" s="1"/>
  <c r="F841" i="10"/>
  <c r="O841" i="10" s="1"/>
  <c r="P841" i="10" s="1"/>
  <c r="F855" i="10"/>
  <c r="O855" i="10" s="1"/>
  <c r="P855" i="10" s="1"/>
  <c r="F873" i="10"/>
  <c r="O873" i="10" s="1"/>
  <c r="P873" i="10" s="1"/>
  <c r="F887" i="10"/>
  <c r="O887" i="10" s="1"/>
  <c r="P887" i="10" s="1"/>
  <c r="F905" i="10"/>
  <c r="O905" i="10" s="1"/>
  <c r="P905" i="10" s="1"/>
  <c r="F919" i="10"/>
  <c r="O919" i="10" s="1"/>
  <c r="P919" i="10" s="1"/>
  <c r="F956" i="10"/>
  <c r="O956" i="10" s="1"/>
  <c r="P956" i="10" s="1"/>
  <c r="F962" i="10"/>
  <c r="O962" i="10" s="1"/>
  <c r="P962" i="10" s="1"/>
  <c r="F988" i="10"/>
  <c r="O988" i="10" s="1"/>
  <c r="P988" i="10" s="1"/>
  <c r="F994" i="10"/>
  <c r="O994" i="10" s="1"/>
  <c r="P994" i="10" s="1"/>
  <c r="F1014" i="10"/>
  <c r="O1014" i="10" s="1"/>
  <c r="P1014" i="10" s="1"/>
  <c r="F1033" i="10"/>
  <c r="O1033" i="10" s="1"/>
  <c r="P1033" i="10" s="1"/>
  <c r="F1096" i="10"/>
  <c r="O1096" i="10" s="1"/>
  <c r="P1096" i="10" s="1"/>
  <c r="F1106" i="10"/>
  <c r="O1106" i="10" s="1"/>
  <c r="P1106" i="10" s="1"/>
  <c r="F1114" i="10"/>
  <c r="O1114" i="10" s="1"/>
  <c r="P1114" i="10" s="1"/>
  <c r="F15" i="10"/>
  <c r="O15" i="10" s="1"/>
  <c r="P15" i="10" s="1"/>
  <c r="J15" i="10" s="1"/>
  <c r="F31" i="10"/>
  <c r="O31" i="10" s="1"/>
  <c r="P31" i="10" s="1"/>
  <c r="J31" i="10" s="1"/>
  <c r="F47" i="10"/>
  <c r="O47" i="10" s="1"/>
  <c r="P47" i="10" s="1"/>
  <c r="J47" i="10" s="1"/>
  <c r="F67" i="10"/>
  <c r="O67" i="10" s="1"/>
  <c r="P67" i="10" s="1"/>
  <c r="J67" i="10" s="1"/>
  <c r="F111" i="10"/>
  <c r="O111" i="10" s="1"/>
  <c r="P111" i="10" s="1"/>
  <c r="F127" i="10"/>
  <c r="O127" i="10" s="1"/>
  <c r="P127" i="10" s="1"/>
  <c r="F138" i="10"/>
  <c r="O138" i="10" s="1"/>
  <c r="P138" i="10" s="1"/>
  <c r="F175" i="10"/>
  <c r="O175" i="10" s="1"/>
  <c r="P175" i="10" s="1"/>
  <c r="F319" i="10"/>
  <c r="O319" i="10" s="1"/>
  <c r="P319" i="10" s="1"/>
  <c r="F335" i="10"/>
  <c r="O335" i="10" s="1"/>
  <c r="P335" i="10" s="1"/>
  <c r="F351" i="10"/>
  <c r="O351" i="10" s="1"/>
  <c r="P351" i="10" s="1"/>
  <c r="F367" i="10"/>
  <c r="O367" i="10" s="1"/>
  <c r="P367" i="10" s="1"/>
  <c r="F399" i="10"/>
  <c r="O399" i="10" s="1"/>
  <c r="P399" i="10" s="1"/>
  <c r="F531" i="10"/>
  <c r="O531" i="10" s="1"/>
  <c r="P531" i="10" s="1"/>
  <c r="F599" i="10"/>
  <c r="O599" i="10" s="1"/>
  <c r="P599" i="10" s="1"/>
  <c r="F617" i="10"/>
  <c r="O617" i="10" s="1"/>
  <c r="P617" i="10" s="1"/>
  <c r="F638" i="10"/>
  <c r="O638" i="10" s="1"/>
  <c r="P638" i="10" s="1"/>
  <c r="F681" i="10"/>
  <c r="O681" i="10" s="1"/>
  <c r="P681" i="10" s="1"/>
  <c r="F761" i="10"/>
  <c r="O761" i="10" s="1"/>
  <c r="P761" i="10" s="1"/>
  <c r="F854" i="10"/>
  <c r="O854" i="10" s="1"/>
  <c r="P854" i="10" s="1"/>
  <c r="F896" i="10"/>
  <c r="O896" i="10" s="1"/>
  <c r="P896" i="10" s="1"/>
  <c r="F938" i="10"/>
  <c r="O938" i="10" s="1"/>
  <c r="P938" i="10" s="1"/>
  <c r="F954" i="10"/>
  <c r="O954" i="10" s="1"/>
  <c r="P954" i="10" s="1"/>
  <c r="F997" i="10"/>
  <c r="O997" i="10" s="1"/>
  <c r="P997" i="10" s="1"/>
  <c r="F1016" i="10"/>
  <c r="O1016" i="10" s="1"/>
  <c r="P1016" i="10" s="1"/>
  <c r="F97" i="10"/>
  <c r="O97" i="10" s="1"/>
  <c r="P97" i="10" s="1"/>
  <c r="F129" i="10"/>
  <c r="O129" i="10" s="1"/>
  <c r="P129" i="10" s="1"/>
  <c r="F161" i="10"/>
  <c r="O161" i="10" s="1"/>
  <c r="P161" i="10" s="1"/>
  <c r="F193" i="10"/>
  <c r="O193" i="10" s="1"/>
  <c r="P193" i="10" s="1"/>
  <c r="F225" i="10"/>
  <c r="O225" i="10" s="1"/>
  <c r="P225" i="10" s="1"/>
  <c r="F257" i="10"/>
  <c r="O257" i="10" s="1"/>
  <c r="P257" i="10" s="1"/>
  <c r="F289" i="10"/>
  <c r="O289" i="10" s="1"/>
  <c r="P289" i="10" s="1"/>
  <c r="F321" i="10"/>
  <c r="O321" i="10" s="1"/>
  <c r="P321" i="10" s="1"/>
  <c r="F353" i="10"/>
  <c r="O353" i="10" s="1"/>
  <c r="P353" i="10" s="1"/>
  <c r="F385" i="10"/>
  <c r="O385" i="10" s="1"/>
  <c r="P385" i="10" s="1"/>
  <c r="F417" i="10"/>
  <c r="O417" i="10" s="1"/>
  <c r="P417" i="10" s="1"/>
  <c r="F451" i="10"/>
  <c r="O451" i="10" s="1"/>
  <c r="P451" i="10" s="1"/>
  <c r="F467" i="10"/>
  <c r="O467" i="10" s="1"/>
  <c r="P467" i="10" s="1"/>
  <c r="F483" i="10"/>
  <c r="O483" i="10" s="1"/>
  <c r="P483" i="10" s="1"/>
  <c r="F499" i="10"/>
  <c r="O499" i="10" s="1"/>
  <c r="P499" i="10" s="1"/>
  <c r="F539" i="10"/>
  <c r="O539" i="10" s="1"/>
  <c r="P539" i="10" s="1"/>
  <c r="F557" i="10"/>
  <c r="O557" i="10" s="1"/>
  <c r="P557" i="10" s="1"/>
  <c r="F571" i="10"/>
  <c r="O571" i="10" s="1"/>
  <c r="P571" i="10" s="1"/>
  <c r="F589" i="10"/>
  <c r="O589" i="10" s="1"/>
  <c r="P589" i="10" s="1"/>
  <c r="F603" i="10"/>
  <c r="O603" i="10" s="1"/>
  <c r="P603" i="10" s="1"/>
  <c r="F621" i="10"/>
  <c r="O621" i="10" s="1"/>
  <c r="P621" i="10" s="1"/>
  <c r="F635" i="10"/>
  <c r="O635" i="10" s="1"/>
  <c r="P635" i="10" s="1"/>
  <c r="F653" i="10"/>
  <c r="O653" i="10" s="1"/>
  <c r="P653" i="10" s="1"/>
  <c r="F667" i="10"/>
  <c r="O667" i="10" s="1"/>
  <c r="P667" i="10" s="1"/>
  <c r="F685" i="10"/>
  <c r="O685" i="10" s="1"/>
  <c r="P685" i="10" s="1"/>
  <c r="F699" i="10"/>
  <c r="O699" i="10" s="1"/>
  <c r="P699" i="10" s="1"/>
  <c r="F717" i="10"/>
  <c r="O717" i="10" s="1"/>
  <c r="P717" i="10" s="1"/>
  <c r="F731" i="10"/>
  <c r="O731" i="10" s="1"/>
  <c r="P731" i="10" s="1"/>
  <c r="F749" i="10"/>
  <c r="O749" i="10" s="1"/>
  <c r="P749" i="10" s="1"/>
  <c r="F763" i="10"/>
  <c r="O763" i="10" s="1"/>
  <c r="P763" i="10" s="1"/>
  <c r="F781" i="10"/>
  <c r="O781" i="10" s="1"/>
  <c r="P781" i="10" s="1"/>
  <c r="F836" i="10"/>
  <c r="O836" i="10" s="1"/>
  <c r="P836" i="10" s="1"/>
  <c r="F842" i="10"/>
  <c r="O842" i="10" s="1"/>
  <c r="P842" i="10" s="1"/>
  <c r="F868" i="10"/>
  <c r="O868" i="10" s="1"/>
  <c r="P868" i="10" s="1"/>
  <c r="F874" i="10"/>
  <c r="O874" i="10" s="1"/>
  <c r="P874" i="10" s="1"/>
  <c r="F900" i="10"/>
  <c r="O900" i="10" s="1"/>
  <c r="P900" i="10" s="1"/>
  <c r="F906" i="10"/>
  <c r="O906" i="10" s="1"/>
  <c r="P906" i="10" s="1"/>
  <c r="F932" i="10"/>
  <c r="O932" i="10" s="1"/>
  <c r="P932" i="10" s="1"/>
  <c r="F952" i="10"/>
  <c r="O952" i="10" s="1"/>
  <c r="P952" i="10" s="1"/>
  <c r="F958" i="10"/>
  <c r="O958" i="10" s="1"/>
  <c r="P958" i="10" s="1"/>
  <c r="F984" i="10"/>
  <c r="O984" i="10" s="1"/>
  <c r="P984" i="10" s="1"/>
  <c r="F990" i="10"/>
  <c r="O990" i="10" s="1"/>
  <c r="P990" i="10" s="1"/>
  <c r="F1010" i="10"/>
  <c r="O1010" i="10" s="1"/>
  <c r="P1010" i="10" s="1"/>
  <c r="F1023" i="10"/>
  <c r="O1023" i="10" s="1"/>
  <c r="P1023" i="10" s="1"/>
  <c r="F1055" i="10"/>
  <c r="O1055" i="10" s="1"/>
  <c r="P1055" i="10" s="1"/>
  <c r="F1071" i="10"/>
  <c r="O1071" i="10" s="1"/>
  <c r="P1071" i="10" s="1"/>
  <c r="F1092" i="10"/>
  <c r="O1092" i="10" s="1"/>
  <c r="P1092" i="10" s="1"/>
  <c r="F1121" i="10"/>
  <c r="O1121" i="10" s="1"/>
  <c r="P1121" i="10" s="1"/>
  <c r="F1134" i="10"/>
  <c r="O1134" i="10" s="1"/>
  <c r="P1134" i="10" s="1"/>
  <c r="F1166" i="10"/>
  <c r="O1166" i="10" s="1"/>
  <c r="P1166" i="10" s="1"/>
  <c r="F1118" i="10"/>
  <c r="O1118" i="10" s="1"/>
  <c r="P1118" i="10" s="1"/>
  <c r="F1128" i="10"/>
  <c r="O1128" i="10" s="1"/>
  <c r="P1128" i="10" s="1"/>
  <c r="F1153" i="10"/>
  <c r="O1153" i="10" s="1"/>
  <c r="P1153" i="10" s="1"/>
  <c r="F1160" i="10"/>
  <c r="O1160" i="10" s="1"/>
  <c r="P1160" i="10" s="1"/>
  <c r="F1154" i="10"/>
  <c r="O1154" i="10" s="1"/>
  <c r="P1154" i="10" s="1"/>
  <c r="F1171" i="10"/>
  <c r="O1171" i="10" s="1"/>
  <c r="P1171" i="10" s="1"/>
  <c r="F1133" i="10"/>
  <c r="O1133" i="10" s="1"/>
  <c r="P1133" i="10" s="1"/>
  <c r="F1140" i="10"/>
  <c r="O1140" i="10" s="1"/>
  <c r="P1140" i="10" s="1"/>
  <c r="F1165" i="10"/>
  <c r="O1165" i="10" s="1"/>
  <c r="P1165" i="10" s="1"/>
  <c r="F29" i="10"/>
  <c r="O29" i="10" s="1"/>
  <c r="P29" i="10" s="1"/>
  <c r="J29" i="10" s="1"/>
  <c r="F45" i="10"/>
  <c r="O45" i="10" s="1"/>
  <c r="P45" i="10" s="1"/>
  <c r="J45" i="10" s="1"/>
  <c r="F65" i="10"/>
  <c r="O65" i="10" s="1"/>
  <c r="P65" i="10" s="1"/>
  <c r="J65" i="10" s="1"/>
  <c r="F90" i="10"/>
  <c r="O90" i="10" s="1"/>
  <c r="P90" i="10" s="1"/>
  <c r="F231" i="10"/>
  <c r="O231" i="10" s="1"/>
  <c r="P231" i="10" s="1"/>
  <c r="F247" i="10"/>
  <c r="O247" i="10" s="1"/>
  <c r="P247" i="10" s="1"/>
  <c r="F263" i="10"/>
  <c r="O263" i="10" s="1"/>
  <c r="P263" i="10" s="1"/>
  <c r="F375" i="10"/>
  <c r="O375" i="10" s="1"/>
  <c r="P375" i="10" s="1"/>
  <c r="F391" i="10"/>
  <c r="O391" i="10" s="1"/>
  <c r="P391" i="10" s="1"/>
  <c r="F402" i="10"/>
  <c r="O402" i="10" s="1"/>
  <c r="P402" i="10" s="1"/>
  <c r="F423" i="10"/>
  <c r="O423" i="10" s="1"/>
  <c r="P423" i="10" s="1"/>
  <c r="F523" i="10"/>
  <c r="O523" i="10" s="1"/>
  <c r="P523" i="10" s="1"/>
  <c r="F615" i="10"/>
  <c r="O615" i="10" s="1"/>
  <c r="P615" i="10" s="1"/>
  <c r="F632" i="10"/>
  <c r="O632" i="10" s="1"/>
  <c r="P632" i="10" s="1"/>
  <c r="F696" i="10"/>
  <c r="O696" i="10" s="1"/>
  <c r="P696" i="10" s="1"/>
  <c r="F759" i="10"/>
  <c r="O759" i="10" s="1"/>
  <c r="P759" i="10" s="1"/>
  <c r="F777" i="10"/>
  <c r="O777" i="10" s="1"/>
  <c r="P777" i="10" s="1"/>
  <c r="F880" i="10"/>
  <c r="O880" i="10" s="1"/>
  <c r="P880" i="10" s="1"/>
  <c r="F895" i="10"/>
  <c r="O895" i="10" s="1"/>
  <c r="P895" i="10" s="1"/>
  <c r="F913" i="10"/>
  <c r="O913" i="10" s="1"/>
  <c r="P913" i="10" s="1"/>
  <c r="F929" i="10"/>
  <c r="O929" i="10" s="1"/>
  <c r="P929" i="10" s="1"/>
  <c r="F970" i="10"/>
  <c r="O970" i="10" s="1"/>
  <c r="P970" i="10" s="1"/>
  <c r="F986" i="10"/>
  <c r="O986" i="10" s="1"/>
  <c r="P986" i="10" s="1"/>
  <c r="F1027" i="10"/>
  <c r="O1027" i="10" s="1"/>
  <c r="P1027" i="10" s="1"/>
  <c r="F1115" i="10"/>
  <c r="O1115" i="10" s="1"/>
  <c r="P1115" i="10" s="1"/>
  <c r="F101" i="10"/>
  <c r="O101" i="10" s="1"/>
  <c r="P101" i="10" s="1"/>
  <c r="F133" i="10"/>
  <c r="O133" i="10" s="1"/>
  <c r="P133" i="10" s="1"/>
  <c r="F165" i="10"/>
  <c r="O165" i="10" s="1"/>
  <c r="P165" i="10" s="1"/>
  <c r="F197" i="10"/>
  <c r="O197" i="10" s="1"/>
  <c r="P197" i="10" s="1"/>
  <c r="F229" i="10"/>
  <c r="O229" i="10" s="1"/>
  <c r="P229" i="10" s="1"/>
  <c r="F261" i="10"/>
  <c r="O261" i="10" s="1"/>
  <c r="P261" i="10" s="1"/>
  <c r="F293" i="10"/>
  <c r="O293" i="10" s="1"/>
  <c r="P293" i="10" s="1"/>
  <c r="F325" i="10"/>
  <c r="O325" i="10" s="1"/>
  <c r="P325" i="10" s="1"/>
  <c r="F357" i="10"/>
  <c r="O357" i="10" s="1"/>
  <c r="P357" i="10" s="1"/>
  <c r="F389" i="10"/>
  <c r="O389" i="10" s="1"/>
  <c r="P389" i="10" s="1"/>
  <c r="F421" i="10"/>
  <c r="O421" i="10" s="1"/>
  <c r="P421" i="10" s="1"/>
  <c r="F439" i="10"/>
  <c r="O439" i="10" s="1"/>
  <c r="P439" i="10" s="1"/>
  <c r="F443" i="10"/>
  <c r="O443" i="10" s="1"/>
  <c r="P443" i="10" s="1"/>
  <c r="F448" i="10"/>
  <c r="O448" i="10" s="1"/>
  <c r="P448" i="10" s="1"/>
  <c r="F458" i="10"/>
  <c r="O458" i="10" s="1"/>
  <c r="P458" i="10" s="1"/>
  <c r="F464" i="10"/>
  <c r="O464" i="10" s="1"/>
  <c r="P464" i="10" s="1"/>
  <c r="F474" i="10"/>
  <c r="O474" i="10" s="1"/>
  <c r="P474" i="10" s="1"/>
  <c r="F480" i="10"/>
  <c r="O480" i="10" s="1"/>
  <c r="P480" i="10" s="1"/>
  <c r="F490" i="10"/>
  <c r="O490" i="10" s="1"/>
  <c r="P490" i="10" s="1"/>
  <c r="F496" i="10"/>
  <c r="O496" i="10" s="1"/>
  <c r="P496" i="10" s="1"/>
  <c r="F506" i="10"/>
  <c r="O506" i="10" s="1"/>
  <c r="P506" i="10" s="1"/>
  <c r="F512" i="10"/>
  <c r="O512" i="10" s="1"/>
  <c r="P512" i="10" s="1"/>
  <c r="F538" i="10"/>
  <c r="O538" i="10" s="1"/>
  <c r="P538" i="10" s="1"/>
  <c r="F564" i="10"/>
  <c r="O564" i="10" s="1"/>
  <c r="P564" i="10" s="1"/>
  <c r="F570" i="10"/>
  <c r="O570" i="10" s="1"/>
  <c r="P570" i="10" s="1"/>
  <c r="F596" i="10"/>
  <c r="O596" i="10" s="1"/>
  <c r="P596" i="10" s="1"/>
  <c r="F602" i="10"/>
  <c r="O602" i="10" s="1"/>
  <c r="P602" i="10" s="1"/>
  <c r="F628" i="10"/>
  <c r="O628" i="10" s="1"/>
  <c r="P628" i="10" s="1"/>
  <c r="F643" i="10"/>
  <c r="O643" i="10" s="1"/>
  <c r="P643" i="10" s="1"/>
  <c r="F661" i="10"/>
  <c r="O661" i="10" s="1"/>
  <c r="P661" i="10" s="1"/>
  <c r="F675" i="10"/>
  <c r="O675" i="10" s="1"/>
  <c r="P675" i="10" s="1"/>
  <c r="F693" i="10"/>
  <c r="O693" i="10" s="1"/>
  <c r="P693" i="10" s="1"/>
  <c r="F707" i="10"/>
  <c r="O707" i="10" s="1"/>
  <c r="P707" i="10" s="1"/>
  <c r="F725" i="10"/>
  <c r="O725" i="10" s="1"/>
  <c r="P725" i="10" s="1"/>
  <c r="F739" i="10"/>
  <c r="O739" i="10" s="1"/>
  <c r="P739" i="10" s="1"/>
  <c r="F757" i="10"/>
  <c r="O757" i="10" s="1"/>
  <c r="P757" i="10" s="1"/>
  <c r="F771" i="10"/>
  <c r="O771" i="10" s="1"/>
  <c r="P771" i="10" s="1"/>
  <c r="F799" i="10"/>
  <c r="O799" i="10" s="1"/>
  <c r="P799" i="10" s="1"/>
  <c r="F804" i="10"/>
  <c r="O804" i="10" s="1"/>
  <c r="P804" i="10" s="1"/>
  <c r="F809" i="10"/>
  <c r="O809" i="10" s="1"/>
  <c r="P809" i="10" s="1"/>
  <c r="F829" i="10"/>
  <c r="O829" i="10" s="1"/>
  <c r="P829" i="10" s="1"/>
  <c r="F843" i="10"/>
  <c r="O843" i="10" s="1"/>
  <c r="P843" i="10" s="1"/>
  <c r="F861" i="10"/>
  <c r="O861" i="10" s="1"/>
  <c r="P861" i="10" s="1"/>
  <c r="F875" i="10"/>
  <c r="O875" i="10" s="1"/>
  <c r="P875" i="10" s="1"/>
  <c r="F893" i="10"/>
  <c r="O893" i="10" s="1"/>
  <c r="P893" i="10" s="1"/>
  <c r="F907" i="10"/>
  <c r="O907" i="10" s="1"/>
  <c r="P907" i="10" s="1"/>
  <c r="F925" i="10"/>
  <c r="O925" i="10" s="1"/>
  <c r="P925" i="10" s="1"/>
  <c r="F945" i="10"/>
  <c r="O945" i="10" s="1"/>
  <c r="P945" i="10" s="1"/>
  <c r="F959" i="10"/>
  <c r="O959" i="10" s="1"/>
  <c r="P959" i="10" s="1"/>
  <c r="F977" i="10"/>
  <c r="O977" i="10" s="1"/>
  <c r="P977" i="10" s="1"/>
  <c r="F991" i="10"/>
  <c r="O991" i="10" s="1"/>
  <c r="P991" i="10" s="1"/>
  <c r="F1022" i="10"/>
  <c r="O1022" i="10" s="1"/>
  <c r="P1022" i="10" s="1"/>
  <c r="F1036" i="10"/>
  <c r="O1036" i="10" s="1"/>
  <c r="P1036" i="10" s="1"/>
  <c r="F1046" i="10"/>
  <c r="O1046" i="10" s="1"/>
  <c r="P1046" i="10" s="1"/>
  <c r="F1052" i="10"/>
  <c r="O1052" i="10" s="1"/>
  <c r="P1052" i="10" s="1"/>
  <c r="F1062" i="10"/>
  <c r="O1062" i="10" s="1"/>
  <c r="P1062" i="10" s="1"/>
  <c r="F1068" i="10"/>
  <c r="O1068" i="10" s="1"/>
  <c r="P1068" i="10" s="1"/>
  <c r="F1078" i="10"/>
  <c r="O1078" i="10" s="1"/>
  <c r="P1078" i="10" s="1"/>
  <c r="F1083" i="10"/>
  <c r="O1083" i="10" s="1"/>
  <c r="P1083" i="10" s="1"/>
  <c r="F1090" i="10"/>
  <c r="O1090" i="10" s="1"/>
  <c r="P1090" i="10" s="1"/>
  <c r="F21" i="10"/>
  <c r="O21" i="10" s="1"/>
  <c r="P21" i="10" s="1"/>
  <c r="J21" i="10" s="1"/>
  <c r="F69" i="10"/>
  <c r="O69" i="10" s="1"/>
  <c r="P69" i="10" s="1"/>
  <c r="J69" i="10" s="1"/>
  <c r="F170" i="10"/>
  <c r="O170" i="10" s="1"/>
  <c r="P170" i="10" s="1"/>
  <c r="F202" i="10"/>
  <c r="O202" i="10" s="1"/>
  <c r="P202" i="10" s="1"/>
  <c r="F234" i="10"/>
  <c r="O234" i="10" s="1"/>
  <c r="P234" i="10" s="1"/>
  <c r="F250" i="10"/>
  <c r="O250" i="10" s="1"/>
  <c r="P250" i="10" s="1"/>
  <c r="F282" i="10"/>
  <c r="O282" i="10" s="1"/>
  <c r="P282" i="10" s="1"/>
  <c r="F314" i="10"/>
  <c r="O314" i="10" s="1"/>
  <c r="P314" i="10" s="1"/>
  <c r="F330" i="10"/>
  <c r="O330" i="10" s="1"/>
  <c r="P330" i="10" s="1"/>
  <c r="F383" i="10"/>
  <c r="O383" i="10" s="1"/>
  <c r="P383" i="10" s="1"/>
  <c r="F431" i="10"/>
  <c r="O431" i="10" s="1"/>
  <c r="P431" i="10" s="1"/>
  <c r="F524" i="10"/>
  <c r="O524" i="10" s="1"/>
  <c r="P524" i="10" s="1"/>
  <c r="F606" i="10"/>
  <c r="O606" i="10" s="1"/>
  <c r="P606" i="10" s="1"/>
  <c r="F654" i="10"/>
  <c r="O654" i="10" s="1"/>
  <c r="P654" i="10" s="1"/>
  <c r="F711" i="10"/>
  <c r="O711" i="10" s="1"/>
  <c r="P711" i="10" s="1"/>
  <c r="F727" i="10"/>
  <c r="O727" i="10" s="1"/>
  <c r="P727" i="10" s="1"/>
  <c r="F760" i="10"/>
  <c r="O760" i="10" s="1"/>
  <c r="P760" i="10" s="1"/>
  <c r="F831" i="10"/>
  <c r="O831" i="10" s="1"/>
  <c r="P831" i="10" s="1"/>
  <c r="F927" i="10"/>
  <c r="O927" i="10" s="1"/>
  <c r="P927" i="10" s="1"/>
  <c r="F965" i="10"/>
  <c r="O965" i="10" s="1"/>
  <c r="P965" i="10" s="1"/>
  <c r="F91" i="10"/>
  <c r="O91" i="10" s="1"/>
  <c r="P91" i="10" s="1"/>
  <c r="F107" i="10"/>
  <c r="O107" i="10" s="1"/>
  <c r="P107" i="10" s="1"/>
  <c r="F123" i="10"/>
  <c r="O123" i="10" s="1"/>
  <c r="P123" i="10" s="1"/>
  <c r="F139" i="10"/>
  <c r="O139" i="10" s="1"/>
  <c r="P139" i="10" s="1"/>
  <c r="F155" i="10"/>
  <c r="O155" i="10" s="1"/>
  <c r="P155" i="10" s="1"/>
  <c r="F171" i="10"/>
  <c r="O171" i="10" s="1"/>
  <c r="P171" i="10" s="1"/>
  <c r="F187" i="10"/>
  <c r="O187" i="10" s="1"/>
  <c r="P187" i="10" s="1"/>
  <c r="F203" i="10"/>
  <c r="O203" i="10" s="1"/>
  <c r="P203" i="10" s="1"/>
  <c r="F219" i="10"/>
  <c r="O219" i="10" s="1"/>
  <c r="P219" i="10" s="1"/>
  <c r="F235" i="10"/>
  <c r="O235" i="10" s="1"/>
  <c r="P235" i="10" s="1"/>
  <c r="F251" i="10"/>
  <c r="O251" i="10" s="1"/>
  <c r="P251" i="10" s="1"/>
  <c r="F267" i="10"/>
  <c r="O267" i="10" s="1"/>
  <c r="P267" i="10" s="1"/>
  <c r="F283" i="10"/>
  <c r="O283" i="10" s="1"/>
  <c r="P283" i="10" s="1"/>
  <c r="F299" i="10"/>
  <c r="O299" i="10" s="1"/>
  <c r="P299" i="10" s="1"/>
  <c r="F315" i="10"/>
  <c r="O315" i="10" s="1"/>
  <c r="P315" i="10" s="1"/>
  <c r="F331" i="10"/>
  <c r="O331" i="10" s="1"/>
  <c r="P331" i="10" s="1"/>
  <c r="F347" i="10"/>
  <c r="O347" i="10" s="1"/>
  <c r="P347" i="10" s="1"/>
  <c r="F363" i="10"/>
  <c r="O363" i="10" s="1"/>
  <c r="P363" i="10" s="1"/>
  <c r="F379" i="10"/>
  <c r="O379" i="10" s="1"/>
  <c r="P379" i="10" s="1"/>
  <c r="F395" i="10"/>
  <c r="O395" i="10" s="1"/>
  <c r="P395" i="10" s="1"/>
  <c r="F411" i="10"/>
  <c r="O411" i="10" s="1"/>
  <c r="P411" i="10" s="1"/>
  <c r="F427" i="10"/>
  <c r="O427" i="10" s="1"/>
  <c r="P427" i="10" s="1"/>
  <c r="F526" i="10"/>
  <c r="O526" i="10" s="1"/>
  <c r="P526" i="10" s="1"/>
  <c r="F534" i="10"/>
  <c r="O534" i="10" s="1"/>
  <c r="P534" i="10" s="1"/>
  <c r="F560" i="10"/>
  <c r="O560" i="10" s="1"/>
  <c r="P560" i="10" s="1"/>
  <c r="F566" i="10"/>
  <c r="O566" i="10" s="1"/>
  <c r="P566" i="10" s="1"/>
  <c r="F592" i="10"/>
  <c r="O592" i="10" s="1"/>
  <c r="P592" i="10" s="1"/>
  <c r="F598" i="10"/>
  <c r="O598" i="10" s="1"/>
  <c r="P598" i="10" s="1"/>
  <c r="F624" i="10"/>
  <c r="O624" i="10" s="1"/>
  <c r="P624" i="10" s="1"/>
  <c r="F639" i="10"/>
  <c r="O639" i="10" s="1"/>
  <c r="P639" i="10" s="1"/>
  <c r="F657" i="10"/>
  <c r="O657" i="10" s="1"/>
  <c r="P657" i="10" s="1"/>
  <c r="F671" i="10"/>
  <c r="O671" i="10" s="1"/>
  <c r="P671" i="10" s="1"/>
  <c r="F689" i="10"/>
  <c r="O689" i="10" s="1"/>
  <c r="P689" i="10" s="1"/>
  <c r="F703" i="10"/>
  <c r="O703" i="10" s="1"/>
  <c r="P703" i="10" s="1"/>
  <c r="F721" i="10"/>
  <c r="O721" i="10" s="1"/>
  <c r="P721" i="10" s="1"/>
  <c r="F735" i="10"/>
  <c r="O735" i="10" s="1"/>
  <c r="P735" i="10" s="1"/>
  <c r="F753" i="10"/>
  <c r="O753" i="10" s="1"/>
  <c r="P753" i="10" s="1"/>
  <c r="F767" i="10"/>
  <c r="O767" i="10" s="1"/>
  <c r="P767" i="10" s="1"/>
  <c r="F791" i="10"/>
  <c r="O791" i="10" s="1"/>
  <c r="P791" i="10" s="1"/>
  <c r="F796" i="10"/>
  <c r="O796" i="10" s="1"/>
  <c r="P796" i="10" s="1"/>
  <c r="F810" i="10"/>
  <c r="O810" i="10" s="1"/>
  <c r="P810" i="10" s="1"/>
  <c r="F824" i="10"/>
  <c r="O824" i="10" s="1"/>
  <c r="P824" i="10" s="1"/>
  <c r="F830" i="10"/>
  <c r="O830" i="10" s="1"/>
  <c r="P830" i="10" s="1"/>
  <c r="F856" i="10"/>
  <c r="O856" i="10" s="1"/>
  <c r="P856" i="10" s="1"/>
  <c r="F862" i="10"/>
  <c r="O862" i="10" s="1"/>
  <c r="P862" i="10" s="1"/>
  <c r="F888" i="10"/>
  <c r="O888" i="10" s="1"/>
  <c r="P888" i="10" s="1"/>
  <c r="F894" i="10"/>
  <c r="O894" i="10" s="1"/>
  <c r="P894" i="10" s="1"/>
  <c r="F920" i="10"/>
  <c r="O920" i="10" s="1"/>
  <c r="P920" i="10" s="1"/>
  <c r="F926" i="10"/>
  <c r="O926" i="10" s="1"/>
  <c r="P926" i="10" s="1"/>
  <c r="F939" i="10"/>
  <c r="O939" i="10" s="1"/>
  <c r="P939" i="10" s="1"/>
  <c r="F957" i="10"/>
  <c r="O957" i="10" s="1"/>
  <c r="P957" i="10" s="1"/>
  <c r="F971" i="10"/>
  <c r="O971" i="10" s="1"/>
  <c r="P971" i="10" s="1"/>
  <c r="F989" i="10"/>
  <c r="O989" i="10" s="1"/>
  <c r="P989" i="10" s="1"/>
  <c r="F1003" i="10"/>
  <c r="O1003" i="10" s="1"/>
  <c r="P1003" i="10" s="1"/>
  <c r="F1097" i="10"/>
  <c r="O1097" i="10" s="1"/>
  <c r="P1097" i="10" s="1"/>
  <c r="F19" i="10"/>
  <c r="O19" i="10" s="1"/>
  <c r="P19" i="10" s="1"/>
  <c r="J19" i="10" s="1"/>
  <c r="F35" i="10"/>
  <c r="O35" i="10" s="1"/>
  <c r="P35" i="10" s="1"/>
  <c r="J35" i="10" s="1"/>
  <c r="F55" i="10"/>
  <c r="O55" i="10" s="1"/>
  <c r="P55" i="10" s="1"/>
  <c r="J55" i="10" s="1"/>
  <c r="F71" i="10"/>
  <c r="O71" i="10" s="1"/>
  <c r="P71" i="10" s="1"/>
  <c r="J71" i="10" s="1"/>
  <c r="F159" i="10"/>
  <c r="O159" i="10" s="1"/>
  <c r="P159" i="10" s="1"/>
  <c r="F183" i="10"/>
  <c r="O183" i="10" s="1"/>
  <c r="P183" i="10" s="1"/>
  <c r="F199" i="10"/>
  <c r="O199" i="10" s="1"/>
  <c r="P199" i="10" s="1"/>
  <c r="F215" i="10"/>
  <c r="O215" i="10" s="1"/>
  <c r="P215" i="10" s="1"/>
  <c r="F370" i="10"/>
  <c r="O370" i="10" s="1"/>
  <c r="P370" i="10" s="1"/>
  <c r="F434" i="10"/>
  <c r="O434" i="10" s="1"/>
  <c r="P434" i="10" s="1"/>
  <c r="F551" i="10"/>
  <c r="O551" i="10" s="1"/>
  <c r="P551" i="10" s="1"/>
  <c r="F567" i="10"/>
  <c r="O567" i="10" s="1"/>
  <c r="P567" i="10" s="1"/>
  <c r="F585" i="10"/>
  <c r="O585" i="10" s="1"/>
  <c r="P585" i="10" s="1"/>
  <c r="F622" i="10"/>
  <c r="O622" i="10" s="1"/>
  <c r="P622" i="10" s="1"/>
  <c r="F665" i="10"/>
  <c r="O665" i="10" s="1"/>
  <c r="P665" i="10" s="1"/>
  <c r="F702" i="10"/>
  <c r="O702" i="10" s="1"/>
  <c r="P702" i="10" s="1"/>
  <c r="F745" i="10"/>
  <c r="O745" i="10" s="1"/>
  <c r="P745" i="10" s="1"/>
  <c r="F782" i="10"/>
  <c r="O782" i="10" s="1"/>
  <c r="P782" i="10" s="1"/>
  <c r="F881" i="10"/>
  <c r="O881" i="10" s="1"/>
  <c r="P881" i="10" s="1"/>
  <c r="F981" i="10"/>
  <c r="O981" i="10" s="1"/>
  <c r="P981" i="10" s="1"/>
  <c r="F89" i="10"/>
  <c r="O89" i="10" s="1"/>
  <c r="P89" i="10" s="1"/>
  <c r="F121" i="10"/>
  <c r="O121" i="10" s="1"/>
  <c r="P121" i="10" s="1"/>
  <c r="F153" i="10"/>
  <c r="O153" i="10" s="1"/>
  <c r="P153" i="10" s="1"/>
  <c r="F185" i="10"/>
  <c r="O185" i="10" s="1"/>
  <c r="P185" i="10" s="1"/>
  <c r="F217" i="10"/>
  <c r="O217" i="10" s="1"/>
  <c r="P217" i="10" s="1"/>
  <c r="F249" i="10"/>
  <c r="O249" i="10" s="1"/>
  <c r="P249" i="10" s="1"/>
  <c r="F281" i="10"/>
  <c r="O281" i="10" s="1"/>
  <c r="P281" i="10" s="1"/>
  <c r="F313" i="10"/>
  <c r="O313" i="10" s="1"/>
  <c r="P313" i="10" s="1"/>
  <c r="F345" i="10"/>
  <c r="O345" i="10" s="1"/>
  <c r="P345" i="10" s="1"/>
  <c r="F377" i="10"/>
  <c r="O377" i="10" s="1"/>
  <c r="P377" i="10" s="1"/>
  <c r="F409" i="10"/>
  <c r="O409" i="10" s="1"/>
  <c r="P409" i="10" s="1"/>
  <c r="F438" i="10"/>
  <c r="O438" i="10" s="1"/>
  <c r="P438" i="10" s="1"/>
  <c r="F446" i="10"/>
  <c r="O446" i="10" s="1"/>
  <c r="P446" i="10" s="1"/>
  <c r="F452" i="10"/>
  <c r="O452" i="10" s="1"/>
  <c r="P452" i="10" s="1"/>
  <c r="F462" i="10"/>
  <c r="O462" i="10" s="1"/>
  <c r="P462" i="10" s="1"/>
  <c r="F468" i="10"/>
  <c r="O468" i="10" s="1"/>
  <c r="P468" i="10" s="1"/>
  <c r="F478" i="10"/>
  <c r="O478" i="10" s="1"/>
  <c r="P478" i="10" s="1"/>
  <c r="F484" i="10"/>
  <c r="O484" i="10" s="1"/>
  <c r="P484" i="10" s="1"/>
  <c r="F494" i="10"/>
  <c r="O494" i="10" s="1"/>
  <c r="P494" i="10" s="1"/>
  <c r="F500" i="10"/>
  <c r="O500" i="10" s="1"/>
  <c r="P500" i="10" s="1"/>
  <c r="F510" i="10"/>
  <c r="O510" i="10" s="1"/>
  <c r="P510" i="10" s="1"/>
  <c r="F518" i="10"/>
  <c r="O518" i="10" s="1"/>
  <c r="P518" i="10" s="1"/>
  <c r="F540" i="10"/>
  <c r="O540" i="10" s="1"/>
  <c r="P540" i="10" s="1"/>
  <c r="F546" i="10"/>
  <c r="O546" i="10" s="1"/>
  <c r="P546" i="10" s="1"/>
  <c r="F572" i="10"/>
  <c r="O572" i="10" s="1"/>
  <c r="P572" i="10" s="1"/>
  <c r="F578" i="10"/>
  <c r="O578" i="10" s="1"/>
  <c r="P578" i="10" s="1"/>
  <c r="F604" i="10"/>
  <c r="O604" i="10" s="1"/>
  <c r="P604" i="10" s="1"/>
  <c r="F610" i="10"/>
  <c r="O610" i="10" s="1"/>
  <c r="P610" i="10" s="1"/>
  <c r="F636" i="10"/>
  <c r="O636" i="10" s="1"/>
  <c r="P636" i="10" s="1"/>
  <c r="F642" i="10"/>
  <c r="O642" i="10" s="1"/>
  <c r="P642" i="10" s="1"/>
  <c r="F668" i="10"/>
  <c r="O668" i="10" s="1"/>
  <c r="P668" i="10" s="1"/>
  <c r="F674" i="10"/>
  <c r="O674" i="10" s="1"/>
  <c r="P674" i="10" s="1"/>
  <c r="F700" i="10"/>
  <c r="O700" i="10" s="1"/>
  <c r="P700" i="10" s="1"/>
  <c r="F706" i="10"/>
  <c r="O706" i="10" s="1"/>
  <c r="P706" i="10" s="1"/>
  <c r="F732" i="10"/>
  <c r="O732" i="10" s="1"/>
  <c r="P732" i="10" s="1"/>
  <c r="F738" i="10"/>
  <c r="O738" i="10" s="1"/>
  <c r="P738" i="10" s="1"/>
  <c r="F764" i="10"/>
  <c r="O764" i="10" s="1"/>
  <c r="P764" i="10" s="1"/>
  <c r="F770" i="10"/>
  <c r="O770" i="10" s="1"/>
  <c r="P770" i="10" s="1"/>
  <c r="F798" i="10"/>
  <c r="O798" i="10" s="1"/>
  <c r="P798" i="10" s="1"/>
  <c r="F806" i="10"/>
  <c r="O806" i="10" s="1"/>
  <c r="P806" i="10" s="1"/>
  <c r="F819" i="10"/>
  <c r="O819" i="10" s="1"/>
  <c r="P819" i="10" s="1"/>
  <c r="F837" i="10"/>
  <c r="O837" i="10" s="1"/>
  <c r="P837" i="10" s="1"/>
  <c r="F851" i="10"/>
  <c r="O851" i="10" s="1"/>
  <c r="P851" i="10" s="1"/>
  <c r="F869" i="10"/>
  <c r="O869" i="10" s="1"/>
  <c r="P869" i="10" s="1"/>
  <c r="F883" i="10"/>
  <c r="O883" i="10" s="1"/>
  <c r="P883" i="10" s="1"/>
  <c r="F901" i="10"/>
  <c r="O901" i="10" s="1"/>
  <c r="P901" i="10" s="1"/>
  <c r="F915" i="10"/>
  <c r="O915" i="10" s="1"/>
  <c r="P915" i="10" s="1"/>
  <c r="F933" i="10"/>
  <c r="O933" i="10" s="1"/>
  <c r="P933" i="10" s="1"/>
  <c r="F953" i="10"/>
  <c r="O953" i="10" s="1"/>
  <c r="P953" i="10" s="1"/>
  <c r="F967" i="10"/>
  <c r="O967" i="10" s="1"/>
  <c r="P967" i="10" s="1"/>
  <c r="F985" i="10"/>
  <c r="O985" i="10" s="1"/>
  <c r="P985" i="10" s="1"/>
  <c r="F999" i="10"/>
  <c r="O999" i="10" s="1"/>
  <c r="P999" i="10" s="1"/>
  <c r="F1019" i="10"/>
  <c r="O1019" i="10" s="1"/>
  <c r="P1019" i="10" s="1"/>
  <c r="F1024" i="10"/>
  <c r="O1024" i="10" s="1"/>
  <c r="P1024" i="10" s="1"/>
  <c r="F1038" i="10"/>
  <c r="O1038" i="10" s="1"/>
  <c r="P1038" i="10" s="1"/>
  <c r="F1050" i="10"/>
  <c r="O1050" i="10" s="1"/>
  <c r="P1050" i="10" s="1"/>
  <c r="F1056" i="10"/>
  <c r="O1056" i="10" s="1"/>
  <c r="P1056" i="10" s="1"/>
  <c r="F1066" i="10"/>
  <c r="O1066" i="10" s="1"/>
  <c r="P1066" i="10" s="1"/>
  <c r="F1072" i="10"/>
  <c r="O1072" i="10" s="1"/>
  <c r="P1072" i="10" s="1"/>
  <c r="F1093" i="10"/>
  <c r="O1093" i="10" s="1"/>
  <c r="P1093" i="10" s="1"/>
  <c r="F1109" i="10"/>
  <c r="O1109" i="10" s="1"/>
  <c r="P1109" i="10" s="1"/>
  <c r="F1158" i="10"/>
  <c r="O1158" i="10" s="1"/>
  <c r="P1158" i="10" s="1"/>
  <c r="F1120" i="10"/>
  <c r="O1120" i="10" s="1"/>
  <c r="P1120" i="10" s="1"/>
  <c r="F1129" i="10"/>
  <c r="O1129" i="10" s="1"/>
  <c r="P1129" i="10" s="1"/>
  <c r="F1136" i="10"/>
  <c r="O1136" i="10" s="1"/>
  <c r="P1136" i="10" s="1"/>
  <c r="F1161" i="10"/>
  <c r="O1161" i="10" s="1"/>
  <c r="P1161" i="10" s="1"/>
  <c r="F1168" i="10"/>
  <c r="O1168" i="10" s="1"/>
  <c r="P1168" i="10" s="1"/>
  <c r="F1126" i="10"/>
  <c r="O1126" i="10" s="1"/>
  <c r="P1126" i="10" s="1"/>
  <c r="F1146" i="10"/>
  <c r="O1146" i="10" s="1"/>
  <c r="P1146" i="10" s="1"/>
  <c r="F1141" i="10"/>
  <c r="O1141" i="10" s="1"/>
  <c r="P1141" i="10" s="1"/>
  <c r="F1148" i="10"/>
  <c r="O1148" i="10" s="1"/>
  <c r="P1148" i="10" s="1"/>
  <c r="F33" i="10"/>
  <c r="O33" i="10" s="1"/>
  <c r="P33" i="10" s="1"/>
  <c r="J33" i="10" s="1"/>
  <c r="F49" i="10"/>
  <c r="O49" i="10" s="1"/>
  <c r="P49" i="10" s="1"/>
  <c r="J49" i="10" s="1"/>
  <c r="F77" i="10"/>
  <c r="O77" i="10" s="1"/>
  <c r="P77" i="10" s="1"/>
  <c r="J77" i="10" s="1"/>
  <c r="F162" i="10"/>
  <c r="O162" i="10" s="1"/>
  <c r="P162" i="10" s="1"/>
  <c r="F271" i="10"/>
  <c r="O271" i="10" s="1"/>
  <c r="P271" i="10" s="1"/>
  <c r="F287" i="10"/>
  <c r="O287" i="10" s="1"/>
  <c r="P287" i="10" s="1"/>
  <c r="F303" i="10"/>
  <c r="O303" i="10" s="1"/>
  <c r="P303" i="10" s="1"/>
  <c r="F346" i="10"/>
  <c r="O346" i="10" s="1"/>
  <c r="P346" i="10" s="1"/>
  <c r="F378" i="10"/>
  <c r="O378" i="10" s="1"/>
  <c r="P378" i="10" s="1"/>
  <c r="F394" i="10"/>
  <c r="O394" i="10" s="1"/>
  <c r="P394" i="10" s="1"/>
  <c r="F426" i="10"/>
  <c r="O426" i="10" s="1"/>
  <c r="P426" i="10" s="1"/>
  <c r="F528" i="10"/>
  <c r="O528" i="10" s="1"/>
  <c r="P528" i="10" s="1"/>
  <c r="F601" i="10"/>
  <c r="O601" i="10" s="1"/>
  <c r="P601" i="10" s="1"/>
  <c r="F663" i="10"/>
  <c r="O663" i="10" s="1"/>
  <c r="P663" i="10" s="1"/>
  <c r="F680" i="10"/>
  <c r="O680" i="10" s="1"/>
  <c r="P680" i="10" s="1"/>
  <c r="F822" i="10"/>
  <c r="O822" i="10" s="1"/>
  <c r="P822" i="10" s="1"/>
  <c r="F848" i="10"/>
  <c r="O848" i="10" s="1"/>
  <c r="P848" i="10" s="1"/>
  <c r="F865" i="10"/>
  <c r="O865" i="10" s="1"/>
  <c r="P865" i="10" s="1"/>
  <c r="F995" i="10"/>
  <c r="O995" i="10" s="1"/>
  <c r="P995" i="10" s="1"/>
  <c r="F1030" i="10"/>
  <c r="O1030" i="10" s="1"/>
  <c r="P1030" i="10" s="1"/>
  <c r="F93" i="10"/>
  <c r="O93" i="10" s="1"/>
  <c r="P93" i="10" s="1"/>
  <c r="F125" i="10"/>
  <c r="O125" i="10" s="1"/>
  <c r="P125" i="10" s="1"/>
  <c r="F157" i="10"/>
  <c r="O157" i="10" s="1"/>
  <c r="P157" i="10" s="1"/>
  <c r="F189" i="10"/>
  <c r="O189" i="10" s="1"/>
  <c r="P189" i="10" s="1"/>
  <c r="F221" i="10"/>
  <c r="O221" i="10" s="1"/>
  <c r="P221" i="10" s="1"/>
  <c r="F253" i="10"/>
  <c r="O253" i="10" s="1"/>
  <c r="P253" i="10" s="1"/>
  <c r="F285" i="10"/>
  <c r="O285" i="10" s="1"/>
  <c r="P285" i="10" s="1"/>
  <c r="F317" i="10"/>
  <c r="O317" i="10" s="1"/>
  <c r="P317" i="10" s="1"/>
  <c r="F349" i="10"/>
  <c r="O349" i="10" s="1"/>
  <c r="P349" i="10" s="1"/>
  <c r="F381" i="10"/>
  <c r="O381" i="10" s="1"/>
  <c r="P381" i="10" s="1"/>
  <c r="F413" i="10"/>
  <c r="O413" i="10" s="1"/>
  <c r="P413" i="10" s="1"/>
  <c r="F440" i="10"/>
  <c r="O440" i="10" s="1"/>
  <c r="P440" i="10" s="1"/>
  <c r="F444" i="10"/>
  <c r="O444" i="10" s="1"/>
  <c r="P444" i="10" s="1"/>
  <c r="F455" i="10"/>
  <c r="O455" i="10" s="1"/>
  <c r="P455" i="10" s="1"/>
  <c r="F471" i="10"/>
  <c r="O471" i="10" s="1"/>
  <c r="P471" i="10" s="1"/>
  <c r="F487" i="10"/>
  <c r="O487" i="10" s="1"/>
  <c r="P487" i="10" s="1"/>
  <c r="F503" i="10"/>
  <c r="O503" i="10" s="1"/>
  <c r="P503" i="10" s="1"/>
  <c r="F519" i="10"/>
  <c r="O519" i="10" s="1"/>
  <c r="P519" i="10" s="1"/>
  <c r="F547" i="10"/>
  <c r="O547" i="10" s="1"/>
  <c r="P547" i="10" s="1"/>
  <c r="F565" i="10"/>
  <c r="O565" i="10" s="1"/>
  <c r="P565" i="10" s="1"/>
  <c r="F579" i="10"/>
  <c r="O579" i="10" s="1"/>
  <c r="P579" i="10" s="1"/>
  <c r="F597" i="10"/>
  <c r="O597" i="10" s="1"/>
  <c r="P597" i="10" s="1"/>
  <c r="F611" i="10"/>
  <c r="O611" i="10" s="1"/>
  <c r="P611" i="10" s="1"/>
  <c r="F629" i="10"/>
  <c r="O629" i="10" s="1"/>
  <c r="P629" i="10" s="1"/>
  <c r="F644" i="10"/>
  <c r="O644" i="10" s="1"/>
  <c r="P644" i="10" s="1"/>
  <c r="F650" i="10"/>
  <c r="O650" i="10" s="1"/>
  <c r="P650" i="10" s="1"/>
  <c r="F676" i="10"/>
  <c r="O676" i="10" s="1"/>
  <c r="P676" i="10" s="1"/>
  <c r="F682" i="10"/>
  <c r="O682" i="10" s="1"/>
  <c r="P682" i="10" s="1"/>
  <c r="F708" i="10"/>
  <c r="O708" i="10" s="1"/>
  <c r="P708" i="10" s="1"/>
  <c r="F714" i="10"/>
  <c r="O714" i="10" s="1"/>
  <c r="P714" i="10" s="1"/>
  <c r="F740" i="10"/>
  <c r="O740" i="10" s="1"/>
  <c r="P740" i="10" s="1"/>
  <c r="F746" i="10"/>
  <c r="O746" i="10" s="1"/>
  <c r="P746" i="10" s="1"/>
  <c r="F772" i="10"/>
  <c r="O772" i="10" s="1"/>
  <c r="P772" i="10" s="1"/>
  <c r="F778" i="10"/>
  <c r="O778" i="10" s="1"/>
  <c r="P778" i="10" s="1"/>
  <c r="F800" i="10"/>
  <c r="O800" i="10" s="1"/>
  <c r="P800" i="10" s="1"/>
  <c r="F818" i="10"/>
  <c r="O818" i="10" s="1"/>
  <c r="P818" i="10" s="1"/>
  <c r="F844" i="10"/>
  <c r="O844" i="10" s="1"/>
  <c r="P844" i="10" s="1"/>
  <c r="F850" i="10"/>
  <c r="O850" i="10" s="1"/>
  <c r="P850" i="10" s="1"/>
  <c r="F876" i="10"/>
  <c r="O876" i="10" s="1"/>
  <c r="P876" i="10" s="1"/>
  <c r="F882" i="10"/>
  <c r="O882" i="10" s="1"/>
  <c r="P882" i="10" s="1"/>
  <c r="F908" i="10"/>
  <c r="O908" i="10" s="1"/>
  <c r="P908" i="10" s="1"/>
  <c r="F914" i="10"/>
  <c r="O914" i="10" s="1"/>
  <c r="P914" i="10" s="1"/>
  <c r="F960" i="10"/>
  <c r="O960" i="10" s="1"/>
  <c r="P960" i="10" s="1"/>
  <c r="F966" i="10"/>
  <c r="O966" i="10" s="1"/>
  <c r="P966" i="10" s="1"/>
  <c r="F992" i="10"/>
  <c r="O992" i="10" s="1"/>
  <c r="P992" i="10" s="1"/>
  <c r="F998" i="10"/>
  <c r="O998" i="10" s="1"/>
  <c r="P998" i="10" s="1"/>
  <c r="F1011" i="10"/>
  <c r="O1011" i="10" s="1"/>
  <c r="P1011" i="10" s="1"/>
  <c r="F1043" i="10"/>
  <c r="O1043" i="10" s="1"/>
  <c r="P1043" i="10" s="1"/>
  <c r="F1059" i="10"/>
  <c r="O1059" i="10" s="1"/>
  <c r="P1059" i="10" s="1"/>
  <c r="F1075" i="10"/>
  <c r="O1075" i="10" s="1"/>
  <c r="P1075" i="10" s="1"/>
  <c r="F1084" i="10"/>
  <c r="O1084" i="10" s="1"/>
  <c r="P1084" i="10" s="1"/>
  <c r="F1099" i="10"/>
  <c r="O1099" i="10" s="1"/>
  <c r="P1099" i="10" s="1"/>
  <c r="F1105" i="10"/>
  <c r="O1105" i="10" s="1"/>
  <c r="P1105" i="10" s="1"/>
  <c r="F25" i="10"/>
  <c r="O25" i="10" s="1"/>
  <c r="P25" i="10" s="1"/>
  <c r="J25" i="10" s="1"/>
  <c r="F73" i="10"/>
  <c r="O73" i="10" s="1"/>
  <c r="P73" i="10" s="1"/>
  <c r="J73" i="10" s="1"/>
  <c r="F106" i="10"/>
  <c r="O106" i="10" s="1"/>
  <c r="P106" i="10" s="1"/>
  <c r="F122" i="10"/>
  <c r="O122" i="10" s="1"/>
  <c r="P122" i="10" s="1"/>
  <c r="F143" i="10"/>
  <c r="O143" i="10" s="1"/>
  <c r="P143" i="10" s="1"/>
  <c r="F191" i="10"/>
  <c r="O191" i="10" s="1"/>
  <c r="P191" i="10" s="1"/>
  <c r="F223" i="10"/>
  <c r="O223" i="10" s="1"/>
  <c r="P223" i="10" s="1"/>
  <c r="F386" i="10"/>
  <c r="O386" i="10" s="1"/>
  <c r="P386" i="10" s="1"/>
  <c r="F542" i="10"/>
  <c r="O542" i="10" s="1"/>
  <c r="P542" i="10" s="1"/>
  <c r="F569" i="10"/>
  <c r="O569" i="10" s="1"/>
  <c r="P569" i="10" s="1"/>
  <c r="F590" i="10"/>
  <c r="O590" i="10" s="1"/>
  <c r="P590" i="10" s="1"/>
  <c r="F679" i="10"/>
  <c r="O679" i="10" s="1"/>
  <c r="P679" i="10" s="1"/>
  <c r="F695" i="10"/>
  <c r="O695" i="10" s="1"/>
  <c r="P695" i="10" s="1"/>
  <c r="F750" i="10"/>
  <c r="O750" i="10" s="1"/>
  <c r="P750" i="10" s="1"/>
  <c r="F786" i="10"/>
  <c r="O786" i="10" s="1"/>
  <c r="P786" i="10" s="1"/>
  <c r="F849" i="10"/>
  <c r="O849" i="10" s="1"/>
  <c r="P849" i="10" s="1"/>
  <c r="F870" i="10"/>
  <c r="O870" i="10" s="1"/>
  <c r="P870" i="10" s="1"/>
  <c r="F911" i="10"/>
  <c r="O911" i="10" s="1"/>
  <c r="P911" i="10" s="1"/>
  <c r="F949" i="10"/>
  <c r="O949" i="10" s="1"/>
  <c r="P949" i="10" s="1"/>
  <c r="F1028" i="10"/>
  <c r="O1028" i="10" s="1"/>
  <c r="P1028" i="10" s="1"/>
  <c r="F86" i="10"/>
  <c r="O86" i="10" s="1"/>
  <c r="P86" i="10" s="1"/>
  <c r="F102" i="10"/>
  <c r="O102" i="10" s="1"/>
  <c r="P102" i="10" s="1"/>
  <c r="F118" i="10"/>
  <c r="O118" i="10" s="1"/>
  <c r="P118" i="10" s="1"/>
  <c r="F134" i="10"/>
  <c r="O134" i="10" s="1"/>
  <c r="P134" i="10" s="1"/>
  <c r="F150" i="10"/>
  <c r="O150" i="10" s="1"/>
  <c r="P150" i="10" s="1"/>
  <c r="F166" i="10"/>
  <c r="O166" i="10" s="1"/>
  <c r="P166" i="10" s="1"/>
  <c r="F182" i="10"/>
  <c r="O182" i="10" s="1"/>
  <c r="P182" i="10" s="1"/>
  <c r="F198" i="10"/>
  <c r="O198" i="10" s="1"/>
  <c r="P198" i="10" s="1"/>
  <c r="F214" i="10"/>
  <c r="O214" i="10" s="1"/>
  <c r="P214" i="10" s="1"/>
  <c r="F230" i="10"/>
  <c r="O230" i="10" s="1"/>
  <c r="P230" i="10" s="1"/>
  <c r="F246" i="10"/>
  <c r="O246" i="10" s="1"/>
  <c r="P246" i="10" s="1"/>
  <c r="F262" i="10"/>
  <c r="O262" i="10" s="1"/>
  <c r="P262" i="10" s="1"/>
  <c r="F278" i="10"/>
  <c r="O278" i="10" s="1"/>
  <c r="P278" i="10" s="1"/>
  <c r="F294" i="10"/>
  <c r="O294" i="10" s="1"/>
  <c r="P294" i="10" s="1"/>
  <c r="F310" i="10"/>
  <c r="O310" i="10" s="1"/>
  <c r="P310" i="10" s="1"/>
  <c r="F326" i="10"/>
  <c r="O326" i="10" s="1"/>
  <c r="P326" i="10" s="1"/>
  <c r="F342" i="10"/>
  <c r="O342" i="10" s="1"/>
  <c r="P342" i="10" s="1"/>
  <c r="F358" i="10"/>
  <c r="O358" i="10" s="1"/>
  <c r="P358" i="10" s="1"/>
  <c r="F374" i="10"/>
  <c r="O374" i="10" s="1"/>
  <c r="P374" i="10" s="1"/>
  <c r="F390" i="10"/>
  <c r="O390" i="10" s="1"/>
  <c r="P390" i="10" s="1"/>
  <c r="F406" i="10"/>
  <c r="O406" i="10" s="1"/>
  <c r="P406" i="10" s="1"/>
  <c r="F422" i="10"/>
  <c r="O422" i="10" s="1"/>
  <c r="P422" i="10" s="1"/>
  <c r="F543" i="10"/>
  <c r="O543" i="10" s="1"/>
  <c r="P543" i="10" s="1"/>
  <c r="F561" i="10"/>
  <c r="O561" i="10" s="1"/>
  <c r="P561" i="10" s="1"/>
  <c r="F575" i="10"/>
  <c r="O575" i="10" s="1"/>
  <c r="P575" i="10" s="1"/>
  <c r="F593" i="10"/>
  <c r="O593" i="10" s="1"/>
  <c r="P593" i="10" s="1"/>
  <c r="F607" i="10"/>
  <c r="O607" i="10" s="1"/>
  <c r="P607" i="10" s="1"/>
  <c r="F625" i="10"/>
  <c r="O625" i="10" s="1"/>
  <c r="P625" i="10" s="1"/>
  <c r="F640" i="10"/>
  <c r="O640" i="10" s="1"/>
  <c r="P640" i="10" s="1"/>
  <c r="F646" i="10"/>
  <c r="O646" i="10" s="1"/>
  <c r="P646" i="10" s="1"/>
  <c r="F672" i="10"/>
  <c r="O672" i="10" s="1"/>
  <c r="P672" i="10" s="1"/>
  <c r="F678" i="10"/>
  <c r="O678" i="10" s="1"/>
  <c r="P678" i="10" s="1"/>
  <c r="F704" i="10"/>
  <c r="O704" i="10" s="1"/>
  <c r="P704" i="10" s="1"/>
  <c r="F710" i="10"/>
  <c r="O710" i="10" s="1"/>
  <c r="P710" i="10" s="1"/>
  <c r="F736" i="10"/>
  <c r="O736" i="10" s="1"/>
  <c r="P736" i="10" s="1"/>
  <c r="F742" i="10"/>
  <c r="O742" i="10" s="1"/>
  <c r="P742" i="10" s="1"/>
  <c r="F768" i="10"/>
  <c r="O768" i="10" s="1"/>
  <c r="P768" i="10" s="1"/>
  <c r="F774" i="10"/>
  <c r="O774" i="10" s="1"/>
  <c r="P774" i="10" s="1"/>
  <c r="F787" i="10"/>
  <c r="O787" i="10" s="1"/>
  <c r="P787" i="10" s="1"/>
  <c r="F792" i="10"/>
  <c r="O792" i="10" s="1"/>
  <c r="P792" i="10" s="1"/>
  <c r="F797" i="10"/>
  <c r="O797" i="10" s="1"/>
  <c r="P797" i="10" s="1"/>
  <c r="F825" i="10"/>
  <c r="O825" i="10" s="1"/>
  <c r="P825" i="10" s="1"/>
  <c r="F839" i="10"/>
  <c r="O839" i="10" s="1"/>
  <c r="P839" i="10" s="1"/>
  <c r="F857" i="10"/>
  <c r="O857" i="10" s="1"/>
  <c r="P857" i="10" s="1"/>
  <c r="F871" i="10"/>
  <c r="O871" i="10" s="1"/>
  <c r="P871" i="10" s="1"/>
  <c r="F889" i="10"/>
  <c r="O889" i="10" s="1"/>
  <c r="P889" i="10" s="1"/>
  <c r="F903" i="10"/>
  <c r="O903" i="10" s="1"/>
  <c r="P903" i="10" s="1"/>
  <c r="F921" i="10"/>
  <c r="O921" i="10" s="1"/>
  <c r="P921" i="10" s="1"/>
  <c r="F935" i="10"/>
  <c r="O935" i="10" s="1"/>
  <c r="P935" i="10" s="1"/>
  <c r="F940" i="10"/>
  <c r="O940" i="10" s="1"/>
  <c r="P940" i="10" s="1"/>
  <c r="F946" i="10"/>
  <c r="O946" i="10" s="1"/>
  <c r="P946" i="10" s="1"/>
  <c r="F972" i="10"/>
  <c r="O972" i="10" s="1"/>
  <c r="P972" i="10" s="1"/>
  <c r="F978" i="10"/>
  <c r="O978" i="10" s="1"/>
  <c r="P978" i="10" s="1"/>
  <c r="F1004" i="10"/>
  <c r="O1004" i="10" s="1"/>
  <c r="P1004" i="10" s="1"/>
  <c r="F1031" i="10"/>
  <c r="O1031" i="10" s="1"/>
  <c r="P1031" i="10" s="1"/>
  <c r="F1086" i="10"/>
  <c r="O1086" i="10" s="1"/>
  <c r="P1086" i="10" s="1"/>
  <c r="F23" i="10"/>
  <c r="O23" i="10" s="1"/>
  <c r="P23" i="10" s="1"/>
  <c r="J23" i="10" s="1"/>
  <c r="F39" i="10"/>
  <c r="O39" i="10" s="1"/>
  <c r="P39" i="10" s="1"/>
  <c r="J39" i="10" s="1"/>
  <c r="F59" i="10"/>
  <c r="O59" i="10" s="1"/>
  <c r="P59" i="10" s="1"/>
  <c r="J59" i="10" s="1"/>
  <c r="F75" i="10"/>
  <c r="O75" i="10" s="1"/>
  <c r="P75" i="10" s="1"/>
  <c r="J75" i="10" s="1"/>
  <c r="F186" i="10"/>
  <c r="O186" i="10" s="1"/>
  <c r="P186" i="10" s="1"/>
  <c r="F218" i="10"/>
  <c r="O218" i="10" s="1"/>
  <c r="P218" i="10" s="1"/>
  <c r="F295" i="10"/>
  <c r="O295" i="10" s="1"/>
  <c r="P295" i="10" s="1"/>
  <c r="F537" i="10"/>
  <c r="O537" i="10" s="1"/>
  <c r="P537" i="10" s="1"/>
  <c r="F631" i="10"/>
  <c r="O631" i="10" s="1"/>
  <c r="P631" i="10" s="1"/>
  <c r="F648" i="10"/>
  <c r="O648" i="10" s="1"/>
  <c r="P648" i="10" s="1"/>
  <c r="F728" i="10"/>
  <c r="O728" i="10" s="1"/>
  <c r="P728" i="10" s="1"/>
  <c r="F813" i="10"/>
  <c r="O813" i="10" s="1"/>
  <c r="P813" i="10" s="1"/>
  <c r="F847" i="10"/>
  <c r="O847" i="10" s="1"/>
  <c r="P847" i="10" s="1"/>
  <c r="F864" i="10"/>
  <c r="O864" i="10" s="1"/>
  <c r="P864" i="10" s="1"/>
  <c r="F928" i="10"/>
  <c r="O928" i="10" s="1"/>
  <c r="P928" i="10" s="1"/>
  <c r="F947" i="10"/>
  <c r="O947" i="10" s="1"/>
  <c r="P947" i="10" s="1"/>
  <c r="F964" i="10"/>
  <c r="O964" i="10" s="1"/>
  <c r="P964" i="10" s="1"/>
  <c r="F1088" i="10"/>
  <c r="O1088" i="10" s="1"/>
  <c r="P1088" i="10" s="1"/>
  <c r="F81" i="10"/>
  <c r="O81" i="10" s="1"/>
  <c r="P81" i="10" s="1"/>
  <c r="F113" i="10"/>
  <c r="O113" i="10" s="1"/>
  <c r="P113" i="10" s="1"/>
  <c r="F145" i="10"/>
  <c r="O145" i="10" s="1"/>
  <c r="P145" i="10" s="1"/>
  <c r="F177" i="10"/>
  <c r="O177" i="10" s="1"/>
  <c r="P177" i="10" s="1"/>
  <c r="F209" i="10"/>
  <c r="O209" i="10" s="1"/>
  <c r="P209" i="10" s="1"/>
  <c r="F241" i="10"/>
  <c r="O241" i="10" s="1"/>
  <c r="P241" i="10" s="1"/>
  <c r="F273" i="10"/>
  <c r="O273" i="10" s="1"/>
  <c r="P273" i="10" s="1"/>
  <c r="F305" i="10"/>
  <c r="O305" i="10" s="1"/>
  <c r="P305" i="10" s="1"/>
  <c r="F337" i="10"/>
  <c r="O337" i="10" s="1"/>
  <c r="P337" i="10" s="1"/>
  <c r="F369" i="10"/>
  <c r="O369" i="10" s="1"/>
  <c r="P369" i="10" s="1"/>
  <c r="F401" i="10"/>
  <c r="O401" i="10" s="1"/>
  <c r="P401" i="10" s="1"/>
  <c r="F433" i="10"/>
  <c r="O433" i="10" s="1"/>
  <c r="P433" i="10" s="1"/>
  <c r="F459" i="10"/>
  <c r="O459" i="10" s="1"/>
  <c r="P459" i="10" s="1"/>
  <c r="F475" i="10"/>
  <c r="O475" i="10" s="1"/>
  <c r="P475" i="10" s="1"/>
  <c r="F491" i="10"/>
  <c r="O491" i="10" s="1"/>
  <c r="P491" i="10" s="1"/>
  <c r="F507" i="10"/>
  <c r="O507" i="10" s="1"/>
  <c r="P507" i="10" s="1"/>
  <c r="F541" i="10"/>
  <c r="O541" i="10" s="1"/>
  <c r="P541" i="10" s="1"/>
  <c r="F555" i="10"/>
  <c r="O555" i="10" s="1"/>
  <c r="P555" i="10" s="1"/>
  <c r="F573" i="10"/>
  <c r="O573" i="10" s="1"/>
  <c r="P573" i="10" s="1"/>
  <c r="F587" i="10"/>
  <c r="O587" i="10" s="1"/>
  <c r="P587" i="10" s="1"/>
  <c r="F605" i="10"/>
  <c r="O605" i="10" s="1"/>
  <c r="P605" i="10" s="1"/>
  <c r="F619" i="10"/>
  <c r="O619" i="10" s="1"/>
  <c r="P619" i="10" s="1"/>
  <c r="F637" i="10"/>
  <c r="O637" i="10" s="1"/>
  <c r="P637" i="10" s="1"/>
  <c r="F651" i="10"/>
  <c r="O651" i="10" s="1"/>
  <c r="P651" i="10" s="1"/>
  <c r="F669" i="10"/>
  <c r="O669" i="10" s="1"/>
  <c r="P669" i="10" s="1"/>
  <c r="F683" i="10"/>
  <c r="O683" i="10" s="1"/>
  <c r="P683" i="10" s="1"/>
  <c r="F701" i="10"/>
  <c r="O701" i="10" s="1"/>
  <c r="P701" i="10" s="1"/>
  <c r="F715" i="10"/>
  <c r="O715" i="10" s="1"/>
  <c r="P715" i="10" s="1"/>
  <c r="F733" i="10"/>
  <c r="O733" i="10" s="1"/>
  <c r="P733" i="10" s="1"/>
  <c r="F747" i="10"/>
  <c r="O747" i="10" s="1"/>
  <c r="P747" i="10" s="1"/>
  <c r="F765" i="10"/>
  <c r="O765" i="10" s="1"/>
  <c r="P765" i="10" s="1"/>
  <c r="F779" i="10"/>
  <c r="O779" i="10" s="1"/>
  <c r="P779" i="10" s="1"/>
  <c r="F815" i="10"/>
  <c r="O815" i="10" s="1"/>
  <c r="P815" i="10" s="1"/>
  <c r="F820" i="10"/>
  <c r="O820" i="10" s="1"/>
  <c r="P820" i="10" s="1"/>
  <c r="F826" i="10"/>
  <c r="O826" i="10" s="1"/>
  <c r="P826" i="10" s="1"/>
  <c r="F852" i="10"/>
  <c r="O852" i="10" s="1"/>
  <c r="P852" i="10" s="1"/>
  <c r="F858" i="10"/>
  <c r="O858" i="10" s="1"/>
  <c r="P858" i="10" s="1"/>
  <c r="F884" i="10"/>
  <c r="O884" i="10" s="1"/>
  <c r="P884" i="10" s="1"/>
  <c r="F890" i="10"/>
  <c r="O890" i="10" s="1"/>
  <c r="P890" i="10" s="1"/>
  <c r="F916" i="10"/>
  <c r="O916" i="10" s="1"/>
  <c r="P916" i="10" s="1"/>
  <c r="F922" i="10"/>
  <c r="O922" i="10" s="1"/>
  <c r="P922" i="10" s="1"/>
  <c r="F942" i="10"/>
  <c r="O942" i="10" s="1"/>
  <c r="P942" i="10" s="1"/>
  <c r="F968" i="10"/>
  <c r="O968" i="10" s="1"/>
  <c r="P968" i="10" s="1"/>
  <c r="F974" i="10"/>
  <c r="O974" i="10" s="1"/>
  <c r="P974" i="10" s="1"/>
  <c r="F1000" i="10"/>
  <c r="O1000" i="10" s="1"/>
  <c r="P1000" i="10" s="1"/>
  <c r="F1006" i="10"/>
  <c r="O1006" i="10" s="1"/>
  <c r="P1006" i="10" s="1"/>
  <c r="F1020" i="10"/>
  <c r="O1020" i="10" s="1"/>
  <c r="P1020" i="10" s="1"/>
  <c r="F1047" i="10"/>
  <c r="O1047" i="10" s="1"/>
  <c r="P1047" i="10" s="1"/>
  <c r="F1063" i="10"/>
  <c r="O1063" i="10" s="1"/>
  <c r="P1063" i="10" s="1"/>
  <c r="F1079" i="10"/>
  <c r="O1079" i="10" s="1"/>
  <c r="P1079" i="10" s="1"/>
  <c r="F1082" i="10"/>
  <c r="O1082" i="10" s="1"/>
  <c r="P1082" i="10" s="1"/>
  <c r="F1117" i="10"/>
  <c r="O1117" i="10" s="1"/>
  <c r="P1117" i="10" s="1"/>
  <c r="F1150" i="10"/>
  <c r="O1150" i="10" s="1"/>
  <c r="P1150" i="10" s="1"/>
  <c r="F1122" i="10"/>
  <c r="O1122" i="10" s="1"/>
  <c r="P1122" i="10" s="1"/>
  <c r="F1137" i="10"/>
  <c r="O1137" i="10" s="1"/>
  <c r="P1137" i="10" s="1"/>
  <c r="F1144" i="10"/>
  <c r="O1144" i="10" s="1"/>
  <c r="P1144" i="10" s="1"/>
  <c r="F1169" i="10"/>
  <c r="O1169" i="10" s="1"/>
  <c r="P1169" i="10" s="1"/>
  <c r="F1138" i="10"/>
  <c r="O1138" i="10" s="1"/>
  <c r="P1138" i="10" s="1"/>
  <c r="F1125" i="10"/>
  <c r="O1125" i="10" s="1"/>
  <c r="P1125" i="10" s="1"/>
  <c r="F1149" i="10"/>
  <c r="O1149" i="10" s="1"/>
  <c r="P1149" i="10" s="1"/>
  <c r="F1156" i="10"/>
  <c r="O1156" i="10" s="1"/>
  <c r="P1156" i="10" s="1"/>
  <c r="G61" i="14"/>
  <c r="T24" i="11"/>
  <c r="U24" i="11"/>
  <c r="K42" i="4"/>
  <c r="J44" i="4"/>
  <c r="N11" i="13"/>
  <c r="R5" i="12"/>
  <c r="Q6" i="12"/>
  <c r="L14" i="4"/>
  <c r="K14" i="4"/>
  <c r="J13" i="4"/>
  <c r="M39" i="4"/>
  <c r="N10" i="14"/>
  <c r="J9" i="14" a="1"/>
  <c r="J9" i="14" s="1"/>
  <c r="Y22" i="11"/>
  <c r="Z22" i="11"/>
  <c r="P13" i="11" l="1"/>
  <c r="F12" i="11"/>
  <c r="G13" i="11" s="1"/>
  <c r="O13" i="11"/>
  <c r="G385" i="7"/>
  <c r="G384" i="7" s="1"/>
  <c r="G383" i="7" s="1"/>
  <c r="G382" i="7" s="1"/>
  <c r="G381" i="7" s="1"/>
  <c r="G380" i="7" s="1"/>
  <c r="G379" i="7" s="1"/>
  <c r="G378" i="7" s="1"/>
  <c r="G377" i="7" s="1"/>
  <c r="G376" i="7" s="1"/>
  <c r="G375" i="7" s="1"/>
  <c r="G374" i="7" s="1"/>
  <c r="G373" i="7" s="1"/>
  <c r="G372" i="7" s="1"/>
  <c r="G371" i="7" s="1"/>
  <c r="G370" i="7" s="1"/>
  <c r="G369" i="7" s="1"/>
  <c r="G368" i="7" s="1"/>
  <c r="G367" i="7" s="1"/>
  <c r="G366" i="7" s="1"/>
  <c r="G365" i="7" s="1"/>
  <c r="G364" i="7" s="1"/>
  <c r="G363" i="7" s="1"/>
  <c r="G362" i="7" s="1"/>
  <c r="G361" i="7" s="1"/>
  <c r="G360" i="7" s="1"/>
  <c r="G359" i="7" s="1"/>
  <c r="G358" i="7" s="1"/>
  <c r="G357" i="7" s="1"/>
  <c r="G356" i="7" s="1"/>
  <c r="G355" i="7" s="1"/>
  <c r="G354" i="7" s="1"/>
  <c r="G353" i="7" s="1"/>
  <c r="G352" i="7" s="1"/>
  <c r="G351" i="7" s="1"/>
  <c r="G350" i="7" s="1"/>
  <c r="G349" i="7" s="1"/>
  <c r="G348" i="7" s="1"/>
  <c r="G347" i="7" s="1"/>
  <c r="G346" i="7" s="1"/>
  <c r="G345" i="7" s="1"/>
  <c r="G344" i="7" s="1"/>
  <c r="G343" i="7" s="1"/>
  <c r="G342" i="7" s="1"/>
  <c r="G341" i="7" s="1"/>
  <c r="G340" i="7" s="1"/>
  <c r="G339" i="7" s="1"/>
  <c r="G338" i="7" s="1"/>
  <c r="G337" i="7" s="1"/>
  <c r="G336" i="7" s="1"/>
  <c r="W6" i="3"/>
  <c r="J442" i="10"/>
  <c r="K442" i="10"/>
  <c r="K329" i="10"/>
  <c r="J329" i="10"/>
  <c r="K201" i="10"/>
  <c r="J201" i="10"/>
  <c r="K1103" i="10"/>
  <c r="J1103" i="10"/>
  <c r="K775" i="10"/>
  <c r="J775" i="10"/>
  <c r="K558" i="10"/>
  <c r="J558" i="10"/>
  <c r="K266" i="10"/>
  <c r="J266" i="10"/>
  <c r="K1111" i="10"/>
  <c r="J1111" i="10"/>
  <c r="K1026" i="10"/>
  <c r="J1026" i="10"/>
  <c r="K955" i="10"/>
  <c r="J955" i="10"/>
  <c r="J904" i="10"/>
  <c r="K904" i="10"/>
  <c r="J840" i="10"/>
  <c r="K840" i="10"/>
  <c r="K751" i="10"/>
  <c r="J751" i="10"/>
  <c r="K687" i="10"/>
  <c r="J687" i="10"/>
  <c r="K614" i="10"/>
  <c r="J614" i="10"/>
  <c r="K550" i="10"/>
  <c r="J550" i="10"/>
  <c r="K435" i="10"/>
  <c r="J435" i="10"/>
  <c r="K371" i="10"/>
  <c r="J371" i="10"/>
  <c r="K307" i="10"/>
  <c r="J307" i="10"/>
  <c r="K243" i="10"/>
  <c r="J243" i="10"/>
  <c r="K179" i="10"/>
  <c r="J179" i="10"/>
  <c r="K115" i="10"/>
  <c r="J115" i="10"/>
  <c r="K1089" i="10"/>
  <c r="J1089" i="10"/>
  <c r="J838" i="10"/>
  <c r="K838" i="10"/>
  <c r="K647" i="10"/>
  <c r="J647" i="10"/>
  <c r="K407" i="10"/>
  <c r="J407" i="10"/>
  <c r="J306" i="10"/>
  <c r="K306" i="10"/>
  <c r="J226" i="10"/>
  <c r="K226" i="10"/>
  <c r="J1100" i="10"/>
  <c r="K1100" i="10"/>
  <c r="K1070" i="10"/>
  <c r="J1070" i="10"/>
  <c r="K1039" i="10"/>
  <c r="J1039" i="10"/>
  <c r="J993" i="10"/>
  <c r="K993" i="10"/>
  <c r="K923" i="10"/>
  <c r="J923" i="10"/>
  <c r="K859" i="10"/>
  <c r="J859" i="10"/>
  <c r="J773" i="10"/>
  <c r="K773" i="10"/>
  <c r="J709" i="10"/>
  <c r="K709" i="10"/>
  <c r="J645" i="10"/>
  <c r="K645" i="10"/>
  <c r="J580" i="10"/>
  <c r="K580" i="10"/>
  <c r="K515" i="10"/>
  <c r="J515" i="10"/>
  <c r="K482" i="10"/>
  <c r="J482" i="10"/>
  <c r="K450" i="10"/>
  <c r="J450" i="10"/>
  <c r="K373" i="10"/>
  <c r="J373" i="10"/>
  <c r="K245" i="10"/>
  <c r="J245" i="10"/>
  <c r="K117" i="10"/>
  <c r="J117" i="10"/>
  <c r="K963" i="10"/>
  <c r="J963" i="10"/>
  <c r="K811" i="10"/>
  <c r="J811" i="10"/>
  <c r="J729" i="10"/>
  <c r="K729" i="10"/>
  <c r="J552" i="10"/>
  <c r="K552" i="10"/>
  <c r="K207" i="10"/>
  <c r="J207" i="10"/>
  <c r="K103" i="10"/>
  <c r="J103" i="10"/>
  <c r="J449" i="10"/>
  <c r="K449" i="10"/>
  <c r="J465" i="10"/>
  <c r="K465" i="10"/>
  <c r="J481" i="10"/>
  <c r="K481" i="10"/>
  <c r="J497" i="10"/>
  <c r="K497" i="10"/>
  <c r="J513" i="10"/>
  <c r="K513" i="10"/>
  <c r="J533" i="10"/>
  <c r="K533" i="10"/>
  <c r="J801" i="10"/>
  <c r="K801" i="10"/>
  <c r="J1009" i="10"/>
  <c r="K1009" i="10"/>
  <c r="J1037" i="10"/>
  <c r="K1037" i="10"/>
  <c r="J1053" i="10"/>
  <c r="K1053" i="10"/>
  <c r="J1069" i="10"/>
  <c r="K1069" i="10"/>
  <c r="J92" i="10"/>
  <c r="K92" i="10"/>
  <c r="J108" i="10"/>
  <c r="K108" i="10"/>
  <c r="J124" i="10"/>
  <c r="K124" i="10"/>
  <c r="J140" i="10"/>
  <c r="K140" i="10"/>
  <c r="J156" i="10"/>
  <c r="K156" i="10"/>
  <c r="J172" i="10"/>
  <c r="K172" i="10"/>
  <c r="J188" i="10"/>
  <c r="K188" i="10"/>
  <c r="J204" i="10"/>
  <c r="K204" i="10"/>
  <c r="J220" i="10"/>
  <c r="K220" i="10"/>
  <c r="J236" i="10"/>
  <c r="K236" i="10"/>
  <c r="J252" i="10"/>
  <c r="K252" i="10"/>
  <c r="J268" i="10"/>
  <c r="K268" i="10"/>
  <c r="J284" i="10"/>
  <c r="K284" i="10"/>
  <c r="J300" i="10"/>
  <c r="K300" i="10"/>
  <c r="J316" i="10"/>
  <c r="K316" i="10"/>
  <c r="J332" i="10"/>
  <c r="K332" i="10"/>
  <c r="J348" i="10"/>
  <c r="K348" i="10"/>
  <c r="J364" i="10"/>
  <c r="K364" i="10"/>
  <c r="J380" i="10"/>
  <c r="K380" i="10"/>
  <c r="J396" i="10"/>
  <c r="K396" i="10"/>
  <c r="J412" i="10"/>
  <c r="K412" i="10"/>
  <c r="J428" i="10"/>
  <c r="K428" i="10"/>
  <c r="J1108" i="10"/>
  <c r="K1108" i="10"/>
  <c r="J1139" i="10"/>
  <c r="K1139" i="10"/>
  <c r="J1155" i="10"/>
  <c r="K1155" i="10"/>
  <c r="M15" i="14"/>
  <c r="J11" i="13" a="1"/>
  <c r="J11" i="13" s="1"/>
  <c r="N12" i="13"/>
  <c r="K1122" i="10"/>
  <c r="J1122" i="10"/>
  <c r="J884" i="10"/>
  <c r="K884" i="10"/>
  <c r="K619" i="10"/>
  <c r="J619" i="10"/>
  <c r="K369" i="10"/>
  <c r="J369" i="10"/>
  <c r="J813" i="10"/>
  <c r="K813" i="10"/>
  <c r="K1086" i="10"/>
  <c r="J1086" i="10"/>
  <c r="J857" i="10"/>
  <c r="K857" i="10"/>
  <c r="J561" i="10"/>
  <c r="K561" i="10"/>
  <c r="K262" i="10"/>
  <c r="J262" i="10"/>
  <c r="J1028" i="10"/>
  <c r="K1028" i="10"/>
  <c r="K122" i="10"/>
  <c r="J122" i="10"/>
  <c r="J992" i="10"/>
  <c r="K992" i="10"/>
  <c r="J708" i="10"/>
  <c r="K708" i="10"/>
  <c r="J444" i="10"/>
  <c r="K444" i="10"/>
  <c r="K93" i="10"/>
  <c r="J93" i="10"/>
  <c r="K271" i="10"/>
  <c r="J271" i="10"/>
  <c r="J1129" i="10"/>
  <c r="K1129" i="10"/>
  <c r="K999" i="10"/>
  <c r="J999" i="10"/>
  <c r="J806" i="10"/>
  <c r="K806" i="10"/>
  <c r="K610" i="10"/>
  <c r="J610" i="10"/>
  <c r="K438" i="10"/>
  <c r="J438" i="10"/>
  <c r="J981" i="10"/>
  <c r="K981" i="10"/>
  <c r="K215" i="10"/>
  <c r="J215" i="10"/>
  <c r="K894" i="10"/>
  <c r="J894" i="10"/>
  <c r="J721" i="10"/>
  <c r="K721" i="10"/>
  <c r="K379" i="10"/>
  <c r="J379" i="10"/>
  <c r="K123" i="10"/>
  <c r="J123" i="10"/>
  <c r="K431" i="10"/>
  <c r="J431" i="10"/>
  <c r="K1083" i="10"/>
  <c r="J1083" i="10"/>
  <c r="J925" i="10"/>
  <c r="K925" i="10"/>
  <c r="K739" i="10"/>
  <c r="J739" i="10"/>
  <c r="K538" i="10"/>
  <c r="J538" i="10"/>
  <c r="K293" i="10"/>
  <c r="J293" i="10"/>
  <c r="J913" i="10"/>
  <c r="K913" i="10"/>
  <c r="K375" i="10"/>
  <c r="J375" i="10"/>
  <c r="J1092" i="10"/>
  <c r="K1092" i="10"/>
  <c r="J874" i="10"/>
  <c r="K874" i="10"/>
  <c r="J653" i="10"/>
  <c r="K653" i="10"/>
  <c r="K417" i="10"/>
  <c r="J417" i="10"/>
  <c r="K854" i="10"/>
  <c r="J854" i="10"/>
  <c r="K175" i="10"/>
  <c r="J175" i="10"/>
  <c r="J956" i="10"/>
  <c r="K956" i="10"/>
  <c r="J726" i="10"/>
  <c r="K726" i="10"/>
  <c r="K382" i="10"/>
  <c r="J382" i="10"/>
  <c r="K190" i="10"/>
  <c r="J190" i="10"/>
  <c r="K879" i="10"/>
  <c r="J879" i="10"/>
  <c r="K279" i="10"/>
  <c r="J279" i="10"/>
  <c r="K1035" i="10"/>
  <c r="J1035" i="10"/>
  <c r="K730" i="10"/>
  <c r="J730" i="10"/>
  <c r="J549" i="10"/>
  <c r="K549" i="10"/>
  <c r="K301" i="10"/>
  <c r="J301" i="10"/>
  <c r="J713" i="10"/>
  <c r="K713" i="10"/>
  <c r="K1130" i="10"/>
  <c r="J1130" i="10"/>
  <c r="J508" i="10"/>
  <c r="K508" i="10"/>
  <c r="Z23" i="11"/>
  <c r="Y23" i="11"/>
  <c r="J10" i="14" a="1"/>
  <c r="J10" i="14" s="1"/>
  <c r="N11" i="14"/>
  <c r="K1156" i="10"/>
  <c r="J1156" i="10"/>
  <c r="K1169" i="10"/>
  <c r="J1169" i="10"/>
  <c r="K1150" i="10"/>
  <c r="J1150" i="10"/>
  <c r="K1063" i="10"/>
  <c r="J1063" i="10"/>
  <c r="J1000" i="10"/>
  <c r="K1000" i="10"/>
  <c r="J922" i="10"/>
  <c r="K922" i="10"/>
  <c r="J858" i="10"/>
  <c r="K858" i="10"/>
  <c r="K815" i="10"/>
  <c r="J815" i="10"/>
  <c r="J733" i="10"/>
  <c r="K733" i="10"/>
  <c r="J669" i="10"/>
  <c r="K669" i="10"/>
  <c r="J605" i="10"/>
  <c r="K605" i="10"/>
  <c r="J541" i="10"/>
  <c r="K541" i="10"/>
  <c r="K459" i="10"/>
  <c r="J459" i="10"/>
  <c r="K337" i="10"/>
  <c r="J337" i="10"/>
  <c r="K209" i="10"/>
  <c r="J209" i="10"/>
  <c r="K81" i="10"/>
  <c r="J81" i="10"/>
  <c r="J928" i="10"/>
  <c r="K928" i="10"/>
  <c r="J728" i="10"/>
  <c r="K728" i="10"/>
  <c r="K295" i="10"/>
  <c r="J295" i="10"/>
  <c r="K1031" i="10"/>
  <c r="J1031" i="10"/>
  <c r="K946" i="10"/>
  <c r="J946" i="10"/>
  <c r="K903" i="10"/>
  <c r="J903" i="10"/>
  <c r="K839" i="10"/>
  <c r="J839" i="10"/>
  <c r="K787" i="10"/>
  <c r="J787" i="10"/>
  <c r="J736" i="10"/>
  <c r="K736" i="10"/>
  <c r="J672" i="10"/>
  <c r="K672" i="10"/>
  <c r="K607" i="10"/>
  <c r="J607" i="10"/>
  <c r="K543" i="10"/>
  <c r="J543" i="10"/>
  <c r="K374" i="10"/>
  <c r="J374" i="10"/>
  <c r="K310" i="10"/>
  <c r="J310" i="10"/>
  <c r="K246" i="10"/>
  <c r="J246" i="10"/>
  <c r="J182" i="10"/>
  <c r="K182" i="10"/>
  <c r="J118" i="10"/>
  <c r="K118" i="10"/>
  <c r="J949" i="10"/>
  <c r="K949" i="10"/>
  <c r="K786" i="10"/>
  <c r="J786" i="10"/>
  <c r="K590" i="10"/>
  <c r="J590" i="10"/>
  <c r="K223" i="10"/>
  <c r="J223" i="10"/>
  <c r="K106" i="10"/>
  <c r="J106" i="10"/>
  <c r="K1099" i="10"/>
  <c r="J1099" i="10"/>
  <c r="K1043" i="10"/>
  <c r="J1043" i="10"/>
  <c r="K966" i="10"/>
  <c r="J966" i="10"/>
  <c r="K882" i="10"/>
  <c r="J882" i="10"/>
  <c r="K818" i="10"/>
  <c r="J818" i="10"/>
  <c r="J746" i="10"/>
  <c r="K746" i="10"/>
  <c r="J682" i="10"/>
  <c r="K682" i="10"/>
  <c r="K629" i="10"/>
  <c r="J629" i="10"/>
  <c r="J565" i="10"/>
  <c r="K565" i="10"/>
  <c r="K487" i="10"/>
  <c r="J487" i="10"/>
  <c r="J440" i="10"/>
  <c r="K440" i="10"/>
  <c r="K317" i="10"/>
  <c r="J317" i="10"/>
  <c r="K189" i="10"/>
  <c r="J189" i="10"/>
  <c r="J1030" i="10"/>
  <c r="K1030" i="10"/>
  <c r="K822" i="10"/>
  <c r="J822" i="10"/>
  <c r="J528" i="10"/>
  <c r="K528" i="10"/>
  <c r="K346" i="10"/>
  <c r="J346" i="10"/>
  <c r="J162" i="10"/>
  <c r="K162" i="10"/>
  <c r="K1148" i="10"/>
  <c r="J1148" i="10"/>
  <c r="K1168" i="10"/>
  <c r="J1168" i="10"/>
  <c r="K1120" i="10"/>
  <c r="J1120" i="10"/>
  <c r="J1072" i="10"/>
  <c r="K1072" i="10"/>
  <c r="K1038" i="10"/>
  <c r="J1038" i="10"/>
  <c r="J985" i="10"/>
  <c r="K985" i="10"/>
  <c r="K915" i="10"/>
  <c r="J915" i="10"/>
  <c r="K851" i="10"/>
  <c r="J851" i="10"/>
  <c r="K798" i="10"/>
  <c r="J798" i="10"/>
  <c r="J732" i="10"/>
  <c r="K732" i="10"/>
  <c r="J668" i="10"/>
  <c r="K668" i="10"/>
  <c r="J604" i="10"/>
  <c r="K604" i="10"/>
  <c r="J540" i="10"/>
  <c r="K540" i="10"/>
  <c r="K494" i="10"/>
  <c r="J494" i="10"/>
  <c r="K462" i="10"/>
  <c r="J462" i="10"/>
  <c r="K409" i="10"/>
  <c r="J409" i="10"/>
  <c r="K281" i="10"/>
  <c r="J281" i="10"/>
  <c r="K153" i="10"/>
  <c r="J153" i="10"/>
  <c r="J881" i="10"/>
  <c r="K881" i="10"/>
  <c r="J665" i="10"/>
  <c r="K665" i="10"/>
  <c r="K551" i="10"/>
  <c r="J551" i="10"/>
  <c r="K199" i="10"/>
  <c r="J199" i="10"/>
  <c r="K1003" i="10"/>
  <c r="J1003" i="10"/>
  <c r="K939" i="10"/>
  <c r="J939" i="10"/>
  <c r="J888" i="10"/>
  <c r="K888" i="10"/>
  <c r="J824" i="10"/>
  <c r="K824" i="10"/>
  <c r="K767" i="10"/>
  <c r="J767" i="10"/>
  <c r="K703" i="10"/>
  <c r="J703" i="10"/>
  <c r="K639" i="10"/>
  <c r="J639" i="10"/>
  <c r="J566" i="10"/>
  <c r="K566" i="10"/>
  <c r="K427" i="10"/>
  <c r="J427" i="10"/>
  <c r="K363" i="10"/>
  <c r="J363" i="10"/>
  <c r="K299" i="10"/>
  <c r="J299" i="10"/>
  <c r="K235" i="10"/>
  <c r="J235" i="10"/>
  <c r="K171" i="10"/>
  <c r="J171" i="10"/>
  <c r="K107" i="10"/>
  <c r="J107" i="10"/>
  <c r="K831" i="10"/>
  <c r="J831" i="10"/>
  <c r="K654" i="10"/>
  <c r="J654" i="10"/>
  <c r="K383" i="10"/>
  <c r="J383" i="10"/>
  <c r="K250" i="10"/>
  <c r="J250" i="10"/>
  <c r="J1078" i="10"/>
  <c r="K1078" i="10"/>
  <c r="J1046" i="10"/>
  <c r="K1046" i="10"/>
  <c r="J977" i="10"/>
  <c r="K977" i="10"/>
  <c r="K907" i="10"/>
  <c r="J907" i="10"/>
  <c r="K843" i="10"/>
  <c r="J843" i="10"/>
  <c r="K799" i="10"/>
  <c r="J799" i="10"/>
  <c r="J725" i="10"/>
  <c r="K725" i="10"/>
  <c r="J661" i="10"/>
  <c r="K661" i="10"/>
  <c r="J596" i="10"/>
  <c r="K596" i="10"/>
  <c r="J512" i="10"/>
  <c r="K512" i="10"/>
  <c r="J480" i="10"/>
  <c r="K480" i="10"/>
  <c r="J448" i="10"/>
  <c r="K448" i="10"/>
  <c r="K389" i="10"/>
  <c r="J389" i="10"/>
  <c r="K261" i="10"/>
  <c r="J261" i="10"/>
  <c r="K133" i="10"/>
  <c r="J133" i="10"/>
  <c r="J986" i="10"/>
  <c r="K986" i="10"/>
  <c r="K895" i="10"/>
  <c r="J895" i="10"/>
  <c r="J696" i="10"/>
  <c r="K696" i="10"/>
  <c r="K423" i="10"/>
  <c r="J423" i="10"/>
  <c r="K263" i="10"/>
  <c r="J263" i="10"/>
  <c r="K1140" i="10"/>
  <c r="J1140" i="10"/>
  <c r="K1160" i="10"/>
  <c r="J1160" i="10"/>
  <c r="K1166" i="10"/>
  <c r="J1166" i="10"/>
  <c r="K1071" i="10"/>
  <c r="J1071" i="10"/>
  <c r="K990" i="10"/>
  <c r="J990" i="10"/>
  <c r="J932" i="10"/>
  <c r="K932" i="10"/>
  <c r="J868" i="10"/>
  <c r="K868" i="10"/>
  <c r="K763" i="10"/>
  <c r="J763" i="10"/>
  <c r="K699" i="10"/>
  <c r="J699" i="10"/>
  <c r="K635" i="10"/>
  <c r="J635" i="10"/>
  <c r="K571" i="10"/>
  <c r="J571" i="10"/>
  <c r="K483" i="10"/>
  <c r="J483" i="10"/>
  <c r="K385" i="10"/>
  <c r="J385" i="10"/>
  <c r="K257" i="10"/>
  <c r="J257" i="10"/>
  <c r="K129" i="10"/>
  <c r="J129" i="10"/>
  <c r="J954" i="10"/>
  <c r="K954" i="10"/>
  <c r="J761" i="10"/>
  <c r="K761" i="10"/>
  <c r="K599" i="10"/>
  <c r="J599" i="10"/>
  <c r="K351" i="10"/>
  <c r="J351" i="10"/>
  <c r="K138" i="10"/>
  <c r="J138" i="10"/>
  <c r="K1106" i="10"/>
  <c r="J1106" i="10"/>
  <c r="K994" i="10"/>
  <c r="J994" i="10"/>
  <c r="K919" i="10"/>
  <c r="J919" i="10"/>
  <c r="K855" i="10"/>
  <c r="J855" i="10"/>
  <c r="J784" i="10"/>
  <c r="K784" i="10"/>
  <c r="J720" i="10"/>
  <c r="K720" i="10"/>
  <c r="J656" i="10"/>
  <c r="K656" i="10"/>
  <c r="K591" i="10"/>
  <c r="J591" i="10"/>
  <c r="K430" i="10"/>
  <c r="J430" i="10"/>
  <c r="K366" i="10"/>
  <c r="J366" i="10"/>
  <c r="K302" i="10"/>
  <c r="J302" i="10"/>
  <c r="K238" i="10"/>
  <c r="J238" i="10"/>
  <c r="K174" i="10"/>
  <c r="J174" i="10"/>
  <c r="K110" i="10"/>
  <c r="J110" i="10"/>
  <c r="J1094" i="10"/>
  <c r="K1094" i="10"/>
  <c r="K863" i="10"/>
  <c r="J863" i="10"/>
  <c r="K670" i="10"/>
  <c r="J670" i="10"/>
  <c r="K535" i="10"/>
  <c r="J535" i="10"/>
  <c r="K167" i="10"/>
  <c r="J167" i="10"/>
  <c r="J82" i="10"/>
  <c r="K82" i="10"/>
  <c r="K1067" i="10"/>
  <c r="J1067" i="10"/>
  <c r="J1013" i="10"/>
  <c r="K1013" i="10"/>
  <c r="J950" i="10"/>
  <c r="K950" i="10"/>
  <c r="J898" i="10"/>
  <c r="K898" i="10"/>
  <c r="J834" i="10"/>
  <c r="K834" i="10"/>
  <c r="K803" i="10"/>
  <c r="J803" i="10"/>
  <c r="J724" i="10"/>
  <c r="K724" i="10"/>
  <c r="J660" i="10"/>
  <c r="K660" i="10"/>
  <c r="K595" i="10"/>
  <c r="J595" i="10"/>
  <c r="J521" i="10"/>
  <c r="K521" i="10"/>
  <c r="K479" i="10"/>
  <c r="J479" i="10"/>
  <c r="K397" i="10"/>
  <c r="J397" i="10"/>
  <c r="K269" i="10"/>
  <c r="J269" i="10"/>
  <c r="K141" i="10"/>
  <c r="J141" i="10"/>
  <c r="J948" i="10"/>
  <c r="K948" i="10"/>
  <c r="J536" i="10"/>
  <c r="K536" i="10"/>
  <c r="J210" i="10"/>
  <c r="K210" i="10"/>
  <c r="K1132" i="10"/>
  <c r="J1132" i="10"/>
  <c r="K1152" i="10"/>
  <c r="J1152" i="10"/>
  <c r="J1098" i="10"/>
  <c r="K1098" i="10"/>
  <c r="J1064" i="10"/>
  <c r="K1064" i="10"/>
  <c r="K1034" i="10"/>
  <c r="J1034" i="10"/>
  <c r="K951" i="10"/>
  <c r="J951" i="10"/>
  <c r="J885" i="10"/>
  <c r="K885" i="10"/>
  <c r="J821" i="10"/>
  <c r="K821" i="10"/>
  <c r="J754" i="10"/>
  <c r="K754" i="10"/>
  <c r="J690" i="10"/>
  <c r="K690" i="10"/>
  <c r="K626" i="10"/>
  <c r="J626" i="10"/>
  <c r="K562" i="10"/>
  <c r="J562" i="10"/>
  <c r="J502" i="10"/>
  <c r="K502" i="10"/>
  <c r="J470" i="10"/>
  <c r="K470" i="10"/>
  <c r="K425" i="10"/>
  <c r="J425" i="10"/>
  <c r="K297" i="10"/>
  <c r="J297" i="10"/>
  <c r="K169" i="10"/>
  <c r="J169" i="10"/>
  <c r="J912" i="10"/>
  <c r="K912" i="10"/>
  <c r="J712" i="10"/>
  <c r="K712" i="10"/>
  <c r="K527" i="10"/>
  <c r="J527" i="10"/>
  <c r="K255" i="10"/>
  <c r="J255" i="10"/>
  <c r="K1102" i="10"/>
  <c r="J1102" i="10"/>
  <c r="J1005" i="10"/>
  <c r="K1005" i="10"/>
  <c r="J941" i="10"/>
  <c r="K941" i="10"/>
  <c r="K878" i="10"/>
  <c r="J878" i="10"/>
  <c r="J788" i="10"/>
  <c r="K788" i="10"/>
  <c r="J737" i="10"/>
  <c r="K737" i="10"/>
  <c r="J673" i="10"/>
  <c r="K673" i="10"/>
  <c r="J608" i="10"/>
  <c r="K608" i="10"/>
  <c r="J544" i="10"/>
  <c r="K544" i="10"/>
  <c r="K419" i="10"/>
  <c r="J419" i="10"/>
  <c r="K355" i="10"/>
  <c r="J355" i="10"/>
  <c r="K291" i="10"/>
  <c r="J291" i="10"/>
  <c r="K227" i="10"/>
  <c r="J227" i="10"/>
  <c r="K163" i="10"/>
  <c r="J163" i="10"/>
  <c r="K99" i="10"/>
  <c r="J99" i="10"/>
  <c r="K1015" i="10"/>
  <c r="J1015" i="10"/>
  <c r="J812" i="10"/>
  <c r="K812" i="10"/>
  <c r="K633" i="10"/>
  <c r="J633" i="10"/>
  <c r="K359" i="10"/>
  <c r="J359" i="10"/>
  <c r="J290" i="10"/>
  <c r="K290" i="10"/>
  <c r="J194" i="10"/>
  <c r="K194" i="10"/>
  <c r="K1085" i="10"/>
  <c r="J1085" i="10"/>
  <c r="J1060" i="10"/>
  <c r="K1060" i="10"/>
  <c r="J1018" i="10"/>
  <c r="K1018" i="10"/>
  <c r="K975" i="10"/>
  <c r="J975" i="10"/>
  <c r="J909" i="10"/>
  <c r="K909" i="10"/>
  <c r="J845" i="10"/>
  <c r="K845" i="10"/>
  <c r="K755" i="10"/>
  <c r="J755" i="10"/>
  <c r="K691" i="10"/>
  <c r="J691" i="10"/>
  <c r="J618" i="10"/>
  <c r="K618" i="10"/>
  <c r="J554" i="10"/>
  <c r="K554" i="10"/>
  <c r="J504" i="10"/>
  <c r="K504" i="10"/>
  <c r="J472" i="10"/>
  <c r="K472" i="10"/>
  <c r="K441" i="10"/>
  <c r="J441" i="10"/>
  <c r="K341" i="10"/>
  <c r="J341" i="10"/>
  <c r="K213" i="10"/>
  <c r="J213" i="10"/>
  <c r="K85" i="10"/>
  <c r="J85" i="10"/>
  <c r="K918" i="10"/>
  <c r="J918" i="10"/>
  <c r="K790" i="10"/>
  <c r="J790" i="10"/>
  <c r="J649" i="10"/>
  <c r="K649" i="10"/>
  <c r="J532" i="10"/>
  <c r="K532" i="10"/>
  <c r="K151" i="10"/>
  <c r="J151" i="10"/>
  <c r="J453" i="10"/>
  <c r="K453" i="10"/>
  <c r="J469" i="10"/>
  <c r="K469" i="10"/>
  <c r="J485" i="10"/>
  <c r="K485" i="10"/>
  <c r="J501" i="10"/>
  <c r="K501" i="10"/>
  <c r="J517" i="10"/>
  <c r="K517" i="10"/>
  <c r="J785" i="10"/>
  <c r="K785" i="10"/>
  <c r="J805" i="10"/>
  <c r="K805" i="10"/>
  <c r="J1021" i="10"/>
  <c r="K1021" i="10"/>
  <c r="J1041" i="10"/>
  <c r="K1041" i="10"/>
  <c r="J1057" i="10"/>
  <c r="K1057" i="10"/>
  <c r="J1073" i="10"/>
  <c r="K1073" i="10"/>
  <c r="J80" i="10"/>
  <c r="K80" i="10"/>
  <c r="J96" i="10"/>
  <c r="K96" i="10"/>
  <c r="J112" i="10"/>
  <c r="K112" i="10"/>
  <c r="J128" i="10"/>
  <c r="K128" i="10"/>
  <c r="J144" i="10"/>
  <c r="K144" i="10"/>
  <c r="J160" i="10"/>
  <c r="K160" i="10"/>
  <c r="J176" i="10"/>
  <c r="K176" i="10"/>
  <c r="J192" i="10"/>
  <c r="K192" i="10"/>
  <c r="J208" i="10"/>
  <c r="K208" i="10"/>
  <c r="J224" i="10"/>
  <c r="K224" i="10"/>
  <c r="J240" i="10"/>
  <c r="K240" i="10"/>
  <c r="J256" i="10"/>
  <c r="K256" i="10"/>
  <c r="J272" i="10"/>
  <c r="K272" i="10"/>
  <c r="J288" i="10"/>
  <c r="K288" i="10"/>
  <c r="J304" i="10"/>
  <c r="K304" i="10"/>
  <c r="J320" i="10"/>
  <c r="K320" i="10"/>
  <c r="J336" i="10"/>
  <c r="K336" i="10"/>
  <c r="J352" i="10"/>
  <c r="K352" i="10"/>
  <c r="J368" i="10"/>
  <c r="K368" i="10"/>
  <c r="J384" i="10"/>
  <c r="K384" i="10"/>
  <c r="J400" i="10"/>
  <c r="K400" i="10"/>
  <c r="J416" i="10"/>
  <c r="K416" i="10"/>
  <c r="J432" i="10"/>
  <c r="K432" i="10"/>
  <c r="J1112" i="10"/>
  <c r="K1112" i="10"/>
  <c r="J1127" i="10"/>
  <c r="K1127" i="10"/>
  <c r="J1143" i="10"/>
  <c r="K1143" i="10"/>
  <c r="J1159" i="10"/>
  <c r="K1159" i="10"/>
  <c r="K15" i="11"/>
  <c r="J15" i="11"/>
  <c r="M14" i="13"/>
  <c r="K1079" i="10"/>
  <c r="J1079" i="10"/>
  <c r="K942" i="10"/>
  <c r="J942" i="10"/>
  <c r="K747" i="10"/>
  <c r="J747" i="10"/>
  <c r="K555" i="10"/>
  <c r="J555" i="10"/>
  <c r="K241" i="10"/>
  <c r="J241" i="10"/>
  <c r="K947" i="10"/>
  <c r="J947" i="10"/>
  <c r="J921" i="10"/>
  <c r="K921" i="10"/>
  <c r="K742" i="10"/>
  <c r="J742" i="10"/>
  <c r="J625" i="10"/>
  <c r="K625" i="10"/>
  <c r="K326" i="10"/>
  <c r="J326" i="10"/>
  <c r="J134" i="10"/>
  <c r="K134" i="10"/>
  <c r="K679" i="10"/>
  <c r="J679" i="10"/>
  <c r="K1105" i="10"/>
  <c r="J1105" i="10"/>
  <c r="J908" i="10"/>
  <c r="K908" i="10"/>
  <c r="J772" i="10"/>
  <c r="K772" i="10"/>
  <c r="K579" i="10"/>
  <c r="J579" i="10"/>
  <c r="K349" i="10"/>
  <c r="J349" i="10"/>
  <c r="J848" i="10"/>
  <c r="K848" i="10"/>
  <c r="K378" i="10"/>
  <c r="J378" i="10"/>
  <c r="K1126" i="10"/>
  <c r="J1126" i="10"/>
  <c r="K1093" i="10"/>
  <c r="J1093" i="10"/>
  <c r="J869" i="10"/>
  <c r="K869" i="10"/>
  <c r="K674" i="10"/>
  <c r="J674" i="10"/>
  <c r="K546" i="10"/>
  <c r="J546" i="10"/>
  <c r="J468" i="10"/>
  <c r="K468" i="10"/>
  <c r="K702" i="10"/>
  <c r="J702" i="10"/>
  <c r="J957" i="10"/>
  <c r="K957" i="10"/>
  <c r="K830" i="10"/>
  <c r="J830" i="10"/>
  <c r="J657" i="10"/>
  <c r="K657" i="10"/>
  <c r="K526" i="10"/>
  <c r="J526" i="10"/>
  <c r="K251" i="10"/>
  <c r="J251" i="10"/>
  <c r="K927" i="10"/>
  <c r="J927" i="10"/>
  <c r="K282" i="10"/>
  <c r="J282" i="10"/>
  <c r="J1052" i="10"/>
  <c r="K1052" i="10"/>
  <c r="J861" i="10"/>
  <c r="K861" i="10"/>
  <c r="K675" i="10"/>
  <c r="J675" i="10"/>
  <c r="J490" i="10"/>
  <c r="K490" i="10"/>
  <c r="K421" i="10"/>
  <c r="J421" i="10"/>
  <c r="K1027" i="10"/>
  <c r="J1027" i="10"/>
  <c r="K759" i="10"/>
  <c r="J759" i="10"/>
  <c r="K90" i="10"/>
  <c r="J90" i="10"/>
  <c r="K1154" i="10"/>
  <c r="J1154" i="10"/>
  <c r="K1010" i="10"/>
  <c r="J1010" i="10"/>
  <c r="J781" i="10"/>
  <c r="K781" i="10"/>
  <c r="K499" i="10"/>
  <c r="J499" i="10"/>
  <c r="K161" i="10"/>
  <c r="J161" i="10"/>
  <c r="J617" i="10"/>
  <c r="K617" i="10"/>
  <c r="J1014" i="10"/>
  <c r="K1014" i="10"/>
  <c r="K795" i="10"/>
  <c r="J795" i="10"/>
  <c r="J609" i="10"/>
  <c r="K609" i="10"/>
  <c r="K318" i="10"/>
  <c r="J318" i="10"/>
  <c r="K126" i="10"/>
  <c r="J126" i="10"/>
  <c r="K1110" i="10"/>
  <c r="J1110" i="10"/>
  <c r="J553" i="10"/>
  <c r="K553" i="10"/>
  <c r="K1101" i="10"/>
  <c r="J1101" i="10"/>
  <c r="J924" i="10"/>
  <c r="K924" i="10"/>
  <c r="J860" i="10"/>
  <c r="K860" i="10"/>
  <c r="J613" i="10"/>
  <c r="K613" i="10"/>
  <c r="K429" i="10"/>
  <c r="J429" i="10"/>
  <c r="J1002" i="10"/>
  <c r="K1002" i="10"/>
  <c r="K87" i="10"/>
  <c r="J87" i="10"/>
  <c r="K1142" i="10"/>
  <c r="J1142" i="10"/>
  <c r="K1042" i="10"/>
  <c r="J1042" i="10"/>
  <c r="J969" i="10"/>
  <c r="K969" i="10"/>
  <c r="K899" i="10"/>
  <c r="J899" i="10"/>
  <c r="K835" i="10"/>
  <c r="J835" i="10"/>
  <c r="J780" i="10"/>
  <c r="K780" i="10"/>
  <c r="J716" i="10"/>
  <c r="K716" i="10"/>
  <c r="J652" i="10"/>
  <c r="K652" i="10"/>
  <c r="J476" i="10"/>
  <c r="K476" i="10"/>
  <c r="R6" i="12"/>
  <c r="Q7" i="12"/>
  <c r="L44" i="4"/>
  <c r="K44" i="4"/>
  <c r="F50" i="6"/>
  <c r="K1149" i="10"/>
  <c r="J1149" i="10"/>
  <c r="K1144" i="10"/>
  <c r="J1144" i="10"/>
  <c r="K1117" i="10"/>
  <c r="J1117" i="10"/>
  <c r="K1047" i="10"/>
  <c r="J1047" i="10"/>
  <c r="K974" i="10"/>
  <c r="J974" i="10"/>
  <c r="J916" i="10"/>
  <c r="K916" i="10"/>
  <c r="J852" i="10"/>
  <c r="K852" i="10"/>
  <c r="K779" i="10"/>
  <c r="J779" i="10"/>
  <c r="K715" i="10"/>
  <c r="J715" i="10"/>
  <c r="K651" i="10"/>
  <c r="J651" i="10"/>
  <c r="K587" i="10"/>
  <c r="J587" i="10"/>
  <c r="K507" i="10"/>
  <c r="J507" i="10"/>
  <c r="K433" i="10"/>
  <c r="J433" i="10"/>
  <c r="K305" i="10"/>
  <c r="J305" i="10"/>
  <c r="K177" i="10"/>
  <c r="J177" i="10"/>
  <c r="J1088" i="10"/>
  <c r="K1088" i="10"/>
  <c r="J864" i="10"/>
  <c r="K864" i="10"/>
  <c r="J648" i="10"/>
  <c r="K648" i="10"/>
  <c r="K218" i="10"/>
  <c r="J218" i="10"/>
  <c r="J1004" i="10"/>
  <c r="K1004" i="10"/>
  <c r="J940" i="10"/>
  <c r="K940" i="10"/>
  <c r="J889" i="10"/>
  <c r="K889" i="10"/>
  <c r="J825" i="10"/>
  <c r="K825" i="10"/>
  <c r="K774" i="10"/>
  <c r="J774" i="10"/>
  <c r="K710" i="10"/>
  <c r="J710" i="10"/>
  <c r="J646" i="10"/>
  <c r="K646" i="10"/>
  <c r="J593" i="10"/>
  <c r="K593" i="10"/>
  <c r="J422" i="10"/>
  <c r="K422" i="10"/>
  <c r="J358" i="10"/>
  <c r="K358" i="10"/>
  <c r="K294" i="10"/>
  <c r="J294" i="10"/>
  <c r="K230" i="10"/>
  <c r="J230" i="10"/>
  <c r="K166" i="10"/>
  <c r="J166" i="10"/>
  <c r="J102" i="10"/>
  <c r="K102" i="10"/>
  <c r="K911" i="10"/>
  <c r="J911" i="10"/>
  <c r="K750" i="10"/>
  <c r="J750" i="10"/>
  <c r="J569" i="10"/>
  <c r="K569" i="10"/>
  <c r="K191" i="10"/>
  <c r="J191" i="10"/>
  <c r="J1084" i="10"/>
  <c r="K1084" i="10"/>
  <c r="K1011" i="10"/>
  <c r="J1011" i="10"/>
  <c r="J960" i="10"/>
  <c r="K960" i="10"/>
  <c r="J876" i="10"/>
  <c r="K876" i="10"/>
  <c r="J800" i="10"/>
  <c r="K800" i="10"/>
  <c r="J740" i="10"/>
  <c r="K740" i="10"/>
  <c r="J676" i="10"/>
  <c r="K676" i="10"/>
  <c r="K611" i="10"/>
  <c r="J611" i="10"/>
  <c r="K547" i="10"/>
  <c r="J547" i="10"/>
  <c r="K471" i="10"/>
  <c r="J471" i="10"/>
  <c r="K413" i="10"/>
  <c r="J413" i="10"/>
  <c r="K285" i="10"/>
  <c r="J285" i="10"/>
  <c r="K157" i="10"/>
  <c r="J157" i="10"/>
  <c r="K995" i="10"/>
  <c r="J995" i="10"/>
  <c r="J680" i="10"/>
  <c r="K680" i="10"/>
  <c r="K426" i="10"/>
  <c r="J426" i="10"/>
  <c r="K303" i="10"/>
  <c r="J303" i="10"/>
  <c r="J1141" i="10"/>
  <c r="K1141" i="10"/>
  <c r="J1161" i="10"/>
  <c r="K1161" i="10"/>
  <c r="K1158" i="10"/>
  <c r="J1158" i="10"/>
  <c r="K1066" i="10"/>
  <c r="J1066" i="10"/>
  <c r="J1024" i="10"/>
  <c r="K1024" i="10"/>
  <c r="K967" i="10"/>
  <c r="J967" i="10"/>
  <c r="J901" i="10"/>
  <c r="K901" i="10"/>
  <c r="J837" i="10"/>
  <c r="K837" i="10"/>
  <c r="K770" i="10"/>
  <c r="J770" i="10"/>
  <c r="K706" i="10"/>
  <c r="J706" i="10"/>
  <c r="K642" i="10"/>
  <c r="J642" i="10"/>
  <c r="K578" i="10"/>
  <c r="J578" i="10"/>
  <c r="J518" i="10"/>
  <c r="K518" i="10"/>
  <c r="J484" i="10"/>
  <c r="K484" i="10"/>
  <c r="J452" i="10"/>
  <c r="K452" i="10"/>
  <c r="K377" i="10"/>
  <c r="J377" i="10"/>
  <c r="K249" i="10"/>
  <c r="J249" i="10"/>
  <c r="K121" i="10"/>
  <c r="J121" i="10"/>
  <c r="K782" i="10"/>
  <c r="J782" i="10"/>
  <c r="K622" i="10"/>
  <c r="J622" i="10"/>
  <c r="J434" i="10"/>
  <c r="K434" i="10"/>
  <c r="K183" i="10"/>
  <c r="J183" i="10"/>
  <c r="J989" i="10"/>
  <c r="K989" i="10"/>
  <c r="K926" i="10"/>
  <c r="J926" i="10"/>
  <c r="K862" i="10"/>
  <c r="J862" i="10"/>
  <c r="J810" i="10"/>
  <c r="K810" i="10"/>
  <c r="J753" i="10"/>
  <c r="K753" i="10"/>
  <c r="J689" i="10"/>
  <c r="K689" i="10"/>
  <c r="J624" i="10"/>
  <c r="K624" i="10"/>
  <c r="J560" i="10"/>
  <c r="K560" i="10"/>
  <c r="K411" i="10"/>
  <c r="J411" i="10"/>
  <c r="K347" i="10"/>
  <c r="J347" i="10"/>
  <c r="K283" i="10"/>
  <c r="J283" i="10"/>
  <c r="K219" i="10"/>
  <c r="J219" i="10"/>
  <c r="K155" i="10"/>
  <c r="J155" i="10"/>
  <c r="K91" i="10"/>
  <c r="J91" i="10"/>
  <c r="J760" i="10"/>
  <c r="K760" i="10"/>
  <c r="K606" i="10"/>
  <c r="J606" i="10"/>
  <c r="K330" i="10"/>
  <c r="J330" i="10"/>
  <c r="K234" i="10"/>
  <c r="J234" i="10"/>
  <c r="J1068" i="10"/>
  <c r="K1068" i="10"/>
  <c r="J1036" i="10"/>
  <c r="K1036" i="10"/>
  <c r="K959" i="10"/>
  <c r="J959" i="10"/>
  <c r="J893" i="10"/>
  <c r="K893" i="10"/>
  <c r="J829" i="10"/>
  <c r="K829" i="10"/>
  <c r="K771" i="10"/>
  <c r="J771" i="10"/>
  <c r="K707" i="10"/>
  <c r="J707" i="10"/>
  <c r="K643" i="10"/>
  <c r="J643" i="10"/>
  <c r="K570" i="10"/>
  <c r="J570" i="10"/>
  <c r="J506" i="10"/>
  <c r="K506" i="10"/>
  <c r="J474" i="10"/>
  <c r="K474" i="10"/>
  <c r="K443" i="10"/>
  <c r="J443" i="10"/>
  <c r="K357" i="10"/>
  <c r="J357" i="10"/>
  <c r="K229" i="10"/>
  <c r="J229" i="10"/>
  <c r="K101" i="10"/>
  <c r="J101" i="10"/>
  <c r="J970" i="10"/>
  <c r="K970" i="10"/>
  <c r="J880" i="10"/>
  <c r="K880" i="10"/>
  <c r="J632" i="10"/>
  <c r="K632" i="10"/>
  <c r="J402" i="10"/>
  <c r="K402" i="10"/>
  <c r="K247" i="10"/>
  <c r="J247" i="10"/>
  <c r="J1133" i="10"/>
  <c r="K1133" i="10"/>
  <c r="K1153" i="10"/>
  <c r="J1153" i="10"/>
  <c r="K1134" i="10"/>
  <c r="J1134" i="10"/>
  <c r="K1055" i="10"/>
  <c r="J1055" i="10"/>
  <c r="J984" i="10"/>
  <c r="K984" i="10"/>
  <c r="J906" i="10"/>
  <c r="K906" i="10"/>
  <c r="J842" i="10"/>
  <c r="K842" i="10"/>
  <c r="J749" i="10"/>
  <c r="K749" i="10"/>
  <c r="J685" i="10"/>
  <c r="K685" i="10"/>
  <c r="J621" i="10"/>
  <c r="K621" i="10"/>
  <c r="J557" i="10"/>
  <c r="K557" i="10"/>
  <c r="K467" i="10"/>
  <c r="J467" i="10"/>
  <c r="K353" i="10"/>
  <c r="J353" i="10"/>
  <c r="K225" i="10"/>
  <c r="J225" i="10"/>
  <c r="K97" i="10"/>
  <c r="J97" i="10"/>
  <c r="J938" i="10"/>
  <c r="K938" i="10"/>
  <c r="J681" i="10"/>
  <c r="K681" i="10"/>
  <c r="K531" i="10"/>
  <c r="J531" i="10"/>
  <c r="K335" i="10"/>
  <c r="J335" i="10"/>
  <c r="K127" i="10"/>
  <c r="J127" i="10"/>
  <c r="J1096" i="10"/>
  <c r="K1096" i="10"/>
  <c r="J988" i="10"/>
  <c r="K988" i="10"/>
  <c r="J905" i="10"/>
  <c r="K905" i="10"/>
  <c r="J841" i="10"/>
  <c r="K841" i="10"/>
  <c r="K758" i="10"/>
  <c r="J758" i="10"/>
  <c r="J694" i="10"/>
  <c r="K694" i="10"/>
  <c r="K630" i="10"/>
  <c r="J630" i="10"/>
  <c r="J577" i="10"/>
  <c r="K577" i="10"/>
  <c r="K414" i="10"/>
  <c r="J414" i="10"/>
  <c r="K350" i="10"/>
  <c r="J350" i="10"/>
  <c r="K286" i="10"/>
  <c r="J286" i="10"/>
  <c r="K222" i="10"/>
  <c r="J222" i="10"/>
  <c r="K158" i="10"/>
  <c r="J158" i="10"/>
  <c r="K94" i="10"/>
  <c r="J94" i="10"/>
  <c r="J996" i="10"/>
  <c r="K996" i="10"/>
  <c r="J776" i="10"/>
  <c r="K776" i="10"/>
  <c r="J600" i="10"/>
  <c r="K600" i="10"/>
  <c r="K362" i="10"/>
  <c r="J362" i="10"/>
  <c r="J130" i="10"/>
  <c r="K130" i="10"/>
  <c r="K1051" i="10"/>
  <c r="J1051" i="10"/>
  <c r="J1008" i="10"/>
  <c r="K1008" i="10"/>
  <c r="J944" i="10"/>
  <c r="K944" i="10"/>
  <c r="J892" i="10"/>
  <c r="K892" i="10"/>
  <c r="J828" i="10"/>
  <c r="K828" i="10"/>
  <c r="K762" i="10"/>
  <c r="J762" i="10"/>
  <c r="K698" i="10"/>
  <c r="J698" i="10"/>
  <c r="K634" i="10"/>
  <c r="J634" i="10"/>
  <c r="J581" i="10"/>
  <c r="K581" i="10"/>
  <c r="J516" i="10"/>
  <c r="K516" i="10"/>
  <c r="K463" i="10"/>
  <c r="J463" i="10"/>
  <c r="K365" i="10"/>
  <c r="J365" i="10"/>
  <c r="K237" i="10"/>
  <c r="J237" i="10"/>
  <c r="K109" i="10"/>
  <c r="J109" i="10"/>
  <c r="J832" i="10"/>
  <c r="K832" i="10"/>
  <c r="J354" i="10"/>
  <c r="K354" i="10"/>
  <c r="J178" i="10"/>
  <c r="K178" i="10"/>
  <c r="K1170" i="10"/>
  <c r="J1170" i="10"/>
  <c r="J1145" i="10"/>
  <c r="K1145" i="10"/>
  <c r="K1091" i="10"/>
  <c r="J1091" i="10"/>
  <c r="K1058" i="10"/>
  <c r="J1058" i="10"/>
  <c r="J1001" i="10"/>
  <c r="K1001" i="10"/>
  <c r="K931" i="10"/>
  <c r="J931" i="10"/>
  <c r="K867" i="10"/>
  <c r="J867" i="10"/>
  <c r="J816" i="10"/>
  <c r="K816" i="10"/>
  <c r="J748" i="10"/>
  <c r="K748" i="10"/>
  <c r="J684" i="10"/>
  <c r="K684" i="10"/>
  <c r="J620" i="10"/>
  <c r="K620" i="10"/>
  <c r="J556" i="10"/>
  <c r="K556" i="10"/>
  <c r="J492" i="10"/>
  <c r="K492" i="10"/>
  <c r="J460" i="10"/>
  <c r="K460" i="10"/>
  <c r="K393" i="10"/>
  <c r="J393" i="10"/>
  <c r="K265" i="10"/>
  <c r="J265" i="10"/>
  <c r="K137" i="10"/>
  <c r="J137" i="10"/>
  <c r="J833" i="10"/>
  <c r="K833" i="10"/>
  <c r="J697" i="10"/>
  <c r="K697" i="10"/>
  <c r="K415" i="10"/>
  <c r="J415" i="10"/>
  <c r="K239" i="10"/>
  <c r="J239" i="10"/>
  <c r="K1095" i="10"/>
  <c r="J1095" i="10"/>
  <c r="K987" i="10"/>
  <c r="J987" i="10"/>
  <c r="J936" i="10"/>
  <c r="K936" i="10"/>
  <c r="J872" i="10"/>
  <c r="K872" i="10"/>
  <c r="K783" i="10"/>
  <c r="J783" i="10"/>
  <c r="K719" i="10"/>
  <c r="J719" i="10"/>
  <c r="K655" i="10"/>
  <c r="J655" i="10"/>
  <c r="K582" i="10"/>
  <c r="J582" i="10"/>
  <c r="K530" i="10"/>
  <c r="J530" i="10"/>
  <c r="K403" i="10"/>
  <c r="J403" i="10"/>
  <c r="K339" i="10"/>
  <c r="J339" i="10"/>
  <c r="K275" i="10"/>
  <c r="J275" i="10"/>
  <c r="K211" i="10"/>
  <c r="J211" i="10"/>
  <c r="K147" i="10"/>
  <c r="J147" i="10"/>
  <c r="K83" i="10"/>
  <c r="J83" i="10"/>
  <c r="J934" i="10"/>
  <c r="K934" i="10"/>
  <c r="K718" i="10"/>
  <c r="J718" i="10"/>
  <c r="J616" i="10"/>
  <c r="K616" i="10"/>
  <c r="J338" i="10"/>
  <c r="K338" i="10"/>
  <c r="J258" i="10"/>
  <c r="K258" i="10"/>
  <c r="J146" i="10"/>
  <c r="K146" i="10"/>
  <c r="J1119" i="10"/>
  <c r="K1119" i="10"/>
  <c r="J1081" i="10"/>
  <c r="K1081" i="10"/>
  <c r="K1054" i="10"/>
  <c r="J1054" i="10"/>
  <c r="J1012" i="10"/>
  <c r="K1012" i="10"/>
  <c r="J961" i="10"/>
  <c r="K961" i="10"/>
  <c r="K891" i="10"/>
  <c r="J891" i="10"/>
  <c r="K827" i="10"/>
  <c r="J827" i="10"/>
  <c r="J741" i="10"/>
  <c r="K741" i="10"/>
  <c r="J677" i="10"/>
  <c r="K677" i="10"/>
  <c r="J612" i="10"/>
  <c r="K612" i="10"/>
  <c r="J548" i="10"/>
  <c r="K548" i="10"/>
  <c r="K498" i="10"/>
  <c r="J498" i="10"/>
  <c r="K466" i="10"/>
  <c r="J466" i="10"/>
  <c r="K437" i="10"/>
  <c r="J437" i="10"/>
  <c r="K309" i="10"/>
  <c r="J309" i="10"/>
  <c r="K181" i="10"/>
  <c r="J181" i="10"/>
  <c r="J1017" i="10"/>
  <c r="K1017" i="10"/>
  <c r="J902" i="10"/>
  <c r="K902" i="10"/>
  <c r="K766" i="10"/>
  <c r="J766" i="10"/>
  <c r="J584" i="10"/>
  <c r="K584" i="10"/>
  <c r="K410" i="10"/>
  <c r="J410" i="10"/>
  <c r="K135" i="10"/>
  <c r="J135" i="10"/>
  <c r="J457" i="10"/>
  <c r="K457" i="10"/>
  <c r="J473" i="10"/>
  <c r="K473" i="10"/>
  <c r="J489" i="10"/>
  <c r="K489" i="10"/>
  <c r="J505" i="10"/>
  <c r="K505" i="10"/>
  <c r="J525" i="10"/>
  <c r="K525" i="10"/>
  <c r="J789" i="10"/>
  <c r="K789" i="10"/>
  <c r="J817" i="10"/>
  <c r="K817" i="10"/>
  <c r="J1025" i="10"/>
  <c r="K1025" i="10"/>
  <c r="J1045" i="10"/>
  <c r="K1045" i="10"/>
  <c r="J1061" i="10"/>
  <c r="K1061" i="10"/>
  <c r="J1077" i="10"/>
  <c r="K1077" i="10"/>
  <c r="J84" i="10"/>
  <c r="K84" i="10"/>
  <c r="J100" i="10"/>
  <c r="K100" i="10"/>
  <c r="J116" i="10"/>
  <c r="K116" i="10"/>
  <c r="J132" i="10"/>
  <c r="K132" i="10"/>
  <c r="J148" i="10"/>
  <c r="K148" i="10"/>
  <c r="J164" i="10"/>
  <c r="K164" i="10"/>
  <c r="J180" i="10"/>
  <c r="K180" i="10"/>
  <c r="J196" i="10"/>
  <c r="K196" i="10"/>
  <c r="J212" i="10"/>
  <c r="K212" i="10"/>
  <c r="J228" i="10"/>
  <c r="K228" i="10"/>
  <c r="J244" i="10"/>
  <c r="K244" i="10"/>
  <c r="J260" i="10"/>
  <c r="K260" i="10"/>
  <c r="J276" i="10"/>
  <c r="K276" i="10"/>
  <c r="J292" i="10"/>
  <c r="K292" i="10"/>
  <c r="J308" i="10"/>
  <c r="K308" i="10"/>
  <c r="J324" i="10"/>
  <c r="K324" i="10"/>
  <c r="J340" i="10"/>
  <c r="K340" i="10"/>
  <c r="J356" i="10"/>
  <c r="K356" i="10"/>
  <c r="J372" i="10"/>
  <c r="K372" i="10"/>
  <c r="J388" i="10"/>
  <c r="K388" i="10"/>
  <c r="J404" i="10"/>
  <c r="K404" i="10"/>
  <c r="J420" i="10"/>
  <c r="K420" i="10"/>
  <c r="J436" i="10"/>
  <c r="K436" i="10"/>
  <c r="J1116" i="10"/>
  <c r="K1116" i="10"/>
  <c r="J1131" i="10"/>
  <c r="K1131" i="10"/>
  <c r="J1147" i="10"/>
  <c r="K1147" i="10"/>
  <c r="J1163" i="10"/>
  <c r="K1163" i="10"/>
  <c r="U25" i="11"/>
  <c r="T25" i="11"/>
  <c r="K1138" i="10"/>
  <c r="J1138" i="10"/>
  <c r="K1006" i="10"/>
  <c r="J1006" i="10"/>
  <c r="J820" i="10"/>
  <c r="K820" i="10"/>
  <c r="K683" i="10"/>
  <c r="J683" i="10"/>
  <c r="K475" i="10"/>
  <c r="J475" i="10"/>
  <c r="K113" i="10"/>
  <c r="J113" i="10"/>
  <c r="J537" i="10"/>
  <c r="K537" i="10"/>
  <c r="J972" i="10"/>
  <c r="K972" i="10"/>
  <c r="J792" i="10"/>
  <c r="K792" i="10"/>
  <c r="K678" i="10"/>
  <c r="J678" i="10"/>
  <c r="K390" i="10"/>
  <c r="J390" i="10"/>
  <c r="K198" i="10"/>
  <c r="J198" i="10"/>
  <c r="J849" i="10"/>
  <c r="K849" i="10"/>
  <c r="J386" i="10"/>
  <c r="K386" i="10"/>
  <c r="K1059" i="10"/>
  <c r="J1059" i="10"/>
  <c r="J844" i="10"/>
  <c r="K844" i="10"/>
  <c r="J644" i="10"/>
  <c r="K644" i="10"/>
  <c r="K503" i="10"/>
  <c r="J503" i="10"/>
  <c r="K221" i="10"/>
  <c r="J221" i="10"/>
  <c r="J601" i="10"/>
  <c r="K601" i="10"/>
  <c r="K1050" i="10"/>
  <c r="J1050" i="10"/>
  <c r="J933" i="10"/>
  <c r="K933" i="10"/>
  <c r="K738" i="10"/>
  <c r="J738" i="10"/>
  <c r="J500" i="10"/>
  <c r="K500" i="10"/>
  <c r="K313" i="10"/>
  <c r="J313" i="10"/>
  <c r="K185" i="10"/>
  <c r="J185" i="10"/>
  <c r="K567" i="10"/>
  <c r="J567" i="10"/>
  <c r="K1097" i="10"/>
  <c r="J1097" i="10"/>
  <c r="K791" i="10"/>
  <c r="J791" i="10"/>
  <c r="J592" i="10"/>
  <c r="K592" i="10"/>
  <c r="K315" i="10"/>
  <c r="J315" i="10"/>
  <c r="K187" i="10"/>
  <c r="J187" i="10"/>
  <c r="K711" i="10"/>
  <c r="J711" i="10"/>
  <c r="K170" i="10"/>
  <c r="J170" i="10"/>
  <c r="K991" i="10"/>
  <c r="J991" i="10"/>
  <c r="J804" i="10"/>
  <c r="K804" i="10"/>
  <c r="K602" i="10"/>
  <c r="J602" i="10"/>
  <c r="J458" i="10"/>
  <c r="K458" i="10"/>
  <c r="K165" i="10"/>
  <c r="J165" i="10"/>
  <c r="K523" i="10"/>
  <c r="J523" i="10"/>
  <c r="J1165" i="10"/>
  <c r="K1165" i="10"/>
  <c r="J1118" i="10"/>
  <c r="K1118" i="10"/>
  <c r="J952" i="10"/>
  <c r="K952" i="10"/>
  <c r="J717" i="10"/>
  <c r="K717" i="10"/>
  <c r="J589" i="10"/>
  <c r="K589" i="10"/>
  <c r="K289" i="10"/>
  <c r="J289" i="10"/>
  <c r="J997" i="10"/>
  <c r="K997" i="10"/>
  <c r="K367" i="10"/>
  <c r="J367" i="10"/>
  <c r="J1114" i="10"/>
  <c r="K1114" i="10"/>
  <c r="J873" i="10"/>
  <c r="K873" i="10"/>
  <c r="K662" i="10"/>
  <c r="J662" i="10"/>
  <c r="J545" i="10"/>
  <c r="K545" i="10"/>
  <c r="K254" i="10"/>
  <c r="J254" i="10"/>
  <c r="K686" i="10"/>
  <c r="J686" i="10"/>
  <c r="J98" i="10"/>
  <c r="K98" i="10"/>
  <c r="J976" i="10"/>
  <c r="K976" i="10"/>
  <c r="J808" i="10"/>
  <c r="K808" i="10"/>
  <c r="K666" i="10"/>
  <c r="J666" i="10"/>
  <c r="K495" i="10"/>
  <c r="J495" i="10"/>
  <c r="K173" i="10"/>
  <c r="J173" i="10"/>
  <c r="K311" i="10"/>
  <c r="J311" i="10"/>
  <c r="J1157" i="10"/>
  <c r="K1157" i="10"/>
  <c r="K1074" i="10"/>
  <c r="J1074" i="10"/>
  <c r="J588" i="10"/>
  <c r="K588" i="10"/>
  <c r="L13" i="4"/>
  <c r="L17" i="4" s="1"/>
  <c r="K13" i="4"/>
  <c r="J17" i="4"/>
  <c r="K17" i="4" s="1"/>
  <c r="G62" i="14"/>
  <c r="K1125" i="10"/>
  <c r="J1125" i="10"/>
  <c r="K1137" i="10"/>
  <c r="J1137" i="10"/>
  <c r="J1082" i="10"/>
  <c r="K1082" i="10"/>
  <c r="J1020" i="10"/>
  <c r="K1020" i="10"/>
  <c r="J968" i="10"/>
  <c r="K968" i="10"/>
  <c r="J890" i="10"/>
  <c r="K890" i="10"/>
  <c r="J826" i="10"/>
  <c r="K826" i="10"/>
  <c r="J765" i="10"/>
  <c r="K765" i="10"/>
  <c r="J701" i="10"/>
  <c r="K701" i="10"/>
  <c r="J637" i="10"/>
  <c r="K637" i="10"/>
  <c r="J573" i="10"/>
  <c r="K573" i="10"/>
  <c r="K491" i="10"/>
  <c r="J491" i="10"/>
  <c r="K401" i="10"/>
  <c r="J401" i="10"/>
  <c r="K273" i="10"/>
  <c r="J273" i="10"/>
  <c r="K145" i="10"/>
  <c r="J145" i="10"/>
  <c r="J964" i="10"/>
  <c r="K964" i="10"/>
  <c r="K847" i="10"/>
  <c r="J847" i="10"/>
  <c r="K631" i="10"/>
  <c r="J631" i="10"/>
  <c r="K186" i="10"/>
  <c r="J186" i="10"/>
  <c r="K978" i="10"/>
  <c r="J978" i="10"/>
  <c r="K935" i="10"/>
  <c r="J935" i="10"/>
  <c r="K871" i="10"/>
  <c r="J871" i="10"/>
  <c r="J797" i="10"/>
  <c r="K797" i="10"/>
  <c r="J768" i="10"/>
  <c r="K768" i="10"/>
  <c r="J704" i="10"/>
  <c r="K704" i="10"/>
  <c r="J640" i="10"/>
  <c r="K640" i="10"/>
  <c r="K575" i="10"/>
  <c r="J575" i="10"/>
  <c r="J406" i="10"/>
  <c r="K406" i="10"/>
  <c r="J342" i="10"/>
  <c r="K342" i="10"/>
  <c r="K278" i="10"/>
  <c r="J278" i="10"/>
  <c r="K214" i="10"/>
  <c r="J214" i="10"/>
  <c r="K150" i="10"/>
  <c r="J150" i="10"/>
  <c r="J86" i="10"/>
  <c r="K86" i="10"/>
  <c r="J870" i="10"/>
  <c r="K870" i="10"/>
  <c r="K695" i="10"/>
  <c r="J695" i="10"/>
  <c r="K542" i="10"/>
  <c r="J542" i="10"/>
  <c r="K143" i="10"/>
  <c r="J143" i="10"/>
  <c r="K1075" i="10"/>
  <c r="J1075" i="10"/>
  <c r="K998" i="10"/>
  <c r="J998" i="10"/>
  <c r="K914" i="10"/>
  <c r="J914" i="10"/>
  <c r="K850" i="10"/>
  <c r="J850" i="10"/>
  <c r="J778" i="10"/>
  <c r="K778" i="10"/>
  <c r="J714" i="10"/>
  <c r="K714" i="10"/>
  <c r="J650" i="10"/>
  <c r="K650" i="10"/>
  <c r="J597" i="10"/>
  <c r="K597" i="10"/>
  <c r="K519" i="10"/>
  <c r="J519" i="10"/>
  <c r="K455" i="10"/>
  <c r="J455" i="10"/>
  <c r="K381" i="10"/>
  <c r="J381" i="10"/>
  <c r="K253" i="10"/>
  <c r="J253" i="10"/>
  <c r="K125" i="10"/>
  <c r="J125" i="10"/>
  <c r="J865" i="10"/>
  <c r="K865" i="10"/>
  <c r="K663" i="10"/>
  <c r="J663" i="10"/>
  <c r="K394" i="10"/>
  <c r="J394" i="10"/>
  <c r="K287" i="10"/>
  <c r="J287" i="10"/>
  <c r="K1146" i="10"/>
  <c r="J1146" i="10"/>
  <c r="K1136" i="10"/>
  <c r="J1136" i="10"/>
  <c r="K1109" i="10"/>
  <c r="J1109" i="10"/>
  <c r="J1056" i="10"/>
  <c r="K1056" i="10"/>
  <c r="K1019" i="10"/>
  <c r="J1019" i="10"/>
  <c r="J953" i="10"/>
  <c r="K953" i="10"/>
  <c r="K883" i="10"/>
  <c r="J883" i="10"/>
  <c r="K819" i="10"/>
  <c r="J819" i="10"/>
  <c r="J764" i="10"/>
  <c r="K764" i="10"/>
  <c r="J700" i="10"/>
  <c r="K700" i="10"/>
  <c r="J636" i="10"/>
  <c r="K636" i="10"/>
  <c r="J572" i="10"/>
  <c r="K572" i="10"/>
  <c r="K510" i="10"/>
  <c r="J510" i="10"/>
  <c r="K478" i="10"/>
  <c r="J478" i="10"/>
  <c r="K446" i="10"/>
  <c r="J446" i="10"/>
  <c r="K345" i="10"/>
  <c r="J345" i="10"/>
  <c r="K217" i="10"/>
  <c r="J217" i="10"/>
  <c r="K89" i="10"/>
  <c r="J89" i="10"/>
  <c r="J745" i="10"/>
  <c r="K745" i="10"/>
  <c r="J585" i="10"/>
  <c r="K585" i="10"/>
  <c r="J370" i="10"/>
  <c r="K370" i="10"/>
  <c r="K159" i="10"/>
  <c r="J159" i="10"/>
  <c r="K971" i="10"/>
  <c r="J971" i="10"/>
  <c r="J920" i="10"/>
  <c r="K920" i="10"/>
  <c r="J856" i="10"/>
  <c r="K856" i="10"/>
  <c r="J796" i="10"/>
  <c r="K796" i="10"/>
  <c r="K735" i="10"/>
  <c r="J735" i="10"/>
  <c r="K671" i="10"/>
  <c r="J671" i="10"/>
  <c r="J598" i="10"/>
  <c r="K598" i="10"/>
  <c r="J534" i="10"/>
  <c r="K534" i="10"/>
  <c r="K395" i="10"/>
  <c r="J395" i="10"/>
  <c r="K331" i="10"/>
  <c r="J331" i="10"/>
  <c r="K267" i="10"/>
  <c r="J267" i="10"/>
  <c r="K203" i="10"/>
  <c r="J203" i="10"/>
  <c r="K139" i="10"/>
  <c r="J139" i="10"/>
  <c r="J965" i="10"/>
  <c r="K965" i="10"/>
  <c r="K727" i="10"/>
  <c r="J727" i="10"/>
  <c r="J524" i="10"/>
  <c r="K524" i="10"/>
  <c r="K314" i="10"/>
  <c r="J314" i="10"/>
  <c r="K202" i="10"/>
  <c r="J202" i="10"/>
  <c r="J1090" i="10"/>
  <c r="K1090" i="10"/>
  <c r="J1062" i="10"/>
  <c r="K1062" i="10"/>
  <c r="K1022" i="10"/>
  <c r="J1022" i="10"/>
  <c r="J945" i="10"/>
  <c r="K945" i="10"/>
  <c r="K875" i="10"/>
  <c r="J875" i="10"/>
  <c r="J809" i="10"/>
  <c r="K809" i="10"/>
  <c r="J757" i="10"/>
  <c r="K757" i="10"/>
  <c r="J693" i="10"/>
  <c r="K693" i="10"/>
  <c r="J628" i="10"/>
  <c r="K628" i="10"/>
  <c r="J564" i="10"/>
  <c r="K564" i="10"/>
  <c r="J496" i="10"/>
  <c r="K496" i="10"/>
  <c r="J464" i="10"/>
  <c r="K464" i="10"/>
  <c r="K439" i="10"/>
  <c r="J439" i="10"/>
  <c r="K325" i="10"/>
  <c r="J325" i="10"/>
  <c r="K197" i="10"/>
  <c r="J197" i="10"/>
  <c r="K1115" i="10"/>
  <c r="J1115" i="10"/>
  <c r="J929" i="10"/>
  <c r="K929" i="10"/>
  <c r="J777" i="10"/>
  <c r="K777" i="10"/>
  <c r="K615" i="10"/>
  <c r="J615" i="10"/>
  <c r="K391" i="10"/>
  <c r="J391" i="10"/>
  <c r="K231" i="10"/>
  <c r="J231" i="10"/>
  <c r="K1171" i="10"/>
  <c r="J1171" i="10"/>
  <c r="K1128" i="10"/>
  <c r="J1128" i="10"/>
  <c r="J1121" i="10"/>
  <c r="K1121" i="10"/>
  <c r="K1023" i="10"/>
  <c r="J1023" i="10"/>
  <c r="K958" i="10"/>
  <c r="J958" i="10"/>
  <c r="J900" i="10"/>
  <c r="K900" i="10"/>
  <c r="J836" i="10"/>
  <c r="K836" i="10"/>
  <c r="K731" i="10"/>
  <c r="J731" i="10"/>
  <c r="K667" i="10"/>
  <c r="J667" i="10"/>
  <c r="K603" i="10"/>
  <c r="J603" i="10"/>
  <c r="K539" i="10"/>
  <c r="J539" i="10"/>
  <c r="K451" i="10"/>
  <c r="J451" i="10"/>
  <c r="K321" i="10"/>
  <c r="J321" i="10"/>
  <c r="K193" i="10"/>
  <c r="J193" i="10"/>
  <c r="J1016" i="10"/>
  <c r="K1016" i="10"/>
  <c r="J896" i="10"/>
  <c r="K896" i="10"/>
  <c r="K638" i="10"/>
  <c r="J638" i="10"/>
  <c r="K399" i="10"/>
  <c r="J399" i="10"/>
  <c r="K319" i="10"/>
  <c r="J319" i="10"/>
  <c r="K111" i="10"/>
  <c r="J111" i="10"/>
  <c r="J1033" i="10"/>
  <c r="K1033" i="10"/>
  <c r="K962" i="10"/>
  <c r="J962" i="10"/>
  <c r="K887" i="10"/>
  <c r="J887" i="10"/>
  <c r="K823" i="10"/>
  <c r="J823" i="10"/>
  <c r="J752" i="10"/>
  <c r="K752" i="10"/>
  <c r="J688" i="10"/>
  <c r="K688" i="10"/>
  <c r="K623" i="10"/>
  <c r="J623" i="10"/>
  <c r="K559" i="10"/>
  <c r="J559" i="10"/>
  <c r="K398" i="10"/>
  <c r="J398" i="10"/>
  <c r="K334" i="10"/>
  <c r="J334" i="10"/>
  <c r="K270" i="10"/>
  <c r="J270" i="10"/>
  <c r="K206" i="10"/>
  <c r="J206" i="10"/>
  <c r="K142" i="10"/>
  <c r="J142" i="10"/>
  <c r="K78" i="10"/>
  <c r="J78" i="10"/>
  <c r="J980" i="10"/>
  <c r="K980" i="10"/>
  <c r="K743" i="10"/>
  <c r="J743" i="10"/>
  <c r="K583" i="10"/>
  <c r="J583" i="10"/>
  <c r="K343" i="10"/>
  <c r="J343" i="10"/>
  <c r="J114" i="10"/>
  <c r="K114" i="10"/>
  <c r="J1040" i="10"/>
  <c r="K1040" i="10"/>
  <c r="J982" i="10"/>
  <c r="K982" i="10"/>
  <c r="J930" i="10"/>
  <c r="K930" i="10"/>
  <c r="J866" i="10"/>
  <c r="K866" i="10"/>
  <c r="K814" i="10"/>
  <c r="J814" i="10"/>
  <c r="J756" i="10"/>
  <c r="K756" i="10"/>
  <c r="J692" i="10"/>
  <c r="K692" i="10"/>
  <c r="K627" i="10"/>
  <c r="J627" i="10"/>
  <c r="K563" i="10"/>
  <c r="J563" i="10"/>
  <c r="K511" i="10"/>
  <c r="J511" i="10"/>
  <c r="K447" i="10"/>
  <c r="J447" i="10"/>
  <c r="K333" i="10"/>
  <c r="J333" i="10"/>
  <c r="K205" i="10"/>
  <c r="J205" i="10"/>
  <c r="K1087" i="10"/>
  <c r="J1087" i="10"/>
  <c r="K734" i="10"/>
  <c r="J734" i="10"/>
  <c r="K327" i="10"/>
  <c r="J327" i="10"/>
  <c r="K154" i="10"/>
  <c r="J154" i="10"/>
  <c r="K1164" i="10"/>
  <c r="J1164" i="10"/>
  <c r="K1162" i="10"/>
  <c r="J1162" i="10"/>
  <c r="K1124" i="10"/>
  <c r="J1124" i="10"/>
  <c r="J1080" i="10"/>
  <c r="K1080" i="10"/>
  <c r="J1048" i="10"/>
  <c r="K1048" i="10"/>
  <c r="K983" i="10"/>
  <c r="J983" i="10"/>
  <c r="J917" i="10"/>
  <c r="K917" i="10"/>
  <c r="J853" i="10"/>
  <c r="K853" i="10"/>
  <c r="K802" i="10"/>
  <c r="J802" i="10"/>
  <c r="J722" i="10"/>
  <c r="K722" i="10"/>
  <c r="J658" i="10"/>
  <c r="K658" i="10"/>
  <c r="K594" i="10"/>
  <c r="J594" i="10"/>
  <c r="J514" i="10"/>
  <c r="K514" i="10"/>
  <c r="J486" i="10"/>
  <c r="K486" i="10"/>
  <c r="J454" i="10"/>
  <c r="K454" i="10"/>
  <c r="K361" i="10"/>
  <c r="J361" i="10"/>
  <c r="K233" i="10"/>
  <c r="J233" i="10"/>
  <c r="K105" i="10"/>
  <c r="J105" i="10"/>
  <c r="K794" i="10"/>
  <c r="J794" i="10"/>
  <c r="K574" i="10"/>
  <c r="J574" i="10"/>
  <c r="K298" i="10"/>
  <c r="J298" i="10"/>
  <c r="K79" i="10"/>
  <c r="J79" i="10"/>
  <c r="J8" i="13" a="1"/>
  <c r="J8" i="13" s="1"/>
  <c r="J1032" i="10"/>
  <c r="K1032" i="10"/>
  <c r="J973" i="10"/>
  <c r="K973" i="10"/>
  <c r="K910" i="10"/>
  <c r="J910" i="10"/>
  <c r="K846" i="10"/>
  <c r="J846" i="10"/>
  <c r="J769" i="10"/>
  <c r="K769" i="10"/>
  <c r="J705" i="10"/>
  <c r="K705" i="10"/>
  <c r="J641" i="10"/>
  <c r="K641" i="10"/>
  <c r="J576" i="10"/>
  <c r="K576" i="10"/>
  <c r="J522" i="10"/>
  <c r="K522" i="10"/>
  <c r="K387" i="10"/>
  <c r="J387" i="10"/>
  <c r="K323" i="10"/>
  <c r="J323" i="10"/>
  <c r="K259" i="10"/>
  <c r="J259" i="10"/>
  <c r="K195" i="10"/>
  <c r="J195" i="10"/>
  <c r="K131" i="10"/>
  <c r="J131" i="10"/>
  <c r="K1107" i="10"/>
  <c r="J1107" i="10"/>
  <c r="J897" i="10"/>
  <c r="K897" i="10"/>
  <c r="J664" i="10"/>
  <c r="K664" i="10"/>
  <c r="J418" i="10"/>
  <c r="K418" i="10"/>
  <c r="J322" i="10"/>
  <c r="K322" i="10"/>
  <c r="J242" i="10"/>
  <c r="K242" i="10"/>
  <c r="K95" i="10"/>
  <c r="J95" i="10"/>
  <c r="K1113" i="10"/>
  <c r="J1113" i="10"/>
  <c r="J1076" i="10"/>
  <c r="K1076" i="10"/>
  <c r="J1044" i="10"/>
  <c r="K1044" i="10"/>
  <c r="K1007" i="10"/>
  <c r="J1007" i="10"/>
  <c r="K943" i="10"/>
  <c r="J943" i="10"/>
  <c r="J877" i="10"/>
  <c r="K877" i="10"/>
  <c r="K807" i="10"/>
  <c r="J807" i="10"/>
  <c r="K723" i="10"/>
  <c r="J723" i="10"/>
  <c r="K659" i="10"/>
  <c r="J659" i="10"/>
  <c r="J586" i="10"/>
  <c r="K586" i="10"/>
  <c r="J520" i="10"/>
  <c r="K520" i="10"/>
  <c r="J488" i="10"/>
  <c r="K488" i="10"/>
  <c r="J456" i="10"/>
  <c r="K456" i="10"/>
  <c r="K405" i="10"/>
  <c r="J405" i="10"/>
  <c r="K277" i="10"/>
  <c r="J277" i="10"/>
  <c r="K149" i="10"/>
  <c r="J149" i="10"/>
  <c r="K979" i="10"/>
  <c r="J979" i="10"/>
  <c r="K886" i="10"/>
  <c r="J886" i="10"/>
  <c r="J744" i="10"/>
  <c r="K744" i="10"/>
  <c r="J568" i="10"/>
  <c r="K568" i="10"/>
  <c r="J274" i="10"/>
  <c r="K274" i="10"/>
  <c r="K119" i="10"/>
  <c r="J119" i="10"/>
  <c r="J445" i="10"/>
  <c r="K445" i="10"/>
  <c r="J461" i="10"/>
  <c r="K461" i="10"/>
  <c r="J477" i="10"/>
  <c r="K477" i="10"/>
  <c r="J493" i="10"/>
  <c r="K493" i="10"/>
  <c r="J509" i="10"/>
  <c r="K509" i="10"/>
  <c r="J529" i="10"/>
  <c r="K529" i="10"/>
  <c r="J793" i="10"/>
  <c r="K793" i="10"/>
  <c r="J937" i="10"/>
  <c r="K937" i="10"/>
  <c r="J1029" i="10"/>
  <c r="K1029" i="10"/>
  <c r="J1049" i="10"/>
  <c r="K1049" i="10"/>
  <c r="J1065" i="10"/>
  <c r="K1065" i="10"/>
  <c r="J88" i="10"/>
  <c r="K88" i="10"/>
  <c r="J104" i="10"/>
  <c r="K104" i="10"/>
  <c r="J120" i="10"/>
  <c r="K120" i="10"/>
  <c r="J136" i="10"/>
  <c r="K136" i="10"/>
  <c r="J152" i="10"/>
  <c r="K152" i="10"/>
  <c r="J168" i="10"/>
  <c r="K168" i="10"/>
  <c r="J184" i="10"/>
  <c r="K184" i="10"/>
  <c r="J200" i="10"/>
  <c r="K200" i="10"/>
  <c r="J216" i="10"/>
  <c r="K216" i="10"/>
  <c r="J232" i="10"/>
  <c r="K232" i="10"/>
  <c r="J248" i="10"/>
  <c r="K248" i="10"/>
  <c r="J264" i="10"/>
  <c r="K264" i="10"/>
  <c r="J280" i="10"/>
  <c r="K280" i="10"/>
  <c r="J296" i="10"/>
  <c r="K296" i="10"/>
  <c r="J312" i="10"/>
  <c r="K312" i="10"/>
  <c r="J328" i="10"/>
  <c r="K328" i="10"/>
  <c r="J344" i="10"/>
  <c r="K344" i="10"/>
  <c r="J360" i="10"/>
  <c r="K360" i="10"/>
  <c r="J376" i="10"/>
  <c r="K376" i="10"/>
  <c r="J392" i="10"/>
  <c r="K392" i="10"/>
  <c r="J408" i="10"/>
  <c r="K408" i="10"/>
  <c r="J424" i="10"/>
  <c r="K424" i="10"/>
  <c r="J1104" i="10"/>
  <c r="K1104" i="10"/>
  <c r="J1123" i="10"/>
  <c r="K1123" i="10"/>
  <c r="J1135" i="10"/>
  <c r="K1135" i="10"/>
  <c r="J1151" i="10"/>
  <c r="K1151" i="10"/>
  <c r="J1167" i="10"/>
  <c r="K1167" i="10"/>
  <c r="O14" i="11" l="1"/>
  <c r="F13" i="11"/>
  <c r="G14" i="11" s="1"/>
  <c r="P14" i="11"/>
  <c r="G335" i="7"/>
  <c r="G334" i="7" s="1"/>
  <c r="G333" i="7" s="1"/>
  <c r="G332" i="7" s="1"/>
  <c r="G331" i="7" s="1"/>
  <c r="G330" i="7" s="1"/>
  <c r="G329" i="7" s="1"/>
  <c r="G328" i="7" s="1"/>
  <c r="G327" i="7" s="1"/>
  <c r="G326" i="7" s="1"/>
  <c r="G325" i="7" s="1"/>
  <c r="G324" i="7" s="1"/>
  <c r="G323" i="7" s="1"/>
  <c r="G322" i="7" s="1"/>
  <c r="G321" i="7" s="1"/>
  <c r="G320" i="7" s="1"/>
  <c r="G319" i="7" s="1"/>
  <c r="G318" i="7" s="1"/>
  <c r="G317" i="7" s="1"/>
  <c r="G316" i="7" s="1"/>
  <c r="G315" i="7" s="1"/>
  <c r="G314" i="7" s="1"/>
  <c r="G313" i="7" s="1"/>
  <c r="G312" i="7" s="1"/>
  <c r="G311" i="7" s="1"/>
  <c r="G310" i="7" s="1"/>
  <c r="G309" i="7" s="1"/>
  <c r="G308" i="7" s="1"/>
  <c r="G307" i="7" s="1"/>
  <c r="G306" i="7" s="1"/>
  <c r="G305" i="7" s="1"/>
  <c r="G304" i="7" s="1"/>
  <c r="G303" i="7" s="1"/>
  <c r="G302" i="7" s="1"/>
  <c r="G301" i="7" s="1"/>
  <c r="G300" i="7" s="1"/>
  <c r="G299" i="7" s="1"/>
  <c r="G298" i="7" s="1"/>
  <c r="G297" i="7" s="1"/>
  <c r="G296" i="7" s="1"/>
  <c r="G295" i="7" s="1"/>
  <c r="G294" i="7" s="1"/>
  <c r="G293" i="7" s="1"/>
  <c r="G292" i="7" s="1"/>
  <c r="G291" i="7" s="1"/>
  <c r="G290" i="7" s="1"/>
  <c r="G289" i="7" s="1"/>
  <c r="G288" i="7" s="1"/>
  <c r="G287" i="7" s="1"/>
  <c r="G286" i="7" s="1"/>
  <c r="G285" i="7" s="1"/>
  <c r="G284" i="7" s="1"/>
  <c r="G283" i="7" s="1"/>
  <c r="G282" i="7" s="1"/>
  <c r="G281" i="7" s="1"/>
  <c r="G280" i="7" s="1"/>
  <c r="G279" i="7" s="1"/>
  <c r="G278" i="7" s="1"/>
  <c r="G277" i="7" s="1"/>
  <c r="G276" i="7" s="1"/>
  <c r="G275" i="7" s="1"/>
  <c r="G274" i="7" s="1"/>
  <c r="G273" i="7" s="1"/>
  <c r="G272" i="7" s="1"/>
  <c r="G271" i="7" s="1"/>
  <c r="G270" i="7" s="1"/>
  <c r="G269" i="7" s="1"/>
  <c r="G268" i="7" s="1"/>
  <c r="G267" i="7" s="1"/>
  <c r="G266" i="7" s="1"/>
  <c r="G265" i="7" s="1"/>
  <c r="J9" i="10"/>
  <c r="N12" i="14"/>
  <c r="J11" i="14" a="1"/>
  <c r="J11" i="14" s="1"/>
  <c r="M16" i="14"/>
  <c r="U26" i="11"/>
  <c r="T26" i="11"/>
  <c r="N44" i="4"/>
  <c r="M44" i="4"/>
  <c r="J19" i="4"/>
  <c r="K9" i="10"/>
  <c r="G63" i="14"/>
  <c r="R7" i="12"/>
  <c r="Q8" i="12"/>
  <c r="J12" i="13" a="1"/>
  <c r="J12" i="13" s="1"/>
  <c r="N13" i="13"/>
  <c r="G50" i="6"/>
  <c r="F54" i="6"/>
  <c r="G54" i="6" s="1"/>
  <c r="M15" i="13"/>
  <c r="J16" i="11"/>
  <c r="K16" i="11"/>
  <c r="Z24" i="11"/>
  <c r="Y24" i="11"/>
  <c r="P15" i="11" l="1"/>
  <c r="F14" i="11"/>
  <c r="G15" i="11" s="1"/>
  <c r="O15" i="11"/>
  <c r="G264" i="7"/>
  <c r="G263" i="7" s="1"/>
  <c r="G262" i="7" s="1"/>
  <c r="G261" i="7" s="1"/>
  <c r="G260" i="7" s="1"/>
  <c r="G259" i="7" s="1"/>
  <c r="G258" i="7" s="1"/>
  <c r="G257" i="7" s="1"/>
  <c r="G256" i="7" s="1"/>
  <c r="G255" i="7" s="1"/>
  <c r="G254" i="7" s="1"/>
  <c r="G253" i="7" s="1"/>
  <c r="G252" i="7" s="1"/>
  <c r="G251" i="7" s="1"/>
  <c r="G250" i="7" s="1"/>
  <c r="G249" i="7" s="1"/>
  <c r="G248" i="7" s="1"/>
  <c r="G247" i="7" s="1"/>
  <c r="G246" i="7" s="1"/>
  <c r="G245" i="7" s="1"/>
  <c r="G244" i="7" s="1"/>
  <c r="G243" i="7" s="1"/>
  <c r="G242" i="7" s="1"/>
  <c r="G241" i="7" s="1"/>
  <c r="G240" i="7" s="1"/>
  <c r="G239" i="7" s="1"/>
  <c r="G238" i="7" s="1"/>
  <c r="G237" i="7" s="1"/>
  <c r="G236" i="7" s="1"/>
  <c r="G235" i="7" s="1"/>
  <c r="G234" i="7" s="1"/>
  <c r="G233" i="7" s="1"/>
  <c r="G232" i="7" s="1"/>
  <c r="G231" i="7" s="1"/>
  <c r="G230" i="7" s="1"/>
  <c r="G229" i="7" s="1"/>
  <c r="G228" i="7" s="1"/>
  <c r="G227" i="7" s="1"/>
  <c r="G226" i="7" s="1"/>
  <c r="G225" i="7" s="1"/>
  <c r="G224" i="7" s="1"/>
  <c r="G223" i="7" s="1"/>
  <c r="G222" i="7" s="1"/>
  <c r="G221" i="7" s="1"/>
  <c r="G220" i="7" s="1"/>
  <c r="G219" i="7" s="1"/>
  <c r="G218" i="7" s="1"/>
  <c r="G217" i="7" s="1"/>
  <c r="G216" i="7" s="1"/>
  <c r="G215" i="7" s="1"/>
  <c r="G214" i="7" s="1"/>
  <c r="G213" i="7" s="1"/>
  <c r="G212" i="7" s="1"/>
  <c r="G211" i="7" s="1"/>
  <c r="G210" i="7" s="1"/>
  <c r="G209" i="7" s="1"/>
  <c r="G208" i="7" s="1"/>
  <c r="G207" i="7" s="1"/>
  <c r="G206" i="7" s="1"/>
  <c r="Z25" i="11"/>
  <c r="Y25" i="11"/>
  <c r="R8" i="12"/>
  <c r="Q9" i="12"/>
  <c r="R9" i="12" s="1"/>
  <c r="M16" i="13"/>
  <c r="N24" i="4"/>
  <c r="B5" i="3"/>
  <c r="O44" i="4"/>
  <c r="M17" i="14"/>
  <c r="J12" i="14" a="1"/>
  <c r="J12" i="14" s="1"/>
  <c r="N13" i="14"/>
  <c r="G64" i="14"/>
  <c r="U27" i="11"/>
  <c r="T27" i="11"/>
  <c r="K17" i="11"/>
  <c r="J17" i="11"/>
  <c r="N14" i="13"/>
  <c r="J13" i="13" a="1"/>
  <c r="J13" i="13" s="1"/>
  <c r="J24" i="4"/>
  <c r="K19" i="4"/>
  <c r="P16" i="11" l="1"/>
  <c r="O16" i="11"/>
  <c r="F15" i="11"/>
  <c r="G16" i="11" s="1"/>
  <c r="G205" i="7"/>
  <c r="G204" i="7" s="1"/>
  <c r="G203" i="7" s="1"/>
  <c r="G202" i="7" s="1"/>
  <c r="G201" i="7" s="1"/>
  <c r="G200" i="7" s="1"/>
  <c r="G199" i="7" s="1"/>
  <c r="G198" i="7" s="1"/>
  <c r="G197" i="7" s="1"/>
  <c r="G196" i="7" s="1"/>
  <c r="G195" i="7" s="1"/>
  <c r="G194" i="7" s="1"/>
  <c r="G193" i="7" s="1"/>
  <c r="G192" i="7" s="1"/>
  <c r="G191" i="7" s="1"/>
  <c r="G190" i="7" s="1"/>
  <c r="G189" i="7" s="1"/>
  <c r="G188" i="7" s="1"/>
  <c r="G187" i="7" s="1"/>
  <c r="G186" i="7" s="1"/>
  <c r="G185" i="7" s="1"/>
  <c r="G184" i="7" s="1"/>
  <c r="G183" i="7" s="1"/>
  <c r="G182" i="7" s="1"/>
  <c r="G181" i="7" s="1"/>
  <c r="G180" i="7" s="1"/>
  <c r="G179" i="7" s="1"/>
  <c r="G178" i="7" s="1"/>
  <c r="G177" i="7" s="1"/>
  <c r="G176" i="7" s="1"/>
  <c r="G175" i="7" s="1"/>
  <c r="G174" i="7" s="1"/>
  <c r="G173" i="7" s="1"/>
  <c r="G172" i="7" s="1"/>
  <c r="G171" i="7" s="1"/>
  <c r="G170" i="7" s="1"/>
  <c r="G65" i="14"/>
  <c r="E10" i="5"/>
  <c r="E6" i="5"/>
  <c r="E4" i="5"/>
  <c r="E13" i="5"/>
  <c r="E11" i="5"/>
  <c r="E2" i="5"/>
  <c r="E8" i="5"/>
  <c r="E5" i="5"/>
  <c r="E3" i="5"/>
  <c r="E12" i="5"/>
  <c r="E9" i="5"/>
  <c r="E7" i="5"/>
  <c r="R1" i="12"/>
  <c r="B2" i="3"/>
  <c r="O18" i="3" s="1"/>
  <c r="K18" i="11"/>
  <c r="J18" i="11"/>
  <c r="L24" i="4"/>
  <c r="K24" i="4"/>
  <c r="T28" i="11"/>
  <c r="U28" i="11"/>
  <c r="M18" i="14"/>
  <c r="O24" i="4"/>
  <c r="F46" i="4"/>
  <c r="J14" i="13" a="1"/>
  <c r="J14" i="13" s="1"/>
  <c r="N15" i="13"/>
  <c r="N14" i="14"/>
  <c r="J13" i="14" a="1"/>
  <c r="J13" i="14" s="1"/>
  <c r="M17" i="13"/>
  <c r="Y26" i="11"/>
  <c r="Z26" i="11"/>
  <c r="O17" i="11" l="1"/>
  <c r="P17" i="11"/>
  <c r="F16" i="11"/>
  <c r="G17" i="11" s="1"/>
  <c r="G169" i="7"/>
  <c r="G168" i="7" s="1"/>
  <c r="G167" i="7" s="1"/>
  <c r="G166" i="7" s="1"/>
  <c r="G165" i="7" s="1"/>
  <c r="O12" i="3"/>
  <c r="I16" i="3"/>
  <c r="I5" i="3"/>
  <c r="I10" i="3"/>
  <c r="O13" i="3"/>
  <c r="C7" i="3"/>
  <c r="U5" i="3"/>
  <c r="I9" i="3"/>
  <c r="I4" i="3"/>
  <c r="O14" i="3"/>
  <c r="C6" i="3"/>
  <c r="O16" i="3"/>
  <c r="O5" i="3"/>
  <c r="O10" i="3"/>
  <c r="I30" i="3"/>
  <c r="I25" i="3"/>
  <c r="O11" i="3"/>
  <c r="I22" i="3"/>
  <c r="I24" i="3"/>
  <c r="O7" i="3"/>
  <c r="I13" i="3"/>
  <c r="I14" i="3"/>
  <c r="O4" i="3"/>
  <c r="I28" i="3"/>
  <c r="I17" i="3"/>
  <c r="I18" i="3"/>
  <c r="I26" i="3"/>
  <c r="O9" i="3"/>
  <c r="I21" i="3"/>
  <c r="I8" i="3"/>
  <c r="I6" i="3"/>
  <c r="I19" i="3"/>
  <c r="I27" i="3"/>
  <c r="I11" i="3"/>
  <c r="I23" i="3"/>
  <c r="I7" i="3"/>
  <c r="O2" i="3"/>
  <c r="I15" i="3"/>
  <c r="O17" i="3"/>
  <c r="O15" i="3"/>
  <c r="O8" i="3"/>
  <c r="I29" i="3"/>
  <c r="I12" i="3"/>
  <c r="O6" i="3"/>
  <c r="I20" i="3"/>
  <c r="I2" i="3"/>
  <c r="C4" i="3"/>
  <c r="O3" i="5"/>
  <c r="Q3" i="5" s="1"/>
  <c r="G3" i="5"/>
  <c r="H3" i="5"/>
  <c r="G11" i="5"/>
  <c r="O11" i="5"/>
  <c r="Q11" i="5" s="1"/>
  <c r="H11" i="5"/>
  <c r="O10" i="5"/>
  <c r="Q10" i="5" s="1"/>
  <c r="G10" i="5"/>
  <c r="H10" i="5"/>
  <c r="M19" i="14"/>
  <c r="O9" i="5"/>
  <c r="Q9" i="5" s="1"/>
  <c r="G9" i="5"/>
  <c r="H9" i="5"/>
  <c r="O8" i="5"/>
  <c r="Q8" i="5" s="1"/>
  <c r="G8" i="5"/>
  <c r="H8" i="5"/>
  <c r="G4" i="5"/>
  <c r="O4" i="5"/>
  <c r="Q4" i="5" s="1"/>
  <c r="H4" i="5"/>
  <c r="G66" i="14"/>
  <c r="U29" i="11"/>
  <c r="T29" i="11"/>
  <c r="N1" i="12"/>
  <c r="N2" i="10" s="1"/>
  <c r="N3" i="10"/>
  <c r="N6" i="10" s="1"/>
  <c r="O12" i="5"/>
  <c r="Q12" i="5" s="1"/>
  <c r="G12" i="5"/>
  <c r="H12" i="5"/>
  <c r="G2" i="5"/>
  <c r="H16" i="5"/>
  <c r="O2" i="5"/>
  <c r="H2" i="5"/>
  <c r="O6" i="5"/>
  <c r="Q6" i="5" s="1"/>
  <c r="G6" i="5"/>
  <c r="H6" i="5"/>
  <c r="M18" i="13"/>
  <c r="J14" i="14" a="1"/>
  <c r="J14" i="14" s="1"/>
  <c r="N15" i="14"/>
  <c r="J15" i="13" a="1"/>
  <c r="J15" i="13" s="1"/>
  <c r="N16" i="13"/>
  <c r="D46" i="4"/>
  <c r="T4" i="3"/>
  <c r="G46" i="4"/>
  <c r="F3" i="4"/>
  <c r="G3" i="4" s="1"/>
  <c r="Z27" i="11"/>
  <c r="Y27" i="11"/>
  <c r="E41" i="4"/>
  <c r="E39" i="4"/>
  <c r="E37" i="4"/>
  <c r="E26" i="4"/>
  <c r="E22" i="4"/>
  <c r="E21" i="4"/>
  <c r="E19" i="4"/>
  <c r="E12" i="4"/>
  <c r="E43" i="4"/>
  <c r="E17" i="4"/>
  <c r="E27" i="4"/>
  <c r="E8" i="4"/>
  <c r="E6" i="4"/>
  <c r="E42" i="4"/>
  <c r="E40" i="4"/>
  <c r="E38" i="4"/>
  <c r="E35" i="4"/>
  <c r="E31" i="4"/>
  <c r="E28" i="4"/>
  <c r="E23" i="4"/>
  <c r="E11" i="4"/>
  <c r="E9" i="4"/>
  <c r="E45" i="4"/>
  <c r="E36" i="4"/>
  <c r="E29" i="4"/>
  <c r="E20" i="4"/>
  <c r="E16" i="4"/>
  <c r="E5" i="4"/>
  <c r="E34" i="4"/>
  <c r="E10" i="4"/>
  <c r="E25" i="4"/>
  <c r="E24" i="4"/>
  <c r="E18" i="4"/>
  <c r="E14" i="4"/>
  <c r="E7" i="4"/>
  <c r="E33" i="4"/>
  <c r="E30" i="4"/>
  <c r="E15" i="4"/>
  <c r="K19" i="11"/>
  <c r="J19" i="11"/>
  <c r="C5" i="3"/>
  <c r="G7" i="5"/>
  <c r="O7" i="5"/>
  <c r="Q7" i="5" s="1"/>
  <c r="H7" i="5"/>
  <c r="O5" i="5"/>
  <c r="Q5" i="5" s="1"/>
  <c r="G5" i="5"/>
  <c r="H5" i="5"/>
  <c r="O13" i="5"/>
  <c r="Q13" i="5" s="1"/>
  <c r="G13" i="5"/>
  <c r="H13" i="5"/>
  <c r="G16" i="5" l="1"/>
  <c r="R16" i="5"/>
  <c r="O18" i="11"/>
  <c r="P18" i="11"/>
  <c r="F17" i="11"/>
  <c r="G18" i="11" s="1"/>
  <c r="G164" i="7"/>
  <c r="G163" i="7" s="1"/>
  <c r="G162" i="7" s="1"/>
  <c r="G161" i="7" s="1"/>
  <c r="G160" i="7" s="1"/>
  <c r="G159" i="7" s="1"/>
  <c r="G158" i="7" s="1"/>
  <c r="G157" i="7" s="1"/>
  <c r="G156" i="7" s="1"/>
  <c r="G155" i="7" s="1"/>
  <c r="G154" i="7" s="1"/>
  <c r="G153" i="7" s="1"/>
  <c r="G152" i="7" s="1"/>
  <c r="G151" i="7" s="1"/>
  <c r="G150" i="7" s="1"/>
  <c r="G149" i="7" s="1"/>
  <c r="G148" i="7" s="1"/>
  <c r="G147" i="7" s="1"/>
  <c r="G146" i="7" s="1"/>
  <c r="G145" i="7" s="1"/>
  <c r="G144" i="7" s="1"/>
  <c r="G143" i="7" s="1"/>
  <c r="G142" i="7" s="1"/>
  <c r="G141" i="7" s="1"/>
  <c r="G140" i="7" s="1"/>
  <c r="G139" i="7" s="1"/>
  <c r="G138" i="7" s="1"/>
  <c r="G137" i="7" s="1"/>
  <c r="G136" i="7" s="1"/>
  <c r="G135" i="7" s="1"/>
  <c r="G134" i="7" s="1"/>
  <c r="G133" i="7" s="1"/>
  <c r="G132" i="7" s="1"/>
  <c r="G131" i="7" s="1"/>
  <c r="G130" i="7" s="1"/>
  <c r="G129" i="7" s="1"/>
  <c r="G128" i="7" s="1"/>
  <c r="G127" i="7" s="1"/>
  <c r="G126" i="7" s="1"/>
  <c r="G125" i="7" s="1"/>
  <c r="G124" i="7" s="1"/>
  <c r="G123" i="7" s="1"/>
  <c r="G122" i="7" s="1"/>
  <c r="G121" i="7" s="1"/>
  <c r="G120" i="7" s="1"/>
  <c r="G119" i="7" s="1"/>
  <c r="G118" i="7" s="1"/>
  <c r="G117" i="7" s="1"/>
  <c r="G116" i="7" s="1"/>
  <c r="G115" i="7" s="1"/>
  <c r="G114" i="7" s="1"/>
  <c r="G113" i="7" s="1"/>
  <c r="G112" i="7" s="1"/>
  <c r="G111" i="7" s="1"/>
  <c r="G110" i="7" s="1"/>
  <c r="G109" i="7" s="1"/>
  <c r="G108" i="7" s="1"/>
  <c r="G107" i="7" s="1"/>
  <c r="G106" i="7" s="1"/>
  <c r="G105" i="7" s="1"/>
  <c r="G104" i="7" s="1"/>
  <c r="G103" i="7" s="1"/>
  <c r="G102" i="7" s="1"/>
  <c r="G101" i="7" s="1"/>
  <c r="G100" i="7" s="1"/>
  <c r="G99" i="7" s="1"/>
  <c r="G98" i="7" s="1"/>
  <c r="G97" i="7" s="1"/>
  <c r="G96" i="7" s="1"/>
  <c r="G95" i="7" s="1"/>
  <c r="G94" i="7" s="1"/>
  <c r="G93" i="7" s="1"/>
  <c r="G92" i="7" s="1"/>
  <c r="G91" i="7" s="1"/>
  <c r="G90" i="7" s="1"/>
  <c r="G89" i="7" s="1"/>
  <c r="M19" i="13"/>
  <c r="M20" i="14"/>
  <c r="J20" i="11"/>
  <c r="K20" i="11"/>
  <c r="Z28" i="11"/>
  <c r="Y28" i="11"/>
  <c r="N16" i="14"/>
  <c r="J15" i="14" a="1"/>
  <c r="J15" i="14" s="1"/>
  <c r="N7" i="10"/>
  <c r="O7" i="10" s="1"/>
  <c r="O6" i="10"/>
  <c r="J16" i="13" a="1"/>
  <c r="J16" i="13" s="1"/>
  <c r="N17" i="13"/>
  <c r="U4" i="3"/>
  <c r="T2" i="3"/>
  <c r="U2" i="3" s="1"/>
  <c r="U30" i="11"/>
  <c r="T30" i="11"/>
  <c r="G67" i="14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D3" i="4"/>
  <c r="H46" i="6"/>
  <c r="E46" i="4"/>
  <c r="E3" i="4" s="1"/>
  <c r="Q2" i="5"/>
  <c r="Q16" i="5" s="1"/>
  <c r="G88" i="7" l="1"/>
  <c r="G87" i="7" s="1"/>
  <c r="G86" i="7" s="1"/>
  <c r="G85" i="7" s="1"/>
  <c r="G84" i="7" s="1"/>
  <c r="G83" i="7" s="1"/>
  <c r="G82" i="7" s="1"/>
  <c r="G81" i="7" s="1"/>
  <c r="G80" i="7" s="1"/>
  <c r="G79" i="7" s="1"/>
  <c r="G78" i="7" s="1"/>
  <c r="G77" i="7" s="1"/>
  <c r="G76" i="7" s="1"/>
  <c r="G75" i="7" s="1"/>
  <c r="G74" i="7" s="1"/>
  <c r="G73" i="7" s="1"/>
  <c r="G72" i="7" s="1"/>
  <c r="G71" i="7" s="1"/>
  <c r="G70" i="7" s="1"/>
  <c r="G69" i="7" s="1"/>
  <c r="G68" i="7" s="1"/>
  <c r="G67" i="7" s="1"/>
  <c r="G66" i="7" s="1"/>
  <c r="G65" i="7" s="1"/>
  <c r="G64" i="7" s="1"/>
  <c r="G63" i="7" s="1"/>
  <c r="G62" i="7" s="1"/>
  <c r="G61" i="7" s="1"/>
  <c r="G60" i="7" s="1"/>
  <c r="G59" i="7" s="1"/>
  <c r="G58" i="7" s="1"/>
  <c r="G57" i="7" s="1"/>
  <c r="G56" i="7" s="1"/>
  <c r="G55" i="7" s="1"/>
  <c r="G54" i="7" s="1"/>
  <c r="G53" i="7" s="1"/>
  <c r="G52" i="7" s="1"/>
  <c r="G51" i="7" s="1"/>
  <c r="G50" i="7" s="1"/>
  <c r="G49" i="7" s="1"/>
  <c r="G48" i="7" s="1"/>
  <c r="G47" i="7" s="1"/>
  <c r="G46" i="7" s="1"/>
  <c r="G45" i="7" s="1"/>
  <c r="G44" i="7" s="1"/>
  <c r="G43" i="7" s="1"/>
  <c r="G42" i="7" s="1"/>
  <c r="G41" i="7" s="1"/>
  <c r="G40" i="7" s="1"/>
  <c r="G39" i="7" s="1"/>
  <c r="G38" i="7" s="1"/>
  <c r="G37" i="7" s="1"/>
  <c r="G36" i="7" s="1"/>
  <c r="G35" i="7" s="1"/>
  <c r="G34" i="7" s="1"/>
  <c r="G33" i="7" s="1"/>
  <c r="G32" i="7" s="1"/>
  <c r="G31" i="7" s="1"/>
  <c r="G30" i="7" s="1"/>
  <c r="G29" i="7" s="1"/>
  <c r="G28" i="7" s="1"/>
  <c r="G27" i="7" s="1"/>
  <c r="G26" i="7" s="1"/>
  <c r="G25" i="7" s="1"/>
  <c r="G24" i="7" s="1"/>
  <c r="G23" i="7" s="1"/>
  <c r="G22" i="7" s="1"/>
  <c r="G21" i="7" s="1"/>
  <c r="G20" i="7" s="1"/>
  <c r="G19" i="7" s="1"/>
  <c r="G18" i="7" s="1"/>
  <c r="G17" i="7" s="1"/>
  <c r="G16" i="7" s="1"/>
  <c r="F18" i="11"/>
  <c r="G19" i="11" s="1"/>
  <c r="O19" i="11"/>
  <c r="P19" i="11"/>
  <c r="Z29" i="11"/>
  <c r="Y29" i="11"/>
  <c r="K21" i="11"/>
  <c r="J21" i="11"/>
  <c r="M21" i="14"/>
  <c r="M20" i="13"/>
  <c r="N18" i="13"/>
  <c r="J17" i="13" a="1"/>
  <c r="J17" i="13" s="1"/>
  <c r="AD46" i="6"/>
  <c r="Z46" i="6"/>
  <c r="V46" i="6"/>
  <c r="R46" i="6"/>
  <c r="N46" i="6"/>
  <c r="J46" i="6"/>
  <c r="AF46" i="6"/>
  <c r="AB46" i="6"/>
  <c r="X46" i="6"/>
  <c r="T46" i="6"/>
  <c r="P46" i="6"/>
  <c r="L46" i="6"/>
  <c r="H3" i="6"/>
  <c r="U31" i="11"/>
  <c r="T31" i="11"/>
  <c r="J16" i="14" a="1"/>
  <c r="J16" i="14" s="1"/>
  <c r="N17" i="14"/>
  <c r="G15" i="7" l="1"/>
  <c r="G14" i="7" s="1"/>
  <c r="G13" i="7" s="1"/>
  <c r="G12" i="7" s="1"/>
  <c r="O20" i="11"/>
  <c r="F19" i="11"/>
  <c r="G20" i="11" s="1"/>
  <c r="P20" i="11"/>
  <c r="F46" i="6"/>
  <c r="T32" i="11"/>
  <c r="U32" i="11"/>
  <c r="J18" i="13" a="1"/>
  <c r="J18" i="13" s="1"/>
  <c r="N19" i="13"/>
  <c r="M22" i="14"/>
  <c r="M21" i="13"/>
  <c r="Y30" i="11"/>
  <c r="Z30" i="11"/>
  <c r="N18" i="14"/>
  <c r="J17" i="14" a="1"/>
  <c r="J17" i="14" s="1"/>
  <c r="K22" i="11"/>
  <c r="J22" i="11"/>
  <c r="G11" i="7" l="1"/>
  <c r="G10" i="7" s="1"/>
  <c r="P21" i="11"/>
  <c r="F20" i="11"/>
  <c r="G21" i="11" s="1"/>
  <c r="O21" i="11"/>
  <c r="J18" i="14" a="1"/>
  <c r="J18" i="14" s="1"/>
  <c r="N19" i="14"/>
  <c r="M22" i="13"/>
  <c r="M23" i="14"/>
  <c r="K23" i="11"/>
  <c r="J23" i="11"/>
  <c r="G46" i="6"/>
  <c r="F3" i="6"/>
  <c r="G3" i="6" s="1"/>
  <c r="U33" i="11"/>
  <c r="T33" i="11"/>
  <c r="Z31" i="11"/>
  <c r="Y31" i="11"/>
  <c r="J19" i="13" a="1"/>
  <c r="J19" i="13" s="1"/>
  <c r="N20" i="13"/>
  <c r="G1" i="7"/>
  <c r="G9" i="7" l="1"/>
  <c r="G8" i="7" s="1"/>
  <c r="G7" i="7" s="1"/>
  <c r="G6" i="7" s="1"/>
  <c r="B5" i="2"/>
  <c r="B7" i="2" s="1"/>
  <c r="F25" i="2" s="1"/>
  <c r="P22" i="11"/>
  <c r="O22" i="11"/>
  <c r="F21" i="11"/>
  <c r="G22" i="11" s="1"/>
  <c r="M23" i="13"/>
  <c r="Z32" i="11"/>
  <c r="Y32" i="11"/>
  <c r="N20" i="14"/>
  <c r="J19" i="14" a="1"/>
  <c r="J19" i="14" s="1"/>
  <c r="U34" i="11"/>
  <c r="T34" i="11"/>
  <c r="J24" i="11"/>
  <c r="K24" i="11"/>
  <c r="M24" i="14"/>
  <c r="J20" i="13" a="1"/>
  <c r="J20" i="13" s="1"/>
  <c r="N21" i="13"/>
  <c r="F16" i="2" l="1"/>
  <c r="F22" i="11"/>
  <c r="G23" i="11" s="1"/>
  <c r="O23" i="11"/>
  <c r="P23" i="11"/>
  <c r="M25" i="14"/>
  <c r="K25" i="11"/>
  <c r="J25" i="11"/>
  <c r="J20" i="14" a="1"/>
  <c r="J20" i="14" s="1"/>
  <c r="N21" i="14"/>
  <c r="Z33" i="11"/>
  <c r="Y33" i="11"/>
  <c r="U35" i="11"/>
  <c r="T35" i="11"/>
  <c r="N22" i="13"/>
  <c r="J21" i="13" a="1"/>
  <c r="J21" i="13" s="1"/>
  <c r="M24" i="13"/>
  <c r="P24" i="11" l="1"/>
  <c r="F23" i="11"/>
  <c r="G24" i="11" s="1"/>
  <c r="O24" i="11"/>
  <c r="K26" i="11"/>
  <c r="J26" i="11"/>
  <c r="M26" i="14"/>
  <c r="J22" i="13" a="1"/>
  <c r="J22" i="13" s="1"/>
  <c r="N23" i="13"/>
  <c r="M25" i="13"/>
  <c r="Y34" i="11"/>
  <c r="Z34" i="11"/>
  <c r="T36" i="11"/>
  <c r="U36" i="11"/>
  <c r="N22" i="14"/>
  <c r="J21" i="14" a="1"/>
  <c r="J21" i="14" s="1"/>
  <c r="O25" i="11" l="1"/>
  <c r="P25" i="11"/>
  <c r="F24" i="11"/>
  <c r="G25" i="11" s="1"/>
  <c r="J22" i="14" a="1"/>
  <c r="J22" i="14" s="1"/>
  <c r="N23" i="14"/>
  <c r="J23" i="13" a="1"/>
  <c r="J23" i="13" s="1"/>
  <c r="N24" i="13"/>
  <c r="U37" i="11"/>
  <c r="T37" i="11"/>
  <c r="M26" i="13"/>
  <c r="M27" i="14"/>
  <c r="Z35" i="11"/>
  <c r="Y35" i="11"/>
  <c r="K27" i="11"/>
  <c r="J27" i="11"/>
  <c r="F25" i="11" l="1"/>
  <c r="G26" i="11" s="1"/>
  <c r="O26" i="11"/>
  <c r="P26" i="11"/>
  <c r="M28" i="14"/>
  <c r="Z36" i="11"/>
  <c r="Y36" i="11"/>
  <c r="J24" i="13" a="1"/>
  <c r="J24" i="13" s="1"/>
  <c r="N25" i="13"/>
  <c r="M27" i="13"/>
  <c r="N24" i="14"/>
  <c r="J23" i="14" a="1"/>
  <c r="J23" i="14" s="1"/>
  <c r="U38" i="11"/>
  <c r="T38" i="11"/>
  <c r="J28" i="11"/>
  <c r="K28" i="11"/>
  <c r="O27" i="11" l="1"/>
  <c r="F26" i="11"/>
  <c r="G27" i="11" s="1"/>
  <c r="P27" i="11"/>
  <c r="U39" i="11"/>
  <c r="T39" i="11"/>
  <c r="M29" i="14"/>
  <c r="N26" i="13"/>
  <c r="J25" i="13" a="1"/>
  <c r="J25" i="13" s="1"/>
  <c r="M28" i="13"/>
  <c r="K29" i="11"/>
  <c r="J29" i="11"/>
  <c r="J24" i="14" a="1"/>
  <c r="J24" i="14" s="1"/>
  <c r="N25" i="14"/>
  <c r="Z37" i="11"/>
  <c r="Y37" i="11"/>
  <c r="O28" i="11" l="1"/>
  <c r="F27" i="11"/>
  <c r="G28" i="11" s="1"/>
  <c r="P28" i="11"/>
  <c r="M29" i="13"/>
  <c r="J26" i="13" a="1"/>
  <c r="J26" i="13" s="1"/>
  <c r="N27" i="13"/>
  <c r="T40" i="11"/>
  <c r="U40" i="11"/>
  <c r="N26" i="14"/>
  <c r="J25" i="14" a="1"/>
  <c r="J25" i="14" s="1"/>
  <c r="K30" i="11"/>
  <c r="J30" i="11"/>
  <c r="Y38" i="11"/>
  <c r="Z38" i="11"/>
  <c r="M30" i="14"/>
  <c r="F28" i="11" l="1"/>
  <c r="G29" i="11" s="1"/>
  <c r="P29" i="11"/>
  <c r="O29" i="11"/>
  <c r="K31" i="11"/>
  <c r="J31" i="11"/>
  <c r="M31" i="14"/>
  <c r="U41" i="11"/>
  <c r="T41" i="11"/>
  <c r="M30" i="13"/>
  <c r="J27" i="13" a="1"/>
  <c r="J27" i="13" s="1"/>
  <c r="N28" i="13"/>
  <c r="Z39" i="11"/>
  <c r="Y39" i="11"/>
  <c r="J26" i="14" a="1"/>
  <c r="J26" i="14" s="1"/>
  <c r="N27" i="14"/>
  <c r="P30" i="11" l="1"/>
  <c r="F29" i="11"/>
  <c r="G30" i="11" s="1"/>
  <c r="O30" i="11"/>
  <c r="N28" i="14"/>
  <c r="J27" i="14" a="1"/>
  <c r="J27" i="14" s="1"/>
  <c r="Z40" i="11"/>
  <c r="Y40" i="11"/>
  <c r="M32" i="14"/>
  <c r="J28" i="13" a="1"/>
  <c r="J28" i="13" s="1"/>
  <c r="N29" i="13"/>
  <c r="U42" i="11"/>
  <c r="T42" i="11"/>
  <c r="M31" i="13"/>
  <c r="J32" i="11"/>
  <c r="K32" i="11"/>
  <c r="O31" i="11" l="1"/>
  <c r="P31" i="11"/>
  <c r="F30" i="11"/>
  <c r="G31" i="11" s="1"/>
  <c r="M32" i="13"/>
  <c r="U43" i="11"/>
  <c r="T43" i="11"/>
  <c r="J28" i="14" a="1"/>
  <c r="J28" i="14" s="1"/>
  <c r="N29" i="14"/>
  <c r="Z41" i="11"/>
  <c r="Y41" i="11"/>
  <c r="K33" i="11"/>
  <c r="J33" i="11"/>
  <c r="N30" i="13"/>
  <c r="J29" i="13" a="1"/>
  <c r="J29" i="13" s="1"/>
  <c r="M33" i="14"/>
  <c r="P32" i="11" l="1"/>
  <c r="O32" i="11"/>
  <c r="F31" i="11"/>
  <c r="G32" i="11" s="1"/>
  <c r="J30" i="13" a="1"/>
  <c r="J30" i="13" s="1"/>
  <c r="N31" i="13"/>
  <c r="Y42" i="11"/>
  <c r="Z42" i="11"/>
  <c r="K34" i="11"/>
  <c r="J34" i="11"/>
  <c r="M33" i="13"/>
  <c r="M34" i="14"/>
  <c r="N30" i="14"/>
  <c r="J29" i="14" a="1"/>
  <c r="J29" i="14" s="1"/>
  <c r="T44" i="11"/>
  <c r="U44" i="11"/>
  <c r="F32" i="11" l="1"/>
  <c r="G33" i="11" s="1"/>
  <c r="P33" i="11"/>
  <c r="O33" i="11"/>
  <c r="U45" i="11"/>
  <c r="T45" i="11"/>
  <c r="M35" i="14"/>
  <c r="J30" i="14" a="1"/>
  <c r="J30" i="14" s="1"/>
  <c r="N31" i="14"/>
  <c r="K35" i="11"/>
  <c r="J35" i="11"/>
  <c r="Z43" i="11"/>
  <c r="Y43" i="11"/>
  <c r="M34" i="13"/>
  <c r="J31" i="13" a="1"/>
  <c r="J31" i="13" s="1"/>
  <c r="N32" i="13"/>
  <c r="F33" i="11" l="1"/>
  <c r="G34" i="11" s="1"/>
  <c r="O34" i="11"/>
  <c r="P34" i="11"/>
  <c r="J36" i="11"/>
  <c r="K36" i="11"/>
  <c r="M36" i="14"/>
  <c r="J32" i="13" a="1"/>
  <c r="J32" i="13" s="1"/>
  <c r="N33" i="13"/>
  <c r="M35" i="13"/>
  <c r="U46" i="11"/>
  <c r="T46" i="11"/>
  <c r="Z44" i="11"/>
  <c r="Y44" i="11"/>
  <c r="J31" i="14" a="1"/>
  <c r="J31" i="14" s="1"/>
  <c r="N32" i="14"/>
  <c r="O35" i="11" l="1"/>
  <c r="F34" i="11"/>
  <c r="G35" i="11" s="1"/>
  <c r="P35" i="11"/>
  <c r="Z45" i="11"/>
  <c r="Y45" i="11"/>
  <c r="J32" i="14" a="1"/>
  <c r="J32" i="14" s="1"/>
  <c r="N33" i="14"/>
  <c r="U47" i="11"/>
  <c r="T47" i="11"/>
  <c r="M36" i="13"/>
  <c r="N34" i="13"/>
  <c r="J33" i="13" a="1"/>
  <c r="J33" i="13" s="1"/>
  <c r="M37" i="14"/>
  <c r="K37" i="11"/>
  <c r="J37" i="11"/>
  <c r="O36" i="11" l="1"/>
  <c r="F35" i="11"/>
  <c r="G36" i="11" s="1"/>
  <c r="P36" i="11"/>
  <c r="T48" i="11"/>
  <c r="U48" i="11"/>
  <c r="J34" i="13" a="1"/>
  <c r="J34" i="13" s="1"/>
  <c r="N35" i="13"/>
  <c r="Y46" i="11"/>
  <c r="Z46" i="11"/>
  <c r="K38" i="11"/>
  <c r="J38" i="11"/>
  <c r="M38" i="14"/>
  <c r="M37" i="13"/>
  <c r="N34" i="14"/>
  <c r="J33" i="14" a="1"/>
  <c r="J33" i="14" s="1"/>
  <c r="F36" i="11" l="1"/>
  <c r="G37" i="11" s="1"/>
  <c r="P37" i="11"/>
  <c r="O37" i="11"/>
  <c r="M39" i="14"/>
  <c r="J34" i="14" a="1"/>
  <c r="J34" i="14" s="1"/>
  <c r="N35" i="14"/>
  <c r="M38" i="13"/>
  <c r="K39" i="11"/>
  <c r="J39" i="11"/>
  <c r="Z47" i="11"/>
  <c r="Y47" i="11"/>
  <c r="U49" i="11"/>
  <c r="T49" i="11"/>
  <c r="J35" i="13" a="1"/>
  <c r="J35" i="13" s="1"/>
  <c r="N36" i="13"/>
  <c r="O38" i="11" l="1"/>
  <c r="F37" i="11"/>
  <c r="G38" i="11" s="1"/>
  <c r="P38" i="11"/>
  <c r="J36" i="13" a="1"/>
  <c r="J36" i="13" s="1"/>
  <c r="N37" i="13"/>
  <c r="Z48" i="11"/>
  <c r="Y48" i="11"/>
  <c r="U50" i="11"/>
  <c r="T50" i="11"/>
  <c r="J40" i="11"/>
  <c r="K40" i="11"/>
  <c r="M39" i="13"/>
  <c r="M40" i="14"/>
  <c r="J35" i="14" a="1"/>
  <c r="J35" i="14" s="1"/>
  <c r="N36" i="14"/>
  <c r="O39" i="11" l="1"/>
  <c r="F38" i="11"/>
  <c r="G39" i="11" s="1"/>
  <c r="P39" i="11"/>
  <c r="J36" i="14" a="1"/>
  <c r="J36" i="14" s="1"/>
  <c r="N37" i="14"/>
  <c r="Z49" i="11"/>
  <c r="Y49" i="11"/>
  <c r="K41" i="11"/>
  <c r="J41" i="11"/>
  <c r="N38" i="13"/>
  <c r="J37" i="13" a="1"/>
  <c r="J37" i="13" s="1"/>
  <c r="M40" i="13"/>
  <c r="U51" i="11"/>
  <c r="T51" i="11"/>
  <c r="M41" i="14"/>
  <c r="F39" i="11" l="1"/>
  <c r="G40" i="11" s="1"/>
  <c r="O40" i="11"/>
  <c r="P40" i="11"/>
  <c r="M42" i="14"/>
  <c r="J38" i="13" a="1"/>
  <c r="J38" i="13" s="1"/>
  <c r="N39" i="13"/>
  <c r="Y50" i="11"/>
  <c r="Z50" i="11"/>
  <c r="M41" i="13"/>
  <c r="K42" i="11"/>
  <c r="J42" i="11"/>
  <c r="N38" i="14"/>
  <c r="J37" i="14" a="1"/>
  <c r="J37" i="14" s="1"/>
  <c r="T52" i="11"/>
  <c r="U52" i="11"/>
  <c r="F40" i="11" l="1"/>
  <c r="G41" i="11" s="1"/>
  <c r="O41" i="11"/>
  <c r="P41" i="11"/>
  <c r="J38" i="14" a="1"/>
  <c r="J38" i="14" s="1"/>
  <c r="N39" i="14"/>
  <c r="K43" i="11"/>
  <c r="J43" i="11"/>
  <c r="M42" i="13"/>
  <c r="Z51" i="11"/>
  <c r="Y51" i="11"/>
  <c r="M43" i="14"/>
  <c r="U53" i="11"/>
  <c r="T53" i="11"/>
  <c r="J39" i="13" a="1"/>
  <c r="J39" i="13" s="1"/>
  <c r="N40" i="13"/>
  <c r="F41" i="11" l="1"/>
  <c r="G42" i="11" s="1"/>
  <c r="P42" i="11"/>
  <c r="O42" i="11"/>
  <c r="J39" i="14" a="1"/>
  <c r="J39" i="14" s="1"/>
  <c r="N40" i="14"/>
  <c r="J40" i="13" a="1"/>
  <c r="J40" i="13" s="1"/>
  <c r="N41" i="13"/>
  <c r="U54" i="11"/>
  <c r="T54" i="11"/>
  <c r="Z52" i="11"/>
  <c r="Y52" i="11"/>
  <c r="J44" i="11"/>
  <c r="K44" i="11"/>
  <c r="M44" i="14"/>
  <c r="M43" i="13"/>
  <c r="P43" i="11" l="1"/>
  <c r="O43" i="11"/>
  <c r="F42" i="11"/>
  <c r="G43" i="11" s="1"/>
  <c r="Z53" i="11"/>
  <c r="Y53" i="11"/>
  <c r="N42" i="13"/>
  <c r="J41" i="13" a="1"/>
  <c r="J41" i="13" s="1"/>
  <c r="M44" i="13"/>
  <c r="U55" i="11"/>
  <c r="T55" i="11"/>
  <c r="J40" i="14" a="1"/>
  <c r="J40" i="14" s="1"/>
  <c r="N41" i="14"/>
  <c r="M45" i="14"/>
  <c r="K45" i="11"/>
  <c r="J45" i="11"/>
  <c r="P44" i="11" l="1"/>
  <c r="F43" i="11"/>
  <c r="G44" i="11" s="1"/>
  <c r="O44" i="11"/>
  <c r="T56" i="11"/>
  <c r="U56" i="11"/>
  <c r="J42" i="13" a="1"/>
  <c r="J42" i="13" s="1"/>
  <c r="N43" i="13"/>
  <c r="N42" i="14"/>
  <c r="J41" i="14" a="1"/>
  <c r="J41" i="14" s="1"/>
  <c r="M45" i="13"/>
  <c r="Y54" i="11"/>
  <c r="Z54" i="11"/>
  <c r="K46" i="11"/>
  <c r="J46" i="11"/>
  <c r="M46" i="14"/>
  <c r="P45" i="11" l="1"/>
  <c r="F44" i="11"/>
  <c r="G45" i="11" s="1"/>
  <c r="O45" i="11"/>
  <c r="M47" i="14"/>
  <c r="M46" i="13"/>
  <c r="J43" i="13" a="1"/>
  <c r="J43" i="13" s="1"/>
  <c r="N44" i="13"/>
  <c r="U57" i="11"/>
  <c r="T57" i="11"/>
  <c r="K47" i="11"/>
  <c r="J47" i="11"/>
  <c r="Z55" i="11"/>
  <c r="Y55" i="11"/>
  <c r="J42" i="14" a="1"/>
  <c r="J42" i="14" s="1"/>
  <c r="N43" i="14"/>
  <c r="P46" i="11" l="1"/>
  <c r="O46" i="11"/>
  <c r="F45" i="11"/>
  <c r="G46" i="11" s="1"/>
  <c r="J43" i="14" a="1"/>
  <c r="J43" i="14" s="1"/>
  <c r="N44" i="14"/>
  <c r="J44" i="13" a="1"/>
  <c r="J44" i="13" s="1"/>
  <c r="N45" i="13"/>
  <c r="M48" i="14"/>
  <c r="Z56" i="11"/>
  <c r="Y56" i="11"/>
  <c r="U58" i="11"/>
  <c r="T58" i="11"/>
  <c r="J48" i="11"/>
  <c r="K48" i="11"/>
  <c r="M47" i="13"/>
  <c r="P47" i="11" l="1"/>
  <c r="F46" i="11"/>
  <c r="G47" i="11" s="1"/>
  <c r="O47" i="11"/>
  <c r="N46" i="13"/>
  <c r="J45" i="13" a="1"/>
  <c r="J45" i="13" s="1"/>
  <c r="M48" i="13"/>
  <c r="M49" i="14"/>
  <c r="J44" i="14" a="1"/>
  <c r="J44" i="14" s="1"/>
  <c r="N45" i="14"/>
  <c r="K49" i="11"/>
  <c r="J49" i="11"/>
  <c r="U59" i="11"/>
  <c r="T59" i="11"/>
  <c r="Z57" i="11"/>
  <c r="Y57" i="11"/>
  <c r="F47" i="11" l="1"/>
  <c r="G48" i="11" s="1"/>
  <c r="O48" i="11"/>
  <c r="P48" i="11"/>
  <c r="Y58" i="11"/>
  <c r="Z58" i="11"/>
  <c r="M49" i="13"/>
  <c r="J46" i="13" a="1"/>
  <c r="J46" i="13" s="1"/>
  <c r="N47" i="13"/>
  <c r="N46" i="14"/>
  <c r="J45" i="14" a="1"/>
  <c r="J45" i="14" s="1"/>
  <c r="K50" i="11"/>
  <c r="J50" i="11"/>
  <c r="T60" i="11"/>
  <c r="U60" i="11"/>
  <c r="M50" i="14"/>
  <c r="P49" i="11" l="1"/>
  <c r="O49" i="11"/>
  <c r="F48" i="11"/>
  <c r="G49" i="11" s="1"/>
  <c r="J47" i="13" a="1"/>
  <c r="J47" i="13" s="1"/>
  <c r="N48" i="13"/>
  <c r="M51" i="14"/>
  <c r="U61" i="11"/>
  <c r="T61" i="11"/>
  <c r="Z59" i="11"/>
  <c r="Y59" i="11"/>
  <c r="K51" i="11"/>
  <c r="J51" i="11"/>
  <c r="J46" i="14" a="1"/>
  <c r="J46" i="14" s="1"/>
  <c r="N47" i="14"/>
  <c r="M50" i="13"/>
  <c r="P50" i="11" l="1"/>
  <c r="O50" i="11"/>
  <c r="F49" i="11"/>
  <c r="G50" i="11" s="1"/>
  <c r="Z60" i="11"/>
  <c r="Y60" i="11"/>
  <c r="J52" i="11"/>
  <c r="K52" i="11"/>
  <c r="M51" i="13"/>
  <c r="U62" i="11"/>
  <c r="T62" i="11"/>
  <c r="M52" i="14"/>
  <c r="J47" i="14" a="1"/>
  <c r="J47" i="14" s="1"/>
  <c r="N48" i="14"/>
  <c r="J48" i="13" a="1"/>
  <c r="J48" i="13" s="1"/>
  <c r="N49" i="13"/>
  <c r="P51" i="11" l="1"/>
  <c r="O51" i="11"/>
  <c r="F50" i="11"/>
  <c r="G51" i="11" s="1"/>
  <c r="M52" i="13"/>
  <c r="N50" i="13"/>
  <c r="J49" i="13" a="1"/>
  <c r="J49" i="13" s="1"/>
  <c r="Z61" i="11"/>
  <c r="Y61" i="11"/>
  <c r="M53" i="14"/>
  <c r="K53" i="11"/>
  <c r="J53" i="11"/>
  <c r="J48" i="14" a="1"/>
  <c r="J48" i="14" s="1"/>
  <c r="N49" i="14"/>
  <c r="U63" i="11"/>
  <c r="T63" i="11"/>
  <c r="P52" i="11" l="1"/>
  <c r="F51" i="11"/>
  <c r="G52" i="11" s="1"/>
  <c r="O52" i="11"/>
  <c r="T64" i="11"/>
  <c r="U64" i="11"/>
  <c r="K54" i="11"/>
  <c r="J54" i="11"/>
  <c r="M54" i="14"/>
  <c r="M53" i="13"/>
  <c r="Y62" i="11"/>
  <c r="Z62" i="11"/>
  <c r="J50" i="13" a="1"/>
  <c r="J50" i="13" s="1"/>
  <c r="N51" i="13"/>
  <c r="N50" i="14"/>
  <c r="J49" i="14" a="1"/>
  <c r="J49" i="14" s="1"/>
  <c r="P53" i="11" l="1"/>
  <c r="F52" i="11"/>
  <c r="G53" i="11" s="1"/>
  <c r="O53" i="11"/>
  <c r="M54" i="13"/>
  <c r="J51" i="13" a="1"/>
  <c r="J51" i="13" s="1"/>
  <c r="N52" i="13"/>
  <c r="J50" i="14" a="1"/>
  <c r="J50" i="14" s="1"/>
  <c r="N51" i="14"/>
  <c r="Z63" i="11"/>
  <c r="Y63" i="11"/>
  <c r="M55" i="14"/>
  <c r="K55" i="11"/>
  <c r="J55" i="11"/>
  <c r="U65" i="11"/>
  <c r="T65" i="11"/>
  <c r="O54" i="11" l="1"/>
  <c r="P54" i="11"/>
  <c r="F53" i="11"/>
  <c r="G54" i="11" s="1"/>
  <c r="M56" i="14"/>
  <c r="Z64" i="11"/>
  <c r="Y64" i="11"/>
  <c r="J52" i="13" a="1"/>
  <c r="J52" i="13" s="1"/>
  <c r="N53" i="13"/>
  <c r="M55" i="13"/>
  <c r="J56" i="11"/>
  <c r="K56" i="11"/>
  <c r="U66" i="11"/>
  <c r="T66" i="11"/>
  <c r="J51" i="14" a="1"/>
  <c r="J51" i="14" s="1"/>
  <c r="N52" i="14"/>
  <c r="P55" i="11" l="1"/>
  <c r="O55" i="11"/>
  <c r="F54" i="11"/>
  <c r="G55" i="11" s="1"/>
  <c r="J52" i="14" a="1"/>
  <c r="J52" i="14" s="1"/>
  <c r="N53" i="14"/>
  <c r="U67" i="11"/>
  <c r="T67" i="11"/>
  <c r="N54" i="13"/>
  <c r="J53" i="13" a="1"/>
  <c r="J53" i="13" s="1"/>
  <c r="M57" i="14"/>
  <c r="K57" i="11"/>
  <c r="J57" i="11"/>
  <c r="Z65" i="11"/>
  <c r="Y65" i="11"/>
  <c r="M56" i="13"/>
  <c r="F55" i="11" l="1"/>
  <c r="G56" i="11" s="1"/>
  <c r="P56" i="11"/>
  <c r="O56" i="11"/>
  <c r="N54" i="14"/>
  <c r="J53" i="14" a="1"/>
  <c r="J53" i="14" s="1"/>
  <c r="J54" i="13" a="1"/>
  <c r="J54" i="13" s="1"/>
  <c r="N55" i="13"/>
  <c r="K58" i="11"/>
  <c r="J58" i="11"/>
  <c r="M57" i="13"/>
  <c r="Y66" i="11"/>
  <c r="Z66" i="11"/>
  <c r="M58" i="14"/>
  <c r="T68" i="11"/>
  <c r="U68" i="11"/>
  <c r="P57" i="11" l="1"/>
  <c r="O57" i="11"/>
  <c r="F56" i="11"/>
  <c r="G57" i="11" s="1"/>
  <c r="K59" i="11"/>
  <c r="J59" i="11"/>
  <c r="N56" i="13"/>
  <c r="J55" i="13" a="1"/>
  <c r="J55" i="13" s="1"/>
  <c r="U69" i="11"/>
  <c r="T69" i="11"/>
  <c r="Z67" i="11"/>
  <c r="Y67" i="11"/>
  <c r="M59" i="14"/>
  <c r="M58" i="13"/>
  <c r="J54" i="14" a="1"/>
  <c r="J54" i="14" s="1"/>
  <c r="N55" i="14"/>
  <c r="F57" i="11" l="1"/>
  <c r="G58" i="11" s="1"/>
  <c r="P58" i="11"/>
  <c r="O58" i="11"/>
  <c r="U70" i="11"/>
  <c r="T70" i="11"/>
  <c r="J60" i="11"/>
  <c r="K60" i="11"/>
  <c r="N56" i="14"/>
  <c r="J55" i="14" a="1"/>
  <c r="J55" i="14" s="1"/>
  <c r="M60" i="14"/>
  <c r="Z68" i="11"/>
  <c r="Y68" i="11"/>
  <c r="N57" i="13"/>
  <c r="J56" i="13" a="1"/>
  <c r="J56" i="13" s="1"/>
  <c r="M59" i="13"/>
  <c r="F58" i="11" l="1"/>
  <c r="G59" i="11" s="1"/>
  <c r="P59" i="11"/>
  <c r="O59" i="11"/>
  <c r="N58" i="13"/>
  <c r="J57" i="13" a="1"/>
  <c r="J57" i="13" s="1"/>
  <c r="M60" i="13"/>
  <c r="Z69" i="11"/>
  <c r="Y69" i="11"/>
  <c r="K61" i="11"/>
  <c r="J61" i="11"/>
  <c r="N57" i="14"/>
  <c r="J56" i="14" a="1"/>
  <c r="J56" i="14" s="1"/>
  <c r="U71" i="11"/>
  <c r="T71" i="11"/>
  <c r="M61" i="14"/>
  <c r="P60" i="11" l="1"/>
  <c r="O60" i="11"/>
  <c r="F59" i="11"/>
  <c r="G60" i="11" s="1"/>
  <c r="N58" i="14"/>
  <c r="J57" i="14" a="1"/>
  <c r="J57" i="14" s="1"/>
  <c r="Y70" i="11"/>
  <c r="Z70" i="11"/>
  <c r="T72" i="11"/>
  <c r="U72" i="11"/>
  <c r="K62" i="11"/>
  <c r="J62" i="11"/>
  <c r="N59" i="13"/>
  <c r="J58" i="13" a="1"/>
  <c r="J58" i="13" s="1"/>
  <c r="M62" i="14"/>
  <c r="M61" i="13"/>
  <c r="O61" i="11" l="1"/>
  <c r="F60" i="11"/>
  <c r="G61" i="11" s="1"/>
  <c r="P61" i="11"/>
  <c r="M62" i="13"/>
  <c r="Z71" i="11"/>
  <c r="Y71" i="11"/>
  <c r="N60" i="13"/>
  <c r="J59" i="13" a="1"/>
  <c r="J59" i="13" s="1"/>
  <c r="M63" i="14"/>
  <c r="K63" i="11"/>
  <c r="J63" i="11"/>
  <c r="U73" i="11"/>
  <c r="T73" i="11"/>
  <c r="N59" i="14"/>
  <c r="J58" i="14" a="1"/>
  <c r="J58" i="14" s="1"/>
  <c r="O62" i="11" l="1"/>
  <c r="P62" i="11"/>
  <c r="F61" i="11"/>
  <c r="G62" i="11" s="1"/>
  <c r="Z72" i="11"/>
  <c r="Y72" i="11"/>
  <c r="M63" i="13"/>
  <c r="J64" i="11"/>
  <c r="K64" i="11"/>
  <c r="M64" i="14"/>
  <c r="N60" i="14"/>
  <c r="J59" i="14" a="1"/>
  <c r="J59" i="14" s="1"/>
  <c r="U74" i="11"/>
  <c r="T74" i="11"/>
  <c r="N61" i="13"/>
  <c r="J60" i="13" a="1"/>
  <c r="J60" i="13" s="1"/>
  <c r="P63" i="11" l="1"/>
  <c r="O63" i="11"/>
  <c r="F62" i="11"/>
  <c r="G63" i="11" s="1"/>
  <c r="M64" i="13"/>
  <c r="Z73" i="11"/>
  <c r="Y73" i="11"/>
  <c r="N61" i="14"/>
  <c r="J60" i="14" a="1"/>
  <c r="J60" i="14" s="1"/>
  <c r="N62" i="13"/>
  <c r="J61" i="13" a="1"/>
  <c r="J61" i="13" s="1"/>
  <c r="U75" i="11"/>
  <c r="T75" i="11"/>
  <c r="M65" i="14"/>
  <c r="K65" i="11"/>
  <c r="J65" i="11"/>
  <c r="F63" i="11" l="1"/>
  <c r="G64" i="11" s="1"/>
  <c r="P64" i="11"/>
  <c r="O64" i="11"/>
  <c r="K66" i="11"/>
  <c r="J66" i="11"/>
  <c r="N62" i="14"/>
  <c r="J61" i="14" a="1"/>
  <c r="J61" i="14" s="1"/>
  <c r="Y74" i="11"/>
  <c r="Z74" i="11"/>
  <c r="M66" i="14"/>
  <c r="T76" i="11"/>
  <c r="U76" i="11"/>
  <c r="M65" i="13"/>
  <c r="N63" i="13"/>
  <c r="J62" i="13" a="1"/>
  <c r="J62" i="13" s="1"/>
  <c r="P65" i="11" l="1"/>
  <c r="F64" i="11"/>
  <c r="G65" i="11" s="1"/>
  <c r="O65" i="11"/>
  <c r="N64" i="13"/>
  <c r="J63" i="13" a="1"/>
  <c r="J63" i="13" s="1"/>
  <c r="U77" i="11"/>
  <c r="T77" i="11"/>
  <c r="Z75" i="11"/>
  <c r="Y75" i="11"/>
  <c r="M66" i="13"/>
  <c r="M67" i="14"/>
  <c r="K67" i="11"/>
  <c r="J67" i="11"/>
  <c r="N63" i="14"/>
  <c r="J62" i="14" a="1"/>
  <c r="J62" i="14" s="1"/>
  <c r="F65" i="11" l="1"/>
  <c r="G66" i="11" s="1"/>
  <c r="O66" i="11"/>
  <c r="P66" i="11"/>
  <c r="U78" i="11"/>
  <c r="T78" i="11"/>
  <c r="M67" i="13"/>
  <c r="N64" i="14"/>
  <c r="J63" i="14" a="1"/>
  <c r="J63" i="14" s="1"/>
  <c r="M68" i="14"/>
  <c r="Z76" i="11"/>
  <c r="Y76" i="11"/>
  <c r="J68" i="11"/>
  <c r="K68" i="11"/>
  <c r="N65" i="13"/>
  <c r="J64" i="13" a="1"/>
  <c r="J64" i="13" s="1"/>
  <c r="O67" i="11" l="1"/>
  <c r="P67" i="11"/>
  <c r="F66" i="11"/>
  <c r="G67" i="11" s="1"/>
  <c r="U79" i="11"/>
  <c r="T79" i="11"/>
  <c r="Z77" i="11"/>
  <c r="Y77" i="11"/>
  <c r="K69" i="11"/>
  <c r="J69" i="11"/>
  <c r="N65" i="14"/>
  <c r="J64" i="14" a="1"/>
  <c r="J64" i="14" s="1"/>
  <c r="N66" i="13"/>
  <c r="J65" i="13" a="1"/>
  <c r="J65" i="13" s="1"/>
  <c r="M69" i="14"/>
  <c r="M68" i="13"/>
  <c r="O68" i="11" l="1"/>
  <c r="F67" i="11"/>
  <c r="G68" i="11" s="1"/>
  <c r="P68" i="11"/>
  <c r="N66" i="14"/>
  <c r="J65" i="14" a="1"/>
  <c r="J65" i="14" s="1"/>
  <c r="Y78" i="11"/>
  <c r="Z78" i="11"/>
  <c r="T80" i="11"/>
  <c r="U80" i="11"/>
  <c r="M69" i="13"/>
  <c r="M70" i="14"/>
  <c r="N67" i="13"/>
  <c r="J66" i="13" a="1"/>
  <c r="J66" i="13" s="1"/>
  <c r="K70" i="11"/>
  <c r="J70" i="11"/>
  <c r="F68" i="11" l="1"/>
  <c r="G69" i="11" s="1"/>
  <c r="O69" i="11"/>
  <c r="P69" i="11"/>
  <c r="N68" i="13"/>
  <c r="J67" i="13" a="1"/>
  <c r="J67" i="13" s="1"/>
  <c r="U81" i="11"/>
  <c r="T81" i="11"/>
  <c r="N67" i="14"/>
  <c r="J66" i="14" a="1"/>
  <c r="J66" i="14" s="1"/>
  <c r="M70" i="13"/>
  <c r="K71" i="11"/>
  <c r="J71" i="11"/>
  <c r="M71" i="14"/>
  <c r="Z79" i="11"/>
  <c r="Y79" i="11"/>
  <c r="F69" i="11" l="1"/>
  <c r="G70" i="11" s="1"/>
  <c r="O70" i="11"/>
  <c r="P70" i="11"/>
  <c r="M71" i="13"/>
  <c r="T4" i="11"/>
  <c r="I3" i="12" s="1"/>
  <c r="I6" i="12"/>
  <c r="B24" i="2"/>
  <c r="M72" i="14"/>
  <c r="Z80" i="11"/>
  <c r="Y80" i="11"/>
  <c r="J72" i="11"/>
  <c r="K72" i="11"/>
  <c r="N69" i="13"/>
  <c r="J68" i="13" a="1"/>
  <c r="J68" i="13" s="1"/>
  <c r="N68" i="14"/>
  <c r="J67" i="14" a="1"/>
  <c r="J67" i="14" s="1"/>
  <c r="I8" i="12" l="1"/>
  <c r="F70" i="11"/>
  <c r="G71" i="11" s="1"/>
  <c r="P71" i="11"/>
  <c r="O71" i="11"/>
  <c r="N69" i="14"/>
  <c r="J68" i="14" a="1"/>
  <c r="J68" i="14" s="1"/>
  <c r="M73" i="14"/>
  <c r="K73" i="11"/>
  <c r="J73" i="11"/>
  <c r="M72" i="13"/>
  <c r="N70" i="13"/>
  <c r="J69" i="13" a="1"/>
  <c r="J69" i="13" s="1"/>
  <c r="Z81" i="11"/>
  <c r="Y81" i="11"/>
  <c r="P72" i="11" l="1"/>
  <c r="O72" i="11"/>
  <c r="F71" i="11"/>
  <c r="G72" i="11" s="1"/>
  <c r="N70" i="14"/>
  <c r="J69" i="14" a="1"/>
  <c r="J69" i="14" s="1"/>
  <c r="K74" i="11"/>
  <c r="J74" i="11"/>
  <c r="M74" i="14"/>
  <c r="K6" i="12"/>
  <c r="B25" i="2"/>
  <c r="Y4" i="11"/>
  <c r="K3" i="12" s="1"/>
  <c r="M73" i="13"/>
  <c r="N71" i="13"/>
  <c r="J70" i="13" a="1"/>
  <c r="J70" i="13" s="1"/>
  <c r="K8" i="12" l="1"/>
  <c r="B1" i="14" s="1"/>
  <c r="B8" i="14" s="1"/>
  <c r="P73" i="11"/>
  <c r="F72" i="11"/>
  <c r="G73" i="11" s="1"/>
  <c r="O73" i="11"/>
  <c r="O20" i="2"/>
  <c r="O27" i="2"/>
  <c r="O23" i="2"/>
  <c r="K75" i="11"/>
  <c r="J75" i="11"/>
  <c r="N71" i="14"/>
  <c r="J70" i="14" a="1"/>
  <c r="J70" i="14" s="1"/>
  <c r="M74" i="13"/>
  <c r="N72" i="13"/>
  <c r="J71" i="13" a="1"/>
  <c r="J71" i="13" s="1"/>
  <c r="M75" i="14"/>
  <c r="I8" i="14" l="1"/>
  <c r="K8" i="14" s="1"/>
  <c r="L8" i="14" s="1"/>
  <c r="O74" i="11"/>
  <c r="F73" i="11"/>
  <c r="G74" i="11" s="1"/>
  <c r="P74" i="11"/>
  <c r="M76" i="14"/>
  <c r="M75" i="13"/>
  <c r="N72" i="14"/>
  <c r="J71" i="14" a="1"/>
  <c r="J71" i="14" s="1"/>
  <c r="N73" i="13"/>
  <c r="J72" i="13" a="1"/>
  <c r="J72" i="13" s="1"/>
  <c r="J76" i="11"/>
  <c r="K76" i="11"/>
  <c r="P75" i="11" l="1"/>
  <c r="O75" i="11"/>
  <c r="F74" i="11"/>
  <c r="G75" i="11" s="1"/>
  <c r="I9" i="14"/>
  <c r="N74" i="13"/>
  <c r="J73" i="13" a="1"/>
  <c r="J73" i="13" s="1"/>
  <c r="M76" i="13"/>
  <c r="K77" i="11"/>
  <c r="J77" i="11"/>
  <c r="M77" i="14"/>
  <c r="N73" i="14"/>
  <c r="J72" i="14" a="1"/>
  <c r="J72" i="14" s="1"/>
  <c r="O76" i="11" l="1"/>
  <c r="P76" i="11"/>
  <c r="F75" i="11"/>
  <c r="G76" i="11" s="1"/>
  <c r="M78" i="14"/>
  <c r="M77" i="13"/>
  <c r="K78" i="11"/>
  <c r="J78" i="11"/>
  <c r="N74" i="14"/>
  <c r="J73" i="14" a="1"/>
  <c r="J73" i="14" s="1"/>
  <c r="N75" i="13"/>
  <c r="J74" i="13" a="1"/>
  <c r="J74" i="13" s="1"/>
  <c r="K9" i="14"/>
  <c r="L9" i="14" s="1"/>
  <c r="O77" i="11" l="1"/>
  <c r="P77" i="11"/>
  <c r="F76" i="11"/>
  <c r="G77" i="11" s="1"/>
  <c r="I10" i="14"/>
  <c r="M78" i="13"/>
  <c r="K79" i="11"/>
  <c r="J79" i="11"/>
  <c r="N75" i="14"/>
  <c r="J74" i="14" a="1"/>
  <c r="J74" i="14" s="1"/>
  <c r="M79" i="14"/>
  <c r="N76" i="13"/>
  <c r="J75" i="13" a="1"/>
  <c r="J75" i="13" s="1"/>
  <c r="O78" i="11" l="1"/>
  <c r="P78" i="11"/>
  <c r="F77" i="11"/>
  <c r="G78" i="11" s="1"/>
  <c r="M80" i="14"/>
  <c r="J80" i="11"/>
  <c r="K80" i="11"/>
  <c r="N76" i="14"/>
  <c r="J75" i="14" a="1"/>
  <c r="J75" i="14" s="1"/>
  <c r="M79" i="13"/>
  <c r="N77" i="13"/>
  <c r="J76" i="13" a="1"/>
  <c r="J76" i="13" s="1"/>
  <c r="K10" i="14"/>
  <c r="P79" i="11" l="1"/>
  <c r="F78" i="11"/>
  <c r="G79" i="11" s="1"/>
  <c r="A103" i="11" s="1"/>
  <c r="O79" i="11"/>
  <c r="K81" i="11"/>
  <c r="J81" i="11"/>
  <c r="N78" i="13"/>
  <c r="J77" i="13" a="1"/>
  <c r="J77" i="13" s="1"/>
  <c r="N77" i="14"/>
  <c r="J76" i="14" a="1"/>
  <c r="J76" i="14" s="1"/>
  <c r="M81" i="14"/>
  <c r="L10" i="14"/>
  <c r="M80" i="13"/>
  <c r="O80" i="11" l="1"/>
  <c r="F79" i="11"/>
  <c r="G80" i="11" s="1"/>
  <c r="A97" i="11" s="1"/>
  <c r="P80" i="11"/>
  <c r="N79" i="13"/>
  <c r="J78" i="13" a="1"/>
  <c r="J78" i="13" s="1"/>
  <c r="M81" i="13"/>
  <c r="I11" i="14"/>
  <c r="N78" i="14"/>
  <c r="J77" i="14" a="1"/>
  <c r="J77" i="14" s="1"/>
  <c r="A93" i="11"/>
  <c r="M82" i="14"/>
  <c r="F80" i="11" l="1"/>
  <c r="G81" i="11" s="1"/>
  <c r="P81" i="11"/>
  <c r="O81" i="11"/>
  <c r="M83" i="14"/>
  <c r="M82" i="13"/>
  <c r="N79" i="14"/>
  <c r="J78" i="14" a="1"/>
  <c r="J78" i="14" s="1"/>
  <c r="E6" i="12"/>
  <c r="J4" i="11"/>
  <c r="E3" i="12" s="1"/>
  <c r="B22" i="2"/>
  <c r="K11" i="14"/>
  <c r="L11" i="14" s="1"/>
  <c r="N80" i="13"/>
  <c r="J79" i="13" a="1"/>
  <c r="J79" i="13" s="1"/>
  <c r="A99" i="11" l="1"/>
  <c r="A89" i="11"/>
  <c r="F81" i="11"/>
  <c r="D4" i="11" s="1"/>
  <c r="F2" i="11" s="1"/>
  <c r="G2" i="11" s="1"/>
  <c r="E8" i="12"/>
  <c r="I12" i="14"/>
  <c r="M83" i="13"/>
  <c r="N81" i="13"/>
  <c r="J80" i="13" a="1"/>
  <c r="J80" i="13" s="1"/>
  <c r="N80" i="14"/>
  <c r="J79" i="14" a="1"/>
  <c r="J79" i="14" s="1"/>
  <c r="M84" i="14"/>
  <c r="B6" i="11" l="1"/>
  <c r="O4" i="11"/>
  <c r="G3" i="12" s="1"/>
  <c r="G6" i="12"/>
  <c r="C6" i="12" s="1"/>
  <c r="B23" i="2"/>
  <c r="E2" i="11"/>
  <c r="M84" i="13"/>
  <c r="M85" i="14"/>
  <c r="N82" i="13"/>
  <c r="J81" i="13" a="1"/>
  <c r="J81" i="13" s="1"/>
  <c r="N81" i="14"/>
  <c r="J80" i="14" a="1"/>
  <c r="J80" i="14" s="1"/>
  <c r="K12" i="14"/>
  <c r="L12" i="14" s="1"/>
  <c r="G8" i="12" l="1"/>
  <c r="C8" i="12" s="1"/>
  <c r="O26" i="2"/>
  <c r="O37" i="2" s="1"/>
  <c r="O19" i="2"/>
  <c r="O35" i="2" s="1"/>
  <c r="B26" i="2"/>
  <c r="O22" i="2"/>
  <c r="O36" i="2" s="1"/>
  <c r="M85" i="13"/>
  <c r="N83" i="13"/>
  <c r="J82" i="13" a="1"/>
  <c r="J82" i="13" s="1"/>
  <c r="M86" i="14"/>
  <c r="I13" i="14"/>
  <c r="N82" i="14"/>
  <c r="J81" i="14" a="1"/>
  <c r="J81" i="14" s="1"/>
  <c r="B1" i="13" l="1"/>
  <c r="I8" i="13" s="1"/>
  <c r="K8" i="13" s="1"/>
  <c r="L8" i="13" s="1"/>
  <c r="O40" i="2"/>
  <c r="F1" i="2"/>
  <c r="F3" i="2" s="1"/>
  <c r="F29" i="2"/>
  <c r="O18" i="2"/>
  <c r="N83" i="14"/>
  <c r="J82" i="14" a="1"/>
  <c r="J82" i="14" s="1"/>
  <c r="M86" i="13"/>
  <c r="K13" i="14"/>
  <c r="L13" i="14" s="1"/>
  <c r="M87" i="14"/>
  <c r="N84" i="13"/>
  <c r="J83" i="13" a="1"/>
  <c r="J83" i="13" s="1"/>
  <c r="B8" i="13" l="1"/>
  <c r="P26" i="2"/>
  <c r="P36" i="2"/>
  <c r="P31" i="2"/>
  <c r="P30" i="2"/>
  <c r="P20" i="2"/>
  <c r="P22" i="2"/>
  <c r="P25" i="2"/>
  <c r="P21" i="2"/>
  <c r="P27" i="2"/>
  <c r="P19" i="2"/>
  <c r="P35" i="2"/>
  <c r="P37" i="2"/>
  <c r="P32" i="2"/>
  <c r="P28" i="2"/>
  <c r="P39" i="2"/>
  <c r="P23" i="2"/>
  <c r="P29" i="2"/>
  <c r="P24" i="2"/>
  <c r="P38" i="2"/>
  <c r="G29" i="2"/>
  <c r="G26" i="2"/>
  <c r="G28" i="2"/>
  <c r="G30" i="2"/>
  <c r="G25" i="2"/>
  <c r="G31" i="2"/>
  <c r="G27" i="2"/>
  <c r="L17" i="2"/>
  <c r="C19" i="2"/>
  <c r="C7" i="2"/>
  <c r="L16" i="2"/>
  <c r="C31" i="2"/>
  <c r="L8" i="2"/>
  <c r="C40" i="2"/>
  <c r="L15" i="2"/>
  <c r="L12" i="2"/>
  <c r="C26" i="2"/>
  <c r="E20" i="2"/>
  <c r="L5" i="2"/>
  <c r="L6" i="2"/>
  <c r="Q11" i="10" a="1"/>
  <c r="Q11" i="10" s="1"/>
  <c r="I9" i="13"/>
  <c r="M88" i="14"/>
  <c r="I14" i="14"/>
  <c r="M87" i="13"/>
  <c r="N85" i="13"/>
  <c r="J84" i="13" a="1"/>
  <c r="J84" i="13" s="1"/>
  <c r="N84" i="14"/>
  <c r="J83" i="14" a="1"/>
  <c r="J83" i="14" s="1"/>
  <c r="P40" i="2" l="1"/>
  <c r="G20" i="2"/>
  <c r="K24" i="2"/>
  <c r="K23" i="2"/>
  <c r="R2" i="2"/>
  <c r="R3" i="2" s="1"/>
  <c r="R4" i="2" s="1"/>
  <c r="R5" i="2" s="1"/>
  <c r="R6" i="2" s="1"/>
  <c r="R7" i="2" s="1"/>
  <c r="R8" i="2" s="1"/>
  <c r="R9" i="2" s="1"/>
  <c r="R10" i="2" s="1"/>
  <c r="R11" i="2" s="1"/>
  <c r="F20" i="2"/>
  <c r="F22" i="2" s="1"/>
  <c r="G22" i="2" s="1"/>
  <c r="K21" i="2"/>
  <c r="K22" i="2"/>
  <c r="K9" i="13"/>
  <c r="N86" i="13"/>
  <c r="J85" i="13" a="1"/>
  <c r="J85" i="13" s="1"/>
  <c r="K14" i="14"/>
  <c r="L14" i="14" s="1"/>
  <c r="I15" i="14" s="1"/>
  <c r="M88" i="13"/>
  <c r="M89" i="14"/>
  <c r="N85" i="14"/>
  <c r="J84" i="14" a="1"/>
  <c r="J84" i="14" s="1"/>
  <c r="L9" i="13" l="1"/>
  <c r="K15" i="14"/>
  <c r="L15" i="14" s="1"/>
  <c r="I16" i="14" s="1"/>
  <c r="M90" i="14"/>
  <c r="N86" i="14"/>
  <c r="J85" i="14" a="1"/>
  <c r="J85" i="14" s="1"/>
  <c r="M89" i="13"/>
  <c r="N87" i="13"/>
  <c r="J86" i="13" a="1"/>
  <c r="J86" i="13" s="1"/>
  <c r="I10" i="13" l="1"/>
  <c r="Q12" i="10" a="1"/>
  <c r="Q12" i="10" s="1"/>
  <c r="K16" i="14"/>
  <c r="L16" i="14" s="1"/>
  <c r="I17" i="14" s="1"/>
  <c r="M90" i="13"/>
  <c r="M91" i="14"/>
  <c r="N88" i="13"/>
  <c r="J87" i="13" a="1"/>
  <c r="J87" i="13" s="1"/>
  <c r="N87" i="14"/>
  <c r="J86" i="14" a="1"/>
  <c r="J86" i="14" s="1"/>
  <c r="K10" i="13" l="1"/>
  <c r="K17" i="14"/>
  <c r="L17" i="14" s="1"/>
  <c r="I18" i="14" s="1"/>
  <c r="M91" i="13"/>
  <c r="N89" i="13"/>
  <c r="J88" i="13" a="1"/>
  <c r="J88" i="13" s="1"/>
  <c r="N88" i="14"/>
  <c r="J87" i="14" a="1"/>
  <c r="J87" i="14" s="1"/>
  <c r="M92" i="14"/>
  <c r="L10" i="13" l="1"/>
  <c r="K18" i="14"/>
  <c r="L18" i="14" s="1"/>
  <c r="I19" i="14" s="1"/>
  <c r="M92" i="13"/>
  <c r="M93" i="14"/>
  <c r="N89" i="14"/>
  <c r="J88" i="14" a="1"/>
  <c r="J88" i="14" s="1"/>
  <c r="N90" i="13"/>
  <c r="J89" i="13" a="1"/>
  <c r="J89" i="13" s="1"/>
  <c r="I11" i="13" l="1"/>
  <c r="Q13" i="10" a="1"/>
  <c r="Q13" i="10" s="1"/>
  <c r="K19" i="14"/>
  <c r="L19" i="14" s="1"/>
  <c r="I20" i="14" s="1"/>
  <c r="M93" i="13"/>
  <c r="N90" i="14"/>
  <c r="J89" i="14" a="1"/>
  <c r="J89" i="14" s="1"/>
  <c r="M94" i="14"/>
  <c r="N91" i="13"/>
  <c r="J90" i="13" a="1"/>
  <c r="J90" i="13" s="1"/>
  <c r="K11" i="13" l="1"/>
  <c r="L11" i="13" s="1"/>
  <c r="K20" i="14"/>
  <c r="M95" i="14"/>
  <c r="M94" i="13"/>
  <c r="N92" i="13"/>
  <c r="J91" i="13" a="1"/>
  <c r="J91" i="13" s="1"/>
  <c r="N91" i="14"/>
  <c r="J90" i="14" a="1"/>
  <c r="J90" i="14" s="1"/>
  <c r="I12" i="13" l="1"/>
  <c r="Q14" i="10" a="1"/>
  <c r="Q14" i="10" s="1"/>
  <c r="M96" i="14"/>
  <c r="N93" i="13"/>
  <c r="J92" i="13" a="1"/>
  <c r="J92" i="13" s="1"/>
  <c r="M95" i="13"/>
  <c r="N92" i="14"/>
  <c r="J91" i="14" a="1"/>
  <c r="J91" i="14" s="1"/>
  <c r="L20" i="14"/>
  <c r="I21" i="14" s="1"/>
  <c r="K12" i="13" l="1"/>
  <c r="L12" i="13" s="1"/>
  <c r="N94" i="13"/>
  <c r="J93" i="13" a="1"/>
  <c r="J93" i="13" s="1"/>
  <c r="N93" i="14"/>
  <c r="J92" i="14" a="1"/>
  <c r="J92" i="14" s="1"/>
  <c r="M96" i="13"/>
  <c r="K21" i="14"/>
  <c r="M97" i="14"/>
  <c r="Q15" i="10" l="1" a="1"/>
  <c r="Q15" i="10" s="1"/>
  <c r="I13" i="13"/>
  <c r="N95" i="13"/>
  <c r="J94" i="13" a="1"/>
  <c r="J94" i="13" s="1"/>
  <c r="L21" i="14"/>
  <c r="I22" i="14" s="1"/>
  <c r="N94" i="14"/>
  <c r="J93" i="14" a="1"/>
  <c r="J93" i="14" s="1"/>
  <c r="M98" i="14"/>
  <c r="M97" i="13"/>
  <c r="K13" i="13" l="1"/>
  <c r="L13" i="13" s="1"/>
  <c r="I14" i="13" s="1"/>
  <c r="M98" i="13"/>
  <c r="N95" i="14"/>
  <c r="J94" i="14" a="1"/>
  <c r="J94" i="14" s="1"/>
  <c r="N96" i="13"/>
  <c r="J95" i="13" a="1"/>
  <c r="J95" i="13" s="1"/>
  <c r="M99" i="14"/>
  <c r="K22" i="14"/>
  <c r="K14" i="13" l="1"/>
  <c r="L14" i="13" s="1"/>
  <c r="M100" i="14"/>
  <c r="N96" i="14"/>
  <c r="J95" i="14" a="1"/>
  <c r="J95" i="14" s="1"/>
  <c r="M99" i="13"/>
  <c r="L22" i="14"/>
  <c r="I23" i="14" s="1"/>
  <c r="N97" i="13"/>
  <c r="J96" i="13" a="1"/>
  <c r="J96" i="13" s="1"/>
  <c r="Q17" i="10" l="1" a="1"/>
  <c r="Q17" i="10" s="1"/>
  <c r="I15" i="13"/>
  <c r="M100" i="13"/>
  <c r="M101" i="14"/>
  <c r="N98" i="13"/>
  <c r="J97" i="13" a="1"/>
  <c r="J97" i="13" s="1"/>
  <c r="K23" i="14"/>
  <c r="L23" i="14" s="1"/>
  <c r="I24" i="14" s="1"/>
  <c r="N97" i="14"/>
  <c r="J96" i="14" a="1"/>
  <c r="J96" i="14" s="1"/>
  <c r="K15" i="13" l="1"/>
  <c r="L15" i="13" s="1"/>
  <c r="I16" i="13" s="1"/>
  <c r="K24" i="14"/>
  <c r="L24" i="14" s="1"/>
  <c r="I25" i="14" s="1"/>
  <c r="N98" i="14"/>
  <c r="J97" i="14" a="1"/>
  <c r="J97" i="14" s="1"/>
  <c r="M101" i="13"/>
  <c r="M102" i="14"/>
  <c r="N99" i="13"/>
  <c r="J98" i="13" a="1"/>
  <c r="J98" i="13" s="1"/>
  <c r="K16" i="13" l="1"/>
  <c r="L16" i="13" s="1"/>
  <c r="I17" i="13" s="1"/>
  <c r="K25" i="14"/>
  <c r="L25" i="14" s="1"/>
  <c r="I26" i="14" s="1"/>
  <c r="N100" i="13"/>
  <c r="J99" i="13" a="1"/>
  <c r="J99" i="13" s="1"/>
  <c r="N99" i="14"/>
  <c r="J98" i="14" a="1"/>
  <c r="J98" i="14" s="1"/>
  <c r="M103" i="14"/>
  <c r="M102" i="13"/>
  <c r="K17" i="13" l="1"/>
  <c r="L17" i="13" s="1"/>
  <c r="I18" i="13" s="1"/>
  <c r="K26" i="14"/>
  <c r="L26" i="14" s="1"/>
  <c r="I27" i="14" s="1"/>
  <c r="M103" i="13"/>
  <c r="N100" i="14"/>
  <c r="J99" i="14" a="1"/>
  <c r="J99" i="14" s="1"/>
  <c r="M104" i="14"/>
  <c r="N101" i="13"/>
  <c r="J100" i="13" a="1"/>
  <c r="J100" i="13" s="1"/>
  <c r="K18" i="13" l="1"/>
  <c r="L18" i="13" s="1"/>
  <c r="I19" i="13" s="1"/>
  <c r="K27" i="14"/>
  <c r="L27" i="14" s="1"/>
  <c r="I28" i="14" s="1"/>
  <c r="N101" i="14"/>
  <c r="J100" i="14" a="1"/>
  <c r="J100" i="14" s="1"/>
  <c r="M105" i="14"/>
  <c r="N102" i="13"/>
  <c r="J101" i="13" a="1"/>
  <c r="J101" i="13" s="1"/>
  <c r="M104" i="13"/>
  <c r="K19" i="13" l="1"/>
  <c r="L19" i="13" s="1"/>
  <c r="I20" i="13" s="1"/>
  <c r="K28" i="14"/>
  <c r="L28" i="14" s="1"/>
  <c r="I29" i="14" s="1"/>
  <c r="M105" i="13"/>
  <c r="M106" i="14"/>
  <c r="N103" i="13"/>
  <c r="J102" i="13" a="1"/>
  <c r="J102" i="13" s="1"/>
  <c r="N102" i="14"/>
  <c r="J101" i="14" a="1"/>
  <c r="J101" i="14" s="1"/>
  <c r="K20" i="13" l="1"/>
  <c r="K29" i="14"/>
  <c r="L29" i="14" s="1"/>
  <c r="I30" i="14" s="1"/>
  <c r="N103" i="14"/>
  <c r="J102" i="14" a="1"/>
  <c r="J102" i="14" s="1"/>
  <c r="M106" i="13"/>
  <c r="M107" i="14"/>
  <c r="N104" i="13"/>
  <c r="J103" i="13" a="1"/>
  <c r="J103" i="13" s="1"/>
  <c r="L20" i="13" l="1"/>
  <c r="I21" i="13" s="1"/>
  <c r="K30" i="14"/>
  <c r="L30" i="14" s="1"/>
  <c r="I31" i="14" s="1"/>
  <c r="M107" i="13"/>
  <c r="N104" i="14"/>
  <c r="J103" i="14" a="1"/>
  <c r="J103" i="14" s="1"/>
  <c r="M108" i="14"/>
  <c r="N105" i="13"/>
  <c r="J104" i="13" a="1"/>
  <c r="J104" i="13" s="1"/>
  <c r="K21" i="13" l="1"/>
  <c r="K31" i="14"/>
  <c r="L31" i="14" s="1"/>
  <c r="I32" i="14" s="1"/>
  <c r="M109" i="14"/>
  <c r="M108" i="13"/>
  <c r="N106" i="13"/>
  <c r="J105" i="13" a="1"/>
  <c r="J105" i="13" s="1"/>
  <c r="N105" i="14"/>
  <c r="J104" i="14" a="1"/>
  <c r="J104" i="14" s="1"/>
  <c r="L21" i="13" l="1"/>
  <c r="I22" i="13" s="1"/>
  <c r="K32" i="14"/>
  <c r="N107" i="13"/>
  <c r="J106" i="13" a="1"/>
  <c r="J106" i="13" s="1"/>
  <c r="M109" i="13"/>
  <c r="N106" i="14"/>
  <c r="J105" i="14" a="1"/>
  <c r="J105" i="14" s="1"/>
  <c r="M110" i="14"/>
  <c r="K22" i="13" l="1"/>
  <c r="N108" i="13"/>
  <c r="J107" i="13" a="1"/>
  <c r="J107" i="13" s="1"/>
  <c r="M110" i="13"/>
  <c r="M111" i="14"/>
  <c r="N107" i="14"/>
  <c r="J106" i="14" a="1"/>
  <c r="J106" i="14" s="1"/>
  <c r="L32" i="14"/>
  <c r="I33" i="14" s="1"/>
  <c r="L22" i="13" l="1"/>
  <c r="I23" i="13" s="1"/>
  <c r="N108" i="14"/>
  <c r="J107" i="14" a="1"/>
  <c r="J107" i="14" s="1"/>
  <c r="M111" i="13"/>
  <c r="N109" i="13"/>
  <c r="J108" i="13" a="1"/>
  <c r="J108" i="13" s="1"/>
  <c r="K33" i="14"/>
  <c r="M112" i="14"/>
  <c r="K23" i="13" l="1"/>
  <c r="L23" i="13" s="1"/>
  <c r="I24" i="13" s="1"/>
  <c r="M112" i="13"/>
  <c r="M113" i="14"/>
  <c r="N110" i="13"/>
  <c r="J109" i="13" a="1"/>
  <c r="J109" i="13" s="1"/>
  <c r="L33" i="14"/>
  <c r="I34" i="14" s="1"/>
  <c r="N109" i="14"/>
  <c r="J108" i="14" a="1"/>
  <c r="J108" i="14" s="1"/>
  <c r="K24" i="13" l="1"/>
  <c r="L24" i="13" s="1"/>
  <c r="I25" i="13" s="1"/>
  <c r="N111" i="13"/>
  <c r="J110" i="13" a="1"/>
  <c r="J110" i="13" s="1"/>
  <c r="N110" i="14"/>
  <c r="J109" i="14" a="1"/>
  <c r="J109" i="14" s="1"/>
  <c r="K34" i="14"/>
  <c r="L34" i="14" s="1"/>
  <c r="I35" i="14" s="1"/>
  <c r="M114" i="14"/>
  <c r="M113" i="13"/>
  <c r="K25" i="13" l="1"/>
  <c r="L25" i="13" s="1"/>
  <c r="I26" i="13" s="1"/>
  <c r="K35" i="14"/>
  <c r="L35" i="14" s="1"/>
  <c r="I36" i="14" s="1"/>
  <c r="M114" i="13"/>
  <c r="N112" i="13"/>
  <c r="J111" i="13" a="1"/>
  <c r="J111" i="13" s="1"/>
  <c r="M115" i="14"/>
  <c r="N111" i="14"/>
  <c r="J110" i="14" a="1"/>
  <c r="J110" i="14" s="1"/>
  <c r="K26" i="13" l="1"/>
  <c r="L26" i="13" s="1"/>
  <c r="I27" i="13" s="1"/>
  <c r="K36" i="14"/>
  <c r="L36" i="14" s="1"/>
  <c r="I37" i="14" s="1"/>
  <c r="N113" i="13"/>
  <c r="J112" i="13" a="1"/>
  <c r="J112" i="13" s="1"/>
  <c r="N112" i="14"/>
  <c r="J111" i="14" a="1"/>
  <c r="J111" i="14" s="1"/>
  <c r="M116" i="14"/>
  <c r="M115" i="13"/>
  <c r="K27" i="13" l="1"/>
  <c r="L27" i="13" s="1"/>
  <c r="I28" i="13" s="1"/>
  <c r="K37" i="14"/>
  <c r="L37" i="14" s="1"/>
  <c r="I38" i="14" s="1"/>
  <c r="M116" i="13"/>
  <c r="N113" i="14"/>
  <c r="J112" i="14" a="1"/>
  <c r="J112" i="14" s="1"/>
  <c r="M117" i="14"/>
  <c r="N114" i="13"/>
  <c r="J113" i="13" a="1"/>
  <c r="J113" i="13" s="1"/>
  <c r="K28" i="13" l="1"/>
  <c r="L28" i="13" s="1"/>
  <c r="I29" i="13" s="1"/>
  <c r="K38" i="14"/>
  <c r="L38" i="14" s="1"/>
  <c r="I39" i="14" s="1"/>
  <c r="N114" i="14"/>
  <c r="J113" i="14" a="1"/>
  <c r="J113" i="14" s="1"/>
  <c r="M118" i="14"/>
  <c r="N115" i="13"/>
  <c r="J114" i="13" a="1"/>
  <c r="J114" i="13" s="1"/>
  <c r="M117" i="13"/>
  <c r="K29" i="13" l="1"/>
  <c r="L29" i="13" s="1"/>
  <c r="I30" i="13" s="1"/>
  <c r="K39" i="14"/>
  <c r="L39" i="14" s="1"/>
  <c r="I40" i="14" s="1"/>
  <c r="M118" i="13"/>
  <c r="N115" i="14"/>
  <c r="J114" i="14" a="1"/>
  <c r="J114" i="14" s="1"/>
  <c r="N116" i="13"/>
  <c r="J115" i="13" a="1"/>
  <c r="J115" i="13" s="1"/>
  <c r="M119" i="14"/>
  <c r="K30" i="13" l="1"/>
  <c r="L30" i="13" s="1"/>
  <c r="I31" i="13" s="1"/>
  <c r="K40" i="14"/>
  <c r="L40" i="14" s="1"/>
  <c r="I41" i="14" s="1"/>
  <c r="N116" i="14"/>
  <c r="J115" i="14" a="1"/>
  <c r="J115" i="14" s="1"/>
  <c r="M119" i="13"/>
  <c r="M120" i="14"/>
  <c r="N117" i="13"/>
  <c r="J116" i="13" a="1"/>
  <c r="J116" i="13" s="1"/>
  <c r="K31" i="13" l="1"/>
  <c r="L31" i="13" s="1"/>
  <c r="I32" i="13" s="1"/>
  <c r="K41" i="14"/>
  <c r="L41" i="14" s="1"/>
  <c r="I42" i="14" s="1"/>
  <c r="M120" i="13"/>
  <c r="N118" i="13"/>
  <c r="J117" i="13" a="1"/>
  <c r="J117" i="13" s="1"/>
  <c r="M121" i="14"/>
  <c r="N117" i="14"/>
  <c r="J116" i="14" a="1"/>
  <c r="J116" i="14" s="1"/>
  <c r="K32" i="13" l="1"/>
  <c r="K42" i="14"/>
  <c r="L42" i="14" s="1"/>
  <c r="I43" i="14" s="1"/>
  <c r="N118" i="14"/>
  <c r="J117" i="14" a="1"/>
  <c r="J117" i="14" s="1"/>
  <c r="N119" i="13"/>
  <c r="J118" i="13" a="1"/>
  <c r="J118" i="13" s="1"/>
  <c r="M122" i="14"/>
  <c r="M121" i="13"/>
  <c r="L32" i="13" l="1"/>
  <c r="I33" i="13" s="1"/>
  <c r="K43" i="14"/>
  <c r="L43" i="14" s="1"/>
  <c r="I44" i="14" s="1"/>
  <c r="N119" i="14"/>
  <c r="J118" i="14" a="1"/>
  <c r="J118" i="14" s="1"/>
  <c r="M122" i="13"/>
  <c r="N120" i="13"/>
  <c r="J119" i="13" a="1"/>
  <c r="J119" i="13" s="1"/>
  <c r="M123" i="14"/>
  <c r="K33" i="13" l="1"/>
  <c r="K44" i="14"/>
  <c r="N120" i="14"/>
  <c r="J119" i="14" a="1"/>
  <c r="J119" i="14" s="1"/>
  <c r="N121" i="13"/>
  <c r="J120" i="13" a="1"/>
  <c r="J120" i="13" s="1"/>
  <c r="M123" i="13"/>
  <c r="M124" i="14"/>
  <c r="L33" i="13" l="1"/>
  <c r="I34" i="13" s="1"/>
  <c r="M124" i="13"/>
  <c r="N121" i="14"/>
  <c r="J120" i="14" a="1"/>
  <c r="J120" i="14" s="1"/>
  <c r="N122" i="13"/>
  <c r="J121" i="13" a="1"/>
  <c r="J121" i="13" s="1"/>
  <c r="M125" i="14"/>
  <c r="L44" i="14"/>
  <c r="I45" i="14" s="1"/>
  <c r="K34" i="13" l="1"/>
  <c r="N122" i="14"/>
  <c r="J121" i="14" a="1"/>
  <c r="J121" i="14" s="1"/>
  <c r="K45" i="14"/>
  <c r="L45" i="14" s="1"/>
  <c r="I46" i="14" s="1"/>
  <c r="N123" i="13"/>
  <c r="J122" i="13" a="1"/>
  <c r="J122" i="13" s="1"/>
  <c r="M125" i="13"/>
  <c r="M126" i="14"/>
  <c r="L34" i="13" l="1"/>
  <c r="I35" i="13" s="1"/>
  <c r="K46" i="14"/>
  <c r="L46" i="14" s="1"/>
  <c r="I47" i="14" s="1"/>
  <c r="M126" i="13"/>
  <c r="M127" i="14"/>
  <c r="N124" i="13"/>
  <c r="J123" i="13" a="1"/>
  <c r="J123" i="13" s="1"/>
  <c r="N123" i="14"/>
  <c r="J122" i="14" a="1"/>
  <c r="J122" i="14" s="1"/>
  <c r="K35" i="13" l="1"/>
  <c r="L35" i="13" s="1"/>
  <c r="I36" i="13" s="1"/>
  <c r="K47" i="14"/>
  <c r="N125" i="13"/>
  <c r="J124" i="13" a="1"/>
  <c r="J124" i="13" s="1"/>
  <c r="M127" i="13"/>
  <c r="N124" i="14"/>
  <c r="J123" i="14" a="1"/>
  <c r="J123" i="14" s="1"/>
  <c r="M128" i="14"/>
  <c r="K36" i="13" l="1"/>
  <c r="L36" i="13" s="1"/>
  <c r="I37" i="13" s="1"/>
  <c r="M129" i="14"/>
  <c r="M128" i="13"/>
  <c r="L47" i="14"/>
  <c r="I48" i="14" s="1"/>
  <c r="N125" i="14"/>
  <c r="J124" i="14" a="1"/>
  <c r="J124" i="14" s="1"/>
  <c r="N126" i="13"/>
  <c r="J125" i="13" a="1"/>
  <c r="J125" i="13" s="1"/>
  <c r="K37" i="13" l="1"/>
  <c r="L37" i="13" s="1"/>
  <c r="I38" i="13" s="1"/>
  <c r="M130" i="14"/>
  <c r="N127" i="13"/>
  <c r="J126" i="13" a="1"/>
  <c r="J126" i="13" s="1"/>
  <c r="M129" i="13"/>
  <c r="K48" i="14"/>
  <c r="L48" i="14" s="1"/>
  <c r="I49" i="14" s="1"/>
  <c r="N126" i="14"/>
  <c r="J125" i="14" a="1"/>
  <c r="J125" i="14" s="1"/>
  <c r="K38" i="13" l="1"/>
  <c r="L38" i="13" s="1"/>
  <c r="I39" i="13" s="1"/>
  <c r="K49" i="14"/>
  <c r="L49" i="14" s="1"/>
  <c r="I50" i="14" s="1"/>
  <c r="M130" i="13"/>
  <c r="M131" i="14"/>
  <c r="N127" i="14"/>
  <c r="J126" i="14" a="1"/>
  <c r="J126" i="14" s="1"/>
  <c r="N128" i="13"/>
  <c r="J127" i="13" a="1"/>
  <c r="J127" i="13" s="1"/>
  <c r="K39" i="13" l="1"/>
  <c r="L39" i="13" s="1"/>
  <c r="I40" i="13" s="1"/>
  <c r="K50" i="14"/>
  <c r="L50" i="14" s="1"/>
  <c r="I51" i="14" s="1"/>
  <c r="N129" i="13"/>
  <c r="J128" i="13" a="1"/>
  <c r="J128" i="13" s="1"/>
  <c r="M131" i="13"/>
  <c r="M132" i="14"/>
  <c r="N128" i="14"/>
  <c r="J127" i="14" a="1"/>
  <c r="J127" i="14" s="1"/>
  <c r="K40" i="13" l="1"/>
  <c r="L40" i="13" s="1"/>
  <c r="I41" i="13" s="1"/>
  <c r="K51" i="14"/>
  <c r="L51" i="14" s="1"/>
  <c r="I52" i="14" s="1"/>
  <c r="M132" i="13"/>
  <c r="N129" i="14"/>
  <c r="J128" i="14" a="1"/>
  <c r="J128" i="14" s="1"/>
  <c r="M133" i="14"/>
  <c r="N130" i="13"/>
  <c r="J129" i="13" a="1"/>
  <c r="J129" i="13" s="1"/>
  <c r="K41" i="13" l="1"/>
  <c r="L41" i="13" s="1"/>
  <c r="I42" i="13" s="1"/>
  <c r="K52" i="14"/>
  <c r="L52" i="14" s="1"/>
  <c r="I53" i="14" s="1"/>
  <c r="N131" i="13"/>
  <c r="J130" i="13" a="1"/>
  <c r="J130" i="13" s="1"/>
  <c r="N130" i="14"/>
  <c r="J129" i="14" a="1"/>
  <c r="J129" i="14" s="1"/>
  <c r="M134" i="14"/>
  <c r="M133" i="13"/>
  <c r="K42" i="13" l="1"/>
  <c r="L42" i="13" s="1"/>
  <c r="I43" i="13" s="1"/>
  <c r="K53" i="14"/>
  <c r="L53" i="14" s="1"/>
  <c r="I54" i="14" s="1"/>
  <c r="M135" i="14"/>
  <c r="N132" i="13"/>
  <c r="J131" i="13" a="1"/>
  <c r="J131" i="13" s="1"/>
  <c r="M134" i="13"/>
  <c r="N131" i="14"/>
  <c r="J130" i="14" a="1"/>
  <c r="J130" i="14" s="1"/>
  <c r="K43" i="13" l="1"/>
  <c r="L43" i="13" s="1"/>
  <c r="I44" i="13" s="1"/>
  <c r="K54" i="14"/>
  <c r="L54" i="14" s="1"/>
  <c r="I55" i="14" s="1"/>
  <c r="N132" i="14"/>
  <c r="J131" i="14" a="1"/>
  <c r="J131" i="14" s="1"/>
  <c r="N133" i="13"/>
  <c r="J132" i="13" a="1"/>
  <c r="J132" i="13" s="1"/>
  <c r="M135" i="13"/>
  <c r="M136" i="14"/>
  <c r="K44" i="13" l="1"/>
  <c r="M137" i="14"/>
  <c r="N134" i="13"/>
  <c r="J133" i="13" a="1"/>
  <c r="J133" i="13" s="1"/>
  <c r="K55" i="14"/>
  <c r="L55" i="14" s="1"/>
  <c r="I56" i="14" s="1"/>
  <c r="M136" i="13"/>
  <c r="N133" i="14"/>
  <c r="J132" i="14" a="1"/>
  <c r="J132" i="14" s="1"/>
  <c r="L44" i="13" l="1"/>
  <c r="I45" i="13" s="1"/>
  <c r="K56" i="14"/>
  <c r="M137" i="13"/>
  <c r="N135" i="13"/>
  <c r="J134" i="13" a="1"/>
  <c r="J134" i="13" s="1"/>
  <c r="N134" i="14"/>
  <c r="J133" i="14" a="1"/>
  <c r="J133" i="14" s="1"/>
  <c r="M138" i="14"/>
  <c r="K45" i="13" l="1"/>
  <c r="N136" i="13"/>
  <c r="J135" i="13" a="1"/>
  <c r="J135" i="13" s="1"/>
  <c r="M139" i="14"/>
  <c r="M138" i="13"/>
  <c r="N135" i="14"/>
  <c r="J134" i="14" a="1"/>
  <c r="J134" i="14" s="1"/>
  <c r="L56" i="14"/>
  <c r="I57" i="14" s="1"/>
  <c r="L45" i="13" l="1"/>
  <c r="I46" i="13" s="1"/>
  <c r="M140" i="14"/>
  <c r="M139" i="13"/>
  <c r="K57" i="14"/>
  <c r="N136" i="14"/>
  <c r="J135" i="14" a="1"/>
  <c r="J135" i="14" s="1"/>
  <c r="N137" i="13"/>
  <c r="J136" i="13" a="1"/>
  <c r="J136" i="13" s="1"/>
  <c r="K46" i="13" l="1"/>
  <c r="M140" i="13"/>
  <c r="N138" i="13"/>
  <c r="J137" i="13" a="1"/>
  <c r="J137" i="13" s="1"/>
  <c r="M141" i="14"/>
  <c r="N137" i="14"/>
  <c r="J136" i="14" a="1"/>
  <c r="J136" i="14" s="1"/>
  <c r="L57" i="14"/>
  <c r="I58" i="14" s="1"/>
  <c r="L46" i="13" l="1"/>
  <c r="I47" i="13" s="1"/>
  <c r="K58" i="14"/>
  <c r="N139" i="13"/>
  <c r="J138" i="13" a="1"/>
  <c r="J138" i="13" s="1"/>
  <c r="M141" i="13"/>
  <c r="M142" i="14"/>
  <c r="N138" i="14"/>
  <c r="J137" i="14" a="1"/>
  <c r="J137" i="14" s="1"/>
  <c r="K47" i="13" l="1"/>
  <c r="L47" i="13" s="1"/>
  <c r="I48" i="13" s="1"/>
  <c r="M143" i="14"/>
  <c r="N140" i="13"/>
  <c r="J139" i="13" a="1"/>
  <c r="J139" i="13" s="1"/>
  <c r="M142" i="13"/>
  <c r="N139" i="14"/>
  <c r="J138" i="14" a="1"/>
  <c r="J138" i="14" s="1"/>
  <c r="L58" i="14"/>
  <c r="I59" i="14" s="1"/>
  <c r="K48" i="13" l="1"/>
  <c r="L48" i="13" s="1"/>
  <c r="I49" i="13" s="1"/>
  <c r="K59" i="14"/>
  <c r="L59" i="14" s="1"/>
  <c r="I60" i="14" s="1"/>
  <c r="M144" i="14"/>
  <c r="N140" i="14"/>
  <c r="J139" i="14" a="1"/>
  <c r="J139" i="14" s="1"/>
  <c r="M143" i="13"/>
  <c r="N141" i="13"/>
  <c r="J140" i="13" a="1"/>
  <c r="J140" i="13" s="1"/>
  <c r="K49" i="13" l="1"/>
  <c r="L49" i="13" s="1"/>
  <c r="I50" i="13" s="1"/>
  <c r="K60" i="14"/>
  <c r="L60" i="14" s="1"/>
  <c r="I61" i="14" s="1"/>
  <c r="N141" i="14"/>
  <c r="J140" i="14" a="1"/>
  <c r="J140" i="14" s="1"/>
  <c r="N142" i="13"/>
  <c r="J141" i="13" a="1"/>
  <c r="J141" i="13" s="1"/>
  <c r="M144" i="13"/>
  <c r="M145" i="14"/>
  <c r="K50" i="13" l="1"/>
  <c r="L50" i="13" s="1"/>
  <c r="I51" i="13" s="1"/>
  <c r="K61" i="14"/>
  <c r="L61" i="14" s="1"/>
  <c r="I62" i="14" s="1"/>
  <c r="N143" i="13"/>
  <c r="J142" i="13" a="1"/>
  <c r="J142" i="13" s="1"/>
  <c r="M145" i="13"/>
  <c r="M146" i="14"/>
  <c r="N142" i="14"/>
  <c r="J141" i="14" a="1"/>
  <c r="J141" i="14" s="1"/>
  <c r="K51" i="13" l="1"/>
  <c r="L51" i="13" s="1"/>
  <c r="I52" i="13" s="1"/>
  <c r="K62" i="14"/>
  <c r="L62" i="14" s="1"/>
  <c r="I63" i="14" s="1"/>
  <c r="M146" i="13"/>
  <c r="N143" i="14"/>
  <c r="J142" i="14" a="1"/>
  <c r="J142" i="14" s="1"/>
  <c r="M147" i="14"/>
  <c r="N144" i="13"/>
  <c r="J143" i="13" a="1"/>
  <c r="J143" i="13" s="1"/>
  <c r="K52" i="13" l="1"/>
  <c r="L52" i="13" s="1"/>
  <c r="I53" i="13" s="1"/>
  <c r="K63" i="14"/>
  <c r="L63" i="14" s="1"/>
  <c r="I64" i="14" s="1"/>
  <c r="N144" i="14"/>
  <c r="J143" i="14" a="1"/>
  <c r="J143" i="14" s="1"/>
  <c r="M148" i="14"/>
  <c r="M147" i="13"/>
  <c r="N145" i="13"/>
  <c r="J144" i="13" a="1"/>
  <c r="J144" i="13" s="1"/>
  <c r="K53" i="13" l="1"/>
  <c r="L53" i="13" s="1"/>
  <c r="I54" i="13" s="1"/>
  <c r="K64" i="14"/>
  <c r="L64" i="14" s="1"/>
  <c r="I65" i="14" s="1"/>
  <c r="M149" i="14"/>
  <c r="M148" i="13"/>
  <c r="N146" i="13"/>
  <c r="J145" i="13" a="1"/>
  <c r="J145" i="13" s="1"/>
  <c r="N145" i="14"/>
  <c r="J144" i="14" a="1"/>
  <c r="J144" i="14" s="1"/>
  <c r="K54" i="13" l="1"/>
  <c r="L54" i="13" s="1"/>
  <c r="I55" i="13" s="1"/>
  <c r="K65" i="14"/>
  <c r="L65" i="14" s="1"/>
  <c r="I66" i="14" s="1"/>
  <c r="M149" i="13"/>
  <c r="M150" i="14"/>
  <c r="N146" i="14"/>
  <c r="J145" i="14" a="1"/>
  <c r="J145" i="14" s="1"/>
  <c r="N147" i="13"/>
  <c r="J146" i="13" a="1"/>
  <c r="J146" i="13" s="1"/>
  <c r="K55" i="13" l="1"/>
  <c r="L55" i="13" s="1"/>
  <c r="I56" i="13" s="1"/>
  <c r="K66" i="14"/>
  <c r="L66" i="14" s="1"/>
  <c r="I67" i="14" s="1"/>
  <c r="M151" i="14"/>
  <c r="M150" i="13"/>
  <c r="N148" i="13"/>
  <c r="J147" i="13" a="1"/>
  <c r="J147" i="13" s="1"/>
  <c r="N147" i="14"/>
  <c r="J146" i="14" a="1"/>
  <c r="J146" i="14" s="1"/>
  <c r="K56" i="13" l="1"/>
  <c r="K67" i="14"/>
  <c r="L67" i="14" s="1"/>
  <c r="I68" i="14" s="1"/>
  <c r="M151" i="13"/>
  <c r="N148" i="14"/>
  <c r="J147" i="14" a="1"/>
  <c r="J147" i="14" s="1"/>
  <c r="M152" i="14"/>
  <c r="N149" i="13"/>
  <c r="J148" i="13" a="1"/>
  <c r="J148" i="13" s="1"/>
  <c r="L56" i="13" l="1"/>
  <c r="I57" i="13" s="1"/>
  <c r="K68" i="14"/>
  <c r="M152" i="13"/>
  <c r="N150" i="13"/>
  <c r="J149" i="13" a="1"/>
  <c r="J149" i="13" s="1"/>
  <c r="M153" i="14"/>
  <c r="N149" i="14"/>
  <c r="J148" i="14" a="1"/>
  <c r="J148" i="14" s="1"/>
  <c r="K57" i="13" l="1"/>
  <c r="N150" i="14"/>
  <c r="J149" i="14" a="1"/>
  <c r="J149" i="14" s="1"/>
  <c r="N151" i="13"/>
  <c r="J150" i="13" a="1"/>
  <c r="J150" i="13" s="1"/>
  <c r="M154" i="14"/>
  <c r="M153" i="13"/>
  <c r="L68" i="14"/>
  <c r="I69" i="14" s="1"/>
  <c r="L57" i="13" l="1"/>
  <c r="I58" i="13" s="1"/>
  <c r="K69" i="14"/>
  <c r="M155" i="14"/>
  <c r="N152" i="13"/>
  <c r="J151" i="13" a="1"/>
  <c r="J151" i="13" s="1"/>
  <c r="M154" i="13"/>
  <c r="N151" i="14"/>
  <c r="J150" i="14" a="1"/>
  <c r="J150" i="14" s="1"/>
  <c r="K58" i="13" l="1"/>
  <c r="M155" i="13"/>
  <c r="M156" i="14"/>
  <c r="N152" i="14"/>
  <c r="J151" i="14" a="1"/>
  <c r="J151" i="14" s="1"/>
  <c r="N153" i="13"/>
  <c r="J152" i="13" a="1"/>
  <c r="J152" i="13" s="1"/>
  <c r="L69" i="14"/>
  <c r="I70" i="14" s="1"/>
  <c r="L58" i="13" l="1"/>
  <c r="I59" i="13" s="1"/>
  <c r="M157" i="14"/>
  <c r="M156" i="13"/>
  <c r="K70" i="14"/>
  <c r="L70" i="14" s="1"/>
  <c r="I71" i="14" s="1"/>
  <c r="N154" i="13"/>
  <c r="J153" i="13" a="1"/>
  <c r="J153" i="13" s="1"/>
  <c r="N153" i="14"/>
  <c r="J152" i="14" a="1"/>
  <c r="J152" i="14" s="1"/>
  <c r="K59" i="13" l="1"/>
  <c r="L59" i="13" s="1"/>
  <c r="I60" i="13" s="1"/>
  <c r="K71" i="14"/>
  <c r="L71" i="14" s="1"/>
  <c r="I72" i="14" s="1"/>
  <c r="N154" i="14"/>
  <c r="J153" i="14" a="1"/>
  <c r="J153" i="14" s="1"/>
  <c r="N155" i="13"/>
  <c r="J154" i="13" a="1"/>
  <c r="J154" i="13" s="1"/>
  <c r="M157" i="13"/>
  <c r="M158" i="14"/>
  <c r="K60" i="13" l="1"/>
  <c r="L60" i="13" s="1"/>
  <c r="I61" i="13" s="1"/>
  <c r="K72" i="14"/>
  <c r="L72" i="14" s="1"/>
  <c r="I73" i="14" s="1"/>
  <c r="N156" i="13"/>
  <c r="J155" i="13" a="1"/>
  <c r="J155" i="13" s="1"/>
  <c r="M159" i="14"/>
  <c r="M158" i="13"/>
  <c r="N155" i="14"/>
  <c r="J154" i="14" a="1"/>
  <c r="J154" i="14" s="1"/>
  <c r="K61" i="13" l="1"/>
  <c r="L61" i="13" s="1"/>
  <c r="I62" i="13" s="1"/>
  <c r="K73" i="14"/>
  <c r="L73" i="14" s="1"/>
  <c r="I74" i="14" s="1"/>
  <c r="M160" i="14"/>
  <c r="N156" i="14"/>
  <c r="J155" i="14" a="1"/>
  <c r="J155" i="14" s="1"/>
  <c r="M159" i="13"/>
  <c r="N157" i="13"/>
  <c r="J156" i="13" a="1"/>
  <c r="J156" i="13" s="1"/>
  <c r="K62" i="13" l="1"/>
  <c r="L62" i="13" s="1"/>
  <c r="I63" i="13" s="1"/>
  <c r="K74" i="14"/>
  <c r="L74" i="14" s="1"/>
  <c r="I75" i="14" s="1"/>
  <c r="N157" i="14"/>
  <c r="J156" i="14" a="1"/>
  <c r="J156" i="14" s="1"/>
  <c r="M160" i="13"/>
  <c r="M161" i="14"/>
  <c r="N158" i="13"/>
  <c r="J157" i="13" a="1"/>
  <c r="J157" i="13" s="1"/>
  <c r="K63" i="13" l="1"/>
  <c r="L63" i="13" s="1"/>
  <c r="I64" i="13" s="1"/>
  <c r="K75" i="14"/>
  <c r="L75" i="14" s="1"/>
  <c r="I76" i="14" s="1"/>
  <c r="N159" i="13"/>
  <c r="J158" i="13" a="1"/>
  <c r="J158" i="13" s="1"/>
  <c r="M161" i="13"/>
  <c r="M162" i="14"/>
  <c r="N158" i="14"/>
  <c r="J157" i="14" a="1"/>
  <c r="J157" i="14" s="1"/>
  <c r="K64" i="13" l="1"/>
  <c r="L64" i="13" s="1"/>
  <c r="I65" i="13" s="1"/>
  <c r="K76" i="14"/>
  <c r="L76" i="14" s="1"/>
  <c r="I77" i="14" s="1"/>
  <c r="M162" i="13"/>
  <c r="N159" i="14"/>
  <c r="J158" i="14" a="1"/>
  <c r="J158" i="14" s="1"/>
  <c r="M163" i="14"/>
  <c r="N160" i="13"/>
  <c r="J159" i="13" a="1"/>
  <c r="J159" i="13" s="1"/>
  <c r="K65" i="13" l="1"/>
  <c r="L65" i="13" s="1"/>
  <c r="I66" i="13" s="1"/>
  <c r="K77" i="14"/>
  <c r="L77" i="14" s="1"/>
  <c r="I78" i="14" s="1"/>
  <c r="N161" i="13"/>
  <c r="J160" i="13" a="1"/>
  <c r="J160" i="13" s="1"/>
  <c r="N160" i="14"/>
  <c r="J159" i="14" a="1"/>
  <c r="J159" i="14" s="1"/>
  <c r="M164" i="14"/>
  <c r="M163" i="13"/>
  <c r="K66" i="13" l="1"/>
  <c r="L66" i="13" s="1"/>
  <c r="I67" i="13" s="1"/>
  <c r="K78" i="14"/>
  <c r="L78" i="14" s="1"/>
  <c r="I79" i="14" s="1"/>
  <c r="N161" i="14"/>
  <c r="J160" i="14" a="1"/>
  <c r="J160" i="14" s="1"/>
  <c r="M164" i="13"/>
  <c r="M165" i="14"/>
  <c r="N162" i="13"/>
  <c r="J161" i="13" a="1"/>
  <c r="J161" i="13" s="1"/>
  <c r="K67" i="13" l="1"/>
  <c r="L67" i="13" s="1"/>
  <c r="I68" i="13" s="1"/>
  <c r="K79" i="14"/>
  <c r="L79" i="14" s="1"/>
  <c r="I80" i="14" s="1"/>
  <c r="N163" i="13"/>
  <c r="J162" i="13" a="1"/>
  <c r="J162" i="13" s="1"/>
  <c r="M165" i="13"/>
  <c r="M166" i="14"/>
  <c r="N162" i="14"/>
  <c r="J161" i="14" a="1"/>
  <c r="J161" i="14" s="1"/>
  <c r="K68" i="13" l="1"/>
  <c r="K80" i="14"/>
  <c r="M166" i="13"/>
  <c r="N163" i="14"/>
  <c r="J162" i="14" a="1"/>
  <c r="J162" i="14" s="1"/>
  <c r="M167" i="14"/>
  <c r="N164" i="13"/>
  <c r="J163" i="13" a="1"/>
  <c r="J163" i="13" s="1"/>
  <c r="L68" i="13" l="1"/>
  <c r="I69" i="13" s="1"/>
  <c r="N165" i="13"/>
  <c r="J164" i="13" a="1"/>
  <c r="J164" i="13" s="1"/>
  <c r="N164" i="14"/>
  <c r="J163" i="14" a="1"/>
  <c r="J163" i="14" s="1"/>
  <c r="M168" i="14"/>
  <c r="M167" i="13"/>
  <c r="L80" i="14"/>
  <c r="I81" i="14" s="1"/>
  <c r="K69" i="13" l="1"/>
  <c r="M168" i="13"/>
  <c r="M169" i="14"/>
  <c r="K81" i="14"/>
  <c r="N165" i="14"/>
  <c r="J164" i="14" a="1"/>
  <c r="J164" i="14" s="1"/>
  <c r="N166" i="13"/>
  <c r="J165" i="13" a="1"/>
  <c r="J165" i="13" s="1"/>
  <c r="L69" i="13" l="1"/>
  <c r="I70" i="13" s="1"/>
  <c r="N166" i="14"/>
  <c r="J165" i="14" a="1"/>
  <c r="J165" i="14" s="1"/>
  <c r="M170" i="14"/>
  <c r="N167" i="13"/>
  <c r="J166" i="13" a="1"/>
  <c r="J166" i="13" s="1"/>
  <c r="M169" i="13"/>
  <c r="L81" i="14"/>
  <c r="I82" i="14" s="1"/>
  <c r="K70" i="13" l="1"/>
  <c r="L70" i="13" s="1"/>
  <c r="I71" i="13" s="1"/>
  <c r="M171" i="14"/>
  <c r="K82" i="14"/>
  <c r="L82" i="14" s="1"/>
  <c r="I83" i="14" s="1"/>
  <c r="M170" i="13"/>
  <c r="N168" i="13"/>
  <c r="J167" i="13" a="1"/>
  <c r="J167" i="13" s="1"/>
  <c r="N167" i="14"/>
  <c r="J166" i="14" a="1"/>
  <c r="J166" i="14" s="1"/>
  <c r="K71" i="13" l="1"/>
  <c r="L71" i="13" s="1"/>
  <c r="I72" i="13" s="1"/>
  <c r="K83" i="14"/>
  <c r="L83" i="14" s="1"/>
  <c r="I84" i="14" s="1"/>
  <c r="N168" i="14"/>
  <c r="J167" i="14" a="1"/>
  <c r="J167" i="14" s="1"/>
  <c r="N169" i="13"/>
  <c r="J168" i="13" a="1"/>
  <c r="J168" i="13" s="1"/>
  <c r="M171" i="13"/>
  <c r="M172" i="14"/>
  <c r="K72" i="13" l="1"/>
  <c r="L72" i="13" s="1"/>
  <c r="I73" i="13" s="1"/>
  <c r="K84" i="14"/>
  <c r="L84" i="14" s="1"/>
  <c r="I85" i="14" s="1"/>
  <c r="M172" i="13"/>
  <c r="M173" i="14"/>
  <c r="N170" i="13"/>
  <c r="J169" i="13" a="1"/>
  <c r="J169" i="13" s="1"/>
  <c r="N169" i="14"/>
  <c r="J168" i="14" a="1"/>
  <c r="J168" i="14" s="1"/>
  <c r="K73" i="13" l="1"/>
  <c r="L73" i="13" s="1"/>
  <c r="I74" i="13" s="1"/>
  <c r="K85" i="14"/>
  <c r="L85" i="14" s="1"/>
  <c r="I86" i="14" s="1"/>
  <c r="M174" i="14"/>
  <c r="N170" i="14"/>
  <c r="J169" i="14" a="1"/>
  <c r="J169" i="14" s="1"/>
  <c r="M173" i="13"/>
  <c r="N171" i="13"/>
  <c r="J170" i="13" a="1"/>
  <c r="J170" i="13" s="1"/>
  <c r="K74" i="13" l="1"/>
  <c r="L74" i="13" s="1"/>
  <c r="I75" i="13" s="1"/>
  <c r="K86" i="14"/>
  <c r="L86" i="14" s="1"/>
  <c r="I87" i="14" s="1"/>
  <c r="N171" i="14"/>
  <c r="J170" i="14" a="1"/>
  <c r="J170" i="14" s="1"/>
  <c r="N172" i="13"/>
  <c r="J171" i="13" a="1"/>
  <c r="J171" i="13" s="1"/>
  <c r="M174" i="13"/>
  <c r="M175" i="14"/>
  <c r="K75" i="13" l="1"/>
  <c r="L75" i="13" s="1"/>
  <c r="I76" i="13" s="1"/>
  <c r="K87" i="14"/>
  <c r="L87" i="14" s="1"/>
  <c r="I88" i="14" s="1"/>
  <c r="N173" i="13"/>
  <c r="J172" i="13" a="1"/>
  <c r="J172" i="13" s="1"/>
  <c r="M176" i="14"/>
  <c r="M175" i="13"/>
  <c r="N172" i="14"/>
  <c r="J171" i="14" a="1"/>
  <c r="J171" i="14" s="1"/>
  <c r="K76" i="13" l="1"/>
  <c r="L76" i="13" s="1"/>
  <c r="I77" i="13" s="1"/>
  <c r="K88" i="14"/>
  <c r="L88" i="14" s="1"/>
  <c r="I89" i="14" s="1"/>
  <c r="N173" i="14"/>
  <c r="J172" i="14" a="1"/>
  <c r="J172" i="14" s="1"/>
  <c r="M177" i="14"/>
  <c r="M176" i="13"/>
  <c r="N174" i="13"/>
  <c r="J173" i="13" a="1"/>
  <c r="J173" i="13" s="1"/>
  <c r="K77" i="13" l="1"/>
  <c r="L77" i="13" s="1"/>
  <c r="I78" i="13" s="1"/>
  <c r="K89" i="14"/>
  <c r="L89" i="14" s="1"/>
  <c r="I90" i="14" s="1"/>
  <c r="N175" i="13"/>
  <c r="J174" i="13" a="1"/>
  <c r="J174" i="13" s="1"/>
  <c r="M178" i="14"/>
  <c r="M177" i="13"/>
  <c r="N174" i="14"/>
  <c r="J173" i="14" a="1"/>
  <c r="J173" i="14" s="1"/>
  <c r="K78" i="13" l="1"/>
  <c r="L78" i="13" s="1"/>
  <c r="I79" i="13" s="1"/>
  <c r="K90" i="14"/>
  <c r="L90" i="14" s="1"/>
  <c r="I91" i="14" s="1"/>
  <c r="N175" i="14"/>
  <c r="J174" i="14" a="1"/>
  <c r="J174" i="14" s="1"/>
  <c r="M179" i="14"/>
  <c r="M178" i="13"/>
  <c r="N176" i="13"/>
  <c r="J175" i="13" a="1"/>
  <c r="J175" i="13" s="1"/>
  <c r="K79" i="13" l="1"/>
  <c r="L79" i="13" s="1"/>
  <c r="I80" i="13" s="1"/>
  <c r="K91" i="14"/>
  <c r="L91" i="14" s="1"/>
  <c r="I92" i="14" s="1"/>
  <c r="M180" i="14"/>
  <c r="N177" i="13"/>
  <c r="J176" i="13" a="1"/>
  <c r="J176" i="13" s="1"/>
  <c r="M179" i="13"/>
  <c r="N176" i="14"/>
  <c r="J175" i="14" a="1"/>
  <c r="J175" i="14" s="1"/>
  <c r="K80" i="13" l="1"/>
  <c r="K92" i="14"/>
  <c r="N178" i="13"/>
  <c r="J177" i="13" a="1"/>
  <c r="J177" i="13" s="1"/>
  <c r="N177" i="14"/>
  <c r="J176" i="14" a="1"/>
  <c r="J176" i="14" s="1"/>
  <c r="M180" i="13"/>
  <c r="M181" i="14"/>
  <c r="L80" i="13" l="1"/>
  <c r="I81" i="13" s="1"/>
  <c r="N178" i="14"/>
  <c r="J177" i="14" a="1"/>
  <c r="J177" i="14" s="1"/>
  <c r="M181" i="13"/>
  <c r="M182" i="14"/>
  <c r="N179" i="13"/>
  <c r="J178" i="13" a="1"/>
  <c r="J178" i="13" s="1"/>
  <c r="L92" i="14"/>
  <c r="I93" i="14" s="1"/>
  <c r="K81" i="13" l="1"/>
  <c r="L81" i="13" s="1"/>
  <c r="I82" i="13" s="1"/>
  <c r="M182" i="13"/>
  <c r="N180" i="13"/>
  <c r="J179" i="13" a="1"/>
  <c r="J179" i="13" s="1"/>
  <c r="K93" i="14"/>
  <c r="M183" i="14"/>
  <c r="N179" i="14"/>
  <c r="J178" i="14" a="1"/>
  <c r="J178" i="14" s="1"/>
  <c r="K82" i="13" l="1"/>
  <c r="L82" i="13" s="1"/>
  <c r="I83" i="13" s="1"/>
  <c r="N180" i="14"/>
  <c r="J179" i="14" a="1"/>
  <c r="J179" i="14" s="1"/>
  <c r="M184" i="14"/>
  <c r="L93" i="14"/>
  <c r="I94" i="14" s="1"/>
  <c r="M183" i="13"/>
  <c r="N181" i="13"/>
  <c r="J180" i="13" a="1"/>
  <c r="J180" i="13" s="1"/>
  <c r="K83" i="13" l="1"/>
  <c r="L83" i="13" s="1"/>
  <c r="I84" i="13" s="1"/>
  <c r="K94" i="14"/>
  <c r="L94" i="14" s="1"/>
  <c r="I95" i="14" s="1"/>
  <c r="N182" i="13"/>
  <c r="J181" i="13" a="1"/>
  <c r="J181" i="13" s="1"/>
  <c r="M184" i="13"/>
  <c r="M185" i="14"/>
  <c r="N181" i="14"/>
  <c r="J180" i="14" a="1"/>
  <c r="J180" i="14" s="1"/>
  <c r="K84" i="13" l="1"/>
  <c r="L84" i="13" s="1"/>
  <c r="I85" i="13" s="1"/>
  <c r="K95" i="14"/>
  <c r="L95" i="14" s="1"/>
  <c r="I96" i="14" s="1"/>
  <c r="M185" i="13"/>
  <c r="N182" i="14"/>
  <c r="J181" i="14" a="1"/>
  <c r="J181" i="14" s="1"/>
  <c r="M186" i="14"/>
  <c r="N183" i="13"/>
  <c r="J182" i="13" a="1"/>
  <c r="J182" i="13" s="1"/>
  <c r="K85" i="13" l="1"/>
  <c r="L85" i="13" s="1"/>
  <c r="I86" i="13" s="1"/>
  <c r="K96" i="14"/>
  <c r="L96" i="14" s="1"/>
  <c r="I97" i="14" s="1"/>
  <c r="N183" i="14"/>
  <c r="J182" i="14" a="1"/>
  <c r="J182" i="14" s="1"/>
  <c r="N184" i="13"/>
  <c r="J183" i="13" a="1"/>
  <c r="J183" i="13" s="1"/>
  <c r="M187" i="14"/>
  <c r="M186" i="13"/>
  <c r="K86" i="13" l="1"/>
  <c r="L86" i="13" s="1"/>
  <c r="I87" i="13" s="1"/>
  <c r="K97" i="14"/>
  <c r="L97" i="14" s="1"/>
  <c r="I98" i="14" s="1"/>
  <c r="N185" i="13"/>
  <c r="J184" i="13" a="1"/>
  <c r="J184" i="13" s="1"/>
  <c r="M187" i="13"/>
  <c r="M188" i="14"/>
  <c r="N184" i="14"/>
  <c r="J183" i="14" a="1"/>
  <c r="J183" i="14" s="1"/>
  <c r="K87" i="13" l="1"/>
  <c r="L87" i="13" s="1"/>
  <c r="I88" i="13" s="1"/>
  <c r="M188" i="13"/>
  <c r="N185" i="14"/>
  <c r="J184" i="14" a="1"/>
  <c r="J184" i="14" s="1"/>
  <c r="K98" i="14"/>
  <c r="L98" i="14" s="1"/>
  <c r="I99" i="14" s="1"/>
  <c r="M189" i="14"/>
  <c r="N186" i="13"/>
  <c r="J185" i="13" a="1"/>
  <c r="J185" i="13" s="1"/>
  <c r="K88" i="13" l="1"/>
  <c r="L88" i="13" s="1"/>
  <c r="I89" i="13" s="1"/>
  <c r="K99" i="14"/>
  <c r="L99" i="14" s="1"/>
  <c r="I100" i="14" s="1"/>
  <c r="N187" i="13"/>
  <c r="J186" i="13" a="1"/>
  <c r="J186" i="13" s="1"/>
  <c r="M189" i="13"/>
  <c r="M190" i="14"/>
  <c r="N186" i="14"/>
  <c r="J185" i="14" a="1"/>
  <c r="J185" i="14" s="1"/>
  <c r="K89" i="13" l="1"/>
  <c r="L89" i="13" s="1"/>
  <c r="I90" i="13" s="1"/>
  <c r="K100" i="14"/>
  <c r="L100" i="14" s="1"/>
  <c r="I101" i="14" s="1"/>
  <c r="M190" i="13"/>
  <c r="N187" i="14"/>
  <c r="J186" i="14" a="1"/>
  <c r="J186" i="14" s="1"/>
  <c r="M191" i="14"/>
  <c r="N188" i="13"/>
  <c r="J187" i="13" a="1"/>
  <c r="J187" i="13" s="1"/>
  <c r="K90" i="13" l="1"/>
  <c r="L90" i="13" s="1"/>
  <c r="I91" i="13" s="1"/>
  <c r="K101" i="14"/>
  <c r="L101" i="14" s="1"/>
  <c r="I102" i="14" s="1"/>
  <c r="N189" i="13"/>
  <c r="J188" i="13" a="1"/>
  <c r="J188" i="13" s="1"/>
  <c r="N188" i="14"/>
  <c r="J187" i="14" a="1"/>
  <c r="J187" i="14" s="1"/>
  <c r="M192" i="14"/>
  <c r="M191" i="13"/>
  <c r="K91" i="13" l="1"/>
  <c r="L91" i="13" s="1"/>
  <c r="I92" i="13" s="1"/>
  <c r="K102" i="14"/>
  <c r="L102" i="14" s="1"/>
  <c r="I103" i="14" s="1"/>
  <c r="N189" i="14"/>
  <c r="J188" i="14" a="1"/>
  <c r="J188" i="14" s="1"/>
  <c r="M192" i="13"/>
  <c r="M193" i="14"/>
  <c r="N190" i="13"/>
  <c r="J189" i="13" a="1"/>
  <c r="J189" i="13" s="1"/>
  <c r="K92" i="13" l="1"/>
  <c r="K103" i="14"/>
  <c r="L103" i="14" s="1"/>
  <c r="I104" i="14" s="1"/>
  <c r="N191" i="13"/>
  <c r="J190" i="13" a="1"/>
  <c r="J190" i="13" s="1"/>
  <c r="M194" i="14"/>
  <c r="M193" i="13"/>
  <c r="N190" i="14"/>
  <c r="J189" i="14" a="1"/>
  <c r="J189" i="14" s="1"/>
  <c r="L92" i="13" l="1"/>
  <c r="I93" i="13" s="1"/>
  <c r="K104" i="14"/>
  <c r="M195" i="14"/>
  <c r="N192" i="13"/>
  <c r="J191" i="13" a="1"/>
  <c r="J191" i="13" s="1"/>
  <c r="N191" i="14"/>
  <c r="J190" i="14" a="1"/>
  <c r="J190" i="14" s="1"/>
  <c r="M194" i="13"/>
  <c r="K93" i="13" l="1"/>
  <c r="N193" i="13"/>
  <c r="J192" i="13" a="1"/>
  <c r="J192" i="13" s="1"/>
  <c r="M196" i="14"/>
  <c r="M195" i="13"/>
  <c r="N192" i="14"/>
  <c r="J191" i="14" a="1"/>
  <c r="J191" i="14" s="1"/>
  <c r="L104" i="14"/>
  <c r="I105" i="14" s="1"/>
  <c r="L93" i="13" l="1"/>
  <c r="I94" i="13" s="1"/>
  <c r="N193" i="14"/>
  <c r="J192" i="14" a="1"/>
  <c r="J192" i="14" s="1"/>
  <c r="M197" i="14"/>
  <c r="N194" i="13"/>
  <c r="J193" i="13" a="1"/>
  <c r="J193" i="13" s="1"/>
  <c r="M196" i="13"/>
  <c r="K105" i="14"/>
  <c r="K94" i="13" l="1"/>
  <c r="L94" i="13" s="1"/>
  <c r="I95" i="13" s="1"/>
  <c r="L105" i="14"/>
  <c r="I106" i="14" s="1"/>
  <c r="M197" i="13"/>
  <c r="M198" i="14"/>
  <c r="N195" i="13"/>
  <c r="J194" i="13" a="1"/>
  <c r="J194" i="13" s="1"/>
  <c r="N194" i="14"/>
  <c r="J193" i="14" a="1"/>
  <c r="J193" i="14" s="1"/>
  <c r="K95" i="13" l="1"/>
  <c r="L95" i="13" s="1"/>
  <c r="I96" i="13" s="1"/>
  <c r="M198" i="13"/>
  <c r="N195" i="14"/>
  <c r="J194" i="14" a="1"/>
  <c r="J194" i="14" s="1"/>
  <c r="N196" i="13"/>
  <c r="J195" i="13" a="1"/>
  <c r="J195" i="13" s="1"/>
  <c r="M199" i="14"/>
  <c r="K106" i="14"/>
  <c r="L106" i="14" s="1"/>
  <c r="I107" i="14" s="1"/>
  <c r="K96" i="13" l="1"/>
  <c r="L96" i="13" s="1"/>
  <c r="I97" i="13" s="1"/>
  <c r="K107" i="14"/>
  <c r="L107" i="14" s="1"/>
  <c r="I108" i="14" s="1"/>
  <c r="M199" i="13"/>
  <c r="N197" i="13"/>
  <c r="J196" i="13" a="1"/>
  <c r="J196" i="13" s="1"/>
  <c r="M200" i="14"/>
  <c r="N196" i="14"/>
  <c r="J195" i="14" a="1"/>
  <c r="J195" i="14" s="1"/>
  <c r="K97" i="13" l="1"/>
  <c r="L97" i="13" s="1"/>
  <c r="I98" i="13" s="1"/>
  <c r="K108" i="14"/>
  <c r="L108" i="14" s="1"/>
  <c r="I109" i="14" s="1"/>
  <c r="N198" i="13"/>
  <c r="J197" i="13" a="1"/>
  <c r="J197" i="13" s="1"/>
  <c r="M201" i="14"/>
  <c r="N197" i="14"/>
  <c r="J196" i="14" a="1"/>
  <c r="J196" i="14" s="1"/>
  <c r="M200" i="13"/>
  <c r="K98" i="13" l="1"/>
  <c r="L98" i="13" s="1"/>
  <c r="I99" i="13" s="1"/>
  <c r="K109" i="14"/>
  <c r="L109" i="14" s="1"/>
  <c r="I110" i="14" s="1"/>
  <c r="M201" i="13"/>
  <c r="M202" i="14"/>
  <c r="N198" i="14"/>
  <c r="J197" i="14" a="1"/>
  <c r="J197" i="14" s="1"/>
  <c r="N199" i="13"/>
  <c r="J198" i="13" a="1"/>
  <c r="J198" i="13" s="1"/>
  <c r="K99" i="13" l="1"/>
  <c r="L99" i="13" s="1"/>
  <c r="I100" i="13" s="1"/>
  <c r="K110" i="14"/>
  <c r="L110" i="14" s="1"/>
  <c r="I111" i="14" s="1"/>
  <c r="M203" i="14"/>
  <c r="N200" i="13"/>
  <c r="J199" i="13" a="1"/>
  <c r="J199" i="13" s="1"/>
  <c r="M202" i="13"/>
  <c r="N199" i="14"/>
  <c r="J198" i="14" a="1"/>
  <c r="J198" i="14" s="1"/>
  <c r="K100" i="13" l="1"/>
  <c r="L100" i="13" s="1"/>
  <c r="I101" i="13" s="1"/>
  <c r="K111" i="14"/>
  <c r="L111" i="14" s="1"/>
  <c r="I112" i="14" s="1"/>
  <c r="N201" i="13"/>
  <c r="J200" i="13" a="1"/>
  <c r="J200" i="13" s="1"/>
  <c r="N200" i="14"/>
  <c r="J199" i="14" a="1"/>
  <c r="J199" i="14" s="1"/>
  <c r="M203" i="13"/>
  <c r="M204" i="14"/>
  <c r="K101" i="13" l="1"/>
  <c r="L101" i="13" s="1"/>
  <c r="I102" i="13" s="1"/>
  <c r="K112" i="14"/>
  <c r="L112" i="14" s="1"/>
  <c r="I113" i="14" s="1"/>
  <c r="M205" i="14"/>
  <c r="N201" i="14"/>
  <c r="J200" i="14" a="1"/>
  <c r="J200" i="14" s="1"/>
  <c r="M204" i="13"/>
  <c r="N202" i="13"/>
  <c r="J201" i="13" a="1"/>
  <c r="J201" i="13" s="1"/>
  <c r="K102" i="13" l="1"/>
  <c r="L102" i="13" s="1"/>
  <c r="I103" i="13" s="1"/>
  <c r="K113" i="14"/>
  <c r="L113" i="14" s="1"/>
  <c r="I114" i="14" s="1"/>
  <c r="M205" i="13"/>
  <c r="N202" i="14"/>
  <c r="J201" i="14" a="1"/>
  <c r="J201" i="14" s="1"/>
  <c r="N203" i="13"/>
  <c r="J202" i="13" a="1"/>
  <c r="J202" i="13" s="1"/>
  <c r="M206" i="14"/>
  <c r="K103" i="13" l="1"/>
  <c r="L103" i="13" s="1"/>
  <c r="I104" i="13" s="1"/>
  <c r="K114" i="14"/>
  <c r="L114" i="14" s="1"/>
  <c r="I115" i="14" s="1"/>
  <c r="M207" i="14"/>
  <c r="N203" i="14"/>
  <c r="J202" i="14" a="1"/>
  <c r="J202" i="14" s="1"/>
  <c r="M206" i="13"/>
  <c r="N204" i="13"/>
  <c r="J203" i="13" a="1"/>
  <c r="J203" i="13" s="1"/>
  <c r="K104" i="13" l="1"/>
  <c r="K115" i="14"/>
  <c r="L115" i="14" s="1"/>
  <c r="I116" i="14" s="1"/>
  <c r="N204" i="14"/>
  <c r="J203" i="14" a="1"/>
  <c r="J203" i="14" s="1"/>
  <c r="N205" i="13"/>
  <c r="J204" i="13" a="1"/>
  <c r="J204" i="13" s="1"/>
  <c r="M207" i="13"/>
  <c r="M208" i="14"/>
  <c r="L104" i="13" l="1"/>
  <c r="I105" i="13" s="1"/>
  <c r="K116" i="14"/>
  <c r="N205" i="14"/>
  <c r="J204" i="14" a="1"/>
  <c r="J204" i="14" s="1"/>
  <c r="M208" i="13"/>
  <c r="M209" i="14"/>
  <c r="N206" i="13"/>
  <c r="J205" i="13" a="1"/>
  <c r="J205" i="13" s="1"/>
  <c r="K105" i="13" l="1"/>
  <c r="N207" i="13"/>
  <c r="J206" i="13" a="1"/>
  <c r="J206" i="13" s="1"/>
  <c r="N206" i="14"/>
  <c r="J205" i="14" a="1"/>
  <c r="J205" i="14" s="1"/>
  <c r="M210" i="14"/>
  <c r="M209" i="13"/>
  <c r="L116" i="14"/>
  <c r="I117" i="14" s="1"/>
  <c r="L105" i="13" l="1"/>
  <c r="I106" i="13" s="1"/>
  <c r="K117" i="14"/>
  <c r="M211" i="14"/>
  <c r="M210" i="13"/>
  <c r="N207" i="14"/>
  <c r="J206" i="14" a="1"/>
  <c r="J206" i="14" s="1"/>
  <c r="N208" i="13"/>
  <c r="J207" i="13" a="1"/>
  <c r="J207" i="13" s="1"/>
  <c r="K106" i="13" l="1"/>
  <c r="L106" i="13" s="1"/>
  <c r="I107" i="13" s="1"/>
  <c r="M212" i="14"/>
  <c r="N209" i="13"/>
  <c r="J208" i="13" a="1"/>
  <c r="J208" i="13" s="1"/>
  <c r="M211" i="13"/>
  <c r="N208" i="14"/>
  <c r="J207" i="14" a="1"/>
  <c r="J207" i="14" s="1"/>
  <c r="L117" i="14"/>
  <c r="I118" i="14" s="1"/>
  <c r="K107" i="13" l="1"/>
  <c r="L107" i="13" s="1"/>
  <c r="I108" i="13" s="1"/>
  <c r="K118" i="14"/>
  <c r="L118" i="14" s="1"/>
  <c r="I119" i="14" s="1"/>
  <c r="M213" i="14"/>
  <c r="N209" i="14"/>
  <c r="J208" i="14" a="1"/>
  <c r="J208" i="14" s="1"/>
  <c r="M212" i="13"/>
  <c r="N210" i="13"/>
  <c r="J209" i="13" a="1"/>
  <c r="J209" i="13" s="1"/>
  <c r="K108" i="13" l="1"/>
  <c r="L108" i="13" s="1"/>
  <c r="I109" i="13" s="1"/>
  <c r="K119" i="14"/>
  <c r="L119" i="14" s="1"/>
  <c r="I120" i="14" s="1"/>
  <c r="N210" i="14"/>
  <c r="J209" i="14" a="1"/>
  <c r="J209" i="14" s="1"/>
  <c r="N211" i="13"/>
  <c r="J210" i="13" a="1"/>
  <c r="J210" i="13" s="1"/>
  <c r="M213" i="13"/>
  <c r="M214" i="14"/>
  <c r="K109" i="13" l="1"/>
  <c r="L109" i="13" s="1"/>
  <c r="I110" i="13" s="1"/>
  <c r="K120" i="14"/>
  <c r="L120" i="14" s="1"/>
  <c r="I121" i="14" s="1"/>
  <c r="N212" i="13"/>
  <c r="J211" i="13" a="1"/>
  <c r="J211" i="13" s="1"/>
  <c r="M215" i="14"/>
  <c r="M214" i="13"/>
  <c r="N211" i="14"/>
  <c r="J210" i="14" a="1"/>
  <c r="J210" i="14" s="1"/>
  <c r="K110" i="13" l="1"/>
  <c r="L110" i="13" s="1"/>
  <c r="I111" i="13" s="1"/>
  <c r="K121" i="14"/>
  <c r="L121" i="14" s="1"/>
  <c r="I122" i="14" s="1"/>
  <c r="M216" i="14"/>
  <c r="N212" i="14"/>
  <c r="J211" i="14" a="1"/>
  <c r="J211" i="14" s="1"/>
  <c r="M215" i="13"/>
  <c r="N213" i="13"/>
  <c r="J212" i="13" a="1"/>
  <c r="J212" i="13" s="1"/>
  <c r="K111" i="13" l="1"/>
  <c r="L111" i="13" s="1"/>
  <c r="I112" i="13" s="1"/>
  <c r="K122" i="14"/>
  <c r="L122" i="14" s="1"/>
  <c r="I123" i="14" s="1"/>
  <c r="N213" i="14"/>
  <c r="J212" i="14" a="1"/>
  <c r="J212" i="14" s="1"/>
  <c r="N214" i="13"/>
  <c r="J213" i="13" a="1"/>
  <c r="J213" i="13" s="1"/>
  <c r="M216" i="13"/>
  <c r="M217" i="14"/>
  <c r="K112" i="13" l="1"/>
  <c r="L112" i="13" s="1"/>
  <c r="I113" i="13" s="1"/>
  <c r="M218" i="14"/>
  <c r="N215" i="13"/>
  <c r="J214" i="13" a="1"/>
  <c r="J214" i="13" s="1"/>
  <c r="M217" i="13"/>
  <c r="N214" i="14"/>
  <c r="J213" i="14" a="1"/>
  <c r="J213" i="14" s="1"/>
  <c r="K123" i="14"/>
  <c r="L123" i="14" s="1"/>
  <c r="I124" i="14" s="1"/>
  <c r="K113" i="13" l="1"/>
  <c r="L113" i="13" s="1"/>
  <c r="I114" i="13" s="1"/>
  <c r="K124" i="14"/>
  <c r="L124" i="14" s="1"/>
  <c r="I125" i="14" s="1"/>
  <c r="M219" i="14"/>
  <c r="N215" i="14"/>
  <c r="J214" i="14" a="1"/>
  <c r="J214" i="14" s="1"/>
  <c r="M218" i="13"/>
  <c r="N216" i="13"/>
  <c r="J215" i="13" a="1"/>
  <c r="J215" i="13" s="1"/>
  <c r="K114" i="13" l="1"/>
  <c r="L114" i="13" s="1"/>
  <c r="I115" i="13" s="1"/>
  <c r="N216" i="14"/>
  <c r="J215" i="14" a="1"/>
  <c r="J215" i="14" s="1"/>
  <c r="M220" i="14"/>
  <c r="N217" i="13"/>
  <c r="J216" i="13" a="1"/>
  <c r="J216" i="13" s="1"/>
  <c r="K125" i="14"/>
  <c r="L125" i="14" s="1"/>
  <c r="I126" i="14" s="1"/>
  <c r="M219" i="13"/>
  <c r="K115" i="13" l="1"/>
  <c r="L115" i="13" s="1"/>
  <c r="I116" i="13" s="1"/>
  <c r="K126" i="14"/>
  <c r="L126" i="14" s="1"/>
  <c r="I127" i="14" s="1"/>
  <c r="N217" i="14"/>
  <c r="J216" i="14" a="1"/>
  <c r="J216" i="14" s="1"/>
  <c r="M220" i="13"/>
  <c r="N218" i="13"/>
  <c r="J217" i="13" a="1"/>
  <c r="J217" i="13" s="1"/>
  <c r="M221" i="14"/>
  <c r="K116" i="13" l="1"/>
  <c r="N219" i="13"/>
  <c r="J218" i="13" a="1"/>
  <c r="J218" i="13" s="1"/>
  <c r="M222" i="14"/>
  <c r="M221" i="13"/>
  <c r="N218" i="14"/>
  <c r="J217" i="14" a="1"/>
  <c r="J217" i="14" s="1"/>
  <c r="K127" i="14"/>
  <c r="L127" i="14" s="1"/>
  <c r="I128" i="14" s="1"/>
  <c r="L116" i="13" l="1"/>
  <c r="I117" i="13" s="1"/>
  <c r="K128" i="14"/>
  <c r="M223" i="14"/>
  <c r="M222" i="13"/>
  <c r="N219" i="14"/>
  <c r="J218" i="14" a="1"/>
  <c r="J218" i="14" s="1"/>
  <c r="N220" i="13"/>
  <c r="J219" i="13" a="1"/>
  <c r="J219" i="13" s="1"/>
  <c r="K117" i="13" l="1"/>
  <c r="M223" i="13"/>
  <c r="N221" i="13"/>
  <c r="J220" i="13" a="1"/>
  <c r="J220" i="13" s="1"/>
  <c r="M224" i="14"/>
  <c r="N220" i="14"/>
  <c r="J219" i="14" a="1"/>
  <c r="J219" i="14" s="1"/>
  <c r="L128" i="14"/>
  <c r="I129" i="14" s="1"/>
  <c r="L117" i="13" l="1"/>
  <c r="I118" i="13" s="1"/>
  <c r="M224" i="13"/>
  <c r="K129" i="14"/>
  <c r="N221" i="14"/>
  <c r="J220" i="14" a="1"/>
  <c r="J220" i="14" s="1"/>
  <c r="M225" i="14"/>
  <c r="N222" i="13"/>
  <c r="J221" i="13" a="1"/>
  <c r="J221" i="13" s="1"/>
  <c r="K118" i="13" l="1"/>
  <c r="L118" i="13" s="1"/>
  <c r="I119" i="13" s="1"/>
  <c r="M225" i="13"/>
  <c r="N223" i="13"/>
  <c r="J222" i="13" a="1"/>
  <c r="J222" i="13" s="1"/>
  <c r="N222" i="14"/>
  <c r="J221" i="14" a="1"/>
  <c r="J221" i="14" s="1"/>
  <c r="M226" i="14"/>
  <c r="L129" i="14"/>
  <c r="I130" i="14" s="1"/>
  <c r="K119" i="13" l="1"/>
  <c r="L119" i="13" s="1"/>
  <c r="I120" i="13" s="1"/>
  <c r="K130" i="14"/>
  <c r="L130" i="14" s="1"/>
  <c r="I131" i="14" s="1"/>
  <c r="M226" i="13"/>
  <c r="N223" i="14"/>
  <c r="J222" i="14" a="1"/>
  <c r="J222" i="14" s="1"/>
  <c r="M227" i="14"/>
  <c r="N224" i="13"/>
  <c r="J223" i="13" a="1"/>
  <c r="J223" i="13" s="1"/>
  <c r="K120" i="13" l="1"/>
  <c r="L120" i="13" s="1"/>
  <c r="I121" i="13" s="1"/>
  <c r="K131" i="14"/>
  <c r="L131" i="14" s="1"/>
  <c r="I132" i="14" s="1"/>
  <c r="N225" i="13"/>
  <c r="J224" i="13" a="1"/>
  <c r="J224" i="13" s="1"/>
  <c r="N224" i="14"/>
  <c r="J223" i="14" a="1"/>
  <c r="J223" i="14" s="1"/>
  <c r="M228" i="14"/>
  <c r="M227" i="13"/>
  <c r="K121" i="13" l="1"/>
  <c r="L121" i="13" s="1"/>
  <c r="I122" i="13" s="1"/>
  <c r="K132" i="14"/>
  <c r="L132" i="14" s="1"/>
  <c r="I133" i="14" s="1"/>
  <c r="M228" i="13"/>
  <c r="N225" i="14"/>
  <c r="J224" i="14" a="1"/>
  <c r="J224" i="14" s="1"/>
  <c r="M229" i="14"/>
  <c r="N226" i="13"/>
  <c r="J225" i="13" a="1"/>
  <c r="J225" i="13" s="1"/>
  <c r="K122" i="13" l="1"/>
  <c r="L122" i="13" s="1"/>
  <c r="I123" i="13" s="1"/>
  <c r="K133" i="14"/>
  <c r="L133" i="14" s="1"/>
  <c r="I134" i="14" s="1"/>
  <c r="N226" i="14"/>
  <c r="J225" i="14" a="1"/>
  <c r="J225" i="14" s="1"/>
  <c r="N227" i="13"/>
  <c r="J226" i="13" a="1"/>
  <c r="J226" i="13" s="1"/>
  <c r="M230" i="14"/>
  <c r="M229" i="13"/>
  <c r="K123" i="13" l="1"/>
  <c r="L123" i="13" s="1"/>
  <c r="I124" i="13" s="1"/>
  <c r="K134" i="14"/>
  <c r="L134" i="14" s="1"/>
  <c r="I135" i="14" s="1"/>
  <c r="M230" i="13"/>
  <c r="N228" i="13"/>
  <c r="J227" i="13" a="1"/>
  <c r="J227" i="13" s="1"/>
  <c r="M231" i="14"/>
  <c r="N227" i="14"/>
  <c r="J226" i="14" a="1"/>
  <c r="J226" i="14" s="1"/>
  <c r="K124" i="13" l="1"/>
  <c r="L124" i="13" s="1"/>
  <c r="I125" i="13" s="1"/>
  <c r="K135" i="14"/>
  <c r="L135" i="14" s="1"/>
  <c r="I136" i="14" s="1"/>
  <c r="N228" i="14"/>
  <c r="J227" i="14" a="1"/>
  <c r="J227" i="14" s="1"/>
  <c r="M232" i="14"/>
  <c r="N229" i="13"/>
  <c r="J228" i="13" a="1"/>
  <c r="J228" i="13" s="1"/>
  <c r="M231" i="13"/>
  <c r="K125" i="13" l="1"/>
  <c r="L125" i="13" s="1"/>
  <c r="I126" i="13" s="1"/>
  <c r="K136" i="14"/>
  <c r="L136" i="14" s="1"/>
  <c r="I137" i="14" s="1"/>
  <c r="M232" i="13"/>
  <c r="M233" i="14"/>
  <c r="N230" i="13"/>
  <c r="J229" i="13" a="1"/>
  <c r="J229" i="13" s="1"/>
  <c r="N229" i="14"/>
  <c r="J228" i="14" a="1"/>
  <c r="J228" i="14" s="1"/>
  <c r="K126" i="13" l="1"/>
  <c r="L126" i="13" s="1"/>
  <c r="I127" i="13" s="1"/>
  <c r="K137" i="14"/>
  <c r="L137" i="14" s="1"/>
  <c r="I138" i="14" s="1"/>
  <c r="M234" i="14"/>
  <c r="N230" i="14"/>
  <c r="J229" i="14" a="1"/>
  <c r="J229" i="14" s="1"/>
  <c r="M233" i="13"/>
  <c r="N231" i="13"/>
  <c r="J230" i="13" a="1"/>
  <c r="J230" i="13" s="1"/>
  <c r="K127" i="13" l="1"/>
  <c r="L127" i="13" s="1"/>
  <c r="I128" i="13" s="1"/>
  <c r="K138" i="14"/>
  <c r="L138" i="14" s="1"/>
  <c r="I139" i="14" s="1"/>
  <c r="N232" i="13"/>
  <c r="J231" i="13" a="1"/>
  <c r="J231" i="13" s="1"/>
  <c r="N231" i="14"/>
  <c r="J230" i="14" a="1"/>
  <c r="J230" i="14" s="1"/>
  <c r="M234" i="13"/>
  <c r="M235" i="14"/>
  <c r="K128" i="13" l="1"/>
  <c r="K139" i="14"/>
  <c r="L139" i="14" s="1"/>
  <c r="I140" i="14" s="1"/>
  <c r="M235" i="13"/>
  <c r="N233" i="13"/>
  <c r="J232" i="13" a="1"/>
  <c r="J232" i="13" s="1"/>
  <c r="M236" i="14"/>
  <c r="N232" i="14"/>
  <c r="J231" i="14" a="1"/>
  <c r="J231" i="14" s="1"/>
  <c r="L128" i="13" l="1"/>
  <c r="I129" i="13" s="1"/>
  <c r="K140" i="14"/>
  <c r="L140" i="14" s="1"/>
  <c r="I141" i="14" s="1"/>
  <c r="N233" i="14"/>
  <c r="J232" i="14" a="1"/>
  <c r="J232" i="14" s="1"/>
  <c r="M237" i="14"/>
  <c r="N234" i="13"/>
  <c r="J233" i="13" a="1"/>
  <c r="J233" i="13" s="1"/>
  <c r="M236" i="13"/>
  <c r="K129" i="13" l="1"/>
  <c r="K141" i="14"/>
  <c r="L141" i="14" s="1"/>
  <c r="I142" i="14" s="1"/>
  <c r="M237" i="13"/>
  <c r="M238" i="14"/>
  <c r="N235" i="13"/>
  <c r="J234" i="13" a="1"/>
  <c r="J234" i="13" s="1"/>
  <c r="N234" i="14"/>
  <c r="J233" i="14" a="1"/>
  <c r="J233" i="14" s="1"/>
  <c r="L129" i="13" l="1"/>
  <c r="I130" i="13" s="1"/>
  <c r="K142" i="14"/>
  <c r="L142" i="14" s="1"/>
  <c r="I143" i="14" s="1"/>
  <c r="N235" i="14"/>
  <c r="J234" i="14" a="1"/>
  <c r="J234" i="14" s="1"/>
  <c r="M239" i="14"/>
  <c r="N236" i="13"/>
  <c r="J235" i="13" a="1"/>
  <c r="J235" i="13" s="1"/>
  <c r="M238" i="13"/>
  <c r="K130" i="13" l="1"/>
  <c r="L130" i="13" s="1"/>
  <c r="I131" i="13" s="1"/>
  <c r="K143" i="14"/>
  <c r="L143" i="14" s="1"/>
  <c r="I144" i="14" s="1"/>
  <c r="M239" i="13"/>
  <c r="M240" i="14"/>
  <c r="N237" i="13"/>
  <c r="J236" i="13" a="1"/>
  <c r="J236" i="13" s="1"/>
  <c r="N236" i="14"/>
  <c r="J235" i="14" a="1"/>
  <c r="J235" i="14" s="1"/>
  <c r="K131" i="13" l="1"/>
  <c r="L131" i="13" s="1"/>
  <c r="I132" i="13" s="1"/>
  <c r="K144" i="14"/>
  <c r="L144" i="14" s="1"/>
  <c r="I145" i="14" s="1"/>
  <c r="M241" i="14"/>
  <c r="N237" i="14"/>
  <c r="J236" i="14" a="1"/>
  <c r="J236" i="14" s="1"/>
  <c r="M240" i="13"/>
  <c r="N238" i="13"/>
  <c r="J237" i="13" a="1"/>
  <c r="J237" i="13" s="1"/>
  <c r="K132" i="13" l="1"/>
  <c r="L132" i="13" s="1"/>
  <c r="I133" i="13" s="1"/>
  <c r="K145" i="14"/>
  <c r="L145" i="14" s="1"/>
  <c r="I146" i="14" s="1"/>
  <c r="N239" i="13"/>
  <c r="J238" i="13" a="1"/>
  <c r="J238" i="13" s="1"/>
  <c r="M241" i="13"/>
  <c r="N238" i="14"/>
  <c r="J237" i="14" a="1"/>
  <c r="J237" i="14" s="1"/>
  <c r="M242" i="14"/>
  <c r="K133" i="13" l="1"/>
  <c r="L133" i="13" s="1"/>
  <c r="I134" i="13" s="1"/>
  <c r="K146" i="14"/>
  <c r="L146" i="14" s="1"/>
  <c r="I147" i="14" s="1"/>
  <c r="M243" i="14"/>
  <c r="M242" i="13"/>
  <c r="N239" i="14"/>
  <c r="J238" i="14" a="1"/>
  <c r="J238" i="14" s="1"/>
  <c r="N240" i="13"/>
  <c r="J239" i="13" a="1"/>
  <c r="J239" i="13" s="1"/>
  <c r="K134" i="13" l="1"/>
  <c r="L134" i="13" s="1"/>
  <c r="I135" i="13" s="1"/>
  <c r="K147" i="14"/>
  <c r="L147" i="14" s="1"/>
  <c r="I148" i="14" s="1"/>
  <c r="M244" i="14"/>
  <c r="M243" i="13"/>
  <c r="N241" i="13"/>
  <c r="J240" i="13" a="1"/>
  <c r="J240" i="13" s="1"/>
  <c r="N240" i="14"/>
  <c r="J239" i="14" a="1"/>
  <c r="J239" i="14" s="1"/>
  <c r="K135" i="13" l="1"/>
  <c r="L135" i="13" s="1"/>
  <c r="I136" i="13" s="1"/>
  <c r="K148" i="14"/>
  <c r="L148" i="14" s="1"/>
  <c r="I149" i="14" s="1"/>
  <c r="M244" i="13"/>
  <c r="N241" i="14"/>
  <c r="J240" i="14" a="1"/>
  <c r="J240" i="14" s="1"/>
  <c r="M245" i="14"/>
  <c r="N242" i="13"/>
  <c r="J241" i="13" a="1"/>
  <c r="J241" i="13" s="1"/>
  <c r="K136" i="13" l="1"/>
  <c r="L136" i="13" s="1"/>
  <c r="I137" i="13" s="1"/>
  <c r="K149" i="14"/>
  <c r="L149" i="14" s="1"/>
  <c r="I150" i="14" s="1"/>
  <c r="N242" i="14"/>
  <c r="J241" i="14" a="1"/>
  <c r="J241" i="14" s="1"/>
  <c r="N243" i="13"/>
  <c r="J242" i="13" a="1"/>
  <c r="J242" i="13" s="1"/>
  <c r="M246" i="14"/>
  <c r="M245" i="13"/>
  <c r="K137" i="13" l="1"/>
  <c r="L137" i="13" s="1"/>
  <c r="I138" i="13" s="1"/>
  <c r="K150" i="14"/>
  <c r="L150" i="14" s="1"/>
  <c r="I151" i="14" s="1"/>
  <c r="N243" i="14"/>
  <c r="J242" i="14" a="1"/>
  <c r="J242" i="14" s="1"/>
  <c r="M247" i="14"/>
  <c r="M246" i="13"/>
  <c r="N244" i="13"/>
  <c r="J243" i="13" a="1"/>
  <c r="J243" i="13" s="1"/>
  <c r="K138" i="13" l="1"/>
  <c r="L138" i="13" s="1"/>
  <c r="I139" i="13" s="1"/>
  <c r="K151" i="14"/>
  <c r="L151" i="14" s="1"/>
  <c r="I152" i="14" s="1"/>
  <c r="M248" i="14"/>
  <c r="M247" i="13"/>
  <c r="N245" i="13"/>
  <c r="J244" i="13" a="1"/>
  <c r="J244" i="13" s="1"/>
  <c r="N244" i="14"/>
  <c r="J243" i="14" a="1"/>
  <c r="J243" i="14" s="1"/>
  <c r="K139" i="13" l="1"/>
  <c r="L139" i="13" s="1"/>
  <c r="I140" i="13" s="1"/>
  <c r="K152" i="14"/>
  <c r="M248" i="13"/>
  <c r="N245" i="14"/>
  <c r="J244" i="14" a="1"/>
  <c r="J244" i="14" s="1"/>
  <c r="M249" i="14"/>
  <c r="N246" i="13"/>
  <c r="J245" i="13" a="1"/>
  <c r="J245" i="13" s="1"/>
  <c r="K140" i="13" l="1"/>
  <c r="N247" i="13"/>
  <c r="J246" i="13" a="1"/>
  <c r="J246" i="13" s="1"/>
  <c r="N246" i="14"/>
  <c r="J245" i="14" a="1"/>
  <c r="J245" i="14" s="1"/>
  <c r="L152" i="14"/>
  <c r="I153" i="14" s="1"/>
  <c r="M250" i="14"/>
  <c r="M249" i="13"/>
  <c r="L140" i="13" l="1"/>
  <c r="I141" i="13" s="1"/>
  <c r="M251" i="14"/>
  <c r="N247" i="14"/>
  <c r="J246" i="14" a="1"/>
  <c r="J246" i="14" s="1"/>
  <c r="M250" i="13"/>
  <c r="K153" i="14"/>
  <c r="N248" i="13"/>
  <c r="J247" i="13" a="1"/>
  <c r="J247" i="13" s="1"/>
  <c r="K141" i="13" l="1"/>
  <c r="M251" i="13"/>
  <c r="M252" i="14"/>
  <c r="N249" i="13"/>
  <c r="J248" i="13" a="1"/>
  <c r="J248" i="13" s="1"/>
  <c r="L153" i="14"/>
  <c r="I154" i="14" s="1"/>
  <c r="N248" i="14"/>
  <c r="J247" i="14" a="1"/>
  <c r="J247" i="14" s="1"/>
  <c r="L141" i="13" l="1"/>
  <c r="I142" i="13" s="1"/>
  <c r="M252" i="13"/>
  <c r="M253" i="14"/>
  <c r="N249" i="14"/>
  <c r="J248" i="14" a="1"/>
  <c r="J248" i="14" s="1"/>
  <c r="K154" i="14"/>
  <c r="L154" i="14" s="1"/>
  <c r="I155" i="14" s="1"/>
  <c r="N250" i="13"/>
  <c r="J249" i="13" a="1"/>
  <c r="J249" i="13" s="1"/>
  <c r="K142" i="13" l="1"/>
  <c r="L142" i="13" s="1"/>
  <c r="I143" i="13" s="1"/>
  <c r="K155" i="14"/>
  <c r="L155" i="14" s="1"/>
  <c r="I156" i="14" s="1"/>
  <c r="N251" i="13"/>
  <c r="J250" i="13" a="1"/>
  <c r="J250" i="13" s="1"/>
  <c r="N250" i="14"/>
  <c r="J249" i="14" a="1"/>
  <c r="J249" i="14" s="1"/>
  <c r="M254" i="14"/>
  <c r="M253" i="13"/>
  <c r="K143" i="13" l="1"/>
  <c r="L143" i="13" s="1"/>
  <c r="I144" i="13" s="1"/>
  <c r="K156" i="14"/>
  <c r="L156" i="14" s="1"/>
  <c r="I157" i="14" s="1"/>
  <c r="N251" i="14"/>
  <c r="J250" i="14" a="1"/>
  <c r="J250" i="14" s="1"/>
  <c r="M255" i="14"/>
  <c r="M254" i="13"/>
  <c r="N252" i="13"/>
  <c r="J251" i="13" a="1"/>
  <c r="J251" i="13" s="1"/>
  <c r="K144" i="13" l="1"/>
  <c r="L144" i="13" s="1"/>
  <c r="I145" i="13" s="1"/>
  <c r="M256" i="14"/>
  <c r="M255" i="13"/>
  <c r="K157" i="14"/>
  <c r="L157" i="14" s="1"/>
  <c r="I158" i="14" s="1"/>
  <c r="N252" i="14"/>
  <c r="J251" i="14" a="1"/>
  <c r="J251" i="14" s="1"/>
  <c r="N253" i="13"/>
  <c r="J252" i="13" a="1"/>
  <c r="J252" i="13" s="1"/>
  <c r="K145" i="13" l="1"/>
  <c r="L145" i="13" s="1"/>
  <c r="I146" i="13" s="1"/>
  <c r="K158" i="14"/>
  <c r="L158" i="14" s="1"/>
  <c r="I159" i="14" s="1"/>
  <c r="M256" i="13"/>
  <c r="M257" i="14"/>
  <c r="N254" i="13"/>
  <c r="J253" i="13" a="1"/>
  <c r="J253" i="13" s="1"/>
  <c r="N253" i="14"/>
  <c r="J252" i="14" a="1"/>
  <c r="J252" i="14" s="1"/>
  <c r="K146" i="13" l="1"/>
  <c r="L146" i="13" s="1"/>
  <c r="I147" i="13" s="1"/>
  <c r="K159" i="14"/>
  <c r="L159" i="14" s="1"/>
  <c r="I160" i="14" s="1"/>
  <c r="M257" i="13"/>
  <c r="M258" i="14"/>
  <c r="N254" i="14"/>
  <c r="J253" i="14" a="1"/>
  <c r="J253" i="14" s="1"/>
  <c r="N255" i="13"/>
  <c r="J254" i="13" a="1"/>
  <c r="J254" i="13" s="1"/>
  <c r="K147" i="13" l="1"/>
  <c r="L147" i="13" s="1"/>
  <c r="I148" i="13" s="1"/>
  <c r="K160" i="14"/>
  <c r="L160" i="14" s="1"/>
  <c r="I161" i="14" s="1"/>
  <c r="M259" i="14"/>
  <c r="M258" i="13"/>
  <c r="N256" i="13"/>
  <c r="J255" i="13" a="1"/>
  <c r="J255" i="13" s="1"/>
  <c r="N255" i="14"/>
  <c r="J254" i="14" a="1"/>
  <c r="J254" i="14" s="1"/>
  <c r="K148" i="13" l="1"/>
  <c r="L148" i="13" s="1"/>
  <c r="I149" i="13" s="1"/>
  <c r="K161" i="14"/>
  <c r="L161" i="14" s="1"/>
  <c r="I162" i="14" s="1"/>
  <c r="M259" i="13"/>
  <c r="N256" i="14"/>
  <c r="J255" i="14" a="1"/>
  <c r="J255" i="14" s="1"/>
  <c r="M260" i="14"/>
  <c r="N257" i="13"/>
  <c r="J256" i="13" a="1"/>
  <c r="J256" i="13" s="1"/>
  <c r="K149" i="13" l="1"/>
  <c r="L149" i="13" s="1"/>
  <c r="I150" i="13" s="1"/>
  <c r="K162" i="14"/>
  <c r="L162" i="14" s="1"/>
  <c r="I163" i="14" s="1"/>
  <c r="N258" i="13"/>
  <c r="J257" i="13" a="1"/>
  <c r="J257" i="13" s="1"/>
  <c r="N257" i="14"/>
  <c r="J256" i="14" a="1"/>
  <c r="J256" i="14" s="1"/>
  <c r="M261" i="14"/>
  <c r="M260" i="13"/>
  <c r="K150" i="13" l="1"/>
  <c r="L150" i="13" s="1"/>
  <c r="I151" i="13" s="1"/>
  <c r="K163" i="14"/>
  <c r="L163" i="14" s="1"/>
  <c r="I164" i="14" s="1"/>
  <c r="N258" i="14"/>
  <c r="J257" i="14" a="1"/>
  <c r="J257" i="14" s="1"/>
  <c r="M261" i="13"/>
  <c r="M262" i="14"/>
  <c r="N259" i="13"/>
  <c r="J258" i="13" a="1"/>
  <c r="J258" i="13" s="1"/>
  <c r="K151" i="13" l="1"/>
  <c r="L151" i="13" s="1"/>
  <c r="I152" i="13" s="1"/>
  <c r="K164" i="14"/>
  <c r="M262" i="13"/>
  <c r="N260" i="13"/>
  <c r="J259" i="13" a="1"/>
  <c r="J259" i="13" s="1"/>
  <c r="M263" i="14"/>
  <c r="N259" i="14"/>
  <c r="J258" i="14" a="1"/>
  <c r="J258" i="14" s="1"/>
  <c r="K152" i="13" l="1"/>
  <c r="N261" i="13"/>
  <c r="J260" i="13" a="1"/>
  <c r="J260" i="13" s="1"/>
  <c r="N260" i="14"/>
  <c r="J259" i="14" a="1"/>
  <c r="J259" i="14" s="1"/>
  <c r="M264" i="14"/>
  <c r="M263" i="13"/>
  <c r="L164" i="14"/>
  <c r="I165" i="14" s="1"/>
  <c r="L152" i="13" l="1"/>
  <c r="I153" i="13" s="1"/>
  <c r="M264" i="13"/>
  <c r="M265" i="14"/>
  <c r="K165" i="14"/>
  <c r="N261" i="14"/>
  <c r="J260" i="14" a="1"/>
  <c r="J260" i="14" s="1"/>
  <c r="N262" i="13"/>
  <c r="J261" i="13" a="1"/>
  <c r="J261" i="13" s="1"/>
  <c r="K153" i="13" l="1"/>
  <c r="M266" i="14"/>
  <c r="N263" i="13"/>
  <c r="J262" i="13" a="1"/>
  <c r="J262" i="13" s="1"/>
  <c r="N262" i="14"/>
  <c r="J261" i="14" a="1"/>
  <c r="J261" i="14" s="1"/>
  <c r="M265" i="13"/>
  <c r="L165" i="14"/>
  <c r="I166" i="14" s="1"/>
  <c r="L153" i="13" l="1"/>
  <c r="I154" i="13" s="1"/>
  <c r="K166" i="14"/>
  <c r="L166" i="14" s="1"/>
  <c r="I167" i="14" s="1"/>
  <c r="M266" i="13"/>
  <c r="N263" i="14"/>
  <c r="J262" i="14" a="1"/>
  <c r="J262" i="14" s="1"/>
  <c r="M267" i="14"/>
  <c r="N264" i="13"/>
  <c r="J263" i="13" a="1"/>
  <c r="J263" i="13" s="1"/>
  <c r="K154" i="13" l="1"/>
  <c r="L154" i="13" s="1"/>
  <c r="I155" i="13" s="1"/>
  <c r="K167" i="14"/>
  <c r="L167" i="14" s="1"/>
  <c r="I168" i="14" s="1"/>
  <c r="M268" i="14"/>
  <c r="M267" i="13"/>
  <c r="N265" i="13"/>
  <c r="J264" i="13" a="1"/>
  <c r="J264" i="13" s="1"/>
  <c r="N264" i="14"/>
  <c r="J263" i="14" a="1"/>
  <c r="J263" i="14" s="1"/>
  <c r="K155" i="13" l="1"/>
  <c r="L155" i="13" s="1"/>
  <c r="I156" i="13" s="1"/>
  <c r="K168" i="14"/>
  <c r="L168" i="14" s="1"/>
  <c r="I169" i="14" s="1"/>
  <c r="N265" i="14"/>
  <c r="J264" i="14" a="1"/>
  <c r="J264" i="14" s="1"/>
  <c r="M269" i="14"/>
  <c r="M268" i="13"/>
  <c r="N266" i="13"/>
  <c r="J265" i="13" a="1"/>
  <c r="J265" i="13" s="1"/>
  <c r="K156" i="13" l="1"/>
  <c r="L156" i="13" s="1"/>
  <c r="I157" i="13" s="1"/>
  <c r="K169" i="14"/>
  <c r="L169" i="14" s="1"/>
  <c r="I170" i="14" s="1"/>
  <c r="M270" i="14"/>
  <c r="N267" i="13"/>
  <c r="J266" i="13" a="1"/>
  <c r="J266" i="13" s="1"/>
  <c r="M269" i="13"/>
  <c r="N266" i="14"/>
  <c r="J265" i="14" a="1"/>
  <c r="J265" i="14" s="1"/>
  <c r="K157" i="13" l="1"/>
  <c r="L157" i="13" s="1"/>
  <c r="I158" i="13" s="1"/>
  <c r="K170" i="14"/>
  <c r="L170" i="14" s="1"/>
  <c r="I171" i="14" s="1"/>
  <c r="N268" i="13"/>
  <c r="J267" i="13" a="1"/>
  <c r="J267" i="13" s="1"/>
  <c r="N267" i="14"/>
  <c r="J266" i="14" a="1"/>
  <c r="J266" i="14" s="1"/>
  <c r="M270" i="13"/>
  <c r="M271" i="14"/>
  <c r="K158" i="13" l="1"/>
  <c r="L158" i="13" s="1"/>
  <c r="I159" i="13" s="1"/>
  <c r="K171" i="14"/>
  <c r="L171" i="14" s="1"/>
  <c r="I172" i="14" s="1"/>
  <c r="M272" i="14"/>
  <c r="N268" i="14"/>
  <c r="J267" i="14" a="1"/>
  <c r="J267" i="14" s="1"/>
  <c r="M271" i="13"/>
  <c r="N269" i="13"/>
  <c r="J268" i="13" a="1"/>
  <c r="J268" i="13" s="1"/>
  <c r="K159" i="13" l="1"/>
  <c r="L159" i="13" s="1"/>
  <c r="I160" i="13" s="1"/>
  <c r="K172" i="14"/>
  <c r="L172" i="14" s="1"/>
  <c r="I173" i="14" s="1"/>
  <c r="N269" i="14"/>
  <c r="J268" i="14" a="1"/>
  <c r="J268" i="14" s="1"/>
  <c r="M273" i="14"/>
  <c r="N270" i="13"/>
  <c r="J269" i="13" a="1"/>
  <c r="J269" i="13" s="1"/>
  <c r="M272" i="13"/>
  <c r="K160" i="13" l="1"/>
  <c r="L160" i="13" s="1"/>
  <c r="I161" i="13" s="1"/>
  <c r="K173" i="14"/>
  <c r="L173" i="14" s="1"/>
  <c r="I174" i="14" s="1"/>
  <c r="M274" i="14"/>
  <c r="M273" i="13"/>
  <c r="N271" i="13"/>
  <c r="J270" i="13" a="1"/>
  <c r="J270" i="13" s="1"/>
  <c r="N270" i="14"/>
  <c r="J269" i="14" a="1"/>
  <c r="J269" i="14" s="1"/>
  <c r="K161" i="13" l="1"/>
  <c r="L161" i="13" s="1"/>
  <c r="I162" i="13" s="1"/>
  <c r="K174" i="14"/>
  <c r="L174" i="14" s="1"/>
  <c r="I175" i="14" s="1"/>
  <c r="M275" i="14"/>
  <c r="M274" i="13"/>
  <c r="N271" i="14"/>
  <c r="J270" i="14" a="1"/>
  <c r="J270" i="14" s="1"/>
  <c r="N272" i="13"/>
  <c r="J271" i="13" a="1"/>
  <c r="J271" i="13" s="1"/>
  <c r="K162" i="13" l="1"/>
  <c r="L162" i="13" s="1"/>
  <c r="I163" i="13" s="1"/>
  <c r="K175" i="14"/>
  <c r="L175" i="14" s="1"/>
  <c r="I176" i="14" s="1"/>
  <c r="M275" i="13"/>
  <c r="M276" i="14"/>
  <c r="N273" i="13"/>
  <c r="J272" i="13" a="1"/>
  <c r="J272" i="13" s="1"/>
  <c r="N272" i="14"/>
  <c r="J271" i="14" a="1"/>
  <c r="J271" i="14" s="1"/>
  <c r="K163" i="13" l="1"/>
  <c r="L163" i="13" s="1"/>
  <c r="I164" i="13" s="1"/>
  <c r="K176" i="14"/>
  <c r="N273" i="14"/>
  <c r="J272" i="14" a="1"/>
  <c r="J272" i="14" s="1"/>
  <c r="M277" i="14"/>
  <c r="M276" i="13"/>
  <c r="N274" i="13"/>
  <c r="J273" i="13" a="1"/>
  <c r="J273" i="13" s="1"/>
  <c r="K164" i="13" l="1"/>
  <c r="N275" i="13"/>
  <c r="J274" i="13" a="1"/>
  <c r="J274" i="13" s="1"/>
  <c r="M278" i="14"/>
  <c r="M277" i="13"/>
  <c r="N274" i="14"/>
  <c r="J273" i="14" a="1"/>
  <c r="J273" i="14" s="1"/>
  <c r="L176" i="14"/>
  <c r="I177" i="14" s="1"/>
  <c r="L164" i="13" l="1"/>
  <c r="I165" i="13" s="1"/>
  <c r="N276" i="13"/>
  <c r="J275" i="13" a="1"/>
  <c r="J275" i="13" s="1"/>
  <c r="N275" i="14"/>
  <c r="J274" i="14" a="1"/>
  <c r="J274" i="14" s="1"/>
  <c r="M278" i="13"/>
  <c r="K177" i="14"/>
  <c r="L177" i="14" s="1"/>
  <c r="I178" i="14" s="1"/>
  <c r="M279" i="14"/>
  <c r="K165" i="13" l="1"/>
  <c r="K178" i="14"/>
  <c r="L178" i="14" s="1"/>
  <c r="I179" i="14" s="1"/>
  <c r="N276" i="14"/>
  <c r="J275" i="14" a="1"/>
  <c r="J275" i="14" s="1"/>
  <c r="M280" i="14"/>
  <c r="M279" i="13"/>
  <c r="N277" i="13"/>
  <c r="J276" i="13" a="1"/>
  <c r="J276" i="13" s="1"/>
  <c r="L165" i="13" l="1"/>
  <c r="I166" i="13" s="1"/>
  <c r="K179" i="14"/>
  <c r="L179" i="14" s="1"/>
  <c r="I180" i="14" s="1"/>
  <c r="M281" i="14"/>
  <c r="N277" i="14"/>
  <c r="J276" i="14" a="1"/>
  <c r="J276" i="14" s="1"/>
  <c r="M280" i="13"/>
  <c r="N278" i="13"/>
  <c r="J277" i="13" a="1"/>
  <c r="J277" i="13" s="1"/>
  <c r="K166" i="13" l="1"/>
  <c r="L166" i="13" s="1"/>
  <c r="I167" i="13" s="1"/>
  <c r="K180" i="14"/>
  <c r="L180" i="14" s="1"/>
  <c r="I181" i="14" s="1"/>
  <c r="N278" i="14"/>
  <c r="J277" i="14" a="1"/>
  <c r="J277" i="14" s="1"/>
  <c r="M281" i="13"/>
  <c r="N279" i="13"/>
  <c r="J278" i="13" a="1"/>
  <c r="J278" i="13" s="1"/>
  <c r="M282" i="14"/>
  <c r="K167" i="13" l="1"/>
  <c r="L167" i="13" s="1"/>
  <c r="I168" i="13" s="1"/>
  <c r="K181" i="14"/>
  <c r="L181" i="14" s="1"/>
  <c r="I182" i="14" s="1"/>
  <c r="M283" i="14"/>
  <c r="M282" i="13"/>
  <c r="N280" i="13"/>
  <c r="J279" i="13" a="1"/>
  <c r="J279" i="13" s="1"/>
  <c r="N279" i="14"/>
  <c r="J278" i="14" a="1"/>
  <c r="J278" i="14" s="1"/>
  <c r="K168" i="13" l="1"/>
  <c r="L168" i="13" s="1"/>
  <c r="I169" i="13" s="1"/>
  <c r="K182" i="14"/>
  <c r="L182" i="14" s="1"/>
  <c r="I183" i="14" s="1"/>
  <c r="M283" i="13"/>
  <c r="N280" i="14"/>
  <c r="J279" i="14" a="1"/>
  <c r="J279" i="14" s="1"/>
  <c r="M284" i="14"/>
  <c r="N281" i="13"/>
  <c r="J280" i="13" a="1"/>
  <c r="J280" i="13" s="1"/>
  <c r="K169" i="13" l="1"/>
  <c r="L169" i="13" s="1"/>
  <c r="I170" i="13" s="1"/>
  <c r="K183" i="14"/>
  <c r="L183" i="14" s="1"/>
  <c r="I184" i="14" s="1"/>
  <c r="N282" i="13"/>
  <c r="J281" i="13" a="1"/>
  <c r="J281" i="13" s="1"/>
  <c r="M285" i="14"/>
  <c r="N281" i="14"/>
  <c r="J280" i="14" a="1"/>
  <c r="J280" i="14" s="1"/>
  <c r="M284" i="13"/>
  <c r="K170" i="13" l="1"/>
  <c r="L170" i="13" s="1"/>
  <c r="I171" i="13" s="1"/>
  <c r="K184" i="14"/>
  <c r="L184" i="14" s="1"/>
  <c r="I185" i="14" s="1"/>
  <c r="M285" i="13"/>
  <c r="M286" i="14"/>
  <c r="N282" i="14"/>
  <c r="J281" i="14" a="1"/>
  <c r="J281" i="14" s="1"/>
  <c r="N283" i="13"/>
  <c r="J282" i="13" a="1"/>
  <c r="J282" i="13" s="1"/>
  <c r="K171" i="13" l="1"/>
  <c r="L171" i="13" s="1"/>
  <c r="I172" i="13" s="1"/>
  <c r="K185" i="14"/>
  <c r="L185" i="14" s="1"/>
  <c r="I186" i="14" s="1"/>
  <c r="M287" i="14"/>
  <c r="M286" i="13"/>
  <c r="N284" i="13"/>
  <c r="J283" i="13" a="1"/>
  <c r="J283" i="13" s="1"/>
  <c r="N283" i="14"/>
  <c r="J282" i="14" a="1"/>
  <c r="J282" i="14" s="1"/>
  <c r="K172" i="13" l="1"/>
  <c r="L172" i="13" s="1"/>
  <c r="I173" i="13" s="1"/>
  <c r="M287" i="13"/>
  <c r="N284" i="14"/>
  <c r="J283" i="14" a="1"/>
  <c r="J283" i="14" s="1"/>
  <c r="M288" i="14"/>
  <c r="N285" i="13"/>
  <c r="J284" i="13" a="1"/>
  <c r="J284" i="13" s="1"/>
  <c r="K186" i="14"/>
  <c r="L186" i="14" s="1"/>
  <c r="I187" i="14" s="1"/>
  <c r="K173" i="13" l="1"/>
  <c r="L173" i="13" s="1"/>
  <c r="I174" i="13" s="1"/>
  <c r="N286" i="13"/>
  <c r="J285" i="13" a="1"/>
  <c r="J285" i="13" s="1"/>
  <c r="M289" i="14"/>
  <c r="M288" i="13"/>
  <c r="K187" i="14"/>
  <c r="L187" i="14" s="1"/>
  <c r="I188" i="14" s="1"/>
  <c r="N285" i="14"/>
  <c r="J284" i="14" a="1"/>
  <c r="J284" i="14" s="1"/>
  <c r="K174" i="13" l="1"/>
  <c r="L174" i="13" s="1"/>
  <c r="I175" i="13" s="1"/>
  <c r="K188" i="14"/>
  <c r="L188" i="14" s="1"/>
  <c r="I189" i="14" s="1"/>
  <c r="N286" i="14"/>
  <c r="J285" i="14" a="1"/>
  <c r="J285" i="14" s="1"/>
  <c r="M289" i="13"/>
  <c r="M290" i="14"/>
  <c r="N287" i="13"/>
  <c r="J286" i="13" a="1"/>
  <c r="J286" i="13" s="1"/>
  <c r="K175" i="13" l="1"/>
  <c r="L175" i="13" s="1"/>
  <c r="I176" i="13" s="1"/>
  <c r="K189" i="14"/>
  <c r="L189" i="14" s="1"/>
  <c r="I190" i="14" s="1"/>
  <c r="N288" i="13"/>
  <c r="J287" i="13" a="1"/>
  <c r="J287" i="13" s="1"/>
  <c r="M290" i="13"/>
  <c r="M291" i="14"/>
  <c r="N287" i="14"/>
  <c r="J286" i="14" a="1"/>
  <c r="J286" i="14" s="1"/>
  <c r="K176" i="13" l="1"/>
  <c r="K190" i="14"/>
  <c r="M292" i="14"/>
  <c r="N289" i="13"/>
  <c r="J288" i="13" a="1"/>
  <c r="J288" i="13" s="1"/>
  <c r="N288" i="14"/>
  <c r="J287" i="14" a="1"/>
  <c r="J287" i="14" s="1"/>
  <c r="M291" i="13"/>
  <c r="L176" i="13" l="1"/>
  <c r="I177" i="13" s="1"/>
  <c r="M292" i="13"/>
  <c r="M293" i="14"/>
  <c r="N290" i="13"/>
  <c r="J289" i="13" a="1"/>
  <c r="J289" i="13" s="1"/>
  <c r="N289" i="14"/>
  <c r="J288" i="14" a="1"/>
  <c r="J288" i="14" s="1"/>
  <c r="L190" i="14"/>
  <c r="I191" i="14" s="1"/>
  <c r="K177" i="13" l="1"/>
  <c r="L177" i="13" s="1"/>
  <c r="I178" i="13" s="1"/>
  <c r="K191" i="14"/>
  <c r="L191" i="14" s="1"/>
  <c r="I192" i="14" s="1"/>
  <c r="N290" i="14"/>
  <c r="J289" i="14" a="1"/>
  <c r="J289" i="14" s="1"/>
  <c r="N291" i="13"/>
  <c r="J290" i="13" a="1"/>
  <c r="J290" i="13" s="1"/>
  <c r="M293" i="13"/>
  <c r="M294" i="14"/>
  <c r="K178" i="13" l="1"/>
  <c r="L178" i="13" s="1"/>
  <c r="I179" i="13" s="1"/>
  <c r="K192" i="14"/>
  <c r="L192" i="14" s="1"/>
  <c r="I193" i="14" s="1"/>
  <c r="N292" i="13"/>
  <c r="J291" i="13" a="1"/>
  <c r="J291" i="13" s="1"/>
  <c r="M294" i="13"/>
  <c r="M295" i="14"/>
  <c r="N291" i="14"/>
  <c r="J290" i="14" a="1"/>
  <c r="J290" i="14" s="1"/>
  <c r="K179" i="13" l="1"/>
  <c r="L179" i="13" s="1"/>
  <c r="I180" i="13" s="1"/>
  <c r="K193" i="14"/>
  <c r="L193" i="14" s="1"/>
  <c r="I194" i="14" s="1"/>
  <c r="M295" i="13"/>
  <c r="N292" i="14"/>
  <c r="J291" i="14" a="1"/>
  <c r="J291" i="14" s="1"/>
  <c r="M296" i="14"/>
  <c r="N293" i="13"/>
  <c r="J292" i="13" a="1"/>
  <c r="J292" i="13" s="1"/>
  <c r="K180" i="13" l="1"/>
  <c r="L180" i="13" s="1"/>
  <c r="I181" i="13" s="1"/>
  <c r="K194" i="14"/>
  <c r="L194" i="14" s="1"/>
  <c r="I195" i="14" s="1"/>
  <c r="N293" i="14"/>
  <c r="J292" i="14" a="1"/>
  <c r="J292" i="14" s="1"/>
  <c r="N294" i="13"/>
  <c r="J293" i="13" a="1"/>
  <c r="J293" i="13" s="1"/>
  <c r="M297" i="14"/>
  <c r="M296" i="13"/>
  <c r="K181" i="13" l="1"/>
  <c r="L181" i="13" s="1"/>
  <c r="I182" i="13" s="1"/>
  <c r="K195" i="14"/>
  <c r="L195" i="14" s="1"/>
  <c r="I196" i="14" s="1"/>
  <c r="M297" i="13"/>
  <c r="N295" i="13"/>
  <c r="J294" i="13" a="1"/>
  <c r="J294" i="13" s="1"/>
  <c r="M298" i="14"/>
  <c r="N294" i="14"/>
  <c r="J293" i="14" a="1"/>
  <c r="J293" i="14" s="1"/>
  <c r="K182" i="13" l="1"/>
  <c r="L182" i="13" s="1"/>
  <c r="I183" i="13" s="1"/>
  <c r="K196" i="14"/>
  <c r="L196" i="14" s="1"/>
  <c r="I197" i="14" s="1"/>
  <c r="N296" i="13"/>
  <c r="J295" i="13" a="1"/>
  <c r="J295" i="13" s="1"/>
  <c r="M298" i="13"/>
  <c r="N295" i="14"/>
  <c r="J294" i="14" a="1"/>
  <c r="J294" i="14" s="1"/>
  <c r="M299" i="14"/>
  <c r="K183" i="13" l="1"/>
  <c r="L183" i="13" s="1"/>
  <c r="I184" i="13" s="1"/>
  <c r="K197" i="14"/>
  <c r="L197" i="14" s="1"/>
  <c r="I198" i="14" s="1"/>
  <c r="N296" i="14"/>
  <c r="J295" i="14" a="1"/>
  <c r="J295" i="14" s="1"/>
  <c r="M300" i="14"/>
  <c r="M299" i="13"/>
  <c r="N297" i="13"/>
  <c r="J296" i="13" a="1"/>
  <c r="J296" i="13" s="1"/>
  <c r="K184" i="13" l="1"/>
  <c r="L184" i="13" s="1"/>
  <c r="I185" i="13" s="1"/>
  <c r="K198" i="14"/>
  <c r="L198" i="14" s="1"/>
  <c r="I199" i="14" s="1"/>
  <c r="N298" i="13"/>
  <c r="J297" i="13" a="1"/>
  <c r="J297" i="13" s="1"/>
  <c r="M301" i="14"/>
  <c r="M300" i="13"/>
  <c r="N297" i="14"/>
  <c r="J296" i="14" a="1"/>
  <c r="J296" i="14" s="1"/>
  <c r="K185" i="13" l="1"/>
  <c r="L185" i="13" s="1"/>
  <c r="I186" i="13" s="1"/>
  <c r="K199" i="14"/>
  <c r="L199" i="14" s="1"/>
  <c r="I200" i="14" s="1"/>
  <c r="N298" i="14"/>
  <c r="J297" i="14" a="1"/>
  <c r="J297" i="14" s="1"/>
  <c r="M301" i="13"/>
  <c r="M302" i="14"/>
  <c r="N299" i="13"/>
  <c r="J298" i="13" a="1"/>
  <c r="J298" i="13" s="1"/>
  <c r="K186" i="13" l="1"/>
  <c r="L186" i="13" s="1"/>
  <c r="I187" i="13" s="1"/>
  <c r="K200" i="14"/>
  <c r="N299" i="14"/>
  <c r="J298" i="14" a="1"/>
  <c r="J298" i="14" s="1"/>
  <c r="N300" i="13"/>
  <c r="J299" i="13" a="1"/>
  <c r="J299" i="13" s="1"/>
  <c r="M302" i="13"/>
  <c r="M303" i="14"/>
  <c r="K187" i="13" l="1"/>
  <c r="L187" i="13" s="1"/>
  <c r="I188" i="13" s="1"/>
  <c r="M303" i="13"/>
  <c r="M304" i="14"/>
  <c r="N300" i="14"/>
  <c r="J299" i="14" a="1"/>
  <c r="J299" i="14" s="1"/>
  <c r="L200" i="14"/>
  <c r="I201" i="14" s="1"/>
  <c r="N301" i="13"/>
  <c r="J300" i="13" a="1"/>
  <c r="J300" i="13" s="1"/>
  <c r="K188" i="13" l="1"/>
  <c r="L188" i="13" s="1"/>
  <c r="I189" i="13" s="1"/>
  <c r="N301" i="14"/>
  <c r="J300" i="14" a="1"/>
  <c r="J300" i="14" s="1"/>
  <c r="N302" i="13"/>
  <c r="J301" i="13" a="1"/>
  <c r="J301" i="13" s="1"/>
  <c r="M305" i="14"/>
  <c r="K201" i="14"/>
  <c r="M304" i="13"/>
  <c r="K189" i="13" l="1"/>
  <c r="L189" i="13" s="1"/>
  <c r="I190" i="13" s="1"/>
  <c r="N302" i="14"/>
  <c r="J301" i="14" a="1"/>
  <c r="J301" i="14" s="1"/>
  <c r="L201" i="14"/>
  <c r="I202" i="14" s="1"/>
  <c r="M306" i="14"/>
  <c r="M305" i="13"/>
  <c r="N303" i="13"/>
  <c r="J302" i="13" a="1"/>
  <c r="J302" i="13" s="1"/>
  <c r="K190" i="13" l="1"/>
  <c r="K202" i="14"/>
  <c r="L202" i="14" s="1"/>
  <c r="I203" i="14" s="1"/>
  <c r="M307" i="14"/>
  <c r="N303" i="14"/>
  <c r="J302" i="14" a="1"/>
  <c r="J302" i="14" s="1"/>
  <c r="N304" i="13"/>
  <c r="J303" i="13" a="1"/>
  <c r="J303" i="13" s="1"/>
  <c r="M306" i="13"/>
  <c r="L190" i="13" l="1"/>
  <c r="I191" i="13" s="1"/>
  <c r="K203" i="14"/>
  <c r="L203" i="14" s="1"/>
  <c r="I204" i="14" s="1"/>
  <c r="N304" i="14"/>
  <c r="J303" i="14" a="1"/>
  <c r="J303" i="14" s="1"/>
  <c r="N305" i="13"/>
  <c r="J304" i="13" a="1"/>
  <c r="J304" i="13" s="1"/>
  <c r="M307" i="13"/>
  <c r="M308" i="14"/>
  <c r="K191" i="13" l="1"/>
  <c r="L191" i="13" s="1"/>
  <c r="I192" i="13" s="1"/>
  <c r="K204" i="14"/>
  <c r="L204" i="14" s="1"/>
  <c r="I205" i="14" s="1"/>
  <c r="N305" i="14"/>
  <c r="J304" i="14" a="1"/>
  <c r="J304" i="14" s="1"/>
  <c r="M309" i="14"/>
  <c r="N306" i="13"/>
  <c r="J305" i="13" a="1"/>
  <c r="J305" i="13" s="1"/>
  <c r="M308" i="13"/>
  <c r="K192" i="13" l="1"/>
  <c r="L192" i="13" s="1"/>
  <c r="I193" i="13" s="1"/>
  <c r="K205" i="14"/>
  <c r="L205" i="14" s="1"/>
  <c r="I206" i="14" s="1"/>
  <c r="M309" i="13"/>
  <c r="M310" i="14"/>
  <c r="N307" i="13"/>
  <c r="J306" i="13" a="1"/>
  <c r="J306" i="13" s="1"/>
  <c r="N306" i="14"/>
  <c r="J305" i="14" a="1"/>
  <c r="J305" i="14" s="1"/>
  <c r="K193" i="13" l="1"/>
  <c r="L193" i="13" s="1"/>
  <c r="I194" i="13" s="1"/>
  <c r="K206" i="14"/>
  <c r="L206" i="14" s="1"/>
  <c r="I207" i="14" s="1"/>
  <c r="M310" i="13"/>
  <c r="N308" i="13"/>
  <c r="J307" i="13" a="1"/>
  <c r="J307" i="13" s="1"/>
  <c r="M311" i="14"/>
  <c r="N307" i="14"/>
  <c r="J306" i="14" a="1"/>
  <c r="J306" i="14" s="1"/>
  <c r="K194" i="13" l="1"/>
  <c r="L194" i="13" s="1"/>
  <c r="I195" i="13" s="1"/>
  <c r="K207" i="14"/>
  <c r="L207" i="14" s="1"/>
  <c r="I208" i="14" s="1"/>
  <c r="N309" i="13"/>
  <c r="J308" i="13" a="1"/>
  <c r="J308" i="13" s="1"/>
  <c r="N308" i="14"/>
  <c r="J307" i="14" a="1"/>
  <c r="J307" i="14" s="1"/>
  <c r="M312" i="14"/>
  <c r="M311" i="13"/>
  <c r="K195" i="13" l="1"/>
  <c r="L195" i="13" s="1"/>
  <c r="I196" i="13" s="1"/>
  <c r="K208" i="14"/>
  <c r="L208" i="14" s="1"/>
  <c r="I209" i="14" s="1"/>
  <c r="N310" i="13"/>
  <c r="J309" i="13" a="1"/>
  <c r="J309" i="13" s="1"/>
  <c r="M313" i="14"/>
  <c r="M312" i="13"/>
  <c r="N309" i="14"/>
  <c r="J308" i="14" a="1"/>
  <c r="J308" i="14" s="1"/>
  <c r="K196" i="13" l="1"/>
  <c r="L196" i="13" s="1"/>
  <c r="I197" i="13" s="1"/>
  <c r="K209" i="14"/>
  <c r="L209" i="14" s="1"/>
  <c r="I210" i="14" s="1"/>
  <c r="N310" i="14"/>
  <c r="J309" i="14" a="1"/>
  <c r="J309" i="14" s="1"/>
  <c r="M313" i="13"/>
  <c r="M314" i="14"/>
  <c r="N311" i="13"/>
  <c r="J310" i="13" a="1"/>
  <c r="J310" i="13" s="1"/>
  <c r="K197" i="13" l="1"/>
  <c r="L197" i="13" s="1"/>
  <c r="I198" i="13" s="1"/>
  <c r="K210" i="14"/>
  <c r="L210" i="14" s="1"/>
  <c r="I211" i="14" s="1"/>
  <c r="N312" i="13"/>
  <c r="J311" i="13" a="1"/>
  <c r="J311" i="13" s="1"/>
  <c r="M314" i="13"/>
  <c r="M315" i="14"/>
  <c r="N311" i="14"/>
  <c r="J310" i="14" a="1"/>
  <c r="J310" i="14" s="1"/>
  <c r="K198" i="13" l="1"/>
  <c r="L198" i="13" s="1"/>
  <c r="I199" i="13" s="1"/>
  <c r="K211" i="14"/>
  <c r="L211" i="14" s="1"/>
  <c r="I212" i="14" s="1"/>
  <c r="N312" i="14"/>
  <c r="J311" i="14" a="1"/>
  <c r="J311" i="14" s="1"/>
  <c r="M315" i="13"/>
  <c r="M316" i="14"/>
  <c r="N313" i="13"/>
  <c r="J312" i="13" a="1"/>
  <c r="J312" i="13" s="1"/>
  <c r="K199" i="13" l="1"/>
  <c r="L199" i="13" s="1"/>
  <c r="I200" i="13" s="1"/>
  <c r="K212" i="14"/>
  <c r="N314" i="13"/>
  <c r="J313" i="13" a="1"/>
  <c r="J313" i="13" s="1"/>
  <c r="M316" i="13"/>
  <c r="M317" i="14"/>
  <c r="N313" i="14"/>
  <c r="J312" i="14" a="1"/>
  <c r="J312" i="14" s="1"/>
  <c r="K200" i="13" l="1"/>
  <c r="N314" i="14"/>
  <c r="J313" i="14" a="1"/>
  <c r="J313" i="14" s="1"/>
  <c r="M317" i="13"/>
  <c r="M318" i="14"/>
  <c r="N315" i="13"/>
  <c r="J314" i="13" a="1"/>
  <c r="J314" i="13" s="1"/>
  <c r="L212" i="14"/>
  <c r="I213" i="14" s="1"/>
  <c r="L200" i="13" l="1"/>
  <c r="I201" i="13" s="1"/>
  <c r="M318" i="13"/>
  <c r="N316" i="13"/>
  <c r="J315" i="13" a="1"/>
  <c r="J315" i="13" s="1"/>
  <c r="N315" i="14"/>
  <c r="J314" i="14" a="1"/>
  <c r="J314" i="14" s="1"/>
  <c r="K213" i="14"/>
  <c r="M319" i="14"/>
  <c r="K201" i="13" l="1"/>
  <c r="L213" i="14"/>
  <c r="I214" i="14" s="1"/>
  <c r="N317" i="13"/>
  <c r="J316" i="13" a="1"/>
  <c r="J316" i="13" s="1"/>
  <c r="M320" i="14"/>
  <c r="M319" i="13"/>
  <c r="N316" i="14"/>
  <c r="J315" i="14" a="1"/>
  <c r="J315" i="14" s="1"/>
  <c r="L201" i="13" l="1"/>
  <c r="I202" i="13" s="1"/>
  <c r="N317" i="14"/>
  <c r="J316" i="14" a="1"/>
  <c r="J316" i="14" s="1"/>
  <c r="N318" i="13"/>
  <c r="J317" i="13" a="1"/>
  <c r="J317" i="13" s="1"/>
  <c r="M320" i="13"/>
  <c r="M321" i="14"/>
  <c r="K214" i="14"/>
  <c r="L214" i="14" s="1"/>
  <c r="I215" i="14" s="1"/>
  <c r="K202" i="13" l="1"/>
  <c r="L202" i="13" s="1"/>
  <c r="I203" i="13" s="1"/>
  <c r="K215" i="14"/>
  <c r="L215" i="14" s="1"/>
  <c r="I216" i="14" s="1"/>
  <c r="N319" i="13"/>
  <c r="J318" i="13" a="1"/>
  <c r="J318" i="13" s="1"/>
  <c r="M322" i="14"/>
  <c r="M321" i="13"/>
  <c r="N318" i="14"/>
  <c r="J317" i="14" a="1"/>
  <c r="J317" i="14" s="1"/>
  <c r="K203" i="13" l="1"/>
  <c r="L203" i="13" s="1"/>
  <c r="I204" i="13" s="1"/>
  <c r="K216" i="14"/>
  <c r="L216" i="14" s="1"/>
  <c r="I217" i="14" s="1"/>
  <c r="M323" i="14"/>
  <c r="N319" i="14"/>
  <c r="J318" i="14" a="1"/>
  <c r="J318" i="14" s="1"/>
  <c r="M322" i="13"/>
  <c r="N320" i="13"/>
  <c r="J319" i="13" a="1"/>
  <c r="J319" i="13" s="1"/>
  <c r="K204" i="13" l="1"/>
  <c r="L204" i="13" s="1"/>
  <c r="I205" i="13" s="1"/>
  <c r="K217" i="14"/>
  <c r="L217" i="14" s="1"/>
  <c r="I218" i="14" s="1"/>
  <c r="N321" i="13"/>
  <c r="J320" i="13" a="1"/>
  <c r="J320" i="13" s="1"/>
  <c r="N320" i="14"/>
  <c r="J319" i="14" a="1"/>
  <c r="J319" i="14" s="1"/>
  <c r="M323" i="13"/>
  <c r="M324" i="14"/>
  <c r="K205" i="13" l="1"/>
  <c r="L205" i="13" s="1"/>
  <c r="I206" i="13" s="1"/>
  <c r="K218" i="14"/>
  <c r="L218" i="14" s="1"/>
  <c r="I219" i="14" s="1"/>
  <c r="M324" i="13"/>
  <c r="N322" i="13"/>
  <c r="J321" i="13" a="1"/>
  <c r="J321" i="13" s="1"/>
  <c r="M325" i="14"/>
  <c r="N321" i="14"/>
  <c r="J320" i="14" a="1"/>
  <c r="J320" i="14" s="1"/>
  <c r="K206" i="13" l="1"/>
  <c r="L206" i="13" s="1"/>
  <c r="I207" i="13" s="1"/>
  <c r="K219" i="14"/>
  <c r="L219" i="14" s="1"/>
  <c r="I220" i="14" s="1"/>
  <c r="N322" i="14"/>
  <c r="J321" i="14" a="1"/>
  <c r="J321" i="14" s="1"/>
  <c r="M326" i="14"/>
  <c r="M325" i="13"/>
  <c r="N323" i="13"/>
  <c r="J322" i="13" a="1"/>
  <c r="J322" i="13" s="1"/>
  <c r="K207" i="13" l="1"/>
  <c r="L207" i="13" s="1"/>
  <c r="I208" i="13" s="1"/>
  <c r="K220" i="14"/>
  <c r="L220" i="14" s="1"/>
  <c r="I221" i="14" s="1"/>
  <c r="M326" i="13"/>
  <c r="N323" i="14"/>
  <c r="J322" i="14" a="1"/>
  <c r="J322" i="14" s="1"/>
  <c r="N324" i="13"/>
  <c r="J323" i="13" a="1"/>
  <c r="J323" i="13" s="1"/>
  <c r="M327" i="14"/>
  <c r="K208" i="13" l="1"/>
  <c r="L208" i="13" s="1"/>
  <c r="I209" i="13" s="1"/>
  <c r="K221" i="14"/>
  <c r="L221" i="14" s="1"/>
  <c r="I222" i="14" s="1"/>
  <c r="N324" i="14"/>
  <c r="J323" i="14" a="1"/>
  <c r="J323" i="14" s="1"/>
  <c r="M328" i="14"/>
  <c r="M327" i="13"/>
  <c r="N325" i="13"/>
  <c r="J324" i="13" a="1"/>
  <c r="J324" i="13" s="1"/>
  <c r="K209" i="13" l="1"/>
  <c r="L209" i="13" s="1"/>
  <c r="I210" i="13" s="1"/>
  <c r="K222" i="14"/>
  <c r="L222" i="14" s="1"/>
  <c r="I223" i="14" s="1"/>
  <c r="M329" i="14"/>
  <c r="N326" i="13"/>
  <c r="J325" i="13" a="1"/>
  <c r="J325" i="13" s="1"/>
  <c r="M328" i="13"/>
  <c r="N325" i="14"/>
  <c r="J324" i="14" a="1"/>
  <c r="J324" i="14" s="1"/>
  <c r="K210" i="13" l="1"/>
  <c r="L210" i="13" s="1"/>
  <c r="I211" i="13" s="1"/>
  <c r="K223" i="14"/>
  <c r="L223" i="14" s="1"/>
  <c r="I224" i="14" s="1"/>
  <c r="N327" i="13"/>
  <c r="J326" i="13" a="1"/>
  <c r="J326" i="13" s="1"/>
  <c r="M330" i="14"/>
  <c r="N326" i="14"/>
  <c r="J325" i="14" a="1"/>
  <c r="J325" i="14" s="1"/>
  <c r="M329" i="13"/>
  <c r="K211" i="13" l="1"/>
  <c r="L211" i="13" s="1"/>
  <c r="I212" i="13" s="1"/>
  <c r="K224" i="14"/>
  <c r="M331" i="14"/>
  <c r="M330" i="13"/>
  <c r="N327" i="14"/>
  <c r="J326" i="14" a="1"/>
  <c r="J326" i="14" s="1"/>
  <c r="N328" i="13"/>
  <c r="J327" i="13" a="1"/>
  <c r="J327" i="13" s="1"/>
  <c r="K212" i="13" l="1"/>
  <c r="M332" i="14"/>
  <c r="M331" i="13"/>
  <c r="N329" i="13"/>
  <c r="J328" i="13" a="1"/>
  <c r="J328" i="13" s="1"/>
  <c r="L224" i="14"/>
  <c r="I225" i="14" s="1"/>
  <c r="N328" i="14"/>
  <c r="J327" i="14" a="1"/>
  <c r="J327" i="14" s="1"/>
  <c r="L212" i="13" l="1"/>
  <c r="I213" i="13" s="1"/>
  <c r="M333" i="14"/>
  <c r="K225" i="14"/>
  <c r="N329" i="14"/>
  <c r="J328" i="14" a="1"/>
  <c r="J328" i="14" s="1"/>
  <c r="N330" i="13"/>
  <c r="J329" i="13" a="1"/>
  <c r="J329" i="13" s="1"/>
  <c r="M332" i="13"/>
  <c r="K213" i="13" l="1"/>
  <c r="M334" i="14"/>
  <c r="M333" i="13"/>
  <c r="N330" i="14"/>
  <c r="J329" i="14" a="1"/>
  <c r="J329" i="14" s="1"/>
  <c r="N331" i="13"/>
  <c r="J330" i="13" a="1"/>
  <c r="J330" i="13" s="1"/>
  <c r="L225" i="14"/>
  <c r="I226" i="14" s="1"/>
  <c r="L213" i="13" l="1"/>
  <c r="I214" i="13" s="1"/>
  <c r="N331" i="14"/>
  <c r="J330" i="14" a="1"/>
  <c r="J330" i="14" s="1"/>
  <c r="M335" i="14"/>
  <c r="K226" i="14"/>
  <c r="L226" i="14" s="1"/>
  <c r="I227" i="14" s="1"/>
  <c r="N332" i="13"/>
  <c r="J331" i="13" a="1"/>
  <c r="J331" i="13" s="1"/>
  <c r="M334" i="13"/>
  <c r="K214" i="13" l="1"/>
  <c r="L214" i="13" s="1"/>
  <c r="I215" i="13" s="1"/>
  <c r="K227" i="14"/>
  <c r="L227" i="14" s="1"/>
  <c r="I228" i="14" s="1"/>
  <c r="N332" i="14"/>
  <c r="J331" i="14" a="1"/>
  <c r="J331" i="14" s="1"/>
  <c r="M336" i="14"/>
  <c r="M335" i="13"/>
  <c r="N333" i="13"/>
  <c r="J332" i="13" a="1"/>
  <c r="J332" i="13" s="1"/>
  <c r="K215" i="13" l="1"/>
  <c r="L215" i="13" s="1"/>
  <c r="I216" i="13" s="1"/>
  <c r="M337" i="14"/>
  <c r="M336" i="13"/>
  <c r="N334" i="13"/>
  <c r="J333" i="13" a="1"/>
  <c r="J333" i="13" s="1"/>
  <c r="N333" i="14"/>
  <c r="J332" i="14" a="1"/>
  <c r="J332" i="14" s="1"/>
  <c r="K228" i="14"/>
  <c r="L228" i="14" s="1"/>
  <c r="I229" i="14" s="1"/>
  <c r="K216" i="13" l="1"/>
  <c r="L216" i="13" s="1"/>
  <c r="I217" i="13" s="1"/>
  <c r="K229" i="14"/>
  <c r="L229" i="14" s="1"/>
  <c r="I230" i="14" s="1"/>
  <c r="M337" i="13"/>
  <c r="N335" i="13"/>
  <c r="J334" i="13" a="1"/>
  <c r="J334" i="13" s="1"/>
  <c r="N334" i="14"/>
  <c r="J333" i="14" a="1"/>
  <c r="J333" i="14" s="1"/>
  <c r="M338" i="14"/>
  <c r="K217" i="13" l="1"/>
  <c r="L217" i="13" s="1"/>
  <c r="I218" i="13" s="1"/>
  <c r="K230" i="14"/>
  <c r="L230" i="14" s="1"/>
  <c r="I231" i="14" s="1"/>
  <c r="N336" i="13"/>
  <c r="J335" i="13" a="1"/>
  <c r="J335" i="13" s="1"/>
  <c r="N335" i="14"/>
  <c r="J334" i="14" a="1"/>
  <c r="J334" i="14" s="1"/>
  <c r="M338" i="13"/>
  <c r="M339" i="14"/>
  <c r="K218" i="13" l="1"/>
  <c r="L218" i="13" s="1"/>
  <c r="I219" i="13" s="1"/>
  <c r="K231" i="14"/>
  <c r="L231" i="14" s="1"/>
  <c r="I232" i="14" s="1"/>
  <c r="M340" i="14"/>
  <c r="N336" i="14"/>
  <c r="J335" i="14" a="1"/>
  <c r="J335" i="14" s="1"/>
  <c r="M339" i="13"/>
  <c r="N337" i="13"/>
  <c r="J336" i="13" a="1"/>
  <c r="J336" i="13" s="1"/>
  <c r="K219" i="13" l="1"/>
  <c r="L219" i="13" s="1"/>
  <c r="I220" i="13" s="1"/>
  <c r="K232" i="14"/>
  <c r="L232" i="14" s="1"/>
  <c r="I233" i="14" s="1"/>
  <c r="M341" i="14"/>
  <c r="N338" i="13"/>
  <c r="J337" i="13" a="1"/>
  <c r="J337" i="13" s="1"/>
  <c r="M340" i="13"/>
  <c r="N337" i="14"/>
  <c r="J336" i="14" a="1"/>
  <c r="J336" i="14" s="1"/>
  <c r="K220" i="13" l="1"/>
  <c r="L220" i="13" s="1"/>
  <c r="I221" i="13" s="1"/>
  <c r="K233" i="14"/>
  <c r="L233" i="14" s="1"/>
  <c r="I234" i="14" s="1"/>
  <c r="N338" i="14"/>
  <c r="J337" i="14" a="1"/>
  <c r="J337" i="14" s="1"/>
  <c r="N339" i="13"/>
  <c r="J338" i="13" a="1"/>
  <c r="J338" i="13" s="1"/>
  <c r="M341" i="13"/>
  <c r="M342" i="14"/>
  <c r="K221" i="13" l="1"/>
  <c r="L221" i="13" s="1"/>
  <c r="I222" i="13" s="1"/>
  <c r="N339" i="14"/>
  <c r="J338" i="14" a="1"/>
  <c r="J338" i="14" s="1"/>
  <c r="K234" i="14"/>
  <c r="L234" i="14" s="1"/>
  <c r="I235" i="14" s="1"/>
  <c r="M343" i="14"/>
  <c r="N340" i="13"/>
  <c r="J339" i="13" a="1"/>
  <c r="J339" i="13" s="1"/>
  <c r="M342" i="13"/>
  <c r="K222" i="13" l="1"/>
  <c r="L222" i="13" s="1"/>
  <c r="I223" i="13" s="1"/>
  <c r="K235" i="14"/>
  <c r="L235" i="14" s="1"/>
  <c r="I236" i="14" s="1"/>
  <c r="N340" i="14"/>
  <c r="J339" i="14" a="1"/>
  <c r="J339" i="14" s="1"/>
  <c r="M343" i="13"/>
  <c r="M344" i="14"/>
  <c r="N341" i="13"/>
  <c r="J340" i="13" a="1"/>
  <c r="J340" i="13" s="1"/>
  <c r="K223" i="13" l="1"/>
  <c r="L223" i="13" s="1"/>
  <c r="I224" i="13" s="1"/>
  <c r="K236" i="14"/>
  <c r="L236" i="14" s="1"/>
  <c r="I237" i="14" s="1"/>
  <c r="N342" i="13"/>
  <c r="J341" i="13" a="1"/>
  <c r="J341" i="13" s="1"/>
  <c r="M344" i="13"/>
  <c r="M345" i="14"/>
  <c r="N341" i="14"/>
  <c r="J340" i="14" a="1"/>
  <c r="J340" i="14" s="1"/>
  <c r="K224" i="13" l="1"/>
  <c r="K237" i="14"/>
  <c r="L237" i="14" s="1"/>
  <c r="I238" i="14" s="1"/>
  <c r="M345" i="13"/>
  <c r="N342" i="14"/>
  <c r="J341" i="14" a="1"/>
  <c r="J341" i="14" s="1"/>
  <c r="M346" i="14"/>
  <c r="N343" i="13"/>
  <c r="J342" i="13" a="1"/>
  <c r="J342" i="13" s="1"/>
  <c r="L224" i="13" l="1"/>
  <c r="I225" i="13" s="1"/>
  <c r="N344" i="13"/>
  <c r="J343" i="13" a="1"/>
  <c r="J343" i="13" s="1"/>
  <c r="M347" i="14"/>
  <c r="M346" i="13"/>
  <c r="N343" i="14"/>
  <c r="J342" i="14" a="1"/>
  <c r="J342" i="14" s="1"/>
  <c r="K238" i="14"/>
  <c r="L238" i="14" s="1"/>
  <c r="I239" i="14" s="1"/>
  <c r="K225" i="13" l="1"/>
  <c r="K239" i="14"/>
  <c r="L239" i="14" s="1"/>
  <c r="I240" i="14" s="1"/>
  <c r="M347" i="13"/>
  <c r="M348" i="14"/>
  <c r="N344" i="14"/>
  <c r="J343" i="14" a="1"/>
  <c r="J343" i="14" s="1"/>
  <c r="N345" i="13"/>
  <c r="J344" i="13" a="1"/>
  <c r="J344" i="13" s="1"/>
  <c r="L225" i="13" l="1"/>
  <c r="I226" i="13" s="1"/>
  <c r="K240" i="14"/>
  <c r="L240" i="14" s="1"/>
  <c r="I241" i="14" s="1"/>
  <c r="N345" i="14"/>
  <c r="J344" i="14" a="1"/>
  <c r="J344" i="14" s="1"/>
  <c r="M348" i="13"/>
  <c r="N346" i="13"/>
  <c r="J345" i="13" a="1"/>
  <c r="J345" i="13" s="1"/>
  <c r="M349" i="14"/>
  <c r="K226" i="13" l="1"/>
  <c r="L226" i="13" s="1"/>
  <c r="I227" i="13" s="1"/>
  <c r="K241" i="14"/>
  <c r="L241" i="14" s="1"/>
  <c r="I242" i="14" s="1"/>
  <c r="N347" i="13"/>
  <c r="J346" i="13" a="1"/>
  <c r="J346" i="13" s="1"/>
  <c r="N346" i="14"/>
  <c r="J345" i="14" a="1"/>
  <c r="J345" i="14" s="1"/>
  <c r="M349" i="13"/>
  <c r="M350" i="14"/>
  <c r="K227" i="13" l="1"/>
  <c r="L227" i="13" s="1"/>
  <c r="I228" i="13" s="1"/>
  <c r="K242" i="14"/>
  <c r="L242" i="14" s="1"/>
  <c r="I243" i="14" s="1"/>
  <c r="M350" i="13"/>
  <c r="M351" i="14"/>
  <c r="N347" i="14"/>
  <c r="J346" i="14" a="1"/>
  <c r="J346" i="14" s="1"/>
  <c r="N348" i="13"/>
  <c r="J347" i="13" a="1"/>
  <c r="J347" i="13" s="1"/>
  <c r="K228" i="13" l="1"/>
  <c r="L228" i="13" s="1"/>
  <c r="I229" i="13" s="1"/>
  <c r="K243" i="14"/>
  <c r="L243" i="14" s="1"/>
  <c r="I244" i="14" s="1"/>
  <c r="M351" i="13"/>
  <c r="M352" i="14"/>
  <c r="N349" i="13"/>
  <c r="J348" i="13" a="1"/>
  <c r="J348" i="13" s="1"/>
  <c r="N348" i="14"/>
  <c r="J347" i="14" a="1"/>
  <c r="J347" i="14" s="1"/>
  <c r="K229" i="13" l="1"/>
  <c r="L229" i="13" s="1"/>
  <c r="I230" i="13" s="1"/>
  <c r="K244" i="14"/>
  <c r="L244" i="14" s="1"/>
  <c r="I245" i="14" s="1"/>
  <c r="M352" i="13"/>
  <c r="M353" i="14"/>
  <c r="N349" i="14"/>
  <c r="J348" i="14" a="1"/>
  <c r="J348" i="14" s="1"/>
  <c r="N350" i="13"/>
  <c r="J349" i="13" a="1"/>
  <c r="J349" i="13" s="1"/>
  <c r="K230" i="13" l="1"/>
  <c r="L230" i="13" s="1"/>
  <c r="I231" i="13" s="1"/>
  <c r="K245" i="14"/>
  <c r="L245" i="14" s="1"/>
  <c r="I246" i="14" s="1"/>
  <c r="M354" i="14"/>
  <c r="M353" i="13"/>
  <c r="N351" i="13"/>
  <c r="J350" i="13" a="1"/>
  <c r="J350" i="13" s="1"/>
  <c r="N350" i="14"/>
  <c r="J349" i="14" a="1"/>
  <c r="J349" i="14" s="1"/>
  <c r="K231" i="13" l="1"/>
  <c r="L231" i="13" s="1"/>
  <c r="I232" i="13" s="1"/>
  <c r="K246" i="14"/>
  <c r="L246" i="14" s="1"/>
  <c r="I247" i="14" s="1"/>
  <c r="M355" i="14"/>
  <c r="M354" i="13"/>
  <c r="N351" i="14"/>
  <c r="J350" i="14" a="1"/>
  <c r="J350" i="14" s="1"/>
  <c r="N352" i="13"/>
  <c r="J351" i="13" a="1"/>
  <c r="J351" i="13" s="1"/>
  <c r="K232" i="13" l="1"/>
  <c r="L232" i="13" s="1"/>
  <c r="I233" i="13" s="1"/>
  <c r="K247" i="14"/>
  <c r="L247" i="14" s="1"/>
  <c r="I248" i="14" s="1"/>
  <c r="M356" i="14"/>
  <c r="M355" i="13"/>
  <c r="N353" i="13"/>
  <c r="J352" i="13" a="1"/>
  <c r="J352" i="13" s="1"/>
  <c r="N352" i="14"/>
  <c r="J351" i="14" a="1"/>
  <c r="J351" i="14" s="1"/>
  <c r="K233" i="13" l="1"/>
  <c r="L233" i="13" s="1"/>
  <c r="I234" i="13" s="1"/>
  <c r="K248" i="14"/>
  <c r="L248" i="14" s="1"/>
  <c r="I249" i="14" s="1"/>
  <c r="M357" i="14"/>
  <c r="M356" i="13"/>
  <c r="N353" i="14"/>
  <c r="J352" i="14" a="1"/>
  <c r="J352" i="14" s="1"/>
  <c r="N354" i="13"/>
  <c r="J353" i="13" a="1"/>
  <c r="J353" i="13" s="1"/>
  <c r="K234" i="13" l="1"/>
  <c r="L234" i="13" s="1"/>
  <c r="I235" i="13" s="1"/>
  <c r="K249" i="14"/>
  <c r="L249" i="14" s="1"/>
  <c r="I250" i="14" s="1"/>
  <c r="M357" i="13"/>
  <c r="N355" i="13"/>
  <c r="J354" i="13" a="1"/>
  <c r="J354" i="13" s="1"/>
  <c r="M358" i="14"/>
  <c r="N354" i="14"/>
  <c r="J353" i="14" a="1"/>
  <c r="J353" i="14" s="1"/>
  <c r="K235" i="13" l="1"/>
  <c r="L235" i="13" s="1"/>
  <c r="I236" i="13" s="1"/>
  <c r="N356" i="13"/>
  <c r="J355" i="13" a="1"/>
  <c r="J355" i="13" s="1"/>
  <c r="N355" i="14"/>
  <c r="J354" i="14" a="1"/>
  <c r="J354" i="14" s="1"/>
  <c r="M359" i="14"/>
  <c r="M358" i="13"/>
  <c r="K250" i="14"/>
  <c r="L250" i="14" s="1"/>
  <c r="I251" i="14" s="1"/>
  <c r="K236" i="13" l="1"/>
  <c r="K251" i="14"/>
  <c r="L251" i="14" s="1"/>
  <c r="I252" i="14" s="1"/>
  <c r="N357" i="13"/>
  <c r="J356" i="13" a="1"/>
  <c r="J356" i="13" s="1"/>
  <c r="M360" i="14"/>
  <c r="M359" i="13"/>
  <c r="N356" i="14"/>
  <c r="J355" i="14" a="1"/>
  <c r="J355" i="14" s="1"/>
  <c r="L236" i="13" l="1"/>
  <c r="I237" i="13" s="1"/>
  <c r="K252" i="14"/>
  <c r="L252" i="14" s="1"/>
  <c r="I253" i="14" s="1"/>
  <c r="N358" i="13"/>
  <c r="J357" i="13" a="1"/>
  <c r="J357" i="13" s="1"/>
  <c r="N357" i="14"/>
  <c r="J356" i="14" a="1"/>
  <c r="J356" i="14" s="1"/>
  <c r="M360" i="13"/>
  <c r="M361" i="14"/>
  <c r="K237" i="13" l="1"/>
  <c r="K253" i="14"/>
  <c r="L253" i="14" s="1"/>
  <c r="I254" i="14" s="1"/>
  <c r="M361" i="13"/>
  <c r="N359" i="13"/>
  <c r="J358" i="13" a="1"/>
  <c r="J358" i="13" s="1"/>
  <c r="N358" i="14"/>
  <c r="J357" i="14" a="1"/>
  <c r="J357" i="14" s="1"/>
  <c r="M362" i="14"/>
  <c r="L237" i="13" l="1"/>
  <c r="I238" i="13" s="1"/>
  <c r="K254" i="14"/>
  <c r="L254" i="14" s="1"/>
  <c r="I255" i="14" s="1"/>
  <c r="N360" i="13"/>
  <c r="J359" i="13" a="1"/>
  <c r="J359" i="13" s="1"/>
  <c r="N359" i="14"/>
  <c r="J358" i="14" a="1"/>
  <c r="J358" i="14" s="1"/>
  <c r="M363" i="14"/>
  <c r="M362" i="13"/>
  <c r="K238" i="13" l="1"/>
  <c r="L238" i="13" s="1"/>
  <c r="I239" i="13" s="1"/>
  <c r="K255" i="14"/>
  <c r="L255" i="14" s="1"/>
  <c r="I256" i="14" s="1"/>
  <c r="N360" i="14"/>
  <c r="J359" i="14" a="1"/>
  <c r="J359" i="14" s="1"/>
  <c r="M363" i="13"/>
  <c r="M364" i="14"/>
  <c r="N361" i="13"/>
  <c r="J360" i="13" a="1"/>
  <c r="J360" i="13" s="1"/>
  <c r="K239" i="13" l="1"/>
  <c r="L239" i="13" s="1"/>
  <c r="I240" i="13" s="1"/>
  <c r="K256" i="14"/>
  <c r="L256" i="14" s="1"/>
  <c r="I257" i="14" s="1"/>
  <c r="N362" i="13"/>
  <c r="J361" i="13" a="1"/>
  <c r="J361" i="13" s="1"/>
  <c r="M364" i="13"/>
  <c r="M365" i="14"/>
  <c r="N361" i="14"/>
  <c r="J360" i="14" a="1"/>
  <c r="J360" i="14" s="1"/>
  <c r="K240" i="13" l="1"/>
  <c r="L240" i="13" s="1"/>
  <c r="I241" i="13" s="1"/>
  <c r="K257" i="14"/>
  <c r="L257" i="14" s="1"/>
  <c r="I258" i="14" s="1"/>
  <c r="N362" i="14"/>
  <c r="J361" i="14" a="1"/>
  <c r="J361" i="14" s="1"/>
  <c r="M365" i="13"/>
  <c r="M366" i="14"/>
  <c r="N363" i="13"/>
  <c r="J362" i="13" a="1"/>
  <c r="J362" i="13" s="1"/>
  <c r="K241" i="13" l="1"/>
  <c r="L241" i="13" s="1"/>
  <c r="I242" i="13" s="1"/>
  <c r="K258" i="14"/>
  <c r="L258" i="14" s="1"/>
  <c r="I259" i="14" s="1"/>
  <c r="M366" i="13"/>
  <c r="N364" i="13"/>
  <c r="J363" i="13" a="1"/>
  <c r="J363" i="13" s="1"/>
  <c r="M367" i="14"/>
  <c r="N363" i="14"/>
  <c r="J362" i="14" a="1"/>
  <c r="J362" i="14" s="1"/>
  <c r="K242" i="13" l="1"/>
  <c r="L242" i="13" s="1"/>
  <c r="I243" i="13" s="1"/>
  <c r="K259" i="14"/>
  <c r="L259" i="14" s="1"/>
  <c r="I260" i="14" s="1"/>
  <c r="N364" i="14"/>
  <c r="J363" i="14" a="1"/>
  <c r="J363" i="14" s="1"/>
  <c r="N365" i="13"/>
  <c r="J364" i="13" a="1"/>
  <c r="J364" i="13" s="1"/>
  <c r="M368" i="14"/>
  <c r="M367" i="13"/>
  <c r="K243" i="13" l="1"/>
  <c r="L243" i="13" s="1"/>
  <c r="I244" i="13" s="1"/>
  <c r="K260" i="14"/>
  <c r="L260" i="14" s="1"/>
  <c r="I261" i="14" s="1"/>
  <c r="M368" i="13"/>
  <c r="N366" i="13"/>
  <c r="J365" i="13" a="1"/>
  <c r="J365" i="13" s="1"/>
  <c r="M369" i="14"/>
  <c r="N365" i="14"/>
  <c r="J364" i="14" a="1"/>
  <c r="J364" i="14" s="1"/>
  <c r="K244" i="13" l="1"/>
  <c r="L244" i="13" s="1"/>
  <c r="I245" i="13" s="1"/>
  <c r="N366" i="14"/>
  <c r="J365" i="14" a="1"/>
  <c r="J365" i="14" s="1"/>
  <c r="N367" i="13"/>
  <c r="J366" i="13" a="1"/>
  <c r="J366" i="13" s="1"/>
  <c r="M370" i="14"/>
  <c r="M369" i="13"/>
  <c r="K261" i="14"/>
  <c r="L261" i="14" s="1"/>
  <c r="I262" i="14" s="1"/>
  <c r="K245" i="13" l="1"/>
  <c r="L245" i="13" s="1"/>
  <c r="I246" i="13" s="1"/>
  <c r="K262" i="14"/>
  <c r="M371" i="14"/>
  <c r="N367" i="14"/>
  <c r="J366" i="14" a="1"/>
  <c r="J366" i="14" s="1"/>
  <c r="M370" i="13"/>
  <c r="N368" i="13"/>
  <c r="J367" i="13" a="1"/>
  <c r="J367" i="13" s="1"/>
  <c r="K246" i="13" l="1"/>
  <c r="L246" i="13" s="1"/>
  <c r="I247" i="13" s="1"/>
  <c r="N368" i="14"/>
  <c r="J367" i="14" a="1"/>
  <c r="J367" i="14" s="1"/>
  <c r="L262" i="14"/>
  <c r="I263" i="14" s="1"/>
  <c r="M371" i="13"/>
  <c r="N369" i="13"/>
  <c r="J368" i="13" a="1"/>
  <c r="J368" i="13" s="1"/>
  <c r="M372" i="14"/>
  <c r="K247" i="13" l="1"/>
  <c r="L247" i="13" s="1"/>
  <c r="I248" i="13" s="1"/>
  <c r="N370" i="13"/>
  <c r="J369" i="13" a="1"/>
  <c r="J369" i="13" s="1"/>
  <c r="M373" i="14"/>
  <c r="M372" i="13"/>
  <c r="N369" i="14"/>
  <c r="J368" i="14" a="1"/>
  <c r="J368" i="14" s="1"/>
  <c r="K263" i="14"/>
  <c r="L263" i="14" s="1"/>
  <c r="I264" i="14" s="1"/>
  <c r="K248" i="13" l="1"/>
  <c r="N371" i="13"/>
  <c r="J370" i="13" a="1"/>
  <c r="J370" i="13" s="1"/>
  <c r="K264" i="14"/>
  <c r="L264" i="14" s="1"/>
  <c r="I265" i="14" s="1"/>
  <c r="M373" i="13"/>
  <c r="M374" i="14"/>
  <c r="N370" i="14"/>
  <c r="J369" i="14" a="1"/>
  <c r="J369" i="14" s="1"/>
  <c r="L248" i="13" l="1"/>
  <c r="I249" i="13" s="1"/>
  <c r="K265" i="14"/>
  <c r="L265" i="14" s="1"/>
  <c r="I266" i="14" s="1"/>
  <c r="N371" i="14"/>
  <c r="J370" i="14" a="1"/>
  <c r="J370" i="14" s="1"/>
  <c r="M375" i="14"/>
  <c r="M374" i="13"/>
  <c r="N372" i="13"/>
  <c r="J371" i="13" a="1"/>
  <c r="J371" i="13" s="1"/>
  <c r="K249" i="13" l="1"/>
  <c r="K266" i="14"/>
  <c r="L266" i="14" s="1"/>
  <c r="I267" i="14" s="1"/>
  <c r="M375" i="13"/>
  <c r="N373" i="13"/>
  <c r="J372" i="13" a="1"/>
  <c r="J372" i="13" s="1"/>
  <c r="N372" i="14"/>
  <c r="J371" i="14" a="1"/>
  <c r="J371" i="14" s="1"/>
  <c r="M376" i="14"/>
  <c r="L249" i="13" l="1"/>
  <c r="I250" i="13" s="1"/>
  <c r="K267" i="14"/>
  <c r="L267" i="14" s="1"/>
  <c r="I268" i="14" s="1"/>
  <c r="M376" i="13"/>
  <c r="M377" i="14"/>
  <c r="N373" i="14"/>
  <c r="J372" i="14" a="1"/>
  <c r="J372" i="14" s="1"/>
  <c r="N374" i="13"/>
  <c r="J373" i="13" a="1"/>
  <c r="J373" i="13" s="1"/>
  <c r="K250" i="13" l="1"/>
  <c r="L250" i="13" s="1"/>
  <c r="I251" i="13" s="1"/>
  <c r="K268" i="14"/>
  <c r="L268" i="14" s="1"/>
  <c r="I269" i="14" s="1"/>
  <c r="M377" i="13"/>
  <c r="N375" i="13"/>
  <c r="J374" i="13" a="1"/>
  <c r="J374" i="13" s="1"/>
  <c r="N374" i="14"/>
  <c r="J373" i="14" a="1"/>
  <c r="J373" i="14" s="1"/>
  <c r="M378" i="14"/>
  <c r="K251" i="13" l="1"/>
  <c r="L251" i="13" s="1"/>
  <c r="I252" i="13" s="1"/>
  <c r="K269" i="14"/>
  <c r="L269" i="14" s="1"/>
  <c r="I270" i="14" s="1"/>
  <c r="N376" i="13"/>
  <c r="J375" i="13" a="1"/>
  <c r="J375" i="13" s="1"/>
  <c r="M379" i="14"/>
  <c r="M378" i="13"/>
  <c r="N375" i="14"/>
  <c r="J374" i="14" a="1"/>
  <c r="J374" i="14" s="1"/>
  <c r="K252" i="13" l="1"/>
  <c r="L252" i="13" s="1"/>
  <c r="I253" i="13" s="1"/>
  <c r="K270" i="14"/>
  <c r="L270" i="14" s="1"/>
  <c r="I271" i="14" s="1"/>
  <c r="N377" i="13"/>
  <c r="J376" i="13" a="1"/>
  <c r="J376" i="13" s="1"/>
  <c r="M379" i="13"/>
  <c r="M380" i="14"/>
  <c r="N376" i="14"/>
  <c r="J375" i="14" a="1"/>
  <c r="J375" i="14" s="1"/>
  <c r="K253" i="13" l="1"/>
  <c r="L253" i="13" s="1"/>
  <c r="I254" i="13" s="1"/>
  <c r="K271" i="14"/>
  <c r="L271" i="14" s="1"/>
  <c r="I272" i="14" s="1"/>
  <c r="N378" i="13"/>
  <c r="J377" i="13" a="1"/>
  <c r="J377" i="13" s="1"/>
  <c r="M380" i="13"/>
  <c r="N377" i="14"/>
  <c r="J376" i="14" a="1"/>
  <c r="J376" i="14" s="1"/>
  <c r="M381" i="14"/>
  <c r="K254" i="13" l="1"/>
  <c r="L254" i="13" s="1"/>
  <c r="I255" i="13" s="1"/>
  <c r="K272" i="14"/>
  <c r="N378" i="14"/>
  <c r="J377" i="14" a="1"/>
  <c r="J377" i="14" s="1"/>
  <c r="M382" i="14"/>
  <c r="N379" i="13"/>
  <c r="J378" i="13" a="1"/>
  <c r="J378" i="13" s="1"/>
  <c r="M381" i="13"/>
  <c r="K255" i="13" l="1"/>
  <c r="L255" i="13" s="1"/>
  <c r="I256" i="13" s="1"/>
  <c r="M382" i="13"/>
  <c r="M383" i="14"/>
  <c r="L272" i="14"/>
  <c r="I273" i="14" s="1"/>
  <c r="N380" i="13"/>
  <c r="J379" i="13" a="1"/>
  <c r="J379" i="13" s="1"/>
  <c r="N379" i="14"/>
  <c r="J378" i="14" a="1"/>
  <c r="J378" i="14" s="1"/>
  <c r="K256" i="13" l="1"/>
  <c r="L256" i="13" s="1"/>
  <c r="I257" i="13" s="1"/>
  <c r="N380" i="14"/>
  <c r="J379" i="14" a="1"/>
  <c r="J379" i="14" s="1"/>
  <c r="M384" i="14"/>
  <c r="K273" i="14"/>
  <c r="M383" i="13"/>
  <c r="N381" i="13"/>
  <c r="J380" i="13" a="1"/>
  <c r="J380" i="13" s="1"/>
  <c r="K257" i="13" l="1"/>
  <c r="L257" i="13" s="1"/>
  <c r="I258" i="13" s="1"/>
  <c r="N381" i="14"/>
  <c r="J380" i="14" a="1"/>
  <c r="J380" i="14" s="1"/>
  <c r="M384" i="13"/>
  <c r="M385" i="14"/>
  <c r="N382" i="13"/>
  <c r="J381" i="13" a="1"/>
  <c r="J381" i="13" s="1"/>
  <c r="L273" i="14"/>
  <c r="I274" i="14" s="1"/>
  <c r="K258" i="13" l="1"/>
  <c r="L258" i="13" s="1"/>
  <c r="I259" i="13" s="1"/>
  <c r="N382" i="14"/>
  <c r="J381" i="14" a="1"/>
  <c r="J381" i="14" s="1"/>
  <c r="N383" i="13"/>
  <c r="J382" i="13" a="1"/>
  <c r="J382" i="13" s="1"/>
  <c r="M385" i="13"/>
  <c r="K274" i="14"/>
  <c r="L274" i="14" s="1"/>
  <c r="I275" i="14" s="1"/>
  <c r="M386" i="14"/>
  <c r="K259" i="13" l="1"/>
  <c r="L259" i="13" s="1"/>
  <c r="I260" i="13" s="1"/>
  <c r="K275" i="14"/>
  <c r="L275" i="14" s="1"/>
  <c r="I276" i="14" s="1"/>
  <c r="N383" i="14"/>
  <c r="J382" i="14" a="1"/>
  <c r="J382" i="14" s="1"/>
  <c r="N384" i="13"/>
  <c r="J383" i="13" a="1"/>
  <c r="J383" i="13" s="1"/>
  <c r="M387" i="14"/>
  <c r="M386" i="13"/>
  <c r="K260" i="13" l="1"/>
  <c r="L260" i="13" s="1"/>
  <c r="I261" i="13" s="1"/>
  <c r="K276" i="14"/>
  <c r="L276" i="14" s="1"/>
  <c r="I277" i="14" s="1"/>
  <c r="N385" i="13"/>
  <c r="J384" i="13" a="1"/>
  <c r="J384" i="13" s="1"/>
  <c r="M388" i="14"/>
  <c r="N384" i="14"/>
  <c r="J383" i="14" a="1"/>
  <c r="J383" i="14" s="1"/>
  <c r="M387" i="13"/>
  <c r="K261" i="13" l="1"/>
  <c r="L261" i="13" s="1"/>
  <c r="I262" i="13" s="1"/>
  <c r="K277" i="14"/>
  <c r="L277" i="14" s="1"/>
  <c r="I278" i="14" s="1"/>
  <c r="M388" i="13"/>
  <c r="M389" i="14"/>
  <c r="N385" i="14"/>
  <c r="J384" i="14" a="1"/>
  <c r="J384" i="14" s="1"/>
  <c r="N386" i="13"/>
  <c r="J385" i="13" a="1"/>
  <c r="J385" i="13" s="1"/>
  <c r="K262" i="13" l="1"/>
  <c r="K278" i="14"/>
  <c r="L278" i="14" s="1"/>
  <c r="I279" i="14" s="1"/>
  <c r="M390" i="14"/>
  <c r="N387" i="13"/>
  <c r="J386" i="13" a="1"/>
  <c r="J386" i="13" s="1"/>
  <c r="M389" i="13"/>
  <c r="N386" i="14"/>
  <c r="J385" i="14" a="1"/>
  <c r="J385" i="14" s="1"/>
  <c r="L262" i="13" l="1"/>
  <c r="I263" i="13" s="1"/>
  <c r="K279" i="14"/>
  <c r="L279" i="14" s="1"/>
  <c r="I280" i="14" s="1"/>
  <c r="N387" i="14"/>
  <c r="J386" i="14" a="1"/>
  <c r="J386" i="14" s="1"/>
  <c r="M391" i="14"/>
  <c r="M390" i="13"/>
  <c r="N388" i="13"/>
  <c r="J387" i="13" a="1"/>
  <c r="J387" i="13" s="1"/>
  <c r="K263" i="13" l="1"/>
  <c r="L263" i="13" s="1"/>
  <c r="I264" i="13" s="1"/>
  <c r="K280" i="14"/>
  <c r="L280" i="14" s="1"/>
  <c r="I281" i="14" s="1"/>
  <c r="M392" i="14"/>
  <c r="N389" i="13"/>
  <c r="J388" i="13" a="1"/>
  <c r="J388" i="13" s="1"/>
  <c r="N388" i="14"/>
  <c r="J387" i="14" a="1"/>
  <c r="J387" i="14" s="1"/>
  <c r="M391" i="13"/>
  <c r="K264" i="13" l="1"/>
  <c r="L264" i="13" s="1"/>
  <c r="I265" i="13" s="1"/>
  <c r="K281" i="14"/>
  <c r="L281" i="14" s="1"/>
  <c r="I282" i="14" s="1"/>
  <c r="N389" i="14"/>
  <c r="J388" i="14" a="1"/>
  <c r="J388" i="14" s="1"/>
  <c r="M393" i="14"/>
  <c r="M392" i="13"/>
  <c r="N390" i="13"/>
  <c r="J389" i="13" a="1"/>
  <c r="J389" i="13" s="1"/>
  <c r="K265" i="13" l="1"/>
  <c r="L265" i="13" s="1"/>
  <c r="I266" i="13" s="1"/>
  <c r="K282" i="14"/>
  <c r="L282" i="14" s="1"/>
  <c r="I283" i="14" s="1"/>
  <c r="M394" i="14"/>
  <c r="N391" i="13"/>
  <c r="J390" i="13" a="1"/>
  <c r="J390" i="13" s="1"/>
  <c r="M393" i="13"/>
  <c r="N390" i="14"/>
  <c r="J389" i="14" a="1"/>
  <c r="J389" i="14" s="1"/>
  <c r="K266" i="13" l="1"/>
  <c r="L266" i="13" s="1"/>
  <c r="I267" i="13" s="1"/>
  <c r="K283" i="14"/>
  <c r="L283" i="14" s="1"/>
  <c r="I284" i="14" s="1"/>
  <c r="N391" i="14"/>
  <c r="J390" i="14" a="1"/>
  <c r="J390" i="14" s="1"/>
  <c r="N392" i="13"/>
  <c r="J391" i="13" a="1"/>
  <c r="J391" i="13" s="1"/>
  <c r="M394" i="13"/>
  <c r="M395" i="14"/>
  <c r="K267" i="13" l="1"/>
  <c r="L267" i="13" s="1"/>
  <c r="I268" i="13" s="1"/>
  <c r="K284" i="14"/>
  <c r="M396" i="14"/>
  <c r="N393" i="13"/>
  <c r="J392" i="13" a="1"/>
  <c r="J392" i="13" s="1"/>
  <c r="M395" i="13"/>
  <c r="N392" i="14"/>
  <c r="J391" i="14" a="1"/>
  <c r="J391" i="14" s="1"/>
  <c r="K268" i="13" l="1"/>
  <c r="L268" i="13" s="1"/>
  <c r="I269" i="13" s="1"/>
  <c r="N393" i="14"/>
  <c r="J392" i="14" a="1"/>
  <c r="J392" i="14" s="1"/>
  <c r="N394" i="13"/>
  <c r="J393" i="13" a="1"/>
  <c r="J393" i="13" s="1"/>
  <c r="M396" i="13"/>
  <c r="M397" i="14"/>
  <c r="L284" i="14"/>
  <c r="I285" i="14" s="1"/>
  <c r="K269" i="13" l="1"/>
  <c r="L269" i="13" s="1"/>
  <c r="I270" i="13" s="1"/>
  <c r="M398" i="14"/>
  <c r="N395" i="13"/>
  <c r="J394" i="13" a="1"/>
  <c r="J394" i="13" s="1"/>
  <c r="M397" i="13"/>
  <c r="K285" i="14"/>
  <c r="N394" i="14"/>
  <c r="J393" i="14" a="1"/>
  <c r="J393" i="14" s="1"/>
  <c r="K270" i="13" l="1"/>
  <c r="L270" i="13" s="1"/>
  <c r="I271" i="13" s="1"/>
  <c r="N395" i="14"/>
  <c r="J394" i="14" a="1"/>
  <c r="J394" i="14" s="1"/>
  <c r="M399" i="14"/>
  <c r="L285" i="14"/>
  <c r="I286" i="14" s="1"/>
  <c r="N396" i="13"/>
  <c r="J395" i="13" a="1"/>
  <c r="J395" i="13" s="1"/>
  <c r="M398" i="13"/>
  <c r="K271" i="13" l="1"/>
  <c r="L271" i="13" s="1"/>
  <c r="I272" i="13" s="1"/>
  <c r="M400" i="14"/>
  <c r="N397" i="13"/>
  <c r="J396" i="13" a="1"/>
  <c r="J396" i="13" s="1"/>
  <c r="N396" i="14"/>
  <c r="J395" i="14" a="1"/>
  <c r="J395" i="14" s="1"/>
  <c r="M399" i="13"/>
  <c r="K286" i="14"/>
  <c r="L286" i="14" s="1"/>
  <c r="I287" i="14" s="1"/>
  <c r="K272" i="13" l="1"/>
  <c r="K287" i="14"/>
  <c r="L287" i="14" s="1"/>
  <c r="I288" i="14" s="1"/>
  <c r="M401" i="14"/>
  <c r="M400" i="13"/>
  <c r="N397" i="14"/>
  <c r="J396" i="14" a="1"/>
  <c r="J396" i="14" s="1"/>
  <c r="N398" i="13"/>
  <c r="J397" i="13" a="1"/>
  <c r="J397" i="13" s="1"/>
  <c r="L272" i="13" l="1"/>
  <c r="I273" i="13" s="1"/>
  <c r="K288" i="14"/>
  <c r="L288" i="14" s="1"/>
  <c r="I289" i="14" s="1"/>
  <c r="M402" i="14"/>
  <c r="N398" i="14"/>
  <c r="J397" i="14" a="1"/>
  <c r="J397" i="14" s="1"/>
  <c r="N399" i="13"/>
  <c r="J398" i="13" a="1"/>
  <c r="J398" i="13" s="1"/>
  <c r="M401" i="13"/>
  <c r="K273" i="13" l="1"/>
  <c r="M402" i="13"/>
  <c r="M403" i="14"/>
  <c r="N400" i="13"/>
  <c r="J399" i="13" a="1"/>
  <c r="J399" i="13" s="1"/>
  <c r="N399" i="14"/>
  <c r="J398" i="14" a="1"/>
  <c r="J398" i="14" s="1"/>
  <c r="K289" i="14"/>
  <c r="L289" i="14" s="1"/>
  <c r="I290" i="14" s="1"/>
  <c r="L273" i="13" l="1"/>
  <c r="I274" i="13" s="1"/>
  <c r="K290" i="14"/>
  <c r="L290" i="14" s="1"/>
  <c r="I291" i="14" s="1"/>
  <c r="N401" i="13"/>
  <c r="J400" i="13" a="1"/>
  <c r="J400" i="13" s="1"/>
  <c r="M403" i="13"/>
  <c r="N400" i="14"/>
  <c r="J399" i="14" a="1"/>
  <c r="J399" i="14" s="1"/>
  <c r="M404" i="14"/>
  <c r="K274" i="13" l="1"/>
  <c r="L274" i="13" s="1"/>
  <c r="I275" i="13" s="1"/>
  <c r="K291" i="14"/>
  <c r="L291" i="14" s="1"/>
  <c r="I292" i="14" s="1"/>
  <c r="M405" i="14"/>
  <c r="M404" i="13"/>
  <c r="N402" i="13"/>
  <c r="J401" i="13" a="1"/>
  <c r="J401" i="13" s="1"/>
  <c r="N401" i="14"/>
  <c r="J400" i="14" a="1"/>
  <c r="J400" i="14" s="1"/>
  <c r="K275" i="13" l="1"/>
  <c r="L275" i="13" s="1"/>
  <c r="I276" i="13" s="1"/>
  <c r="K292" i="14"/>
  <c r="L292" i="14" s="1"/>
  <c r="I293" i="14" s="1"/>
  <c r="N402" i="14"/>
  <c r="J401" i="14" a="1"/>
  <c r="J401" i="14" s="1"/>
  <c r="M406" i="14"/>
  <c r="M405" i="13"/>
  <c r="N403" i="13"/>
  <c r="J402" i="13" a="1"/>
  <c r="J402" i="13" s="1"/>
  <c r="K276" i="13" l="1"/>
  <c r="L276" i="13" s="1"/>
  <c r="I277" i="13" s="1"/>
  <c r="K293" i="14"/>
  <c r="L293" i="14" s="1"/>
  <c r="I294" i="14" s="1"/>
  <c r="M406" i="13"/>
  <c r="N403" i="14"/>
  <c r="J402" i="14" a="1"/>
  <c r="J402" i="14" s="1"/>
  <c r="M407" i="14"/>
  <c r="N404" i="13"/>
  <c r="J403" i="13" a="1"/>
  <c r="J403" i="13" s="1"/>
  <c r="K277" i="13" l="1"/>
  <c r="L277" i="13" s="1"/>
  <c r="I278" i="13" s="1"/>
  <c r="K294" i="14"/>
  <c r="L294" i="14" s="1"/>
  <c r="I295" i="14" s="1"/>
  <c r="N405" i="13"/>
  <c r="J404" i="13" a="1"/>
  <c r="J404" i="13" s="1"/>
  <c r="N404" i="14"/>
  <c r="J403" i="14" a="1"/>
  <c r="J403" i="14" s="1"/>
  <c r="M408" i="14"/>
  <c r="M407" i="13"/>
  <c r="K278" i="13" l="1"/>
  <c r="L278" i="13" s="1"/>
  <c r="I279" i="13" s="1"/>
  <c r="K295" i="14"/>
  <c r="L295" i="14" s="1"/>
  <c r="I296" i="14" s="1"/>
  <c r="N405" i="14"/>
  <c r="J404" i="14" a="1"/>
  <c r="J404" i="14" s="1"/>
  <c r="M408" i="13"/>
  <c r="M409" i="14"/>
  <c r="N406" i="13"/>
  <c r="J405" i="13" a="1"/>
  <c r="J405" i="13" s="1"/>
  <c r="K279" i="13" l="1"/>
  <c r="L279" i="13" s="1"/>
  <c r="I280" i="13" s="1"/>
  <c r="K296" i="14"/>
  <c r="N407" i="13"/>
  <c r="J406" i="13" a="1"/>
  <c r="J406" i="13" s="1"/>
  <c r="N406" i="14"/>
  <c r="J405" i="14" a="1"/>
  <c r="J405" i="14" s="1"/>
  <c r="M410" i="14"/>
  <c r="M409" i="13"/>
  <c r="K280" i="13" l="1"/>
  <c r="L280" i="13" s="1"/>
  <c r="I281" i="13" s="1"/>
  <c r="M411" i="14"/>
  <c r="N408" i="13"/>
  <c r="J407" i="13" a="1"/>
  <c r="J407" i="13" s="1"/>
  <c r="N407" i="14"/>
  <c r="J406" i="14" a="1"/>
  <c r="J406" i="14" s="1"/>
  <c r="M410" i="13"/>
  <c r="L296" i="14"/>
  <c r="I297" i="14" s="1"/>
  <c r="K281" i="13" l="1"/>
  <c r="L281" i="13" s="1"/>
  <c r="I282" i="13" s="1"/>
  <c r="K297" i="14"/>
  <c r="M411" i="13"/>
  <c r="N408" i="14"/>
  <c r="J407" i="14" a="1"/>
  <c r="J407" i="14" s="1"/>
  <c r="N409" i="13"/>
  <c r="J408" i="13" a="1"/>
  <c r="J408" i="13" s="1"/>
  <c r="M412" i="14"/>
  <c r="K282" i="13" l="1"/>
  <c r="L282" i="13" s="1"/>
  <c r="I283" i="13" s="1"/>
  <c r="M412" i="13"/>
  <c r="M413" i="14"/>
  <c r="N410" i="13"/>
  <c r="J409" i="13" a="1"/>
  <c r="J409" i="13" s="1"/>
  <c r="N409" i="14"/>
  <c r="J408" i="14" a="1"/>
  <c r="J408" i="14" s="1"/>
  <c r="L297" i="14"/>
  <c r="I298" i="14" s="1"/>
  <c r="K283" i="13" l="1"/>
  <c r="L283" i="13" s="1"/>
  <c r="I284" i="13" s="1"/>
  <c r="N411" i="13"/>
  <c r="J410" i="13" a="1"/>
  <c r="J410" i="13" s="1"/>
  <c r="M413" i="13"/>
  <c r="N410" i="14"/>
  <c r="J409" i="14" a="1"/>
  <c r="J409" i="14" s="1"/>
  <c r="M414" i="14"/>
  <c r="K298" i="14"/>
  <c r="L298" i="14" s="1"/>
  <c r="I299" i="14" s="1"/>
  <c r="K284" i="13" l="1"/>
  <c r="K299" i="14"/>
  <c r="L299" i="14" s="1"/>
  <c r="I300" i="14" s="1"/>
  <c r="N411" i="14"/>
  <c r="J410" i="14" a="1"/>
  <c r="J410" i="14" s="1"/>
  <c r="N412" i="13"/>
  <c r="J411" i="13" a="1"/>
  <c r="J411" i="13" s="1"/>
  <c r="M415" i="14"/>
  <c r="M414" i="13"/>
  <c r="L284" i="13" l="1"/>
  <c r="I285" i="13" s="1"/>
  <c r="K300" i="14"/>
  <c r="L300" i="14" s="1"/>
  <c r="I301" i="14" s="1"/>
  <c r="N412" i="14"/>
  <c r="J411" i="14" a="1"/>
  <c r="J411" i="14" s="1"/>
  <c r="M415" i="13"/>
  <c r="N413" i="13"/>
  <c r="J412" i="13" a="1"/>
  <c r="J412" i="13" s="1"/>
  <c r="M416" i="14"/>
  <c r="K285" i="13" l="1"/>
  <c r="L285" i="13" s="1"/>
  <c r="I286" i="13" s="1"/>
  <c r="K301" i="14"/>
  <c r="L301" i="14" s="1"/>
  <c r="I302" i="14" s="1"/>
  <c r="M417" i="14"/>
  <c r="M416" i="13"/>
  <c r="N414" i="13"/>
  <c r="J413" i="13" a="1"/>
  <c r="J413" i="13" s="1"/>
  <c r="N413" i="14"/>
  <c r="J412" i="14" a="1"/>
  <c r="J412" i="14" s="1"/>
  <c r="K286" i="13" l="1"/>
  <c r="L286" i="13" s="1"/>
  <c r="I287" i="13" s="1"/>
  <c r="K302" i="14"/>
  <c r="L302" i="14" s="1"/>
  <c r="I303" i="14" s="1"/>
  <c r="M417" i="13"/>
  <c r="M418" i="14"/>
  <c r="N414" i="14"/>
  <c r="J413" i="14" a="1"/>
  <c r="J413" i="14" s="1"/>
  <c r="N415" i="13"/>
  <c r="J414" i="13" a="1"/>
  <c r="J414" i="13" s="1"/>
  <c r="K287" i="13" l="1"/>
  <c r="L287" i="13" s="1"/>
  <c r="I288" i="13" s="1"/>
  <c r="M418" i="13"/>
  <c r="N415" i="14"/>
  <c r="J414" i="14" a="1"/>
  <c r="J414" i="14" s="1"/>
  <c r="M419" i="14"/>
  <c r="N416" i="13"/>
  <c r="J415" i="13" a="1"/>
  <c r="J415" i="13" s="1"/>
  <c r="K303" i="14"/>
  <c r="L303" i="14" s="1"/>
  <c r="I304" i="14" s="1"/>
  <c r="K288" i="13" l="1"/>
  <c r="L288" i="13" s="1"/>
  <c r="I289" i="13" s="1"/>
  <c r="K304" i="14"/>
  <c r="L304" i="14" s="1"/>
  <c r="I305" i="14" s="1"/>
  <c r="M420" i="14"/>
  <c r="M419" i="13"/>
  <c r="N417" i="13"/>
  <c r="J416" i="13" a="1"/>
  <c r="J416" i="13" s="1"/>
  <c r="N416" i="14"/>
  <c r="J415" i="14" a="1"/>
  <c r="J415" i="14" s="1"/>
  <c r="K289" i="13" l="1"/>
  <c r="L289" i="13" s="1"/>
  <c r="I290" i="13" s="1"/>
  <c r="K305" i="14"/>
  <c r="L305" i="14" s="1"/>
  <c r="I306" i="14" s="1"/>
  <c r="M420" i="13"/>
  <c r="N417" i="14"/>
  <c r="J416" i="14" a="1"/>
  <c r="J416" i="14" s="1"/>
  <c r="M421" i="14"/>
  <c r="N418" i="13"/>
  <c r="J417" i="13" a="1"/>
  <c r="J417" i="13" s="1"/>
  <c r="K290" i="13" l="1"/>
  <c r="L290" i="13" s="1"/>
  <c r="I291" i="13" s="1"/>
  <c r="K306" i="14"/>
  <c r="L306" i="14" s="1"/>
  <c r="I307" i="14" s="1"/>
  <c r="N419" i="13"/>
  <c r="J418" i="13" a="1"/>
  <c r="J418" i="13" s="1"/>
  <c r="M422" i="14"/>
  <c r="N418" i="14"/>
  <c r="J417" i="14" a="1"/>
  <c r="J417" i="14" s="1"/>
  <c r="M421" i="13"/>
  <c r="K291" i="13" l="1"/>
  <c r="L291" i="13" s="1"/>
  <c r="I292" i="13" s="1"/>
  <c r="M422" i="13"/>
  <c r="K307" i="14"/>
  <c r="L307" i="14" s="1"/>
  <c r="I308" i="14" s="1"/>
  <c r="N419" i="14"/>
  <c r="J418" i="14" a="1"/>
  <c r="J418" i="14" s="1"/>
  <c r="N420" i="13"/>
  <c r="J419" i="13" a="1"/>
  <c r="J419" i="13" s="1"/>
  <c r="M423" i="14"/>
  <c r="K292" i="13" l="1"/>
  <c r="L292" i="13" s="1"/>
  <c r="I293" i="13" s="1"/>
  <c r="K308" i="14"/>
  <c r="L308" i="14" s="1"/>
  <c r="I309" i="14" s="1"/>
  <c r="M424" i="14"/>
  <c r="N420" i="14"/>
  <c r="J419" i="14" a="1"/>
  <c r="J419" i="14" s="1"/>
  <c r="M423" i="13"/>
  <c r="N421" i="13"/>
  <c r="J420" i="13" a="1"/>
  <c r="J420" i="13" s="1"/>
  <c r="K293" i="13" l="1"/>
  <c r="L293" i="13" s="1"/>
  <c r="I294" i="13" s="1"/>
  <c r="K309" i="14"/>
  <c r="L309" i="14" s="1"/>
  <c r="I310" i="14" s="1"/>
  <c r="N422" i="13"/>
  <c r="J421" i="13" a="1"/>
  <c r="J421" i="13" s="1"/>
  <c r="M424" i="13"/>
  <c r="N421" i="14"/>
  <c r="J420" i="14" a="1"/>
  <c r="J420" i="14" s="1"/>
  <c r="M425" i="14"/>
  <c r="K294" i="13" l="1"/>
  <c r="L294" i="13" s="1"/>
  <c r="I295" i="13" s="1"/>
  <c r="K310" i="14"/>
  <c r="L310" i="14" s="1"/>
  <c r="I311" i="14" s="1"/>
  <c r="N422" i="14"/>
  <c r="J421" i="14" a="1"/>
  <c r="J421" i="14" s="1"/>
  <c r="M426" i="14"/>
  <c r="M425" i="13"/>
  <c r="N423" i="13"/>
  <c r="J422" i="13" a="1"/>
  <c r="J422" i="13" s="1"/>
  <c r="K295" i="13" l="1"/>
  <c r="L295" i="13" s="1"/>
  <c r="I296" i="13" s="1"/>
  <c r="K311" i="14"/>
  <c r="L311" i="14" s="1"/>
  <c r="I312" i="14" s="1"/>
  <c r="N424" i="13"/>
  <c r="J423" i="13" a="1"/>
  <c r="J423" i="13" s="1"/>
  <c r="M427" i="14"/>
  <c r="M426" i="13"/>
  <c r="N423" i="14"/>
  <c r="J422" i="14" a="1"/>
  <c r="J422" i="14" s="1"/>
  <c r="K296" i="13" l="1"/>
  <c r="L296" i="13" s="1"/>
  <c r="I297" i="13" s="1"/>
  <c r="K312" i="14"/>
  <c r="L312" i="14" s="1"/>
  <c r="I313" i="14" s="1"/>
  <c r="M428" i="14"/>
  <c r="N424" i="14"/>
  <c r="J423" i="14" a="1"/>
  <c r="J423" i="14" s="1"/>
  <c r="M427" i="13"/>
  <c r="N425" i="13"/>
  <c r="J424" i="13" a="1"/>
  <c r="J424" i="13" s="1"/>
  <c r="K297" i="13" l="1"/>
  <c r="L297" i="13" s="1"/>
  <c r="I298" i="13" s="1"/>
  <c r="K313" i="14"/>
  <c r="L313" i="14" s="1"/>
  <c r="I314" i="14" s="1"/>
  <c r="M429" i="14"/>
  <c r="N426" i="13"/>
  <c r="J425" i="13" a="1"/>
  <c r="J425" i="13" s="1"/>
  <c r="M428" i="13"/>
  <c r="N425" i="14"/>
  <c r="J424" i="14" a="1"/>
  <c r="J424" i="14" s="1"/>
  <c r="K298" i="13" l="1"/>
  <c r="K314" i="14"/>
  <c r="L314" i="14" s="1"/>
  <c r="I315" i="14" s="1"/>
  <c r="M430" i="14"/>
  <c r="N426" i="14"/>
  <c r="J425" i="14" a="1"/>
  <c r="J425" i="14" s="1"/>
  <c r="N427" i="13"/>
  <c r="J426" i="13" a="1"/>
  <c r="J426" i="13" s="1"/>
  <c r="M429" i="13"/>
  <c r="L298" i="13" l="1"/>
  <c r="I299" i="13" s="1"/>
  <c r="K315" i="14"/>
  <c r="L315" i="14" s="1"/>
  <c r="I316" i="14" s="1"/>
  <c r="M431" i="14"/>
  <c r="N428" i="13"/>
  <c r="J427" i="13" a="1"/>
  <c r="J427" i="13" s="1"/>
  <c r="M430" i="13"/>
  <c r="N427" i="14"/>
  <c r="J426" i="14" a="1"/>
  <c r="J426" i="14" s="1"/>
  <c r="K299" i="13" l="1"/>
  <c r="L299" i="13" s="1"/>
  <c r="I300" i="13" s="1"/>
  <c r="K316" i="14"/>
  <c r="L316" i="14" s="1"/>
  <c r="I317" i="14" s="1"/>
  <c r="N429" i="13"/>
  <c r="J428" i="13" a="1"/>
  <c r="J428" i="13" s="1"/>
  <c r="M431" i="13"/>
  <c r="N428" i="14"/>
  <c r="J427" i="14" a="1"/>
  <c r="J427" i="14" s="1"/>
  <c r="M432" i="14"/>
  <c r="K300" i="13" l="1"/>
  <c r="L300" i="13" s="1"/>
  <c r="I301" i="13" s="1"/>
  <c r="K317" i="14"/>
  <c r="L317" i="14" s="1"/>
  <c r="I318" i="14" s="1"/>
  <c r="M433" i="14"/>
  <c r="M432" i="13"/>
  <c r="N429" i="14"/>
  <c r="J428" i="14" a="1"/>
  <c r="J428" i="14" s="1"/>
  <c r="N430" i="13"/>
  <c r="J429" i="13" a="1"/>
  <c r="J429" i="13" s="1"/>
  <c r="K301" i="13" l="1"/>
  <c r="L301" i="13" s="1"/>
  <c r="I302" i="13" s="1"/>
  <c r="K318" i="14"/>
  <c r="L318" i="14" s="1"/>
  <c r="I319" i="14" s="1"/>
  <c r="M434" i="14"/>
  <c r="N430" i="14"/>
  <c r="J429" i="14" a="1"/>
  <c r="J429" i="14" s="1"/>
  <c r="N431" i="13"/>
  <c r="J430" i="13" a="1"/>
  <c r="J430" i="13" s="1"/>
  <c r="M433" i="13"/>
  <c r="K302" i="13" l="1"/>
  <c r="L302" i="13" s="1"/>
  <c r="I303" i="13" s="1"/>
  <c r="M435" i="14"/>
  <c r="K319" i="14"/>
  <c r="L319" i="14" s="1"/>
  <c r="I320" i="14" s="1"/>
  <c r="N432" i="13"/>
  <c r="J431" i="13" a="1"/>
  <c r="J431" i="13" s="1"/>
  <c r="M434" i="13"/>
  <c r="N431" i="14"/>
  <c r="J430" i="14" a="1"/>
  <c r="J430" i="14" s="1"/>
  <c r="K303" i="13" l="1"/>
  <c r="L303" i="13" s="1"/>
  <c r="I304" i="13" s="1"/>
  <c r="K320" i="14"/>
  <c r="L320" i="14" s="1"/>
  <c r="I321" i="14" s="1"/>
  <c r="M436" i="14"/>
  <c r="N432" i="14"/>
  <c r="J431" i="14" a="1"/>
  <c r="J431" i="14" s="1"/>
  <c r="N433" i="13"/>
  <c r="J432" i="13" a="1"/>
  <c r="J432" i="13" s="1"/>
  <c r="M435" i="13"/>
  <c r="K304" i="13" l="1"/>
  <c r="L304" i="13" s="1"/>
  <c r="I305" i="13" s="1"/>
  <c r="M436" i="13"/>
  <c r="N433" i="14"/>
  <c r="J432" i="14" a="1"/>
  <c r="J432" i="14" s="1"/>
  <c r="M437" i="14"/>
  <c r="N434" i="13"/>
  <c r="J433" i="13" a="1"/>
  <c r="J433" i="13" s="1"/>
  <c r="K321" i="14"/>
  <c r="L321" i="14" s="1"/>
  <c r="I322" i="14" s="1"/>
  <c r="K305" i="13" l="1"/>
  <c r="L305" i="13" s="1"/>
  <c r="I306" i="13" s="1"/>
  <c r="K322" i="14"/>
  <c r="L322" i="14" s="1"/>
  <c r="I323" i="14" s="1"/>
  <c r="M437" i="13"/>
  <c r="N435" i="13"/>
  <c r="J434" i="13" a="1"/>
  <c r="J434" i="13" s="1"/>
  <c r="M438" i="14"/>
  <c r="N434" i="14"/>
  <c r="J433" i="14" a="1"/>
  <c r="J433" i="14" s="1"/>
  <c r="K306" i="13" l="1"/>
  <c r="L306" i="13" s="1"/>
  <c r="I307" i="13" s="1"/>
  <c r="K323" i="14"/>
  <c r="L323" i="14" s="1"/>
  <c r="I324" i="14" s="1"/>
  <c r="N436" i="13"/>
  <c r="J435" i="13" a="1"/>
  <c r="J435" i="13" s="1"/>
  <c r="M439" i="14"/>
  <c r="M438" i="13"/>
  <c r="N435" i="14"/>
  <c r="J434" i="14" a="1"/>
  <c r="J434" i="14" s="1"/>
  <c r="K307" i="13" l="1"/>
  <c r="L307" i="13" s="1"/>
  <c r="I308" i="13" s="1"/>
  <c r="K324" i="14"/>
  <c r="L324" i="14" s="1"/>
  <c r="I325" i="14" s="1"/>
  <c r="N436" i="14"/>
  <c r="J435" i="14" a="1"/>
  <c r="J435" i="14" s="1"/>
  <c r="M439" i="13"/>
  <c r="M440" i="14"/>
  <c r="N437" i="13"/>
  <c r="J436" i="13" a="1"/>
  <c r="J436" i="13" s="1"/>
  <c r="K308" i="13" l="1"/>
  <c r="K325" i="14"/>
  <c r="L325" i="14" s="1"/>
  <c r="I326" i="14" s="1"/>
  <c r="M440" i="13"/>
  <c r="N438" i="13"/>
  <c r="J437" i="13" a="1"/>
  <c r="J437" i="13" s="1"/>
  <c r="M441" i="14"/>
  <c r="N437" i="14"/>
  <c r="J436" i="14" a="1"/>
  <c r="J436" i="14" s="1"/>
  <c r="L308" i="13" l="1"/>
  <c r="I309" i="13" s="1"/>
  <c r="K326" i="14"/>
  <c r="L326" i="14" s="1"/>
  <c r="I327" i="14" s="1"/>
  <c r="M441" i="13"/>
  <c r="N438" i="14"/>
  <c r="J437" i="14" a="1"/>
  <c r="J437" i="14" s="1"/>
  <c r="M442" i="14"/>
  <c r="N439" i="13"/>
  <c r="J438" i="13" a="1"/>
  <c r="J438" i="13" s="1"/>
  <c r="K309" i="13" l="1"/>
  <c r="L309" i="13" s="1"/>
  <c r="I310" i="13" s="1"/>
  <c r="K327" i="14"/>
  <c r="L327" i="14" s="1"/>
  <c r="I328" i="14" s="1"/>
  <c r="N439" i="14"/>
  <c r="J438" i="14" a="1"/>
  <c r="J438" i="14" s="1"/>
  <c r="N440" i="13"/>
  <c r="J439" i="13" a="1"/>
  <c r="J439" i="13" s="1"/>
  <c r="M443" i="14"/>
  <c r="M442" i="13"/>
  <c r="K310" i="13" l="1"/>
  <c r="L310" i="13" s="1"/>
  <c r="I311" i="13" s="1"/>
  <c r="K328" i="14"/>
  <c r="L328" i="14" s="1"/>
  <c r="I329" i="14" s="1"/>
  <c r="N441" i="13"/>
  <c r="J440" i="13" a="1"/>
  <c r="J440" i="13" s="1"/>
  <c r="M444" i="14"/>
  <c r="M443" i="13"/>
  <c r="N440" i="14"/>
  <c r="J439" i="14" a="1"/>
  <c r="J439" i="14" s="1"/>
  <c r="K311" i="13" l="1"/>
  <c r="L311" i="13" s="1"/>
  <c r="I312" i="13" s="1"/>
  <c r="K329" i="14"/>
  <c r="L329" i="14" s="1"/>
  <c r="I330" i="14" s="1"/>
  <c r="M445" i="14"/>
  <c r="N441" i="14"/>
  <c r="J440" i="14" a="1"/>
  <c r="J440" i="14" s="1"/>
  <c r="M444" i="13"/>
  <c r="N442" i="13"/>
  <c r="J441" i="13" a="1"/>
  <c r="J441" i="13" s="1"/>
  <c r="K312" i="13" l="1"/>
  <c r="L312" i="13" s="1"/>
  <c r="I313" i="13" s="1"/>
  <c r="K330" i="14"/>
  <c r="L330" i="14" s="1"/>
  <c r="I331" i="14" s="1"/>
  <c r="N443" i="13"/>
  <c r="J442" i="13" a="1"/>
  <c r="J442" i="13" s="1"/>
  <c r="M445" i="13"/>
  <c r="N442" i="14"/>
  <c r="J441" i="14" a="1"/>
  <c r="J441" i="14" s="1"/>
  <c r="M446" i="14"/>
  <c r="K313" i="13" l="1"/>
  <c r="L313" i="13" s="1"/>
  <c r="I314" i="13" s="1"/>
  <c r="K331" i="14"/>
  <c r="L331" i="14" s="1"/>
  <c r="I332" i="14" s="1"/>
  <c r="M447" i="14"/>
  <c r="N443" i="14"/>
  <c r="J442" i="14" a="1"/>
  <c r="J442" i="14" s="1"/>
  <c r="N444" i="13"/>
  <c r="J443" i="13" a="1"/>
  <c r="J443" i="13" s="1"/>
  <c r="M446" i="13"/>
  <c r="K314" i="13" l="1"/>
  <c r="L314" i="13" s="1"/>
  <c r="I315" i="13" s="1"/>
  <c r="M448" i="14"/>
  <c r="M447" i="13"/>
  <c r="N445" i="13"/>
  <c r="J444" i="13" a="1"/>
  <c r="J444" i="13" s="1"/>
  <c r="N444" i="14"/>
  <c r="J443" i="14" a="1"/>
  <c r="J443" i="14" s="1"/>
  <c r="K332" i="14"/>
  <c r="L332" i="14" s="1"/>
  <c r="I333" i="14" s="1"/>
  <c r="K315" i="13" l="1"/>
  <c r="L315" i="13" s="1"/>
  <c r="I316" i="13" s="1"/>
  <c r="K333" i="14"/>
  <c r="L333" i="14" s="1"/>
  <c r="I334" i="14" s="1"/>
  <c r="N446" i="13"/>
  <c r="J445" i="13" a="1"/>
  <c r="J445" i="13" s="1"/>
  <c r="M449" i="14"/>
  <c r="M448" i="13"/>
  <c r="N445" i="14"/>
  <c r="J444" i="14" a="1"/>
  <c r="J444" i="14" s="1"/>
  <c r="K316" i="13" l="1"/>
  <c r="L316" i="13" s="1"/>
  <c r="I317" i="13" s="1"/>
  <c r="K334" i="14"/>
  <c r="N446" i="14"/>
  <c r="J445" i="14" a="1"/>
  <c r="J445" i="14" s="1"/>
  <c r="M450" i="14"/>
  <c r="M449" i="13"/>
  <c r="N447" i="13"/>
  <c r="J446" i="13" a="1"/>
  <c r="J446" i="13" s="1"/>
  <c r="K317" i="13" l="1"/>
  <c r="L317" i="13" s="1"/>
  <c r="I318" i="13" s="1"/>
  <c r="L334" i="14"/>
  <c r="I335" i="14" s="1"/>
  <c r="N448" i="13"/>
  <c r="J447" i="13" a="1"/>
  <c r="J447" i="13" s="1"/>
  <c r="M450" i="13"/>
  <c r="N447" i="14"/>
  <c r="J446" i="14" a="1"/>
  <c r="J446" i="14" s="1"/>
  <c r="M451" i="14"/>
  <c r="K318" i="13" l="1"/>
  <c r="L318" i="13" s="1"/>
  <c r="I319" i="13" s="1"/>
  <c r="M452" i="14"/>
  <c r="M451" i="13"/>
  <c r="K335" i="14"/>
  <c r="L335" i="14" s="1"/>
  <c r="I336" i="14" s="1"/>
  <c r="N448" i="14"/>
  <c r="J447" i="14" a="1"/>
  <c r="J447" i="14" s="1"/>
  <c r="N449" i="13"/>
  <c r="J448" i="13" a="1"/>
  <c r="J448" i="13" s="1"/>
  <c r="K319" i="13" l="1"/>
  <c r="L319" i="13" s="1"/>
  <c r="I320" i="13" s="1"/>
  <c r="K336" i="14"/>
  <c r="L336" i="14" s="1"/>
  <c r="I337" i="14" s="1"/>
  <c r="M453" i="14"/>
  <c r="N450" i="13"/>
  <c r="J449" i="13" a="1"/>
  <c r="J449" i="13" s="1"/>
  <c r="M452" i="13"/>
  <c r="N449" i="14"/>
  <c r="J448" i="14" a="1"/>
  <c r="J448" i="14" s="1"/>
  <c r="K320" i="13" l="1"/>
  <c r="K337" i="14"/>
  <c r="L337" i="14" s="1"/>
  <c r="I338" i="14" s="1"/>
  <c r="N450" i="14"/>
  <c r="J449" i="14" a="1"/>
  <c r="J449" i="14" s="1"/>
  <c r="N451" i="13"/>
  <c r="J450" i="13" a="1"/>
  <c r="J450" i="13" s="1"/>
  <c r="M453" i="13"/>
  <c r="M454" i="14"/>
  <c r="L320" i="13" l="1"/>
  <c r="I321" i="13" s="1"/>
  <c r="K338" i="14"/>
  <c r="L338" i="14" s="1"/>
  <c r="I339" i="14" s="1"/>
  <c r="N451" i="14"/>
  <c r="J450" i="14" a="1"/>
  <c r="J450" i="14" s="1"/>
  <c r="N452" i="13"/>
  <c r="J451" i="13" a="1"/>
  <c r="J451" i="13" s="1"/>
  <c r="M454" i="13"/>
  <c r="M455" i="14"/>
  <c r="K321" i="13" l="1"/>
  <c r="K339" i="14"/>
  <c r="L339" i="14" s="1"/>
  <c r="I340" i="14" s="1"/>
  <c r="M456" i="14"/>
  <c r="M455" i="13"/>
  <c r="N452" i="14"/>
  <c r="J451" i="14" a="1"/>
  <c r="J451" i="14" s="1"/>
  <c r="N453" i="13"/>
  <c r="J452" i="13" a="1"/>
  <c r="J452" i="13" s="1"/>
  <c r="L321" i="13" l="1"/>
  <c r="I322" i="13" s="1"/>
  <c r="K340" i="14"/>
  <c r="L340" i="14" s="1"/>
  <c r="I341" i="14" s="1"/>
  <c r="M457" i="14"/>
  <c r="N453" i="14"/>
  <c r="J452" i="14" a="1"/>
  <c r="J452" i="14" s="1"/>
  <c r="N454" i="13"/>
  <c r="J453" i="13" a="1"/>
  <c r="J453" i="13" s="1"/>
  <c r="M456" i="13"/>
  <c r="K322" i="13" l="1"/>
  <c r="L322" i="13" s="1"/>
  <c r="I323" i="13" s="1"/>
  <c r="K341" i="14"/>
  <c r="L341" i="14" s="1"/>
  <c r="I342" i="14" s="1"/>
  <c r="M457" i="13"/>
  <c r="N455" i="13"/>
  <c r="J454" i="13" a="1"/>
  <c r="J454" i="13" s="1"/>
  <c r="M458" i="14"/>
  <c r="N454" i="14"/>
  <c r="J453" i="14" a="1"/>
  <c r="J453" i="14" s="1"/>
  <c r="K323" i="13" l="1"/>
  <c r="L323" i="13" s="1"/>
  <c r="I324" i="13" s="1"/>
  <c r="K342" i="14"/>
  <c r="L342" i="14" s="1"/>
  <c r="I343" i="14" s="1"/>
  <c r="N455" i="14"/>
  <c r="J454" i="14" a="1"/>
  <c r="J454" i="14" s="1"/>
  <c r="N456" i="13"/>
  <c r="J455" i="13" a="1"/>
  <c r="J455" i="13" s="1"/>
  <c r="M459" i="14"/>
  <c r="M458" i="13"/>
  <c r="K324" i="13" l="1"/>
  <c r="L324" i="13" s="1"/>
  <c r="I325" i="13" s="1"/>
  <c r="K343" i="14"/>
  <c r="L343" i="14" s="1"/>
  <c r="I344" i="14" s="1"/>
  <c r="M459" i="13"/>
  <c r="M460" i="14"/>
  <c r="N457" i="13"/>
  <c r="J456" i="13" a="1"/>
  <c r="J456" i="13" s="1"/>
  <c r="N456" i="14"/>
  <c r="J455" i="14" a="1"/>
  <c r="J455" i="14" s="1"/>
  <c r="K325" i="13" l="1"/>
  <c r="L325" i="13" s="1"/>
  <c r="I326" i="13" s="1"/>
  <c r="K344" i="14"/>
  <c r="N457" i="14"/>
  <c r="J456" i="14" a="1"/>
  <c r="J456" i="14" s="1"/>
  <c r="M461" i="14"/>
  <c r="M460" i="13"/>
  <c r="N458" i="13"/>
  <c r="J457" i="13" a="1"/>
  <c r="J457" i="13" s="1"/>
  <c r="K326" i="13" l="1"/>
  <c r="L326" i="13" s="1"/>
  <c r="I327" i="13" s="1"/>
  <c r="M462" i="14"/>
  <c r="M461" i="13"/>
  <c r="N459" i="13"/>
  <c r="J458" i="13" a="1"/>
  <c r="J458" i="13" s="1"/>
  <c r="N458" i="14"/>
  <c r="J457" i="14" a="1"/>
  <c r="J457" i="14" s="1"/>
  <c r="L344" i="14"/>
  <c r="I345" i="14" s="1"/>
  <c r="K327" i="13" l="1"/>
  <c r="L327" i="13" s="1"/>
  <c r="I328" i="13" s="1"/>
  <c r="M463" i="14"/>
  <c r="N460" i="13"/>
  <c r="J459" i="13" a="1"/>
  <c r="J459" i="13" s="1"/>
  <c r="K345" i="14"/>
  <c r="N459" i="14"/>
  <c r="J458" i="14" a="1"/>
  <c r="J458" i="14" s="1"/>
  <c r="M462" i="13"/>
  <c r="K328" i="13" l="1"/>
  <c r="L328" i="13" s="1"/>
  <c r="I329" i="13" s="1"/>
  <c r="M464" i="14"/>
  <c r="N460" i="14"/>
  <c r="J459" i="14" a="1"/>
  <c r="J459" i="14" s="1"/>
  <c r="M463" i="13"/>
  <c r="L345" i="14"/>
  <c r="I346" i="14" s="1"/>
  <c r="N461" i="13"/>
  <c r="J460" i="13" a="1"/>
  <c r="J460" i="13" s="1"/>
  <c r="K329" i="13" l="1"/>
  <c r="L329" i="13" s="1"/>
  <c r="I330" i="13" s="1"/>
  <c r="N462" i="13"/>
  <c r="J461" i="13" a="1"/>
  <c r="J461" i="13" s="1"/>
  <c r="K346" i="14"/>
  <c r="L346" i="14" s="1"/>
  <c r="I347" i="14" s="1"/>
  <c r="N461" i="14"/>
  <c r="J460" i="14" a="1"/>
  <c r="J460" i="14" s="1"/>
  <c r="M464" i="13"/>
  <c r="M465" i="14"/>
  <c r="K330" i="13" l="1"/>
  <c r="L330" i="13" s="1"/>
  <c r="I331" i="13" s="1"/>
  <c r="K347" i="14"/>
  <c r="L347" i="14" s="1"/>
  <c r="I348" i="14" s="1"/>
  <c r="M466" i="14"/>
  <c r="N463" i="13"/>
  <c r="J462" i="13" a="1"/>
  <c r="J462" i="13" s="1"/>
  <c r="N462" i="14"/>
  <c r="J461" i="14" a="1"/>
  <c r="J461" i="14" s="1"/>
  <c r="M465" i="13"/>
  <c r="K331" i="13" l="1"/>
  <c r="L331" i="13" s="1"/>
  <c r="I332" i="13" s="1"/>
  <c r="K348" i="14"/>
  <c r="L348" i="14" s="1"/>
  <c r="I349" i="14" s="1"/>
  <c r="N464" i="13"/>
  <c r="J463" i="13" a="1"/>
  <c r="J463" i="13" s="1"/>
  <c r="M467" i="14"/>
  <c r="M466" i="13"/>
  <c r="N463" i="14"/>
  <c r="J462" i="14" a="1"/>
  <c r="J462" i="14" s="1"/>
  <c r="K332" i="13" l="1"/>
  <c r="L332" i="13" s="1"/>
  <c r="I333" i="13" s="1"/>
  <c r="M468" i="14"/>
  <c r="N464" i="14"/>
  <c r="J463" i="14" a="1"/>
  <c r="J463" i="14" s="1"/>
  <c r="M467" i="13"/>
  <c r="N465" i="13"/>
  <c r="J464" i="13" a="1"/>
  <c r="J464" i="13" s="1"/>
  <c r="K349" i="14"/>
  <c r="L349" i="14" s="1"/>
  <c r="I350" i="14" s="1"/>
  <c r="K333" i="13" l="1"/>
  <c r="L333" i="13" s="1"/>
  <c r="I334" i="13" s="1"/>
  <c r="K350" i="14"/>
  <c r="L350" i="14" s="1"/>
  <c r="I351" i="14" s="1"/>
  <c r="M469" i="14"/>
  <c r="N466" i="13"/>
  <c r="J465" i="13" a="1"/>
  <c r="J465" i="13" s="1"/>
  <c r="M468" i="13"/>
  <c r="N465" i="14"/>
  <c r="J464" i="14" a="1"/>
  <c r="J464" i="14" s="1"/>
  <c r="K334" i="13" l="1"/>
  <c r="K351" i="14"/>
  <c r="L351" i="14" s="1"/>
  <c r="I352" i="14" s="1"/>
  <c r="N467" i="13"/>
  <c r="J466" i="13" a="1"/>
  <c r="J466" i="13" s="1"/>
  <c r="M469" i="13"/>
  <c r="N466" i="14"/>
  <c r="J465" i="14" a="1"/>
  <c r="J465" i="14" s="1"/>
  <c r="M470" i="14"/>
  <c r="L334" i="13" l="1"/>
  <c r="I335" i="13" s="1"/>
  <c r="K352" i="14"/>
  <c r="L352" i="14" s="1"/>
  <c r="I353" i="14" s="1"/>
  <c r="N468" i="13"/>
  <c r="J467" i="13" a="1"/>
  <c r="J467" i="13" s="1"/>
  <c r="N467" i="14"/>
  <c r="J466" i="14" a="1"/>
  <c r="J466" i="14" s="1"/>
  <c r="M471" i="14"/>
  <c r="M470" i="13"/>
  <c r="K335" i="13" l="1"/>
  <c r="L335" i="13" s="1"/>
  <c r="I336" i="13" s="1"/>
  <c r="K353" i="14"/>
  <c r="L353" i="14" s="1"/>
  <c r="I354" i="14" s="1"/>
  <c r="M471" i="13"/>
  <c r="M472" i="14"/>
  <c r="N469" i="13"/>
  <c r="J468" i="13" a="1"/>
  <c r="J468" i="13" s="1"/>
  <c r="N468" i="14"/>
  <c r="J467" i="14" a="1"/>
  <c r="J467" i="14" s="1"/>
  <c r="K336" i="13" l="1"/>
  <c r="L336" i="13" s="1"/>
  <c r="I337" i="13" s="1"/>
  <c r="K354" i="14"/>
  <c r="L354" i="14" s="1"/>
  <c r="I355" i="14" s="1"/>
  <c r="N469" i="14"/>
  <c r="J468" i="14" a="1"/>
  <c r="J468" i="14" s="1"/>
  <c r="M473" i="14"/>
  <c r="M472" i="13"/>
  <c r="N470" i="13"/>
  <c r="J469" i="13" a="1"/>
  <c r="J469" i="13" s="1"/>
  <c r="K337" i="13" l="1"/>
  <c r="L337" i="13" s="1"/>
  <c r="I338" i="13" s="1"/>
  <c r="K355" i="14"/>
  <c r="L355" i="14" s="1"/>
  <c r="I356" i="14" s="1"/>
  <c r="M474" i="14"/>
  <c r="N471" i="13"/>
  <c r="J470" i="13" a="1"/>
  <c r="J470" i="13" s="1"/>
  <c r="M473" i="13"/>
  <c r="N470" i="14"/>
  <c r="J469" i="14" a="1"/>
  <c r="J469" i="14" s="1"/>
  <c r="K338" i="13" l="1"/>
  <c r="L338" i="13" s="1"/>
  <c r="I339" i="13" s="1"/>
  <c r="K356" i="14"/>
  <c r="N472" i="13"/>
  <c r="J471" i="13" a="1"/>
  <c r="J471" i="13" s="1"/>
  <c r="N471" i="14"/>
  <c r="J470" i="14" a="1"/>
  <c r="J470" i="14" s="1"/>
  <c r="M474" i="13"/>
  <c r="M475" i="14"/>
  <c r="K339" i="13" l="1"/>
  <c r="L339" i="13" s="1"/>
  <c r="I340" i="13" s="1"/>
  <c r="M476" i="14"/>
  <c r="N472" i="14"/>
  <c r="J471" i="14" a="1"/>
  <c r="J471" i="14" s="1"/>
  <c r="M475" i="13"/>
  <c r="N473" i="13"/>
  <c r="J472" i="13" a="1"/>
  <c r="J472" i="13" s="1"/>
  <c r="L356" i="14"/>
  <c r="I357" i="14" s="1"/>
  <c r="K340" i="13" l="1"/>
  <c r="L340" i="13" s="1"/>
  <c r="I341" i="13" s="1"/>
  <c r="N474" i="13"/>
  <c r="J473" i="13" a="1"/>
  <c r="J473" i="13" s="1"/>
  <c r="M476" i="13"/>
  <c r="K357" i="14"/>
  <c r="M477" i="14"/>
  <c r="N473" i="14"/>
  <c r="J472" i="14" a="1"/>
  <c r="J472" i="14" s="1"/>
  <c r="K341" i="13" l="1"/>
  <c r="L341" i="13" s="1"/>
  <c r="I342" i="13" s="1"/>
  <c r="N475" i="13"/>
  <c r="J474" i="13" a="1"/>
  <c r="J474" i="13" s="1"/>
  <c r="M478" i="14"/>
  <c r="N474" i="14"/>
  <c r="J473" i="14" a="1"/>
  <c r="J473" i="14" s="1"/>
  <c r="L357" i="14"/>
  <c r="I358" i="14" s="1"/>
  <c r="M477" i="13"/>
  <c r="K342" i="13" l="1"/>
  <c r="L342" i="13" s="1"/>
  <c r="I343" i="13" s="1"/>
  <c r="M478" i="13"/>
  <c r="N475" i="14"/>
  <c r="J474" i="14" a="1"/>
  <c r="J474" i="14" s="1"/>
  <c r="N476" i="13"/>
  <c r="J475" i="13" a="1"/>
  <c r="J475" i="13" s="1"/>
  <c r="M479" i="14"/>
  <c r="K358" i="14"/>
  <c r="L358" i="14" s="1"/>
  <c r="I359" i="14" s="1"/>
  <c r="K343" i="13" l="1"/>
  <c r="L343" i="13" s="1"/>
  <c r="I344" i="13" s="1"/>
  <c r="K359" i="14"/>
  <c r="L359" i="14" s="1"/>
  <c r="I360" i="14" s="1"/>
  <c r="N477" i="13"/>
  <c r="J476" i="13" a="1"/>
  <c r="J476" i="13" s="1"/>
  <c r="M479" i="13"/>
  <c r="M480" i="14"/>
  <c r="N476" i="14"/>
  <c r="J475" i="14" a="1"/>
  <c r="J475" i="14" s="1"/>
  <c r="K344" i="13" l="1"/>
  <c r="K360" i="14"/>
  <c r="L360" i="14" s="1"/>
  <c r="I361" i="14" s="1"/>
  <c r="M480" i="13"/>
  <c r="N477" i="14"/>
  <c r="J476" i="14" a="1"/>
  <c r="J476" i="14" s="1"/>
  <c r="M481" i="14"/>
  <c r="N478" i="13"/>
  <c r="J477" i="13" a="1"/>
  <c r="J477" i="13" s="1"/>
  <c r="L344" i="13" l="1"/>
  <c r="I345" i="13" s="1"/>
  <c r="K361" i="14"/>
  <c r="L361" i="14" s="1"/>
  <c r="I362" i="14" s="1"/>
  <c r="M482" i="14"/>
  <c r="N478" i="14"/>
  <c r="J477" i="14" a="1"/>
  <c r="J477" i="14" s="1"/>
  <c r="N479" i="13"/>
  <c r="J478" i="13" a="1"/>
  <c r="J478" i="13" s="1"/>
  <c r="M481" i="13"/>
  <c r="K345" i="13" l="1"/>
  <c r="L345" i="13" s="1"/>
  <c r="I346" i="13" s="1"/>
  <c r="K362" i="14"/>
  <c r="L362" i="14" s="1"/>
  <c r="I363" i="14" s="1"/>
  <c r="N480" i="13"/>
  <c r="J479" i="13" a="1"/>
  <c r="J479" i="13" s="1"/>
  <c r="N479" i="14"/>
  <c r="J478" i="14" a="1"/>
  <c r="J478" i="14" s="1"/>
  <c r="M482" i="13"/>
  <c r="M483" i="14"/>
  <c r="K346" i="13" l="1"/>
  <c r="L346" i="13" s="1"/>
  <c r="I347" i="13" s="1"/>
  <c r="M483" i="13"/>
  <c r="N480" i="14"/>
  <c r="J479" i="14" a="1"/>
  <c r="J479" i="14" s="1"/>
  <c r="K363" i="14"/>
  <c r="L363" i="14" s="1"/>
  <c r="I364" i="14" s="1"/>
  <c r="M484" i="14"/>
  <c r="N481" i="13"/>
  <c r="J480" i="13" a="1"/>
  <c r="J480" i="13" s="1"/>
  <c r="K347" i="13" l="1"/>
  <c r="L347" i="13" s="1"/>
  <c r="I348" i="13" s="1"/>
  <c r="K364" i="14"/>
  <c r="L364" i="14" s="1"/>
  <c r="I365" i="14" s="1"/>
  <c r="M484" i="13"/>
  <c r="N482" i="13"/>
  <c r="J481" i="13" a="1"/>
  <c r="J481" i="13" s="1"/>
  <c r="M485" i="14"/>
  <c r="N481" i="14"/>
  <c r="J480" i="14" a="1"/>
  <c r="J480" i="14" s="1"/>
  <c r="K348" i="13" l="1"/>
  <c r="L348" i="13" s="1"/>
  <c r="I349" i="13" s="1"/>
  <c r="K365" i="14"/>
  <c r="L365" i="14" s="1"/>
  <c r="I366" i="14" s="1"/>
  <c r="N482" i="14"/>
  <c r="J481" i="14" a="1"/>
  <c r="J481" i="14" s="1"/>
  <c r="N483" i="13"/>
  <c r="J482" i="13" a="1"/>
  <c r="J482" i="13" s="1"/>
  <c r="M486" i="14"/>
  <c r="M485" i="13"/>
  <c r="K349" i="13" l="1"/>
  <c r="L349" i="13" s="1"/>
  <c r="I350" i="13" s="1"/>
  <c r="K366" i="14"/>
  <c r="L366" i="14" s="1"/>
  <c r="I367" i="14" s="1"/>
  <c r="M486" i="13"/>
  <c r="N484" i="13"/>
  <c r="J483" i="13" a="1"/>
  <c r="J483" i="13" s="1"/>
  <c r="M487" i="14"/>
  <c r="N483" i="14"/>
  <c r="J482" i="14" a="1"/>
  <c r="J482" i="14" s="1"/>
  <c r="K350" i="13" l="1"/>
  <c r="L350" i="13" s="1"/>
  <c r="I351" i="13" s="1"/>
  <c r="K367" i="14"/>
  <c r="L367" i="14" s="1"/>
  <c r="I368" i="14" s="1"/>
  <c r="N485" i="13"/>
  <c r="J484" i="13" a="1"/>
  <c r="J484" i="13" s="1"/>
  <c r="N484" i="14"/>
  <c r="J483" i="14" a="1"/>
  <c r="J483" i="14" s="1"/>
  <c r="M487" i="13"/>
  <c r="M488" i="14"/>
  <c r="K351" i="13" l="1"/>
  <c r="L351" i="13" s="1"/>
  <c r="I352" i="13" s="1"/>
  <c r="K368" i="14"/>
  <c r="L368" i="14" s="1"/>
  <c r="I369" i="14" s="1"/>
  <c r="M489" i="14"/>
  <c r="N485" i="14"/>
  <c r="J484" i="14" a="1"/>
  <c r="J484" i="14" s="1"/>
  <c r="M488" i="13"/>
  <c r="N486" i="13"/>
  <c r="J485" i="13" a="1"/>
  <c r="J485" i="13" s="1"/>
  <c r="K352" i="13" l="1"/>
  <c r="L352" i="13" s="1"/>
  <c r="I353" i="13" s="1"/>
  <c r="N487" i="13"/>
  <c r="J486" i="13" a="1"/>
  <c r="J486" i="13" s="1"/>
  <c r="N486" i="14"/>
  <c r="J485" i="14" a="1"/>
  <c r="J485" i="14" s="1"/>
  <c r="M489" i="13"/>
  <c r="M490" i="14"/>
  <c r="K369" i="14"/>
  <c r="L369" i="14" s="1"/>
  <c r="I370" i="14" s="1"/>
  <c r="K353" i="13" l="1"/>
  <c r="L353" i="13" s="1"/>
  <c r="I354" i="13" s="1"/>
  <c r="N487" i="14"/>
  <c r="J486" i="14" a="1"/>
  <c r="J486" i="14" s="1"/>
  <c r="K370" i="14"/>
  <c r="M490" i="13"/>
  <c r="M491" i="14"/>
  <c r="N488" i="13"/>
  <c r="J487" i="13" a="1"/>
  <c r="J487" i="13" s="1"/>
  <c r="K354" i="13" l="1"/>
  <c r="L354" i="13" s="1"/>
  <c r="I355" i="13" s="1"/>
  <c r="N488" i="14"/>
  <c r="J487" i="14" a="1"/>
  <c r="J487" i="14" s="1"/>
  <c r="M491" i="13"/>
  <c r="N489" i="13"/>
  <c r="J488" i="13" a="1"/>
  <c r="J488" i="13" s="1"/>
  <c r="M492" i="14"/>
  <c r="L370" i="14"/>
  <c r="I371" i="14" s="1"/>
  <c r="K355" i="13" l="1"/>
  <c r="L355" i="13" s="1"/>
  <c r="I356" i="13" s="1"/>
  <c r="N489" i="14"/>
  <c r="J488" i="14" a="1"/>
  <c r="J488" i="14" s="1"/>
  <c r="K371" i="14"/>
  <c r="L371" i="14" s="1"/>
  <c r="I372" i="14" s="1"/>
  <c r="N490" i="13"/>
  <c r="J489" i="13" a="1"/>
  <c r="J489" i="13" s="1"/>
  <c r="M493" i="14"/>
  <c r="M492" i="13"/>
  <c r="K356" i="13" l="1"/>
  <c r="N490" i="14"/>
  <c r="J489" i="14" a="1"/>
  <c r="J489" i="14" s="1"/>
  <c r="M494" i="14"/>
  <c r="N491" i="13"/>
  <c r="J490" i="13" a="1"/>
  <c r="J490" i="13" s="1"/>
  <c r="M493" i="13"/>
  <c r="K372" i="14"/>
  <c r="L372" i="14" s="1"/>
  <c r="I373" i="14" s="1"/>
  <c r="L356" i="13" l="1"/>
  <c r="I357" i="13" s="1"/>
  <c r="K373" i="14"/>
  <c r="L373" i="14" s="1"/>
  <c r="I374" i="14" s="1"/>
  <c r="N492" i="13"/>
  <c r="J491" i="13" a="1"/>
  <c r="J491" i="13" s="1"/>
  <c r="M494" i="13"/>
  <c r="M495" i="14"/>
  <c r="N491" i="14"/>
  <c r="J490" i="14" a="1"/>
  <c r="J490" i="14" s="1"/>
  <c r="K357" i="13" l="1"/>
  <c r="K374" i="14"/>
  <c r="L374" i="14" s="1"/>
  <c r="I375" i="14" s="1"/>
  <c r="M496" i="14"/>
  <c r="M495" i="13"/>
  <c r="N493" i="13"/>
  <c r="J492" i="13" a="1"/>
  <c r="J492" i="13" s="1"/>
  <c r="N492" i="14"/>
  <c r="J491" i="14" a="1"/>
  <c r="J491" i="14" s="1"/>
  <c r="L357" i="13" l="1"/>
  <c r="I358" i="13" s="1"/>
  <c r="K375" i="14"/>
  <c r="L375" i="14" s="1"/>
  <c r="I376" i="14" s="1"/>
  <c r="N494" i="13"/>
  <c r="J493" i="13" a="1"/>
  <c r="J493" i="13" s="1"/>
  <c r="M497" i="14"/>
  <c r="N493" i="14"/>
  <c r="J492" i="14" a="1"/>
  <c r="J492" i="14" s="1"/>
  <c r="M496" i="13"/>
  <c r="K358" i="13" l="1"/>
  <c r="L358" i="13" s="1"/>
  <c r="I359" i="13" s="1"/>
  <c r="K376" i="14"/>
  <c r="L376" i="14" s="1"/>
  <c r="I377" i="14" s="1"/>
  <c r="N494" i="14"/>
  <c r="J493" i="14" a="1"/>
  <c r="J493" i="14" s="1"/>
  <c r="M497" i="13"/>
  <c r="M498" i="14"/>
  <c r="N495" i="13"/>
  <c r="J494" i="13" a="1"/>
  <c r="J494" i="13" s="1"/>
  <c r="K359" i="13" l="1"/>
  <c r="L359" i="13" s="1"/>
  <c r="I360" i="13" s="1"/>
  <c r="K377" i="14"/>
  <c r="L377" i="14" s="1"/>
  <c r="I378" i="14" s="1"/>
  <c r="N496" i="13"/>
  <c r="J495" i="13" a="1"/>
  <c r="J495" i="13" s="1"/>
  <c r="M498" i="13"/>
  <c r="M499" i="14"/>
  <c r="N495" i="14"/>
  <c r="J494" i="14" a="1"/>
  <c r="J494" i="14" s="1"/>
  <c r="K360" i="13" l="1"/>
  <c r="L360" i="13" s="1"/>
  <c r="I361" i="13" s="1"/>
  <c r="K378" i="14"/>
  <c r="L378" i="14" s="1"/>
  <c r="I379" i="14" s="1"/>
  <c r="M499" i="13"/>
  <c r="N496" i="14"/>
  <c r="J495" i="14" a="1"/>
  <c r="J495" i="14" s="1"/>
  <c r="M500" i="14"/>
  <c r="N497" i="13"/>
  <c r="J496" i="13" a="1"/>
  <c r="J496" i="13" s="1"/>
  <c r="K361" i="13" l="1"/>
  <c r="L361" i="13" s="1"/>
  <c r="I362" i="13" s="1"/>
  <c r="K379" i="14"/>
  <c r="L379" i="14" s="1"/>
  <c r="I380" i="14" s="1"/>
  <c r="N498" i="13"/>
  <c r="J497" i="13" a="1"/>
  <c r="J497" i="13" s="1"/>
  <c r="N497" i="14"/>
  <c r="J496" i="14" a="1"/>
  <c r="J496" i="14" s="1"/>
  <c r="M501" i="14"/>
  <c r="M500" i="13"/>
  <c r="K362" i="13" l="1"/>
  <c r="L362" i="13" s="1"/>
  <c r="I363" i="13" s="1"/>
  <c r="K380" i="14"/>
  <c r="M502" i="14"/>
  <c r="N499" i="13"/>
  <c r="J498" i="13" a="1"/>
  <c r="J498" i="13" s="1"/>
  <c r="M501" i="13"/>
  <c r="N498" i="14"/>
  <c r="J497" i="14" a="1"/>
  <c r="J497" i="14" s="1"/>
  <c r="K363" i="13" l="1"/>
  <c r="L363" i="13" s="1"/>
  <c r="I364" i="13" s="1"/>
  <c r="N499" i="14"/>
  <c r="J498" i="14" a="1"/>
  <c r="J498" i="14" s="1"/>
  <c r="N500" i="13"/>
  <c r="J499" i="13" a="1"/>
  <c r="J499" i="13" s="1"/>
  <c r="L380" i="14"/>
  <c r="I381" i="14" s="1"/>
  <c r="M502" i="13"/>
  <c r="M503" i="14"/>
  <c r="K364" i="13" l="1"/>
  <c r="L364" i="13" s="1"/>
  <c r="I365" i="13" s="1"/>
  <c r="N500" i="14"/>
  <c r="J499" i="14" a="1"/>
  <c r="J499" i="14" s="1"/>
  <c r="M504" i="14"/>
  <c r="K381" i="14"/>
  <c r="M503" i="13"/>
  <c r="N501" i="13"/>
  <c r="J500" i="13" a="1"/>
  <c r="J500" i="13" s="1"/>
  <c r="K365" i="13" l="1"/>
  <c r="L365" i="13" s="1"/>
  <c r="I366" i="13" s="1"/>
  <c r="N502" i="13"/>
  <c r="J501" i="13" a="1"/>
  <c r="J501" i="13" s="1"/>
  <c r="L381" i="14"/>
  <c r="I382" i="14" s="1"/>
  <c r="M504" i="13"/>
  <c r="N501" i="14"/>
  <c r="J500" i="14" a="1"/>
  <c r="J500" i="14" s="1"/>
  <c r="M505" i="14"/>
  <c r="K366" i="13" l="1"/>
  <c r="L366" i="13" s="1"/>
  <c r="I367" i="13" s="1"/>
  <c r="M505" i="13"/>
  <c r="N503" i="13"/>
  <c r="J502" i="13" a="1"/>
  <c r="J502" i="13" s="1"/>
  <c r="M506" i="14"/>
  <c r="N502" i="14"/>
  <c r="J501" i="14" a="1"/>
  <c r="J501" i="14" s="1"/>
  <c r="K382" i="14"/>
  <c r="L382" i="14" s="1"/>
  <c r="I383" i="14" s="1"/>
  <c r="K367" i="13" l="1"/>
  <c r="L367" i="13" s="1"/>
  <c r="I368" i="13" s="1"/>
  <c r="N503" i="14"/>
  <c r="J502" i="14" a="1"/>
  <c r="J502" i="14" s="1"/>
  <c r="N504" i="13"/>
  <c r="J503" i="13" a="1"/>
  <c r="J503" i="13" s="1"/>
  <c r="K383" i="14"/>
  <c r="L383" i="14" s="1"/>
  <c r="I384" i="14" s="1"/>
  <c r="M507" i="14"/>
  <c r="M506" i="13"/>
  <c r="K368" i="13" l="1"/>
  <c r="K384" i="14"/>
  <c r="L384" i="14" s="1"/>
  <c r="I385" i="14" s="1"/>
  <c r="M508" i="14"/>
  <c r="N505" i="13"/>
  <c r="J504" i="13" a="1"/>
  <c r="J504" i="13" s="1"/>
  <c r="M507" i="13"/>
  <c r="N504" i="14"/>
  <c r="J503" i="14" a="1"/>
  <c r="J503" i="14" s="1"/>
  <c r="L368" i="13" l="1"/>
  <c r="I369" i="13" s="1"/>
  <c r="K385" i="14"/>
  <c r="L385" i="14" s="1"/>
  <c r="I386" i="14" s="1"/>
  <c r="M508" i="13"/>
  <c r="M509" i="14"/>
  <c r="N505" i="14"/>
  <c r="J504" i="14" a="1"/>
  <c r="J504" i="14" s="1"/>
  <c r="N506" i="13"/>
  <c r="J505" i="13" a="1"/>
  <c r="J505" i="13" s="1"/>
  <c r="K369" i="13" l="1"/>
  <c r="L369" i="13" s="1"/>
  <c r="I370" i="13" s="1"/>
  <c r="N507" i="13"/>
  <c r="J506" i="13" a="1"/>
  <c r="J506" i="13" s="1"/>
  <c r="M510" i="14"/>
  <c r="M509" i="13"/>
  <c r="N506" i="14"/>
  <c r="J505" i="14" a="1"/>
  <c r="J505" i="14" s="1"/>
  <c r="K386" i="14"/>
  <c r="L386" i="14" s="1"/>
  <c r="I387" i="14" s="1"/>
  <c r="K370" i="13" l="1"/>
  <c r="L370" i="13" s="1"/>
  <c r="I371" i="13" s="1"/>
  <c r="N507" i="14"/>
  <c r="J506" i="14" a="1"/>
  <c r="J506" i="14" s="1"/>
  <c r="M511" i="14"/>
  <c r="K387" i="14"/>
  <c r="L387" i="14" s="1"/>
  <c r="I388" i="14" s="1"/>
  <c r="M510" i="13"/>
  <c r="N508" i="13"/>
  <c r="J507" i="13" a="1"/>
  <c r="J507" i="13" s="1"/>
  <c r="K371" i="13" l="1"/>
  <c r="L371" i="13" s="1"/>
  <c r="I372" i="13" s="1"/>
  <c r="K388" i="14"/>
  <c r="L388" i="14" s="1"/>
  <c r="I389" i="14" s="1"/>
  <c r="N508" i="14"/>
  <c r="J507" i="14" a="1"/>
  <c r="J507" i="14" s="1"/>
  <c r="N509" i="13"/>
  <c r="J508" i="13" a="1"/>
  <c r="J508" i="13" s="1"/>
  <c r="M511" i="13"/>
  <c r="M512" i="14"/>
  <c r="K372" i="13" l="1"/>
  <c r="L372" i="13" s="1"/>
  <c r="I373" i="13" s="1"/>
  <c r="K389" i="14"/>
  <c r="L389" i="14" s="1"/>
  <c r="I390" i="14" s="1"/>
  <c r="N510" i="13"/>
  <c r="J509" i="13" a="1"/>
  <c r="J509" i="13" s="1"/>
  <c r="M512" i="13"/>
  <c r="M513" i="14"/>
  <c r="N509" i="14"/>
  <c r="J508" i="14" a="1"/>
  <c r="J508" i="14" s="1"/>
  <c r="K373" i="13" l="1"/>
  <c r="L373" i="13" s="1"/>
  <c r="I374" i="13" s="1"/>
  <c r="K390" i="14"/>
  <c r="L390" i="14" s="1"/>
  <c r="I391" i="14" s="1"/>
  <c r="M513" i="13"/>
  <c r="J509" i="14" a="1"/>
  <c r="J509" i="14" s="1"/>
  <c r="N510" i="14"/>
  <c r="M514" i="14"/>
  <c r="N511" i="13"/>
  <c r="J510" i="13" a="1"/>
  <c r="J510" i="13" s="1"/>
  <c r="K374" i="13" l="1"/>
  <c r="L374" i="13" s="1"/>
  <c r="I375" i="13" s="1"/>
  <c r="K391" i="14"/>
  <c r="L391" i="14" s="1"/>
  <c r="I392" i="14" s="1"/>
  <c r="J510" i="14" a="1"/>
  <c r="J510" i="14" s="1"/>
  <c r="N511" i="14"/>
  <c r="N512" i="13"/>
  <c r="J511" i="13" a="1"/>
  <c r="J511" i="13" s="1"/>
  <c r="M515" i="14"/>
  <c r="M514" i="13"/>
  <c r="K375" i="13" l="1"/>
  <c r="L375" i="13" s="1"/>
  <c r="I376" i="13" s="1"/>
  <c r="K392" i="14"/>
  <c r="L392" i="14" s="1"/>
  <c r="I393" i="14" s="1"/>
  <c r="M515" i="13"/>
  <c r="N513" i="13"/>
  <c r="J512" i="13" a="1"/>
  <c r="J512" i="13" s="1"/>
  <c r="M516" i="14"/>
  <c r="J511" i="14" a="1"/>
  <c r="J511" i="14" s="1"/>
  <c r="N512" i="14"/>
  <c r="K376" i="13" l="1"/>
  <c r="L376" i="13" s="1"/>
  <c r="I377" i="13" s="1"/>
  <c r="N514" i="13"/>
  <c r="J513" i="13" a="1"/>
  <c r="J513" i="13" s="1"/>
  <c r="J512" i="14" a="1"/>
  <c r="J512" i="14" s="1"/>
  <c r="N513" i="14"/>
  <c r="M517" i="14"/>
  <c r="M516" i="13"/>
  <c r="K393" i="14"/>
  <c r="L393" i="14" s="1"/>
  <c r="I394" i="14" s="1"/>
  <c r="K377" i="13" l="1"/>
  <c r="L377" i="13" s="1"/>
  <c r="I378" i="13" s="1"/>
  <c r="K394" i="14"/>
  <c r="J513" i="14" a="1"/>
  <c r="J513" i="14" s="1"/>
  <c r="N514" i="14"/>
  <c r="N515" i="13"/>
  <c r="J514" i="13" a="1"/>
  <c r="J514" i="13" s="1"/>
  <c r="M517" i="13"/>
  <c r="M518" i="14"/>
  <c r="K378" i="13" l="1"/>
  <c r="L378" i="13" s="1"/>
  <c r="I379" i="13" s="1"/>
  <c r="M519" i="14"/>
  <c r="N516" i="13"/>
  <c r="J515" i="13" a="1"/>
  <c r="J515" i="13" s="1"/>
  <c r="M518" i="13"/>
  <c r="J514" i="14" a="1"/>
  <c r="J514" i="14" s="1"/>
  <c r="N515" i="14"/>
  <c r="L394" i="14"/>
  <c r="I395" i="14" s="1"/>
  <c r="K379" i="13" l="1"/>
  <c r="L379" i="13" s="1"/>
  <c r="I380" i="13" s="1"/>
  <c r="K395" i="14"/>
  <c r="L395" i="14" s="1"/>
  <c r="I396" i="14" s="1"/>
  <c r="M519" i="13"/>
  <c r="M520" i="14"/>
  <c r="J515" i="14" a="1"/>
  <c r="J515" i="14" s="1"/>
  <c r="N516" i="14"/>
  <c r="N517" i="13"/>
  <c r="J516" i="13" a="1"/>
  <c r="J516" i="13" s="1"/>
  <c r="K380" i="13" l="1"/>
  <c r="N518" i="13"/>
  <c r="J517" i="13" a="1"/>
  <c r="J517" i="13" s="1"/>
  <c r="M521" i="14"/>
  <c r="J516" i="14" a="1"/>
  <c r="J516" i="14" s="1"/>
  <c r="N517" i="14"/>
  <c r="K396" i="14"/>
  <c r="L396" i="14" s="1"/>
  <c r="I397" i="14" s="1"/>
  <c r="M520" i="13"/>
  <c r="L380" i="13" l="1"/>
  <c r="I381" i="13" s="1"/>
  <c r="K397" i="14"/>
  <c r="L397" i="14" s="1"/>
  <c r="I398" i="14" s="1"/>
  <c r="J517" i="14" a="1"/>
  <c r="J517" i="14" s="1"/>
  <c r="N518" i="14"/>
  <c r="M522" i="14"/>
  <c r="M521" i="13"/>
  <c r="N519" i="13"/>
  <c r="J518" i="13" a="1"/>
  <c r="J518" i="13" s="1"/>
  <c r="K381" i="13" l="1"/>
  <c r="K398" i="14"/>
  <c r="L398" i="14" s="1"/>
  <c r="I399" i="14" s="1"/>
  <c r="N520" i="13"/>
  <c r="J519" i="13" a="1"/>
  <c r="J519" i="13" s="1"/>
  <c r="M523" i="14"/>
  <c r="M522" i="13"/>
  <c r="J518" i="14" a="1"/>
  <c r="J518" i="14" s="1"/>
  <c r="N519" i="14"/>
  <c r="L381" i="13" l="1"/>
  <c r="I382" i="13" s="1"/>
  <c r="J519" i="14" a="1"/>
  <c r="J519" i="14" s="1"/>
  <c r="N520" i="14"/>
  <c r="M524" i="14"/>
  <c r="N521" i="13"/>
  <c r="J520" i="13" a="1"/>
  <c r="J520" i="13" s="1"/>
  <c r="M523" i="13"/>
  <c r="K399" i="14"/>
  <c r="L399" i="14" s="1"/>
  <c r="I400" i="14" s="1"/>
  <c r="K382" i="13" l="1"/>
  <c r="L382" i="13" s="1"/>
  <c r="I383" i="13" s="1"/>
  <c r="K400" i="14"/>
  <c r="L400" i="14" s="1"/>
  <c r="I401" i="14" s="1"/>
  <c r="J520" i="14" a="1"/>
  <c r="J520" i="14" s="1"/>
  <c r="N521" i="14"/>
  <c r="M524" i="13"/>
  <c r="M525" i="14"/>
  <c r="N522" i="13"/>
  <c r="J521" i="13" a="1"/>
  <c r="J521" i="13" s="1"/>
  <c r="K383" i="13" l="1"/>
  <c r="L383" i="13" s="1"/>
  <c r="I384" i="13" s="1"/>
  <c r="K401" i="14"/>
  <c r="L401" i="14" s="1"/>
  <c r="I402" i="14" s="1"/>
  <c r="M525" i="13"/>
  <c r="N523" i="13"/>
  <c r="J522" i="13" a="1"/>
  <c r="J522" i="13" s="1"/>
  <c r="M526" i="14"/>
  <c r="J521" i="14" a="1"/>
  <c r="J521" i="14" s="1"/>
  <c r="N522" i="14"/>
  <c r="K384" i="13" l="1"/>
  <c r="L384" i="13" s="1"/>
  <c r="I385" i="13" s="1"/>
  <c r="K402" i="14"/>
  <c r="L402" i="14" s="1"/>
  <c r="I403" i="14" s="1"/>
  <c r="J522" i="14" a="1"/>
  <c r="J522" i="14" s="1"/>
  <c r="N523" i="14"/>
  <c r="M527" i="14"/>
  <c r="M526" i="13"/>
  <c r="N524" i="13"/>
  <c r="J523" i="13" a="1"/>
  <c r="J523" i="13" s="1"/>
  <c r="K385" i="13" l="1"/>
  <c r="L385" i="13" s="1"/>
  <c r="I386" i="13" s="1"/>
  <c r="K403" i="14"/>
  <c r="L403" i="14" s="1"/>
  <c r="I404" i="14" s="1"/>
  <c r="M528" i="14"/>
  <c r="N525" i="13"/>
  <c r="J524" i="13" a="1"/>
  <c r="J524" i="13" s="1"/>
  <c r="M527" i="13"/>
  <c r="J523" i="14" a="1"/>
  <c r="J523" i="14" s="1"/>
  <c r="N524" i="14"/>
  <c r="K386" i="13" l="1"/>
  <c r="L386" i="13" s="1"/>
  <c r="I387" i="13" s="1"/>
  <c r="K404" i="14"/>
  <c r="L404" i="14" s="1"/>
  <c r="I405" i="14" s="1"/>
  <c r="M528" i="13"/>
  <c r="M529" i="14"/>
  <c r="J524" i="14" a="1"/>
  <c r="J524" i="14" s="1"/>
  <c r="N525" i="14"/>
  <c r="N526" i="13"/>
  <c r="J525" i="13" a="1"/>
  <c r="J525" i="13" s="1"/>
  <c r="K387" i="13" l="1"/>
  <c r="L387" i="13" s="1"/>
  <c r="I388" i="13" s="1"/>
  <c r="N527" i="13"/>
  <c r="J526" i="13" a="1"/>
  <c r="J526" i="13" s="1"/>
  <c r="M530" i="14"/>
  <c r="K405" i="14"/>
  <c r="J525" i="14" a="1"/>
  <c r="J525" i="14" s="1"/>
  <c r="N526" i="14"/>
  <c r="M529" i="13"/>
  <c r="K388" i="13" l="1"/>
  <c r="L388" i="13" s="1"/>
  <c r="I389" i="13" s="1"/>
  <c r="L405" i="14"/>
  <c r="I406" i="14" s="1"/>
  <c r="N528" i="13"/>
  <c r="J527" i="13" a="1"/>
  <c r="J527" i="13" s="1"/>
  <c r="M530" i="13"/>
  <c r="J526" i="14" a="1"/>
  <c r="J526" i="14" s="1"/>
  <c r="N527" i="14"/>
  <c r="M531" i="14"/>
  <c r="K389" i="13" l="1"/>
  <c r="L389" i="13" s="1"/>
  <c r="I390" i="13" s="1"/>
  <c r="J527" i="14" a="1"/>
  <c r="J527" i="14" s="1"/>
  <c r="N528" i="14"/>
  <c r="M532" i="14"/>
  <c r="N529" i="13"/>
  <c r="J528" i="13" a="1"/>
  <c r="J528" i="13" s="1"/>
  <c r="M531" i="13"/>
  <c r="K406" i="14"/>
  <c r="L406" i="14" s="1"/>
  <c r="I407" i="14" s="1"/>
  <c r="K390" i="13" l="1"/>
  <c r="L390" i="13" s="1"/>
  <c r="I391" i="13" s="1"/>
  <c r="K407" i="14"/>
  <c r="L407" i="14" s="1"/>
  <c r="I408" i="14" s="1"/>
  <c r="J528" i="14" a="1"/>
  <c r="J528" i="14" s="1"/>
  <c r="N529" i="14"/>
  <c r="M532" i="13"/>
  <c r="N530" i="13"/>
  <c r="J529" i="13" a="1"/>
  <c r="J529" i="13" s="1"/>
  <c r="M533" i="14"/>
  <c r="K391" i="13" l="1"/>
  <c r="L391" i="13" s="1"/>
  <c r="I392" i="13" s="1"/>
  <c r="K408" i="14"/>
  <c r="L408" i="14" s="1"/>
  <c r="I409" i="14" s="1"/>
  <c r="N531" i="13"/>
  <c r="J530" i="13" a="1"/>
  <c r="J530" i="13" s="1"/>
  <c r="M534" i="14"/>
  <c r="M533" i="13"/>
  <c r="J529" i="14" a="1"/>
  <c r="J529" i="14" s="1"/>
  <c r="N530" i="14"/>
  <c r="K392" i="13" l="1"/>
  <c r="K409" i="14"/>
  <c r="L409" i="14" s="1"/>
  <c r="I410" i="14" s="1"/>
  <c r="J530" i="14" a="1"/>
  <c r="J530" i="14" s="1"/>
  <c r="N531" i="14"/>
  <c r="M534" i="13"/>
  <c r="N532" i="13"/>
  <c r="J531" i="13" a="1"/>
  <c r="J531" i="13" s="1"/>
  <c r="M535" i="14"/>
  <c r="L392" i="13" l="1"/>
  <c r="I393" i="13" s="1"/>
  <c r="K410" i="14"/>
  <c r="L410" i="14" s="1"/>
  <c r="I411" i="14" s="1"/>
  <c r="J531" i="14" a="1"/>
  <c r="J531" i="14" s="1"/>
  <c r="N532" i="14"/>
  <c r="M536" i="14"/>
  <c r="N533" i="13"/>
  <c r="J532" i="13" a="1"/>
  <c r="J532" i="13" s="1"/>
  <c r="M535" i="13"/>
  <c r="K393" i="13" l="1"/>
  <c r="K411" i="14"/>
  <c r="L411" i="14" s="1"/>
  <c r="I412" i="14" s="1"/>
  <c r="M536" i="13"/>
  <c r="M537" i="14"/>
  <c r="J532" i="14" a="1"/>
  <c r="J532" i="14" s="1"/>
  <c r="N533" i="14"/>
  <c r="N534" i="13"/>
  <c r="J533" i="13" a="1"/>
  <c r="J533" i="13" s="1"/>
  <c r="L393" i="13" l="1"/>
  <c r="I394" i="13" s="1"/>
  <c r="K412" i="14"/>
  <c r="L412" i="14" s="1"/>
  <c r="I413" i="14" s="1"/>
  <c r="J533" i="14" a="1"/>
  <c r="J533" i="14" s="1"/>
  <c r="N534" i="14"/>
  <c r="M537" i="13"/>
  <c r="N535" i="13"/>
  <c r="J534" i="13" a="1"/>
  <c r="J534" i="13" s="1"/>
  <c r="M538" i="14"/>
  <c r="K394" i="13" l="1"/>
  <c r="L394" i="13" s="1"/>
  <c r="I395" i="13" s="1"/>
  <c r="K413" i="14"/>
  <c r="L413" i="14" s="1"/>
  <c r="I414" i="14" s="1"/>
  <c r="J534" i="14" a="1"/>
  <c r="J534" i="14" s="1"/>
  <c r="N535" i="14"/>
  <c r="M539" i="14"/>
  <c r="M538" i="13"/>
  <c r="N536" i="13"/>
  <c r="J535" i="13" a="1"/>
  <c r="J535" i="13" s="1"/>
  <c r="K395" i="13" l="1"/>
  <c r="L395" i="13" s="1"/>
  <c r="I396" i="13" s="1"/>
  <c r="K414" i="14"/>
  <c r="L414" i="14" s="1"/>
  <c r="I415" i="14" s="1"/>
  <c r="M540" i="14"/>
  <c r="N537" i="13"/>
  <c r="J536" i="13" a="1"/>
  <c r="J536" i="13" s="1"/>
  <c r="M539" i="13"/>
  <c r="J535" i="14" a="1"/>
  <c r="J535" i="14" s="1"/>
  <c r="N536" i="14"/>
  <c r="K396" i="13" l="1"/>
  <c r="L396" i="13" s="1"/>
  <c r="I397" i="13" s="1"/>
  <c r="K415" i="14"/>
  <c r="L415" i="14" s="1"/>
  <c r="I416" i="14" s="1"/>
  <c r="M540" i="13"/>
  <c r="M541" i="14"/>
  <c r="J536" i="14" a="1"/>
  <c r="J536" i="14" s="1"/>
  <c r="N537" i="14"/>
  <c r="N538" i="13"/>
  <c r="J537" i="13" a="1"/>
  <c r="J537" i="13" s="1"/>
  <c r="K397" i="13" l="1"/>
  <c r="L397" i="13" s="1"/>
  <c r="I398" i="13" s="1"/>
  <c r="K416" i="14"/>
  <c r="J537" i="14" a="1"/>
  <c r="J537" i="14" s="1"/>
  <c r="N538" i="14"/>
  <c r="M541" i="13"/>
  <c r="N539" i="13"/>
  <c r="J538" i="13" a="1"/>
  <c r="J538" i="13" s="1"/>
  <c r="M542" i="14"/>
  <c r="K398" i="13" l="1"/>
  <c r="L398" i="13" s="1"/>
  <c r="I399" i="13" s="1"/>
  <c r="J538" i="14" a="1"/>
  <c r="J538" i="14" s="1"/>
  <c r="N539" i="14"/>
  <c r="N540" i="13"/>
  <c r="J539" i="13" a="1"/>
  <c r="J539" i="13" s="1"/>
  <c r="M543" i="14"/>
  <c r="M542" i="13"/>
  <c r="L416" i="14"/>
  <c r="I417" i="14" s="1"/>
  <c r="K399" i="13" l="1"/>
  <c r="L399" i="13" s="1"/>
  <c r="I400" i="13" s="1"/>
  <c r="M544" i="14"/>
  <c r="J539" i="14" a="1"/>
  <c r="J539" i="14" s="1"/>
  <c r="N540" i="14"/>
  <c r="M543" i="13"/>
  <c r="K417" i="14"/>
  <c r="N541" i="13"/>
  <c r="J540" i="13" a="1"/>
  <c r="J540" i="13" s="1"/>
  <c r="K400" i="13" l="1"/>
  <c r="L400" i="13" s="1"/>
  <c r="I401" i="13" s="1"/>
  <c r="M544" i="13"/>
  <c r="M545" i="14"/>
  <c r="N542" i="13"/>
  <c r="J541" i="13" a="1"/>
  <c r="J541" i="13" s="1"/>
  <c r="J540" i="14" a="1"/>
  <c r="J540" i="14" s="1"/>
  <c r="N541" i="14"/>
  <c r="L417" i="14"/>
  <c r="I418" i="14" s="1"/>
  <c r="K401" i="13" l="1"/>
  <c r="L401" i="13" s="1"/>
  <c r="I402" i="13" s="1"/>
  <c r="N543" i="13"/>
  <c r="J542" i="13" a="1"/>
  <c r="J542" i="13" s="1"/>
  <c r="J541" i="14" a="1"/>
  <c r="J541" i="14" s="1"/>
  <c r="N542" i="14"/>
  <c r="M546" i="14"/>
  <c r="K418" i="14"/>
  <c r="L418" i="14" s="1"/>
  <c r="I419" i="14" s="1"/>
  <c r="M545" i="13"/>
  <c r="K402" i="13" l="1"/>
  <c r="L402" i="13" s="1"/>
  <c r="I403" i="13" s="1"/>
  <c r="K419" i="14"/>
  <c r="L419" i="14" s="1"/>
  <c r="I420" i="14" s="1"/>
  <c r="M546" i="13"/>
  <c r="M547" i="14"/>
  <c r="N544" i="13"/>
  <c r="J543" i="13" a="1"/>
  <c r="J543" i="13" s="1"/>
  <c r="J542" i="14" a="1"/>
  <c r="J542" i="14" s="1"/>
  <c r="N543" i="14"/>
  <c r="K403" i="13" l="1"/>
  <c r="L403" i="13" s="1"/>
  <c r="I404" i="13" s="1"/>
  <c r="K420" i="14"/>
  <c r="L420" i="14" s="1"/>
  <c r="I421" i="14" s="1"/>
  <c r="J543" i="14" a="1"/>
  <c r="J543" i="14" s="1"/>
  <c r="N544" i="14"/>
  <c r="M548" i="14"/>
  <c r="M547" i="13"/>
  <c r="N545" i="13"/>
  <c r="J544" i="13" a="1"/>
  <c r="J544" i="13" s="1"/>
  <c r="K404" i="13" l="1"/>
  <c r="K421" i="14"/>
  <c r="L421" i="14" s="1"/>
  <c r="I422" i="14" s="1"/>
  <c r="M549" i="14"/>
  <c r="N546" i="13"/>
  <c r="J545" i="13" a="1"/>
  <c r="J545" i="13" s="1"/>
  <c r="M548" i="13"/>
  <c r="J544" i="14" a="1"/>
  <c r="J544" i="14" s="1"/>
  <c r="N545" i="14"/>
  <c r="L404" i="13" l="1"/>
  <c r="I405" i="13" s="1"/>
  <c r="K422" i="14"/>
  <c r="L422" i="14" s="1"/>
  <c r="I423" i="14" s="1"/>
  <c r="M549" i="13"/>
  <c r="M550" i="14"/>
  <c r="J545" i="14" a="1"/>
  <c r="J545" i="14" s="1"/>
  <c r="N546" i="14"/>
  <c r="N547" i="13"/>
  <c r="J546" i="13" a="1"/>
  <c r="J546" i="13" s="1"/>
  <c r="K405" i="13" l="1"/>
  <c r="K423" i="14"/>
  <c r="L423" i="14" s="1"/>
  <c r="I424" i="14" s="1"/>
  <c r="J546" i="14" a="1"/>
  <c r="J546" i="14" s="1"/>
  <c r="N547" i="14"/>
  <c r="M550" i="13"/>
  <c r="M551" i="14"/>
  <c r="N548" i="13"/>
  <c r="J547" i="13" a="1"/>
  <c r="J547" i="13" s="1"/>
  <c r="L405" i="13" l="1"/>
  <c r="I406" i="13" s="1"/>
  <c r="K424" i="14"/>
  <c r="L424" i="14" s="1"/>
  <c r="I425" i="14" s="1"/>
  <c r="J547" i="14" a="1"/>
  <c r="J547" i="14" s="1"/>
  <c r="N548" i="14"/>
  <c r="M551" i="13"/>
  <c r="N549" i="13"/>
  <c r="J548" i="13" a="1"/>
  <c r="J548" i="13" s="1"/>
  <c r="M552" i="14"/>
  <c r="K406" i="13" l="1"/>
  <c r="L406" i="13" s="1"/>
  <c r="I407" i="13" s="1"/>
  <c r="K425" i="14"/>
  <c r="L425" i="14" s="1"/>
  <c r="I426" i="14" s="1"/>
  <c r="N550" i="13"/>
  <c r="J549" i="13" a="1"/>
  <c r="J549" i="13" s="1"/>
  <c r="M553" i="14"/>
  <c r="M552" i="13"/>
  <c r="J548" i="14" a="1"/>
  <c r="J548" i="14" s="1"/>
  <c r="N549" i="14"/>
  <c r="K407" i="13" l="1"/>
  <c r="L407" i="13" s="1"/>
  <c r="I408" i="13" s="1"/>
  <c r="K426" i="14"/>
  <c r="L426" i="14" s="1"/>
  <c r="I427" i="14" s="1"/>
  <c r="M554" i="14"/>
  <c r="M553" i="13"/>
  <c r="J549" i="14" a="1"/>
  <c r="J549" i="14" s="1"/>
  <c r="N550" i="14"/>
  <c r="N551" i="13"/>
  <c r="J550" i="13" a="1"/>
  <c r="J550" i="13" s="1"/>
  <c r="K408" i="13" l="1"/>
  <c r="L408" i="13" s="1"/>
  <c r="I409" i="13" s="1"/>
  <c r="K427" i="14"/>
  <c r="L427" i="14" s="1"/>
  <c r="I428" i="14" s="1"/>
  <c r="N552" i="13"/>
  <c r="J551" i="13" a="1"/>
  <c r="J551" i="13" s="1"/>
  <c r="M554" i="13"/>
  <c r="J550" i="14" a="1"/>
  <c r="J550" i="14" s="1"/>
  <c r="N551" i="14"/>
  <c r="M555" i="14"/>
  <c r="K409" i="13" l="1"/>
  <c r="L409" i="13" s="1"/>
  <c r="I410" i="13" s="1"/>
  <c r="K428" i="14"/>
  <c r="N553" i="13"/>
  <c r="J552" i="13" a="1"/>
  <c r="J552" i="13" s="1"/>
  <c r="J551" i="14" a="1"/>
  <c r="J551" i="14" s="1"/>
  <c r="N552" i="14"/>
  <c r="M556" i="14"/>
  <c r="M555" i="13"/>
  <c r="K410" i="13" l="1"/>
  <c r="L410" i="13" s="1"/>
  <c r="I411" i="13" s="1"/>
  <c r="M556" i="13"/>
  <c r="J552" i="14" a="1"/>
  <c r="J552" i="14" s="1"/>
  <c r="N553" i="14"/>
  <c r="L428" i="14"/>
  <c r="I429" i="14" s="1"/>
  <c r="M557" i="14"/>
  <c r="N554" i="13"/>
  <c r="J553" i="13" a="1"/>
  <c r="J553" i="13" s="1"/>
  <c r="K411" i="13" l="1"/>
  <c r="L411" i="13" s="1"/>
  <c r="I412" i="13" s="1"/>
  <c r="K429" i="14"/>
  <c r="J553" i="14" a="1"/>
  <c r="J553" i="14" s="1"/>
  <c r="N554" i="14"/>
  <c r="M558" i="14"/>
  <c r="N555" i="13"/>
  <c r="J554" i="13" a="1"/>
  <c r="J554" i="13" s="1"/>
  <c r="M557" i="13"/>
  <c r="K412" i="13" l="1"/>
  <c r="L412" i="13" s="1"/>
  <c r="I413" i="13" s="1"/>
  <c r="N556" i="13"/>
  <c r="J555" i="13" a="1"/>
  <c r="J555" i="13" s="1"/>
  <c r="M558" i="13"/>
  <c r="M559" i="14"/>
  <c r="L429" i="14"/>
  <c r="I430" i="14" s="1"/>
  <c r="J554" i="14" a="1"/>
  <c r="J554" i="14" s="1"/>
  <c r="N555" i="14"/>
  <c r="K413" i="13" l="1"/>
  <c r="L413" i="13" s="1"/>
  <c r="I414" i="13" s="1"/>
  <c r="N557" i="13"/>
  <c r="J556" i="13" a="1"/>
  <c r="J556" i="13" s="1"/>
  <c r="J555" i="14" a="1"/>
  <c r="J555" i="14" s="1"/>
  <c r="N556" i="14"/>
  <c r="M559" i="13"/>
  <c r="K430" i="14"/>
  <c r="L430" i="14" s="1"/>
  <c r="I431" i="14" s="1"/>
  <c r="M560" i="14"/>
  <c r="K414" i="13" l="1"/>
  <c r="L414" i="13" s="1"/>
  <c r="I415" i="13" s="1"/>
  <c r="K431" i="14"/>
  <c r="L431" i="14" s="1"/>
  <c r="I432" i="14" s="1"/>
  <c r="M561" i="14"/>
  <c r="M560" i="13"/>
  <c r="N558" i="13"/>
  <c r="J557" i="13" a="1"/>
  <c r="J557" i="13" s="1"/>
  <c r="J556" i="14" a="1"/>
  <c r="J556" i="14" s="1"/>
  <c r="N557" i="14"/>
  <c r="K415" i="13" l="1"/>
  <c r="L415" i="13" s="1"/>
  <c r="I416" i="13" s="1"/>
  <c r="K432" i="14"/>
  <c r="L432" i="14" s="1"/>
  <c r="I433" i="14" s="1"/>
  <c r="J557" i="14" a="1"/>
  <c r="J557" i="14" s="1"/>
  <c r="N558" i="14"/>
  <c r="M561" i="13"/>
  <c r="M562" i="14"/>
  <c r="N559" i="13"/>
  <c r="J558" i="13" a="1"/>
  <c r="J558" i="13" s="1"/>
  <c r="K416" i="13" l="1"/>
  <c r="K433" i="14"/>
  <c r="L433" i="14" s="1"/>
  <c r="I434" i="14" s="1"/>
  <c r="M562" i="13"/>
  <c r="M563" i="14"/>
  <c r="J558" i="14" a="1"/>
  <c r="J558" i="14" s="1"/>
  <c r="N559" i="14"/>
  <c r="N560" i="13"/>
  <c r="J559" i="13" a="1"/>
  <c r="J559" i="13" s="1"/>
  <c r="L416" i="13" l="1"/>
  <c r="I417" i="13" s="1"/>
  <c r="K434" i="14"/>
  <c r="L434" i="14" s="1"/>
  <c r="I435" i="14" s="1"/>
  <c r="M564" i="14"/>
  <c r="J559" i="14" a="1"/>
  <c r="J559" i="14" s="1"/>
  <c r="N560" i="14"/>
  <c r="M563" i="13"/>
  <c r="N561" i="13"/>
  <c r="J560" i="13" a="1"/>
  <c r="J560" i="13" s="1"/>
  <c r="K417" i="13" l="1"/>
  <c r="K435" i="14"/>
  <c r="L435" i="14" s="1"/>
  <c r="I436" i="14" s="1"/>
  <c r="J560" i="14" a="1"/>
  <c r="J560" i="14" s="1"/>
  <c r="N561" i="14"/>
  <c r="M565" i="14"/>
  <c r="N562" i="13"/>
  <c r="J561" i="13" a="1"/>
  <c r="J561" i="13" s="1"/>
  <c r="M564" i="13"/>
  <c r="L417" i="13" l="1"/>
  <c r="I418" i="13" s="1"/>
  <c r="K436" i="14"/>
  <c r="L436" i="14" s="1"/>
  <c r="I437" i="14" s="1"/>
  <c r="J561" i="14" a="1"/>
  <c r="J561" i="14" s="1"/>
  <c r="N562" i="14"/>
  <c r="M565" i="13"/>
  <c r="N563" i="13"/>
  <c r="J562" i="13" a="1"/>
  <c r="J562" i="13" s="1"/>
  <c r="M566" i="14"/>
  <c r="K418" i="13" l="1"/>
  <c r="L418" i="13" s="1"/>
  <c r="I419" i="13" s="1"/>
  <c r="K437" i="14"/>
  <c r="L437" i="14" s="1"/>
  <c r="I438" i="14" s="1"/>
  <c r="M566" i="13"/>
  <c r="N564" i="13"/>
  <c r="J563" i="13" a="1"/>
  <c r="J563" i="13" s="1"/>
  <c r="J562" i="14" a="1"/>
  <c r="J562" i="14" s="1"/>
  <c r="N563" i="14"/>
  <c r="M567" i="14"/>
  <c r="K419" i="13" l="1"/>
  <c r="L419" i="13" s="1"/>
  <c r="I420" i="13" s="1"/>
  <c r="K438" i="14"/>
  <c r="L438" i="14" s="1"/>
  <c r="I439" i="14" s="1"/>
  <c r="M568" i="14"/>
  <c r="N565" i="13"/>
  <c r="J564" i="13" a="1"/>
  <c r="J564" i="13" s="1"/>
  <c r="J563" i="14" a="1"/>
  <c r="J563" i="14" s="1"/>
  <c r="N564" i="14"/>
  <c r="M567" i="13"/>
  <c r="K420" i="13" l="1"/>
  <c r="L420" i="13" s="1"/>
  <c r="I421" i="13" s="1"/>
  <c r="K439" i="14"/>
  <c r="L439" i="14" s="1"/>
  <c r="I440" i="14" s="1"/>
  <c r="M568" i="13"/>
  <c r="N566" i="13"/>
  <c r="J565" i="13" a="1"/>
  <c r="J565" i="13" s="1"/>
  <c r="J564" i="14" a="1"/>
  <c r="J564" i="14" s="1"/>
  <c r="N565" i="14"/>
  <c r="M569" i="14"/>
  <c r="K421" i="13" l="1"/>
  <c r="L421" i="13" s="1"/>
  <c r="I422" i="13" s="1"/>
  <c r="K440" i="14"/>
  <c r="M570" i="14"/>
  <c r="N567" i="13"/>
  <c r="J566" i="13" a="1"/>
  <c r="J566" i="13" s="1"/>
  <c r="J565" i="14" a="1"/>
  <c r="J565" i="14" s="1"/>
  <c r="N566" i="14"/>
  <c r="M569" i="13"/>
  <c r="K422" i="13" l="1"/>
  <c r="L422" i="13" s="1"/>
  <c r="I423" i="13" s="1"/>
  <c r="M570" i="13"/>
  <c r="N568" i="13"/>
  <c r="J567" i="13" a="1"/>
  <c r="J567" i="13" s="1"/>
  <c r="J566" i="14" a="1"/>
  <c r="J566" i="14" s="1"/>
  <c r="N567" i="14"/>
  <c r="M571" i="14"/>
  <c r="L440" i="14"/>
  <c r="I441" i="14" s="1"/>
  <c r="K423" i="13" l="1"/>
  <c r="L423" i="13" s="1"/>
  <c r="I424" i="13" s="1"/>
  <c r="M572" i="14"/>
  <c r="N569" i="13"/>
  <c r="J568" i="13" a="1"/>
  <c r="J568" i="13" s="1"/>
  <c r="K441" i="14"/>
  <c r="J567" i="14" a="1"/>
  <c r="J567" i="14" s="1"/>
  <c r="N568" i="14"/>
  <c r="M571" i="13"/>
  <c r="K424" i="13" l="1"/>
  <c r="L424" i="13" s="1"/>
  <c r="I425" i="13" s="1"/>
  <c r="M573" i="14"/>
  <c r="L441" i="14"/>
  <c r="I442" i="14" s="1"/>
  <c r="M572" i="13"/>
  <c r="J568" i="14" a="1"/>
  <c r="J568" i="14" s="1"/>
  <c r="N569" i="14"/>
  <c r="N570" i="13"/>
  <c r="J569" i="13" a="1"/>
  <c r="J569" i="13" s="1"/>
  <c r="K425" i="13" l="1"/>
  <c r="L425" i="13" s="1"/>
  <c r="I426" i="13" s="1"/>
  <c r="M573" i="13"/>
  <c r="J569" i="14" a="1"/>
  <c r="J569" i="14" s="1"/>
  <c r="N570" i="14"/>
  <c r="K442" i="14"/>
  <c r="L442" i="14" s="1"/>
  <c r="I443" i="14" s="1"/>
  <c r="N571" i="13"/>
  <c r="J570" i="13" a="1"/>
  <c r="J570" i="13" s="1"/>
  <c r="M574" i="14"/>
  <c r="K426" i="13" l="1"/>
  <c r="L426" i="13" s="1"/>
  <c r="I427" i="13" s="1"/>
  <c r="K443" i="14"/>
  <c r="L443" i="14" s="1"/>
  <c r="I444" i="14" s="1"/>
  <c r="M575" i="14"/>
  <c r="M574" i="13"/>
  <c r="J570" i="14" a="1"/>
  <c r="J570" i="14" s="1"/>
  <c r="N571" i="14"/>
  <c r="N572" i="13"/>
  <c r="J571" i="13" a="1"/>
  <c r="J571" i="13" s="1"/>
  <c r="K427" i="13" l="1"/>
  <c r="L427" i="13" s="1"/>
  <c r="I428" i="13" s="1"/>
  <c r="K444" i="14"/>
  <c r="L444" i="14" s="1"/>
  <c r="I445" i="14" s="1"/>
  <c r="N573" i="13"/>
  <c r="J572" i="13" a="1"/>
  <c r="J572" i="13" s="1"/>
  <c r="J571" i="14" a="1"/>
  <c r="J571" i="14" s="1"/>
  <c r="N572" i="14"/>
  <c r="M576" i="14"/>
  <c r="M575" i="13"/>
  <c r="K428" i="13" l="1"/>
  <c r="K445" i="14"/>
  <c r="L445" i="14" s="1"/>
  <c r="I446" i="14" s="1"/>
  <c r="J572" i="14" a="1"/>
  <c r="J572" i="14" s="1"/>
  <c r="N573" i="14"/>
  <c r="M577" i="14"/>
  <c r="M576" i="13"/>
  <c r="N574" i="13"/>
  <c r="J573" i="13" a="1"/>
  <c r="J573" i="13" s="1"/>
  <c r="L428" i="13" l="1"/>
  <c r="I429" i="13" s="1"/>
  <c r="K446" i="14"/>
  <c r="L446" i="14" s="1"/>
  <c r="I447" i="14" s="1"/>
  <c r="J573" i="14" a="1"/>
  <c r="J573" i="14" s="1"/>
  <c r="N574" i="14"/>
  <c r="N575" i="13"/>
  <c r="J574" i="13" a="1"/>
  <c r="J574" i="13" s="1"/>
  <c r="M578" i="14"/>
  <c r="M577" i="13"/>
  <c r="K429" i="13" l="1"/>
  <c r="L429" i="13" s="1"/>
  <c r="I430" i="13" s="1"/>
  <c r="K447" i="14"/>
  <c r="L447" i="14" s="1"/>
  <c r="I448" i="14" s="1"/>
  <c r="N576" i="13"/>
  <c r="J575" i="13" a="1"/>
  <c r="J575" i="13" s="1"/>
  <c r="M578" i="13"/>
  <c r="M579" i="14"/>
  <c r="J574" i="14" a="1"/>
  <c r="J574" i="14" s="1"/>
  <c r="N575" i="14"/>
  <c r="K430" i="13" l="1"/>
  <c r="L430" i="13" s="1"/>
  <c r="I431" i="13" s="1"/>
  <c r="K448" i="14"/>
  <c r="L448" i="14" s="1"/>
  <c r="I449" i="14" s="1"/>
  <c r="J575" i="14" a="1"/>
  <c r="J575" i="14" s="1"/>
  <c r="N576" i="14"/>
  <c r="M579" i="13"/>
  <c r="M580" i="14"/>
  <c r="N577" i="13"/>
  <c r="J576" i="13" a="1"/>
  <c r="J576" i="13" s="1"/>
  <c r="K431" i="13" l="1"/>
  <c r="L431" i="13" s="1"/>
  <c r="I432" i="13" s="1"/>
  <c r="K449" i="14"/>
  <c r="L449" i="14" s="1"/>
  <c r="I450" i="14" s="1"/>
  <c r="N578" i="13"/>
  <c r="J577" i="13" a="1"/>
  <c r="J577" i="13" s="1"/>
  <c r="J576" i="14" a="1"/>
  <c r="J576" i="14" s="1"/>
  <c r="N577" i="14"/>
  <c r="M580" i="13"/>
  <c r="M581" i="14"/>
  <c r="K432" i="13" l="1"/>
  <c r="L432" i="13" s="1"/>
  <c r="I433" i="13" s="1"/>
  <c r="K450" i="14"/>
  <c r="L450" i="14" s="1"/>
  <c r="I451" i="14" s="1"/>
  <c r="J577" i="14" a="1"/>
  <c r="J577" i="14" s="1"/>
  <c r="N578" i="14"/>
  <c r="M581" i="13"/>
  <c r="M582" i="14"/>
  <c r="N579" i="13"/>
  <c r="J578" i="13" a="1"/>
  <c r="J578" i="13" s="1"/>
  <c r="K433" i="13" l="1"/>
  <c r="L433" i="13" s="1"/>
  <c r="I434" i="13" s="1"/>
  <c r="M582" i="13"/>
  <c r="N580" i="13"/>
  <c r="J579" i="13" a="1"/>
  <c r="J579" i="13" s="1"/>
  <c r="M583" i="14"/>
  <c r="J578" i="14" a="1"/>
  <c r="J578" i="14" s="1"/>
  <c r="N579" i="14"/>
  <c r="K451" i="14"/>
  <c r="L451" i="14" s="1"/>
  <c r="I452" i="14" s="1"/>
  <c r="K434" i="13" l="1"/>
  <c r="L434" i="13" s="1"/>
  <c r="I435" i="13" s="1"/>
  <c r="K452" i="14"/>
  <c r="M584" i="14"/>
  <c r="M583" i="13"/>
  <c r="J579" i="14" a="1"/>
  <c r="J579" i="14" s="1"/>
  <c r="N580" i="14"/>
  <c r="N581" i="13"/>
  <c r="J580" i="13" a="1"/>
  <c r="J580" i="13" s="1"/>
  <c r="K435" i="13" l="1"/>
  <c r="L435" i="13" s="1"/>
  <c r="I436" i="13" s="1"/>
  <c r="M584" i="13"/>
  <c r="N582" i="13"/>
  <c r="J581" i="13" a="1"/>
  <c r="J581" i="13" s="1"/>
  <c r="J580" i="14" a="1"/>
  <c r="J580" i="14" s="1"/>
  <c r="N581" i="14"/>
  <c r="M585" i="14"/>
  <c r="L452" i="14"/>
  <c r="I453" i="14" s="1"/>
  <c r="K436" i="13" l="1"/>
  <c r="L436" i="13" s="1"/>
  <c r="I437" i="13" s="1"/>
  <c r="K453" i="14"/>
  <c r="L453" i="14" s="1"/>
  <c r="I454" i="14" s="1"/>
  <c r="M585" i="13"/>
  <c r="M586" i="14"/>
  <c r="J581" i="14" a="1"/>
  <c r="J581" i="14" s="1"/>
  <c r="N582" i="14"/>
  <c r="N583" i="13"/>
  <c r="J582" i="13" a="1"/>
  <c r="J582" i="13" s="1"/>
  <c r="K437" i="13" l="1"/>
  <c r="L437" i="13" s="1"/>
  <c r="I438" i="13" s="1"/>
  <c r="K454" i="14"/>
  <c r="L454" i="14" s="1"/>
  <c r="I455" i="14" s="1"/>
  <c r="N584" i="13"/>
  <c r="J583" i="13" a="1"/>
  <c r="J583" i="13" s="1"/>
  <c r="J582" i="14" a="1"/>
  <c r="J582" i="14" s="1"/>
  <c r="N583" i="14"/>
  <c r="M586" i="13"/>
  <c r="M587" i="14"/>
  <c r="K438" i="13" l="1"/>
  <c r="L438" i="13" s="1"/>
  <c r="I439" i="13" s="1"/>
  <c r="K455" i="14"/>
  <c r="L455" i="14" s="1"/>
  <c r="I456" i="14" s="1"/>
  <c r="M588" i="14"/>
  <c r="J583" i="14" a="1"/>
  <c r="J583" i="14" s="1"/>
  <c r="N584" i="14"/>
  <c r="N585" i="13"/>
  <c r="J584" i="13" a="1"/>
  <c r="J584" i="13" s="1"/>
  <c r="M587" i="13"/>
  <c r="K439" i="13" l="1"/>
  <c r="L439" i="13" s="1"/>
  <c r="I440" i="13" s="1"/>
  <c r="K456" i="14"/>
  <c r="L456" i="14" s="1"/>
  <c r="I457" i="14" s="1"/>
  <c r="M588" i="13"/>
  <c r="J584" i="14" a="1"/>
  <c r="J584" i="14" s="1"/>
  <c r="N585" i="14"/>
  <c r="M589" i="14"/>
  <c r="N586" i="13"/>
  <c r="J585" i="13" a="1"/>
  <c r="J585" i="13" s="1"/>
  <c r="K440" i="13" l="1"/>
  <c r="L440" i="13" s="1"/>
  <c r="I441" i="13" s="1"/>
  <c r="K457" i="14"/>
  <c r="L457" i="14" s="1"/>
  <c r="I458" i="14" s="1"/>
  <c r="M589" i="13"/>
  <c r="N587" i="13"/>
  <c r="J586" i="13" a="1"/>
  <c r="J586" i="13" s="1"/>
  <c r="J585" i="14" a="1"/>
  <c r="J585" i="14" s="1"/>
  <c r="N586" i="14"/>
  <c r="M590" i="14"/>
  <c r="K441" i="13" l="1"/>
  <c r="L441" i="13" s="1"/>
  <c r="I442" i="13" s="1"/>
  <c r="N588" i="13"/>
  <c r="J587" i="13" a="1"/>
  <c r="J587" i="13" s="1"/>
  <c r="J586" i="14" a="1"/>
  <c r="J586" i="14" s="1"/>
  <c r="N587" i="14"/>
  <c r="M590" i="13"/>
  <c r="M591" i="14"/>
  <c r="K458" i="14"/>
  <c r="L458" i="14" s="1"/>
  <c r="I459" i="14" s="1"/>
  <c r="K442" i="13" l="1"/>
  <c r="K459" i="14"/>
  <c r="L459" i="14" s="1"/>
  <c r="I460" i="14" s="1"/>
  <c r="M592" i="14"/>
  <c r="J587" i="14" a="1"/>
  <c r="J587" i="14" s="1"/>
  <c r="N588" i="14"/>
  <c r="M591" i="13"/>
  <c r="N589" i="13"/>
  <c r="J588" i="13" a="1"/>
  <c r="J588" i="13" s="1"/>
  <c r="L442" i="13" l="1"/>
  <c r="I443" i="13" s="1"/>
  <c r="K460" i="14"/>
  <c r="L460" i="14" s="1"/>
  <c r="I461" i="14" s="1"/>
  <c r="M592" i="13"/>
  <c r="M593" i="14"/>
  <c r="J588" i="14" a="1"/>
  <c r="J588" i="14" s="1"/>
  <c r="N589" i="14"/>
  <c r="N590" i="13"/>
  <c r="J589" i="13" a="1"/>
  <c r="J589" i="13" s="1"/>
  <c r="K443" i="13" l="1"/>
  <c r="L443" i="13" s="1"/>
  <c r="I444" i="13" s="1"/>
  <c r="K461" i="14"/>
  <c r="L461" i="14" s="1"/>
  <c r="I462" i="14" s="1"/>
  <c r="J589" i="14" a="1"/>
  <c r="J589" i="14" s="1"/>
  <c r="N590" i="14"/>
  <c r="M593" i="13"/>
  <c r="N591" i="13"/>
  <c r="J590" i="13" a="1"/>
  <c r="J590" i="13" s="1"/>
  <c r="M594" i="14"/>
  <c r="K444" i="13" l="1"/>
  <c r="L444" i="13" s="1"/>
  <c r="I445" i="13" s="1"/>
  <c r="K462" i="14"/>
  <c r="L462" i="14" s="1"/>
  <c r="I463" i="14" s="1"/>
  <c r="M595" i="14"/>
  <c r="M594" i="13"/>
  <c r="J590" i="14" a="1"/>
  <c r="J590" i="14" s="1"/>
  <c r="N591" i="14"/>
  <c r="N592" i="13"/>
  <c r="J591" i="13" a="1"/>
  <c r="J591" i="13" s="1"/>
  <c r="K445" i="13" l="1"/>
  <c r="L445" i="13" s="1"/>
  <c r="I446" i="13" s="1"/>
  <c r="K463" i="14"/>
  <c r="L463" i="14" s="1"/>
  <c r="I464" i="14" s="1"/>
  <c r="M595" i="13"/>
  <c r="N593" i="13"/>
  <c r="J592" i="13" a="1"/>
  <c r="J592" i="13" s="1"/>
  <c r="J591" i="14" a="1"/>
  <c r="J591" i="14" s="1"/>
  <c r="N592" i="14"/>
  <c r="M596" i="14"/>
  <c r="K446" i="13" l="1"/>
  <c r="L446" i="13" s="1"/>
  <c r="I447" i="13" s="1"/>
  <c r="K464" i="14"/>
  <c r="M597" i="14"/>
  <c r="N594" i="13"/>
  <c r="J593" i="13" a="1"/>
  <c r="J593" i="13" s="1"/>
  <c r="J592" i="14" a="1"/>
  <c r="J592" i="14" s="1"/>
  <c r="N593" i="14"/>
  <c r="M596" i="13"/>
  <c r="K447" i="13" l="1"/>
  <c r="L447" i="13" s="1"/>
  <c r="I448" i="13" s="1"/>
  <c r="M597" i="13"/>
  <c r="N595" i="13"/>
  <c r="J594" i="13" a="1"/>
  <c r="J594" i="13" s="1"/>
  <c r="J593" i="14" a="1"/>
  <c r="J593" i="14" s="1"/>
  <c r="N594" i="14"/>
  <c r="M598" i="14"/>
  <c r="L464" i="14"/>
  <c r="I465" i="14" s="1"/>
  <c r="K448" i="13" l="1"/>
  <c r="L448" i="13" s="1"/>
  <c r="I449" i="13" s="1"/>
  <c r="M598" i="13"/>
  <c r="K465" i="14"/>
  <c r="M599" i="14"/>
  <c r="J594" i="14" a="1"/>
  <c r="J594" i="14" s="1"/>
  <c r="N595" i="14"/>
  <c r="N596" i="13"/>
  <c r="J595" i="13" a="1"/>
  <c r="J595" i="13" s="1"/>
  <c r="K449" i="13" l="1"/>
  <c r="L449" i="13" s="1"/>
  <c r="I450" i="13" s="1"/>
  <c r="M600" i="14"/>
  <c r="M599" i="13"/>
  <c r="N597" i="13"/>
  <c r="J596" i="13" a="1"/>
  <c r="J596" i="13" s="1"/>
  <c r="J595" i="14" a="1"/>
  <c r="J595" i="14" s="1"/>
  <c r="N596" i="14"/>
  <c r="L465" i="14"/>
  <c r="I466" i="14" s="1"/>
  <c r="K450" i="13" l="1"/>
  <c r="L450" i="13" s="1"/>
  <c r="I451" i="13" s="1"/>
  <c r="M601" i="14"/>
  <c r="J596" i="14" a="1"/>
  <c r="J596" i="14" s="1"/>
  <c r="N597" i="14"/>
  <c r="N598" i="13"/>
  <c r="J597" i="13" a="1"/>
  <c r="J597" i="13" s="1"/>
  <c r="K466" i="14"/>
  <c r="L466" i="14" s="1"/>
  <c r="I467" i="14" s="1"/>
  <c r="M600" i="13"/>
  <c r="K451" i="13" l="1"/>
  <c r="L451" i="13" s="1"/>
  <c r="I452" i="13" s="1"/>
  <c r="M602" i="14"/>
  <c r="N599" i="13"/>
  <c r="J598" i="13" a="1"/>
  <c r="J598" i="13" s="1"/>
  <c r="J597" i="14" a="1"/>
  <c r="J597" i="14" s="1"/>
  <c r="N598" i="14"/>
  <c r="K467" i="14"/>
  <c r="L467" i="14" s="1"/>
  <c r="I468" i="14" s="1"/>
  <c r="M601" i="13"/>
  <c r="K452" i="13" l="1"/>
  <c r="L452" i="13" s="1"/>
  <c r="I453" i="13" s="1"/>
  <c r="K468" i="14"/>
  <c r="L468" i="14" s="1"/>
  <c r="I469" i="14" s="1"/>
  <c r="M602" i="13"/>
  <c r="J598" i="14" a="1"/>
  <c r="J598" i="14" s="1"/>
  <c r="N599" i="14"/>
  <c r="M603" i="14"/>
  <c r="N600" i="13"/>
  <c r="J599" i="13" a="1"/>
  <c r="J599" i="13" s="1"/>
  <c r="K453" i="13" l="1"/>
  <c r="L453" i="13" s="1"/>
  <c r="I454" i="13" s="1"/>
  <c r="K469" i="14"/>
  <c r="L469" i="14" s="1"/>
  <c r="I470" i="14" s="1"/>
  <c r="J599" i="14" a="1"/>
  <c r="J599" i="14" s="1"/>
  <c r="N600" i="14"/>
  <c r="N601" i="13"/>
  <c r="J600" i="13" a="1"/>
  <c r="J600" i="13" s="1"/>
  <c r="M604" i="14"/>
  <c r="M603" i="13"/>
  <c r="K454" i="13" l="1"/>
  <c r="K470" i="14"/>
  <c r="L470" i="14" s="1"/>
  <c r="I471" i="14" s="1"/>
  <c r="M604" i="13"/>
  <c r="N602" i="13"/>
  <c r="J601" i="13" a="1"/>
  <c r="J601" i="13" s="1"/>
  <c r="M605" i="14"/>
  <c r="J600" i="14" a="1"/>
  <c r="J600" i="14" s="1"/>
  <c r="N601" i="14"/>
  <c r="L454" i="13" l="1"/>
  <c r="I455" i="13" s="1"/>
  <c r="K471" i="14"/>
  <c r="L471" i="14" s="1"/>
  <c r="I472" i="14" s="1"/>
  <c r="M606" i="14"/>
  <c r="M605" i="13"/>
  <c r="J601" i="14" a="1"/>
  <c r="J601" i="14" s="1"/>
  <c r="N602" i="14"/>
  <c r="N603" i="13"/>
  <c r="J602" i="13" a="1"/>
  <c r="J602" i="13" s="1"/>
  <c r="K455" i="13" l="1"/>
  <c r="L455" i="13" s="1"/>
  <c r="I456" i="13" s="1"/>
  <c r="K472" i="14"/>
  <c r="L472" i="14" s="1"/>
  <c r="I473" i="14" s="1"/>
  <c r="M606" i="13"/>
  <c r="N604" i="13"/>
  <c r="J603" i="13" a="1"/>
  <c r="J603" i="13" s="1"/>
  <c r="J602" i="14" a="1"/>
  <c r="J602" i="14" s="1"/>
  <c r="N603" i="14"/>
  <c r="M607" i="14"/>
  <c r="K456" i="13" l="1"/>
  <c r="L456" i="13" s="1"/>
  <c r="I457" i="13" s="1"/>
  <c r="K473" i="14"/>
  <c r="L473" i="14" s="1"/>
  <c r="I474" i="14" s="1"/>
  <c r="M608" i="14"/>
  <c r="N605" i="13"/>
  <c r="J604" i="13" a="1"/>
  <c r="J604" i="13" s="1"/>
  <c r="J603" i="14" a="1"/>
  <c r="J603" i="14" s="1"/>
  <c r="N604" i="14"/>
  <c r="M607" i="13"/>
  <c r="K457" i="13" l="1"/>
  <c r="L457" i="13" s="1"/>
  <c r="I458" i="13" s="1"/>
  <c r="K474" i="14"/>
  <c r="L474" i="14" s="1"/>
  <c r="I475" i="14" s="1"/>
  <c r="J604" i="14" a="1"/>
  <c r="J604" i="14" s="1"/>
  <c r="N605" i="14"/>
  <c r="M609" i="14"/>
  <c r="M608" i="13"/>
  <c r="N606" i="13"/>
  <c r="J605" i="13" a="1"/>
  <c r="J605" i="13" s="1"/>
  <c r="K458" i="13" l="1"/>
  <c r="L458" i="13" s="1"/>
  <c r="I459" i="13" s="1"/>
  <c r="K475" i="14"/>
  <c r="L475" i="14" s="1"/>
  <c r="I476" i="14" s="1"/>
  <c r="M610" i="14"/>
  <c r="J605" i="14" a="1"/>
  <c r="J605" i="14" s="1"/>
  <c r="N606" i="14"/>
  <c r="N607" i="13"/>
  <c r="J606" i="13" a="1"/>
  <c r="J606" i="13" s="1"/>
  <c r="M609" i="13"/>
  <c r="K459" i="13" l="1"/>
  <c r="L459" i="13" s="1"/>
  <c r="I460" i="13" s="1"/>
  <c r="K476" i="14"/>
  <c r="L476" i="14" s="1"/>
  <c r="I477" i="14" s="1"/>
  <c r="J606" i="14" a="1"/>
  <c r="J606" i="14" s="1"/>
  <c r="N607" i="14"/>
  <c r="M611" i="14"/>
  <c r="M610" i="13"/>
  <c r="N608" i="13"/>
  <c r="J607" i="13" a="1"/>
  <c r="J607" i="13" s="1"/>
  <c r="K460" i="13" l="1"/>
  <c r="L460" i="13" s="1"/>
  <c r="I461" i="13" s="1"/>
  <c r="J607" i="14" a="1"/>
  <c r="J607" i="14" s="1"/>
  <c r="N608" i="14"/>
  <c r="M611" i="13"/>
  <c r="M612" i="14"/>
  <c r="N609" i="13"/>
  <c r="J608" i="13" a="1"/>
  <c r="J608" i="13" s="1"/>
  <c r="K477" i="14"/>
  <c r="L477" i="14" s="1"/>
  <c r="I478" i="14" s="1"/>
  <c r="K461" i="13" l="1"/>
  <c r="L461" i="13" s="1"/>
  <c r="I462" i="13" s="1"/>
  <c r="K478" i="14"/>
  <c r="M613" i="14"/>
  <c r="J608" i="14" a="1"/>
  <c r="J608" i="14" s="1"/>
  <c r="N609" i="14"/>
  <c r="M612" i="13"/>
  <c r="N610" i="13"/>
  <c r="J609" i="13" a="1"/>
  <c r="J609" i="13" s="1"/>
  <c r="K462" i="13" l="1"/>
  <c r="L462" i="13" s="1"/>
  <c r="I463" i="13" s="1"/>
  <c r="N611" i="13"/>
  <c r="J610" i="13" a="1"/>
  <c r="J610" i="13" s="1"/>
  <c r="M613" i="13"/>
  <c r="M614" i="14"/>
  <c r="L478" i="14"/>
  <c r="I479" i="14" s="1"/>
  <c r="J609" i="14" a="1"/>
  <c r="J609" i="14" s="1"/>
  <c r="N610" i="14"/>
  <c r="K463" i="13" l="1"/>
  <c r="L463" i="13" s="1"/>
  <c r="I464" i="13" s="1"/>
  <c r="M614" i="13"/>
  <c r="N612" i="13"/>
  <c r="J611" i="13" a="1"/>
  <c r="J611" i="13" s="1"/>
  <c r="K479" i="14"/>
  <c r="L479" i="14" s="1"/>
  <c r="I480" i="14" s="1"/>
  <c r="J610" i="14" a="1"/>
  <c r="J610" i="14" s="1"/>
  <c r="N611" i="14"/>
  <c r="M615" i="14"/>
  <c r="K464" i="13" l="1"/>
  <c r="K480" i="14"/>
  <c r="L480" i="14" s="1"/>
  <c r="I481" i="14" s="1"/>
  <c r="N613" i="13"/>
  <c r="J612" i="13" a="1"/>
  <c r="J612" i="13" s="1"/>
  <c r="J611" i="14" a="1"/>
  <c r="J611" i="14" s="1"/>
  <c r="N612" i="14"/>
  <c r="M616" i="14"/>
  <c r="M615" i="13"/>
  <c r="L464" i="13" l="1"/>
  <c r="I465" i="13" s="1"/>
  <c r="K481" i="14"/>
  <c r="L481" i="14" s="1"/>
  <c r="I482" i="14" s="1"/>
  <c r="J612" i="14" a="1"/>
  <c r="J612" i="14" s="1"/>
  <c r="N613" i="14"/>
  <c r="M617" i="14"/>
  <c r="M616" i="13"/>
  <c r="N614" i="13"/>
  <c r="J613" i="13" a="1"/>
  <c r="J613" i="13" s="1"/>
  <c r="K465" i="13" l="1"/>
  <c r="K482" i="14"/>
  <c r="L482" i="14" s="1"/>
  <c r="I483" i="14" s="1"/>
  <c r="N615" i="13"/>
  <c r="J614" i="13" a="1"/>
  <c r="J614" i="13" s="1"/>
  <c r="M617" i="13"/>
  <c r="J613" i="14" a="1"/>
  <c r="J613" i="14" s="1"/>
  <c r="N614" i="14"/>
  <c r="M618" i="14"/>
  <c r="L465" i="13" l="1"/>
  <c r="I466" i="13" s="1"/>
  <c r="K483" i="14"/>
  <c r="L483" i="14" s="1"/>
  <c r="I484" i="14" s="1"/>
  <c r="M619" i="14"/>
  <c r="N616" i="13"/>
  <c r="J615" i="13" a="1"/>
  <c r="J615" i="13" s="1"/>
  <c r="M618" i="13"/>
  <c r="J614" i="14" a="1"/>
  <c r="J614" i="14" s="1"/>
  <c r="N615" i="14"/>
  <c r="K466" i="13" l="1"/>
  <c r="L466" i="13" s="1"/>
  <c r="I467" i="13" s="1"/>
  <c r="K484" i="14"/>
  <c r="L484" i="14" s="1"/>
  <c r="I485" i="14" s="1"/>
  <c r="J615" i="14" a="1"/>
  <c r="J615" i="14" s="1"/>
  <c r="N616" i="14"/>
  <c r="M619" i="13"/>
  <c r="M620" i="14"/>
  <c r="N617" i="13"/>
  <c r="J616" i="13" a="1"/>
  <c r="J616" i="13" s="1"/>
  <c r="K467" i="13" l="1"/>
  <c r="L467" i="13" s="1"/>
  <c r="I468" i="13" s="1"/>
  <c r="K485" i="14"/>
  <c r="L485" i="14" s="1"/>
  <c r="I486" i="14" s="1"/>
  <c r="N618" i="13"/>
  <c r="J617" i="13" a="1"/>
  <c r="J617" i="13" s="1"/>
  <c r="M621" i="14"/>
  <c r="J616" i="14" a="1"/>
  <c r="J616" i="14" s="1"/>
  <c r="N617" i="14"/>
  <c r="M620" i="13"/>
  <c r="K468" i="13" l="1"/>
  <c r="L468" i="13" s="1"/>
  <c r="I469" i="13" s="1"/>
  <c r="K486" i="14"/>
  <c r="L486" i="14" s="1"/>
  <c r="I487" i="14" s="1"/>
  <c r="M621" i="13"/>
  <c r="M622" i="14"/>
  <c r="J617" i="14" a="1"/>
  <c r="J617" i="14" s="1"/>
  <c r="N618" i="14"/>
  <c r="N619" i="13"/>
  <c r="J618" i="13" a="1"/>
  <c r="J618" i="13" s="1"/>
  <c r="K469" i="13" l="1"/>
  <c r="L469" i="13" s="1"/>
  <c r="I470" i="13" s="1"/>
  <c r="K487" i="14"/>
  <c r="L487" i="14" s="1"/>
  <c r="I488" i="14" s="1"/>
  <c r="M623" i="14"/>
  <c r="N620" i="13"/>
  <c r="J619" i="13" a="1"/>
  <c r="J619" i="13" s="1"/>
  <c r="J618" i="14" a="1"/>
  <c r="J618" i="14" s="1"/>
  <c r="N619" i="14"/>
  <c r="M622" i="13"/>
  <c r="K470" i="13" l="1"/>
  <c r="L470" i="13" s="1"/>
  <c r="I471" i="13" s="1"/>
  <c r="K488" i="14"/>
  <c r="M623" i="13"/>
  <c r="N621" i="13"/>
  <c r="J620" i="13" a="1"/>
  <c r="J620" i="13" s="1"/>
  <c r="M624" i="14"/>
  <c r="J619" i="14" a="1"/>
  <c r="J619" i="14" s="1"/>
  <c r="N620" i="14"/>
  <c r="K471" i="13" l="1"/>
  <c r="L471" i="13" s="1"/>
  <c r="I472" i="13" s="1"/>
  <c r="L488" i="14"/>
  <c r="I489" i="14" s="1"/>
  <c r="J620" i="14" a="1"/>
  <c r="J620" i="14" s="1"/>
  <c r="N621" i="14"/>
  <c r="M624" i="13"/>
  <c r="N622" i="13"/>
  <c r="J621" i="13" a="1"/>
  <c r="J621" i="13" s="1"/>
  <c r="M625" i="14"/>
  <c r="K472" i="13" l="1"/>
  <c r="L472" i="13" s="1"/>
  <c r="I473" i="13" s="1"/>
  <c r="M626" i="14"/>
  <c r="M625" i="13"/>
  <c r="K489" i="14"/>
  <c r="N623" i="13"/>
  <c r="J622" i="13" a="1"/>
  <c r="J622" i="13" s="1"/>
  <c r="J621" i="14" a="1"/>
  <c r="J621" i="14" s="1"/>
  <c r="N622" i="14"/>
  <c r="K473" i="13" l="1"/>
  <c r="L473" i="13" s="1"/>
  <c r="I474" i="13" s="1"/>
  <c r="J622" i="14" a="1"/>
  <c r="J622" i="14" s="1"/>
  <c r="N623" i="14"/>
  <c r="M626" i="13"/>
  <c r="M627" i="14"/>
  <c r="L489" i="14"/>
  <c r="I490" i="14" s="1"/>
  <c r="N624" i="13"/>
  <c r="J623" i="13" a="1"/>
  <c r="J623" i="13" s="1"/>
  <c r="K474" i="13" l="1"/>
  <c r="L474" i="13" s="1"/>
  <c r="I475" i="13" s="1"/>
  <c r="J623" i="14" a="1"/>
  <c r="J623" i="14" s="1"/>
  <c r="N624" i="14"/>
  <c r="K490" i="14"/>
  <c r="L490" i="14" s="1"/>
  <c r="I491" i="14" s="1"/>
  <c r="M627" i="13"/>
  <c r="M628" i="14"/>
  <c r="N625" i="13"/>
  <c r="J624" i="13" a="1"/>
  <c r="J624" i="13" s="1"/>
  <c r="K475" i="13" l="1"/>
  <c r="L475" i="13" s="1"/>
  <c r="I476" i="13" s="1"/>
  <c r="K491" i="14"/>
  <c r="L491" i="14" s="1"/>
  <c r="I492" i="14" s="1"/>
  <c r="M628" i="13"/>
  <c r="M629" i="14"/>
  <c r="J624" i="14" a="1"/>
  <c r="J624" i="14" s="1"/>
  <c r="N625" i="14"/>
  <c r="N626" i="13"/>
  <c r="J625" i="13" a="1"/>
  <c r="J625" i="13" s="1"/>
  <c r="K476" i="13" l="1"/>
  <c r="K492" i="14"/>
  <c r="L492" i="14" s="1"/>
  <c r="I493" i="14" s="1"/>
  <c r="J625" i="14" a="1"/>
  <c r="J625" i="14" s="1"/>
  <c r="N626" i="14"/>
  <c r="M629" i="13"/>
  <c r="M630" i="14"/>
  <c r="N627" i="13"/>
  <c r="J626" i="13" a="1"/>
  <c r="J626" i="13" s="1"/>
  <c r="L476" i="13" l="1"/>
  <c r="I477" i="13" s="1"/>
  <c r="K493" i="14"/>
  <c r="L493" i="14" s="1"/>
  <c r="I494" i="14" s="1"/>
  <c r="M630" i="13"/>
  <c r="N628" i="13"/>
  <c r="J627" i="13" a="1"/>
  <c r="J627" i="13" s="1"/>
  <c r="M631" i="14"/>
  <c r="J626" i="14" a="1"/>
  <c r="J626" i="14" s="1"/>
  <c r="N627" i="14"/>
  <c r="K477" i="13" l="1"/>
  <c r="L477" i="13" s="1"/>
  <c r="I478" i="13" s="1"/>
  <c r="M631" i="13"/>
  <c r="J627" i="14" a="1"/>
  <c r="J627" i="14" s="1"/>
  <c r="N628" i="14"/>
  <c r="N629" i="13"/>
  <c r="J628" i="13" a="1"/>
  <c r="J628" i="13" s="1"/>
  <c r="M632" i="14"/>
  <c r="K494" i="14"/>
  <c r="L494" i="14" s="1"/>
  <c r="I495" i="14" s="1"/>
  <c r="K478" i="13" l="1"/>
  <c r="L478" i="13" s="1"/>
  <c r="I479" i="13" s="1"/>
  <c r="N630" i="13"/>
  <c r="J629" i="13" a="1"/>
  <c r="J629" i="13" s="1"/>
  <c r="M632" i="13"/>
  <c r="K495" i="14"/>
  <c r="L495" i="14" s="1"/>
  <c r="I496" i="14" s="1"/>
  <c r="M633" i="14"/>
  <c r="J628" i="14" a="1"/>
  <c r="J628" i="14" s="1"/>
  <c r="N629" i="14"/>
  <c r="K479" i="13" l="1"/>
  <c r="L479" i="13" s="1"/>
  <c r="I480" i="13" s="1"/>
  <c r="K496" i="14"/>
  <c r="L496" i="14" s="1"/>
  <c r="I497" i="14" s="1"/>
  <c r="J629" i="14" a="1"/>
  <c r="J629" i="14" s="1"/>
  <c r="N630" i="14"/>
  <c r="N631" i="13"/>
  <c r="J630" i="13" a="1"/>
  <c r="J630" i="13" s="1"/>
  <c r="M634" i="14"/>
  <c r="M633" i="13"/>
  <c r="K480" i="13" l="1"/>
  <c r="L480" i="13" s="1"/>
  <c r="I481" i="13" s="1"/>
  <c r="K497" i="14"/>
  <c r="L497" i="14" s="1"/>
  <c r="I498" i="14" s="1"/>
  <c r="M635" i="14"/>
  <c r="J630" i="14" a="1"/>
  <c r="J630" i="14" s="1"/>
  <c r="N631" i="14"/>
  <c r="M634" i="13"/>
  <c r="N632" i="13"/>
  <c r="J631" i="13" a="1"/>
  <c r="J631" i="13" s="1"/>
  <c r="K481" i="13" l="1"/>
  <c r="L481" i="13" s="1"/>
  <c r="I482" i="13" s="1"/>
  <c r="K498" i="14"/>
  <c r="L498" i="14" s="1"/>
  <c r="I499" i="14" s="1"/>
  <c r="J631" i="14" a="1"/>
  <c r="J631" i="14" s="1"/>
  <c r="N632" i="14"/>
  <c r="N633" i="13"/>
  <c r="J632" i="13" a="1"/>
  <c r="J632" i="13" s="1"/>
  <c r="M636" i="14"/>
  <c r="M635" i="13"/>
  <c r="K482" i="13" l="1"/>
  <c r="L482" i="13" s="1"/>
  <c r="I483" i="13" s="1"/>
  <c r="K499" i="14"/>
  <c r="L499" i="14" s="1"/>
  <c r="I500" i="14" s="1"/>
  <c r="M636" i="13"/>
  <c r="N634" i="13"/>
  <c r="J633" i="13" a="1"/>
  <c r="J633" i="13" s="1"/>
  <c r="M637" i="14"/>
  <c r="J632" i="14" a="1"/>
  <c r="J632" i="14" s="1"/>
  <c r="N633" i="14"/>
  <c r="K483" i="13" l="1"/>
  <c r="L483" i="13" s="1"/>
  <c r="I484" i="13" s="1"/>
  <c r="K500" i="14"/>
  <c r="L500" i="14" s="1"/>
  <c r="I501" i="14" s="1"/>
  <c r="N635" i="13"/>
  <c r="J634" i="13" a="1"/>
  <c r="J634" i="13" s="1"/>
  <c r="M638" i="14"/>
  <c r="M637" i="13"/>
  <c r="J633" i="14" a="1"/>
  <c r="J633" i="14" s="1"/>
  <c r="N634" i="14"/>
  <c r="K484" i="13" l="1"/>
  <c r="L484" i="13" s="1"/>
  <c r="I485" i="13" s="1"/>
  <c r="K501" i="14"/>
  <c r="L501" i="14" s="1"/>
  <c r="I502" i="14" s="1"/>
  <c r="J634" i="14" a="1"/>
  <c r="J634" i="14" s="1"/>
  <c r="N635" i="14"/>
  <c r="M639" i="14"/>
  <c r="M638" i="13"/>
  <c r="N636" i="13"/>
  <c r="J635" i="13" a="1"/>
  <c r="J635" i="13" s="1"/>
  <c r="K485" i="13" l="1"/>
  <c r="L485" i="13" s="1"/>
  <c r="I486" i="13" s="1"/>
  <c r="K502" i="14"/>
  <c r="L502" i="14" s="1"/>
  <c r="I503" i="14" s="1"/>
  <c r="N637" i="13"/>
  <c r="J636" i="13" a="1"/>
  <c r="J636" i="13" s="1"/>
  <c r="M639" i="13"/>
  <c r="J635" i="14" a="1"/>
  <c r="J635" i="14" s="1"/>
  <c r="N636" i="14"/>
  <c r="M640" i="14"/>
  <c r="K486" i="13" l="1"/>
  <c r="L486" i="13" s="1"/>
  <c r="I487" i="13" s="1"/>
  <c r="K503" i="14"/>
  <c r="L503" i="14" s="1"/>
  <c r="I504" i="14" s="1"/>
  <c r="M641" i="14"/>
  <c r="M640" i="13"/>
  <c r="J636" i="14" a="1"/>
  <c r="J636" i="14" s="1"/>
  <c r="N637" i="14"/>
  <c r="N638" i="13"/>
  <c r="J637" i="13" a="1"/>
  <c r="J637" i="13" s="1"/>
  <c r="K487" i="13" l="1"/>
  <c r="L487" i="13" s="1"/>
  <c r="I488" i="13" s="1"/>
  <c r="K504" i="14"/>
  <c r="L504" i="14" s="1"/>
  <c r="I505" i="14" s="1"/>
  <c r="M641" i="13"/>
  <c r="N639" i="13"/>
  <c r="J638" i="13" a="1"/>
  <c r="J638" i="13" s="1"/>
  <c r="J637" i="14" a="1"/>
  <c r="J637" i="14" s="1"/>
  <c r="N638" i="14"/>
  <c r="M642" i="14"/>
  <c r="K488" i="13" l="1"/>
  <c r="K505" i="14"/>
  <c r="L505" i="14" s="1"/>
  <c r="I506" i="14" s="1"/>
  <c r="M643" i="14"/>
  <c r="N640" i="13"/>
  <c r="J639" i="13" a="1"/>
  <c r="J639" i="13" s="1"/>
  <c r="J638" i="14" a="1"/>
  <c r="J638" i="14" s="1"/>
  <c r="N639" i="14"/>
  <c r="M642" i="13"/>
  <c r="L488" i="13" l="1"/>
  <c r="I489" i="13" s="1"/>
  <c r="K506" i="14"/>
  <c r="L506" i="14" s="1"/>
  <c r="I507" i="14" s="1"/>
  <c r="J639" i="14" a="1"/>
  <c r="J639" i="14" s="1"/>
  <c r="N640" i="14"/>
  <c r="M644" i="14"/>
  <c r="M643" i="13"/>
  <c r="N641" i="13"/>
  <c r="J640" i="13" a="1"/>
  <c r="J640" i="13" s="1"/>
  <c r="K489" i="13" l="1"/>
  <c r="K507" i="14"/>
  <c r="L507" i="14" s="1"/>
  <c r="I508" i="14" s="1"/>
  <c r="M645" i="14"/>
  <c r="N642" i="13"/>
  <c r="J641" i="13" a="1"/>
  <c r="J641" i="13" s="1"/>
  <c r="M644" i="13"/>
  <c r="J640" i="14" a="1"/>
  <c r="J640" i="14" s="1"/>
  <c r="N641" i="14"/>
  <c r="L489" i="13" l="1"/>
  <c r="I490" i="13" s="1"/>
  <c r="K508" i="14"/>
  <c r="L508" i="14" s="1"/>
  <c r="I509" i="14" s="1"/>
  <c r="J641" i="14" a="1"/>
  <c r="J641" i="14" s="1"/>
  <c r="N642" i="14"/>
  <c r="M646" i="14"/>
  <c r="M645" i="13"/>
  <c r="N643" i="13"/>
  <c r="J642" i="13" a="1"/>
  <c r="J642" i="13" s="1"/>
  <c r="K490" i="13" l="1"/>
  <c r="L490" i="13" s="1"/>
  <c r="I491" i="13" s="1"/>
  <c r="K509" i="14"/>
  <c r="L509" i="14" s="1"/>
  <c r="I510" i="14" s="1"/>
  <c r="M647" i="14"/>
  <c r="J642" i="14" a="1"/>
  <c r="J642" i="14" s="1"/>
  <c r="N643" i="14"/>
  <c r="N644" i="13"/>
  <c r="J643" i="13" a="1"/>
  <c r="J643" i="13" s="1"/>
  <c r="M646" i="13"/>
  <c r="K491" i="13" l="1"/>
  <c r="L491" i="13" s="1"/>
  <c r="I492" i="13" s="1"/>
  <c r="K510" i="14"/>
  <c r="L510" i="14" s="1"/>
  <c r="I511" i="14" s="1"/>
  <c r="M647" i="13"/>
  <c r="J643" i="14" a="1"/>
  <c r="J643" i="14" s="1"/>
  <c r="N644" i="14"/>
  <c r="M648" i="14"/>
  <c r="N645" i="13"/>
  <c r="J644" i="13" a="1"/>
  <c r="J644" i="13" s="1"/>
  <c r="K492" i="13" l="1"/>
  <c r="L492" i="13" s="1"/>
  <c r="I493" i="13" s="1"/>
  <c r="K511" i="14"/>
  <c r="L511" i="14" s="1"/>
  <c r="I512" i="14" s="1"/>
  <c r="J644" i="14" a="1"/>
  <c r="J644" i="14" s="1"/>
  <c r="N645" i="14"/>
  <c r="N646" i="13"/>
  <c r="J645" i="13" a="1"/>
  <c r="J645" i="13" s="1"/>
  <c r="M649" i="14"/>
  <c r="M648" i="13"/>
  <c r="K493" i="13" l="1"/>
  <c r="L493" i="13" s="1"/>
  <c r="I494" i="13" s="1"/>
  <c r="K512" i="14"/>
  <c r="N647" i="13"/>
  <c r="J646" i="13" a="1"/>
  <c r="J646" i="13" s="1"/>
  <c r="M650" i="14"/>
  <c r="J645" i="14" a="1"/>
  <c r="J645" i="14" s="1"/>
  <c r="N646" i="14"/>
  <c r="M649" i="13"/>
  <c r="K494" i="13" l="1"/>
  <c r="L494" i="13" s="1"/>
  <c r="I495" i="13" s="1"/>
  <c r="J646" i="14" a="1"/>
  <c r="J646" i="14" s="1"/>
  <c r="N647" i="14"/>
  <c r="M650" i="13"/>
  <c r="M651" i="14"/>
  <c r="N648" i="13"/>
  <c r="J647" i="13" a="1"/>
  <c r="J647" i="13" s="1"/>
  <c r="L512" i="14"/>
  <c r="I513" i="14" s="1"/>
  <c r="K495" i="13" l="1"/>
  <c r="L495" i="13" s="1"/>
  <c r="I496" i="13" s="1"/>
  <c r="M652" i="14"/>
  <c r="M651" i="13"/>
  <c r="J647" i="14" a="1"/>
  <c r="J647" i="14" s="1"/>
  <c r="N648" i="14"/>
  <c r="N649" i="13"/>
  <c r="J648" i="13" a="1"/>
  <c r="J648" i="13" s="1"/>
  <c r="K513" i="14"/>
  <c r="L513" i="14" s="1"/>
  <c r="I514" i="14" s="1"/>
  <c r="K496" i="13" l="1"/>
  <c r="L496" i="13" s="1"/>
  <c r="I497" i="13" s="1"/>
  <c r="K514" i="14"/>
  <c r="L514" i="14" s="1"/>
  <c r="I515" i="14" s="1"/>
  <c r="M652" i="13"/>
  <c r="N650" i="13"/>
  <c r="J649" i="13" a="1"/>
  <c r="J649" i="13" s="1"/>
  <c r="J648" i="14" a="1"/>
  <c r="J648" i="14" s="1"/>
  <c r="N649" i="14"/>
  <c r="M653" i="14"/>
  <c r="K497" i="13" l="1"/>
  <c r="L497" i="13" s="1"/>
  <c r="I498" i="13" s="1"/>
  <c r="K515" i="14"/>
  <c r="L515" i="14" s="1"/>
  <c r="I516" i="14" s="1"/>
  <c r="N651" i="13"/>
  <c r="J650" i="13" a="1"/>
  <c r="J650" i="13" s="1"/>
  <c r="M653" i="13"/>
  <c r="J649" i="14" a="1"/>
  <c r="J649" i="14" s="1"/>
  <c r="N650" i="14"/>
  <c r="M654" i="14"/>
  <c r="K498" i="13" l="1"/>
  <c r="L498" i="13" s="1"/>
  <c r="I499" i="13" s="1"/>
  <c r="K516" i="14"/>
  <c r="L516" i="14" s="1"/>
  <c r="I517" i="14" s="1"/>
  <c r="M655" i="14"/>
  <c r="M654" i="13"/>
  <c r="J650" i="14" a="1"/>
  <c r="J650" i="14" s="1"/>
  <c r="N651" i="14"/>
  <c r="N652" i="13"/>
  <c r="J651" i="13" a="1"/>
  <c r="J651" i="13" s="1"/>
  <c r="K499" i="13" l="1"/>
  <c r="L499" i="13" s="1"/>
  <c r="I500" i="13" s="1"/>
  <c r="K517" i="14"/>
  <c r="L517" i="14" s="1"/>
  <c r="I518" i="14" s="1"/>
  <c r="M655" i="13"/>
  <c r="N653" i="13"/>
  <c r="J652" i="13" a="1"/>
  <c r="J652" i="13" s="1"/>
  <c r="J651" i="14" a="1"/>
  <c r="J651" i="14" s="1"/>
  <c r="N652" i="14"/>
  <c r="M656" i="14"/>
  <c r="K500" i="13" l="1"/>
  <c r="K518" i="14"/>
  <c r="L518" i="14" s="1"/>
  <c r="I519" i="14" s="1"/>
  <c r="N654" i="13"/>
  <c r="J653" i="13" a="1"/>
  <c r="J653" i="13" s="1"/>
  <c r="M657" i="14"/>
  <c r="J652" i="14" a="1"/>
  <c r="J652" i="14" s="1"/>
  <c r="N653" i="14"/>
  <c r="M656" i="13"/>
  <c r="L500" i="13" l="1"/>
  <c r="I501" i="13" s="1"/>
  <c r="K519" i="14"/>
  <c r="L519" i="14" s="1"/>
  <c r="I520" i="14" s="1"/>
  <c r="M657" i="13"/>
  <c r="M658" i="14"/>
  <c r="N655" i="13"/>
  <c r="J654" i="13" a="1"/>
  <c r="J654" i="13" s="1"/>
  <c r="J653" i="14" a="1"/>
  <c r="J653" i="14" s="1"/>
  <c r="N654" i="14"/>
  <c r="K501" i="13" l="1"/>
  <c r="K520" i="14"/>
  <c r="L520" i="14" s="1"/>
  <c r="I521" i="14" s="1"/>
  <c r="M658" i="13"/>
  <c r="J654" i="14" a="1"/>
  <c r="J654" i="14" s="1"/>
  <c r="N655" i="14"/>
  <c r="N656" i="13"/>
  <c r="J655" i="13" a="1"/>
  <c r="J655" i="13" s="1"/>
  <c r="M659" i="14"/>
  <c r="L501" i="13" l="1"/>
  <c r="I502" i="13" s="1"/>
  <c r="M659" i="13"/>
  <c r="M660" i="14"/>
  <c r="N657" i="13"/>
  <c r="J656" i="13" a="1"/>
  <c r="J656" i="13" s="1"/>
  <c r="J655" i="14" a="1"/>
  <c r="J655" i="14" s="1"/>
  <c r="N656" i="14"/>
  <c r="K521" i="14"/>
  <c r="L521" i="14" s="1"/>
  <c r="I522" i="14" s="1"/>
  <c r="K502" i="13" l="1"/>
  <c r="L502" i="13" s="1"/>
  <c r="I503" i="13" s="1"/>
  <c r="K522" i="14"/>
  <c r="L522" i="14" s="1"/>
  <c r="I523" i="14" s="1"/>
  <c r="M660" i="13"/>
  <c r="N658" i="13"/>
  <c r="J657" i="13" a="1"/>
  <c r="J657" i="13" s="1"/>
  <c r="J656" i="14" a="1"/>
  <c r="J656" i="14" s="1"/>
  <c r="N657" i="14"/>
  <c r="M661" i="14"/>
  <c r="K503" i="13" l="1"/>
  <c r="L503" i="13" s="1"/>
  <c r="I504" i="13" s="1"/>
  <c r="K523" i="14"/>
  <c r="L523" i="14" s="1"/>
  <c r="I524" i="14" s="1"/>
  <c r="N659" i="13"/>
  <c r="J658" i="13" a="1"/>
  <c r="J658" i="13" s="1"/>
  <c r="J657" i="14" a="1"/>
  <c r="J657" i="14" s="1"/>
  <c r="N658" i="14"/>
  <c r="M661" i="13"/>
  <c r="M662" i="14"/>
  <c r="K504" i="13" l="1"/>
  <c r="L504" i="13" s="1"/>
  <c r="I505" i="13" s="1"/>
  <c r="J658" i="14" a="1"/>
  <c r="J658" i="14" s="1"/>
  <c r="N659" i="14"/>
  <c r="M663" i="14"/>
  <c r="N660" i="13"/>
  <c r="J659" i="13" a="1"/>
  <c r="J659" i="13" s="1"/>
  <c r="M662" i="13"/>
  <c r="K524" i="14"/>
  <c r="L524" i="14" s="1"/>
  <c r="I525" i="14" s="1"/>
  <c r="K505" i="13" l="1"/>
  <c r="L505" i="13" s="1"/>
  <c r="I506" i="13" s="1"/>
  <c r="K525" i="14"/>
  <c r="L525" i="14" s="1"/>
  <c r="I526" i="14" s="1"/>
  <c r="N661" i="13"/>
  <c r="J660" i="13" a="1"/>
  <c r="J660" i="13" s="1"/>
  <c r="M663" i="13"/>
  <c r="M664" i="14"/>
  <c r="J659" i="14" a="1"/>
  <c r="J659" i="14" s="1"/>
  <c r="N660" i="14"/>
  <c r="K506" i="13" l="1"/>
  <c r="L506" i="13" s="1"/>
  <c r="I507" i="13" s="1"/>
  <c r="K526" i="14"/>
  <c r="M665" i="14"/>
  <c r="J660" i="14" a="1"/>
  <c r="J660" i="14" s="1"/>
  <c r="N661" i="14"/>
  <c r="N662" i="13"/>
  <c r="J661" i="13" a="1"/>
  <c r="J661" i="13" s="1"/>
  <c r="M664" i="13"/>
  <c r="K507" i="13" l="1"/>
  <c r="L507" i="13" s="1"/>
  <c r="I508" i="13" s="1"/>
  <c r="M665" i="13"/>
  <c r="J661" i="14" a="1"/>
  <c r="J661" i="14" s="1"/>
  <c r="N662" i="14"/>
  <c r="M666" i="14"/>
  <c r="N663" i="13"/>
  <c r="J662" i="13" a="1"/>
  <c r="J662" i="13" s="1"/>
  <c r="L526" i="14"/>
  <c r="I527" i="14" s="1"/>
  <c r="K508" i="13" l="1"/>
  <c r="L508" i="13" s="1"/>
  <c r="I509" i="13" s="1"/>
  <c r="J662" i="14" a="1"/>
  <c r="J662" i="14" s="1"/>
  <c r="N663" i="14"/>
  <c r="K527" i="14"/>
  <c r="L527" i="14" s="1"/>
  <c r="I528" i="14" s="1"/>
  <c r="N664" i="13"/>
  <c r="J663" i="13" a="1"/>
  <c r="J663" i="13" s="1"/>
  <c r="M666" i="13"/>
  <c r="M667" i="14"/>
  <c r="K509" i="13" l="1"/>
  <c r="L509" i="13" s="1"/>
  <c r="I510" i="13" s="1"/>
  <c r="K528" i="14"/>
  <c r="L528" i="14" s="1"/>
  <c r="I529" i="14" s="1"/>
  <c r="M668" i="14"/>
  <c r="N665" i="13"/>
  <c r="J664" i="13" a="1"/>
  <c r="J664" i="13" s="1"/>
  <c r="J663" i="14" a="1"/>
  <c r="J663" i="14" s="1"/>
  <c r="N664" i="14"/>
  <c r="M667" i="13"/>
  <c r="K510" i="13" l="1"/>
  <c r="L510" i="13" s="1"/>
  <c r="I511" i="13" s="1"/>
  <c r="K529" i="14"/>
  <c r="L529" i="14" s="1"/>
  <c r="I530" i="14" s="1"/>
  <c r="N666" i="13"/>
  <c r="J665" i="13" a="1"/>
  <c r="J665" i="13" s="1"/>
  <c r="M668" i="13"/>
  <c r="J664" i="14" a="1"/>
  <c r="J664" i="14" s="1"/>
  <c r="N665" i="14"/>
  <c r="M669" i="14"/>
  <c r="K511" i="13" l="1"/>
  <c r="L511" i="13" s="1"/>
  <c r="I512" i="13" s="1"/>
  <c r="K530" i="14"/>
  <c r="L530" i="14" s="1"/>
  <c r="I531" i="14" s="1"/>
  <c r="J665" i="14" a="1"/>
  <c r="J665" i="14" s="1"/>
  <c r="N666" i="14"/>
  <c r="M670" i="14"/>
  <c r="M669" i="13"/>
  <c r="N667" i="13"/>
  <c r="J666" i="13" a="1"/>
  <c r="J666" i="13" s="1"/>
  <c r="K512" i="13" l="1"/>
  <c r="K531" i="14"/>
  <c r="L531" i="14" s="1"/>
  <c r="I532" i="14" s="1"/>
  <c r="N668" i="13"/>
  <c r="J667" i="13" a="1"/>
  <c r="J667" i="13" s="1"/>
  <c r="M670" i="13"/>
  <c r="J666" i="14" a="1"/>
  <c r="J666" i="14" s="1"/>
  <c r="N667" i="14"/>
  <c r="M671" i="14"/>
  <c r="L512" i="13" l="1"/>
  <c r="I513" i="13" s="1"/>
  <c r="N669" i="13"/>
  <c r="J668" i="13" a="1"/>
  <c r="J668" i="13" s="1"/>
  <c r="M672" i="14"/>
  <c r="M671" i="13"/>
  <c r="J667" i="14" a="1"/>
  <c r="J667" i="14" s="1"/>
  <c r="N668" i="14"/>
  <c r="K532" i="14"/>
  <c r="L532" i="14" s="1"/>
  <c r="I533" i="14" s="1"/>
  <c r="K513" i="13" l="1"/>
  <c r="K533" i="14"/>
  <c r="L533" i="14" s="1"/>
  <c r="I534" i="14" s="1"/>
  <c r="J668" i="14" a="1"/>
  <c r="J668" i="14" s="1"/>
  <c r="N669" i="14"/>
  <c r="M673" i="14"/>
  <c r="M672" i="13"/>
  <c r="N670" i="13"/>
  <c r="J669" i="13" a="1"/>
  <c r="J669" i="13" s="1"/>
  <c r="L513" i="13" l="1"/>
  <c r="I514" i="13" s="1"/>
  <c r="K534" i="14"/>
  <c r="L534" i="14" s="1"/>
  <c r="I535" i="14" s="1"/>
  <c r="N671" i="13"/>
  <c r="J670" i="13" a="1"/>
  <c r="J670" i="13" s="1"/>
  <c r="M673" i="13"/>
  <c r="M674" i="14"/>
  <c r="J669" i="14" a="1"/>
  <c r="J669" i="14" s="1"/>
  <c r="N670" i="14"/>
  <c r="K514" i="13" l="1"/>
  <c r="L514" i="13" s="1"/>
  <c r="I515" i="13" s="1"/>
  <c r="K535" i="14"/>
  <c r="L535" i="14" s="1"/>
  <c r="I536" i="14" s="1"/>
  <c r="J670" i="14" a="1"/>
  <c r="J670" i="14" s="1"/>
  <c r="N671" i="14"/>
  <c r="M674" i="13"/>
  <c r="N672" i="13"/>
  <c r="J671" i="13" a="1"/>
  <c r="J671" i="13" s="1"/>
  <c r="M675" i="14"/>
  <c r="K515" i="13" l="1"/>
  <c r="L515" i="13" s="1"/>
  <c r="I516" i="13" s="1"/>
  <c r="K536" i="14"/>
  <c r="L536" i="14" s="1"/>
  <c r="I537" i="14" s="1"/>
  <c r="M675" i="13"/>
  <c r="J671" i="14" a="1"/>
  <c r="J671" i="14" s="1"/>
  <c r="N672" i="14"/>
  <c r="M676" i="14"/>
  <c r="N673" i="13"/>
  <c r="J672" i="13" a="1"/>
  <c r="J672" i="13" s="1"/>
  <c r="K516" i="13" l="1"/>
  <c r="L516" i="13" s="1"/>
  <c r="I517" i="13" s="1"/>
  <c r="K537" i="14"/>
  <c r="L537" i="14" s="1"/>
  <c r="I538" i="14" s="1"/>
  <c r="J672" i="14" a="1"/>
  <c r="J672" i="14" s="1"/>
  <c r="N673" i="14"/>
  <c r="N674" i="13"/>
  <c r="J673" i="13" a="1"/>
  <c r="J673" i="13" s="1"/>
  <c r="M677" i="14"/>
  <c r="M676" i="13"/>
  <c r="K517" i="13" l="1"/>
  <c r="L517" i="13" s="1"/>
  <c r="I518" i="13" s="1"/>
  <c r="K538" i="14"/>
  <c r="J673" i="14" a="1"/>
  <c r="J673" i="14" s="1"/>
  <c r="N674" i="14"/>
  <c r="M677" i="13"/>
  <c r="M678" i="14"/>
  <c r="N675" i="13"/>
  <c r="J674" i="13" a="1"/>
  <c r="J674" i="13" s="1"/>
  <c r="K518" i="13" l="1"/>
  <c r="L518" i="13" s="1"/>
  <c r="I519" i="13" s="1"/>
  <c r="J674" i="14" a="1"/>
  <c r="J674" i="14" s="1"/>
  <c r="N675" i="14"/>
  <c r="N676" i="13"/>
  <c r="J675" i="13" a="1"/>
  <c r="J675" i="13" s="1"/>
  <c r="M679" i="14"/>
  <c r="M678" i="13"/>
  <c r="L538" i="14"/>
  <c r="I539" i="14" s="1"/>
  <c r="K519" i="13" l="1"/>
  <c r="L519" i="13" s="1"/>
  <c r="I520" i="13" s="1"/>
  <c r="M680" i="14"/>
  <c r="J675" i="14" a="1"/>
  <c r="J675" i="14" s="1"/>
  <c r="N676" i="14"/>
  <c r="M679" i="13"/>
  <c r="K539" i="14"/>
  <c r="L539" i="14" s="1"/>
  <c r="I540" i="14" s="1"/>
  <c r="N677" i="13"/>
  <c r="J676" i="13" a="1"/>
  <c r="J676" i="13" s="1"/>
  <c r="K520" i="13" l="1"/>
  <c r="L520" i="13" s="1"/>
  <c r="I521" i="13" s="1"/>
  <c r="K540" i="14"/>
  <c r="L540" i="14" s="1"/>
  <c r="I541" i="14" s="1"/>
  <c r="M680" i="13"/>
  <c r="N678" i="13"/>
  <c r="J677" i="13" a="1"/>
  <c r="J677" i="13" s="1"/>
  <c r="J676" i="14" a="1"/>
  <c r="J676" i="14" s="1"/>
  <c r="N677" i="14"/>
  <c r="M681" i="14"/>
  <c r="K521" i="13" l="1"/>
  <c r="L521" i="13" s="1"/>
  <c r="I522" i="13" s="1"/>
  <c r="K541" i="14"/>
  <c r="L541" i="14" s="1"/>
  <c r="I542" i="14" s="1"/>
  <c r="N679" i="13"/>
  <c r="J678" i="13" a="1"/>
  <c r="J678" i="13" s="1"/>
  <c r="M682" i="14"/>
  <c r="J677" i="14" a="1"/>
  <c r="J677" i="14" s="1"/>
  <c r="N678" i="14"/>
  <c r="M681" i="13"/>
  <c r="K522" i="13" l="1"/>
  <c r="L522" i="13" s="1"/>
  <c r="I523" i="13" s="1"/>
  <c r="K542" i="14"/>
  <c r="L542" i="14" s="1"/>
  <c r="I543" i="14" s="1"/>
  <c r="J678" i="14" a="1"/>
  <c r="J678" i="14" s="1"/>
  <c r="N679" i="14"/>
  <c r="M682" i="13"/>
  <c r="M683" i="14"/>
  <c r="N680" i="13"/>
  <c r="J679" i="13" a="1"/>
  <c r="J679" i="13" s="1"/>
  <c r="K523" i="13" l="1"/>
  <c r="L523" i="13" s="1"/>
  <c r="I524" i="13" s="1"/>
  <c r="K543" i="14"/>
  <c r="L543" i="14" s="1"/>
  <c r="I544" i="14" s="1"/>
  <c r="N681" i="13"/>
  <c r="J680" i="13" a="1"/>
  <c r="J680" i="13" s="1"/>
  <c r="M683" i="13"/>
  <c r="M684" i="14"/>
  <c r="J679" i="14" a="1"/>
  <c r="J679" i="14" s="1"/>
  <c r="N680" i="14"/>
  <c r="K524" i="13" l="1"/>
  <c r="L524" i="13" s="1"/>
  <c r="I525" i="13" s="1"/>
  <c r="K544" i="14"/>
  <c r="L544" i="14" s="1"/>
  <c r="I545" i="14" s="1"/>
  <c r="J680" i="14" a="1"/>
  <c r="J680" i="14" s="1"/>
  <c r="N681" i="14"/>
  <c r="M684" i="13"/>
  <c r="M685" i="14"/>
  <c r="N682" i="13"/>
  <c r="J681" i="13" a="1"/>
  <c r="J681" i="13" s="1"/>
  <c r="K525" i="13" l="1"/>
  <c r="L525" i="13" s="1"/>
  <c r="I526" i="13" s="1"/>
  <c r="K545" i="14"/>
  <c r="L545" i="14" s="1"/>
  <c r="I546" i="14" s="1"/>
  <c r="M686" i="14"/>
  <c r="M685" i="13"/>
  <c r="N683" i="13"/>
  <c r="J682" i="13" a="1"/>
  <c r="J682" i="13" s="1"/>
  <c r="J681" i="14" a="1"/>
  <c r="J681" i="14" s="1"/>
  <c r="N682" i="14"/>
  <c r="K526" i="13" l="1"/>
  <c r="K546" i="14"/>
  <c r="L546" i="14" s="1"/>
  <c r="I547" i="14" s="1"/>
  <c r="M687" i="14"/>
  <c r="J682" i="14" a="1"/>
  <c r="J682" i="14" s="1"/>
  <c r="N683" i="14"/>
  <c r="M686" i="13"/>
  <c r="N684" i="13"/>
  <c r="J683" i="13" a="1"/>
  <c r="J683" i="13" s="1"/>
  <c r="L526" i="13" l="1"/>
  <c r="I527" i="13" s="1"/>
  <c r="K547" i="14"/>
  <c r="L547" i="14" s="1"/>
  <c r="I548" i="14" s="1"/>
  <c r="N685" i="13"/>
  <c r="J684" i="13" a="1"/>
  <c r="J684" i="13" s="1"/>
  <c r="J683" i="14" a="1"/>
  <c r="J683" i="14" s="1"/>
  <c r="N684" i="14"/>
  <c r="M687" i="13"/>
  <c r="M688" i="14"/>
  <c r="K527" i="13" l="1"/>
  <c r="L527" i="13" s="1"/>
  <c r="I528" i="13" s="1"/>
  <c r="K548" i="14"/>
  <c r="N686" i="13"/>
  <c r="J685" i="13" a="1"/>
  <c r="J685" i="13" s="1"/>
  <c r="J684" i="14" a="1"/>
  <c r="J684" i="14" s="1"/>
  <c r="N685" i="14"/>
  <c r="M688" i="13"/>
  <c r="M689" i="14"/>
  <c r="K528" i="13" l="1"/>
  <c r="L528" i="13" s="1"/>
  <c r="I529" i="13" s="1"/>
  <c r="M690" i="14"/>
  <c r="J685" i="14" a="1"/>
  <c r="J685" i="14" s="1"/>
  <c r="N686" i="14"/>
  <c r="N687" i="13"/>
  <c r="J686" i="13" a="1"/>
  <c r="J686" i="13" s="1"/>
  <c r="M689" i="13"/>
  <c r="L548" i="14"/>
  <c r="I549" i="14" s="1"/>
  <c r="K529" i="13" l="1"/>
  <c r="L529" i="13" s="1"/>
  <c r="I530" i="13" s="1"/>
  <c r="N688" i="13"/>
  <c r="J687" i="13" a="1"/>
  <c r="J687" i="13" s="1"/>
  <c r="M691" i="14"/>
  <c r="M690" i="13"/>
  <c r="J686" i="14" a="1"/>
  <c r="J686" i="14" s="1"/>
  <c r="N687" i="14"/>
  <c r="K549" i="14"/>
  <c r="L549" i="14" s="1"/>
  <c r="I550" i="14" s="1"/>
  <c r="K530" i="13" l="1"/>
  <c r="L530" i="13" s="1"/>
  <c r="I531" i="13" s="1"/>
  <c r="K550" i="14"/>
  <c r="L550" i="14" s="1"/>
  <c r="I551" i="14" s="1"/>
  <c r="J687" i="14" a="1"/>
  <c r="J687" i="14" s="1"/>
  <c r="N688" i="14"/>
  <c r="M692" i="14"/>
  <c r="M691" i="13"/>
  <c r="N689" i="13"/>
  <c r="J688" i="13" a="1"/>
  <c r="J688" i="13" s="1"/>
  <c r="K531" i="13" l="1"/>
  <c r="L531" i="13" s="1"/>
  <c r="I532" i="13" s="1"/>
  <c r="K551" i="14"/>
  <c r="L551" i="14" s="1"/>
  <c r="I552" i="14" s="1"/>
  <c r="N690" i="13"/>
  <c r="J689" i="13" a="1"/>
  <c r="J689" i="13" s="1"/>
  <c r="M693" i="14"/>
  <c r="M692" i="13"/>
  <c r="J688" i="14" a="1"/>
  <c r="J688" i="14" s="1"/>
  <c r="N689" i="14"/>
  <c r="K532" i="13" l="1"/>
  <c r="L532" i="13" s="1"/>
  <c r="I533" i="13" s="1"/>
  <c r="K552" i="14"/>
  <c r="L552" i="14" s="1"/>
  <c r="I553" i="14" s="1"/>
  <c r="J689" i="14" a="1"/>
  <c r="J689" i="14" s="1"/>
  <c r="N690" i="14"/>
  <c r="M694" i="14"/>
  <c r="M693" i="13"/>
  <c r="N691" i="13"/>
  <c r="J690" i="13" a="1"/>
  <c r="J690" i="13" s="1"/>
  <c r="K533" i="13" l="1"/>
  <c r="L533" i="13" s="1"/>
  <c r="I534" i="13" s="1"/>
  <c r="K553" i="14"/>
  <c r="L553" i="14" s="1"/>
  <c r="I554" i="14" s="1"/>
  <c r="N692" i="13"/>
  <c r="J691" i="13" a="1"/>
  <c r="J691" i="13" s="1"/>
  <c r="M695" i="14"/>
  <c r="M694" i="13"/>
  <c r="J690" i="14" a="1"/>
  <c r="J690" i="14" s="1"/>
  <c r="N691" i="14"/>
  <c r="K534" i="13" l="1"/>
  <c r="L534" i="13" s="1"/>
  <c r="I535" i="13" s="1"/>
  <c r="K554" i="14"/>
  <c r="L554" i="14" s="1"/>
  <c r="I555" i="14" s="1"/>
  <c r="J691" i="14" a="1"/>
  <c r="J691" i="14" s="1"/>
  <c r="N692" i="14"/>
  <c r="M696" i="14"/>
  <c r="M695" i="13"/>
  <c r="N693" i="13"/>
  <c r="J692" i="13" a="1"/>
  <c r="J692" i="13" s="1"/>
  <c r="K535" i="13" l="1"/>
  <c r="L535" i="13" s="1"/>
  <c r="I536" i="13" s="1"/>
  <c r="K555" i="14"/>
  <c r="L555" i="14" s="1"/>
  <c r="I556" i="14" s="1"/>
  <c r="M697" i="14"/>
  <c r="N694" i="13"/>
  <c r="J693" i="13" a="1"/>
  <c r="J693" i="13" s="1"/>
  <c r="M696" i="13"/>
  <c r="J692" i="14" a="1"/>
  <c r="J692" i="14" s="1"/>
  <c r="N693" i="14"/>
  <c r="K536" i="13" l="1"/>
  <c r="L536" i="13" s="1"/>
  <c r="I537" i="13" s="1"/>
  <c r="M698" i="14"/>
  <c r="J693" i="14" a="1"/>
  <c r="J693" i="14" s="1"/>
  <c r="N694" i="14"/>
  <c r="M697" i="13"/>
  <c r="N695" i="13"/>
  <c r="J694" i="13" a="1"/>
  <c r="J694" i="13" s="1"/>
  <c r="K556" i="14"/>
  <c r="L556" i="14" s="1"/>
  <c r="I557" i="14" s="1"/>
  <c r="K537" i="13" l="1"/>
  <c r="L537" i="13" s="1"/>
  <c r="I538" i="13" s="1"/>
  <c r="K557" i="14"/>
  <c r="L557" i="14" s="1"/>
  <c r="I558" i="14" s="1"/>
  <c r="M699" i="14"/>
  <c r="N696" i="13"/>
  <c r="J695" i="13" a="1"/>
  <c r="J695" i="13" s="1"/>
  <c r="M698" i="13"/>
  <c r="N695" i="14"/>
  <c r="J694" i="14" a="1"/>
  <c r="J694" i="14" s="1"/>
  <c r="K538" i="13" l="1"/>
  <c r="K558" i="14"/>
  <c r="L558" i="14" s="1"/>
  <c r="I559" i="14" s="1"/>
  <c r="N696" i="14"/>
  <c r="J695" i="14" a="1"/>
  <c r="J695" i="14" s="1"/>
  <c r="N697" i="13"/>
  <c r="J696" i="13" a="1"/>
  <c r="J696" i="13" s="1"/>
  <c r="M699" i="13"/>
  <c r="M700" i="14"/>
  <c r="L538" i="13" l="1"/>
  <c r="I539" i="13" s="1"/>
  <c r="K559" i="14"/>
  <c r="L559" i="14" s="1"/>
  <c r="I560" i="14" s="1"/>
  <c r="N697" i="14"/>
  <c r="J696" i="14" a="1"/>
  <c r="J696" i="14" s="1"/>
  <c r="M700" i="13"/>
  <c r="M701" i="14"/>
  <c r="N698" i="13"/>
  <c r="J697" i="13" a="1"/>
  <c r="J697" i="13" s="1"/>
  <c r="K539" i="13" l="1"/>
  <c r="L539" i="13" s="1"/>
  <c r="I540" i="13" s="1"/>
  <c r="M701" i="13"/>
  <c r="N699" i="13"/>
  <c r="J698" i="13" a="1"/>
  <c r="J698" i="13" s="1"/>
  <c r="N698" i="14"/>
  <c r="J697" i="14" a="1"/>
  <c r="J697" i="14" s="1"/>
  <c r="M702" i="14"/>
  <c r="K560" i="14"/>
  <c r="K540" i="13" l="1"/>
  <c r="L540" i="13" s="1"/>
  <c r="I541" i="13" s="1"/>
  <c r="M703" i="14"/>
  <c r="N700" i="13"/>
  <c r="J699" i="13" a="1"/>
  <c r="J699" i="13" s="1"/>
  <c r="L560" i="14"/>
  <c r="I561" i="14" s="1"/>
  <c r="M702" i="13"/>
  <c r="N699" i="14"/>
  <c r="J698" i="14" a="1"/>
  <c r="J698" i="14" s="1"/>
  <c r="K541" i="13" l="1"/>
  <c r="L541" i="13" s="1"/>
  <c r="I542" i="13" s="1"/>
  <c r="N701" i="13"/>
  <c r="J700" i="13" a="1"/>
  <c r="J700" i="13" s="1"/>
  <c r="N700" i="14"/>
  <c r="J699" i="14" a="1"/>
  <c r="J699" i="14" s="1"/>
  <c r="M704" i="14"/>
  <c r="M703" i="13"/>
  <c r="K561" i="14"/>
  <c r="L561" i="14" s="1"/>
  <c r="I562" i="14" s="1"/>
  <c r="K542" i="13" l="1"/>
  <c r="L542" i="13" s="1"/>
  <c r="I543" i="13" s="1"/>
  <c r="K562" i="14"/>
  <c r="L562" i="14" s="1"/>
  <c r="I563" i="14" s="1"/>
  <c r="N702" i="13"/>
  <c r="J701" i="13" a="1"/>
  <c r="J701" i="13" s="1"/>
  <c r="M705" i="14"/>
  <c r="M704" i="13"/>
  <c r="N701" i="14"/>
  <c r="J700" i="14" a="1"/>
  <c r="J700" i="14" s="1"/>
  <c r="K543" i="13" l="1"/>
  <c r="L543" i="13" s="1"/>
  <c r="I544" i="13" s="1"/>
  <c r="K563" i="14"/>
  <c r="L563" i="14" s="1"/>
  <c r="I564" i="14" s="1"/>
  <c r="N702" i="14"/>
  <c r="J701" i="14" a="1"/>
  <c r="J701" i="14" s="1"/>
  <c r="M706" i="14"/>
  <c r="M705" i="13"/>
  <c r="N703" i="13"/>
  <c r="J702" i="13" a="1"/>
  <c r="J702" i="13" s="1"/>
  <c r="K544" i="13" l="1"/>
  <c r="L544" i="13" s="1"/>
  <c r="I545" i="13" s="1"/>
  <c r="K564" i="14"/>
  <c r="L564" i="14" s="1"/>
  <c r="I565" i="14" s="1"/>
  <c r="N704" i="13"/>
  <c r="J703" i="13" a="1"/>
  <c r="J703" i="13" s="1"/>
  <c r="M707" i="14"/>
  <c r="M706" i="13"/>
  <c r="N703" i="14"/>
  <c r="J702" i="14" a="1"/>
  <c r="J702" i="14" s="1"/>
  <c r="K545" i="13" l="1"/>
  <c r="L545" i="13" s="1"/>
  <c r="I546" i="13" s="1"/>
  <c r="K565" i="14"/>
  <c r="L565" i="14" s="1"/>
  <c r="I566" i="14" s="1"/>
  <c r="M708" i="14"/>
  <c r="N704" i="14"/>
  <c r="J703" i="14" a="1"/>
  <c r="J703" i="14" s="1"/>
  <c r="M707" i="13"/>
  <c r="N705" i="13"/>
  <c r="J704" i="13" a="1"/>
  <c r="J704" i="13" s="1"/>
  <c r="K546" i="13" l="1"/>
  <c r="L546" i="13" s="1"/>
  <c r="I547" i="13" s="1"/>
  <c r="K566" i="14"/>
  <c r="L566" i="14" s="1"/>
  <c r="I567" i="14" s="1"/>
  <c r="N705" i="14"/>
  <c r="J704" i="14" a="1"/>
  <c r="J704" i="14" s="1"/>
  <c r="N706" i="13"/>
  <c r="J705" i="13" a="1"/>
  <c r="J705" i="13" s="1"/>
  <c r="M708" i="13"/>
  <c r="M709" i="14"/>
  <c r="K547" i="13" l="1"/>
  <c r="L547" i="13" s="1"/>
  <c r="I548" i="13" s="1"/>
  <c r="K567" i="14"/>
  <c r="L567" i="14" s="1"/>
  <c r="I568" i="14" s="1"/>
  <c r="M709" i="13"/>
  <c r="M710" i="14"/>
  <c r="N707" i="13"/>
  <c r="J706" i="13" a="1"/>
  <c r="J706" i="13" s="1"/>
  <c r="N706" i="14"/>
  <c r="J705" i="14" a="1"/>
  <c r="J705" i="14" s="1"/>
  <c r="K548" i="13" l="1"/>
  <c r="K568" i="14"/>
  <c r="L568" i="14" s="1"/>
  <c r="I569" i="14" s="1"/>
  <c r="M710" i="13"/>
  <c r="N707" i="14"/>
  <c r="J706" i="14" a="1"/>
  <c r="J706" i="14" s="1"/>
  <c r="M711" i="14"/>
  <c r="N708" i="13"/>
  <c r="J707" i="13" a="1"/>
  <c r="J707" i="13" s="1"/>
  <c r="L548" i="13" l="1"/>
  <c r="I549" i="13" s="1"/>
  <c r="K569" i="14"/>
  <c r="L569" i="14" s="1"/>
  <c r="I570" i="14" s="1"/>
  <c r="N708" i="14"/>
  <c r="J707" i="14" a="1"/>
  <c r="J707" i="14" s="1"/>
  <c r="N709" i="13"/>
  <c r="J708" i="13" a="1"/>
  <c r="J708" i="13" s="1"/>
  <c r="M712" i="14"/>
  <c r="M711" i="13"/>
  <c r="K549" i="13" l="1"/>
  <c r="K570" i="14"/>
  <c r="L570" i="14" s="1"/>
  <c r="I571" i="14" s="1"/>
  <c r="M712" i="13"/>
  <c r="N710" i="13"/>
  <c r="J709" i="13" a="1"/>
  <c r="J709" i="13" s="1"/>
  <c r="N709" i="14"/>
  <c r="J708" i="14" a="1"/>
  <c r="J708" i="14" s="1"/>
  <c r="M713" i="14"/>
  <c r="L549" i="13" l="1"/>
  <c r="I550" i="13" s="1"/>
  <c r="K571" i="14"/>
  <c r="L571" i="14" s="1"/>
  <c r="I572" i="14" s="1"/>
  <c r="N710" i="14"/>
  <c r="J709" i="14" a="1"/>
  <c r="J709" i="14" s="1"/>
  <c r="M714" i="14"/>
  <c r="N711" i="13"/>
  <c r="J710" i="13" a="1"/>
  <c r="J710" i="13" s="1"/>
  <c r="M713" i="13"/>
  <c r="K550" i="13" l="1"/>
  <c r="L550" i="13" s="1"/>
  <c r="I551" i="13" s="1"/>
  <c r="K572" i="14"/>
  <c r="M715" i="14"/>
  <c r="N712" i="13"/>
  <c r="J711" i="13" a="1"/>
  <c r="J711" i="13" s="1"/>
  <c r="M714" i="13"/>
  <c r="N711" i="14"/>
  <c r="J710" i="14" a="1"/>
  <c r="J710" i="14" s="1"/>
  <c r="K551" i="13" l="1"/>
  <c r="L551" i="13" s="1"/>
  <c r="I552" i="13" s="1"/>
  <c r="L572" i="14"/>
  <c r="I573" i="14" s="1"/>
  <c r="N712" i="14"/>
  <c r="J711" i="14" a="1"/>
  <c r="J711" i="14" s="1"/>
  <c r="M715" i="13"/>
  <c r="N713" i="13"/>
  <c r="J712" i="13" a="1"/>
  <c r="J712" i="13" s="1"/>
  <c r="M716" i="14"/>
  <c r="K552" i="13" l="1"/>
  <c r="L552" i="13" s="1"/>
  <c r="I553" i="13" s="1"/>
  <c r="N714" i="13"/>
  <c r="J713" i="13" a="1"/>
  <c r="J713" i="13" s="1"/>
  <c r="M717" i="14"/>
  <c r="M716" i="13"/>
  <c r="K573" i="14"/>
  <c r="N713" i="14"/>
  <c r="J712" i="14" a="1"/>
  <c r="J712" i="14" s="1"/>
  <c r="K553" i="13" l="1"/>
  <c r="L553" i="13" s="1"/>
  <c r="I554" i="13" s="1"/>
  <c r="M717" i="13"/>
  <c r="N715" i="13"/>
  <c r="J714" i="13" a="1"/>
  <c r="J714" i="13" s="1"/>
  <c r="N714" i="14"/>
  <c r="J713" i="14" a="1"/>
  <c r="J713" i="14" s="1"/>
  <c r="M718" i="14"/>
  <c r="L573" i="14"/>
  <c r="I574" i="14" s="1"/>
  <c r="K554" i="13" l="1"/>
  <c r="L554" i="13" s="1"/>
  <c r="I555" i="13" s="1"/>
  <c r="K574" i="14"/>
  <c r="L574" i="14" s="1"/>
  <c r="I575" i="14" s="1"/>
  <c r="N715" i="14"/>
  <c r="J714" i="14" a="1"/>
  <c r="J714" i="14" s="1"/>
  <c r="M718" i="13"/>
  <c r="M719" i="14"/>
  <c r="N716" i="13"/>
  <c r="J715" i="13" a="1"/>
  <c r="J715" i="13" s="1"/>
  <c r="K555" i="13" l="1"/>
  <c r="L555" i="13" s="1"/>
  <c r="I556" i="13" s="1"/>
  <c r="M719" i="13"/>
  <c r="K575" i="14"/>
  <c r="L575" i="14" s="1"/>
  <c r="I576" i="14" s="1"/>
  <c r="N717" i="13"/>
  <c r="J716" i="13" a="1"/>
  <c r="J716" i="13" s="1"/>
  <c r="M720" i="14"/>
  <c r="N716" i="14"/>
  <c r="J715" i="14" a="1"/>
  <c r="J715" i="14" s="1"/>
  <c r="K556" i="13" l="1"/>
  <c r="L556" i="13" s="1"/>
  <c r="I557" i="13" s="1"/>
  <c r="K576" i="14"/>
  <c r="L576" i="14" s="1"/>
  <c r="I577" i="14" s="1"/>
  <c r="M720" i="13"/>
  <c r="N718" i="13"/>
  <c r="J717" i="13" a="1"/>
  <c r="J717" i="13" s="1"/>
  <c r="M721" i="14"/>
  <c r="N717" i="14"/>
  <c r="J716" i="14" a="1"/>
  <c r="J716" i="14" s="1"/>
  <c r="K557" i="13" l="1"/>
  <c r="L557" i="13" s="1"/>
  <c r="I558" i="13" s="1"/>
  <c r="K577" i="14"/>
  <c r="L577" i="14" s="1"/>
  <c r="I578" i="14" s="1"/>
  <c r="N719" i="13"/>
  <c r="J718" i="13" a="1"/>
  <c r="J718" i="13" s="1"/>
  <c r="N718" i="14"/>
  <c r="J717" i="14" a="1"/>
  <c r="J717" i="14" s="1"/>
  <c r="M722" i="14"/>
  <c r="M721" i="13"/>
  <c r="K558" i="13" l="1"/>
  <c r="L558" i="13" s="1"/>
  <c r="I559" i="13" s="1"/>
  <c r="K578" i="14"/>
  <c r="L578" i="14" s="1"/>
  <c r="I579" i="14" s="1"/>
  <c r="N720" i="13"/>
  <c r="J719" i="13" a="1"/>
  <c r="J719" i="13" s="1"/>
  <c r="M722" i="13"/>
  <c r="N719" i="14"/>
  <c r="J718" i="14" a="1"/>
  <c r="J718" i="14" s="1"/>
  <c r="M723" i="14"/>
  <c r="K559" i="13" l="1"/>
  <c r="L559" i="13" s="1"/>
  <c r="I560" i="13" s="1"/>
  <c r="K579" i="14"/>
  <c r="L579" i="14" s="1"/>
  <c r="I580" i="14" s="1"/>
  <c r="M724" i="14"/>
  <c r="M723" i="13"/>
  <c r="N721" i="13"/>
  <c r="J720" i="13" a="1"/>
  <c r="J720" i="13" s="1"/>
  <c r="N720" i="14"/>
  <c r="J719" i="14" a="1"/>
  <c r="J719" i="14" s="1"/>
  <c r="K560" i="13" l="1"/>
  <c r="K580" i="14"/>
  <c r="L580" i="14" s="1"/>
  <c r="I581" i="14" s="1"/>
  <c r="N721" i="14"/>
  <c r="J720" i="14" a="1"/>
  <c r="J720" i="14" s="1"/>
  <c r="M724" i="13"/>
  <c r="M725" i="14"/>
  <c r="N722" i="13"/>
  <c r="J721" i="13" a="1"/>
  <c r="J721" i="13" s="1"/>
  <c r="L560" i="13" l="1"/>
  <c r="I561" i="13" s="1"/>
  <c r="K581" i="14"/>
  <c r="L581" i="14" s="1"/>
  <c r="I582" i="14" s="1"/>
  <c r="M725" i="13"/>
  <c r="N722" i="14"/>
  <c r="J721" i="14" a="1"/>
  <c r="J721" i="14" s="1"/>
  <c r="N723" i="13"/>
  <c r="J722" i="13" a="1"/>
  <c r="J722" i="13" s="1"/>
  <c r="M726" i="14"/>
  <c r="K561" i="13" l="1"/>
  <c r="K582" i="14"/>
  <c r="L582" i="14" s="1"/>
  <c r="I583" i="14" s="1"/>
  <c r="M726" i="13"/>
  <c r="N724" i="13"/>
  <c r="J723" i="13" a="1"/>
  <c r="J723" i="13" s="1"/>
  <c r="M727" i="14"/>
  <c r="N723" i="14"/>
  <c r="J722" i="14" a="1"/>
  <c r="J722" i="14" s="1"/>
  <c r="L561" i="13" l="1"/>
  <c r="I562" i="13" s="1"/>
  <c r="K583" i="14"/>
  <c r="L583" i="14" s="1"/>
  <c r="I584" i="14" s="1"/>
  <c r="M727" i="13"/>
  <c r="N724" i="14"/>
  <c r="J723" i="14" a="1"/>
  <c r="J723" i="14" s="1"/>
  <c r="M728" i="14"/>
  <c r="N725" i="13"/>
  <c r="J724" i="13" a="1"/>
  <c r="J724" i="13" s="1"/>
  <c r="K562" i="13" l="1"/>
  <c r="L562" i="13" s="1"/>
  <c r="I563" i="13" s="1"/>
  <c r="K584" i="14"/>
  <c r="N726" i="13"/>
  <c r="J725" i="13" a="1"/>
  <c r="J725" i="13" s="1"/>
  <c r="N725" i="14"/>
  <c r="J724" i="14" a="1"/>
  <c r="J724" i="14" s="1"/>
  <c r="M729" i="14"/>
  <c r="M728" i="13"/>
  <c r="K563" i="13" l="1"/>
  <c r="L563" i="13" s="1"/>
  <c r="I564" i="13" s="1"/>
  <c r="M729" i="13"/>
  <c r="N726" i="14"/>
  <c r="J725" i="14" a="1"/>
  <c r="J725" i="14" s="1"/>
  <c r="L584" i="14"/>
  <c r="I585" i="14" s="1"/>
  <c r="M730" i="14"/>
  <c r="N727" i="13"/>
  <c r="J726" i="13" a="1"/>
  <c r="J726" i="13" s="1"/>
  <c r="K564" i="13" l="1"/>
  <c r="L564" i="13" s="1"/>
  <c r="I565" i="13" s="1"/>
  <c r="K585" i="14"/>
  <c r="N728" i="13"/>
  <c r="J727" i="13" a="1"/>
  <c r="J727" i="13" s="1"/>
  <c r="M731" i="14"/>
  <c r="N727" i="14"/>
  <c r="J726" i="14" a="1"/>
  <c r="J726" i="14" s="1"/>
  <c r="M730" i="13"/>
  <c r="K565" i="13" l="1"/>
  <c r="L565" i="13" s="1"/>
  <c r="I566" i="13" s="1"/>
  <c r="M731" i="13"/>
  <c r="M732" i="14"/>
  <c r="L585" i="14"/>
  <c r="I586" i="14" s="1"/>
  <c r="N728" i="14"/>
  <c r="J727" i="14" a="1"/>
  <c r="J727" i="14" s="1"/>
  <c r="N729" i="13"/>
  <c r="J728" i="13" a="1"/>
  <c r="J728" i="13" s="1"/>
  <c r="K566" i="13" l="1"/>
  <c r="L566" i="13" s="1"/>
  <c r="I567" i="13" s="1"/>
  <c r="K586" i="14"/>
  <c r="L586" i="14" s="1"/>
  <c r="I587" i="14" s="1"/>
  <c r="N730" i="13"/>
  <c r="J729" i="13" a="1"/>
  <c r="J729" i="13" s="1"/>
  <c r="M733" i="14"/>
  <c r="N729" i="14"/>
  <c r="J728" i="14" a="1"/>
  <c r="J728" i="14" s="1"/>
  <c r="M732" i="13"/>
  <c r="K567" i="13" l="1"/>
  <c r="L567" i="13" s="1"/>
  <c r="I568" i="13" s="1"/>
  <c r="K587" i="14"/>
  <c r="L587" i="14" s="1"/>
  <c r="I588" i="14" s="1"/>
  <c r="N730" i="14"/>
  <c r="J729" i="14" a="1"/>
  <c r="J729" i="14" s="1"/>
  <c r="M733" i="13"/>
  <c r="M734" i="14"/>
  <c r="N731" i="13"/>
  <c r="J730" i="13" a="1"/>
  <c r="J730" i="13" s="1"/>
  <c r="K568" i="13" l="1"/>
  <c r="L568" i="13" s="1"/>
  <c r="I569" i="13" s="1"/>
  <c r="K588" i="14"/>
  <c r="L588" i="14" s="1"/>
  <c r="I589" i="14" s="1"/>
  <c r="M734" i="13"/>
  <c r="N732" i="13"/>
  <c r="J731" i="13" a="1"/>
  <c r="J731" i="13" s="1"/>
  <c r="M735" i="14"/>
  <c r="N731" i="14"/>
  <c r="J730" i="14" a="1"/>
  <c r="J730" i="14" s="1"/>
  <c r="K569" i="13" l="1"/>
  <c r="L569" i="13" s="1"/>
  <c r="I570" i="13" s="1"/>
  <c r="K589" i="14"/>
  <c r="L589" i="14" s="1"/>
  <c r="I590" i="14" s="1"/>
  <c r="N732" i="14"/>
  <c r="J731" i="14" a="1"/>
  <c r="J731" i="14" s="1"/>
  <c r="M736" i="14"/>
  <c r="N733" i="13"/>
  <c r="J732" i="13" a="1"/>
  <c r="J732" i="13" s="1"/>
  <c r="M735" i="13"/>
  <c r="K570" i="13" l="1"/>
  <c r="L570" i="13" s="1"/>
  <c r="I571" i="13" s="1"/>
  <c r="K590" i="14"/>
  <c r="L590" i="14" s="1"/>
  <c r="I591" i="14" s="1"/>
  <c r="M737" i="14"/>
  <c r="M736" i="13"/>
  <c r="N734" i="13"/>
  <c r="J733" i="13" a="1"/>
  <c r="J733" i="13" s="1"/>
  <c r="N733" i="14"/>
  <c r="J732" i="14" a="1"/>
  <c r="J732" i="14" s="1"/>
  <c r="K571" i="13" l="1"/>
  <c r="L571" i="13" s="1"/>
  <c r="I572" i="13" s="1"/>
  <c r="K591" i="14"/>
  <c r="L591" i="14" s="1"/>
  <c r="I592" i="14" s="1"/>
  <c r="M737" i="13"/>
  <c r="M738" i="14"/>
  <c r="N734" i="14"/>
  <c r="J733" i="14" a="1"/>
  <c r="J733" i="14" s="1"/>
  <c r="N735" i="13"/>
  <c r="J734" i="13" a="1"/>
  <c r="J734" i="13" s="1"/>
  <c r="K572" i="13" l="1"/>
  <c r="L572" i="13" s="1"/>
  <c r="I573" i="13" s="1"/>
  <c r="M738" i="13"/>
  <c r="N735" i="14"/>
  <c r="J734" i="14" a="1"/>
  <c r="J734" i="14" s="1"/>
  <c r="M739" i="14"/>
  <c r="N736" i="13"/>
  <c r="J735" i="13" a="1"/>
  <c r="J735" i="13" s="1"/>
  <c r="K592" i="14"/>
  <c r="L592" i="14" s="1"/>
  <c r="I593" i="14" s="1"/>
  <c r="K573" i="13" l="1"/>
  <c r="L573" i="13" s="1"/>
  <c r="I574" i="13" s="1"/>
  <c r="K593" i="14"/>
  <c r="L593" i="14" s="1"/>
  <c r="I594" i="14" s="1"/>
  <c r="N737" i="13"/>
  <c r="J736" i="13" a="1"/>
  <c r="J736" i="13" s="1"/>
  <c r="N736" i="14"/>
  <c r="J735" i="14" a="1"/>
  <c r="J735" i="14" s="1"/>
  <c r="M740" i="14"/>
  <c r="M739" i="13"/>
  <c r="K574" i="13" l="1"/>
  <c r="N737" i="14"/>
  <c r="J736" i="14" a="1"/>
  <c r="J736" i="14" s="1"/>
  <c r="M740" i="13"/>
  <c r="M741" i="14"/>
  <c r="N738" i="13"/>
  <c r="J737" i="13" a="1"/>
  <c r="J737" i="13" s="1"/>
  <c r="K594" i="14"/>
  <c r="L594" i="14" s="1"/>
  <c r="I595" i="14" s="1"/>
  <c r="L574" i="13" l="1"/>
  <c r="I575" i="13" s="1"/>
  <c r="K595" i="14"/>
  <c r="L595" i="14" s="1"/>
  <c r="I596" i="14" s="1"/>
  <c r="M742" i="14"/>
  <c r="N739" i="13"/>
  <c r="J738" i="13" a="1"/>
  <c r="J738" i="13" s="1"/>
  <c r="M741" i="13"/>
  <c r="N738" i="14"/>
  <c r="J737" i="14" a="1"/>
  <c r="J737" i="14" s="1"/>
  <c r="K575" i="13" l="1"/>
  <c r="L575" i="13" s="1"/>
  <c r="I576" i="13" s="1"/>
  <c r="K596" i="14"/>
  <c r="N740" i="13"/>
  <c r="J739" i="13" a="1"/>
  <c r="J739" i="13" s="1"/>
  <c r="M743" i="14"/>
  <c r="M742" i="13"/>
  <c r="N739" i="14"/>
  <c r="J738" i="14" a="1"/>
  <c r="J738" i="14" s="1"/>
  <c r="K576" i="13" l="1"/>
  <c r="L576" i="13" s="1"/>
  <c r="I577" i="13" s="1"/>
  <c r="N740" i="14"/>
  <c r="J739" i="14" a="1"/>
  <c r="J739" i="14" s="1"/>
  <c r="L596" i="14"/>
  <c r="I597" i="14" s="1"/>
  <c r="M744" i="14"/>
  <c r="M743" i="13"/>
  <c r="N741" i="13"/>
  <c r="J740" i="13" a="1"/>
  <c r="J740" i="13" s="1"/>
  <c r="K577" i="13" l="1"/>
  <c r="L577" i="13" s="1"/>
  <c r="I578" i="13" s="1"/>
  <c r="M745" i="14"/>
  <c r="N741" i="14"/>
  <c r="J740" i="14" a="1"/>
  <c r="J740" i="14" s="1"/>
  <c r="N742" i="13"/>
  <c r="J741" i="13" a="1"/>
  <c r="J741" i="13" s="1"/>
  <c r="M744" i="13"/>
  <c r="K597" i="14"/>
  <c r="L597" i="14" s="1"/>
  <c r="I598" i="14" s="1"/>
  <c r="K578" i="13" l="1"/>
  <c r="L578" i="13" s="1"/>
  <c r="I579" i="13" s="1"/>
  <c r="K598" i="14"/>
  <c r="L598" i="14" s="1"/>
  <c r="I599" i="14" s="1"/>
  <c r="N743" i="13"/>
  <c r="J742" i="13" a="1"/>
  <c r="J742" i="13" s="1"/>
  <c r="M745" i="13"/>
  <c r="N742" i="14"/>
  <c r="J741" i="14" a="1"/>
  <c r="J741" i="14" s="1"/>
  <c r="M746" i="14"/>
  <c r="K579" i="13" l="1"/>
  <c r="L579" i="13" s="1"/>
  <c r="I580" i="13" s="1"/>
  <c r="K599" i="14"/>
  <c r="L599" i="14" s="1"/>
  <c r="I600" i="14" s="1"/>
  <c r="M747" i="14"/>
  <c r="N743" i="14"/>
  <c r="J742" i="14" a="1"/>
  <c r="J742" i="14" s="1"/>
  <c r="N744" i="13"/>
  <c r="J743" i="13" a="1"/>
  <c r="J743" i="13" s="1"/>
  <c r="M746" i="13"/>
  <c r="K580" i="13" l="1"/>
  <c r="L580" i="13" s="1"/>
  <c r="I581" i="13" s="1"/>
  <c r="K600" i="14"/>
  <c r="L600" i="14" s="1"/>
  <c r="I601" i="14" s="1"/>
  <c r="N744" i="14"/>
  <c r="J743" i="14" a="1"/>
  <c r="J743" i="14" s="1"/>
  <c r="M748" i="14"/>
  <c r="N745" i="13"/>
  <c r="J744" i="13" a="1"/>
  <c r="J744" i="13" s="1"/>
  <c r="M747" i="13"/>
  <c r="K581" i="13" l="1"/>
  <c r="L581" i="13" s="1"/>
  <c r="I582" i="13" s="1"/>
  <c r="N745" i="14"/>
  <c r="J744" i="14" a="1"/>
  <c r="J744" i="14" s="1"/>
  <c r="M748" i="13"/>
  <c r="N746" i="13"/>
  <c r="J745" i="13" a="1"/>
  <c r="J745" i="13" s="1"/>
  <c r="M749" i="14"/>
  <c r="K601" i="14"/>
  <c r="L601" i="14" s="1"/>
  <c r="I602" i="14" s="1"/>
  <c r="K582" i="13" l="1"/>
  <c r="L582" i="13" s="1"/>
  <c r="I583" i="13" s="1"/>
  <c r="K602" i="14"/>
  <c r="L602" i="14" s="1"/>
  <c r="I603" i="14" s="1"/>
  <c r="N747" i="13"/>
  <c r="J746" i="13" a="1"/>
  <c r="J746" i="13" s="1"/>
  <c r="M750" i="14"/>
  <c r="M749" i="13"/>
  <c r="N746" i="14"/>
  <c r="J745" i="14" a="1"/>
  <c r="J745" i="14" s="1"/>
  <c r="K583" i="13" l="1"/>
  <c r="L583" i="13" s="1"/>
  <c r="I584" i="13" s="1"/>
  <c r="K603" i="14"/>
  <c r="L603" i="14" s="1"/>
  <c r="I604" i="14" s="1"/>
  <c r="M751" i="14"/>
  <c r="N747" i="14"/>
  <c r="J746" i="14" a="1"/>
  <c r="J746" i="14" s="1"/>
  <c r="M750" i="13"/>
  <c r="N748" i="13"/>
  <c r="J747" i="13" a="1"/>
  <c r="J747" i="13" s="1"/>
  <c r="K584" i="13" l="1"/>
  <c r="K604" i="14"/>
  <c r="L604" i="14" s="1"/>
  <c r="I605" i="14" s="1"/>
  <c r="N749" i="13"/>
  <c r="J748" i="13" a="1"/>
  <c r="J748" i="13" s="1"/>
  <c r="N748" i="14"/>
  <c r="J747" i="14" a="1"/>
  <c r="J747" i="14" s="1"/>
  <c r="M751" i="13"/>
  <c r="M752" i="14"/>
  <c r="L584" i="13" l="1"/>
  <c r="I585" i="13" s="1"/>
  <c r="K605" i="14"/>
  <c r="L605" i="14" s="1"/>
  <c r="I606" i="14" s="1"/>
  <c r="M753" i="14"/>
  <c r="M752" i="13"/>
  <c r="N750" i="13"/>
  <c r="J749" i="13" a="1"/>
  <c r="J749" i="13" s="1"/>
  <c r="N749" i="14"/>
  <c r="J748" i="14" a="1"/>
  <c r="J748" i="14" s="1"/>
  <c r="K585" i="13" l="1"/>
  <c r="L585" i="13" s="1"/>
  <c r="I586" i="13" s="1"/>
  <c r="K606" i="14"/>
  <c r="L606" i="14" s="1"/>
  <c r="I607" i="14" s="1"/>
  <c r="M754" i="14"/>
  <c r="N750" i="14"/>
  <c r="J749" i="14" a="1"/>
  <c r="J749" i="14" s="1"/>
  <c r="M753" i="13"/>
  <c r="N751" i="13"/>
  <c r="J750" i="13" a="1"/>
  <c r="J750" i="13" s="1"/>
  <c r="K586" i="13" l="1"/>
  <c r="L586" i="13" s="1"/>
  <c r="I587" i="13" s="1"/>
  <c r="K607" i="14"/>
  <c r="L607" i="14" s="1"/>
  <c r="I608" i="14" s="1"/>
  <c r="N752" i="13"/>
  <c r="J751" i="13" a="1"/>
  <c r="J751" i="13" s="1"/>
  <c r="N751" i="14"/>
  <c r="J750" i="14" a="1"/>
  <c r="J750" i="14" s="1"/>
  <c r="M754" i="13"/>
  <c r="M755" i="14"/>
  <c r="K587" i="13" l="1"/>
  <c r="L587" i="13" s="1"/>
  <c r="I588" i="13" s="1"/>
  <c r="K608" i="14"/>
  <c r="M755" i="13"/>
  <c r="M756" i="14"/>
  <c r="N752" i="14"/>
  <c r="J751" i="14" a="1"/>
  <c r="J751" i="14" s="1"/>
  <c r="N753" i="13"/>
  <c r="J752" i="13" a="1"/>
  <c r="J752" i="13" s="1"/>
  <c r="K588" i="13" l="1"/>
  <c r="L588" i="13" s="1"/>
  <c r="I589" i="13" s="1"/>
  <c r="M757" i="14"/>
  <c r="N754" i="13"/>
  <c r="J753" i="13" a="1"/>
  <c r="J753" i="13" s="1"/>
  <c r="M756" i="13"/>
  <c r="N753" i="14"/>
  <c r="J752" i="14" a="1"/>
  <c r="J752" i="14" s="1"/>
  <c r="L608" i="14"/>
  <c r="I609" i="14" s="1"/>
  <c r="K589" i="13" l="1"/>
  <c r="L589" i="13" s="1"/>
  <c r="I590" i="13" s="1"/>
  <c r="N754" i="14"/>
  <c r="J753" i="14" a="1"/>
  <c r="J753" i="14" s="1"/>
  <c r="M757" i="13"/>
  <c r="N755" i="13"/>
  <c r="J754" i="13" a="1"/>
  <c r="J754" i="13" s="1"/>
  <c r="K609" i="14"/>
  <c r="M758" i="14"/>
  <c r="K590" i="13" l="1"/>
  <c r="L590" i="13" s="1"/>
  <c r="I591" i="13" s="1"/>
  <c r="M758" i="13"/>
  <c r="L609" i="14"/>
  <c r="I610" i="14" s="1"/>
  <c r="N756" i="13"/>
  <c r="J755" i="13" a="1"/>
  <c r="J755" i="13" s="1"/>
  <c r="N755" i="14"/>
  <c r="J754" i="14" a="1"/>
  <c r="J754" i="14" s="1"/>
  <c r="M759" i="14"/>
  <c r="K591" i="13" l="1"/>
  <c r="L591" i="13" s="1"/>
  <c r="I592" i="13" s="1"/>
  <c r="N756" i="14"/>
  <c r="J755" i="14" a="1"/>
  <c r="J755" i="14" s="1"/>
  <c r="K610" i="14"/>
  <c r="L610" i="14" s="1"/>
  <c r="I611" i="14" s="1"/>
  <c r="M760" i="14"/>
  <c r="M759" i="13"/>
  <c r="N757" i="13"/>
  <c r="J756" i="13" a="1"/>
  <c r="J756" i="13" s="1"/>
  <c r="K592" i="13" l="1"/>
  <c r="L592" i="13" s="1"/>
  <c r="I593" i="13" s="1"/>
  <c r="M761" i="14"/>
  <c r="M760" i="13"/>
  <c r="K611" i="14"/>
  <c r="L611" i="14" s="1"/>
  <c r="I612" i="14" s="1"/>
  <c r="N758" i="13"/>
  <c r="J757" i="13" a="1"/>
  <c r="J757" i="13" s="1"/>
  <c r="N757" i="14"/>
  <c r="J756" i="14" a="1"/>
  <c r="J756" i="14" s="1"/>
  <c r="K593" i="13" l="1"/>
  <c r="L593" i="13" s="1"/>
  <c r="I594" i="13" s="1"/>
  <c r="K612" i="14"/>
  <c r="L612" i="14" s="1"/>
  <c r="I613" i="14" s="1"/>
  <c r="M761" i="13"/>
  <c r="N758" i="14"/>
  <c r="J757" i="14" a="1"/>
  <c r="J757" i="14" s="1"/>
  <c r="M762" i="14"/>
  <c r="N759" i="13"/>
  <c r="J758" i="13" a="1"/>
  <c r="J758" i="13" s="1"/>
  <c r="K594" i="13" l="1"/>
  <c r="L594" i="13" s="1"/>
  <c r="I595" i="13" s="1"/>
  <c r="K613" i="14"/>
  <c r="L613" i="14" s="1"/>
  <c r="I614" i="14" s="1"/>
  <c r="M762" i="13"/>
  <c r="N760" i="13"/>
  <c r="J759" i="13" a="1"/>
  <c r="J759" i="13" s="1"/>
  <c r="N759" i="14"/>
  <c r="J758" i="14" a="1"/>
  <c r="J758" i="14" s="1"/>
  <c r="M763" i="14"/>
  <c r="K595" i="13" l="1"/>
  <c r="L595" i="13" s="1"/>
  <c r="I596" i="13" s="1"/>
  <c r="M763" i="13"/>
  <c r="M764" i="14"/>
  <c r="N761" i="13"/>
  <c r="J760" i="13" a="1"/>
  <c r="J760" i="13" s="1"/>
  <c r="K614" i="14"/>
  <c r="L614" i="14" s="1"/>
  <c r="I615" i="14" s="1"/>
  <c r="N760" i="14"/>
  <c r="J759" i="14" a="1"/>
  <c r="J759" i="14" s="1"/>
  <c r="K596" i="13" l="1"/>
  <c r="K615" i="14"/>
  <c r="L615" i="14" s="1"/>
  <c r="I616" i="14" s="1"/>
  <c r="M764" i="13"/>
  <c r="N762" i="13"/>
  <c r="J761" i="13" a="1"/>
  <c r="J761" i="13" s="1"/>
  <c r="N761" i="14"/>
  <c r="J760" i="14" a="1"/>
  <c r="J760" i="14" s="1"/>
  <c r="M765" i="14"/>
  <c r="L596" i="13" l="1"/>
  <c r="I597" i="13" s="1"/>
  <c r="N762" i="14"/>
  <c r="J761" i="14" a="1"/>
  <c r="J761" i="14" s="1"/>
  <c r="M765" i="13"/>
  <c r="M766" i="14"/>
  <c r="N763" i="13"/>
  <c r="J762" i="13" a="1"/>
  <c r="J762" i="13" s="1"/>
  <c r="K616" i="14"/>
  <c r="L616" i="14" s="1"/>
  <c r="I617" i="14" s="1"/>
  <c r="K597" i="13" l="1"/>
  <c r="K617" i="14"/>
  <c r="L617" i="14" s="1"/>
  <c r="I618" i="14" s="1"/>
  <c r="M767" i="14"/>
  <c r="N763" i="14"/>
  <c r="J762" i="14" a="1"/>
  <c r="J762" i="14" s="1"/>
  <c r="M766" i="13"/>
  <c r="N764" i="13"/>
  <c r="J763" i="13" a="1"/>
  <c r="J763" i="13" s="1"/>
  <c r="L597" i="13" l="1"/>
  <c r="I598" i="13" s="1"/>
  <c r="K618" i="14"/>
  <c r="L618" i="14" s="1"/>
  <c r="I619" i="14" s="1"/>
  <c r="M768" i="14"/>
  <c r="N765" i="13"/>
  <c r="J764" i="13" a="1"/>
  <c r="J764" i="13" s="1"/>
  <c r="M767" i="13"/>
  <c r="N764" i="14"/>
  <c r="J763" i="14" a="1"/>
  <c r="J763" i="14" s="1"/>
  <c r="K598" i="13" l="1"/>
  <c r="L598" i="13" s="1"/>
  <c r="I599" i="13" s="1"/>
  <c r="K619" i="14"/>
  <c r="L619" i="14" s="1"/>
  <c r="I620" i="14" s="1"/>
  <c r="M769" i="14"/>
  <c r="N766" i="13"/>
  <c r="J765" i="13" a="1"/>
  <c r="J765" i="13" s="1"/>
  <c r="N765" i="14"/>
  <c r="J764" i="14" a="1"/>
  <c r="J764" i="14" s="1"/>
  <c r="M768" i="13"/>
  <c r="K599" i="13" l="1"/>
  <c r="L599" i="13" s="1"/>
  <c r="I600" i="13" s="1"/>
  <c r="K620" i="14"/>
  <c r="N767" i="13"/>
  <c r="J766" i="13" a="1"/>
  <c r="J766" i="13" s="1"/>
  <c r="M770" i="14"/>
  <c r="M769" i="13"/>
  <c r="N766" i="14"/>
  <c r="J765" i="14" a="1"/>
  <c r="J765" i="14" s="1"/>
  <c r="K600" i="13" l="1"/>
  <c r="L600" i="13" s="1"/>
  <c r="I601" i="13" s="1"/>
  <c r="M770" i="13"/>
  <c r="N767" i="14"/>
  <c r="J766" i="14" a="1"/>
  <c r="J766" i="14" s="1"/>
  <c r="M771" i="14"/>
  <c r="N768" i="13"/>
  <c r="J767" i="13" a="1"/>
  <c r="J767" i="13" s="1"/>
  <c r="L620" i="14"/>
  <c r="I621" i="14" s="1"/>
  <c r="K601" i="13" l="1"/>
  <c r="L601" i="13" s="1"/>
  <c r="I602" i="13" s="1"/>
  <c r="M771" i="13"/>
  <c r="N769" i="13"/>
  <c r="J768" i="13" a="1"/>
  <c r="J768" i="13" s="1"/>
  <c r="M772" i="14"/>
  <c r="K621" i="14"/>
  <c r="L621" i="14" s="1"/>
  <c r="I622" i="14" s="1"/>
  <c r="N768" i="14"/>
  <c r="J767" i="14" a="1"/>
  <c r="J767" i="14" s="1"/>
  <c r="K602" i="13" l="1"/>
  <c r="L602" i="13" s="1"/>
  <c r="I603" i="13" s="1"/>
  <c r="K622" i="14"/>
  <c r="L622" i="14" s="1"/>
  <c r="I623" i="14" s="1"/>
  <c r="M773" i="14"/>
  <c r="N769" i="14"/>
  <c r="J768" i="14" a="1"/>
  <c r="J768" i="14" s="1"/>
  <c r="M772" i="13"/>
  <c r="N770" i="13"/>
  <c r="J769" i="13" a="1"/>
  <c r="J769" i="13" s="1"/>
  <c r="K603" i="13" l="1"/>
  <c r="L603" i="13" s="1"/>
  <c r="I604" i="13" s="1"/>
  <c r="K623" i="14"/>
  <c r="L623" i="14" s="1"/>
  <c r="I624" i="14" s="1"/>
  <c r="N771" i="13"/>
  <c r="J770" i="13" a="1"/>
  <c r="J770" i="13" s="1"/>
  <c r="N770" i="14"/>
  <c r="J769" i="14" a="1"/>
  <c r="J769" i="14" s="1"/>
  <c r="M773" i="13"/>
  <c r="M774" i="14"/>
  <c r="K604" i="13" l="1"/>
  <c r="L604" i="13" s="1"/>
  <c r="I605" i="13" s="1"/>
  <c r="K624" i="14"/>
  <c r="L624" i="14" s="1"/>
  <c r="I625" i="14" s="1"/>
  <c r="M774" i="13"/>
  <c r="M775" i="14"/>
  <c r="N772" i="13"/>
  <c r="J771" i="13" a="1"/>
  <c r="J771" i="13" s="1"/>
  <c r="N771" i="14"/>
  <c r="J770" i="14" a="1"/>
  <c r="J770" i="14" s="1"/>
  <c r="K605" i="13" l="1"/>
  <c r="L605" i="13" s="1"/>
  <c r="I606" i="13" s="1"/>
  <c r="M776" i="14"/>
  <c r="M775" i="13"/>
  <c r="N772" i="14"/>
  <c r="J771" i="14" a="1"/>
  <c r="J771" i="14" s="1"/>
  <c r="K625" i="14"/>
  <c r="L625" i="14" s="1"/>
  <c r="I626" i="14" s="1"/>
  <c r="N773" i="13"/>
  <c r="J772" i="13" a="1"/>
  <c r="J772" i="13" s="1"/>
  <c r="K606" i="13" l="1"/>
  <c r="L606" i="13" s="1"/>
  <c r="I607" i="13" s="1"/>
  <c r="K626" i="14"/>
  <c r="L626" i="14" s="1"/>
  <c r="I627" i="14" s="1"/>
  <c r="M777" i="14"/>
  <c r="N773" i="14"/>
  <c r="J772" i="14" a="1"/>
  <c r="J772" i="14" s="1"/>
  <c r="N774" i="13"/>
  <c r="J773" i="13" a="1"/>
  <c r="J773" i="13" s="1"/>
  <c r="M776" i="13"/>
  <c r="K607" i="13" l="1"/>
  <c r="L607" i="13" s="1"/>
  <c r="I608" i="13" s="1"/>
  <c r="K627" i="14"/>
  <c r="L627" i="14" s="1"/>
  <c r="I628" i="14" s="1"/>
  <c r="N774" i="14"/>
  <c r="J773" i="14" a="1"/>
  <c r="J773" i="14" s="1"/>
  <c r="M778" i="14"/>
  <c r="M777" i="13"/>
  <c r="N775" i="13"/>
  <c r="J774" i="13" a="1"/>
  <c r="J774" i="13" s="1"/>
  <c r="K608" i="13" l="1"/>
  <c r="K628" i="14"/>
  <c r="L628" i="14" s="1"/>
  <c r="I629" i="14" s="1"/>
  <c r="M778" i="13"/>
  <c r="M779" i="14"/>
  <c r="N776" i="13"/>
  <c r="J775" i="13" a="1"/>
  <c r="J775" i="13" s="1"/>
  <c r="N775" i="14"/>
  <c r="J774" i="14" a="1"/>
  <c r="J774" i="14" s="1"/>
  <c r="L608" i="13" l="1"/>
  <c r="I609" i="13" s="1"/>
  <c r="K629" i="14"/>
  <c r="L629" i="14" s="1"/>
  <c r="I630" i="14" s="1"/>
  <c r="N777" i="13"/>
  <c r="J776" i="13" a="1"/>
  <c r="J776" i="13" s="1"/>
  <c r="M779" i="13"/>
  <c r="N776" i="14"/>
  <c r="J775" i="14" a="1"/>
  <c r="J775" i="14" s="1"/>
  <c r="M780" i="14"/>
  <c r="K609" i="13" l="1"/>
  <c r="K630" i="14"/>
  <c r="L630" i="14" s="1"/>
  <c r="I631" i="14" s="1"/>
  <c r="M781" i="14"/>
  <c r="M780" i="13"/>
  <c r="N777" i="14"/>
  <c r="J776" i="14" a="1"/>
  <c r="J776" i="14" s="1"/>
  <c r="N778" i="13"/>
  <c r="J777" i="13" a="1"/>
  <c r="J777" i="13" s="1"/>
  <c r="L609" i="13" l="1"/>
  <c r="I610" i="13" s="1"/>
  <c r="K631" i="14"/>
  <c r="L631" i="14" s="1"/>
  <c r="I632" i="14" s="1"/>
  <c r="N779" i="13"/>
  <c r="J778" i="13" a="1"/>
  <c r="J778" i="13" s="1"/>
  <c r="M781" i="13"/>
  <c r="N778" i="14"/>
  <c r="J777" i="14" a="1"/>
  <c r="J777" i="14" s="1"/>
  <c r="M782" i="14"/>
  <c r="K610" i="13" l="1"/>
  <c r="L610" i="13" s="1"/>
  <c r="I611" i="13" s="1"/>
  <c r="K632" i="14"/>
  <c r="M783" i="14"/>
  <c r="M782" i="13"/>
  <c r="N780" i="13"/>
  <c r="J779" i="13" a="1"/>
  <c r="J779" i="13" s="1"/>
  <c r="N779" i="14"/>
  <c r="J778" i="14" a="1"/>
  <c r="J778" i="14" s="1"/>
  <c r="K611" i="13" l="1"/>
  <c r="L611" i="13" s="1"/>
  <c r="I612" i="13" s="1"/>
  <c r="N780" i="14"/>
  <c r="J779" i="14" a="1"/>
  <c r="J779" i="14" s="1"/>
  <c r="M784" i="14"/>
  <c r="L632" i="14"/>
  <c r="I633" i="14" s="1"/>
  <c r="N781" i="13"/>
  <c r="J780" i="13" a="1"/>
  <c r="J780" i="13" s="1"/>
  <c r="M783" i="13"/>
  <c r="K612" i="13" l="1"/>
  <c r="L612" i="13" s="1"/>
  <c r="I613" i="13" s="1"/>
  <c r="M784" i="13"/>
  <c r="K633" i="14"/>
  <c r="L633" i="14" s="1"/>
  <c r="I634" i="14" s="1"/>
  <c r="N781" i="14"/>
  <c r="J780" i="14" a="1"/>
  <c r="J780" i="14" s="1"/>
  <c r="M785" i="14"/>
  <c r="N782" i="13"/>
  <c r="J781" i="13" a="1"/>
  <c r="J781" i="13" s="1"/>
  <c r="K613" i="13" l="1"/>
  <c r="L613" i="13" s="1"/>
  <c r="I614" i="13" s="1"/>
  <c r="M785" i="13"/>
  <c r="N782" i="14"/>
  <c r="J781" i="14" a="1"/>
  <c r="J781" i="14" s="1"/>
  <c r="N783" i="13"/>
  <c r="J782" i="13" a="1"/>
  <c r="J782" i="13" s="1"/>
  <c r="M786" i="14"/>
  <c r="K634" i="14"/>
  <c r="L634" i="14" s="1"/>
  <c r="I635" i="14" s="1"/>
  <c r="K614" i="13" l="1"/>
  <c r="L614" i="13" s="1"/>
  <c r="I615" i="13" s="1"/>
  <c r="K635" i="14"/>
  <c r="L635" i="14" s="1"/>
  <c r="I636" i="14" s="1"/>
  <c r="N784" i="13"/>
  <c r="J783" i="13" a="1"/>
  <c r="J783" i="13" s="1"/>
  <c r="M786" i="13"/>
  <c r="M787" i="14"/>
  <c r="N783" i="14"/>
  <c r="J782" i="14" a="1"/>
  <c r="J782" i="14" s="1"/>
  <c r="K615" i="13" l="1"/>
  <c r="L615" i="13" s="1"/>
  <c r="I616" i="13" s="1"/>
  <c r="K636" i="14"/>
  <c r="L636" i="14" s="1"/>
  <c r="I637" i="14" s="1"/>
  <c r="M787" i="13"/>
  <c r="N784" i="14"/>
  <c r="J783" i="14" a="1"/>
  <c r="J783" i="14" s="1"/>
  <c r="M788" i="14"/>
  <c r="N785" i="13"/>
  <c r="J784" i="13" a="1"/>
  <c r="J784" i="13" s="1"/>
  <c r="K616" i="13" l="1"/>
  <c r="L616" i="13" s="1"/>
  <c r="I617" i="13" s="1"/>
  <c r="K637" i="14"/>
  <c r="L637" i="14" s="1"/>
  <c r="I638" i="14" s="1"/>
  <c r="N785" i="14"/>
  <c r="J784" i="14" a="1"/>
  <c r="J784" i="14" s="1"/>
  <c r="N786" i="13"/>
  <c r="J785" i="13" a="1"/>
  <c r="J785" i="13" s="1"/>
  <c r="M789" i="14"/>
  <c r="M788" i="13"/>
  <c r="K617" i="13" l="1"/>
  <c r="L617" i="13" s="1"/>
  <c r="I618" i="13" s="1"/>
  <c r="K638" i="14"/>
  <c r="L638" i="14" s="1"/>
  <c r="I639" i="14" s="1"/>
  <c r="M789" i="13"/>
  <c r="N787" i="13"/>
  <c r="J786" i="13" a="1"/>
  <c r="J786" i="13" s="1"/>
  <c r="M790" i="14"/>
  <c r="N786" i="14"/>
  <c r="J785" i="14" a="1"/>
  <c r="J785" i="14" s="1"/>
  <c r="K618" i="13" l="1"/>
  <c r="L618" i="13" s="1"/>
  <c r="I619" i="13" s="1"/>
  <c r="K639" i="14"/>
  <c r="L639" i="14" s="1"/>
  <c r="I640" i="14" s="1"/>
  <c r="N788" i="13"/>
  <c r="J787" i="13" a="1"/>
  <c r="J787" i="13" s="1"/>
  <c r="N787" i="14"/>
  <c r="J786" i="14" a="1"/>
  <c r="J786" i="14" s="1"/>
  <c r="M791" i="14"/>
  <c r="M790" i="13"/>
  <c r="K619" i="13" l="1"/>
  <c r="L619" i="13" s="1"/>
  <c r="I620" i="13" s="1"/>
  <c r="K640" i="14"/>
  <c r="L640" i="14" s="1"/>
  <c r="I641" i="14" s="1"/>
  <c r="N788" i="14"/>
  <c r="J787" i="14" a="1"/>
  <c r="J787" i="14" s="1"/>
  <c r="M791" i="13"/>
  <c r="M792" i="14"/>
  <c r="N789" i="13"/>
  <c r="J788" i="13" a="1"/>
  <c r="J788" i="13" s="1"/>
  <c r="K620" i="13" l="1"/>
  <c r="K641" i="14"/>
  <c r="L641" i="14" s="1"/>
  <c r="I642" i="14" s="1"/>
  <c r="M792" i="13"/>
  <c r="N790" i="13"/>
  <c r="J789" i="13" a="1"/>
  <c r="J789" i="13" s="1"/>
  <c r="M793" i="14"/>
  <c r="N789" i="14"/>
  <c r="J788" i="14" a="1"/>
  <c r="J788" i="14" s="1"/>
  <c r="L620" i="13" l="1"/>
  <c r="I621" i="13" s="1"/>
  <c r="K642" i="14"/>
  <c r="L642" i="14" s="1"/>
  <c r="I643" i="14" s="1"/>
  <c r="M794" i="14"/>
  <c r="N790" i="14"/>
  <c r="J789" i="14" a="1"/>
  <c r="J789" i="14" s="1"/>
  <c r="N791" i="13"/>
  <c r="J790" i="13" a="1"/>
  <c r="J790" i="13" s="1"/>
  <c r="M793" i="13"/>
  <c r="K621" i="13" l="1"/>
  <c r="K643" i="14"/>
  <c r="L643" i="14" s="1"/>
  <c r="I644" i="14" s="1"/>
  <c r="M795" i="14"/>
  <c r="N792" i="13"/>
  <c r="J791" i="13" a="1"/>
  <c r="J791" i="13" s="1"/>
  <c r="M794" i="13"/>
  <c r="N791" i="14"/>
  <c r="J790" i="14" a="1"/>
  <c r="J790" i="14" s="1"/>
  <c r="L621" i="13" l="1"/>
  <c r="I622" i="13" s="1"/>
  <c r="K644" i="14"/>
  <c r="N792" i="14"/>
  <c r="J791" i="14" a="1"/>
  <c r="J791" i="14" s="1"/>
  <c r="N793" i="13"/>
  <c r="J792" i="13" a="1"/>
  <c r="J792" i="13" s="1"/>
  <c r="M795" i="13"/>
  <c r="M796" i="14"/>
  <c r="K622" i="13" l="1"/>
  <c r="L622" i="13" s="1"/>
  <c r="I623" i="13" s="1"/>
  <c r="M797" i="14"/>
  <c r="N793" i="14"/>
  <c r="J792" i="14" a="1"/>
  <c r="J792" i="14" s="1"/>
  <c r="M796" i="13"/>
  <c r="N794" i="13"/>
  <c r="J793" i="13" a="1"/>
  <c r="J793" i="13" s="1"/>
  <c r="L644" i="14"/>
  <c r="I645" i="14" s="1"/>
  <c r="K623" i="13" l="1"/>
  <c r="L623" i="13" s="1"/>
  <c r="I624" i="13" s="1"/>
  <c r="N795" i="13"/>
  <c r="J794" i="13" a="1"/>
  <c r="J794" i="13" s="1"/>
  <c r="K645" i="14"/>
  <c r="M798" i="14"/>
  <c r="M797" i="13"/>
  <c r="N794" i="14"/>
  <c r="J793" i="14" a="1"/>
  <c r="J793" i="14" s="1"/>
  <c r="K624" i="13" l="1"/>
  <c r="L624" i="13" s="1"/>
  <c r="I625" i="13" s="1"/>
  <c r="N796" i="13"/>
  <c r="J795" i="13" a="1"/>
  <c r="J795" i="13" s="1"/>
  <c r="M799" i="14"/>
  <c r="N795" i="14"/>
  <c r="J794" i="14" a="1"/>
  <c r="J794" i="14" s="1"/>
  <c r="M798" i="13"/>
  <c r="L645" i="14"/>
  <c r="I646" i="14" s="1"/>
  <c r="K625" i="13" l="1"/>
  <c r="L625" i="13" s="1"/>
  <c r="I626" i="13" s="1"/>
  <c r="K646" i="14"/>
  <c r="L646" i="14" s="1"/>
  <c r="I647" i="14" s="1"/>
  <c r="N797" i="13"/>
  <c r="J796" i="13" a="1"/>
  <c r="J796" i="13" s="1"/>
  <c r="N796" i="14"/>
  <c r="J795" i="14" a="1"/>
  <c r="J795" i="14" s="1"/>
  <c r="M799" i="13"/>
  <c r="M800" i="14"/>
  <c r="K626" i="13" l="1"/>
  <c r="L626" i="13" s="1"/>
  <c r="I627" i="13" s="1"/>
  <c r="K647" i="14"/>
  <c r="L647" i="14" s="1"/>
  <c r="I648" i="14" s="1"/>
  <c r="M801" i="14"/>
  <c r="N797" i="14"/>
  <c r="J796" i="14" a="1"/>
  <c r="J796" i="14" s="1"/>
  <c r="M800" i="13"/>
  <c r="N798" i="13"/>
  <c r="J797" i="13" a="1"/>
  <c r="J797" i="13" s="1"/>
  <c r="K627" i="13" l="1"/>
  <c r="L627" i="13" s="1"/>
  <c r="I628" i="13" s="1"/>
  <c r="K648" i="14"/>
  <c r="L648" i="14" s="1"/>
  <c r="I649" i="14" s="1"/>
  <c r="N799" i="13"/>
  <c r="J798" i="13" a="1"/>
  <c r="J798" i="13" s="1"/>
  <c r="N798" i="14"/>
  <c r="J797" i="14" a="1"/>
  <c r="J797" i="14" s="1"/>
  <c r="M801" i="13"/>
  <c r="M802" i="14"/>
  <c r="K628" i="13" l="1"/>
  <c r="L628" i="13" s="1"/>
  <c r="I629" i="13" s="1"/>
  <c r="K649" i="14"/>
  <c r="L649" i="14" s="1"/>
  <c r="I650" i="14" s="1"/>
  <c r="M803" i="14"/>
  <c r="N799" i="14"/>
  <c r="J798" i="14" a="1"/>
  <c r="J798" i="14" s="1"/>
  <c r="M802" i="13"/>
  <c r="N800" i="13"/>
  <c r="J799" i="13" a="1"/>
  <c r="J799" i="13" s="1"/>
  <c r="K629" i="13" l="1"/>
  <c r="L629" i="13" s="1"/>
  <c r="I630" i="13" s="1"/>
  <c r="K650" i="14"/>
  <c r="L650" i="14" s="1"/>
  <c r="I651" i="14" s="1"/>
  <c r="N800" i="14"/>
  <c r="J799" i="14" a="1"/>
  <c r="J799" i="14" s="1"/>
  <c r="N801" i="13"/>
  <c r="J800" i="13" a="1"/>
  <c r="J800" i="13" s="1"/>
  <c r="M803" i="13"/>
  <c r="M804" i="14"/>
  <c r="K630" i="13" l="1"/>
  <c r="L630" i="13" s="1"/>
  <c r="I631" i="13" s="1"/>
  <c r="K651" i="14"/>
  <c r="L651" i="14" s="1"/>
  <c r="I652" i="14" s="1"/>
  <c r="M805" i="14"/>
  <c r="N802" i="13"/>
  <c r="J801" i="13" a="1"/>
  <c r="J801" i="13" s="1"/>
  <c r="M804" i="13"/>
  <c r="N801" i="14"/>
  <c r="J800" i="14" a="1"/>
  <c r="J800" i="14" s="1"/>
  <c r="K631" i="13" l="1"/>
  <c r="L631" i="13" s="1"/>
  <c r="I632" i="13" s="1"/>
  <c r="K652" i="14"/>
  <c r="L652" i="14" s="1"/>
  <c r="I653" i="14" s="1"/>
  <c r="N803" i="13"/>
  <c r="J802" i="13" a="1"/>
  <c r="J802" i="13" s="1"/>
  <c r="M805" i="13"/>
  <c r="M806" i="14"/>
  <c r="N802" i="14"/>
  <c r="J801" i="14" a="1"/>
  <c r="J801" i="14" s="1"/>
  <c r="K632" i="13" l="1"/>
  <c r="K653" i="14"/>
  <c r="L653" i="14" s="1"/>
  <c r="I654" i="14" s="1"/>
  <c r="M806" i="13"/>
  <c r="N803" i="14"/>
  <c r="J802" i="14" a="1"/>
  <c r="J802" i="14" s="1"/>
  <c r="M807" i="14"/>
  <c r="N804" i="13"/>
  <c r="J803" i="13" a="1"/>
  <c r="J803" i="13" s="1"/>
  <c r="L632" i="13" l="1"/>
  <c r="I633" i="13" s="1"/>
  <c r="K654" i="14"/>
  <c r="L654" i="14" s="1"/>
  <c r="I655" i="14" s="1"/>
  <c r="N805" i="13"/>
  <c r="J804" i="13" a="1"/>
  <c r="J804" i="13" s="1"/>
  <c r="N804" i="14"/>
  <c r="J803" i="14" a="1"/>
  <c r="J803" i="14" s="1"/>
  <c r="M808" i="14"/>
  <c r="M807" i="13"/>
  <c r="K633" i="13" l="1"/>
  <c r="L633" i="13" s="1"/>
  <c r="I634" i="13" s="1"/>
  <c r="K655" i="14"/>
  <c r="L655" i="14" s="1"/>
  <c r="I656" i="14" s="1"/>
  <c r="N806" i="13"/>
  <c r="J805" i="13" a="1"/>
  <c r="J805" i="13" s="1"/>
  <c r="M809" i="14"/>
  <c r="M808" i="13"/>
  <c r="N805" i="14"/>
  <c r="J804" i="14" a="1"/>
  <c r="J804" i="14" s="1"/>
  <c r="K634" i="13" l="1"/>
  <c r="L634" i="13" s="1"/>
  <c r="I635" i="13" s="1"/>
  <c r="M810" i="14"/>
  <c r="N806" i="14"/>
  <c r="J805" i="14" a="1"/>
  <c r="J805" i="14" s="1"/>
  <c r="M809" i="13"/>
  <c r="K656" i="14"/>
  <c r="N807" i="13"/>
  <c r="J806" i="13" a="1"/>
  <c r="J806" i="13" s="1"/>
  <c r="K635" i="13" l="1"/>
  <c r="L635" i="13" s="1"/>
  <c r="I636" i="13" s="1"/>
  <c r="M810" i="13"/>
  <c r="M811" i="14"/>
  <c r="N808" i="13"/>
  <c r="J807" i="13" a="1"/>
  <c r="J807" i="13" s="1"/>
  <c r="L656" i="14"/>
  <c r="I657" i="14" s="1"/>
  <c r="N807" i="14"/>
  <c r="J806" i="14" a="1"/>
  <c r="J806" i="14" s="1"/>
  <c r="K636" i="13" l="1"/>
  <c r="L636" i="13" s="1"/>
  <c r="I637" i="13" s="1"/>
  <c r="N808" i="14"/>
  <c r="J807" i="14" a="1"/>
  <c r="J807" i="14" s="1"/>
  <c r="N809" i="13"/>
  <c r="J808" i="13" a="1"/>
  <c r="J808" i="13" s="1"/>
  <c r="M811" i="13"/>
  <c r="K657" i="14"/>
  <c r="M812" i="14"/>
  <c r="K637" i="13" l="1"/>
  <c r="L637" i="13" s="1"/>
  <c r="I638" i="13" s="1"/>
  <c r="N809" i="14"/>
  <c r="J808" i="14" a="1"/>
  <c r="J808" i="14" s="1"/>
  <c r="M813" i="14"/>
  <c r="M812" i="13"/>
  <c r="L657" i="14"/>
  <c r="I658" i="14" s="1"/>
  <c r="N810" i="13"/>
  <c r="J809" i="13" a="1"/>
  <c r="J809" i="13" s="1"/>
  <c r="K638" i="13" l="1"/>
  <c r="L638" i="13" s="1"/>
  <c r="I639" i="13" s="1"/>
  <c r="M813" i="13"/>
  <c r="N811" i="13"/>
  <c r="J810" i="13" a="1"/>
  <c r="J810" i="13" s="1"/>
  <c r="N810" i="14"/>
  <c r="J809" i="14" a="1"/>
  <c r="J809" i="14" s="1"/>
  <c r="K658" i="14"/>
  <c r="L658" i="14" s="1"/>
  <c r="I659" i="14" s="1"/>
  <c r="M814" i="14"/>
  <c r="K639" i="13" l="1"/>
  <c r="L639" i="13" s="1"/>
  <c r="I640" i="13" s="1"/>
  <c r="M814" i="13"/>
  <c r="N811" i="14"/>
  <c r="J810" i="14" a="1"/>
  <c r="J810" i="14" s="1"/>
  <c r="M815" i="14"/>
  <c r="K659" i="14"/>
  <c r="L659" i="14" s="1"/>
  <c r="I660" i="14" s="1"/>
  <c r="N812" i="13"/>
  <c r="J811" i="13" a="1"/>
  <c r="J811" i="13" s="1"/>
  <c r="K640" i="13" l="1"/>
  <c r="L640" i="13" s="1"/>
  <c r="I641" i="13" s="1"/>
  <c r="K660" i="14"/>
  <c r="L660" i="14" s="1"/>
  <c r="I661" i="14" s="1"/>
  <c r="M816" i="14"/>
  <c r="M815" i="13"/>
  <c r="N812" i="14"/>
  <c r="J811" i="14" a="1"/>
  <c r="J811" i="14" s="1"/>
  <c r="N813" i="13"/>
  <c r="J812" i="13" a="1"/>
  <c r="J812" i="13" s="1"/>
  <c r="K641" i="13" l="1"/>
  <c r="L641" i="13" s="1"/>
  <c r="I642" i="13" s="1"/>
  <c r="K661" i="14"/>
  <c r="L661" i="14" s="1"/>
  <c r="I662" i="14" s="1"/>
  <c r="M816" i="13"/>
  <c r="N814" i="13"/>
  <c r="J813" i="13" a="1"/>
  <c r="J813" i="13" s="1"/>
  <c r="M817" i="14"/>
  <c r="N813" i="14"/>
  <c r="J812" i="14" a="1"/>
  <c r="J812" i="14" s="1"/>
  <c r="K642" i="13" l="1"/>
  <c r="L642" i="13" s="1"/>
  <c r="I643" i="13" s="1"/>
  <c r="K662" i="14"/>
  <c r="L662" i="14" s="1"/>
  <c r="I663" i="14" s="1"/>
  <c r="N814" i="14"/>
  <c r="J813" i="14" a="1"/>
  <c r="J813" i="14" s="1"/>
  <c r="N815" i="13"/>
  <c r="J814" i="13" a="1"/>
  <c r="J814" i="13" s="1"/>
  <c r="M818" i="14"/>
  <c r="M817" i="13"/>
  <c r="K643" i="13" l="1"/>
  <c r="L643" i="13" s="1"/>
  <c r="I644" i="13" s="1"/>
  <c r="N816" i="13"/>
  <c r="J815" i="13" a="1"/>
  <c r="J815" i="13" s="1"/>
  <c r="M819" i="14"/>
  <c r="M818" i="13"/>
  <c r="N815" i="14"/>
  <c r="J814" i="14" a="1"/>
  <c r="J814" i="14" s="1"/>
  <c r="K663" i="14"/>
  <c r="L663" i="14" s="1"/>
  <c r="I664" i="14" s="1"/>
  <c r="K644" i="13" l="1"/>
  <c r="K664" i="14"/>
  <c r="L664" i="14" s="1"/>
  <c r="I665" i="14" s="1"/>
  <c r="M820" i="14"/>
  <c r="N817" i="13"/>
  <c r="J816" i="13" a="1"/>
  <c r="J816" i="13" s="1"/>
  <c r="N816" i="14"/>
  <c r="J815" i="14" a="1"/>
  <c r="J815" i="14" s="1"/>
  <c r="M819" i="13"/>
  <c r="L644" i="13" l="1"/>
  <c r="I645" i="13" s="1"/>
  <c r="N817" i="14"/>
  <c r="J816" i="14" a="1"/>
  <c r="J816" i="14" s="1"/>
  <c r="M821" i="14"/>
  <c r="M820" i="13"/>
  <c r="N818" i="13"/>
  <c r="J817" i="13" a="1"/>
  <c r="J817" i="13" s="1"/>
  <c r="K665" i="14"/>
  <c r="L665" i="14" s="1"/>
  <c r="I666" i="14" s="1"/>
  <c r="K645" i="13" l="1"/>
  <c r="K666" i="14"/>
  <c r="L666" i="14" s="1"/>
  <c r="I667" i="14" s="1"/>
  <c r="M821" i="13"/>
  <c r="N818" i="14"/>
  <c r="J817" i="14" a="1"/>
  <c r="J817" i="14" s="1"/>
  <c r="M822" i="14"/>
  <c r="N819" i="13"/>
  <c r="J818" i="13" a="1"/>
  <c r="J818" i="13" s="1"/>
  <c r="L645" i="13" l="1"/>
  <c r="I646" i="13" s="1"/>
  <c r="K667" i="14"/>
  <c r="L667" i="14" s="1"/>
  <c r="I668" i="14" s="1"/>
  <c r="N820" i="13"/>
  <c r="J819" i="13" a="1"/>
  <c r="J819" i="13" s="1"/>
  <c r="N819" i="14"/>
  <c r="J818" i="14" a="1"/>
  <c r="J818" i="14" s="1"/>
  <c r="M822" i="13"/>
  <c r="M823" i="14"/>
  <c r="K646" i="13" l="1"/>
  <c r="L646" i="13" s="1"/>
  <c r="I647" i="13" s="1"/>
  <c r="M824" i="14"/>
  <c r="N821" i="13"/>
  <c r="J820" i="13" a="1"/>
  <c r="J820" i="13" s="1"/>
  <c r="M823" i="13"/>
  <c r="N820" i="14"/>
  <c r="J819" i="14" a="1"/>
  <c r="J819" i="14" s="1"/>
  <c r="K668" i="14"/>
  <c r="K647" i="13" l="1"/>
  <c r="L647" i="13" s="1"/>
  <c r="I648" i="13" s="1"/>
  <c r="M824" i="13"/>
  <c r="M825" i="14"/>
  <c r="L668" i="14"/>
  <c r="I669" i="14" s="1"/>
  <c r="N821" i="14"/>
  <c r="J820" i="14" a="1"/>
  <c r="J820" i="14" s="1"/>
  <c r="N822" i="13"/>
  <c r="J821" i="13" a="1"/>
  <c r="J821" i="13" s="1"/>
  <c r="K648" i="13" l="1"/>
  <c r="L648" i="13" s="1"/>
  <c r="I649" i="13" s="1"/>
  <c r="K669" i="14"/>
  <c r="N823" i="13"/>
  <c r="J822" i="13" a="1"/>
  <c r="J822" i="13" s="1"/>
  <c r="M826" i="14"/>
  <c r="N822" i="14"/>
  <c r="J821" i="14" a="1"/>
  <c r="J821" i="14" s="1"/>
  <c r="M825" i="13"/>
  <c r="K649" i="13" l="1"/>
  <c r="L649" i="13" s="1"/>
  <c r="I650" i="13" s="1"/>
  <c r="L669" i="14"/>
  <c r="I670" i="14" s="1"/>
  <c r="M826" i="13"/>
  <c r="M827" i="14"/>
  <c r="N823" i="14"/>
  <c r="J822" i="14" a="1"/>
  <c r="J822" i="14" s="1"/>
  <c r="N824" i="13"/>
  <c r="J823" i="13" a="1"/>
  <c r="J823" i="13" s="1"/>
  <c r="K650" i="13" l="1"/>
  <c r="L650" i="13" s="1"/>
  <c r="I651" i="13" s="1"/>
  <c r="M828" i="14"/>
  <c r="K670" i="14"/>
  <c r="L670" i="14" s="1"/>
  <c r="I671" i="14" s="1"/>
  <c r="N825" i="13"/>
  <c r="J824" i="13" a="1"/>
  <c r="J824" i="13" s="1"/>
  <c r="M827" i="13"/>
  <c r="N824" i="14"/>
  <c r="J823" i="14" a="1"/>
  <c r="J823" i="14" s="1"/>
  <c r="K651" i="13" l="1"/>
  <c r="L651" i="13" s="1"/>
  <c r="I652" i="13" s="1"/>
  <c r="K671" i="14"/>
  <c r="L671" i="14" s="1"/>
  <c r="I672" i="14" s="1"/>
  <c r="N826" i="13"/>
  <c r="J825" i="13" a="1"/>
  <c r="J825" i="13" s="1"/>
  <c r="N825" i="14"/>
  <c r="J824" i="14" a="1"/>
  <c r="J824" i="14" s="1"/>
  <c r="M828" i="13"/>
  <c r="M829" i="14"/>
  <c r="K652" i="13" l="1"/>
  <c r="L652" i="13" s="1"/>
  <c r="I653" i="13" s="1"/>
  <c r="K672" i="14"/>
  <c r="L672" i="14" s="1"/>
  <c r="I673" i="14" s="1"/>
  <c r="N826" i="14"/>
  <c r="J825" i="14" a="1"/>
  <c r="J825" i="14" s="1"/>
  <c r="M829" i="13"/>
  <c r="M830" i="14"/>
  <c r="N827" i="13"/>
  <c r="J826" i="13" a="1"/>
  <c r="J826" i="13" s="1"/>
  <c r="K653" i="13" l="1"/>
  <c r="L653" i="13" s="1"/>
  <c r="I654" i="13" s="1"/>
  <c r="K673" i="14"/>
  <c r="L673" i="14" s="1"/>
  <c r="I674" i="14" s="1"/>
  <c r="N828" i="13"/>
  <c r="J827" i="13" a="1"/>
  <c r="J827" i="13" s="1"/>
  <c r="M831" i="14"/>
  <c r="N827" i="14"/>
  <c r="J826" i="14" a="1"/>
  <c r="J826" i="14" s="1"/>
  <c r="M830" i="13"/>
  <c r="K654" i="13" l="1"/>
  <c r="L654" i="13" s="1"/>
  <c r="I655" i="13" s="1"/>
  <c r="K674" i="14"/>
  <c r="L674" i="14" s="1"/>
  <c r="I675" i="14" s="1"/>
  <c r="M831" i="13"/>
  <c r="M832" i="14"/>
  <c r="N828" i="14"/>
  <c r="J827" i="14" a="1"/>
  <c r="J827" i="14" s="1"/>
  <c r="N829" i="13"/>
  <c r="J828" i="13" a="1"/>
  <c r="J828" i="13" s="1"/>
  <c r="K655" i="13" l="1"/>
  <c r="L655" i="13" s="1"/>
  <c r="I656" i="13" s="1"/>
  <c r="K675" i="14"/>
  <c r="L675" i="14" s="1"/>
  <c r="I676" i="14" s="1"/>
  <c r="M833" i="14"/>
  <c r="N830" i="13"/>
  <c r="J829" i="13" a="1"/>
  <c r="J829" i="13" s="1"/>
  <c r="M832" i="13"/>
  <c r="N829" i="14"/>
  <c r="J828" i="14" a="1"/>
  <c r="J828" i="14" s="1"/>
  <c r="K656" i="13" l="1"/>
  <c r="K676" i="14"/>
  <c r="L676" i="14" s="1"/>
  <c r="I677" i="14" s="1"/>
  <c r="N831" i="13"/>
  <c r="J830" i="13" a="1"/>
  <c r="J830" i="13" s="1"/>
  <c r="N830" i="14"/>
  <c r="J829" i="14" a="1"/>
  <c r="J829" i="14" s="1"/>
  <c r="M833" i="13"/>
  <c r="M834" i="14"/>
  <c r="L656" i="13" l="1"/>
  <c r="I657" i="13" s="1"/>
  <c r="K677" i="14"/>
  <c r="L677" i="14" s="1"/>
  <c r="I678" i="14" s="1"/>
  <c r="N832" i="13"/>
  <c r="J831" i="13" a="1"/>
  <c r="J831" i="13" s="1"/>
  <c r="M835" i="14"/>
  <c r="N831" i="14"/>
  <c r="J830" i="14" a="1"/>
  <c r="J830" i="14" s="1"/>
  <c r="M834" i="13"/>
  <c r="K657" i="13" l="1"/>
  <c r="K678" i="14"/>
  <c r="L678" i="14" s="1"/>
  <c r="I679" i="14" s="1"/>
  <c r="M835" i="13"/>
  <c r="N832" i="14"/>
  <c r="J831" i="14" a="1"/>
  <c r="J831" i="14" s="1"/>
  <c r="N833" i="13"/>
  <c r="J832" i="13" a="1"/>
  <c r="J832" i="13" s="1"/>
  <c r="M836" i="14"/>
  <c r="L657" i="13" l="1"/>
  <c r="I658" i="13" s="1"/>
  <c r="K679" i="14"/>
  <c r="L679" i="14" s="1"/>
  <c r="I680" i="14" s="1"/>
  <c r="M836" i="13"/>
  <c r="M837" i="14"/>
  <c r="N834" i="13"/>
  <c r="J833" i="13" a="1"/>
  <c r="J833" i="13" s="1"/>
  <c r="N833" i="14"/>
  <c r="J832" i="14" a="1"/>
  <c r="J832" i="14" s="1"/>
  <c r="K658" i="13" l="1"/>
  <c r="L658" i="13" s="1"/>
  <c r="I659" i="13" s="1"/>
  <c r="K680" i="14"/>
  <c r="M838" i="14"/>
  <c r="N834" i="14"/>
  <c r="J833" i="14" a="1"/>
  <c r="J833" i="14" s="1"/>
  <c r="M837" i="13"/>
  <c r="N835" i="13"/>
  <c r="J834" i="13" a="1"/>
  <c r="J834" i="13" s="1"/>
  <c r="K659" i="13" l="1"/>
  <c r="L659" i="13" s="1"/>
  <c r="I660" i="13" s="1"/>
  <c r="N835" i="14"/>
  <c r="J834" i="14" a="1"/>
  <c r="J834" i="14" s="1"/>
  <c r="N836" i="13"/>
  <c r="J835" i="13" a="1"/>
  <c r="J835" i="13" s="1"/>
  <c r="M838" i="13"/>
  <c r="M839" i="14"/>
  <c r="L680" i="14"/>
  <c r="I681" i="14" s="1"/>
  <c r="K660" i="13" l="1"/>
  <c r="L660" i="13" s="1"/>
  <c r="I661" i="13" s="1"/>
  <c r="M840" i="14"/>
  <c r="N836" i="14"/>
  <c r="J835" i="14" a="1"/>
  <c r="J835" i="14" s="1"/>
  <c r="M839" i="13"/>
  <c r="K681" i="14"/>
  <c r="N837" i="13"/>
  <c r="J836" i="13" a="1"/>
  <c r="J836" i="13" s="1"/>
  <c r="K661" i="13" l="1"/>
  <c r="L661" i="13" s="1"/>
  <c r="I662" i="13" s="1"/>
  <c r="M840" i="13"/>
  <c r="M841" i="14"/>
  <c r="L681" i="14"/>
  <c r="I682" i="14" s="1"/>
  <c r="N837" i="14"/>
  <c r="J836" i="14" a="1"/>
  <c r="J836" i="14" s="1"/>
  <c r="N838" i="13"/>
  <c r="J837" i="13" a="1"/>
  <c r="J837" i="13" s="1"/>
  <c r="K662" i="13" l="1"/>
  <c r="L662" i="13" s="1"/>
  <c r="I663" i="13" s="1"/>
  <c r="M842" i="14"/>
  <c r="N838" i="14"/>
  <c r="J837" i="14" a="1"/>
  <c r="J837" i="14" s="1"/>
  <c r="N839" i="13"/>
  <c r="J838" i="13" a="1"/>
  <c r="J838" i="13" s="1"/>
  <c r="K682" i="14"/>
  <c r="L682" i="14" s="1"/>
  <c r="I683" i="14" s="1"/>
  <c r="M841" i="13"/>
  <c r="K663" i="13" l="1"/>
  <c r="L663" i="13" s="1"/>
  <c r="I664" i="13" s="1"/>
  <c r="K683" i="14"/>
  <c r="L683" i="14" s="1"/>
  <c r="I684" i="14" s="1"/>
  <c r="M843" i="14"/>
  <c r="N839" i="14"/>
  <c r="J838" i="14" a="1"/>
  <c r="J838" i="14" s="1"/>
  <c r="M842" i="13"/>
  <c r="N840" i="13"/>
  <c r="J839" i="13" a="1"/>
  <c r="J839" i="13" s="1"/>
  <c r="K664" i="13" l="1"/>
  <c r="L664" i="13" s="1"/>
  <c r="I665" i="13" s="1"/>
  <c r="K684" i="14"/>
  <c r="L684" i="14" s="1"/>
  <c r="I685" i="14" s="1"/>
  <c r="N841" i="13"/>
  <c r="J840" i="13" a="1"/>
  <c r="J840" i="13" s="1"/>
  <c r="N840" i="14"/>
  <c r="J839" i="14" a="1"/>
  <c r="J839" i="14" s="1"/>
  <c r="M843" i="13"/>
  <c r="M844" i="14"/>
  <c r="K665" i="13" l="1"/>
  <c r="L665" i="13" s="1"/>
  <c r="I666" i="13" s="1"/>
  <c r="K685" i="14"/>
  <c r="L685" i="14" s="1"/>
  <c r="I686" i="14" s="1"/>
  <c r="N841" i="14"/>
  <c r="J840" i="14" a="1"/>
  <c r="J840" i="14" s="1"/>
  <c r="M845" i="14"/>
  <c r="M844" i="13"/>
  <c r="N842" i="13"/>
  <c r="J841" i="13" a="1"/>
  <c r="J841" i="13" s="1"/>
  <c r="K666" i="13" l="1"/>
  <c r="L666" i="13" s="1"/>
  <c r="I667" i="13" s="1"/>
  <c r="K686" i="14"/>
  <c r="L686" i="14" s="1"/>
  <c r="I687" i="14" s="1"/>
  <c r="N843" i="13"/>
  <c r="J842" i="13" a="1"/>
  <c r="J842" i="13" s="1"/>
  <c r="M846" i="14"/>
  <c r="M845" i="13"/>
  <c r="N842" i="14"/>
  <c r="J841" i="14" a="1"/>
  <c r="J841" i="14" s="1"/>
  <c r="K667" i="13" l="1"/>
  <c r="L667" i="13" s="1"/>
  <c r="I668" i="13" s="1"/>
  <c r="K687" i="14"/>
  <c r="L687" i="14" s="1"/>
  <c r="I688" i="14" s="1"/>
  <c r="N843" i="14"/>
  <c r="J842" i="14" a="1"/>
  <c r="J842" i="14" s="1"/>
  <c r="M847" i="14"/>
  <c r="M846" i="13"/>
  <c r="N844" i="13"/>
  <c r="J843" i="13" a="1"/>
  <c r="J843" i="13" s="1"/>
  <c r="K668" i="13" l="1"/>
  <c r="K688" i="14"/>
  <c r="L688" i="14" s="1"/>
  <c r="I689" i="14" s="1"/>
  <c r="M848" i="14"/>
  <c r="N845" i="13"/>
  <c r="J844" i="13" a="1"/>
  <c r="J844" i="13" s="1"/>
  <c r="M847" i="13"/>
  <c r="N844" i="14"/>
  <c r="J843" i="14" a="1"/>
  <c r="J843" i="14" s="1"/>
  <c r="L668" i="13" l="1"/>
  <c r="I669" i="13" s="1"/>
  <c r="K689" i="14"/>
  <c r="L689" i="14" s="1"/>
  <c r="I690" i="14" s="1"/>
  <c r="M849" i="14"/>
  <c r="N845" i="14"/>
  <c r="J844" i="14" a="1"/>
  <c r="J844" i="14" s="1"/>
  <c r="M848" i="13"/>
  <c r="N846" i="13"/>
  <c r="J845" i="13" a="1"/>
  <c r="J845" i="13" s="1"/>
  <c r="K669" i="13" l="1"/>
  <c r="K690" i="14"/>
  <c r="L690" i="14" s="1"/>
  <c r="I691" i="14" s="1"/>
  <c r="N847" i="13"/>
  <c r="J846" i="13" a="1"/>
  <c r="J846" i="13" s="1"/>
  <c r="N846" i="14"/>
  <c r="J845" i="14" a="1"/>
  <c r="J845" i="14" s="1"/>
  <c r="M849" i="13"/>
  <c r="M850" i="14"/>
  <c r="L669" i="13" l="1"/>
  <c r="I670" i="13" s="1"/>
  <c r="K691" i="14"/>
  <c r="L691" i="14" s="1"/>
  <c r="I692" i="14" s="1"/>
  <c r="N848" i="13"/>
  <c r="J847" i="13" a="1"/>
  <c r="J847" i="13" s="1"/>
  <c r="M850" i="13"/>
  <c r="N847" i="14"/>
  <c r="J846" i="14" a="1"/>
  <c r="J846" i="14" s="1"/>
  <c r="M851" i="14"/>
  <c r="K670" i="13" l="1"/>
  <c r="L670" i="13" s="1"/>
  <c r="I671" i="13" s="1"/>
  <c r="K692" i="14"/>
  <c r="N848" i="14"/>
  <c r="J847" i="14" a="1"/>
  <c r="J847" i="14" s="1"/>
  <c r="N849" i="13"/>
  <c r="J848" i="13" a="1"/>
  <c r="J848" i="13" s="1"/>
  <c r="M852" i="14"/>
  <c r="M851" i="13"/>
  <c r="K671" i="13" l="1"/>
  <c r="L671" i="13" s="1"/>
  <c r="I672" i="13" s="1"/>
  <c r="M852" i="13"/>
  <c r="N850" i="13"/>
  <c r="J849" i="13" a="1"/>
  <c r="J849" i="13" s="1"/>
  <c r="M853" i="14"/>
  <c r="N849" i="14"/>
  <c r="J848" i="14" a="1"/>
  <c r="J848" i="14" s="1"/>
  <c r="L692" i="14"/>
  <c r="I693" i="14" s="1"/>
  <c r="K672" i="13" l="1"/>
  <c r="L672" i="13" s="1"/>
  <c r="I673" i="13" s="1"/>
  <c r="N850" i="14"/>
  <c r="J849" i="14" a="1"/>
  <c r="J849" i="14" s="1"/>
  <c r="M853" i="13"/>
  <c r="N851" i="13"/>
  <c r="J850" i="13" a="1"/>
  <c r="J850" i="13" s="1"/>
  <c r="M854" i="14"/>
  <c r="K693" i="14"/>
  <c r="K673" i="13" l="1"/>
  <c r="L673" i="13" s="1"/>
  <c r="I674" i="13" s="1"/>
  <c r="N852" i="13"/>
  <c r="J851" i="13" a="1"/>
  <c r="J851" i="13" s="1"/>
  <c r="L693" i="14"/>
  <c r="I694" i="14" s="1"/>
  <c r="N851" i="14"/>
  <c r="J850" i="14" a="1"/>
  <c r="J850" i="14" s="1"/>
  <c r="M855" i="14"/>
  <c r="M854" i="13"/>
  <c r="K674" i="13" l="1"/>
  <c r="L674" i="13" s="1"/>
  <c r="I675" i="13" s="1"/>
  <c r="M855" i="13"/>
  <c r="N853" i="13"/>
  <c r="J852" i="13" a="1"/>
  <c r="J852" i="13" s="1"/>
  <c r="N852" i="14"/>
  <c r="J851" i="14" a="1"/>
  <c r="J851" i="14" s="1"/>
  <c r="M856" i="14"/>
  <c r="K694" i="14"/>
  <c r="L694" i="14" s="1"/>
  <c r="I695" i="14" s="1"/>
  <c r="K675" i="13" l="1"/>
  <c r="L675" i="13" s="1"/>
  <c r="I676" i="13" s="1"/>
  <c r="K695" i="14"/>
  <c r="L695" i="14" s="1"/>
  <c r="I696" i="14" s="1"/>
  <c r="M856" i="13"/>
  <c r="N853" i="14"/>
  <c r="J852" i="14" a="1"/>
  <c r="J852" i="14" s="1"/>
  <c r="M857" i="14"/>
  <c r="N854" i="13"/>
  <c r="J853" i="13" a="1"/>
  <c r="J853" i="13" s="1"/>
  <c r="K676" i="13" l="1"/>
  <c r="L676" i="13" s="1"/>
  <c r="I677" i="13" s="1"/>
  <c r="K696" i="14"/>
  <c r="L696" i="14" s="1"/>
  <c r="I697" i="14" s="1"/>
  <c r="N854" i="14"/>
  <c r="J853" i="14" a="1"/>
  <c r="J853" i="14" s="1"/>
  <c r="N855" i="13"/>
  <c r="J854" i="13" a="1"/>
  <c r="J854" i="13" s="1"/>
  <c r="M858" i="14"/>
  <c r="M857" i="13"/>
  <c r="K677" i="13" l="1"/>
  <c r="L677" i="13" s="1"/>
  <c r="I678" i="13" s="1"/>
  <c r="K697" i="14"/>
  <c r="L697" i="14" s="1"/>
  <c r="I698" i="14" s="1"/>
  <c r="N856" i="13"/>
  <c r="J855" i="13" a="1"/>
  <c r="J855" i="13" s="1"/>
  <c r="M858" i="13"/>
  <c r="M859" i="14"/>
  <c r="N855" i="14"/>
  <c r="J854" i="14" a="1"/>
  <c r="J854" i="14" s="1"/>
  <c r="K678" i="13" l="1"/>
  <c r="L678" i="13" s="1"/>
  <c r="I679" i="13" s="1"/>
  <c r="K698" i="14"/>
  <c r="L698" i="14" s="1"/>
  <c r="I699" i="14" s="1"/>
  <c r="M859" i="13"/>
  <c r="N856" i="14"/>
  <c r="J855" i="14" a="1"/>
  <c r="J855" i="14" s="1"/>
  <c r="M860" i="14"/>
  <c r="N857" i="13"/>
  <c r="J856" i="13" a="1"/>
  <c r="J856" i="13" s="1"/>
  <c r="K679" i="13" l="1"/>
  <c r="L679" i="13" s="1"/>
  <c r="I680" i="13" s="1"/>
  <c r="K699" i="14"/>
  <c r="L699" i="14" s="1"/>
  <c r="I700" i="14" s="1"/>
  <c r="N857" i="14"/>
  <c r="J856" i="14" a="1"/>
  <c r="J856" i="14" s="1"/>
  <c r="N858" i="13"/>
  <c r="J857" i="13" a="1"/>
  <c r="J857" i="13" s="1"/>
  <c r="M861" i="14"/>
  <c r="M860" i="13"/>
  <c r="K680" i="13" l="1"/>
  <c r="K700" i="14"/>
  <c r="L700" i="14" s="1"/>
  <c r="I701" i="14" s="1"/>
  <c r="N859" i="13"/>
  <c r="J858" i="13" a="1"/>
  <c r="J858" i="13" s="1"/>
  <c r="M861" i="13"/>
  <c r="M862" i="14"/>
  <c r="N858" i="14"/>
  <c r="J857" i="14" a="1"/>
  <c r="J857" i="14" s="1"/>
  <c r="L680" i="13" l="1"/>
  <c r="I681" i="13" s="1"/>
  <c r="K701" i="14"/>
  <c r="L701" i="14" s="1"/>
  <c r="I702" i="14" s="1"/>
  <c r="M862" i="13"/>
  <c r="N860" i="13"/>
  <c r="J859" i="13" a="1"/>
  <c r="J859" i="13" s="1"/>
  <c r="M863" i="14"/>
  <c r="N859" i="14"/>
  <c r="J858" i="14" a="1"/>
  <c r="J858" i="14" s="1"/>
  <c r="K681" i="13" l="1"/>
  <c r="K702" i="14"/>
  <c r="L702" i="14" s="1"/>
  <c r="I703" i="14" s="1"/>
  <c r="M864" i="14"/>
  <c r="M863" i="13"/>
  <c r="N860" i="14"/>
  <c r="J859" i="14" a="1"/>
  <c r="J859" i="14" s="1"/>
  <c r="N861" i="13"/>
  <c r="J860" i="13" a="1"/>
  <c r="J860" i="13" s="1"/>
  <c r="L681" i="13" l="1"/>
  <c r="I682" i="13" s="1"/>
  <c r="K703" i="14"/>
  <c r="L703" i="14" s="1"/>
  <c r="I704" i="14" s="1"/>
  <c r="N861" i="14"/>
  <c r="J860" i="14" a="1"/>
  <c r="J860" i="14" s="1"/>
  <c r="N862" i="13"/>
  <c r="J861" i="13" a="1"/>
  <c r="J861" i="13" s="1"/>
  <c r="M864" i="13"/>
  <c r="M865" i="14"/>
  <c r="K682" i="13" l="1"/>
  <c r="L682" i="13" s="1"/>
  <c r="I683" i="13" s="1"/>
  <c r="K704" i="14"/>
  <c r="N862" i="14"/>
  <c r="J861" i="14" a="1"/>
  <c r="J861" i="14" s="1"/>
  <c r="M865" i="13"/>
  <c r="M866" i="14"/>
  <c r="N863" i="13"/>
  <c r="J862" i="13" a="1"/>
  <c r="J862" i="13" s="1"/>
  <c r="K683" i="13" l="1"/>
  <c r="L683" i="13" s="1"/>
  <c r="I684" i="13" s="1"/>
  <c r="N864" i="13"/>
  <c r="J863" i="13" a="1"/>
  <c r="J863" i="13" s="1"/>
  <c r="L704" i="14"/>
  <c r="I705" i="14" s="1"/>
  <c r="M866" i="13"/>
  <c r="M867" i="14"/>
  <c r="N863" i="14"/>
  <c r="J862" i="14" a="1"/>
  <c r="J862" i="14" s="1"/>
  <c r="K684" i="13" l="1"/>
  <c r="L684" i="13" s="1"/>
  <c r="I685" i="13" s="1"/>
  <c r="N864" i="14"/>
  <c r="J863" i="14" a="1"/>
  <c r="J863" i="14" s="1"/>
  <c r="N865" i="13"/>
  <c r="J864" i="13" a="1"/>
  <c r="J864" i="13" s="1"/>
  <c r="M868" i="14"/>
  <c r="K705" i="14"/>
  <c r="M867" i="13"/>
  <c r="K685" i="13" l="1"/>
  <c r="L685" i="13" s="1"/>
  <c r="I686" i="13" s="1"/>
  <c r="L705" i="14"/>
  <c r="I706" i="14" s="1"/>
  <c r="N866" i="13"/>
  <c r="J865" i="13" a="1"/>
  <c r="J865" i="13" s="1"/>
  <c r="M868" i="13"/>
  <c r="M869" i="14"/>
  <c r="N865" i="14"/>
  <c r="J864" i="14" a="1"/>
  <c r="J864" i="14" s="1"/>
  <c r="K686" i="13" l="1"/>
  <c r="L686" i="13" s="1"/>
  <c r="I687" i="13" s="1"/>
  <c r="M869" i="13"/>
  <c r="K706" i="14"/>
  <c r="L706" i="14" s="1"/>
  <c r="I707" i="14" s="1"/>
  <c r="N866" i="14"/>
  <c r="J865" i="14" a="1"/>
  <c r="J865" i="14" s="1"/>
  <c r="M870" i="14"/>
  <c r="N867" i="13"/>
  <c r="J866" i="13" a="1"/>
  <c r="J866" i="13" s="1"/>
  <c r="K687" i="13" l="1"/>
  <c r="L687" i="13" s="1"/>
  <c r="I688" i="13" s="1"/>
  <c r="K707" i="14"/>
  <c r="L707" i="14" s="1"/>
  <c r="I708" i="14" s="1"/>
  <c r="M870" i="13"/>
  <c r="N868" i="13"/>
  <c r="J867" i="13" a="1"/>
  <c r="J867" i="13" s="1"/>
  <c r="M871" i="14"/>
  <c r="N867" i="14"/>
  <c r="J866" i="14" a="1"/>
  <c r="J866" i="14" s="1"/>
  <c r="K688" i="13" l="1"/>
  <c r="L688" i="13" s="1"/>
  <c r="I689" i="13" s="1"/>
  <c r="K708" i="14"/>
  <c r="L708" i="14" s="1"/>
  <c r="I709" i="14" s="1"/>
  <c r="N869" i="13"/>
  <c r="J868" i="13" a="1"/>
  <c r="J868" i="13" s="1"/>
  <c r="M871" i="13"/>
  <c r="N868" i="14"/>
  <c r="J867" i="14" a="1"/>
  <c r="J867" i="14" s="1"/>
  <c r="M872" i="14"/>
  <c r="K689" i="13" l="1"/>
  <c r="L689" i="13" s="1"/>
  <c r="I690" i="13" s="1"/>
  <c r="K709" i="14"/>
  <c r="L709" i="14" s="1"/>
  <c r="I710" i="14" s="1"/>
  <c r="M872" i="13"/>
  <c r="N869" i="14"/>
  <c r="J868" i="14" a="1"/>
  <c r="J868" i="14" s="1"/>
  <c r="M873" i="14"/>
  <c r="N870" i="13"/>
  <c r="J869" i="13" a="1"/>
  <c r="J869" i="13" s="1"/>
  <c r="K690" i="13" l="1"/>
  <c r="L690" i="13" s="1"/>
  <c r="I691" i="13" s="1"/>
  <c r="K710" i="14"/>
  <c r="L710" i="14" s="1"/>
  <c r="I711" i="14" s="1"/>
  <c r="N871" i="13"/>
  <c r="J870" i="13" a="1"/>
  <c r="J870" i="13" s="1"/>
  <c r="M874" i="14"/>
  <c r="M873" i="13"/>
  <c r="N870" i="14"/>
  <c r="J869" i="14" a="1"/>
  <c r="J869" i="14" s="1"/>
  <c r="K691" i="13" l="1"/>
  <c r="L691" i="13" s="1"/>
  <c r="I692" i="13" s="1"/>
  <c r="K711" i="14"/>
  <c r="L711" i="14" s="1"/>
  <c r="I712" i="14" s="1"/>
  <c r="M875" i="14"/>
  <c r="M874" i="13"/>
  <c r="N871" i="14"/>
  <c r="J870" i="14" a="1"/>
  <c r="J870" i="14" s="1"/>
  <c r="N872" i="13"/>
  <c r="J871" i="13" a="1"/>
  <c r="J871" i="13" s="1"/>
  <c r="K692" i="13" l="1"/>
  <c r="L692" i="13" s="1"/>
  <c r="I693" i="13" s="1"/>
  <c r="K712" i="14"/>
  <c r="L712" i="14" s="1"/>
  <c r="I713" i="14" s="1"/>
  <c r="M875" i="13"/>
  <c r="N873" i="13"/>
  <c r="J872" i="13" a="1"/>
  <c r="J872" i="13" s="1"/>
  <c r="M876" i="14"/>
  <c r="N872" i="14"/>
  <c r="J871" i="14" a="1"/>
  <c r="J871" i="14" s="1"/>
  <c r="K693" i="13" l="1"/>
  <c r="L693" i="13" s="1"/>
  <c r="I694" i="13" s="1"/>
  <c r="N873" i="14"/>
  <c r="J872" i="14" a="1"/>
  <c r="J872" i="14" s="1"/>
  <c r="K713" i="14"/>
  <c r="L713" i="14" s="1"/>
  <c r="I714" i="14" s="1"/>
  <c r="M877" i="14"/>
  <c r="M876" i="13"/>
  <c r="N874" i="13"/>
  <c r="J873" i="13" a="1"/>
  <c r="J873" i="13" s="1"/>
  <c r="K694" i="13" l="1"/>
  <c r="K714" i="14"/>
  <c r="L714" i="14" s="1"/>
  <c r="I715" i="14" s="1"/>
  <c r="M878" i="14"/>
  <c r="N875" i="13"/>
  <c r="J874" i="13" a="1"/>
  <c r="J874" i="13" s="1"/>
  <c r="N874" i="14"/>
  <c r="J873" i="14" a="1"/>
  <c r="J873" i="14" s="1"/>
  <c r="M877" i="13"/>
  <c r="L694" i="13" l="1"/>
  <c r="I695" i="13" s="1"/>
  <c r="K715" i="14"/>
  <c r="L715" i="14" s="1"/>
  <c r="I716" i="14" s="1"/>
  <c r="M879" i="14"/>
  <c r="M878" i="13"/>
  <c r="N875" i="14"/>
  <c r="J874" i="14" a="1"/>
  <c r="J874" i="14" s="1"/>
  <c r="N876" i="13"/>
  <c r="J875" i="13" a="1"/>
  <c r="J875" i="13" s="1"/>
  <c r="K695" i="13" l="1"/>
  <c r="L695" i="13" s="1"/>
  <c r="I696" i="13" s="1"/>
  <c r="K716" i="14"/>
  <c r="L716" i="14" s="1"/>
  <c r="I717" i="14" s="1"/>
  <c r="M879" i="13"/>
  <c r="N877" i="13"/>
  <c r="J876" i="13" a="1"/>
  <c r="J876" i="13" s="1"/>
  <c r="M880" i="14"/>
  <c r="N876" i="14"/>
  <c r="J875" i="14" a="1"/>
  <c r="J875" i="14" s="1"/>
  <c r="K696" i="13" l="1"/>
  <c r="L696" i="13" s="1"/>
  <c r="I697" i="13" s="1"/>
  <c r="N877" i="14"/>
  <c r="J876" i="14" a="1"/>
  <c r="J876" i="14" s="1"/>
  <c r="M881" i="14"/>
  <c r="N878" i="13"/>
  <c r="J877" i="13" a="1"/>
  <c r="J877" i="13" s="1"/>
  <c r="K717" i="14"/>
  <c r="M880" i="13"/>
  <c r="K697" i="13" l="1"/>
  <c r="L697" i="13" s="1"/>
  <c r="I698" i="13" s="1"/>
  <c r="N878" i="14"/>
  <c r="J877" i="14" a="1"/>
  <c r="J877" i="14" s="1"/>
  <c r="M882" i="14"/>
  <c r="L717" i="14"/>
  <c r="I718" i="14" s="1"/>
  <c r="N879" i="13"/>
  <c r="J878" i="13" a="1"/>
  <c r="J878" i="13" s="1"/>
  <c r="M881" i="13"/>
  <c r="K698" i="13" l="1"/>
  <c r="L698" i="13" s="1"/>
  <c r="I699" i="13" s="1"/>
  <c r="M883" i="14"/>
  <c r="N879" i="14"/>
  <c r="J878" i="14" a="1"/>
  <c r="J878" i="14" s="1"/>
  <c r="M882" i="13"/>
  <c r="K718" i="14"/>
  <c r="N880" i="13"/>
  <c r="J879" i="13" a="1"/>
  <c r="J879" i="13" s="1"/>
  <c r="K699" i="13" l="1"/>
  <c r="L699" i="13" s="1"/>
  <c r="I700" i="13" s="1"/>
  <c r="M883" i="13"/>
  <c r="M884" i="14"/>
  <c r="N881" i="13"/>
  <c r="J880" i="13" a="1"/>
  <c r="J880" i="13" s="1"/>
  <c r="L718" i="14"/>
  <c r="I719" i="14" s="1"/>
  <c r="N880" i="14"/>
  <c r="J879" i="14" a="1"/>
  <c r="J879" i="14" s="1"/>
  <c r="K700" i="13" l="1"/>
  <c r="L700" i="13" s="1"/>
  <c r="I701" i="13" s="1"/>
  <c r="M884" i="13"/>
  <c r="N882" i="13"/>
  <c r="J881" i="13" a="1"/>
  <c r="J881" i="13" s="1"/>
  <c r="N881" i="14"/>
  <c r="J880" i="14" a="1"/>
  <c r="J880" i="14" s="1"/>
  <c r="K719" i="14"/>
  <c r="M885" i="14"/>
  <c r="K701" i="13" l="1"/>
  <c r="L701" i="13" s="1"/>
  <c r="I702" i="13" s="1"/>
  <c r="M885" i="13"/>
  <c r="N882" i="14"/>
  <c r="J881" i="14" a="1"/>
  <c r="J881" i="14" s="1"/>
  <c r="M886" i="14"/>
  <c r="L719" i="14"/>
  <c r="I720" i="14" s="1"/>
  <c r="N883" i="13"/>
  <c r="J882" i="13" a="1"/>
  <c r="J882" i="13" s="1"/>
  <c r="K702" i="13" l="1"/>
  <c r="L702" i="13" s="1"/>
  <c r="I703" i="13" s="1"/>
  <c r="M887" i="14"/>
  <c r="M886" i="13"/>
  <c r="N884" i="13"/>
  <c r="J883" i="13" a="1"/>
  <c r="J883" i="13" s="1"/>
  <c r="K720" i="14"/>
  <c r="N883" i="14"/>
  <c r="J882" i="14" a="1"/>
  <c r="J882" i="14" s="1"/>
  <c r="K703" i="13" l="1"/>
  <c r="L703" i="13" s="1"/>
  <c r="I704" i="13" s="1"/>
  <c r="M888" i="14"/>
  <c r="N884" i="14"/>
  <c r="J883" i="14" a="1"/>
  <c r="J883" i="14" s="1"/>
  <c r="N885" i="13"/>
  <c r="J884" i="13" a="1"/>
  <c r="J884" i="13" s="1"/>
  <c r="M887" i="13"/>
  <c r="L720" i="14"/>
  <c r="I721" i="14" s="1"/>
  <c r="K704" i="13" l="1"/>
  <c r="M889" i="14"/>
  <c r="K721" i="14"/>
  <c r="L721" i="14" s="1"/>
  <c r="I722" i="14" s="1"/>
  <c r="M888" i="13"/>
  <c r="N886" i="13"/>
  <c r="J885" i="13" a="1"/>
  <c r="J885" i="13" s="1"/>
  <c r="N885" i="14"/>
  <c r="J884" i="14" a="1"/>
  <c r="J884" i="14" s="1"/>
  <c r="L704" i="13" l="1"/>
  <c r="I705" i="13" s="1"/>
  <c r="K722" i="14"/>
  <c r="L722" i="14" s="1"/>
  <c r="I723" i="14" s="1"/>
  <c r="N887" i="13"/>
  <c r="J886" i="13" a="1"/>
  <c r="J886" i="13" s="1"/>
  <c r="N886" i="14"/>
  <c r="J885" i="14" a="1"/>
  <c r="J885" i="14" s="1"/>
  <c r="M889" i="13"/>
  <c r="M890" i="14"/>
  <c r="K705" i="13" l="1"/>
  <c r="K723" i="14"/>
  <c r="L723" i="14" s="1"/>
  <c r="I724" i="14" s="1"/>
  <c r="M890" i="13"/>
  <c r="N888" i="13"/>
  <c r="J887" i="13" a="1"/>
  <c r="J887" i="13" s="1"/>
  <c r="N887" i="14"/>
  <c r="J886" i="14" a="1"/>
  <c r="J886" i="14" s="1"/>
  <c r="M891" i="14"/>
  <c r="L705" i="13" l="1"/>
  <c r="I706" i="13" s="1"/>
  <c r="M892" i="14"/>
  <c r="N889" i="13"/>
  <c r="J888" i="13" a="1"/>
  <c r="J888" i="13" s="1"/>
  <c r="N888" i="14"/>
  <c r="J887" i="14" a="1"/>
  <c r="J887" i="14" s="1"/>
  <c r="M891" i="13"/>
  <c r="K724" i="14"/>
  <c r="L724" i="14" s="1"/>
  <c r="I725" i="14" s="1"/>
  <c r="K706" i="13" l="1"/>
  <c r="L706" i="13" s="1"/>
  <c r="I707" i="13" s="1"/>
  <c r="K725" i="14"/>
  <c r="L725" i="14" s="1"/>
  <c r="I726" i="14" s="1"/>
  <c r="N890" i="13"/>
  <c r="J889" i="13" a="1"/>
  <c r="J889" i="13" s="1"/>
  <c r="N889" i="14"/>
  <c r="J888" i="14" a="1"/>
  <c r="J888" i="14" s="1"/>
  <c r="M892" i="13"/>
  <c r="M893" i="14"/>
  <c r="K707" i="13" l="1"/>
  <c r="L707" i="13" s="1"/>
  <c r="I708" i="13" s="1"/>
  <c r="K726" i="14"/>
  <c r="L726" i="14" s="1"/>
  <c r="I727" i="14" s="1"/>
  <c r="N890" i="14"/>
  <c r="J889" i="14" a="1"/>
  <c r="J889" i="14" s="1"/>
  <c r="M894" i="14"/>
  <c r="M893" i="13"/>
  <c r="N891" i="13"/>
  <c r="J890" i="13" a="1"/>
  <c r="J890" i="13" s="1"/>
  <c r="K708" i="13" l="1"/>
  <c r="L708" i="13" s="1"/>
  <c r="I709" i="13" s="1"/>
  <c r="K727" i="14"/>
  <c r="L727" i="14" s="1"/>
  <c r="I728" i="14" s="1"/>
  <c r="M895" i="14"/>
  <c r="N892" i="13"/>
  <c r="J891" i="13" a="1"/>
  <c r="J891" i="13" s="1"/>
  <c r="M894" i="13"/>
  <c r="N891" i="14"/>
  <c r="J890" i="14" a="1"/>
  <c r="J890" i="14" s="1"/>
  <c r="K709" i="13" l="1"/>
  <c r="L709" i="13" s="1"/>
  <c r="I710" i="13" s="1"/>
  <c r="K728" i="14"/>
  <c r="L728" i="14" s="1"/>
  <c r="I729" i="14" s="1"/>
  <c r="N893" i="13"/>
  <c r="J892" i="13" a="1"/>
  <c r="J892" i="13" s="1"/>
  <c r="M896" i="14"/>
  <c r="N892" i="14"/>
  <c r="J891" i="14" a="1"/>
  <c r="J891" i="14" s="1"/>
  <c r="M895" i="13"/>
  <c r="K710" i="13" l="1"/>
  <c r="L710" i="13" s="1"/>
  <c r="I711" i="13" s="1"/>
  <c r="K729" i="14"/>
  <c r="L729" i="14" s="1"/>
  <c r="I730" i="14" s="1"/>
  <c r="M896" i="13"/>
  <c r="M897" i="14"/>
  <c r="N893" i="14"/>
  <c r="J892" i="14" a="1"/>
  <c r="J892" i="14" s="1"/>
  <c r="N894" i="13"/>
  <c r="J893" i="13" a="1"/>
  <c r="J893" i="13" s="1"/>
  <c r="K711" i="13" l="1"/>
  <c r="L711" i="13" s="1"/>
  <c r="I712" i="13" s="1"/>
  <c r="K730" i="14"/>
  <c r="L730" i="14" s="1"/>
  <c r="I731" i="14" s="1"/>
  <c r="M898" i="14"/>
  <c r="N895" i="13"/>
  <c r="J894" i="13" a="1"/>
  <c r="J894" i="13" s="1"/>
  <c r="M897" i="13"/>
  <c r="N894" i="14"/>
  <c r="J893" i="14" a="1"/>
  <c r="J893" i="14" s="1"/>
  <c r="K712" i="13" l="1"/>
  <c r="L712" i="13" s="1"/>
  <c r="I713" i="13" s="1"/>
  <c r="K731" i="14"/>
  <c r="L731" i="14" s="1"/>
  <c r="I732" i="14" s="1"/>
  <c r="N896" i="13"/>
  <c r="J895" i="13" a="1"/>
  <c r="J895" i="13" s="1"/>
  <c r="N895" i="14"/>
  <c r="J894" i="14" a="1"/>
  <c r="J894" i="14" s="1"/>
  <c r="M898" i="13"/>
  <c r="M899" i="14"/>
  <c r="K713" i="13" l="1"/>
  <c r="L713" i="13" s="1"/>
  <c r="I714" i="13" s="1"/>
  <c r="K732" i="14"/>
  <c r="L732" i="14" s="1"/>
  <c r="I733" i="14" s="1"/>
  <c r="M900" i="14"/>
  <c r="N896" i="14"/>
  <c r="J895" i="14" a="1"/>
  <c r="J895" i="14" s="1"/>
  <c r="M899" i="13"/>
  <c r="N897" i="13"/>
  <c r="J896" i="13" a="1"/>
  <c r="J896" i="13" s="1"/>
  <c r="K714" i="13" l="1"/>
  <c r="L714" i="13" s="1"/>
  <c r="I715" i="13" s="1"/>
  <c r="K733" i="14"/>
  <c r="L733" i="14" s="1"/>
  <c r="I734" i="14" s="1"/>
  <c r="N897" i="14"/>
  <c r="J896" i="14" a="1"/>
  <c r="J896" i="14" s="1"/>
  <c r="M900" i="13"/>
  <c r="N898" i="13"/>
  <c r="J897" i="13" a="1"/>
  <c r="J897" i="13" s="1"/>
  <c r="M901" i="14"/>
  <c r="K715" i="13" l="1"/>
  <c r="L715" i="13" s="1"/>
  <c r="I716" i="13" s="1"/>
  <c r="K734" i="14"/>
  <c r="L734" i="14" s="1"/>
  <c r="I735" i="14" s="1"/>
  <c r="M902" i="14"/>
  <c r="M901" i="13"/>
  <c r="N899" i="13"/>
  <c r="J898" i="13" a="1"/>
  <c r="J898" i="13" s="1"/>
  <c r="N898" i="14"/>
  <c r="J897" i="14" a="1"/>
  <c r="J897" i="14" s="1"/>
  <c r="K716" i="13" l="1"/>
  <c r="K735" i="14"/>
  <c r="L735" i="14" s="1"/>
  <c r="I736" i="14" s="1"/>
  <c r="M902" i="13"/>
  <c r="N899" i="14"/>
  <c r="J898" i="14" a="1"/>
  <c r="J898" i="14" s="1"/>
  <c r="M903" i="14"/>
  <c r="N900" i="13"/>
  <c r="J899" i="13" a="1"/>
  <c r="J899" i="13" s="1"/>
  <c r="L716" i="13" l="1"/>
  <c r="I717" i="13" s="1"/>
  <c r="K736" i="14"/>
  <c r="L736" i="14" s="1"/>
  <c r="I737" i="14" s="1"/>
  <c r="M903" i="13"/>
  <c r="N901" i="13"/>
  <c r="J900" i="13" a="1"/>
  <c r="J900" i="13" s="1"/>
  <c r="M904" i="14"/>
  <c r="N900" i="14"/>
  <c r="J899" i="14" a="1"/>
  <c r="J899" i="14" s="1"/>
  <c r="K717" i="13" l="1"/>
  <c r="K737" i="14"/>
  <c r="L737" i="14" s="1"/>
  <c r="I738" i="14" s="1"/>
  <c r="M904" i="13"/>
  <c r="M905" i="14"/>
  <c r="N901" i="14"/>
  <c r="J900" i="14" a="1"/>
  <c r="J900" i="14" s="1"/>
  <c r="N902" i="13"/>
  <c r="J901" i="13" a="1"/>
  <c r="J901" i="13" s="1"/>
  <c r="L717" i="13" l="1"/>
  <c r="I718" i="13" s="1"/>
  <c r="K738" i="14"/>
  <c r="L738" i="14" s="1"/>
  <c r="I739" i="14" s="1"/>
  <c r="N903" i="13"/>
  <c r="J902" i="13" a="1"/>
  <c r="J902" i="13" s="1"/>
  <c r="M906" i="14"/>
  <c r="M905" i="13"/>
  <c r="N902" i="14"/>
  <c r="J901" i="14" a="1"/>
  <c r="J901" i="14" s="1"/>
  <c r="K718" i="13" l="1"/>
  <c r="K739" i="14"/>
  <c r="L739" i="14" s="1"/>
  <c r="I740" i="14" s="1"/>
  <c r="N904" i="13"/>
  <c r="J903" i="13" a="1"/>
  <c r="J903" i="13" s="1"/>
  <c r="N903" i="14"/>
  <c r="J902" i="14" a="1"/>
  <c r="J902" i="14" s="1"/>
  <c r="M906" i="13"/>
  <c r="M907" i="14"/>
  <c r="L718" i="13" l="1"/>
  <c r="I719" i="13" s="1"/>
  <c r="K740" i="14"/>
  <c r="L740" i="14" s="1"/>
  <c r="I741" i="14" s="1"/>
  <c r="N904" i="14"/>
  <c r="J903" i="14" a="1"/>
  <c r="J903" i="14" s="1"/>
  <c r="M907" i="13"/>
  <c r="M908" i="14"/>
  <c r="N905" i="13"/>
  <c r="J904" i="13" a="1"/>
  <c r="J904" i="13" s="1"/>
  <c r="K719" i="13" l="1"/>
  <c r="K741" i="14"/>
  <c r="L741" i="14" s="1"/>
  <c r="I742" i="14" s="1"/>
  <c r="M909" i="14"/>
  <c r="N905" i="14"/>
  <c r="J904" i="14" a="1"/>
  <c r="J904" i="14" s="1"/>
  <c r="N906" i="13"/>
  <c r="J905" i="13" a="1"/>
  <c r="J905" i="13" s="1"/>
  <c r="M908" i="13"/>
  <c r="L719" i="13" l="1"/>
  <c r="I720" i="13" s="1"/>
  <c r="K742" i="14"/>
  <c r="L742" i="14" s="1"/>
  <c r="I743" i="14" s="1"/>
  <c r="M910" i="14"/>
  <c r="M909" i="13"/>
  <c r="N907" i="13"/>
  <c r="J906" i="13" a="1"/>
  <c r="J906" i="13" s="1"/>
  <c r="N906" i="14"/>
  <c r="J905" i="14" a="1"/>
  <c r="J905" i="14" s="1"/>
  <c r="K720" i="13" l="1"/>
  <c r="L720" i="13" s="1"/>
  <c r="I721" i="13" s="1"/>
  <c r="K743" i="14"/>
  <c r="L743" i="14" s="1"/>
  <c r="I744" i="14" s="1"/>
  <c r="M910" i="13"/>
  <c r="M911" i="14"/>
  <c r="N907" i="14"/>
  <c r="J906" i="14" a="1"/>
  <c r="J906" i="14" s="1"/>
  <c r="N908" i="13"/>
  <c r="J907" i="13" a="1"/>
  <c r="J907" i="13" s="1"/>
  <c r="K721" i="13" l="1"/>
  <c r="L721" i="13" s="1"/>
  <c r="I722" i="13" s="1"/>
  <c r="K744" i="14"/>
  <c r="L744" i="14" s="1"/>
  <c r="I745" i="14" s="1"/>
  <c r="M912" i="14"/>
  <c r="N909" i="13"/>
  <c r="J908" i="13" a="1"/>
  <c r="J908" i="13" s="1"/>
  <c r="M911" i="13"/>
  <c r="N908" i="14"/>
  <c r="J907" i="14" a="1"/>
  <c r="J907" i="14" s="1"/>
  <c r="K722" i="13" l="1"/>
  <c r="L722" i="13" s="1"/>
  <c r="I723" i="13" s="1"/>
  <c r="K745" i="14"/>
  <c r="L745" i="14" s="1"/>
  <c r="I746" i="14" s="1"/>
  <c r="N909" i="14"/>
  <c r="J908" i="14" a="1"/>
  <c r="J908" i="14" s="1"/>
  <c r="N910" i="13"/>
  <c r="J909" i="13" a="1"/>
  <c r="J909" i="13" s="1"/>
  <c r="M912" i="13"/>
  <c r="M913" i="14"/>
  <c r="K723" i="13" l="1"/>
  <c r="L723" i="13" s="1"/>
  <c r="I724" i="13" s="1"/>
  <c r="K746" i="14"/>
  <c r="L746" i="14" s="1"/>
  <c r="I747" i="14" s="1"/>
  <c r="N911" i="13"/>
  <c r="J910" i="13" a="1"/>
  <c r="J910" i="13" s="1"/>
  <c r="M913" i="13"/>
  <c r="N910" i="14"/>
  <c r="J909" i="14" a="1"/>
  <c r="J909" i="14" s="1"/>
  <c r="M914" i="14"/>
  <c r="K724" i="13" l="1"/>
  <c r="L724" i="13" s="1"/>
  <c r="I725" i="13" s="1"/>
  <c r="K747" i="14"/>
  <c r="L747" i="14" s="1"/>
  <c r="I748" i="14" s="1"/>
  <c r="N911" i="14"/>
  <c r="J910" i="14" a="1"/>
  <c r="J910" i="14" s="1"/>
  <c r="N912" i="13"/>
  <c r="J911" i="13" a="1"/>
  <c r="J911" i="13" s="1"/>
  <c r="M915" i="14"/>
  <c r="M914" i="13"/>
  <c r="K725" i="13" l="1"/>
  <c r="L725" i="13" s="1"/>
  <c r="I726" i="13" s="1"/>
  <c r="K748" i="14"/>
  <c r="L748" i="14" s="1"/>
  <c r="I749" i="14" s="1"/>
  <c r="M915" i="13"/>
  <c r="N912" i="14"/>
  <c r="J911" i="14" a="1"/>
  <c r="J911" i="14" s="1"/>
  <c r="M916" i="14"/>
  <c r="N913" i="13"/>
  <c r="J912" i="13" a="1"/>
  <c r="J912" i="13" s="1"/>
  <c r="K726" i="13" l="1"/>
  <c r="L726" i="13" s="1"/>
  <c r="I727" i="13" s="1"/>
  <c r="K749" i="14"/>
  <c r="L749" i="14" s="1"/>
  <c r="I750" i="14" s="1"/>
  <c r="N913" i="14"/>
  <c r="J912" i="14" a="1"/>
  <c r="J912" i="14" s="1"/>
  <c r="N914" i="13"/>
  <c r="J913" i="13" a="1"/>
  <c r="J913" i="13" s="1"/>
  <c r="M917" i="14"/>
  <c r="M916" i="13"/>
  <c r="K727" i="13" l="1"/>
  <c r="L727" i="13" s="1"/>
  <c r="I728" i="13" s="1"/>
  <c r="M917" i="13"/>
  <c r="N915" i="13"/>
  <c r="J914" i="13" a="1"/>
  <c r="J914" i="13" s="1"/>
  <c r="M918" i="14"/>
  <c r="N914" i="14"/>
  <c r="J913" i="14" a="1"/>
  <c r="J913" i="14" s="1"/>
  <c r="K750" i="14"/>
  <c r="L750" i="14" s="1"/>
  <c r="I751" i="14" s="1"/>
  <c r="K728" i="13" l="1"/>
  <c r="L728" i="13" s="1"/>
  <c r="I729" i="13" s="1"/>
  <c r="K751" i="14"/>
  <c r="L751" i="14" s="1"/>
  <c r="I752" i="14" s="1"/>
  <c r="M918" i="13"/>
  <c r="M919" i="14"/>
  <c r="N915" i="14"/>
  <c r="J914" i="14" a="1"/>
  <c r="J914" i="14" s="1"/>
  <c r="N916" i="13"/>
  <c r="J915" i="13" a="1"/>
  <c r="J915" i="13" s="1"/>
  <c r="K729" i="13" l="1"/>
  <c r="L729" i="13" s="1"/>
  <c r="I730" i="13" s="1"/>
  <c r="K752" i="14"/>
  <c r="L752" i="14" s="1"/>
  <c r="I753" i="14" s="1"/>
  <c r="M919" i="13"/>
  <c r="M920" i="14"/>
  <c r="N917" i="13"/>
  <c r="J916" i="13" a="1"/>
  <c r="J916" i="13" s="1"/>
  <c r="N916" i="14"/>
  <c r="J915" i="14" a="1"/>
  <c r="J915" i="14" s="1"/>
  <c r="K730" i="13" l="1"/>
  <c r="L730" i="13" s="1"/>
  <c r="I731" i="13" s="1"/>
  <c r="K753" i="14"/>
  <c r="L753" i="14" s="1"/>
  <c r="I754" i="14" s="1"/>
  <c r="M920" i="13"/>
  <c r="M921" i="14"/>
  <c r="N917" i="14"/>
  <c r="J916" i="14" a="1"/>
  <c r="J916" i="14" s="1"/>
  <c r="N918" i="13"/>
  <c r="J917" i="13" a="1"/>
  <c r="J917" i="13" s="1"/>
  <c r="K731" i="13" l="1"/>
  <c r="L731" i="13" s="1"/>
  <c r="I732" i="13" s="1"/>
  <c r="K754" i="14"/>
  <c r="L754" i="14" s="1"/>
  <c r="I755" i="14" s="1"/>
  <c r="M922" i="14"/>
  <c r="M921" i="13"/>
  <c r="N919" i="13"/>
  <c r="J918" i="13" a="1"/>
  <c r="J918" i="13" s="1"/>
  <c r="N918" i="14"/>
  <c r="J917" i="14" a="1"/>
  <c r="J917" i="14" s="1"/>
  <c r="K732" i="13" l="1"/>
  <c r="L732" i="13" s="1"/>
  <c r="I733" i="13" s="1"/>
  <c r="K755" i="14"/>
  <c r="L755" i="14" s="1"/>
  <c r="I756" i="14" s="1"/>
  <c r="N919" i="14"/>
  <c r="J918" i="14" a="1"/>
  <c r="J918" i="14" s="1"/>
  <c r="M922" i="13"/>
  <c r="M923" i="14"/>
  <c r="N920" i="13"/>
  <c r="J919" i="13" a="1"/>
  <c r="J919" i="13" s="1"/>
  <c r="K733" i="13" l="1"/>
  <c r="L733" i="13" s="1"/>
  <c r="I734" i="13" s="1"/>
  <c r="K756" i="14"/>
  <c r="L756" i="14" s="1"/>
  <c r="I757" i="14" s="1"/>
  <c r="N921" i="13"/>
  <c r="J920" i="13" a="1"/>
  <c r="J920" i="13" s="1"/>
  <c r="M923" i="13"/>
  <c r="M924" i="14"/>
  <c r="N920" i="14"/>
  <c r="J919" i="14" a="1"/>
  <c r="J919" i="14" s="1"/>
  <c r="K734" i="13" l="1"/>
  <c r="L734" i="13" s="1"/>
  <c r="I735" i="13" s="1"/>
  <c r="K757" i="14"/>
  <c r="L757" i="14" s="1"/>
  <c r="I758" i="14" s="1"/>
  <c r="M924" i="13"/>
  <c r="N921" i="14"/>
  <c r="J920" i="14" a="1"/>
  <c r="J920" i="14" s="1"/>
  <c r="M925" i="14"/>
  <c r="N922" i="13"/>
  <c r="J921" i="13" a="1"/>
  <c r="J921" i="13" s="1"/>
  <c r="K735" i="13" l="1"/>
  <c r="L735" i="13" s="1"/>
  <c r="I736" i="13" s="1"/>
  <c r="K758" i="14"/>
  <c r="L758" i="14" s="1"/>
  <c r="I759" i="14" s="1"/>
  <c r="M925" i="13"/>
  <c r="N923" i="13"/>
  <c r="J922" i="13" a="1"/>
  <c r="J922" i="13" s="1"/>
  <c r="M926" i="14"/>
  <c r="N922" i="14"/>
  <c r="J921" i="14" a="1"/>
  <c r="J921" i="14" s="1"/>
  <c r="K736" i="13" l="1"/>
  <c r="L736" i="13" s="1"/>
  <c r="I737" i="13" s="1"/>
  <c r="K759" i="14"/>
  <c r="L759" i="14" s="1"/>
  <c r="I760" i="14" s="1"/>
  <c r="N923" i="14"/>
  <c r="J922" i="14" a="1"/>
  <c r="J922" i="14" s="1"/>
  <c r="N924" i="13"/>
  <c r="J923" i="13" a="1"/>
  <c r="J923" i="13" s="1"/>
  <c r="M926" i="13"/>
  <c r="M927" i="14"/>
  <c r="K737" i="13" l="1"/>
  <c r="L737" i="13" s="1"/>
  <c r="I738" i="13" s="1"/>
  <c r="K760" i="14"/>
  <c r="L760" i="14" s="1"/>
  <c r="I761" i="14" s="1"/>
  <c r="M928" i="14"/>
  <c r="M927" i="13"/>
  <c r="N925" i="13"/>
  <c r="J924" i="13" a="1"/>
  <c r="J924" i="13" s="1"/>
  <c r="N924" i="14"/>
  <c r="J923" i="14" a="1"/>
  <c r="J923" i="14" s="1"/>
  <c r="K738" i="13" l="1"/>
  <c r="L738" i="13" s="1"/>
  <c r="I739" i="13" s="1"/>
  <c r="K761" i="14"/>
  <c r="L761" i="14" s="1"/>
  <c r="I762" i="14" s="1"/>
  <c r="M928" i="13"/>
  <c r="N925" i="14"/>
  <c r="J924" i="14" a="1"/>
  <c r="J924" i="14" s="1"/>
  <c r="M929" i="14"/>
  <c r="N926" i="13"/>
  <c r="J925" i="13" a="1"/>
  <c r="J925" i="13" s="1"/>
  <c r="K739" i="13" l="1"/>
  <c r="L739" i="13" s="1"/>
  <c r="I740" i="13" s="1"/>
  <c r="K762" i="14"/>
  <c r="L762" i="14" s="1"/>
  <c r="I763" i="14" s="1"/>
  <c r="N926" i="14"/>
  <c r="J925" i="14" a="1"/>
  <c r="J925" i="14" s="1"/>
  <c r="M930" i="14"/>
  <c r="N927" i="13"/>
  <c r="J926" i="13" a="1"/>
  <c r="J926" i="13" s="1"/>
  <c r="M929" i="13"/>
  <c r="K740" i="13" l="1"/>
  <c r="L740" i="13" s="1"/>
  <c r="I741" i="13" s="1"/>
  <c r="K763" i="14"/>
  <c r="L763" i="14" s="1"/>
  <c r="I764" i="14" s="1"/>
  <c r="M930" i="13"/>
  <c r="M931" i="14"/>
  <c r="N928" i="13"/>
  <c r="J927" i="13" a="1"/>
  <c r="J927" i="13" s="1"/>
  <c r="N927" i="14"/>
  <c r="J926" i="14" a="1"/>
  <c r="J926" i="14" s="1"/>
  <c r="K741" i="13" l="1"/>
  <c r="L741" i="13" s="1"/>
  <c r="I742" i="13" s="1"/>
  <c r="K764" i="14"/>
  <c r="L764" i="14" s="1"/>
  <c r="I765" i="14" s="1"/>
  <c r="M932" i="14"/>
  <c r="M931" i="13"/>
  <c r="N928" i="14"/>
  <c r="J927" i="14" a="1"/>
  <c r="J927" i="14" s="1"/>
  <c r="N929" i="13"/>
  <c r="J928" i="13" a="1"/>
  <c r="J928" i="13" s="1"/>
  <c r="K742" i="13" l="1"/>
  <c r="L742" i="13" s="1"/>
  <c r="I743" i="13" s="1"/>
  <c r="K765" i="14"/>
  <c r="L765" i="14" s="1"/>
  <c r="I766" i="14" s="1"/>
  <c r="M932" i="13"/>
  <c r="N930" i="13"/>
  <c r="J929" i="13" a="1"/>
  <c r="J929" i="13" s="1"/>
  <c r="M933" i="14"/>
  <c r="N929" i="14"/>
  <c r="J928" i="14" a="1"/>
  <c r="J928" i="14" s="1"/>
  <c r="K743" i="13" l="1"/>
  <c r="L743" i="13" s="1"/>
  <c r="I744" i="13" s="1"/>
  <c r="K766" i="14"/>
  <c r="L766" i="14" s="1"/>
  <c r="I767" i="14" s="1"/>
  <c r="N931" i="13"/>
  <c r="J930" i="13" a="1"/>
  <c r="J930" i="13" s="1"/>
  <c r="M933" i="13"/>
  <c r="J929" i="14" a="1"/>
  <c r="J929" i="14" s="1"/>
  <c r="N930" i="14"/>
  <c r="M934" i="14"/>
  <c r="K744" i="13" l="1"/>
  <c r="L744" i="13" s="1"/>
  <c r="I745" i="13" s="1"/>
  <c r="K767" i="14"/>
  <c r="L767" i="14" s="1"/>
  <c r="I768" i="14" s="1"/>
  <c r="N931" i="14"/>
  <c r="J930" i="14" a="1"/>
  <c r="J930" i="14" s="1"/>
  <c r="M935" i="14"/>
  <c r="M934" i="13"/>
  <c r="N932" i="13"/>
  <c r="J931" i="13" a="1"/>
  <c r="J931" i="13" s="1"/>
  <c r="K745" i="13" l="1"/>
  <c r="L745" i="13" s="1"/>
  <c r="I746" i="13" s="1"/>
  <c r="K768" i="14"/>
  <c r="L768" i="14" s="1"/>
  <c r="I769" i="14" s="1"/>
  <c r="N933" i="13"/>
  <c r="J932" i="13" a="1"/>
  <c r="J932" i="13" s="1"/>
  <c r="M936" i="14"/>
  <c r="M935" i="13"/>
  <c r="J931" i="14" a="1"/>
  <c r="J931" i="14" s="1"/>
  <c r="N932" i="14"/>
  <c r="K746" i="13" l="1"/>
  <c r="L746" i="13" s="1"/>
  <c r="I747" i="13" s="1"/>
  <c r="N933" i="14"/>
  <c r="J932" i="14" a="1"/>
  <c r="J932" i="14" s="1"/>
  <c r="M937" i="14"/>
  <c r="M936" i="13"/>
  <c r="N934" i="13"/>
  <c r="J933" i="13" a="1"/>
  <c r="J933" i="13" s="1"/>
  <c r="K769" i="14"/>
  <c r="L769" i="14" s="1"/>
  <c r="I770" i="14" s="1"/>
  <c r="K747" i="13" l="1"/>
  <c r="L747" i="13" s="1"/>
  <c r="I748" i="13" s="1"/>
  <c r="K770" i="14"/>
  <c r="L770" i="14" s="1"/>
  <c r="I771" i="14" s="1"/>
  <c r="N935" i="13"/>
  <c r="J934" i="13" a="1"/>
  <c r="J934" i="13" s="1"/>
  <c r="J933" i="14" a="1"/>
  <c r="J933" i="14" s="1"/>
  <c r="N934" i="14"/>
  <c r="M938" i="14"/>
  <c r="M937" i="13"/>
  <c r="K748" i="13" l="1"/>
  <c r="L748" i="13" s="1"/>
  <c r="I749" i="13" s="1"/>
  <c r="K771" i="14"/>
  <c r="L771" i="14" s="1"/>
  <c r="I772" i="14" s="1"/>
  <c r="M939" i="14"/>
  <c r="N936" i="13"/>
  <c r="J935" i="13" a="1"/>
  <c r="J935" i="13" s="1"/>
  <c r="M938" i="13"/>
  <c r="N935" i="14"/>
  <c r="J934" i="14" a="1"/>
  <c r="J934" i="14" s="1"/>
  <c r="K749" i="13" l="1"/>
  <c r="L749" i="13" s="1"/>
  <c r="I750" i="13" s="1"/>
  <c r="K772" i="14"/>
  <c r="L772" i="14" s="1"/>
  <c r="I773" i="14" s="1"/>
  <c r="J935" i="14" a="1"/>
  <c r="J935" i="14" s="1"/>
  <c r="N936" i="14"/>
  <c r="N937" i="13"/>
  <c r="J936" i="13" a="1"/>
  <c r="J936" i="13" s="1"/>
  <c r="M939" i="13"/>
  <c r="M940" i="14"/>
  <c r="K750" i="13" l="1"/>
  <c r="L750" i="13" s="1"/>
  <c r="I751" i="13" s="1"/>
  <c r="K773" i="14"/>
  <c r="L773" i="14" s="1"/>
  <c r="I774" i="14" s="1"/>
  <c r="N938" i="13"/>
  <c r="J937" i="13" a="1"/>
  <c r="J937" i="13" s="1"/>
  <c r="M941" i="14"/>
  <c r="M940" i="13"/>
  <c r="N937" i="14"/>
  <c r="J936" i="14" a="1"/>
  <c r="J936" i="14" s="1"/>
  <c r="K751" i="13" l="1"/>
  <c r="L751" i="13" s="1"/>
  <c r="I752" i="13" s="1"/>
  <c r="K774" i="14"/>
  <c r="L774" i="14" s="1"/>
  <c r="I775" i="14" s="1"/>
  <c r="J937" i="14" a="1"/>
  <c r="J937" i="14" s="1"/>
  <c r="N938" i="14"/>
  <c r="M942" i="14"/>
  <c r="M941" i="13"/>
  <c r="N939" i="13"/>
  <c r="J938" i="13" a="1"/>
  <c r="J938" i="13" s="1"/>
  <c r="K752" i="13" l="1"/>
  <c r="L752" i="13" s="1"/>
  <c r="I753" i="13" s="1"/>
  <c r="K775" i="14"/>
  <c r="L775" i="14" s="1"/>
  <c r="I776" i="14" s="1"/>
  <c r="N939" i="14"/>
  <c r="J938" i="14" a="1"/>
  <c r="J938" i="14" s="1"/>
  <c r="M943" i="14"/>
  <c r="M942" i="13"/>
  <c r="N940" i="13"/>
  <c r="J939" i="13" a="1"/>
  <c r="J939" i="13" s="1"/>
  <c r="K753" i="13" l="1"/>
  <c r="L753" i="13" s="1"/>
  <c r="I754" i="13" s="1"/>
  <c r="K776" i="14"/>
  <c r="L776" i="14" s="1"/>
  <c r="I777" i="14" s="1"/>
  <c r="M944" i="14"/>
  <c r="N941" i="13"/>
  <c r="J940" i="13" a="1"/>
  <c r="J940" i="13" s="1"/>
  <c r="M943" i="13"/>
  <c r="J939" i="14" a="1"/>
  <c r="J939" i="14" s="1"/>
  <c r="N940" i="14"/>
  <c r="K754" i="13" l="1"/>
  <c r="L754" i="13" s="1"/>
  <c r="I755" i="13" s="1"/>
  <c r="K777" i="14"/>
  <c r="L777" i="14" s="1"/>
  <c r="I778" i="14" s="1"/>
  <c r="N941" i="14"/>
  <c r="J940" i="14" a="1"/>
  <c r="J940" i="14" s="1"/>
  <c r="N942" i="13"/>
  <c r="J941" i="13" a="1"/>
  <c r="J941" i="13" s="1"/>
  <c r="M944" i="13"/>
  <c r="M945" i="14"/>
  <c r="K755" i="13" l="1"/>
  <c r="L755" i="13" s="1"/>
  <c r="I756" i="13" s="1"/>
  <c r="K778" i="14"/>
  <c r="L778" i="14" s="1"/>
  <c r="I779" i="14" s="1"/>
  <c r="M946" i="14"/>
  <c r="N943" i="13"/>
  <c r="J942" i="13" a="1"/>
  <c r="J942" i="13" s="1"/>
  <c r="M945" i="13"/>
  <c r="J941" i="14" a="1"/>
  <c r="J941" i="14" s="1"/>
  <c r="N942" i="14"/>
  <c r="K756" i="13" l="1"/>
  <c r="L756" i="13" s="1"/>
  <c r="I757" i="13" s="1"/>
  <c r="K779" i="14"/>
  <c r="L779" i="14" s="1"/>
  <c r="I780" i="14" s="1"/>
  <c r="N943" i="14"/>
  <c r="J942" i="14" a="1"/>
  <c r="J942" i="14" s="1"/>
  <c r="M947" i="14"/>
  <c r="N944" i="13"/>
  <c r="J943" i="13" a="1"/>
  <c r="J943" i="13" s="1"/>
  <c r="M946" i="13"/>
  <c r="K757" i="13" l="1"/>
  <c r="L757" i="13" s="1"/>
  <c r="I758" i="13" s="1"/>
  <c r="M947" i="13"/>
  <c r="M948" i="14"/>
  <c r="N945" i="13"/>
  <c r="J944" i="13" a="1"/>
  <c r="J944" i="13" s="1"/>
  <c r="J943" i="14" a="1"/>
  <c r="J943" i="14" s="1"/>
  <c r="N944" i="14"/>
  <c r="K780" i="14"/>
  <c r="L780" i="14" s="1"/>
  <c r="I781" i="14" s="1"/>
  <c r="K758" i="13" l="1"/>
  <c r="L758" i="13" s="1"/>
  <c r="I759" i="13" s="1"/>
  <c r="K781" i="14"/>
  <c r="L781" i="14" s="1"/>
  <c r="I782" i="14" s="1"/>
  <c r="M948" i="13"/>
  <c r="N945" i="14"/>
  <c r="J944" i="14" a="1"/>
  <c r="J944" i="14" s="1"/>
  <c r="M949" i="14"/>
  <c r="N946" i="13"/>
  <c r="J945" i="13" a="1"/>
  <c r="J945" i="13" s="1"/>
  <c r="K759" i="13" l="1"/>
  <c r="L759" i="13" s="1"/>
  <c r="I760" i="13" s="1"/>
  <c r="K782" i="14"/>
  <c r="L782" i="14" s="1"/>
  <c r="I783" i="14" s="1"/>
  <c r="N947" i="13"/>
  <c r="J946" i="13" a="1"/>
  <c r="J946" i="13" s="1"/>
  <c r="J945" i="14" a="1"/>
  <c r="J945" i="14" s="1"/>
  <c r="N946" i="14"/>
  <c r="M950" i="14"/>
  <c r="M949" i="13"/>
  <c r="K760" i="13" l="1"/>
  <c r="L760" i="13" s="1"/>
  <c r="I761" i="13" s="1"/>
  <c r="K783" i="14"/>
  <c r="L783" i="14" s="1"/>
  <c r="I784" i="14" s="1"/>
  <c r="M950" i="13"/>
  <c r="N947" i="14"/>
  <c r="J946" i="14" a="1"/>
  <c r="J946" i="14" s="1"/>
  <c r="M951" i="14"/>
  <c r="N948" i="13"/>
  <c r="J947" i="13" a="1"/>
  <c r="J947" i="13" s="1"/>
  <c r="K761" i="13" l="1"/>
  <c r="L761" i="13" s="1"/>
  <c r="I762" i="13" s="1"/>
  <c r="K784" i="14"/>
  <c r="L784" i="14" s="1"/>
  <c r="I785" i="14" s="1"/>
  <c r="N949" i="13"/>
  <c r="J948" i="13" a="1"/>
  <c r="J948" i="13" s="1"/>
  <c r="J947" i="14" a="1"/>
  <c r="J947" i="14" s="1"/>
  <c r="N948" i="14"/>
  <c r="M952" i="14"/>
  <c r="M951" i="13"/>
  <c r="K762" i="13" l="1"/>
  <c r="L762" i="13" s="1"/>
  <c r="I763" i="13" s="1"/>
  <c r="K785" i="14"/>
  <c r="L785" i="14" s="1"/>
  <c r="I786" i="14" s="1"/>
  <c r="M953" i="14"/>
  <c r="M952" i="13"/>
  <c r="N949" i="14"/>
  <c r="J948" i="14" a="1"/>
  <c r="J948" i="14" s="1"/>
  <c r="N950" i="13"/>
  <c r="J949" i="13" a="1"/>
  <c r="J949" i="13" s="1"/>
  <c r="K763" i="13" l="1"/>
  <c r="L763" i="13" s="1"/>
  <c r="I764" i="13" s="1"/>
  <c r="K786" i="14"/>
  <c r="L786" i="14" s="1"/>
  <c r="I787" i="14" s="1"/>
  <c r="M953" i="13"/>
  <c r="N951" i="13"/>
  <c r="J950" i="13" a="1"/>
  <c r="J950" i="13" s="1"/>
  <c r="M954" i="14"/>
  <c r="J949" i="14" a="1"/>
  <c r="J949" i="14" s="1"/>
  <c r="N950" i="14"/>
  <c r="K764" i="13" l="1"/>
  <c r="L764" i="13" s="1"/>
  <c r="I765" i="13" s="1"/>
  <c r="K787" i="14"/>
  <c r="L787" i="14" s="1"/>
  <c r="I788" i="14" s="1"/>
  <c r="N952" i="13"/>
  <c r="J951" i="13" a="1"/>
  <c r="J951" i="13" s="1"/>
  <c r="N951" i="14"/>
  <c r="J950" i="14" a="1"/>
  <c r="J950" i="14" s="1"/>
  <c r="M955" i="14"/>
  <c r="M954" i="13"/>
  <c r="K765" i="13" l="1"/>
  <c r="L765" i="13" s="1"/>
  <c r="I766" i="13" s="1"/>
  <c r="K788" i="14"/>
  <c r="L788" i="14" s="1"/>
  <c r="I789" i="14" s="1"/>
  <c r="J951" i="14" a="1"/>
  <c r="J951" i="14" s="1"/>
  <c r="N952" i="14"/>
  <c r="M955" i="13"/>
  <c r="M956" i="14"/>
  <c r="N953" i="13"/>
  <c r="J952" i="13" a="1"/>
  <c r="J952" i="13" s="1"/>
  <c r="K766" i="13" l="1"/>
  <c r="L766" i="13" s="1"/>
  <c r="I767" i="13" s="1"/>
  <c r="M956" i="13"/>
  <c r="N954" i="13"/>
  <c r="J953" i="13" a="1"/>
  <c r="J953" i="13" s="1"/>
  <c r="K789" i="14"/>
  <c r="L789" i="14" s="1"/>
  <c r="I790" i="14" s="1"/>
  <c r="M957" i="14"/>
  <c r="N953" i="14"/>
  <c r="J952" i="14" a="1"/>
  <c r="J952" i="14" s="1"/>
  <c r="K767" i="13" l="1"/>
  <c r="L767" i="13" s="1"/>
  <c r="I768" i="13" s="1"/>
  <c r="M957" i="13"/>
  <c r="K790" i="14"/>
  <c r="L790" i="14" s="1"/>
  <c r="I791" i="14" s="1"/>
  <c r="M958" i="14"/>
  <c r="J953" i="14" a="1"/>
  <c r="J953" i="14" s="1"/>
  <c r="N954" i="14"/>
  <c r="N955" i="13"/>
  <c r="J954" i="13" a="1"/>
  <c r="J954" i="13" s="1"/>
  <c r="K768" i="13" l="1"/>
  <c r="L768" i="13" s="1"/>
  <c r="I769" i="13" s="1"/>
  <c r="K791" i="14"/>
  <c r="L791" i="14" s="1"/>
  <c r="I792" i="14" s="1"/>
  <c r="M959" i="14"/>
  <c r="M958" i="13"/>
  <c r="N956" i="13"/>
  <c r="J955" i="13" a="1"/>
  <c r="J955" i="13" s="1"/>
  <c r="N955" i="14"/>
  <c r="J954" i="14" a="1"/>
  <c r="J954" i="14" s="1"/>
  <c r="K769" i="13" l="1"/>
  <c r="L769" i="13" s="1"/>
  <c r="I770" i="13" s="1"/>
  <c r="K792" i="14"/>
  <c r="L792" i="14" s="1"/>
  <c r="I793" i="14" s="1"/>
  <c r="M959" i="13"/>
  <c r="M960" i="14"/>
  <c r="J955" i="14" a="1"/>
  <c r="J955" i="14" s="1"/>
  <c r="N956" i="14"/>
  <c r="N957" i="13"/>
  <c r="J956" i="13" a="1"/>
  <c r="J956" i="13" s="1"/>
  <c r="K770" i="13" l="1"/>
  <c r="L770" i="13" s="1"/>
  <c r="I771" i="13" s="1"/>
  <c r="K793" i="14"/>
  <c r="L793" i="14" s="1"/>
  <c r="I794" i="14" s="1"/>
  <c r="M961" i="14"/>
  <c r="M960" i="13"/>
  <c r="N958" i="13"/>
  <c r="J957" i="13" a="1"/>
  <c r="J957" i="13" s="1"/>
  <c r="N957" i="14"/>
  <c r="J956" i="14" a="1"/>
  <c r="J956" i="14" s="1"/>
  <c r="K771" i="13" l="1"/>
  <c r="L771" i="13" s="1"/>
  <c r="I772" i="13" s="1"/>
  <c r="K794" i="14"/>
  <c r="L794" i="14" s="1"/>
  <c r="I795" i="14" s="1"/>
  <c r="M962" i="14"/>
  <c r="M961" i="13"/>
  <c r="J957" i="14" a="1"/>
  <c r="J957" i="14" s="1"/>
  <c r="N958" i="14"/>
  <c r="N959" i="13"/>
  <c r="J958" i="13" a="1"/>
  <c r="J958" i="13" s="1"/>
  <c r="K772" i="13" l="1"/>
  <c r="L772" i="13" s="1"/>
  <c r="I773" i="13" s="1"/>
  <c r="K795" i="14"/>
  <c r="L795" i="14" s="1"/>
  <c r="I796" i="14" s="1"/>
  <c r="N960" i="13"/>
  <c r="J959" i="13" a="1"/>
  <c r="J959" i="13" s="1"/>
  <c r="N959" i="14"/>
  <c r="J958" i="14" a="1"/>
  <c r="J958" i="14" s="1"/>
  <c r="M963" i="14"/>
  <c r="M962" i="13"/>
  <c r="K773" i="13" l="1"/>
  <c r="L773" i="13" s="1"/>
  <c r="I774" i="13" s="1"/>
  <c r="K796" i="14"/>
  <c r="L796" i="14" s="1"/>
  <c r="I797" i="14" s="1"/>
  <c r="M964" i="14"/>
  <c r="M963" i="13"/>
  <c r="J959" i="14" a="1"/>
  <c r="J959" i="14" s="1"/>
  <c r="N960" i="14"/>
  <c r="N961" i="13"/>
  <c r="J960" i="13" a="1"/>
  <c r="J960" i="13" s="1"/>
  <c r="K774" i="13" l="1"/>
  <c r="L774" i="13" s="1"/>
  <c r="I775" i="13" s="1"/>
  <c r="K797" i="14"/>
  <c r="L797" i="14" s="1"/>
  <c r="I798" i="14" s="1"/>
  <c r="N961" i="14"/>
  <c r="J960" i="14" a="1"/>
  <c r="J960" i="14" s="1"/>
  <c r="M965" i="14"/>
  <c r="N962" i="13"/>
  <c r="J961" i="13" a="1"/>
  <c r="J961" i="13" s="1"/>
  <c r="M964" i="13"/>
  <c r="K775" i="13" l="1"/>
  <c r="L775" i="13" s="1"/>
  <c r="I776" i="13" s="1"/>
  <c r="K798" i="14"/>
  <c r="L798" i="14" s="1"/>
  <c r="I799" i="14" s="1"/>
  <c r="M965" i="13"/>
  <c r="M966" i="14"/>
  <c r="N963" i="13"/>
  <c r="J962" i="13" a="1"/>
  <c r="J962" i="13" s="1"/>
  <c r="J961" i="14" a="1"/>
  <c r="J961" i="14" s="1"/>
  <c r="N962" i="14"/>
  <c r="K776" i="13" l="1"/>
  <c r="L776" i="13" s="1"/>
  <c r="I777" i="13" s="1"/>
  <c r="K799" i="14"/>
  <c r="L799" i="14" s="1"/>
  <c r="I800" i="14" s="1"/>
  <c r="N963" i="14"/>
  <c r="J962" i="14" a="1"/>
  <c r="J962" i="14" s="1"/>
  <c r="M967" i="14"/>
  <c r="M966" i="13"/>
  <c r="N964" i="13"/>
  <c r="J963" i="13" a="1"/>
  <c r="J963" i="13" s="1"/>
  <c r="K777" i="13" l="1"/>
  <c r="L777" i="13" s="1"/>
  <c r="I778" i="13" s="1"/>
  <c r="K800" i="14"/>
  <c r="L800" i="14" s="1"/>
  <c r="I801" i="14" s="1"/>
  <c r="M968" i="14"/>
  <c r="N965" i="13"/>
  <c r="J964" i="13" a="1"/>
  <c r="J964" i="13" s="1"/>
  <c r="M967" i="13"/>
  <c r="J963" i="14" a="1"/>
  <c r="J963" i="14" s="1"/>
  <c r="N964" i="14"/>
  <c r="K778" i="13" l="1"/>
  <c r="L778" i="13" s="1"/>
  <c r="I779" i="13" s="1"/>
  <c r="K801" i="14"/>
  <c r="L801" i="14" s="1"/>
  <c r="I802" i="14" s="1"/>
  <c r="N965" i="14"/>
  <c r="J964" i="14" a="1"/>
  <c r="J964" i="14" s="1"/>
  <c r="N966" i="13"/>
  <c r="J965" i="13" a="1"/>
  <c r="J965" i="13" s="1"/>
  <c r="M968" i="13"/>
  <c r="M969" i="14"/>
  <c r="K779" i="13" l="1"/>
  <c r="L779" i="13" s="1"/>
  <c r="I780" i="13" s="1"/>
  <c r="K802" i="14"/>
  <c r="L802" i="14" s="1"/>
  <c r="I803" i="14" s="1"/>
  <c r="N967" i="13"/>
  <c r="J966" i="13" a="1"/>
  <c r="J966" i="13" s="1"/>
  <c r="M970" i="14"/>
  <c r="M969" i="13"/>
  <c r="J965" i="14" a="1"/>
  <c r="J965" i="14" s="1"/>
  <c r="N966" i="14"/>
  <c r="K780" i="13" l="1"/>
  <c r="L780" i="13" s="1"/>
  <c r="I781" i="13" s="1"/>
  <c r="K803" i="14"/>
  <c r="L803" i="14" s="1"/>
  <c r="I804" i="14" s="1"/>
  <c r="M970" i="13"/>
  <c r="N967" i="14"/>
  <c r="J966" i="14" a="1"/>
  <c r="J966" i="14" s="1"/>
  <c r="M971" i="14"/>
  <c r="N968" i="13"/>
  <c r="J967" i="13" a="1"/>
  <c r="J967" i="13" s="1"/>
  <c r="K781" i="13" l="1"/>
  <c r="L781" i="13" s="1"/>
  <c r="I782" i="13" s="1"/>
  <c r="K804" i="14"/>
  <c r="L804" i="14" s="1"/>
  <c r="I805" i="14" s="1"/>
  <c r="M972" i="14"/>
  <c r="M971" i="13"/>
  <c r="N969" i="13"/>
  <c r="J968" i="13" a="1"/>
  <c r="J968" i="13" s="1"/>
  <c r="J967" i="14" a="1"/>
  <c r="J967" i="14" s="1"/>
  <c r="N968" i="14"/>
  <c r="K782" i="13" l="1"/>
  <c r="L782" i="13" s="1"/>
  <c r="I783" i="13" s="1"/>
  <c r="K805" i="14"/>
  <c r="L805" i="14" s="1"/>
  <c r="I806" i="14" s="1"/>
  <c r="N969" i="14"/>
  <c r="J968" i="14" a="1"/>
  <c r="J968" i="14" s="1"/>
  <c r="M973" i="14"/>
  <c r="M972" i="13"/>
  <c r="N970" i="13"/>
  <c r="J969" i="13" a="1"/>
  <c r="J969" i="13" s="1"/>
  <c r="K783" i="13" l="1"/>
  <c r="L783" i="13" s="1"/>
  <c r="I784" i="13" s="1"/>
  <c r="K806" i="14"/>
  <c r="L806" i="14" s="1"/>
  <c r="I807" i="14" s="1"/>
  <c r="N971" i="13"/>
  <c r="J970" i="13" a="1"/>
  <c r="J970" i="13" s="1"/>
  <c r="M973" i="13"/>
  <c r="M974" i="14"/>
  <c r="J969" i="14" a="1"/>
  <c r="J969" i="14" s="1"/>
  <c r="N970" i="14"/>
  <c r="K784" i="13" l="1"/>
  <c r="L784" i="13" s="1"/>
  <c r="I785" i="13" s="1"/>
  <c r="K807" i="14"/>
  <c r="L807" i="14" s="1"/>
  <c r="I808" i="14" s="1"/>
  <c r="N971" i="14"/>
  <c r="J970" i="14" a="1"/>
  <c r="J970" i="14" s="1"/>
  <c r="M974" i="13"/>
  <c r="M975" i="14"/>
  <c r="N972" i="13"/>
  <c r="J971" i="13" a="1"/>
  <c r="J971" i="13" s="1"/>
  <c r="K785" i="13" l="1"/>
  <c r="L785" i="13" s="1"/>
  <c r="I786" i="13" s="1"/>
  <c r="K808" i="14"/>
  <c r="L808" i="14" s="1"/>
  <c r="I809" i="14" s="1"/>
  <c r="N973" i="13"/>
  <c r="J972" i="13" a="1"/>
  <c r="J972" i="13" s="1"/>
  <c r="M975" i="13"/>
  <c r="M976" i="14"/>
  <c r="J971" i="14" a="1"/>
  <c r="J971" i="14" s="1"/>
  <c r="N972" i="14"/>
  <c r="K786" i="13" l="1"/>
  <c r="L786" i="13" s="1"/>
  <c r="I787" i="13" s="1"/>
  <c r="K809" i="14"/>
  <c r="L809" i="14" s="1"/>
  <c r="I810" i="14" s="1"/>
  <c r="M977" i="14"/>
  <c r="N973" i="14"/>
  <c r="J972" i="14" a="1"/>
  <c r="J972" i="14" s="1"/>
  <c r="M976" i="13"/>
  <c r="N974" i="13"/>
  <c r="J973" i="13" a="1"/>
  <c r="J973" i="13" s="1"/>
  <c r="K787" i="13" l="1"/>
  <c r="L787" i="13" s="1"/>
  <c r="I788" i="13" s="1"/>
  <c r="K810" i="14"/>
  <c r="L810" i="14" s="1"/>
  <c r="I811" i="14" s="1"/>
  <c r="M977" i="13"/>
  <c r="M978" i="14"/>
  <c r="N975" i="13"/>
  <c r="J974" i="13" a="1"/>
  <c r="J974" i="13" s="1"/>
  <c r="J973" i="14" a="1"/>
  <c r="J973" i="14" s="1"/>
  <c r="N974" i="14"/>
  <c r="K788" i="13" l="1"/>
  <c r="L788" i="13" s="1"/>
  <c r="I789" i="13" s="1"/>
  <c r="K811" i="14"/>
  <c r="L811" i="14" s="1"/>
  <c r="I812" i="14" s="1"/>
  <c r="N975" i="14"/>
  <c r="J974" i="14" a="1"/>
  <c r="J974" i="14" s="1"/>
  <c r="M978" i="13"/>
  <c r="M979" i="14"/>
  <c r="N976" i="13"/>
  <c r="J975" i="13" a="1"/>
  <c r="J975" i="13" s="1"/>
  <c r="K789" i="13" l="1"/>
  <c r="L789" i="13" s="1"/>
  <c r="I790" i="13" s="1"/>
  <c r="K812" i="14"/>
  <c r="L812" i="14" s="1"/>
  <c r="I813" i="14" s="1"/>
  <c r="M979" i="13"/>
  <c r="M980" i="14"/>
  <c r="N977" i="13"/>
  <c r="J976" i="13" a="1"/>
  <c r="J976" i="13" s="1"/>
  <c r="J975" i="14" a="1"/>
  <c r="J975" i="14" s="1"/>
  <c r="N976" i="14"/>
  <c r="K790" i="13" l="1"/>
  <c r="L790" i="13" s="1"/>
  <c r="I791" i="13" s="1"/>
  <c r="K813" i="14"/>
  <c r="L813" i="14" s="1"/>
  <c r="I814" i="14" s="1"/>
  <c r="N977" i="14"/>
  <c r="J976" i="14" a="1"/>
  <c r="J976" i="14" s="1"/>
  <c r="M981" i="14"/>
  <c r="M980" i="13"/>
  <c r="N978" i="13"/>
  <c r="J977" i="13" a="1"/>
  <c r="J977" i="13" s="1"/>
  <c r="K791" i="13" l="1"/>
  <c r="L791" i="13" s="1"/>
  <c r="I792" i="13" s="1"/>
  <c r="K814" i="14"/>
  <c r="L814" i="14" s="1"/>
  <c r="I815" i="14" s="1"/>
  <c r="M982" i="14"/>
  <c r="N979" i="13"/>
  <c r="J978" i="13" a="1"/>
  <c r="J978" i="13" s="1"/>
  <c r="M981" i="13"/>
  <c r="J977" i="14" a="1"/>
  <c r="J977" i="14" s="1"/>
  <c r="N978" i="14"/>
  <c r="K792" i="13" l="1"/>
  <c r="L792" i="13" s="1"/>
  <c r="I793" i="13" s="1"/>
  <c r="K815" i="14"/>
  <c r="L815" i="14" s="1"/>
  <c r="I816" i="14" s="1"/>
  <c r="N979" i="14"/>
  <c r="J978" i="14" a="1"/>
  <c r="J978" i="14" s="1"/>
  <c r="N980" i="13"/>
  <c r="J979" i="13" a="1"/>
  <c r="J979" i="13" s="1"/>
  <c r="M982" i="13"/>
  <c r="M983" i="14"/>
  <c r="K793" i="13" l="1"/>
  <c r="L793" i="13" s="1"/>
  <c r="I794" i="13" s="1"/>
  <c r="K816" i="14"/>
  <c r="L816" i="14" s="1"/>
  <c r="I817" i="14" s="1"/>
  <c r="N981" i="13"/>
  <c r="J980" i="13" a="1"/>
  <c r="J980" i="13" s="1"/>
  <c r="M984" i="14"/>
  <c r="M983" i="13"/>
  <c r="J979" i="14" a="1"/>
  <c r="J979" i="14" s="1"/>
  <c r="N980" i="14"/>
  <c r="K794" i="13" l="1"/>
  <c r="L794" i="13" s="1"/>
  <c r="I795" i="13" s="1"/>
  <c r="K817" i="14"/>
  <c r="L817" i="14" s="1"/>
  <c r="I818" i="14" s="1"/>
  <c r="M984" i="13"/>
  <c r="N982" i="13"/>
  <c r="J981" i="13" a="1"/>
  <c r="J981" i="13" s="1"/>
  <c r="N981" i="14"/>
  <c r="J980" i="14" a="1"/>
  <c r="J980" i="14" s="1"/>
  <c r="M985" i="14"/>
  <c r="K795" i="13" l="1"/>
  <c r="L795" i="13" s="1"/>
  <c r="I796" i="13" s="1"/>
  <c r="K818" i="14"/>
  <c r="L818" i="14" s="1"/>
  <c r="I819" i="14" s="1"/>
  <c r="N983" i="13"/>
  <c r="J982" i="13" a="1"/>
  <c r="J982" i="13" s="1"/>
  <c r="J981" i="14" a="1"/>
  <c r="J981" i="14" s="1"/>
  <c r="N982" i="14"/>
  <c r="M985" i="13"/>
  <c r="M986" i="14"/>
  <c r="K796" i="13" l="1"/>
  <c r="L796" i="13" s="1"/>
  <c r="I797" i="13" s="1"/>
  <c r="K819" i="14"/>
  <c r="L819" i="14" s="1"/>
  <c r="I820" i="14" s="1"/>
  <c r="M986" i="13"/>
  <c r="M987" i="14"/>
  <c r="N983" i="14"/>
  <c r="J982" i="14" a="1"/>
  <c r="J982" i="14" s="1"/>
  <c r="N984" i="13"/>
  <c r="J983" i="13" a="1"/>
  <c r="J983" i="13" s="1"/>
  <c r="K797" i="13" l="1"/>
  <c r="L797" i="13" s="1"/>
  <c r="I798" i="13" s="1"/>
  <c r="K820" i="14"/>
  <c r="L820" i="14" s="1"/>
  <c r="I821" i="14" s="1"/>
  <c r="N985" i="13"/>
  <c r="J984" i="13" a="1"/>
  <c r="J984" i="13" s="1"/>
  <c r="M987" i="13"/>
  <c r="M988" i="14"/>
  <c r="J983" i="14" a="1"/>
  <c r="J983" i="14" s="1"/>
  <c r="N984" i="14"/>
  <c r="K798" i="13" l="1"/>
  <c r="L798" i="13" s="1"/>
  <c r="I799" i="13" s="1"/>
  <c r="K821" i="14"/>
  <c r="L821" i="14" s="1"/>
  <c r="I822" i="14" s="1"/>
  <c r="N985" i="14"/>
  <c r="J984" i="14" a="1"/>
  <c r="J984" i="14" s="1"/>
  <c r="M988" i="13"/>
  <c r="M989" i="14"/>
  <c r="N986" i="13"/>
  <c r="J985" i="13" a="1"/>
  <c r="J985" i="13" s="1"/>
  <c r="K799" i="13" l="1"/>
  <c r="L799" i="13" s="1"/>
  <c r="I800" i="13" s="1"/>
  <c r="K822" i="14"/>
  <c r="L822" i="14" s="1"/>
  <c r="I823" i="14" s="1"/>
  <c r="M990" i="14"/>
  <c r="J985" i="14" a="1"/>
  <c r="J985" i="14" s="1"/>
  <c r="N986" i="14"/>
  <c r="M989" i="13"/>
  <c r="N987" i="13"/>
  <c r="J986" i="13" a="1"/>
  <c r="J986" i="13" s="1"/>
  <c r="K800" i="13" l="1"/>
  <c r="L800" i="13" s="1"/>
  <c r="I801" i="13" s="1"/>
  <c r="K823" i="14"/>
  <c r="L823" i="14" s="1"/>
  <c r="I824" i="14" s="1"/>
  <c r="N987" i="14"/>
  <c r="J986" i="14" a="1"/>
  <c r="J986" i="14" s="1"/>
  <c r="N988" i="13"/>
  <c r="J987" i="13" a="1"/>
  <c r="J987" i="13" s="1"/>
  <c r="M990" i="13"/>
  <c r="M991" i="14"/>
  <c r="K801" i="13" l="1"/>
  <c r="L801" i="13" s="1"/>
  <c r="I802" i="13" s="1"/>
  <c r="K824" i="14"/>
  <c r="L824" i="14" s="1"/>
  <c r="I825" i="14" s="1"/>
  <c r="N989" i="13"/>
  <c r="J988" i="13" a="1"/>
  <c r="J988" i="13" s="1"/>
  <c r="M992" i="14"/>
  <c r="M991" i="13"/>
  <c r="J987" i="14" a="1"/>
  <c r="J987" i="14" s="1"/>
  <c r="N988" i="14"/>
  <c r="K802" i="13" l="1"/>
  <c r="L802" i="13" s="1"/>
  <c r="I803" i="13" s="1"/>
  <c r="K825" i="14"/>
  <c r="L825" i="14" s="1"/>
  <c r="I826" i="14" s="1"/>
  <c r="N990" i="13"/>
  <c r="J989" i="13" a="1"/>
  <c r="J989" i="13" s="1"/>
  <c r="N989" i="14"/>
  <c r="J988" i="14" a="1"/>
  <c r="J988" i="14" s="1"/>
  <c r="M993" i="14"/>
  <c r="M992" i="13"/>
  <c r="K803" i="13" l="1"/>
  <c r="L803" i="13" s="1"/>
  <c r="I804" i="13" s="1"/>
  <c r="K826" i="14"/>
  <c r="L826" i="14" s="1"/>
  <c r="I827" i="14" s="1"/>
  <c r="M994" i="14"/>
  <c r="M993" i="13"/>
  <c r="J989" i="14" a="1"/>
  <c r="J989" i="14" s="1"/>
  <c r="N990" i="14"/>
  <c r="N991" i="13"/>
  <c r="J990" i="13" a="1"/>
  <c r="J990" i="13" s="1"/>
  <c r="K804" i="13" l="1"/>
  <c r="L804" i="13" s="1"/>
  <c r="I805" i="13" s="1"/>
  <c r="M994" i="13"/>
  <c r="N992" i="13"/>
  <c r="J991" i="13" a="1"/>
  <c r="J991" i="13" s="1"/>
  <c r="K827" i="14"/>
  <c r="L827" i="14" s="1"/>
  <c r="I828" i="14" s="1"/>
  <c r="N991" i="14"/>
  <c r="J990" i="14" a="1"/>
  <c r="J990" i="14" s="1"/>
  <c r="M995" i="14"/>
  <c r="K805" i="13" l="1"/>
  <c r="L805" i="13" s="1"/>
  <c r="I806" i="13" s="1"/>
  <c r="K828" i="14"/>
  <c r="L828" i="14" s="1"/>
  <c r="I829" i="14" s="1"/>
  <c r="M995" i="13"/>
  <c r="J991" i="14" a="1"/>
  <c r="J991" i="14" s="1"/>
  <c r="N992" i="14"/>
  <c r="M996" i="14"/>
  <c r="N993" i="13"/>
  <c r="J992" i="13" a="1"/>
  <c r="J992" i="13" s="1"/>
  <c r="K806" i="13" l="1"/>
  <c r="L806" i="13" s="1"/>
  <c r="I807" i="13" s="1"/>
  <c r="K829" i="14"/>
  <c r="L829" i="14" s="1"/>
  <c r="I830" i="14" s="1"/>
  <c r="N993" i="14"/>
  <c r="J992" i="14" a="1"/>
  <c r="J992" i="14" s="1"/>
  <c r="M997" i="14"/>
  <c r="M996" i="13"/>
  <c r="N994" i="13"/>
  <c r="J993" i="13" a="1"/>
  <c r="J993" i="13" s="1"/>
  <c r="K807" i="13" l="1"/>
  <c r="L807" i="13" s="1"/>
  <c r="I808" i="13" s="1"/>
  <c r="N995" i="13"/>
  <c r="J994" i="13" a="1"/>
  <c r="J994" i="13" s="1"/>
  <c r="M997" i="13"/>
  <c r="K830" i="14"/>
  <c r="L830" i="14" s="1"/>
  <c r="I831" i="14" s="1"/>
  <c r="M998" i="14"/>
  <c r="J993" i="14" a="1"/>
  <c r="J993" i="14" s="1"/>
  <c r="N994" i="14"/>
  <c r="K808" i="13" l="1"/>
  <c r="L808" i="13" s="1"/>
  <c r="I809" i="13" s="1"/>
  <c r="K831" i="14"/>
  <c r="L831" i="14" s="1"/>
  <c r="I832" i="14" s="1"/>
  <c r="N996" i="13"/>
  <c r="J995" i="13" a="1"/>
  <c r="J995" i="13" s="1"/>
  <c r="M999" i="14"/>
  <c r="M998" i="13"/>
  <c r="N995" i="14"/>
  <c r="J994" i="14" a="1"/>
  <c r="J994" i="14" s="1"/>
  <c r="K809" i="13" l="1"/>
  <c r="L809" i="13" s="1"/>
  <c r="I810" i="13" s="1"/>
  <c r="M1000" i="14"/>
  <c r="J995" i="14" a="1"/>
  <c r="J995" i="14" s="1"/>
  <c r="N996" i="14"/>
  <c r="M999" i="13"/>
  <c r="N997" i="13"/>
  <c r="J996" i="13" a="1"/>
  <c r="J996" i="13" s="1"/>
  <c r="K832" i="14"/>
  <c r="L832" i="14" s="1"/>
  <c r="I833" i="14" s="1"/>
  <c r="K810" i="13" l="1"/>
  <c r="L810" i="13" s="1"/>
  <c r="I811" i="13" s="1"/>
  <c r="K833" i="14"/>
  <c r="L833" i="14" s="1"/>
  <c r="I834" i="14" s="1"/>
  <c r="N998" i="13"/>
  <c r="J997" i="13" a="1"/>
  <c r="J997" i="13" s="1"/>
  <c r="M1000" i="13"/>
  <c r="M1001" i="14"/>
  <c r="N997" i="14"/>
  <c r="J996" i="14" a="1"/>
  <c r="J996" i="14" s="1"/>
  <c r="K811" i="13" l="1"/>
  <c r="L811" i="13" s="1"/>
  <c r="I812" i="13" s="1"/>
  <c r="M1001" i="13"/>
  <c r="J997" i="14" a="1"/>
  <c r="J997" i="14" s="1"/>
  <c r="N998" i="14"/>
  <c r="M1002" i="14"/>
  <c r="N999" i="13"/>
  <c r="J998" i="13" a="1"/>
  <c r="J998" i="13" s="1"/>
  <c r="K834" i="14"/>
  <c r="L834" i="14" s="1"/>
  <c r="I835" i="14" s="1"/>
  <c r="K812" i="13" l="1"/>
  <c r="L812" i="13" s="1"/>
  <c r="I813" i="13" s="1"/>
  <c r="K835" i="14"/>
  <c r="L835" i="14" s="1"/>
  <c r="I836" i="14" s="1"/>
  <c r="N1000" i="13"/>
  <c r="J999" i="13" a="1"/>
  <c r="J999" i="13" s="1"/>
  <c r="M1003" i="14"/>
  <c r="M1002" i="13"/>
  <c r="N999" i="14"/>
  <c r="J998" i="14" a="1"/>
  <c r="J998" i="14" s="1"/>
  <c r="K813" i="13" l="1"/>
  <c r="L813" i="13" s="1"/>
  <c r="I814" i="13" s="1"/>
  <c r="J999" i="14" a="1"/>
  <c r="J999" i="14" s="1"/>
  <c r="N1000" i="14"/>
  <c r="M1004" i="14"/>
  <c r="M1003" i="13"/>
  <c r="N1001" i="13"/>
  <c r="J1000" i="13" a="1"/>
  <c r="J1000" i="13" s="1"/>
  <c r="K836" i="14"/>
  <c r="L836" i="14" s="1"/>
  <c r="I837" i="14" s="1"/>
  <c r="K814" i="13" l="1"/>
  <c r="L814" i="13" s="1"/>
  <c r="I815" i="13" s="1"/>
  <c r="K837" i="14"/>
  <c r="L837" i="14" s="1"/>
  <c r="I838" i="14" s="1"/>
  <c r="M1004" i="13"/>
  <c r="N1001" i="14"/>
  <c r="J1000" i="14" a="1"/>
  <c r="J1000" i="14" s="1"/>
  <c r="M1005" i="14"/>
  <c r="N1002" i="13"/>
  <c r="J1001" i="13" a="1"/>
  <c r="J1001" i="13" s="1"/>
  <c r="K815" i="13" l="1"/>
  <c r="L815" i="13" s="1"/>
  <c r="I816" i="13" s="1"/>
  <c r="J1001" i="14" a="1"/>
  <c r="J1001" i="14" s="1"/>
  <c r="N1002" i="14"/>
  <c r="N1003" i="13"/>
  <c r="J1002" i="13" a="1"/>
  <c r="J1002" i="13" s="1"/>
  <c r="M1005" i="13"/>
  <c r="M1006" i="14"/>
  <c r="K838" i="14"/>
  <c r="L838" i="14" s="1"/>
  <c r="I839" i="14" s="1"/>
  <c r="K816" i="13" l="1"/>
  <c r="L816" i="13" s="1"/>
  <c r="I817" i="13" s="1"/>
  <c r="K839" i="14"/>
  <c r="L839" i="14" s="1"/>
  <c r="I840" i="14" s="1"/>
  <c r="M1006" i="13"/>
  <c r="N1003" i="14"/>
  <c r="J1002" i="14" a="1"/>
  <c r="J1002" i="14" s="1"/>
  <c r="M1007" i="14"/>
  <c r="N1004" i="13"/>
  <c r="J1003" i="13" a="1"/>
  <c r="J1003" i="13" s="1"/>
  <c r="K817" i="13" l="1"/>
  <c r="L817" i="13" s="1"/>
  <c r="I818" i="13" s="1"/>
  <c r="K840" i="14"/>
  <c r="L840" i="14" s="1"/>
  <c r="I841" i="14" s="1"/>
  <c r="N1004" i="14"/>
  <c r="J1003" i="14" a="1"/>
  <c r="J1003" i="14" s="1"/>
  <c r="N1005" i="13"/>
  <c r="J1004" i="13" a="1"/>
  <c r="J1004" i="13" s="1"/>
  <c r="M1008" i="14"/>
  <c r="M1007" i="13"/>
  <c r="K818" i="13" l="1"/>
  <c r="L818" i="13" s="1"/>
  <c r="I819" i="13" s="1"/>
  <c r="K841" i="14"/>
  <c r="L841" i="14" s="1"/>
  <c r="I842" i="14" s="1"/>
  <c r="M1008" i="13"/>
  <c r="N1006" i="13"/>
  <c r="J1005" i="13" a="1"/>
  <c r="J1005" i="13" s="1"/>
  <c r="M1009" i="14"/>
  <c r="N1005" i="14"/>
  <c r="J1004" i="14" a="1"/>
  <c r="J1004" i="14" s="1"/>
  <c r="K819" i="13" l="1"/>
  <c r="L819" i="13" s="1"/>
  <c r="I820" i="13" s="1"/>
  <c r="N1007" i="13"/>
  <c r="J1006" i="13" a="1"/>
  <c r="J1006" i="13" s="1"/>
  <c r="M1009" i="13"/>
  <c r="N1006" i="14"/>
  <c r="J1005" i="14" a="1"/>
  <c r="J1005" i="14" s="1"/>
  <c r="M1010" i="14"/>
  <c r="K842" i="14"/>
  <c r="L842" i="14" s="1"/>
  <c r="I843" i="14" s="1"/>
  <c r="K820" i="13" l="1"/>
  <c r="L820" i="13" s="1"/>
  <c r="I821" i="13" s="1"/>
  <c r="K843" i="14"/>
  <c r="L843" i="14" s="1"/>
  <c r="I844" i="14" s="1"/>
  <c r="J1006" i="14" a="1"/>
  <c r="J1006" i="14" s="1"/>
  <c r="N1007" i="14"/>
  <c r="N1008" i="13"/>
  <c r="J1007" i="13" a="1"/>
  <c r="J1007" i="13" s="1"/>
  <c r="M1010" i="13"/>
  <c r="M1011" i="14"/>
  <c r="K821" i="13" l="1"/>
  <c r="L821" i="13" s="1"/>
  <c r="I822" i="13" s="1"/>
  <c r="K844" i="14"/>
  <c r="L844" i="14" s="1"/>
  <c r="I845" i="14" s="1"/>
  <c r="M1011" i="13"/>
  <c r="N1009" i="13"/>
  <c r="J1008" i="13" a="1"/>
  <c r="J1008" i="13" s="1"/>
  <c r="M1012" i="14"/>
  <c r="N1008" i="14"/>
  <c r="J1007" i="14" a="1"/>
  <c r="J1007" i="14" s="1"/>
  <c r="K822" i="13" l="1"/>
  <c r="L822" i="13" s="1"/>
  <c r="I823" i="13" s="1"/>
  <c r="N1010" i="13"/>
  <c r="J1009" i="13" a="1"/>
  <c r="J1009" i="13" s="1"/>
  <c r="N1009" i="14"/>
  <c r="J1008" i="14" a="1"/>
  <c r="J1008" i="14" s="1"/>
  <c r="M1013" i="14"/>
  <c r="M1012" i="13"/>
  <c r="K845" i="14"/>
  <c r="L845" i="14" s="1"/>
  <c r="I846" i="14" s="1"/>
  <c r="K823" i="13" l="1"/>
  <c r="L823" i="13" s="1"/>
  <c r="I824" i="13" s="1"/>
  <c r="K846" i="14"/>
  <c r="L846" i="14" s="1"/>
  <c r="I847" i="14" s="1"/>
  <c r="M1014" i="14"/>
  <c r="N1011" i="13"/>
  <c r="J1010" i="13" a="1"/>
  <c r="J1010" i="13" s="1"/>
  <c r="M1013" i="13"/>
  <c r="N1010" i="14"/>
  <c r="J1009" i="14" a="1"/>
  <c r="J1009" i="14" s="1"/>
  <c r="K824" i="13" l="1"/>
  <c r="L824" i="13" s="1"/>
  <c r="I825" i="13" s="1"/>
  <c r="K847" i="14"/>
  <c r="L847" i="14" s="1"/>
  <c r="I848" i="14" s="1"/>
  <c r="N1012" i="13"/>
  <c r="J1011" i="13" a="1"/>
  <c r="J1011" i="13" s="1"/>
  <c r="J1010" i="14" a="1"/>
  <c r="J1010" i="14" s="1"/>
  <c r="N1011" i="14"/>
  <c r="M1014" i="13"/>
  <c r="M1015" i="14"/>
  <c r="K825" i="13" l="1"/>
  <c r="L825" i="13" s="1"/>
  <c r="I826" i="13" s="1"/>
  <c r="K848" i="14"/>
  <c r="L848" i="14" s="1"/>
  <c r="I849" i="14" s="1"/>
  <c r="M1016" i="14"/>
  <c r="N1012" i="14"/>
  <c r="J1011" i="14" a="1"/>
  <c r="J1011" i="14" s="1"/>
  <c r="M1015" i="13"/>
  <c r="N1013" i="13"/>
  <c r="J1012" i="13" a="1"/>
  <c r="J1012" i="13" s="1"/>
  <c r="K826" i="13" l="1"/>
  <c r="L826" i="13" s="1"/>
  <c r="I827" i="13" s="1"/>
  <c r="K849" i="14"/>
  <c r="L849" i="14" s="1"/>
  <c r="I850" i="14" s="1"/>
  <c r="N1013" i="14"/>
  <c r="J1012" i="14" a="1"/>
  <c r="J1012" i="14" s="1"/>
  <c r="N1014" i="13"/>
  <c r="J1013" i="13" a="1"/>
  <c r="J1013" i="13" s="1"/>
  <c r="M1016" i="13"/>
  <c r="M1017" i="14"/>
  <c r="K827" i="13" l="1"/>
  <c r="L827" i="13" s="1"/>
  <c r="I828" i="13" s="1"/>
  <c r="K850" i="14"/>
  <c r="L850" i="14" s="1"/>
  <c r="I851" i="14" s="1"/>
  <c r="N1015" i="13"/>
  <c r="J1014" i="13" a="1"/>
  <c r="J1014" i="13" s="1"/>
  <c r="M1018" i="14"/>
  <c r="M1017" i="13"/>
  <c r="N1014" i="14"/>
  <c r="J1013" i="14" a="1"/>
  <c r="J1013" i="14" s="1"/>
  <c r="K828" i="13" l="1"/>
  <c r="L828" i="13" s="1"/>
  <c r="I829" i="13" s="1"/>
  <c r="K851" i="14"/>
  <c r="L851" i="14" s="1"/>
  <c r="I852" i="14" s="1"/>
  <c r="M1018" i="13"/>
  <c r="N1016" i="13"/>
  <c r="J1015" i="13" a="1"/>
  <c r="J1015" i="13" s="1"/>
  <c r="M1019" i="14"/>
  <c r="J1014" i="14" a="1"/>
  <c r="J1014" i="14" s="1"/>
  <c r="N1015" i="14"/>
  <c r="K829" i="13" l="1"/>
  <c r="L829" i="13" s="1"/>
  <c r="I830" i="13" s="1"/>
  <c r="K852" i="14"/>
  <c r="L852" i="14" s="1"/>
  <c r="I853" i="14" s="1"/>
  <c r="N1017" i="13"/>
  <c r="J1016" i="13" a="1"/>
  <c r="J1016" i="13" s="1"/>
  <c r="M1019" i="13"/>
  <c r="N1016" i="14"/>
  <c r="J1015" i="14" a="1"/>
  <c r="J1015" i="14" s="1"/>
  <c r="M1020" i="14"/>
  <c r="K830" i="13" l="1"/>
  <c r="L830" i="13" s="1"/>
  <c r="I831" i="13" s="1"/>
  <c r="K853" i="14"/>
  <c r="L853" i="14" s="1"/>
  <c r="I854" i="14" s="1"/>
  <c r="N1017" i="14"/>
  <c r="J1016" i="14" a="1"/>
  <c r="J1016" i="14" s="1"/>
  <c r="M1021" i="14"/>
  <c r="M1020" i="13"/>
  <c r="N1018" i="13"/>
  <c r="J1017" i="13" a="1"/>
  <c r="J1017" i="13" s="1"/>
  <c r="K831" i="13" l="1"/>
  <c r="L831" i="13" s="1"/>
  <c r="I832" i="13" s="1"/>
  <c r="K854" i="14"/>
  <c r="L854" i="14" s="1"/>
  <c r="I855" i="14" s="1"/>
  <c r="N1019" i="13"/>
  <c r="J1018" i="13" a="1"/>
  <c r="J1018" i="13" s="1"/>
  <c r="M1022" i="14"/>
  <c r="M1021" i="13"/>
  <c r="N1018" i="14"/>
  <c r="J1017" i="14" a="1"/>
  <c r="J1017" i="14" s="1"/>
  <c r="K832" i="13" l="1"/>
  <c r="L832" i="13" s="1"/>
  <c r="I833" i="13" s="1"/>
  <c r="K855" i="14"/>
  <c r="L855" i="14" s="1"/>
  <c r="I856" i="14" s="1"/>
  <c r="J1018" i="14" a="1"/>
  <c r="J1018" i="14" s="1"/>
  <c r="N1019" i="14"/>
  <c r="M1022" i="13"/>
  <c r="N1020" i="13"/>
  <c r="J1019" i="13" a="1"/>
  <c r="J1019" i="13" s="1"/>
  <c r="M1023" i="14"/>
  <c r="K833" i="13" l="1"/>
  <c r="L833" i="13" s="1"/>
  <c r="I834" i="13" s="1"/>
  <c r="N1021" i="13"/>
  <c r="J1020" i="13" a="1"/>
  <c r="J1020" i="13" s="1"/>
  <c r="M1024" i="14"/>
  <c r="M1023" i="13"/>
  <c r="K856" i="14"/>
  <c r="L856" i="14" s="1"/>
  <c r="I857" i="14" s="1"/>
  <c r="N1020" i="14"/>
  <c r="J1019" i="14" a="1"/>
  <c r="J1019" i="14" s="1"/>
  <c r="K834" i="13" l="1"/>
  <c r="L834" i="13" s="1"/>
  <c r="I835" i="13" s="1"/>
  <c r="K857" i="14"/>
  <c r="L857" i="14" s="1"/>
  <c r="I858" i="14" s="1"/>
  <c r="M1024" i="13"/>
  <c r="N1022" i="13"/>
  <c r="J1021" i="13" a="1"/>
  <c r="J1021" i="13" s="1"/>
  <c r="N1021" i="14"/>
  <c r="J1020" i="14" a="1"/>
  <c r="J1020" i="14" s="1"/>
  <c r="M1025" i="14"/>
  <c r="K835" i="13" l="1"/>
  <c r="L835" i="13" s="1"/>
  <c r="I836" i="13" s="1"/>
  <c r="K858" i="14"/>
  <c r="L858" i="14" s="1"/>
  <c r="I859" i="14" s="1"/>
  <c r="M1026" i="14"/>
  <c r="N1023" i="13"/>
  <c r="J1022" i="13" a="1"/>
  <c r="J1022" i="13" s="1"/>
  <c r="M1025" i="13"/>
  <c r="N1022" i="14"/>
  <c r="J1021" i="14" a="1"/>
  <c r="J1021" i="14" s="1"/>
  <c r="K836" i="13" l="1"/>
  <c r="L836" i="13" s="1"/>
  <c r="I837" i="13" s="1"/>
  <c r="K859" i="14"/>
  <c r="L859" i="14" s="1"/>
  <c r="I860" i="14" s="1"/>
  <c r="N1024" i="13"/>
  <c r="J1023" i="13" a="1"/>
  <c r="J1023" i="13" s="1"/>
  <c r="J1022" i="14" a="1"/>
  <c r="J1022" i="14" s="1"/>
  <c r="N1023" i="14"/>
  <c r="M1026" i="13"/>
  <c r="M1027" i="14"/>
  <c r="K837" i="13" l="1"/>
  <c r="L837" i="13" s="1"/>
  <c r="I838" i="13" s="1"/>
  <c r="K860" i="14"/>
  <c r="L860" i="14" s="1"/>
  <c r="I861" i="14" s="1"/>
  <c r="M1028" i="14"/>
  <c r="N1024" i="14"/>
  <c r="J1023" i="14" a="1"/>
  <c r="J1023" i="14" s="1"/>
  <c r="M1027" i="13"/>
  <c r="N1025" i="13"/>
  <c r="J1024" i="13" a="1"/>
  <c r="J1024" i="13" s="1"/>
  <c r="K838" i="13" l="1"/>
  <c r="L838" i="13" s="1"/>
  <c r="I839" i="13" s="1"/>
  <c r="K861" i="14"/>
  <c r="L861" i="14" s="1"/>
  <c r="I862" i="14" s="1"/>
  <c r="N1026" i="13"/>
  <c r="J1025" i="13" a="1"/>
  <c r="J1025" i="13" s="1"/>
  <c r="N1025" i="14"/>
  <c r="J1024" i="14" a="1"/>
  <c r="J1024" i="14" s="1"/>
  <c r="M1028" i="13"/>
  <c r="M1029" i="14"/>
  <c r="K839" i="13" l="1"/>
  <c r="L839" i="13" s="1"/>
  <c r="I840" i="13" s="1"/>
  <c r="K862" i="14"/>
  <c r="L862" i="14" s="1"/>
  <c r="I863" i="14" s="1"/>
  <c r="J1025" i="14" a="1"/>
  <c r="J1025" i="14" s="1"/>
  <c r="N1026" i="14"/>
  <c r="M1030" i="14"/>
  <c r="M1029" i="13"/>
  <c r="N1027" i="13"/>
  <c r="J1026" i="13" a="1"/>
  <c r="J1026" i="13" s="1"/>
  <c r="K840" i="13" l="1"/>
  <c r="L840" i="13" s="1"/>
  <c r="I841" i="13" s="1"/>
  <c r="K863" i="14"/>
  <c r="L863" i="14" s="1"/>
  <c r="I864" i="14" s="1"/>
  <c r="M1030" i="13"/>
  <c r="N1028" i="13"/>
  <c r="J1027" i="13" a="1"/>
  <c r="J1027" i="13" s="1"/>
  <c r="M1031" i="14"/>
  <c r="J1026" i="14" a="1"/>
  <c r="J1026" i="14" s="1"/>
  <c r="N1027" i="14"/>
  <c r="K841" i="13" l="1"/>
  <c r="L841" i="13" s="1"/>
  <c r="I842" i="13" s="1"/>
  <c r="K864" i="14"/>
  <c r="L864" i="14" s="1"/>
  <c r="I865" i="14" s="1"/>
  <c r="N1029" i="13"/>
  <c r="J1028" i="13" a="1"/>
  <c r="J1028" i="13" s="1"/>
  <c r="M1032" i="14"/>
  <c r="M1031" i="13"/>
  <c r="N1028" i="14"/>
  <c r="J1027" i="14" a="1"/>
  <c r="J1027" i="14" s="1"/>
  <c r="K842" i="13" l="1"/>
  <c r="L842" i="13" s="1"/>
  <c r="I843" i="13" s="1"/>
  <c r="K865" i="14"/>
  <c r="L865" i="14" s="1"/>
  <c r="I866" i="14" s="1"/>
  <c r="N1029" i="14"/>
  <c r="J1028" i="14" a="1"/>
  <c r="J1028" i="14" s="1"/>
  <c r="M1033" i="14"/>
  <c r="M1032" i="13"/>
  <c r="N1030" i="13"/>
  <c r="J1029" i="13" a="1"/>
  <c r="J1029" i="13" s="1"/>
  <c r="K843" i="13" l="1"/>
  <c r="L843" i="13" s="1"/>
  <c r="I844" i="13" s="1"/>
  <c r="K866" i="14"/>
  <c r="L866" i="14" s="1"/>
  <c r="I867" i="14" s="1"/>
  <c r="N1031" i="13"/>
  <c r="J1030" i="13" a="1"/>
  <c r="J1030" i="13" s="1"/>
  <c r="M1033" i="13"/>
  <c r="M1034" i="14"/>
  <c r="J1029" i="14" a="1"/>
  <c r="J1029" i="14" s="1"/>
  <c r="N1030" i="14"/>
  <c r="K844" i="13" l="1"/>
  <c r="L844" i="13" s="1"/>
  <c r="I845" i="13" s="1"/>
  <c r="K867" i="14"/>
  <c r="L867" i="14" s="1"/>
  <c r="I868" i="14" s="1"/>
  <c r="M1035" i="14"/>
  <c r="J1030" i="14" a="1"/>
  <c r="J1030" i="14" s="1"/>
  <c r="N1031" i="14"/>
  <c r="M1034" i="13"/>
  <c r="N1032" i="13"/>
  <c r="J1031" i="13" a="1"/>
  <c r="J1031" i="13" s="1"/>
  <c r="K845" i="13" l="1"/>
  <c r="L845" i="13" s="1"/>
  <c r="I846" i="13" s="1"/>
  <c r="K868" i="14"/>
  <c r="L868" i="14" s="1"/>
  <c r="I869" i="14" s="1"/>
  <c r="N1033" i="13"/>
  <c r="J1032" i="13" a="1"/>
  <c r="J1032" i="13" s="1"/>
  <c r="J1031" i="14" a="1"/>
  <c r="J1031" i="14" s="1"/>
  <c r="N1032" i="14"/>
  <c r="M1035" i="13"/>
  <c r="M1036" i="14"/>
  <c r="K846" i="13" l="1"/>
  <c r="L846" i="13" s="1"/>
  <c r="I847" i="13" s="1"/>
  <c r="K869" i="14"/>
  <c r="L869" i="14" s="1"/>
  <c r="I870" i="14" s="1"/>
  <c r="N1033" i="14"/>
  <c r="J1032" i="14" a="1"/>
  <c r="J1032" i="14" s="1"/>
  <c r="M1037" i="14"/>
  <c r="M1036" i="13"/>
  <c r="N1034" i="13"/>
  <c r="J1033" i="13" a="1"/>
  <c r="J1033" i="13" s="1"/>
  <c r="K847" i="13" l="1"/>
  <c r="L847" i="13" s="1"/>
  <c r="I848" i="13" s="1"/>
  <c r="K870" i="14"/>
  <c r="L870" i="14" s="1"/>
  <c r="I871" i="14" s="1"/>
  <c r="N1035" i="13"/>
  <c r="J1034" i="13" a="1"/>
  <c r="J1034" i="13" s="1"/>
  <c r="M1038" i="14"/>
  <c r="M1037" i="13"/>
  <c r="J1033" i="14" a="1"/>
  <c r="J1033" i="14" s="1"/>
  <c r="N1034" i="14"/>
  <c r="K848" i="13" l="1"/>
  <c r="L848" i="13" s="1"/>
  <c r="I849" i="13" s="1"/>
  <c r="M1039" i="14"/>
  <c r="N1036" i="13"/>
  <c r="J1035" i="13" a="1"/>
  <c r="J1035" i="13" s="1"/>
  <c r="M1038" i="13"/>
  <c r="J1034" i="14" a="1"/>
  <c r="J1034" i="14" s="1"/>
  <c r="N1035" i="14"/>
  <c r="K871" i="14"/>
  <c r="L871" i="14" s="1"/>
  <c r="I872" i="14" s="1"/>
  <c r="K849" i="13" l="1"/>
  <c r="L849" i="13" s="1"/>
  <c r="I850" i="13" s="1"/>
  <c r="K872" i="14"/>
  <c r="L872" i="14" s="1"/>
  <c r="I873" i="14" s="1"/>
  <c r="N1036" i="14"/>
  <c r="J1035" i="14" a="1"/>
  <c r="J1035" i="14" s="1"/>
  <c r="M1039" i="13"/>
  <c r="M1040" i="14"/>
  <c r="N1037" i="13"/>
  <c r="J1036" i="13" a="1"/>
  <c r="J1036" i="13" s="1"/>
  <c r="K850" i="13" l="1"/>
  <c r="L850" i="13" s="1"/>
  <c r="I851" i="13" s="1"/>
  <c r="M1040" i="13"/>
  <c r="N1038" i="13"/>
  <c r="J1037" i="13" a="1"/>
  <c r="J1037" i="13" s="1"/>
  <c r="M1041" i="14"/>
  <c r="N1037" i="14"/>
  <c r="J1036" i="14" a="1"/>
  <c r="J1036" i="14" s="1"/>
  <c r="K873" i="14"/>
  <c r="L873" i="14" s="1"/>
  <c r="I874" i="14" s="1"/>
  <c r="K851" i="13" l="1"/>
  <c r="L851" i="13" s="1"/>
  <c r="I852" i="13" s="1"/>
  <c r="K874" i="14"/>
  <c r="L874" i="14" s="1"/>
  <c r="I875" i="14" s="1"/>
  <c r="M1042" i="14"/>
  <c r="N1039" i="13"/>
  <c r="J1038" i="13" a="1"/>
  <c r="J1038" i="13" s="1"/>
  <c r="M1041" i="13"/>
  <c r="J1037" i="14" a="1"/>
  <c r="J1037" i="14" s="1"/>
  <c r="N1038" i="14"/>
  <c r="K852" i="13" l="1"/>
  <c r="L852" i="13" s="1"/>
  <c r="I853" i="13" s="1"/>
  <c r="N1040" i="13"/>
  <c r="J1039" i="13" a="1"/>
  <c r="J1039" i="13" s="1"/>
  <c r="K875" i="14"/>
  <c r="L875" i="14" s="1"/>
  <c r="I876" i="14" s="1"/>
  <c r="M1042" i="13"/>
  <c r="M1043" i="14"/>
  <c r="J1038" i="14" a="1"/>
  <c r="J1038" i="14" s="1"/>
  <c r="N1039" i="14"/>
  <c r="K853" i="13" l="1"/>
  <c r="L853" i="13" s="1"/>
  <c r="I854" i="13" s="1"/>
  <c r="K876" i="14"/>
  <c r="L876" i="14" s="1"/>
  <c r="I877" i="14" s="1"/>
  <c r="M1043" i="13"/>
  <c r="M1044" i="14"/>
  <c r="N1040" i="14"/>
  <c r="J1039" i="14" a="1"/>
  <c r="J1039" i="14" s="1"/>
  <c r="N1041" i="13"/>
  <c r="J1040" i="13" a="1"/>
  <c r="J1040" i="13" s="1"/>
  <c r="K854" i="13" l="1"/>
  <c r="L854" i="13" s="1"/>
  <c r="I855" i="13" s="1"/>
  <c r="K877" i="14"/>
  <c r="L877" i="14" s="1"/>
  <c r="I878" i="14" s="1"/>
  <c r="M1044" i="13"/>
  <c r="N1042" i="13"/>
  <c r="J1041" i="13" a="1"/>
  <c r="J1041" i="13" s="1"/>
  <c r="M1045" i="14"/>
  <c r="N1041" i="14"/>
  <c r="J1040" i="14" a="1"/>
  <c r="J1040" i="14" s="1"/>
  <c r="K855" i="13" l="1"/>
  <c r="L855" i="13" s="1"/>
  <c r="I856" i="13" s="1"/>
  <c r="K878" i="14"/>
  <c r="L878" i="14" s="1"/>
  <c r="I879" i="14" s="1"/>
  <c r="J1041" i="14" a="1"/>
  <c r="J1041" i="14" s="1"/>
  <c r="N1042" i="14"/>
  <c r="M1045" i="13"/>
  <c r="N1043" i="13"/>
  <c r="J1042" i="13" a="1"/>
  <c r="J1042" i="13" s="1"/>
  <c r="M1046" i="14"/>
  <c r="K856" i="13" l="1"/>
  <c r="L856" i="13" s="1"/>
  <c r="I857" i="13" s="1"/>
  <c r="K879" i="14"/>
  <c r="L879" i="14" s="1"/>
  <c r="I880" i="14" s="1"/>
  <c r="J1042" i="14" a="1"/>
  <c r="J1042" i="14" s="1"/>
  <c r="N1043" i="14"/>
  <c r="M1047" i="14"/>
  <c r="N1044" i="13"/>
  <c r="J1043" i="13" a="1"/>
  <c r="J1043" i="13" s="1"/>
  <c r="M1046" i="13"/>
  <c r="K857" i="13" l="1"/>
  <c r="L857" i="13" s="1"/>
  <c r="I858" i="13" s="1"/>
  <c r="K880" i="14"/>
  <c r="L880" i="14" s="1"/>
  <c r="I881" i="14" s="1"/>
  <c r="N1045" i="13"/>
  <c r="J1044" i="13" a="1"/>
  <c r="J1044" i="13" s="1"/>
  <c r="M1047" i="13"/>
  <c r="M1048" i="14"/>
  <c r="N1044" i="14"/>
  <c r="J1043" i="14" a="1"/>
  <c r="J1043" i="14" s="1"/>
  <c r="K858" i="13" l="1"/>
  <c r="L858" i="13" s="1"/>
  <c r="I859" i="13" s="1"/>
  <c r="K881" i="14"/>
  <c r="L881" i="14" s="1"/>
  <c r="I882" i="14" s="1"/>
  <c r="M1048" i="13"/>
  <c r="N1045" i="14"/>
  <c r="J1044" i="14" a="1"/>
  <c r="J1044" i="14" s="1"/>
  <c r="M1049" i="14"/>
  <c r="N1046" i="13"/>
  <c r="J1045" i="13" a="1"/>
  <c r="J1045" i="13" s="1"/>
  <c r="K859" i="13" l="1"/>
  <c r="L859" i="13" s="1"/>
  <c r="I860" i="13" s="1"/>
  <c r="K882" i="14"/>
  <c r="L882" i="14" s="1"/>
  <c r="I883" i="14" s="1"/>
  <c r="N1047" i="13"/>
  <c r="J1046" i="13" a="1"/>
  <c r="J1046" i="13" s="1"/>
  <c r="J1045" i="14" a="1"/>
  <c r="J1045" i="14" s="1"/>
  <c r="N1046" i="14"/>
  <c r="M1049" i="13"/>
  <c r="M1050" i="14"/>
  <c r="K860" i="13" l="1"/>
  <c r="L860" i="13" s="1"/>
  <c r="I861" i="13" s="1"/>
  <c r="K883" i="14"/>
  <c r="L883" i="14" s="1"/>
  <c r="I884" i="14" s="1"/>
  <c r="M1050" i="13"/>
  <c r="N1048" i="13"/>
  <c r="J1047" i="13" a="1"/>
  <c r="J1047" i="13" s="1"/>
  <c r="M1051" i="14"/>
  <c r="J1046" i="14" a="1"/>
  <c r="J1046" i="14" s="1"/>
  <c r="N1047" i="14"/>
  <c r="K861" i="13" l="1"/>
  <c r="L861" i="13" s="1"/>
  <c r="I862" i="13" s="1"/>
  <c r="K884" i="14"/>
  <c r="L884" i="14" s="1"/>
  <c r="I885" i="14" s="1"/>
  <c r="N1049" i="13"/>
  <c r="J1048" i="13" a="1"/>
  <c r="J1048" i="13" s="1"/>
  <c r="M1051" i="13"/>
  <c r="N1048" i="14"/>
  <c r="J1047" i="14" a="1"/>
  <c r="J1047" i="14" s="1"/>
  <c r="M1052" i="14"/>
  <c r="K862" i="13" l="1"/>
  <c r="L862" i="13" s="1"/>
  <c r="I863" i="13" s="1"/>
  <c r="M1053" i="14"/>
  <c r="K885" i="14"/>
  <c r="L885" i="14" s="1"/>
  <c r="I886" i="14" s="1"/>
  <c r="N1049" i="14"/>
  <c r="J1048" i="14" a="1"/>
  <c r="J1048" i="14" s="1"/>
  <c r="M1052" i="13"/>
  <c r="N1050" i="13"/>
  <c r="J1049" i="13" a="1"/>
  <c r="J1049" i="13" s="1"/>
  <c r="K863" i="13" l="1"/>
  <c r="L863" i="13" s="1"/>
  <c r="I864" i="13" s="1"/>
  <c r="K886" i="14"/>
  <c r="L886" i="14" s="1"/>
  <c r="I887" i="14" s="1"/>
  <c r="N1051" i="13"/>
  <c r="J1050" i="13" a="1"/>
  <c r="J1050" i="13" s="1"/>
  <c r="J1049" i="14" a="1"/>
  <c r="J1049" i="14" s="1"/>
  <c r="N1050" i="14"/>
  <c r="M1054" i="14"/>
  <c r="M1053" i="13"/>
  <c r="K864" i="13" l="1"/>
  <c r="L864" i="13" s="1"/>
  <c r="I865" i="13" s="1"/>
  <c r="K887" i="14"/>
  <c r="L887" i="14" s="1"/>
  <c r="I888" i="14" s="1"/>
  <c r="J1050" i="14" a="1"/>
  <c r="J1050" i="14" s="1"/>
  <c r="N1051" i="14"/>
  <c r="M1054" i="13"/>
  <c r="M1055" i="14"/>
  <c r="N1052" i="13"/>
  <c r="J1051" i="13" a="1"/>
  <c r="J1051" i="13" s="1"/>
  <c r="K865" i="13" l="1"/>
  <c r="L865" i="13" s="1"/>
  <c r="I866" i="13" s="1"/>
  <c r="M1055" i="13"/>
  <c r="N1053" i="13"/>
  <c r="J1052" i="13" a="1"/>
  <c r="J1052" i="13" s="1"/>
  <c r="M1056" i="14"/>
  <c r="N1052" i="14"/>
  <c r="J1051" i="14" a="1"/>
  <c r="J1051" i="14" s="1"/>
  <c r="K888" i="14"/>
  <c r="L888" i="14" s="1"/>
  <c r="I889" i="14" s="1"/>
  <c r="K866" i="13" l="1"/>
  <c r="L866" i="13" s="1"/>
  <c r="I867" i="13" s="1"/>
  <c r="K889" i="14"/>
  <c r="L889" i="14" s="1"/>
  <c r="I890" i="14" s="1"/>
  <c r="M1056" i="13"/>
  <c r="M1057" i="14"/>
  <c r="N1053" i="14"/>
  <c r="J1052" i="14" a="1"/>
  <c r="J1052" i="14" s="1"/>
  <c r="N1054" i="13"/>
  <c r="J1053" i="13" a="1"/>
  <c r="J1053" i="13" s="1"/>
  <c r="K867" i="13" l="1"/>
  <c r="L867" i="13" s="1"/>
  <c r="I868" i="13" s="1"/>
  <c r="K890" i="14"/>
  <c r="L890" i="14" s="1"/>
  <c r="I891" i="14" s="1"/>
  <c r="J1053" i="14" a="1"/>
  <c r="J1053" i="14" s="1"/>
  <c r="N1054" i="14"/>
  <c r="N1055" i="13"/>
  <c r="J1054" i="13" a="1"/>
  <c r="J1054" i="13" s="1"/>
  <c r="M1058" i="14"/>
  <c r="M1057" i="13"/>
  <c r="K868" i="13" l="1"/>
  <c r="L868" i="13" s="1"/>
  <c r="I869" i="13" s="1"/>
  <c r="K891" i="14"/>
  <c r="L891" i="14" s="1"/>
  <c r="I892" i="14" s="1"/>
  <c r="J1054" i="14" a="1"/>
  <c r="J1054" i="14" s="1"/>
  <c r="N1055" i="14"/>
  <c r="N1056" i="13"/>
  <c r="J1055" i="13" a="1"/>
  <c r="J1055" i="13" s="1"/>
  <c r="M1059" i="14"/>
  <c r="M1058" i="13"/>
  <c r="K869" i="13" l="1"/>
  <c r="L869" i="13" s="1"/>
  <c r="I870" i="13" s="1"/>
  <c r="K892" i="14"/>
  <c r="L892" i="14" s="1"/>
  <c r="I893" i="14" s="1"/>
  <c r="M1059" i="13"/>
  <c r="N1057" i="13"/>
  <c r="J1056" i="13" a="1"/>
  <c r="J1056" i="13" s="1"/>
  <c r="M1060" i="14"/>
  <c r="N1056" i="14"/>
  <c r="J1055" i="14" a="1"/>
  <c r="J1055" i="14" s="1"/>
  <c r="K870" i="13" l="1"/>
  <c r="L870" i="13" s="1"/>
  <c r="I871" i="13" s="1"/>
  <c r="K893" i="14"/>
  <c r="L893" i="14" s="1"/>
  <c r="I894" i="14" s="1"/>
  <c r="N1058" i="13"/>
  <c r="J1057" i="13" a="1"/>
  <c r="J1057" i="13" s="1"/>
  <c r="N1057" i="14"/>
  <c r="J1056" i="14" a="1"/>
  <c r="J1056" i="14" s="1"/>
  <c r="M1060" i="13"/>
  <c r="M1061" i="14"/>
  <c r="K871" i="13" l="1"/>
  <c r="L871" i="13" s="1"/>
  <c r="I872" i="13" s="1"/>
  <c r="K894" i="14"/>
  <c r="L894" i="14" s="1"/>
  <c r="I895" i="14" s="1"/>
  <c r="M1062" i="14"/>
  <c r="N1059" i="13"/>
  <c r="J1058" i="13" a="1"/>
  <c r="J1058" i="13" s="1"/>
  <c r="M1061" i="13"/>
  <c r="J1057" i="14" a="1"/>
  <c r="J1057" i="14" s="1"/>
  <c r="N1058" i="14"/>
  <c r="K872" i="13" l="1"/>
  <c r="L872" i="13" s="1"/>
  <c r="I873" i="13" s="1"/>
  <c r="K895" i="14"/>
  <c r="L895" i="14" s="1"/>
  <c r="I896" i="14" s="1"/>
  <c r="J1058" i="14" a="1"/>
  <c r="J1058" i="14" s="1"/>
  <c r="N1059" i="14"/>
  <c r="N1060" i="13"/>
  <c r="J1059" i="13" a="1"/>
  <c r="J1059" i="13" s="1"/>
  <c r="M1062" i="13"/>
  <c r="M1063" i="14"/>
  <c r="K873" i="13" l="1"/>
  <c r="L873" i="13" s="1"/>
  <c r="I874" i="13" s="1"/>
  <c r="K896" i="14"/>
  <c r="L896" i="14" s="1"/>
  <c r="I897" i="14" s="1"/>
  <c r="N1061" i="13"/>
  <c r="J1060" i="13" a="1"/>
  <c r="J1060" i="13" s="1"/>
  <c r="M1064" i="14"/>
  <c r="M1063" i="13"/>
  <c r="N1060" i="14"/>
  <c r="J1059" i="14" a="1"/>
  <c r="J1059" i="14" s="1"/>
  <c r="K874" i="13" l="1"/>
  <c r="L874" i="13" s="1"/>
  <c r="I875" i="13" s="1"/>
  <c r="K897" i="14"/>
  <c r="L897" i="14" s="1"/>
  <c r="I898" i="14" s="1"/>
  <c r="N1061" i="14"/>
  <c r="J1060" i="14" a="1"/>
  <c r="J1060" i="14" s="1"/>
  <c r="M1065" i="14"/>
  <c r="M1064" i="13"/>
  <c r="N1062" i="13"/>
  <c r="J1061" i="13" a="1"/>
  <c r="J1061" i="13" s="1"/>
  <c r="K875" i="13" l="1"/>
  <c r="L875" i="13" s="1"/>
  <c r="I876" i="13" s="1"/>
  <c r="K898" i="14"/>
  <c r="L898" i="14" s="1"/>
  <c r="I899" i="14" s="1"/>
  <c r="J1061" i="14" a="1"/>
  <c r="J1061" i="14" s="1"/>
  <c r="N1062" i="14"/>
  <c r="M1065" i="13"/>
  <c r="N1063" i="13"/>
  <c r="J1062" i="13" a="1"/>
  <c r="J1062" i="13" s="1"/>
  <c r="M1066" i="14"/>
  <c r="K876" i="13" l="1"/>
  <c r="L876" i="13" s="1"/>
  <c r="I877" i="13" s="1"/>
  <c r="K899" i="14"/>
  <c r="L899" i="14" s="1"/>
  <c r="I900" i="14" s="1"/>
  <c r="M1067" i="14"/>
  <c r="M1066" i="13"/>
  <c r="J1062" i="14" a="1"/>
  <c r="J1062" i="14" s="1"/>
  <c r="N1063" i="14"/>
  <c r="N1064" i="13"/>
  <c r="J1063" i="13" a="1"/>
  <c r="J1063" i="13" s="1"/>
  <c r="K877" i="13" l="1"/>
  <c r="L877" i="13" s="1"/>
  <c r="I878" i="13" s="1"/>
  <c r="K900" i="14"/>
  <c r="L900" i="14" s="1"/>
  <c r="I901" i="14" s="1"/>
  <c r="M1067" i="13"/>
  <c r="N1065" i="13"/>
  <c r="J1064" i="13" a="1"/>
  <c r="J1064" i="13" s="1"/>
  <c r="N1064" i="14"/>
  <c r="J1063" i="14" a="1"/>
  <c r="J1063" i="14" s="1"/>
  <c r="M1068" i="14"/>
  <c r="K878" i="13" l="1"/>
  <c r="L878" i="13" s="1"/>
  <c r="I879" i="13" s="1"/>
  <c r="K901" i="14"/>
  <c r="L901" i="14" s="1"/>
  <c r="I902" i="14" s="1"/>
  <c r="M1069" i="14"/>
  <c r="N1066" i="13"/>
  <c r="J1065" i="13" a="1"/>
  <c r="J1065" i="13" s="1"/>
  <c r="M1068" i="13"/>
  <c r="N1065" i="14"/>
  <c r="J1064" i="14" a="1"/>
  <c r="J1064" i="14" s="1"/>
  <c r="K879" i="13" l="1"/>
  <c r="L879" i="13" s="1"/>
  <c r="I880" i="13" s="1"/>
  <c r="K902" i="14"/>
  <c r="L902" i="14" s="1"/>
  <c r="I903" i="14" s="1"/>
  <c r="J1065" i="14" a="1"/>
  <c r="J1065" i="14" s="1"/>
  <c r="N1066" i="14"/>
  <c r="N1067" i="13"/>
  <c r="J1066" i="13" a="1"/>
  <c r="J1066" i="13" s="1"/>
  <c r="M1069" i="13"/>
  <c r="M1070" i="14"/>
  <c r="K880" i="13" l="1"/>
  <c r="L880" i="13" s="1"/>
  <c r="I881" i="13" s="1"/>
  <c r="K903" i="14"/>
  <c r="L903" i="14" s="1"/>
  <c r="I904" i="14" s="1"/>
  <c r="M1071" i="14"/>
  <c r="N1068" i="13"/>
  <c r="J1067" i="13" a="1"/>
  <c r="J1067" i="13" s="1"/>
  <c r="M1070" i="13"/>
  <c r="J1066" i="14" a="1"/>
  <c r="J1066" i="14" s="1"/>
  <c r="N1067" i="14"/>
  <c r="K881" i="13" l="1"/>
  <c r="L881" i="13" s="1"/>
  <c r="I882" i="13" s="1"/>
  <c r="K904" i="14"/>
  <c r="L904" i="14" s="1"/>
  <c r="I905" i="14" s="1"/>
  <c r="N1068" i="14"/>
  <c r="J1067" i="14" a="1"/>
  <c r="J1067" i="14" s="1"/>
  <c r="N1069" i="13"/>
  <c r="J1068" i="13" a="1"/>
  <c r="J1068" i="13" s="1"/>
  <c r="M1071" i="13"/>
  <c r="M1072" i="14"/>
  <c r="K882" i="13" l="1"/>
  <c r="L882" i="13" s="1"/>
  <c r="I883" i="13" s="1"/>
  <c r="K905" i="14"/>
  <c r="L905" i="14" s="1"/>
  <c r="I906" i="14" s="1"/>
  <c r="N1070" i="13"/>
  <c r="J1069" i="13" a="1"/>
  <c r="J1069" i="13" s="1"/>
  <c r="M1073" i="14"/>
  <c r="M1072" i="13"/>
  <c r="N1069" i="14"/>
  <c r="J1068" i="14" a="1"/>
  <c r="J1068" i="14" s="1"/>
  <c r="K883" i="13" l="1"/>
  <c r="L883" i="13" s="1"/>
  <c r="I884" i="13" s="1"/>
  <c r="K906" i="14"/>
  <c r="L906" i="14" s="1"/>
  <c r="I907" i="14" s="1"/>
  <c r="J1069" i="14" a="1"/>
  <c r="J1069" i="14" s="1"/>
  <c r="N1070" i="14"/>
  <c r="M1074" i="14"/>
  <c r="M1073" i="13"/>
  <c r="N1071" i="13"/>
  <c r="J1070" i="13" a="1"/>
  <c r="J1070" i="13" s="1"/>
  <c r="K884" i="13" l="1"/>
  <c r="L884" i="13" s="1"/>
  <c r="I885" i="13" s="1"/>
  <c r="K907" i="14"/>
  <c r="L907" i="14" s="1"/>
  <c r="I908" i="14" s="1"/>
  <c r="M1075" i="14"/>
  <c r="N1072" i="13"/>
  <c r="J1071" i="13" a="1"/>
  <c r="J1071" i="13" s="1"/>
  <c r="M1074" i="13"/>
  <c r="J1070" i="14" a="1"/>
  <c r="J1070" i="14" s="1"/>
  <c r="N1071" i="14"/>
  <c r="K885" i="13" l="1"/>
  <c r="L885" i="13" s="1"/>
  <c r="I886" i="13" s="1"/>
  <c r="M1076" i="14"/>
  <c r="N1073" i="13"/>
  <c r="J1072" i="13" a="1"/>
  <c r="J1072" i="13" s="1"/>
  <c r="M1075" i="13"/>
  <c r="N1072" i="14"/>
  <c r="J1071" i="14" a="1"/>
  <c r="J1071" i="14" s="1"/>
  <c r="K908" i="14"/>
  <c r="L908" i="14" s="1"/>
  <c r="I909" i="14" s="1"/>
  <c r="K886" i="13" l="1"/>
  <c r="L886" i="13" s="1"/>
  <c r="I887" i="13" s="1"/>
  <c r="K909" i="14"/>
  <c r="L909" i="14" s="1"/>
  <c r="I910" i="14" s="1"/>
  <c r="N1074" i="13"/>
  <c r="J1073" i="13" a="1"/>
  <c r="J1073" i="13" s="1"/>
  <c r="N1073" i="14"/>
  <c r="J1072" i="14" a="1"/>
  <c r="J1072" i="14" s="1"/>
  <c r="M1076" i="13"/>
  <c r="M1077" i="14"/>
  <c r="K887" i="13" l="1"/>
  <c r="L887" i="13" s="1"/>
  <c r="I888" i="13" s="1"/>
  <c r="K910" i="14"/>
  <c r="L910" i="14" s="1"/>
  <c r="I911" i="14" s="1"/>
  <c r="M1078" i="14"/>
  <c r="J1073" i="14" a="1"/>
  <c r="J1073" i="14" s="1"/>
  <c r="N1074" i="14"/>
  <c r="M1077" i="13"/>
  <c r="N1075" i="13"/>
  <c r="J1074" i="13" a="1"/>
  <c r="J1074" i="13" s="1"/>
  <c r="K888" i="13" l="1"/>
  <c r="L888" i="13" s="1"/>
  <c r="I889" i="13" s="1"/>
  <c r="K911" i="14"/>
  <c r="L911" i="14" s="1"/>
  <c r="I912" i="14" s="1"/>
  <c r="J1074" i="14" a="1"/>
  <c r="J1074" i="14" s="1"/>
  <c r="N1075" i="14"/>
  <c r="N1076" i="13"/>
  <c r="J1075" i="13" a="1"/>
  <c r="J1075" i="13" s="1"/>
  <c r="M1078" i="13"/>
  <c r="M1079" i="14"/>
  <c r="K889" i="13" l="1"/>
  <c r="L889" i="13" s="1"/>
  <c r="I890" i="13" s="1"/>
  <c r="K912" i="14"/>
  <c r="L912" i="14" s="1"/>
  <c r="I913" i="14" s="1"/>
  <c r="N1077" i="13"/>
  <c r="J1076" i="13" a="1"/>
  <c r="J1076" i="13" s="1"/>
  <c r="M1080" i="14"/>
  <c r="N1076" i="14"/>
  <c r="J1075" i="14" a="1"/>
  <c r="J1075" i="14" s="1"/>
  <c r="M1079" i="13"/>
  <c r="K890" i="13" l="1"/>
  <c r="L890" i="13" s="1"/>
  <c r="I891" i="13" s="1"/>
  <c r="K913" i="14"/>
  <c r="L913" i="14" s="1"/>
  <c r="I914" i="14" s="1"/>
  <c r="M1080" i="13"/>
  <c r="M1081" i="14"/>
  <c r="N1077" i="14"/>
  <c r="J1076" i="14" a="1"/>
  <c r="J1076" i="14" s="1"/>
  <c r="N1078" i="13"/>
  <c r="J1077" i="13" a="1"/>
  <c r="J1077" i="13" s="1"/>
  <c r="K891" i="13" l="1"/>
  <c r="L891" i="13" s="1"/>
  <c r="I892" i="13" s="1"/>
  <c r="K914" i="14"/>
  <c r="L914" i="14" s="1"/>
  <c r="I915" i="14" s="1"/>
  <c r="N1079" i="13"/>
  <c r="J1078" i="13" a="1"/>
  <c r="J1078" i="13" s="1"/>
  <c r="M1082" i="14"/>
  <c r="J1077" i="14" a="1"/>
  <c r="J1077" i="14" s="1"/>
  <c r="N1078" i="14"/>
  <c r="M1081" i="13"/>
  <c r="K892" i="13" l="1"/>
  <c r="L892" i="13" s="1"/>
  <c r="I893" i="13" s="1"/>
  <c r="K915" i="14"/>
  <c r="L915" i="14" s="1"/>
  <c r="I916" i="14" s="1"/>
  <c r="N1080" i="13"/>
  <c r="J1079" i="13" a="1"/>
  <c r="J1079" i="13" s="1"/>
  <c r="J1078" i="14" a="1"/>
  <c r="J1078" i="14" s="1"/>
  <c r="N1079" i="14"/>
  <c r="M1082" i="13"/>
  <c r="M1083" i="14"/>
  <c r="K893" i="13" l="1"/>
  <c r="L893" i="13" s="1"/>
  <c r="I894" i="13" s="1"/>
  <c r="K916" i="14"/>
  <c r="L916" i="14" s="1"/>
  <c r="I917" i="14" s="1"/>
  <c r="M1083" i="13"/>
  <c r="M1084" i="14"/>
  <c r="N1080" i="14"/>
  <c r="J1079" i="14" a="1"/>
  <c r="J1079" i="14" s="1"/>
  <c r="N1081" i="13"/>
  <c r="J1080" i="13" a="1"/>
  <c r="J1080" i="13" s="1"/>
  <c r="K894" i="13" l="1"/>
  <c r="L894" i="13" s="1"/>
  <c r="I895" i="13" s="1"/>
  <c r="K917" i="14"/>
  <c r="L917" i="14" s="1"/>
  <c r="I918" i="14" s="1"/>
  <c r="N1082" i="13"/>
  <c r="J1081" i="13" a="1"/>
  <c r="J1081" i="13" s="1"/>
  <c r="M1085" i="14"/>
  <c r="M1084" i="13"/>
  <c r="N1081" i="14"/>
  <c r="J1080" i="14" a="1"/>
  <c r="J1080" i="14" s="1"/>
  <c r="K895" i="13" l="1"/>
  <c r="L895" i="13" s="1"/>
  <c r="I896" i="13" s="1"/>
  <c r="K918" i="14"/>
  <c r="L918" i="14" s="1"/>
  <c r="I919" i="14" s="1"/>
  <c r="M1085" i="13"/>
  <c r="J1081" i="14" a="1"/>
  <c r="J1081" i="14" s="1"/>
  <c r="N1082" i="14"/>
  <c r="M1086" i="14"/>
  <c r="N1083" i="13"/>
  <c r="J1082" i="13" a="1"/>
  <c r="J1082" i="13" s="1"/>
  <c r="K896" i="13" l="1"/>
  <c r="L896" i="13" s="1"/>
  <c r="I897" i="13" s="1"/>
  <c r="K919" i="14"/>
  <c r="L919" i="14" s="1"/>
  <c r="I920" i="14" s="1"/>
  <c r="J1082" i="14" a="1"/>
  <c r="J1082" i="14" s="1"/>
  <c r="N1083" i="14"/>
  <c r="N1084" i="13"/>
  <c r="J1083" i="13" a="1"/>
  <c r="J1083" i="13" s="1"/>
  <c r="M1086" i="13"/>
  <c r="M1087" i="14"/>
  <c r="K897" i="13" l="1"/>
  <c r="L897" i="13" s="1"/>
  <c r="I898" i="13" s="1"/>
  <c r="K920" i="14"/>
  <c r="L920" i="14" s="1"/>
  <c r="I921" i="14" s="1"/>
  <c r="M1088" i="14"/>
  <c r="N1085" i="13"/>
  <c r="J1084" i="13" a="1"/>
  <c r="J1084" i="13" s="1"/>
  <c r="M1087" i="13"/>
  <c r="N1084" i="14"/>
  <c r="J1083" i="14" a="1"/>
  <c r="J1083" i="14" s="1"/>
  <c r="K898" i="13" l="1"/>
  <c r="L898" i="13" s="1"/>
  <c r="I899" i="13" s="1"/>
  <c r="K921" i="14"/>
  <c r="L921" i="14" s="1"/>
  <c r="I922" i="14" s="1"/>
  <c r="M1088" i="13"/>
  <c r="M1089" i="14"/>
  <c r="N1085" i="14"/>
  <c r="J1084" i="14" a="1"/>
  <c r="J1084" i="14" s="1"/>
  <c r="N1086" i="13"/>
  <c r="J1085" i="13" a="1"/>
  <c r="J1085" i="13" s="1"/>
  <c r="K899" i="13" l="1"/>
  <c r="L899" i="13" s="1"/>
  <c r="I900" i="13" s="1"/>
  <c r="K922" i="14"/>
  <c r="L922" i="14" s="1"/>
  <c r="I923" i="14" s="1"/>
  <c r="N1087" i="13"/>
  <c r="J1086" i="13" a="1"/>
  <c r="J1086" i="13" s="1"/>
  <c r="M1090" i="14"/>
  <c r="M1089" i="13"/>
  <c r="J1085" i="14" a="1"/>
  <c r="J1085" i="14" s="1"/>
  <c r="N1086" i="14"/>
  <c r="K900" i="13" l="1"/>
  <c r="L900" i="13" s="1"/>
  <c r="I901" i="13" s="1"/>
  <c r="K923" i="14"/>
  <c r="L923" i="14" s="1"/>
  <c r="I924" i="14" s="1"/>
  <c r="M1091" i="14"/>
  <c r="J1086" i="14" a="1"/>
  <c r="J1086" i="14" s="1"/>
  <c r="N1087" i="14"/>
  <c r="M1090" i="13"/>
  <c r="N1088" i="13"/>
  <c r="J1087" i="13" a="1"/>
  <c r="J1087" i="13" s="1"/>
  <c r="K901" i="13" l="1"/>
  <c r="L901" i="13" s="1"/>
  <c r="I902" i="13" s="1"/>
  <c r="K924" i="14"/>
  <c r="L924" i="14" s="1"/>
  <c r="I925" i="14" s="1"/>
  <c r="N1088" i="14"/>
  <c r="J1087" i="14" a="1"/>
  <c r="J1087" i="14" s="1"/>
  <c r="M1091" i="13"/>
  <c r="N1089" i="13"/>
  <c r="J1088" i="13" a="1"/>
  <c r="J1088" i="13" s="1"/>
  <c r="M1092" i="14"/>
  <c r="K902" i="13" l="1"/>
  <c r="L902" i="13" s="1"/>
  <c r="I903" i="13" s="1"/>
  <c r="N1090" i="13"/>
  <c r="J1089" i="13" a="1"/>
  <c r="J1089" i="13" s="1"/>
  <c r="M1092" i="13"/>
  <c r="M1093" i="14"/>
  <c r="N1089" i="14"/>
  <c r="J1088" i="14" a="1"/>
  <c r="J1088" i="14" s="1"/>
  <c r="K925" i="14"/>
  <c r="L925" i="14" s="1"/>
  <c r="I926" i="14" s="1"/>
  <c r="K903" i="13" l="1"/>
  <c r="L903" i="13" s="1"/>
  <c r="I904" i="13" s="1"/>
  <c r="K926" i="14"/>
  <c r="L926" i="14" s="1"/>
  <c r="I927" i="14" s="1"/>
  <c r="M1094" i="14"/>
  <c r="N1091" i="13"/>
  <c r="J1090" i="13" a="1"/>
  <c r="J1090" i="13" s="1"/>
  <c r="J1089" i="14" a="1"/>
  <c r="J1089" i="14" s="1"/>
  <c r="N1090" i="14"/>
  <c r="M1093" i="13"/>
  <c r="K904" i="13" l="1"/>
  <c r="L904" i="13" s="1"/>
  <c r="I905" i="13" s="1"/>
  <c r="K927" i="14"/>
  <c r="L927" i="14" s="1"/>
  <c r="I928" i="14" s="1"/>
  <c r="J1090" i="14" a="1"/>
  <c r="J1090" i="14" s="1"/>
  <c r="N1091" i="14"/>
  <c r="M1095" i="14"/>
  <c r="M1094" i="13"/>
  <c r="N1092" i="13"/>
  <c r="J1091" i="13" a="1"/>
  <c r="J1091" i="13" s="1"/>
  <c r="K905" i="13" l="1"/>
  <c r="L905" i="13" s="1"/>
  <c r="I906" i="13" s="1"/>
  <c r="K928" i="14"/>
  <c r="L928" i="14" s="1"/>
  <c r="I929" i="14" s="1"/>
  <c r="N1093" i="13"/>
  <c r="J1092" i="13" a="1"/>
  <c r="J1092" i="13" s="1"/>
  <c r="M1096" i="14"/>
  <c r="M1095" i="13"/>
  <c r="N1092" i="14"/>
  <c r="J1091" i="14" a="1"/>
  <c r="J1091" i="14" s="1"/>
  <c r="K906" i="13" l="1"/>
  <c r="L906" i="13" s="1"/>
  <c r="I907" i="13" s="1"/>
  <c r="K929" i="14"/>
  <c r="L929" i="14" s="1"/>
  <c r="I930" i="14" s="1"/>
  <c r="M1096" i="13"/>
  <c r="N1094" i="13"/>
  <c r="J1093" i="13" a="1"/>
  <c r="J1093" i="13" s="1"/>
  <c r="N1093" i="14"/>
  <c r="J1092" i="14" a="1"/>
  <c r="J1092" i="14" s="1"/>
  <c r="M1097" i="14"/>
  <c r="K907" i="13" l="1"/>
  <c r="L907" i="13" s="1"/>
  <c r="I908" i="13" s="1"/>
  <c r="K930" i="14"/>
  <c r="L930" i="14" s="1"/>
  <c r="I931" i="14" s="1"/>
  <c r="M1098" i="14"/>
  <c r="N1095" i="13"/>
  <c r="J1094" i="13" a="1"/>
  <c r="J1094" i="13" s="1"/>
  <c r="M1097" i="13"/>
  <c r="J1093" i="14" a="1"/>
  <c r="J1093" i="14" s="1"/>
  <c r="N1094" i="14"/>
  <c r="K908" i="13" l="1"/>
  <c r="L908" i="13" s="1"/>
  <c r="I909" i="13" s="1"/>
  <c r="K931" i="14"/>
  <c r="L931" i="14" s="1"/>
  <c r="I932" i="14" s="1"/>
  <c r="N1096" i="13"/>
  <c r="J1095" i="13" a="1"/>
  <c r="J1095" i="13" s="1"/>
  <c r="J1094" i="14" a="1"/>
  <c r="J1094" i="14" s="1"/>
  <c r="N1095" i="14"/>
  <c r="M1098" i="13"/>
  <c r="M1099" i="14"/>
  <c r="K909" i="13" l="1"/>
  <c r="L909" i="13" s="1"/>
  <c r="I910" i="13" s="1"/>
  <c r="K932" i="14"/>
  <c r="L932" i="14" s="1"/>
  <c r="I933" i="14" s="1"/>
  <c r="N1096" i="14"/>
  <c r="J1095" i="14" a="1"/>
  <c r="J1095" i="14" s="1"/>
  <c r="M1100" i="14"/>
  <c r="M1099" i="13"/>
  <c r="N1097" i="13"/>
  <c r="J1096" i="13" a="1"/>
  <c r="J1096" i="13" s="1"/>
  <c r="K910" i="13" l="1"/>
  <c r="L910" i="13" s="1"/>
  <c r="I911" i="13" s="1"/>
  <c r="K933" i="14"/>
  <c r="L933" i="14" s="1"/>
  <c r="I934" i="14" s="1"/>
  <c r="N1098" i="13"/>
  <c r="J1097" i="13" a="1"/>
  <c r="J1097" i="13" s="1"/>
  <c r="M1101" i="14"/>
  <c r="M1100" i="13"/>
  <c r="N1097" i="14"/>
  <c r="J1096" i="14" a="1"/>
  <c r="J1096" i="14" s="1"/>
  <c r="K911" i="13" l="1"/>
  <c r="L911" i="13" s="1"/>
  <c r="I912" i="13" s="1"/>
  <c r="K934" i="14"/>
  <c r="L934" i="14" s="1"/>
  <c r="I935" i="14" s="1"/>
  <c r="J1097" i="14" a="1"/>
  <c r="J1097" i="14" s="1"/>
  <c r="N1098" i="14"/>
  <c r="M1102" i="14"/>
  <c r="M1101" i="13"/>
  <c r="N1099" i="13"/>
  <c r="J1098" i="13" a="1"/>
  <c r="J1098" i="13" s="1"/>
  <c r="K912" i="13" l="1"/>
  <c r="L912" i="13" s="1"/>
  <c r="I913" i="13" s="1"/>
  <c r="N1100" i="13"/>
  <c r="J1099" i="13" a="1"/>
  <c r="J1099" i="13" s="1"/>
  <c r="M1103" i="14"/>
  <c r="M1102" i="13"/>
  <c r="J1098" i="14" a="1"/>
  <c r="J1098" i="14" s="1"/>
  <c r="N1099" i="14"/>
  <c r="K935" i="14"/>
  <c r="L935" i="14" s="1"/>
  <c r="I936" i="14" s="1"/>
  <c r="K913" i="13" l="1"/>
  <c r="L913" i="13" s="1"/>
  <c r="I914" i="13" s="1"/>
  <c r="K936" i="14"/>
  <c r="L936" i="14" s="1"/>
  <c r="I937" i="14" s="1"/>
  <c r="M1103" i="13"/>
  <c r="N1101" i="13"/>
  <c r="J1100" i="13" a="1"/>
  <c r="J1100" i="13" s="1"/>
  <c r="N1100" i="14"/>
  <c r="J1099" i="14" a="1"/>
  <c r="J1099" i="14" s="1"/>
  <c r="M1104" i="14"/>
  <c r="K914" i="13" l="1"/>
  <c r="L914" i="13" s="1"/>
  <c r="I915" i="13" s="1"/>
  <c r="K937" i="14"/>
  <c r="L937" i="14" s="1"/>
  <c r="I938" i="14" s="1"/>
  <c r="N1101" i="14"/>
  <c r="J1100" i="14" a="1"/>
  <c r="J1100" i="14" s="1"/>
  <c r="M1104" i="13"/>
  <c r="M1105" i="14"/>
  <c r="N1102" i="13"/>
  <c r="J1101" i="13" a="1"/>
  <c r="J1101" i="13" s="1"/>
  <c r="K915" i="13" l="1"/>
  <c r="L915" i="13" s="1"/>
  <c r="I916" i="13" s="1"/>
  <c r="M1106" i="14"/>
  <c r="N1103" i="13"/>
  <c r="J1102" i="13" a="1"/>
  <c r="J1102" i="13" s="1"/>
  <c r="K938" i="14"/>
  <c r="L938" i="14" s="1"/>
  <c r="I939" i="14" s="1"/>
  <c r="M1105" i="13"/>
  <c r="J1101" i="14" a="1"/>
  <c r="J1101" i="14" s="1"/>
  <c r="N1102" i="14"/>
  <c r="K916" i="13" l="1"/>
  <c r="L916" i="13" s="1"/>
  <c r="I917" i="13" s="1"/>
  <c r="K939" i="14"/>
  <c r="L939" i="14" s="1"/>
  <c r="I940" i="14" s="1"/>
  <c r="J1102" i="14" a="1"/>
  <c r="J1102" i="14" s="1"/>
  <c r="N1103" i="14"/>
  <c r="M1107" i="14"/>
  <c r="M1106" i="13"/>
  <c r="N1104" i="13"/>
  <c r="J1103" i="13" a="1"/>
  <c r="J1103" i="13" s="1"/>
  <c r="K917" i="13" l="1"/>
  <c r="L917" i="13" s="1"/>
  <c r="I918" i="13" s="1"/>
  <c r="K940" i="14"/>
  <c r="L940" i="14" s="1"/>
  <c r="I941" i="14" s="1"/>
  <c r="N1105" i="13"/>
  <c r="J1104" i="13" a="1"/>
  <c r="J1104" i="13" s="1"/>
  <c r="M1108" i="14"/>
  <c r="M1107" i="13"/>
  <c r="N1104" i="14"/>
  <c r="J1103" i="14" a="1"/>
  <c r="J1103" i="14" s="1"/>
  <c r="K918" i="13" l="1"/>
  <c r="L918" i="13" s="1"/>
  <c r="I919" i="13" s="1"/>
  <c r="K941" i="14"/>
  <c r="L941" i="14" s="1"/>
  <c r="I942" i="14" s="1"/>
  <c r="M1108" i="13"/>
  <c r="N1105" i="14"/>
  <c r="J1104" i="14" a="1"/>
  <c r="J1104" i="14" s="1"/>
  <c r="M1109" i="14"/>
  <c r="N1106" i="13"/>
  <c r="J1105" i="13" a="1"/>
  <c r="J1105" i="13" s="1"/>
  <c r="K919" i="13" l="1"/>
  <c r="L919" i="13" s="1"/>
  <c r="I920" i="13" s="1"/>
  <c r="K942" i="14"/>
  <c r="L942" i="14" s="1"/>
  <c r="I943" i="14" s="1"/>
  <c r="N1107" i="13"/>
  <c r="J1106" i="13" a="1"/>
  <c r="J1106" i="13" s="1"/>
  <c r="J1105" i="14" a="1"/>
  <c r="J1105" i="14" s="1"/>
  <c r="N1106" i="14"/>
  <c r="M1109" i="13"/>
  <c r="M1110" i="14"/>
  <c r="K920" i="13" l="1"/>
  <c r="L920" i="13" s="1"/>
  <c r="I921" i="13" s="1"/>
  <c r="K943" i="14"/>
  <c r="L943" i="14" s="1"/>
  <c r="I944" i="14" s="1"/>
  <c r="M1110" i="13"/>
  <c r="M1111" i="14"/>
  <c r="J1106" i="14" a="1"/>
  <c r="J1106" i="14" s="1"/>
  <c r="N1107" i="14"/>
  <c r="N1108" i="13"/>
  <c r="J1107" i="13" a="1"/>
  <c r="J1107" i="13" s="1"/>
  <c r="K921" i="13" l="1"/>
  <c r="L921" i="13" s="1"/>
  <c r="I922" i="13" s="1"/>
  <c r="K944" i="14"/>
  <c r="L944" i="14" s="1"/>
  <c r="I945" i="14" s="1"/>
  <c r="M1112" i="14"/>
  <c r="N1109" i="13"/>
  <c r="J1108" i="13" a="1"/>
  <c r="J1108" i="13" s="1"/>
  <c r="N1108" i="14"/>
  <c r="J1107" i="14" a="1"/>
  <c r="J1107" i="14" s="1"/>
  <c r="M1111" i="13"/>
  <c r="K922" i="13" l="1"/>
  <c r="L922" i="13" s="1"/>
  <c r="I923" i="13" s="1"/>
  <c r="K945" i="14"/>
  <c r="L945" i="14" s="1"/>
  <c r="I946" i="14" s="1"/>
  <c r="M1112" i="13"/>
  <c r="N1110" i="13"/>
  <c r="J1109" i="13" a="1"/>
  <c r="J1109" i="13" s="1"/>
  <c r="N1109" i="14"/>
  <c r="J1108" i="14" a="1"/>
  <c r="J1108" i="14" s="1"/>
  <c r="M1113" i="14"/>
  <c r="K923" i="13" l="1"/>
  <c r="L923" i="13" s="1"/>
  <c r="I924" i="13" s="1"/>
  <c r="K946" i="14"/>
  <c r="L946" i="14" s="1"/>
  <c r="I947" i="14" s="1"/>
  <c r="M1114" i="14"/>
  <c r="N1111" i="13"/>
  <c r="J1110" i="13" a="1"/>
  <c r="J1110" i="13" s="1"/>
  <c r="M1113" i="13"/>
  <c r="J1109" i="14" a="1"/>
  <c r="J1109" i="14" s="1"/>
  <c r="N1110" i="14"/>
  <c r="K924" i="13" l="1"/>
  <c r="L924" i="13" s="1"/>
  <c r="I925" i="13" s="1"/>
  <c r="J1110" i="14" a="1"/>
  <c r="J1110" i="14" s="1"/>
  <c r="N1111" i="14"/>
  <c r="K947" i="14"/>
  <c r="L947" i="14" s="1"/>
  <c r="I948" i="14" s="1"/>
  <c r="N1112" i="13"/>
  <c r="J1111" i="13" a="1"/>
  <c r="J1111" i="13" s="1"/>
  <c r="M1114" i="13"/>
  <c r="M1115" i="14"/>
  <c r="K925" i="13" l="1"/>
  <c r="L925" i="13" s="1"/>
  <c r="I926" i="13" s="1"/>
  <c r="K948" i="14"/>
  <c r="L948" i="14" s="1"/>
  <c r="I949" i="14" s="1"/>
  <c r="N1112" i="14"/>
  <c r="J1111" i="14" a="1"/>
  <c r="J1111" i="14" s="1"/>
  <c r="N1113" i="13"/>
  <c r="J1112" i="13" a="1"/>
  <c r="J1112" i="13" s="1"/>
  <c r="M1115" i="13"/>
  <c r="M1116" i="14"/>
  <c r="K926" i="13" l="1"/>
  <c r="L926" i="13" s="1"/>
  <c r="I927" i="13" s="1"/>
  <c r="K949" i="14"/>
  <c r="L949" i="14" s="1"/>
  <c r="I950" i="14" s="1"/>
  <c r="N1114" i="13"/>
  <c r="J1113" i="13" a="1"/>
  <c r="J1113" i="13" s="1"/>
  <c r="M1117" i="14"/>
  <c r="M1116" i="13"/>
  <c r="N1113" i="14"/>
  <c r="J1112" i="14" a="1"/>
  <c r="J1112" i="14" s="1"/>
  <c r="K927" i="13" l="1"/>
  <c r="L927" i="13" s="1"/>
  <c r="I928" i="13" s="1"/>
  <c r="J1113" i="14" a="1"/>
  <c r="J1113" i="14" s="1"/>
  <c r="N1114" i="14"/>
  <c r="M1118" i="14"/>
  <c r="M1117" i="13"/>
  <c r="K950" i="14"/>
  <c r="L950" i="14" s="1"/>
  <c r="I951" i="14" s="1"/>
  <c r="N1115" i="13"/>
  <c r="J1114" i="13" a="1"/>
  <c r="J1114" i="13" s="1"/>
  <c r="K928" i="13" l="1"/>
  <c r="L928" i="13" s="1"/>
  <c r="I929" i="13" s="1"/>
  <c r="K951" i="14"/>
  <c r="L951" i="14" s="1"/>
  <c r="I952" i="14" s="1"/>
  <c r="M1119" i="14"/>
  <c r="N1116" i="13"/>
  <c r="J1115" i="13" a="1"/>
  <c r="J1115" i="13" s="1"/>
  <c r="M1118" i="13"/>
  <c r="J1114" i="14" a="1"/>
  <c r="J1114" i="14" s="1"/>
  <c r="N1115" i="14"/>
  <c r="K929" i="13" l="1"/>
  <c r="L929" i="13" s="1"/>
  <c r="I930" i="13" s="1"/>
  <c r="K952" i="14"/>
  <c r="L952" i="14" s="1"/>
  <c r="I953" i="14" s="1"/>
  <c r="N1116" i="14"/>
  <c r="J1115" i="14" a="1"/>
  <c r="J1115" i="14" s="1"/>
  <c r="N1117" i="13"/>
  <c r="J1116" i="13" a="1"/>
  <c r="J1116" i="13" s="1"/>
  <c r="M1119" i="13"/>
  <c r="M1120" i="14"/>
  <c r="K930" i="13" l="1"/>
  <c r="L930" i="13" s="1"/>
  <c r="I931" i="13" s="1"/>
  <c r="K953" i="14"/>
  <c r="L953" i="14" s="1"/>
  <c r="I954" i="14" s="1"/>
  <c r="N1118" i="13"/>
  <c r="J1117" i="13" a="1"/>
  <c r="J1117" i="13" s="1"/>
  <c r="M1121" i="14"/>
  <c r="M1120" i="13"/>
  <c r="N1117" i="14"/>
  <c r="J1116" i="14" a="1"/>
  <c r="J1116" i="14" s="1"/>
  <c r="K931" i="13" l="1"/>
  <c r="L931" i="13" s="1"/>
  <c r="I932" i="13" s="1"/>
  <c r="K954" i="14"/>
  <c r="L954" i="14" s="1"/>
  <c r="I955" i="14" s="1"/>
  <c r="J1117" i="14" a="1"/>
  <c r="J1117" i="14" s="1"/>
  <c r="N1118" i="14"/>
  <c r="M1122" i="14"/>
  <c r="M1121" i="13"/>
  <c r="N1119" i="13"/>
  <c r="J1118" i="13" a="1"/>
  <c r="J1118" i="13" s="1"/>
  <c r="K932" i="13" l="1"/>
  <c r="L932" i="13" s="1"/>
  <c r="I933" i="13" s="1"/>
  <c r="K955" i="14"/>
  <c r="L955" i="14" s="1"/>
  <c r="I956" i="14" s="1"/>
  <c r="M1123" i="14"/>
  <c r="M1122" i="13"/>
  <c r="N1120" i="13"/>
  <c r="J1119" i="13" a="1"/>
  <c r="J1119" i="13" s="1"/>
  <c r="J1118" i="14" a="1"/>
  <c r="J1118" i="14" s="1"/>
  <c r="N1119" i="14"/>
  <c r="K933" i="13" l="1"/>
  <c r="L933" i="13" s="1"/>
  <c r="I934" i="13" s="1"/>
  <c r="N1120" i="14"/>
  <c r="J1119" i="14" a="1"/>
  <c r="J1119" i="14" s="1"/>
  <c r="M1123" i="13"/>
  <c r="K956" i="14"/>
  <c r="L956" i="14" s="1"/>
  <c r="I957" i="14" s="1"/>
  <c r="M1124" i="14"/>
  <c r="N1121" i="13"/>
  <c r="J1120" i="13" a="1"/>
  <c r="J1120" i="13" s="1"/>
  <c r="K934" i="13" l="1"/>
  <c r="L934" i="13" s="1"/>
  <c r="I935" i="13" s="1"/>
  <c r="K957" i="14"/>
  <c r="L957" i="14" s="1"/>
  <c r="I958" i="14" s="1"/>
  <c r="N1121" i="14"/>
  <c r="J1120" i="14" a="1"/>
  <c r="J1120" i="14" s="1"/>
  <c r="N1122" i="13"/>
  <c r="J1121" i="13" a="1"/>
  <c r="J1121" i="13" s="1"/>
  <c r="M1124" i="13"/>
  <c r="M1125" i="14"/>
  <c r="K935" i="13" l="1"/>
  <c r="L935" i="13" s="1"/>
  <c r="I936" i="13" s="1"/>
  <c r="K958" i="14"/>
  <c r="L958" i="14" s="1"/>
  <c r="I959" i="14" s="1"/>
  <c r="N1123" i="13"/>
  <c r="J1122" i="13" a="1"/>
  <c r="J1122" i="13" s="1"/>
  <c r="M1126" i="14"/>
  <c r="M1125" i="13"/>
  <c r="J1121" i="14" a="1"/>
  <c r="J1121" i="14" s="1"/>
  <c r="N1122" i="14"/>
  <c r="K936" i="13" l="1"/>
  <c r="L936" i="13" s="1"/>
  <c r="I937" i="13" s="1"/>
  <c r="K959" i="14"/>
  <c r="L959" i="14" s="1"/>
  <c r="I960" i="14" s="1"/>
  <c r="M1127" i="14"/>
  <c r="M1126" i="13"/>
  <c r="J1122" i="14" a="1"/>
  <c r="J1122" i="14" s="1"/>
  <c r="N1123" i="14"/>
  <c r="N1124" i="13"/>
  <c r="J1123" i="13" a="1"/>
  <c r="J1123" i="13" s="1"/>
  <c r="K937" i="13" l="1"/>
  <c r="L937" i="13" s="1"/>
  <c r="I938" i="13" s="1"/>
  <c r="K960" i="14"/>
  <c r="L960" i="14" s="1"/>
  <c r="I961" i="14" s="1"/>
  <c r="M1127" i="13"/>
  <c r="N1125" i="13"/>
  <c r="J1124" i="13" a="1"/>
  <c r="J1124" i="13" s="1"/>
  <c r="M1128" i="14"/>
  <c r="N1124" i="14"/>
  <c r="J1123" i="14" a="1"/>
  <c r="J1123" i="14" s="1"/>
  <c r="K938" i="13" l="1"/>
  <c r="L938" i="13" s="1"/>
  <c r="I939" i="13" s="1"/>
  <c r="K961" i="14"/>
  <c r="L961" i="14" s="1"/>
  <c r="I962" i="14" s="1"/>
  <c r="N1126" i="13"/>
  <c r="J1125" i="13" a="1"/>
  <c r="J1125" i="13" s="1"/>
  <c r="M1128" i="13"/>
  <c r="N1125" i="14"/>
  <c r="J1124" i="14" a="1"/>
  <c r="J1124" i="14" s="1"/>
  <c r="M1129" i="14"/>
  <c r="K939" i="13" l="1"/>
  <c r="L939" i="13" s="1"/>
  <c r="I940" i="13" s="1"/>
  <c r="K962" i="14"/>
  <c r="L962" i="14" s="1"/>
  <c r="I963" i="14" s="1"/>
  <c r="J1125" i="14" a="1"/>
  <c r="J1125" i="14" s="1"/>
  <c r="N1126" i="14"/>
  <c r="M1130" i="14"/>
  <c r="M1129" i="13"/>
  <c r="N1127" i="13"/>
  <c r="J1126" i="13" a="1"/>
  <c r="J1126" i="13" s="1"/>
  <c r="K940" i="13" l="1"/>
  <c r="L940" i="13" s="1"/>
  <c r="I941" i="13" s="1"/>
  <c r="K963" i="14"/>
  <c r="L963" i="14" s="1"/>
  <c r="I964" i="14" s="1"/>
  <c r="M1131" i="14"/>
  <c r="N1128" i="13"/>
  <c r="J1127" i="13" a="1"/>
  <c r="J1127" i="13" s="1"/>
  <c r="J1126" i="14" a="1"/>
  <c r="J1126" i="14" s="1"/>
  <c r="N1127" i="14"/>
  <c r="M1130" i="13"/>
  <c r="K941" i="13" l="1"/>
  <c r="L941" i="13" s="1"/>
  <c r="I942" i="13" s="1"/>
  <c r="N1129" i="13"/>
  <c r="J1128" i="13" a="1"/>
  <c r="J1128" i="13" s="1"/>
  <c r="M1131" i="13"/>
  <c r="N1128" i="14"/>
  <c r="J1127" i="14" a="1"/>
  <c r="J1127" i="14" s="1"/>
  <c r="M1132" i="14"/>
  <c r="K964" i="14"/>
  <c r="L964" i="14" s="1"/>
  <c r="I965" i="14" s="1"/>
  <c r="K942" i="13" l="1"/>
  <c r="L942" i="13" s="1"/>
  <c r="I943" i="13" s="1"/>
  <c r="K965" i="14"/>
  <c r="L965" i="14" s="1"/>
  <c r="I966" i="14" s="1"/>
  <c r="N1130" i="13"/>
  <c r="J1129" i="13" a="1"/>
  <c r="J1129" i="13" s="1"/>
  <c r="N1129" i="14"/>
  <c r="J1128" i="14" a="1"/>
  <c r="J1128" i="14" s="1"/>
  <c r="M1132" i="13"/>
  <c r="M1133" i="14"/>
  <c r="K943" i="13" l="1"/>
  <c r="L943" i="13" s="1"/>
  <c r="I944" i="13" s="1"/>
  <c r="M1134" i="14"/>
  <c r="J1129" i="14" a="1"/>
  <c r="J1129" i="14" s="1"/>
  <c r="N1130" i="14"/>
  <c r="M1133" i="13"/>
  <c r="N1131" i="13"/>
  <c r="J1130" i="13" a="1"/>
  <c r="J1130" i="13" s="1"/>
  <c r="K966" i="14"/>
  <c r="L966" i="14" s="1"/>
  <c r="I967" i="14" s="1"/>
  <c r="K944" i="13" l="1"/>
  <c r="L944" i="13" s="1"/>
  <c r="I945" i="13" s="1"/>
  <c r="N1132" i="13"/>
  <c r="J1131" i="13" a="1"/>
  <c r="J1131" i="13" s="1"/>
  <c r="M1134" i="13"/>
  <c r="K967" i="14"/>
  <c r="L967" i="14" s="1"/>
  <c r="I968" i="14" s="1"/>
  <c r="M1135" i="14"/>
  <c r="J1130" i="14" a="1"/>
  <c r="J1130" i="14" s="1"/>
  <c r="N1131" i="14"/>
  <c r="K945" i="13" l="1"/>
  <c r="L945" i="13" s="1"/>
  <c r="I946" i="13" s="1"/>
  <c r="K968" i="14"/>
  <c r="L968" i="14" s="1"/>
  <c r="I969" i="14" s="1"/>
  <c r="N1133" i="13"/>
  <c r="J1132" i="13" a="1"/>
  <c r="J1132" i="13" s="1"/>
  <c r="N1132" i="14"/>
  <c r="J1131" i="14" a="1"/>
  <c r="J1131" i="14" s="1"/>
  <c r="M1136" i="14"/>
  <c r="M1135" i="13"/>
  <c r="K946" i="13" l="1"/>
  <c r="L946" i="13" s="1"/>
  <c r="I947" i="13" s="1"/>
  <c r="K969" i="14"/>
  <c r="L969" i="14" s="1"/>
  <c r="I970" i="14" s="1"/>
  <c r="N1133" i="14"/>
  <c r="J1132" i="14" a="1"/>
  <c r="J1132" i="14" s="1"/>
  <c r="M1136" i="13"/>
  <c r="M1137" i="14"/>
  <c r="N1134" i="13"/>
  <c r="J1133" i="13" a="1"/>
  <c r="J1133" i="13" s="1"/>
  <c r="K947" i="13" l="1"/>
  <c r="L947" i="13" s="1"/>
  <c r="I948" i="13" s="1"/>
  <c r="K970" i="14"/>
  <c r="L970" i="14" s="1"/>
  <c r="I971" i="14" s="1"/>
  <c r="N1135" i="13"/>
  <c r="J1134" i="13" a="1"/>
  <c r="J1134" i="13" s="1"/>
  <c r="M1137" i="13"/>
  <c r="M1138" i="14"/>
  <c r="J1133" i="14" a="1"/>
  <c r="J1133" i="14" s="1"/>
  <c r="N1134" i="14"/>
  <c r="K948" i="13" l="1"/>
  <c r="L948" i="13" s="1"/>
  <c r="I949" i="13" s="1"/>
  <c r="K971" i="14"/>
  <c r="L971" i="14" s="1"/>
  <c r="I972" i="14" s="1"/>
  <c r="J1134" i="14" a="1"/>
  <c r="J1134" i="14" s="1"/>
  <c r="N1135" i="14"/>
  <c r="M1138" i="13"/>
  <c r="M1139" i="14"/>
  <c r="N1136" i="13"/>
  <c r="J1135" i="13" a="1"/>
  <c r="J1135" i="13" s="1"/>
  <c r="K949" i="13" l="1"/>
  <c r="L949" i="13" s="1"/>
  <c r="I950" i="13" s="1"/>
  <c r="K972" i="14"/>
  <c r="L972" i="14" s="1"/>
  <c r="I973" i="14" s="1"/>
  <c r="N1137" i="13"/>
  <c r="J1136" i="13" a="1"/>
  <c r="J1136" i="13" s="1"/>
  <c r="M1139" i="13"/>
  <c r="M1140" i="14"/>
  <c r="N1136" i="14"/>
  <c r="J1135" i="14" a="1"/>
  <c r="J1135" i="14" s="1"/>
  <c r="K950" i="13" l="1"/>
  <c r="L950" i="13" s="1"/>
  <c r="I951" i="13" s="1"/>
  <c r="K973" i="14"/>
  <c r="L973" i="14" s="1"/>
  <c r="I974" i="14" s="1"/>
  <c r="N1137" i="14"/>
  <c r="J1136" i="14" a="1"/>
  <c r="J1136" i="14" s="1"/>
  <c r="M1140" i="13"/>
  <c r="M1141" i="14"/>
  <c r="N1138" i="13"/>
  <c r="J1137" i="13" a="1"/>
  <c r="J1137" i="13" s="1"/>
  <c r="K951" i="13" l="1"/>
  <c r="L951" i="13" s="1"/>
  <c r="I952" i="13" s="1"/>
  <c r="K974" i="14"/>
  <c r="L974" i="14" s="1"/>
  <c r="I975" i="14" s="1"/>
  <c r="N1139" i="13"/>
  <c r="J1138" i="13" a="1"/>
  <c r="J1138" i="13" s="1"/>
  <c r="M1142" i="14"/>
  <c r="M1141" i="13"/>
  <c r="J1137" i="14" a="1"/>
  <c r="J1137" i="14" s="1"/>
  <c r="N1138" i="14"/>
  <c r="K952" i="13" l="1"/>
  <c r="L952" i="13" s="1"/>
  <c r="I953" i="13" s="1"/>
  <c r="K975" i="14"/>
  <c r="L975" i="14" s="1"/>
  <c r="I976" i="14" s="1"/>
  <c r="M1143" i="14"/>
  <c r="N1140" i="13"/>
  <c r="J1139" i="13" a="1"/>
  <c r="J1139" i="13" s="1"/>
  <c r="M1142" i="13"/>
  <c r="J1138" i="14" a="1"/>
  <c r="J1138" i="14" s="1"/>
  <c r="N1139" i="14"/>
  <c r="K953" i="13" l="1"/>
  <c r="L953" i="13" s="1"/>
  <c r="I954" i="13" s="1"/>
  <c r="K976" i="14"/>
  <c r="L976" i="14" s="1"/>
  <c r="I977" i="14" s="1"/>
  <c r="N1141" i="13"/>
  <c r="J1140" i="13" a="1"/>
  <c r="J1140" i="13" s="1"/>
  <c r="M1143" i="13"/>
  <c r="M1144" i="14"/>
  <c r="N1140" i="14"/>
  <c r="J1139" i="14" a="1"/>
  <c r="J1139" i="14" s="1"/>
  <c r="K954" i="13" l="1"/>
  <c r="L954" i="13" s="1"/>
  <c r="I955" i="13" s="1"/>
  <c r="K977" i="14"/>
  <c r="L977" i="14" s="1"/>
  <c r="I978" i="14" s="1"/>
  <c r="M1144" i="13"/>
  <c r="N1141" i="14"/>
  <c r="J1140" i="14" a="1"/>
  <c r="J1140" i="14" s="1"/>
  <c r="M1145" i="14"/>
  <c r="N1142" i="13"/>
  <c r="J1141" i="13" a="1"/>
  <c r="J1141" i="13" s="1"/>
  <c r="K955" i="13" l="1"/>
  <c r="L955" i="13" s="1"/>
  <c r="I956" i="13" s="1"/>
  <c r="K978" i="14"/>
  <c r="L978" i="14" s="1"/>
  <c r="I979" i="14" s="1"/>
  <c r="J1141" i="14" a="1"/>
  <c r="J1141" i="14" s="1"/>
  <c r="N1142" i="14"/>
  <c r="N1143" i="13"/>
  <c r="J1142" i="13" a="1"/>
  <c r="J1142" i="13" s="1"/>
  <c r="M1145" i="13"/>
  <c r="M1146" i="14"/>
  <c r="K956" i="13" l="1"/>
  <c r="L956" i="13" s="1"/>
  <c r="I957" i="13" s="1"/>
  <c r="K979" i="14"/>
  <c r="L979" i="14" s="1"/>
  <c r="I980" i="14" s="1"/>
  <c r="M1146" i="13"/>
  <c r="J1142" i="14" a="1"/>
  <c r="J1142" i="14" s="1"/>
  <c r="N1143" i="14"/>
  <c r="M1147" i="14"/>
  <c r="N1144" i="13"/>
  <c r="J1143" i="13" a="1"/>
  <c r="J1143" i="13" s="1"/>
  <c r="K957" i="13" l="1"/>
  <c r="L957" i="13" s="1"/>
  <c r="I958" i="13" s="1"/>
  <c r="K980" i="14"/>
  <c r="L980" i="14" s="1"/>
  <c r="I981" i="14" s="1"/>
  <c r="N1144" i="14"/>
  <c r="J1143" i="14" a="1"/>
  <c r="J1143" i="14" s="1"/>
  <c r="N1145" i="13"/>
  <c r="J1144" i="13" a="1"/>
  <c r="J1144" i="13" s="1"/>
  <c r="M1148" i="14"/>
  <c r="M1147" i="13"/>
  <c r="K958" i="13" l="1"/>
  <c r="L958" i="13" s="1"/>
  <c r="I959" i="13" s="1"/>
  <c r="K981" i="14"/>
  <c r="L981" i="14" s="1"/>
  <c r="I982" i="14" s="1"/>
  <c r="N1146" i="13"/>
  <c r="J1145" i="13" a="1"/>
  <c r="J1145" i="13" s="1"/>
  <c r="M1148" i="13"/>
  <c r="M1149" i="14"/>
  <c r="N1145" i="14"/>
  <c r="J1144" i="14" a="1"/>
  <c r="J1144" i="14" s="1"/>
  <c r="K959" i="13" l="1"/>
  <c r="L959" i="13" s="1"/>
  <c r="I960" i="13" s="1"/>
  <c r="M1149" i="13"/>
  <c r="K982" i="14"/>
  <c r="L982" i="14" s="1"/>
  <c r="I983" i="14" s="1"/>
  <c r="J1145" i="14" a="1"/>
  <c r="J1145" i="14" s="1"/>
  <c r="N1146" i="14"/>
  <c r="M1150" i="14"/>
  <c r="N1147" i="13"/>
  <c r="J1146" i="13" a="1"/>
  <c r="J1146" i="13" s="1"/>
  <c r="K960" i="13" l="1"/>
  <c r="L960" i="13" s="1"/>
  <c r="I961" i="13" s="1"/>
  <c r="K983" i="14"/>
  <c r="L983" i="14" s="1"/>
  <c r="I984" i="14" s="1"/>
  <c r="J1146" i="14" a="1"/>
  <c r="J1146" i="14" s="1"/>
  <c r="N1147" i="14"/>
  <c r="M1150" i="13"/>
  <c r="N1148" i="13"/>
  <c r="J1147" i="13" a="1"/>
  <c r="J1147" i="13" s="1"/>
  <c r="M1151" i="14"/>
  <c r="K961" i="13" l="1"/>
  <c r="L961" i="13" s="1"/>
  <c r="I962" i="13" s="1"/>
  <c r="M1152" i="14"/>
  <c r="M1151" i="13"/>
  <c r="N1149" i="13"/>
  <c r="J1148" i="13" a="1"/>
  <c r="J1148" i="13" s="1"/>
  <c r="N1148" i="14"/>
  <c r="J1147" i="14" a="1"/>
  <c r="J1147" i="14" s="1"/>
  <c r="K984" i="14"/>
  <c r="L984" i="14" s="1"/>
  <c r="I985" i="14" s="1"/>
  <c r="K962" i="13" l="1"/>
  <c r="L962" i="13" s="1"/>
  <c r="I963" i="13" s="1"/>
  <c r="K985" i="14"/>
  <c r="L985" i="14" s="1"/>
  <c r="I986" i="14" s="1"/>
  <c r="N1150" i="13"/>
  <c r="J1149" i="13" a="1"/>
  <c r="J1149" i="13" s="1"/>
  <c r="M1153" i="14"/>
  <c r="M1152" i="13"/>
  <c r="N1149" i="14"/>
  <c r="J1148" i="14" a="1"/>
  <c r="J1148" i="14" s="1"/>
  <c r="K963" i="13" l="1"/>
  <c r="L963" i="13" s="1"/>
  <c r="I964" i="13" s="1"/>
  <c r="K986" i="14"/>
  <c r="L986" i="14" s="1"/>
  <c r="I987" i="14" s="1"/>
  <c r="J1149" i="14" a="1"/>
  <c r="J1149" i="14" s="1"/>
  <c r="N1150" i="14"/>
  <c r="M1154" i="14"/>
  <c r="M1153" i="13"/>
  <c r="N1151" i="13"/>
  <c r="J1150" i="13" a="1"/>
  <c r="J1150" i="13" s="1"/>
  <c r="K964" i="13" l="1"/>
  <c r="L964" i="13" s="1"/>
  <c r="I965" i="13" s="1"/>
  <c r="K987" i="14"/>
  <c r="L987" i="14" s="1"/>
  <c r="I988" i="14" s="1"/>
  <c r="M1155" i="14"/>
  <c r="N1152" i="13"/>
  <c r="J1151" i="13" a="1"/>
  <c r="J1151" i="13" s="1"/>
  <c r="M1154" i="13"/>
  <c r="J1150" i="14" a="1"/>
  <c r="J1150" i="14" s="1"/>
  <c r="N1151" i="14"/>
  <c r="K965" i="13" l="1"/>
  <c r="L965" i="13" s="1"/>
  <c r="I966" i="13" s="1"/>
  <c r="K988" i="14"/>
  <c r="L988" i="14" s="1"/>
  <c r="I989" i="14" s="1"/>
  <c r="N1153" i="13"/>
  <c r="J1152" i="13" a="1"/>
  <c r="J1152" i="13" s="1"/>
  <c r="M1155" i="13"/>
  <c r="M1156" i="14"/>
  <c r="N1152" i="14"/>
  <c r="J1151" i="14" a="1"/>
  <c r="J1151" i="14" s="1"/>
  <c r="K966" i="13" l="1"/>
  <c r="L966" i="13" s="1"/>
  <c r="I967" i="13" s="1"/>
  <c r="K989" i="14"/>
  <c r="L989" i="14" s="1"/>
  <c r="I990" i="14" s="1"/>
  <c r="M1156" i="13"/>
  <c r="N1153" i="14"/>
  <c r="J1152" i="14" a="1"/>
  <c r="J1152" i="14" s="1"/>
  <c r="M1157" i="14"/>
  <c r="N1154" i="13"/>
  <c r="J1153" i="13" a="1"/>
  <c r="J1153" i="13" s="1"/>
  <c r="K967" i="13" l="1"/>
  <c r="L967" i="13" s="1"/>
  <c r="I968" i="13" s="1"/>
  <c r="K990" i="14"/>
  <c r="L990" i="14" s="1"/>
  <c r="I991" i="14" s="1"/>
  <c r="N1155" i="13"/>
  <c r="J1154" i="13" a="1"/>
  <c r="J1154" i="13" s="1"/>
  <c r="J1153" i="14" a="1"/>
  <c r="J1153" i="14" s="1"/>
  <c r="N1154" i="14"/>
  <c r="M1157" i="13"/>
  <c r="M1158" i="14"/>
  <c r="K968" i="13" l="1"/>
  <c r="L968" i="13" s="1"/>
  <c r="I969" i="13" s="1"/>
  <c r="K991" i="14"/>
  <c r="L991" i="14" s="1"/>
  <c r="I992" i="14" s="1"/>
  <c r="J1154" i="14" a="1"/>
  <c r="J1154" i="14" s="1"/>
  <c r="N1155" i="14"/>
  <c r="M1158" i="13"/>
  <c r="M1159" i="14"/>
  <c r="N1156" i="13"/>
  <c r="J1155" i="13" a="1"/>
  <c r="J1155" i="13" s="1"/>
  <c r="K969" i="13" l="1"/>
  <c r="L969" i="13" s="1"/>
  <c r="I970" i="13" s="1"/>
  <c r="K992" i="14"/>
  <c r="L992" i="14" s="1"/>
  <c r="I993" i="14" s="1"/>
  <c r="M1160" i="14"/>
  <c r="M1159" i="13"/>
  <c r="N1157" i="13"/>
  <c r="J1156" i="13" a="1"/>
  <c r="J1156" i="13" s="1"/>
  <c r="N1156" i="14"/>
  <c r="J1155" i="14" a="1"/>
  <c r="J1155" i="14" s="1"/>
  <c r="K970" i="13" l="1"/>
  <c r="L970" i="13" s="1"/>
  <c r="I971" i="13" s="1"/>
  <c r="M1160" i="13"/>
  <c r="N1157" i="14"/>
  <c r="J1156" i="14" a="1"/>
  <c r="J1156" i="14" s="1"/>
  <c r="K993" i="14"/>
  <c r="L993" i="14" s="1"/>
  <c r="I994" i="14" s="1"/>
  <c r="N1158" i="13"/>
  <c r="J1157" i="13" a="1"/>
  <c r="J1157" i="13" s="1"/>
  <c r="M1161" i="14"/>
  <c r="K971" i="13" l="1"/>
  <c r="L971" i="13" s="1"/>
  <c r="I972" i="13" s="1"/>
  <c r="K994" i="14"/>
  <c r="L994" i="14" s="1"/>
  <c r="I995" i="14" s="1"/>
  <c r="M1161" i="13"/>
  <c r="M1162" i="14"/>
  <c r="N1159" i="13"/>
  <c r="J1158" i="13" a="1"/>
  <c r="J1158" i="13" s="1"/>
  <c r="J1157" i="14" a="1"/>
  <c r="J1157" i="14" s="1"/>
  <c r="N1158" i="14"/>
  <c r="K972" i="13" l="1"/>
  <c r="L972" i="13" s="1"/>
  <c r="I973" i="13" s="1"/>
  <c r="K995" i="14"/>
  <c r="L995" i="14" s="1"/>
  <c r="I996" i="14" s="1"/>
  <c r="M1163" i="14"/>
  <c r="M1162" i="13"/>
  <c r="J1158" i="14" a="1"/>
  <c r="J1158" i="14" s="1"/>
  <c r="N1159" i="14"/>
  <c r="N1160" i="13"/>
  <c r="J1159" i="13" a="1"/>
  <c r="J1159" i="13" s="1"/>
  <c r="K973" i="13" l="1"/>
  <c r="L973" i="13" s="1"/>
  <c r="I974" i="13" s="1"/>
  <c r="K996" i="14"/>
  <c r="L996" i="14" s="1"/>
  <c r="I997" i="14" s="1"/>
  <c r="M1163" i="13"/>
  <c r="N1161" i="13"/>
  <c r="J1160" i="13" a="1"/>
  <c r="J1160" i="13" s="1"/>
  <c r="N1160" i="14"/>
  <c r="J1159" i="14" a="1"/>
  <c r="J1159" i="14" s="1"/>
  <c r="M1164" i="14"/>
  <c r="K974" i="13" l="1"/>
  <c r="L974" i="13" s="1"/>
  <c r="I975" i="13" s="1"/>
  <c r="K997" i="14"/>
  <c r="L997" i="14" s="1"/>
  <c r="I998" i="14" s="1"/>
  <c r="N1162" i="13"/>
  <c r="J1161" i="13" a="1"/>
  <c r="J1161" i="13" s="1"/>
  <c r="M1164" i="13"/>
  <c r="M1165" i="14"/>
  <c r="N1161" i="14"/>
  <c r="J1160" i="14" a="1"/>
  <c r="J1160" i="14" s="1"/>
  <c r="K975" i="13" l="1"/>
  <c r="L975" i="13" s="1"/>
  <c r="I976" i="13" s="1"/>
  <c r="K998" i="14"/>
  <c r="L998" i="14" s="1"/>
  <c r="I999" i="14" s="1"/>
  <c r="M1165" i="13"/>
  <c r="J1161" i="14" a="1"/>
  <c r="J1161" i="14" s="1"/>
  <c r="N1162" i="14"/>
  <c r="N1163" i="13"/>
  <c r="J1162" i="13" a="1"/>
  <c r="J1162" i="13" s="1"/>
  <c r="M1166" i="14"/>
  <c r="K976" i="13" l="1"/>
  <c r="L976" i="13" s="1"/>
  <c r="I977" i="13" s="1"/>
  <c r="K999" i="14"/>
  <c r="L999" i="14" s="1"/>
  <c r="I1000" i="14" s="1"/>
  <c r="M1166" i="13"/>
  <c r="J1162" i="14" a="1"/>
  <c r="J1162" i="14" s="1"/>
  <c r="N1163" i="14"/>
  <c r="M1167" i="14"/>
  <c r="N1164" i="13"/>
  <c r="J1163" i="13" a="1"/>
  <c r="J1163" i="13" s="1"/>
  <c r="K977" i="13" l="1"/>
  <c r="L977" i="13" s="1"/>
  <c r="I978" i="13" s="1"/>
  <c r="K1000" i="14"/>
  <c r="L1000" i="14" s="1"/>
  <c r="I1001" i="14" s="1"/>
  <c r="N1164" i="14"/>
  <c r="J1163" i="14" a="1"/>
  <c r="J1163" i="14" s="1"/>
  <c r="N1165" i="13"/>
  <c r="J1164" i="13" a="1"/>
  <c r="J1164" i="13" s="1"/>
  <c r="M1168" i="14"/>
  <c r="M1167" i="13"/>
  <c r="K978" i="13" l="1"/>
  <c r="L978" i="13" s="1"/>
  <c r="I979" i="13" s="1"/>
  <c r="K1001" i="14"/>
  <c r="L1001" i="14" s="1"/>
  <c r="I1002" i="14" s="1"/>
  <c r="M1168" i="13"/>
  <c r="N1166" i="13"/>
  <c r="J1165" i="13" a="1"/>
  <c r="J1165" i="13" s="1"/>
  <c r="M1169" i="14"/>
  <c r="N1165" i="14"/>
  <c r="J1164" i="14" a="1"/>
  <c r="J1164" i="14" s="1"/>
  <c r="K979" i="13" l="1"/>
  <c r="L979" i="13" s="1"/>
  <c r="I980" i="13" s="1"/>
  <c r="K1002" i="14"/>
  <c r="L1002" i="14" s="1"/>
  <c r="I1003" i="14" s="1"/>
  <c r="N1167" i="13"/>
  <c r="J1166" i="13" a="1"/>
  <c r="J1166" i="13" s="1"/>
  <c r="M1169" i="13"/>
  <c r="J1165" i="14" a="1"/>
  <c r="J1165" i="14" s="1"/>
  <c r="N1166" i="14"/>
  <c r="M1170" i="14"/>
  <c r="K980" i="13" l="1"/>
  <c r="L980" i="13" s="1"/>
  <c r="I981" i="13" s="1"/>
  <c r="K1003" i="14"/>
  <c r="L1003" i="14" s="1"/>
  <c r="I1004" i="14" s="1"/>
  <c r="J1166" i="14" a="1"/>
  <c r="J1166" i="14" s="1"/>
  <c r="N1167" i="14"/>
  <c r="M1170" i="13"/>
  <c r="M1171" i="14"/>
  <c r="N1168" i="13"/>
  <c r="J1167" i="13" a="1"/>
  <c r="J1167" i="13" s="1"/>
  <c r="K981" i="13" l="1"/>
  <c r="L981" i="13" s="1"/>
  <c r="I982" i="13" s="1"/>
  <c r="K1004" i="14"/>
  <c r="L1004" i="14" s="1"/>
  <c r="I1005" i="14" s="1"/>
  <c r="J1167" i="14" a="1"/>
  <c r="J1167" i="14" s="1"/>
  <c r="N1168" i="14"/>
  <c r="M1171" i="13"/>
  <c r="M1172" i="14"/>
  <c r="N1169" i="13"/>
  <c r="J1168" i="13" a="1"/>
  <c r="J1168" i="13" s="1"/>
  <c r="K982" i="13" l="1"/>
  <c r="L982" i="13" s="1"/>
  <c r="I983" i="13" s="1"/>
  <c r="K1005" i="14"/>
  <c r="L1005" i="14" s="1"/>
  <c r="I1006" i="14" s="1"/>
  <c r="M1172" i="13"/>
  <c r="N1170" i="13"/>
  <c r="J1169" i="13" a="1"/>
  <c r="J1169" i="13" s="1"/>
  <c r="N1169" i="14"/>
  <c r="J1168" i="14" a="1"/>
  <c r="J1168" i="14" s="1"/>
  <c r="M1173" i="14"/>
  <c r="K983" i="13" l="1"/>
  <c r="L983" i="13" s="1"/>
  <c r="I984" i="13" s="1"/>
  <c r="K1006" i="14"/>
  <c r="L1006" i="14" s="1"/>
  <c r="I1007" i="14" s="1"/>
  <c r="M1174" i="14"/>
  <c r="N1171" i="13"/>
  <c r="J1170" i="13" a="1"/>
  <c r="J1170" i="13" s="1"/>
  <c r="M1173" i="13"/>
  <c r="J1169" i="14" a="1"/>
  <c r="J1169" i="14" s="1"/>
  <c r="N1170" i="14"/>
  <c r="K984" i="13" l="1"/>
  <c r="L984" i="13" s="1"/>
  <c r="I985" i="13" s="1"/>
  <c r="K1007" i="14"/>
  <c r="L1007" i="14" s="1"/>
  <c r="I1008" i="14" s="1"/>
  <c r="J1170" i="14" a="1"/>
  <c r="J1170" i="14" s="1"/>
  <c r="N1171" i="14"/>
  <c r="N1172" i="13"/>
  <c r="J1171" i="13" a="1"/>
  <c r="J1171" i="13" s="1"/>
  <c r="M1174" i="13"/>
  <c r="M1175" i="14"/>
  <c r="K985" i="13" l="1"/>
  <c r="L985" i="13" s="1"/>
  <c r="I986" i="13" s="1"/>
  <c r="K1008" i="14"/>
  <c r="L1008" i="14" s="1"/>
  <c r="I1009" i="14" s="1"/>
  <c r="N1173" i="13"/>
  <c r="J1172" i="13" a="1"/>
  <c r="J1172" i="13" s="1"/>
  <c r="M1176" i="14"/>
  <c r="M1175" i="13"/>
  <c r="N1172" i="14"/>
  <c r="J1171" i="14" a="1"/>
  <c r="J1171" i="14" s="1"/>
  <c r="K986" i="13" l="1"/>
  <c r="L986" i="13" s="1"/>
  <c r="I987" i="13" s="1"/>
  <c r="K1009" i="14"/>
  <c r="L1009" i="14" s="1"/>
  <c r="I1010" i="14" s="1"/>
  <c r="N1173" i="14"/>
  <c r="J1172" i="14" a="1"/>
  <c r="J1172" i="14" s="1"/>
  <c r="M1177" i="14"/>
  <c r="M1176" i="13"/>
  <c r="N1174" i="13"/>
  <c r="J1173" i="13" a="1"/>
  <c r="J1173" i="13" s="1"/>
  <c r="K987" i="13" l="1"/>
  <c r="L987" i="13" s="1"/>
  <c r="I988" i="13" s="1"/>
  <c r="K1010" i="14"/>
  <c r="L1010" i="14" s="1"/>
  <c r="I1011" i="14" s="1"/>
  <c r="N1175" i="13"/>
  <c r="J1174" i="13" a="1"/>
  <c r="J1174" i="13" s="1"/>
  <c r="M1178" i="14"/>
  <c r="J1173" i="14" a="1"/>
  <c r="J1173" i="14" s="1"/>
  <c r="N1174" i="14"/>
  <c r="M1177" i="13"/>
  <c r="K988" i="13" l="1"/>
  <c r="L988" i="13" s="1"/>
  <c r="I989" i="13" s="1"/>
  <c r="K1011" i="14"/>
  <c r="L1011" i="14" s="1"/>
  <c r="I1012" i="14" s="1"/>
  <c r="M1179" i="14"/>
  <c r="J1174" i="14" a="1"/>
  <c r="J1174" i="14" s="1"/>
  <c r="N1175" i="14"/>
  <c r="M1178" i="13"/>
  <c r="N1176" i="13"/>
  <c r="J1175" i="13" a="1"/>
  <c r="J1175" i="13" s="1"/>
  <c r="K989" i="13" l="1"/>
  <c r="L989" i="13" s="1"/>
  <c r="I990" i="13" s="1"/>
  <c r="K1012" i="14"/>
  <c r="L1012" i="14" s="1"/>
  <c r="I1013" i="14" s="1"/>
  <c r="N1177" i="13"/>
  <c r="J1176" i="13" a="1"/>
  <c r="J1176" i="13" s="1"/>
  <c r="J1175" i="14" a="1"/>
  <c r="J1175" i="14" s="1"/>
  <c r="N1176" i="14"/>
  <c r="M1179" i="13"/>
  <c r="M1180" i="14"/>
  <c r="K990" i="13" l="1"/>
  <c r="L990" i="13" s="1"/>
  <c r="I991" i="13" s="1"/>
  <c r="K1013" i="14"/>
  <c r="L1013" i="14" s="1"/>
  <c r="I1014" i="14" s="1"/>
  <c r="M1181" i="14"/>
  <c r="N1177" i="14"/>
  <c r="J1176" i="14" a="1"/>
  <c r="J1176" i="14" s="1"/>
  <c r="M1180" i="13"/>
  <c r="N1178" i="13"/>
  <c r="J1177" i="13" a="1"/>
  <c r="J1177" i="13" s="1"/>
  <c r="K991" i="13" l="1"/>
  <c r="L991" i="13" s="1"/>
  <c r="I992" i="13" s="1"/>
  <c r="K1014" i="14"/>
  <c r="L1014" i="14" s="1"/>
  <c r="I1015" i="14" s="1"/>
  <c r="N1179" i="13"/>
  <c r="J1178" i="13" a="1"/>
  <c r="J1178" i="13" s="1"/>
  <c r="J1177" i="14" a="1"/>
  <c r="J1177" i="14" s="1"/>
  <c r="N1178" i="14"/>
  <c r="M1181" i="13"/>
  <c r="M1182" i="14"/>
  <c r="K992" i="13" l="1"/>
  <c r="L992" i="13" s="1"/>
  <c r="I993" i="13" s="1"/>
  <c r="K1015" i="14"/>
  <c r="L1015" i="14" s="1"/>
  <c r="I1016" i="14" s="1"/>
  <c r="J1178" i="14" a="1"/>
  <c r="J1178" i="14" s="1"/>
  <c r="N1179" i="14"/>
  <c r="M1183" i="14"/>
  <c r="M1182" i="13"/>
  <c r="N1180" i="13"/>
  <c r="J1179" i="13" a="1"/>
  <c r="J1179" i="13" s="1"/>
  <c r="K993" i="13" l="1"/>
  <c r="L993" i="13" s="1"/>
  <c r="I994" i="13" s="1"/>
  <c r="K1016" i="14"/>
  <c r="L1016" i="14" s="1"/>
  <c r="I1017" i="14" s="1"/>
  <c r="N1181" i="13"/>
  <c r="J1180" i="13" a="1"/>
  <c r="J1180" i="13" s="1"/>
  <c r="M1183" i="13"/>
  <c r="N1180" i="14"/>
  <c r="J1179" i="14" a="1"/>
  <c r="J1179" i="14" s="1"/>
  <c r="M1184" i="14"/>
  <c r="K994" i="13" l="1"/>
  <c r="L994" i="13" s="1"/>
  <c r="I995" i="13" s="1"/>
  <c r="M1185" i="14"/>
  <c r="N1181" i="14"/>
  <c r="J1180" i="14" a="1"/>
  <c r="J1180" i="14" s="1"/>
  <c r="N1182" i="13"/>
  <c r="J1181" i="13" a="1"/>
  <c r="J1181" i="13" s="1"/>
  <c r="M1184" i="13"/>
  <c r="K1017" i="14"/>
  <c r="L1017" i="14" s="1"/>
  <c r="I1018" i="14" s="1"/>
  <c r="K995" i="13" l="1"/>
  <c r="L995" i="13" s="1"/>
  <c r="I996" i="13" s="1"/>
  <c r="K1018" i="14"/>
  <c r="L1018" i="14" s="1"/>
  <c r="I1019" i="14" s="1"/>
  <c r="N1183" i="13"/>
  <c r="J1182" i="13" a="1"/>
  <c r="J1182" i="13" s="1"/>
  <c r="M1186" i="14"/>
  <c r="M1185" i="13"/>
  <c r="J1181" i="14" a="1"/>
  <c r="J1181" i="14" s="1"/>
  <c r="N1182" i="14"/>
  <c r="K996" i="13" l="1"/>
  <c r="L996" i="13" s="1"/>
  <c r="I997" i="13" s="1"/>
  <c r="K1019" i="14"/>
  <c r="L1019" i="14" s="1"/>
  <c r="I1020" i="14" s="1"/>
  <c r="J1182" i="14" a="1"/>
  <c r="J1182" i="14" s="1"/>
  <c r="N1183" i="14"/>
  <c r="M1187" i="14"/>
  <c r="M1186" i="13"/>
  <c r="N1184" i="13"/>
  <c r="J1183" i="13" a="1"/>
  <c r="J1183" i="13" s="1"/>
  <c r="K997" i="13" l="1"/>
  <c r="L997" i="13" s="1"/>
  <c r="I998" i="13" s="1"/>
  <c r="K1020" i="14"/>
  <c r="L1020" i="14" s="1"/>
  <c r="I1021" i="14" s="1"/>
  <c r="M1188" i="14"/>
  <c r="N1185" i="13"/>
  <c r="J1184" i="13" a="1"/>
  <c r="J1184" i="13" s="1"/>
  <c r="J1183" i="14" a="1"/>
  <c r="J1183" i="14" s="1"/>
  <c r="N1184" i="14"/>
  <c r="M1187" i="13"/>
  <c r="K998" i="13" l="1"/>
  <c r="L998" i="13" s="1"/>
  <c r="I999" i="13" s="1"/>
  <c r="K1021" i="14"/>
  <c r="L1021" i="14" s="1"/>
  <c r="I1022" i="14" s="1"/>
  <c r="N1186" i="13"/>
  <c r="J1185" i="13" a="1"/>
  <c r="J1185" i="13" s="1"/>
  <c r="M1188" i="13"/>
  <c r="N1185" i="14"/>
  <c r="J1184" i="14" a="1"/>
  <c r="J1184" i="14" s="1"/>
  <c r="M1189" i="14"/>
  <c r="K999" i="13" l="1"/>
  <c r="L999" i="13" s="1"/>
  <c r="I1000" i="13" s="1"/>
  <c r="K1022" i="14"/>
  <c r="L1022" i="14" s="1"/>
  <c r="I1023" i="14" s="1"/>
  <c r="M1190" i="14"/>
  <c r="J1185" i="14" a="1"/>
  <c r="J1185" i="14" s="1"/>
  <c r="N1186" i="14"/>
  <c r="N1187" i="13"/>
  <c r="J1186" i="13" a="1"/>
  <c r="J1186" i="13" s="1"/>
  <c r="M1189" i="13"/>
  <c r="K1000" i="13" l="1"/>
  <c r="L1000" i="13" s="1"/>
  <c r="I1001" i="13" s="1"/>
  <c r="K1023" i="14"/>
  <c r="L1023" i="14" s="1"/>
  <c r="I1024" i="14" s="1"/>
  <c r="J1186" i="14" a="1"/>
  <c r="J1186" i="14" s="1"/>
  <c r="N1187" i="14"/>
  <c r="M1190" i="13"/>
  <c r="N1188" i="13"/>
  <c r="J1187" i="13" a="1"/>
  <c r="J1187" i="13" s="1"/>
  <c r="M1191" i="14"/>
  <c r="K1001" i="13" l="1"/>
  <c r="L1001" i="13" s="1"/>
  <c r="I1002" i="13" s="1"/>
  <c r="K1024" i="14"/>
  <c r="L1024" i="14" s="1"/>
  <c r="I1025" i="14" s="1"/>
  <c r="N1189" i="13"/>
  <c r="J1188" i="13" a="1"/>
  <c r="J1188" i="13" s="1"/>
  <c r="J1187" i="14" a="1"/>
  <c r="J1187" i="14" s="1"/>
  <c r="N1188" i="14"/>
  <c r="M1192" i="14"/>
  <c r="M1191" i="13"/>
  <c r="K1002" i="13" l="1"/>
  <c r="L1002" i="13" s="1"/>
  <c r="I1003" i="13" s="1"/>
  <c r="K1025" i="14"/>
  <c r="L1025" i="14" s="1"/>
  <c r="I1026" i="14" s="1"/>
  <c r="M1192" i="13"/>
  <c r="N1189" i="14"/>
  <c r="J1188" i="14" a="1"/>
  <c r="J1188" i="14" s="1"/>
  <c r="M1193" i="14"/>
  <c r="N1190" i="13"/>
  <c r="J1189" i="13" a="1"/>
  <c r="J1189" i="13" s="1"/>
  <c r="K1003" i="13" l="1"/>
  <c r="L1003" i="13" s="1"/>
  <c r="I1004" i="13" s="1"/>
  <c r="K1026" i="14"/>
  <c r="L1026" i="14" s="1"/>
  <c r="I1027" i="14" s="1"/>
  <c r="N1191" i="13"/>
  <c r="J1190" i="13" a="1"/>
  <c r="J1190" i="13" s="1"/>
  <c r="J1189" i="14" a="1"/>
  <c r="J1189" i="14" s="1"/>
  <c r="N1190" i="14"/>
  <c r="M1193" i="13"/>
  <c r="M1194" i="14"/>
  <c r="K1004" i="13" l="1"/>
  <c r="L1004" i="13" s="1"/>
  <c r="I1005" i="13" s="1"/>
  <c r="K1027" i="14"/>
  <c r="L1027" i="14" s="1"/>
  <c r="I1028" i="14" s="1"/>
  <c r="J1190" i="14" a="1"/>
  <c r="J1190" i="14" s="1"/>
  <c r="N1191" i="14"/>
  <c r="M1195" i="14"/>
  <c r="M1194" i="13"/>
  <c r="N1192" i="13"/>
  <c r="J1191" i="13" a="1"/>
  <c r="J1191" i="13" s="1"/>
  <c r="K1005" i="13" l="1"/>
  <c r="L1005" i="13" s="1"/>
  <c r="I1006" i="13" s="1"/>
  <c r="K1028" i="14"/>
  <c r="L1028" i="14" s="1"/>
  <c r="I1029" i="14" s="1"/>
  <c r="M1196" i="14"/>
  <c r="N1193" i="13"/>
  <c r="J1192" i="13" a="1"/>
  <c r="J1192" i="13" s="1"/>
  <c r="J1191" i="14" a="1"/>
  <c r="J1191" i="14" s="1"/>
  <c r="N1192" i="14"/>
  <c r="M1195" i="13"/>
  <c r="K1006" i="13" l="1"/>
  <c r="L1006" i="13" s="1"/>
  <c r="I1007" i="13" s="1"/>
  <c r="K1029" i="14"/>
  <c r="L1029" i="14" s="1"/>
  <c r="I1030" i="14" s="1"/>
  <c r="N1194" i="13"/>
  <c r="J1193" i="13" a="1"/>
  <c r="J1193" i="13" s="1"/>
  <c r="N1193" i="14"/>
  <c r="J1192" i="14" a="1"/>
  <c r="J1192" i="14" s="1"/>
  <c r="M1196" i="13"/>
  <c r="M1197" i="14"/>
  <c r="K1007" i="13" l="1"/>
  <c r="L1007" i="13" s="1"/>
  <c r="I1008" i="13" s="1"/>
  <c r="K1030" i="14"/>
  <c r="L1030" i="14" s="1"/>
  <c r="I1031" i="14" s="1"/>
  <c r="J1193" i="14" a="1"/>
  <c r="J1193" i="14" s="1"/>
  <c r="N1194" i="14"/>
  <c r="M1198" i="14"/>
  <c r="M1197" i="13"/>
  <c r="N1195" i="13"/>
  <c r="J1194" i="13" a="1"/>
  <c r="J1194" i="13" s="1"/>
  <c r="K1008" i="13" l="1"/>
  <c r="L1008" i="13" s="1"/>
  <c r="I1009" i="13" s="1"/>
  <c r="K1031" i="14"/>
  <c r="L1031" i="14" s="1"/>
  <c r="I1032" i="14" s="1"/>
  <c r="N1196" i="13"/>
  <c r="J1195" i="13" a="1"/>
  <c r="J1195" i="13" s="1"/>
  <c r="M1199" i="14"/>
  <c r="M1198" i="13"/>
  <c r="J1194" i="14" a="1"/>
  <c r="J1194" i="14" s="1"/>
  <c r="N1195" i="14"/>
  <c r="K1009" i="13" l="1"/>
  <c r="L1009" i="13" s="1"/>
  <c r="I1010" i="13" s="1"/>
  <c r="K1032" i="14"/>
  <c r="L1032" i="14" s="1"/>
  <c r="I1033" i="14" s="1"/>
  <c r="J1195" i="14" a="1"/>
  <c r="J1195" i="14" s="1"/>
  <c r="N1196" i="14"/>
  <c r="M1200" i="14"/>
  <c r="M1199" i="13"/>
  <c r="N1197" i="13"/>
  <c r="J1196" i="13" a="1"/>
  <c r="J1196" i="13" s="1"/>
  <c r="K1010" i="13" l="1"/>
  <c r="L1010" i="13" s="1"/>
  <c r="I1011" i="13" s="1"/>
  <c r="K1033" i="14"/>
  <c r="L1033" i="14" s="1"/>
  <c r="I1034" i="14" s="1"/>
  <c r="N1198" i="13"/>
  <c r="J1197" i="13" a="1"/>
  <c r="J1197" i="13" s="1"/>
  <c r="M1201" i="14"/>
  <c r="N1197" i="14"/>
  <c r="J1196" i="14" a="1"/>
  <c r="J1196" i="14" s="1"/>
  <c r="M1200" i="13"/>
  <c r="K1011" i="13" l="1"/>
  <c r="L1011" i="13" s="1"/>
  <c r="I1012" i="13" s="1"/>
  <c r="K1034" i="14"/>
  <c r="L1034" i="14" s="1"/>
  <c r="I1035" i="14" s="1"/>
  <c r="M1201" i="13"/>
  <c r="J1197" i="14" a="1"/>
  <c r="J1197" i="14" s="1"/>
  <c r="N1198" i="14"/>
  <c r="M1202" i="14"/>
  <c r="N1199" i="13"/>
  <c r="J1198" i="13" a="1"/>
  <c r="J1198" i="13" s="1"/>
  <c r="K1012" i="13" l="1"/>
  <c r="L1012" i="13" s="1"/>
  <c r="I1013" i="13" s="1"/>
  <c r="K1035" i="14"/>
  <c r="L1035" i="14" s="1"/>
  <c r="I1036" i="14" s="1"/>
  <c r="J1198" i="14" a="1"/>
  <c r="J1198" i="14" s="1"/>
  <c r="N1199" i="14"/>
  <c r="N1200" i="13"/>
  <c r="J1199" i="13" a="1"/>
  <c r="J1199" i="13" s="1"/>
  <c r="M1202" i="13"/>
  <c r="M1203" i="14"/>
  <c r="K1013" i="13" l="1"/>
  <c r="L1013" i="13" s="1"/>
  <c r="I1014" i="13" s="1"/>
  <c r="K1036" i="14"/>
  <c r="L1036" i="14" s="1"/>
  <c r="I1037" i="14" s="1"/>
  <c r="M1204" i="14"/>
  <c r="N1201" i="13"/>
  <c r="J1200" i="13" a="1"/>
  <c r="J1200" i="13" s="1"/>
  <c r="J1199" i="14" a="1"/>
  <c r="J1199" i="14" s="1"/>
  <c r="N1200" i="14"/>
  <c r="M1203" i="13"/>
  <c r="K1014" i="13" l="1"/>
  <c r="L1014" i="13" s="1"/>
  <c r="I1015" i="13" s="1"/>
  <c r="N1202" i="13"/>
  <c r="J1201" i="13" a="1"/>
  <c r="J1201" i="13" s="1"/>
  <c r="K1037" i="14"/>
  <c r="L1037" i="14" s="1"/>
  <c r="I1038" i="14" s="1"/>
  <c r="M1204" i="13"/>
  <c r="N1201" i="14"/>
  <c r="J1200" i="14" a="1"/>
  <c r="J1200" i="14" s="1"/>
  <c r="M1205" i="14"/>
  <c r="K1015" i="13" l="1"/>
  <c r="L1015" i="13" s="1"/>
  <c r="I1016" i="13" s="1"/>
  <c r="K1038" i="14"/>
  <c r="L1038" i="14" s="1"/>
  <c r="I1039" i="14" s="1"/>
  <c r="M1205" i="13"/>
  <c r="M1206" i="14"/>
  <c r="N1203" i="13"/>
  <c r="J1202" i="13" a="1"/>
  <c r="J1202" i="13" s="1"/>
  <c r="J1201" i="14" a="1"/>
  <c r="J1201" i="14" s="1"/>
  <c r="N1202" i="14"/>
  <c r="K1016" i="13" l="1"/>
  <c r="L1016" i="13" s="1"/>
  <c r="I1017" i="13" s="1"/>
  <c r="K1039" i="14"/>
  <c r="L1039" i="14" s="1"/>
  <c r="I1040" i="14" s="1"/>
  <c r="M1207" i="14"/>
  <c r="M1206" i="13"/>
  <c r="J1202" i="14" a="1"/>
  <c r="J1202" i="14" s="1"/>
  <c r="N1203" i="14"/>
  <c r="N1204" i="13"/>
  <c r="J1203" i="13" a="1"/>
  <c r="J1203" i="13" s="1"/>
  <c r="K1017" i="13" l="1"/>
  <c r="L1017" i="13" s="1"/>
  <c r="I1018" i="13" s="1"/>
  <c r="K1040" i="14"/>
  <c r="L1040" i="14" s="1"/>
  <c r="I1041" i="14" s="1"/>
  <c r="M1207" i="13"/>
  <c r="N1205" i="13"/>
  <c r="J1204" i="13" a="1"/>
  <c r="J1204" i="13" s="1"/>
  <c r="M1208" i="14"/>
  <c r="J1203" i="14" a="1"/>
  <c r="J1203" i="14" s="1"/>
  <c r="N1204" i="14"/>
  <c r="K1018" i="13" l="1"/>
  <c r="L1018" i="13" s="1"/>
  <c r="I1019" i="13" s="1"/>
  <c r="K1041" i="14"/>
  <c r="L1041" i="14" s="1"/>
  <c r="I1042" i="14" s="1"/>
  <c r="N1205" i="14"/>
  <c r="J1204" i="14" a="1"/>
  <c r="J1204" i="14" s="1"/>
  <c r="N1206" i="13"/>
  <c r="J1205" i="13" a="1"/>
  <c r="J1205" i="13" s="1"/>
  <c r="M1208" i="13"/>
  <c r="M1209" i="14"/>
  <c r="K1019" i="13" l="1"/>
  <c r="L1019" i="13" s="1"/>
  <c r="I1020" i="13" s="1"/>
  <c r="K1042" i="14"/>
  <c r="L1042" i="14" s="1"/>
  <c r="I1043" i="14" s="1"/>
  <c r="N1207" i="13"/>
  <c r="J1206" i="13" a="1"/>
  <c r="J1206" i="13" s="1"/>
  <c r="M1210" i="14"/>
  <c r="M1209" i="13"/>
  <c r="J1205" i="14" a="1"/>
  <c r="J1205" i="14" s="1"/>
  <c r="N1206" i="14"/>
  <c r="K1020" i="13" l="1"/>
  <c r="L1020" i="13" s="1"/>
  <c r="I1021" i="13" s="1"/>
  <c r="K1043" i="14"/>
  <c r="L1043" i="14" s="1"/>
  <c r="I1044" i="14" s="1"/>
  <c r="J1206" i="14" a="1"/>
  <c r="J1206" i="14" s="1"/>
  <c r="N1207" i="14"/>
  <c r="M1211" i="14"/>
  <c r="M1210" i="13"/>
  <c r="N1208" i="13"/>
  <c r="J1207" i="13" a="1"/>
  <c r="J1207" i="13" s="1"/>
  <c r="K1021" i="13" l="1"/>
  <c r="L1021" i="13" s="1"/>
  <c r="I1022" i="13" s="1"/>
  <c r="K1044" i="14"/>
  <c r="L1044" i="14" s="1"/>
  <c r="I1045" i="14" s="1"/>
  <c r="N1209" i="13"/>
  <c r="J1208" i="13" a="1"/>
  <c r="J1208" i="13" s="1"/>
  <c r="M1212" i="14"/>
  <c r="J1207" i="14" a="1"/>
  <c r="J1207" i="14" s="1"/>
  <c r="N1208" i="14"/>
  <c r="M1211" i="13"/>
  <c r="K1022" i="13" l="1"/>
  <c r="L1022" i="13" s="1"/>
  <c r="I1023" i="13" s="1"/>
  <c r="K1045" i="14"/>
  <c r="L1045" i="14" s="1"/>
  <c r="I1046" i="14" s="1"/>
  <c r="N1209" i="14"/>
  <c r="J1208" i="14" a="1"/>
  <c r="J1208" i="14" s="1"/>
  <c r="M1212" i="13"/>
  <c r="M1213" i="14"/>
  <c r="N1210" i="13"/>
  <c r="J1209" i="13" a="1"/>
  <c r="J1209" i="13" s="1"/>
  <c r="K1023" i="13" l="1"/>
  <c r="L1023" i="13" s="1"/>
  <c r="I1024" i="13" s="1"/>
  <c r="K1046" i="14"/>
  <c r="L1046" i="14" s="1"/>
  <c r="I1047" i="14" s="1"/>
  <c r="N1211" i="13"/>
  <c r="J1210" i="13" a="1"/>
  <c r="J1210" i="13" s="1"/>
  <c r="M1213" i="13"/>
  <c r="M1214" i="14"/>
  <c r="J1209" i="14" a="1"/>
  <c r="J1209" i="14" s="1"/>
  <c r="N1210" i="14"/>
  <c r="K1024" i="13" l="1"/>
  <c r="L1024" i="13" s="1"/>
  <c r="I1025" i="13" s="1"/>
  <c r="K1047" i="14"/>
  <c r="L1047" i="14" s="1"/>
  <c r="I1048" i="14" s="1"/>
  <c r="J1210" i="14" a="1"/>
  <c r="J1210" i="14" s="1"/>
  <c r="N1211" i="14"/>
  <c r="M1214" i="13"/>
  <c r="M1215" i="14"/>
  <c r="N1212" i="13"/>
  <c r="J1211" i="13" a="1"/>
  <c r="J1211" i="13" s="1"/>
  <c r="K1025" i="13" l="1"/>
  <c r="L1025" i="13" s="1"/>
  <c r="I1026" i="13" s="1"/>
  <c r="K1048" i="14"/>
  <c r="L1048" i="14" s="1"/>
  <c r="I1049" i="14" s="1"/>
  <c r="N1213" i="13"/>
  <c r="J1212" i="13" a="1"/>
  <c r="J1212" i="13" s="1"/>
  <c r="M1215" i="13"/>
  <c r="M1216" i="14"/>
  <c r="J1211" i="14" a="1"/>
  <c r="J1211" i="14" s="1"/>
  <c r="N1212" i="14"/>
  <c r="K1026" i="13" l="1"/>
  <c r="L1026" i="13" s="1"/>
  <c r="I1027" i="13" s="1"/>
  <c r="K1049" i="14"/>
  <c r="L1049" i="14" s="1"/>
  <c r="I1050" i="14" s="1"/>
  <c r="N1213" i="14"/>
  <c r="J1212" i="14" a="1"/>
  <c r="J1212" i="14" s="1"/>
  <c r="M1216" i="13"/>
  <c r="M1217" i="14"/>
  <c r="N1214" i="13"/>
  <c r="J1213" i="13" a="1"/>
  <c r="J1213" i="13" s="1"/>
  <c r="K1027" i="13" l="1"/>
  <c r="L1027" i="13" s="1"/>
  <c r="I1028" i="13" s="1"/>
  <c r="K1050" i="14"/>
  <c r="L1050" i="14" s="1"/>
  <c r="I1051" i="14" s="1"/>
  <c r="N1215" i="13"/>
  <c r="J1214" i="13" a="1"/>
  <c r="J1214" i="13" s="1"/>
  <c r="M1217" i="13"/>
  <c r="M1218" i="14"/>
  <c r="J1213" i="14" a="1"/>
  <c r="J1213" i="14" s="1"/>
  <c r="N1214" i="14"/>
  <c r="K1028" i="13" l="1"/>
  <c r="L1028" i="13" s="1"/>
  <c r="I1029" i="13" s="1"/>
  <c r="K1051" i="14"/>
  <c r="L1051" i="14" s="1"/>
  <c r="I1052" i="14" s="1"/>
  <c r="J1214" i="14" a="1"/>
  <c r="J1214" i="14" s="1"/>
  <c r="N1215" i="14"/>
  <c r="M1218" i="13"/>
  <c r="M1219" i="14"/>
  <c r="N1216" i="13"/>
  <c r="J1215" i="13" a="1"/>
  <c r="J1215" i="13" s="1"/>
  <c r="K1029" i="13" l="1"/>
  <c r="L1029" i="13" s="1"/>
  <c r="I1030" i="13" s="1"/>
  <c r="K1052" i="14"/>
  <c r="L1052" i="14" s="1"/>
  <c r="I1053" i="14" s="1"/>
  <c r="M1219" i="13"/>
  <c r="N1217" i="13"/>
  <c r="J1216" i="13" a="1"/>
  <c r="J1216" i="13" s="1"/>
  <c r="J1215" i="14" a="1"/>
  <c r="J1215" i="14" s="1"/>
  <c r="N1216" i="14"/>
  <c r="M1220" i="14"/>
  <c r="K1030" i="13" l="1"/>
  <c r="L1030" i="13" s="1"/>
  <c r="I1031" i="13" s="1"/>
  <c r="K1053" i="14"/>
  <c r="L1053" i="14" s="1"/>
  <c r="I1054" i="14" s="1"/>
  <c r="N1218" i="13"/>
  <c r="J1217" i="13" a="1"/>
  <c r="J1217" i="13" s="1"/>
  <c r="N1217" i="14"/>
  <c r="J1216" i="14" a="1"/>
  <c r="J1216" i="14" s="1"/>
  <c r="M1220" i="13"/>
  <c r="M1221" i="14"/>
  <c r="K1031" i="13" l="1"/>
  <c r="L1031" i="13" s="1"/>
  <c r="I1032" i="13" s="1"/>
  <c r="K1054" i="14"/>
  <c r="L1054" i="14" s="1"/>
  <c r="I1055" i="14" s="1"/>
  <c r="M1222" i="14"/>
  <c r="J1217" i="14" a="1"/>
  <c r="J1217" i="14" s="1"/>
  <c r="N1218" i="14"/>
  <c r="M1221" i="13"/>
  <c r="N1219" i="13"/>
  <c r="J1218" i="13" a="1"/>
  <c r="J1218" i="13" s="1"/>
  <c r="K1032" i="13" l="1"/>
  <c r="L1032" i="13" s="1"/>
  <c r="I1033" i="13" s="1"/>
  <c r="K1055" i="14"/>
  <c r="L1055" i="14" s="1"/>
  <c r="I1056" i="14" s="1"/>
  <c r="J1218" i="14" a="1"/>
  <c r="J1218" i="14" s="1"/>
  <c r="N1219" i="14"/>
  <c r="J1219" i="13" a="1"/>
  <c r="J1219" i="13" s="1"/>
  <c r="N1220" i="13"/>
  <c r="M1222" i="13"/>
  <c r="M1223" i="14"/>
  <c r="K1033" i="13" l="1"/>
  <c r="L1033" i="13" s="1"/>
  <c r="I1034" i="13" s="1"/>
  <c r="K1056" i="14"/>
  <c r="L1056" i="14" s="1"/>
  <c r="I1057" i="14" s="1"/>
  <c r="J1220" i="13" a="1"/>
  <c r="J1220" i="13" s="1"/>
  <c r="N1221" i="13"/>
  <c r="J1219" i="14" a="1"/>
  <c r="J1219" i="14" s="1"/>
  <c r="N1220" i="14"/>
  <c r="M1224" i="14"/>
  <c r="M1223" i="13"/>
  <c r="K1034" i="13" l="1"/>
  <c r="L1034" i="13" s="1"/>
  <c r="I1035" i="13" s="1"/>
  <c r="K1057" i="14"/>
  <c r="L1057" i="14" s="1"/>
  <c r="I1058" i="14" s="1"/>
  <c r="N1221" i="14"/>
  <c r="J1220" i="14" a="1"/>
  <c r="J1220" i="14" s="1"/>
  <c r="N1222" i="13"/>
  <c r="J1221" i="13" a="1"/>
  <c r="J1221" i="13" s="1"/>
  <c r="M1224" i="13"/>
  <c r="M1225" i="14"/>
  <c r="K1035" i="13" l="1"/>
  <c r="L1035" i="13" s="1"/>
  <c r="I1036" i="13" s="1"/>
  <c r="K1058" i="14"/>
  <c r="L1058" i="14" s="1"/>
  <c r="I1059" i="14" s="1"/>
  <c r="M1226" i="14"/>
  <c r="J1222" i="13" a="1"/>
  <c r="J1222" i="13" s="1"/>
  <c r="N1223" i="13"/>
  <c r="M1225" i="13"/>
  <c r="J1221" i="14" a="1"/>
  <c r="J1221" i="14" s="1"/>
  <c r="N1222" i="14"/>
  <c r="K1036" i="13" l="1"/>
  <c r="L1036" i="13" s="1"/>
  <c r="I1037" i="13" s="1"/>
  <c r="K1059" i="14"/>
  <c r="L1059" i="14" s="1"/>
  <c r="I1060" i="14" s="1"/>
  <c r="J1223" i="13" a="1"/>
  <c r="J1223" i="13" s="1"/>
  <c r="N1224" i="13"/>
  <c r="J1222" i="14" a="1"/>
  <c r="J1222" i="14" s="1"/>
  <c r="N1223" i="14"/>
  <c r="M1226" i="13"/>
  <c r="M1227" i="14"/>
  <c r="K1037" i="13" l="1"/>
  <c r="L1037" i="13" s="1"/>
  <c r="I1038" i="13" s="1"/>
  <c r="K1060" i="14"/>
  <c r="L1060" i="14" s="1"/>
  <c r="I1061" i="14" s="1"/>
  <c r="J1223" i="14" a="1"/>
  <c r="J1223" i="14" s="1"/>
  <c r="N1224" i="14"/>
  <c r="J1224" i="13" a="1"/>
  <c r="J1224" i="13" s="1"/>
  <c r="N1225" i="13"/>
  <c r="M1228" i="14"/>
  <c r="M1227" i="13"/>
  <c r="K1038" i="13" l="1"/>
  <c r="L1038" i="13" s="1"/>
  <c r="I1039" i="13" s="1"/>
  <c r="K1061" i="14"/>
  <c r="L1061" i="14" s="1"/>
  <c r="I1062" i="14" s="1"/>
  <c r="M1228" i="13"/>
  <c r="N1226" i="13"/>
  <c r="J1225" i="13" a="1"/>
  <c r="J1225" i="13" s="1"/>
  <c r="N1225" i="14"/>
  <c r="J1224" i="14" a="1"/>
  <c r="J1224" i="14" s="1"/>
  <c r="M1229" i="14"/>
  <c r="K1039" i="13" l="1"/>
  <c r="L1039" i="13" s="1"/>
  <c r="I1040" i="13" s="1"/>
  <c r="K1062" i="14"/>
  <c r="L1062" i="14" s="1"/>
  <c r="I1063" i="14" s="1"/>
  <c r="M1230" i="14"/>
  <c r="J1226" i="13" a="1"/>
  <c r="J1226" i="13" s="1"/>
  <c r="N1227" i="13"/>
  <c r="M1229" i="13"/>
  <c r="J1225" i="14" a="1"/>
  <c r="J1225" i="14" s="1"/>
  <c r="N1226" i="14"/>
  <c r="K1040" i="13" l="1"/>
  <c r="L1040" i="13" s="1"/>
  <c r="I1041" i="13" s="1"/>
  <c r="K1063" i="14"/>
  <c r="L1063" i="14" s="1"/>
  <c r="I1064" i="14" s="1"/>
  <c r="J1227" i="13" a="1"/>
  <c r="J1227" i="13" s="1"/>
  <c r="N1228" i="13"/>
  <c r="J1226" i="14" a="1"/>
  <c r="J1226" i="14" s="1"/>
  <c r="N1227" i="14"/>
  <c r="M1230" i="13"/>
  <c r="M1231" i="14"/>
  <c r="K1041" i="13" l="1"/>
  <c r="L1041" i="13" s="1"/>
  <c r="I1042" i="13" s="1"/>
  <c r="K1064" i="14"/>
  <c r="L1064" i="14" s="1"/>
  <c r="I1065" i="14" s="1"/>
  <c r="J1227" i="14" a="1"/>
  <c r="J1227" i="14" s="1"/>
  <c r="N1228" i="14"/>
  <c r="M1232" i="14"/>
  <c r="J1228" i="13" a="1"/>
  <c r="J1228" i="13" s="1"/>
  <c r="N1229" i="13"/>
  <c r="M1231" i="13"/>
  <c r="K1042" i="13" l="1"/>
  <c r="L1042" i="13" s="1"/>
  <c r="I1043" i="13" s="1"/>
  <c r="K1065" i="14"/>
  <c r="L1065" i="14" s="1"/>
  <c r="I1066" i="14" s="1"/>
  <c r="N1230" i="13"/>
  <c r="J1229" i="13" a="1"/>
  <c r="J1229" i="13" s="1"/>
  <c r="M1232" i="13"/>
  <c r="M1233" i="14"/>
  <c r="N1229" i="14"/>
  <c r="J1228" i="14" a="1"/>
  <c r="J1228" i="14" s="1"/>
  <c r="K1043" i="13" l="1"/>
  <c r="L1043" i="13" s="1"/>
  <c r="I1044" i="13" s="1"/>
  <c r="K1066" i="14"/>
  <c r="L1066" i="14" s="1"/>
  <c r="I1067" i="14" s="1"/>
  <c r="M1233" i="13"/>
  <c r="J1229" i="14" a="1"/>
  <c r="J1229" i="14" s="1"/>
  <c r="N1230" i="14"/>
  <c r="M1234" i="14"/>
  <c r="J1230" i="13" a="1"/>
  <c r="J1230" i="13" s="1"/>
  <c r="N1231" i="13"/>
  <c r="K1044" i="13" l="1"/>
  <c r="L1044" i="13" s="1"/>
  <c r="I1045" i="13" s="1"/>
  <c r="K1067" i="14"/>
  <c r="L1067" i="14" s="1"/>
  <c r="I1068" i="14" s="1"/>
  <c r="J1231" i="13" a="1"/>
  <c r="J1231" i="13" s="1"/>
  <c r="N1232" i="13"/>
  <c r="M1234" i="13"/>
  <c r="J1230" i="14" a="1"/>
  <c r="J1230" i="14" s="1"/>
  <c r="N1231" i="14"/>
  <c r="M1235" i="14"/>
  <c r="K1045" i="13" l="1"/>
  <c r="L1045" i="13" s="1"/>
  <c r="I1046" i="13" s="1"/>
  <c r="K1068" i="14"/>
  <c r="L1068" i="14" s="1"/>
  <c r="I1069" i="14" s="1"/>
  <c r="M1236" i="14"/>
  <c r="M1235" i="13"/>
  <c r="J1232" i="13" a="1"/>
  <c r="J1232" i="13" s="1"/>
  <c r="N1233" i="13"/>
  <c r="J1231" i="14" a="1"/>
  <c r="J1231" i="14" s="1"/>
  <c r="N1232" i="14"/>
  <c r="K1046" i="13" l="1"/>
  <c r="L1046" i="13" s="1"/>
  <c r="I1047" i="13" s="1"/>
  <c r="K1069" i="14"/>
  <c r="L1069" i="14" s="1"/>
  <c r="I1070" i="14" s="1"/>
  <c r="M1236" i="13"/>
  <c r="N1234" i="13"/>
  <c r="J1233" i="13" a="1"/>
  <c r="J1233" i="13" s="1"/>
  <c r="N1233" i="14"/>
  <c r="J1232" i="14" a="1"/>
  <c r="J1232" i="14" s="1"/>
  <c r="M1237" i="14"/>
  <c r="K1047" i="13" l="1"/>
  <c r="L1047" i="13" s="1"/>
  <c r="I1048" i="13" s="1"/>
  <c r="K1070" i="14"/>
  <c r="L1070" i="14" s="1"/>
  <c r="I1071" i="14" s="1"/>
  <c r="J1234" i="13" a="1"/>
  <c r="J1234" i="13" s="1"/>
  <c r="N1235" i="13"/>
  <c r="M1237" i="13"/>
  <c r="M1238" i="14"/>
  <c r="J1233" i="14" a="1"/>
  <c r="J1233" i="14" s="1"/>
  <c r="N1234" i="14"/>
  <c r="K1048" i="13" l="1"/>
  <c r="L1048" i="13" s="1"/>
  <c r="I1049" i="13" s="1"/>
  <c r="K1071" i="14"/>
  <c r="L1071" i="14" s="1"/>
  <c r="I1072" i="14" s="1"/>
  <c r="J1234" i="14" a="1"/>
  <c r="J1234" i="14" s="1"/>
  <c r="N1235" i="14"/>
  <c r="M1238" i="13"/>
  <c r="J1235" i="13" a="1"/>
  <c r="J1235" i="13" s="1"/>
  <c r="N1236" i="13"/>
  <c r="M1239" i="14"/>
  <c r="K1049" i="13" l="1"/>
  <c r="L1049" i="13" s="1"/>
  <c r="I1050" i="13" s="1"/>
  <c r="K1072" i="14"/>
  <c r="L1072" i="14" s="1"/>
  <c r="I1073" i="14" s="1"/>
  <c r="M1240" i="14"/>
  <c r="M1239" i="13"/>
  <c r="J1235" i="14" a="1"/>
  <c r="J1235" i="14" s="1"/>
  <c r="N1236" i="14"/>
  <c r="J1236" i="13" a="1"/>
  <c r="J1236" i="13" s="1"/>
  <c r="N1237" i="13"/>
  <c r="K1050" i="13" l="1"/>
  <c r="L1050" i="13" s="1"/>
  <c r="I1051" i="13" s="1"/>
  <c r="K1073" i="14"/>
  <c r="L1073" i="14" s="1"/>
  <c r="I1074" i="14" s="1"/>
  <c r="M1240" i="13"/>
  <c r="N1238" i="13"/>
  <c r="J1237" i="13" a="1"/>
  <c r="J1237" i="13" s="1"/>
  <c r="N1237" i="14"/>
  <c r="J1236" i="14" a="1"/>
  <c r="J1236" i="14" s="1"/>
  <c r="M1241" i="14"/>
  <c r="K1051" i="13" l="1"/>
  <c r="L1051" i="13" s="1"/>
  <c r="I1052" i="13" s="1"/>
  <c r="K1074" i="14"/>
  <c r="L1074" i="14" s="1"/>
  <c r="I1075" i="14" s="1"/>
  <c r="J1238" i="13" a="1"/>
  <c r="J1238" i="13" s="1"/>
  <c r="N1239" i="13"/>
  <c r="M1241" i="13"/>
  <c r="M1242" i="14"/>
  <c r="J1237" i="14" a="1"/>
  <c r="J1237" i="14" s="1"/>
  <c r="N1238" i="14"/>
  <c r="K1052" i="13" l="1"/>
  <c r="L1052" i="13" s="1"/>
  <c r="I1053" i="13" s="1"/>
  <c r="K1075" i="14"/>
  <c r="L1075" i="14" s="1"/>
  <c r="I1076" i="14" s="1"/>
  <c r="J1238" i="14" a="1"/>
  <c r="J1238" i="14" s="1"/>
  <c r="N1239" i="14"/>
  <c r="J1239" i="13" a="1"/>
  <c r="J1239" i="13" s="1"/>
  <c r="N1240" i="13"/>
  <c r="M1242" i="13"/>
  <c r="M1243" i="14"/>
  <c r="K1053" i="13" l="1"/>
  <c r="L1053" i="13" s="1"/>
  <c r="I1054" i="13" s="1"/>
  <c r="K1076" i="14"/>
  <c r="L1076" i="14" s="1"/>
  <c r="I1077" i="14" s="1"/>
  <c r="J1240" i="13" a="1"/>
  <c r="J1240" i="13" s="1"/>
  <c r="N1241" i="13"/>
  <c r="J1239" i="14" a="1"/>
  <c r="J1239" i="14" s="1"/>
  <c r="N1240" i="14"/>
  <c r="M1244" i="14"/>
  <c r="M1243" i="13"/>
  <c r="K1054" i="13" l="1"/>
  <c r="L1054" i="13" s="1"/>
  <c r="I1055" i="13" s="1"/>
  <c r="K1077" i="14"/>
  <c r="L1077" i="14" s="1"/>
  <c r="I1078" i="14" s="1"/>
  <c r="N1241" i="14"/>
  <c r="J1240" i="14" a="1"/>
  <c r="J1240" i="14" s="1"/>
  <c r="M1244" i="13"/>
  <c r="N1242" i="13"/>
  <c r="J1241" i="13" a="1"/>
  <c r="J1241" i="13" s="1"/>
  <c r="M1245" i="14"/>
  <c r="K1055" i="13" l="1"/>
  <c r="L1055" i="13" s="1"/>
  <c r="I1056" i="13" s="1"/>
  <c r="K1078" i="14"/>
  <c r="L1078" i="14" s="1"/>
  <c r="I1079" i="14" s="1"/>
  <c r="J1242" i="13" a="1"/>
  <c r="J1242" i="13" s="1"/>
  <c r="N1243" i="13"/>
  <c r="M1245" i="13"/>
  <c r="M1246" i="14"/>
  <c r="J1241" i="14" a="1"/>
  <c r="J1241" i="14" s="1"/>
  <c r="N1242" i="14"/>
  <c r="K1056" i="13" l="1"/>
  <c r="L1056" i="13" s="1"/>
  <c r="I1057" i="13" s="1"/>
  <c r="J1242" i="14" a="1"/>
  <c r="J1242" i="14" s="1"/>
  <c r="N1243" i="14"/>
  <c r="M1246" i="13"/>
  <c r="K1079" i="14"/>
  <c r="L1079" i="14" s="1"/>
  <c r="I1080" i="14" s="1"/>
  <c r="J1243" i="13" a="1"/>
  <c r="J1243" i="13" s="1"/>
  <c r="N1244" i="13"/>
  <c r="M1247" i="14"/>
  <c r="K1057" i="13" l="1"/>
  <c r="L1057" i="13" s="1"/>
  <c r="I1058" i="13" s="1"/>
  <c r="K1080" i="14"/>
  <c r="L1080" i="14" s="1"/>
  <c r="I1081" i="14" s="1"/>
  <c r="J1243" i="14" a="1"/>
  <c r="J1243" i="14" s="1"/>
  <c r="N1244" i="14"/>
  <c r="J1244" i="13" a="1"/>
  <c r="J1244" i="13" s="1"/>
  <c r="N1245" i="13"/>
  <c r="M1248" i="14"/>
  <c r="M1247" i="13"/>
  <c r="K1058" i="13" l="1"/>
  <c r="L1058" i="13" s="1"/>
  <c r="I1059" i="13" s="1"/>
  <c r="K1081" i="14"/>
  <c r="L1081" i="14" s="1"/>
  <c r="I1082" i="14" s="1"/>
  <c r="N1246" i="13"/>
  <c r="J1245" i="13" a="1"/>
  <c r="J1245" i="13" s="1"/>
  <c r="N1245" i="14"/>
  <c r="J1244" i="14" a="1"/>
  <c r="J1244" i="14" s="1"/>
  <c r="M1248" i="13"/>
  <c r="M1249" i="14"/>
  <c r="K1059" i="13" l="1"/>
  <c r="L1059" i="13" s="1"/>
  <c r="I1060" i="13" s="1"/>
  <c r="K1082" i="14"/>
  <c r="L1082" i="14" s="1"/>
  <c r="I1083" i="14" s="1"/>
  <c r="J1245" i="14" a="1"/>
  <c r="J1245" i="14" s="1"/>
  <c r="N1246" i="14"/>
  <c r="M1250" i="14"/>
  <c r="M1249" i="13"/>
  <c r="J1246" i="13" a="1"/>
  <c r="J1246" i="13" s="1"/>
  <c r="N1247" i="13"/>
  <c r="K1060" i="13" l="1"/>
  <c r="L1060" i="13" s="1"/>
  <c r="I1061" i="13" s="1"/>
  <c r="K1083" i="14"/>
  <c r="L1083" i="14" s="1"/>
  <c r="I1084" i="14" s="1"/>
  <c r="J1247" i="13" a="1"/>
  <c r="J1247" i="13" s="1"/>
  <c r="N1248" i="13"/>
  <c r="M1251" i="14"/>
  <c r="J1246" i="14" a="1"/>
  <c r="J1246" i="14" s="1"/>
  <c r="N1247" i="14"/>
  <c r="M1250" i="13"/>
  <c r="K1061" i="13" l="1"/>
  <c r="L1061" i="13" s="1"/>
  <c r="I1062" i="13" s="1"/>
  <c r="K1084" i="14"/>
  <c r="L1084" i="14" s="1"/>
  <c r="I1085" i="14" s="1"/>
  <c r="M1252" i="14"/>
  <c r="M1251" i="13"/>
  <c r="J1248" i="13" a="1"/>
  <c r="J1248" i="13" s="1"/>
  <c r="N1249" i="13"/>
  <c r="J1247" i="14" a="1"/>
  <c r="J1247" i="14" s="1"/>
  <c r="N1248" i="14"/>
  <c r="K1062" i="13" l="1"/>
  <c r="L1062" i="13" s="1"/>
  <c r="I1063" i="13" s="1"/>
  <c r="K1085" i="14"/>
  <c r="L1085" i="14" s="1"/>
  <c r="I1086" i="14" s="1"/>
  <c r="N1249" i="14"/>
  <c r="J1248" i="14" a="1"/>
  <c r="J1248" i="14" s="1"/>
  <c r="M1252" i="13"/>
  <c r="N1250" i="13"/>
  <c r="J1249" i="13" a="1"/>
  <c r="J1249" i="13" s="1"/>
  <c r="M1253" i="14"/>
  <c r="K1063" i="13" l="1"/>
  <c r="L1063" i="13" s="1"/>
  <c r="I1064" i="13" s="1"/>
  <c r="K1086" i="14"/>
  <c r="L1086" i="14" s="1"/>
  <c r="I1087" i="14" s="1"/>
  <c r="M1253" i="13"/>
  <c r="M1254" i="14"/>
  <c r="J1250" i="13" a="1"/>
  <c r="J1250" i="13" s="1"/>
  <c r="N1251" i="13"/>
  <c r="J1249" i="14" a="1"/>
  <c r="J1249" i="14" s="1"/>
  <c r="N1250" i="14"/>
  <c r="K1064" i="13" l="1"/>
  <c r="L1064" i="13" s="1"/>
  <c r="I1065" i="13" s="1"/>
  <c r="K1087" i="14"/>
  <c r="L1087" i="14" s="1"/>
  <c r="I1088" i="14" s="1"/>
  <c r="J1250" i="14" a="1"/>
  <c r="J1250" i="14" s="1"/>
  <c r="N1251" i="14"/>
  <c r="M1255" i="14"/>
  <c r="J1251" i="13" a="1"/>
  <c r="J1251" i="13" s="1"/>
  <c r="N1252" i="13"/>
  <c r="M1254" i="13"/>
  <c r="K1065" i="13" l="1"/>
  <c r="L1065" i="13" s="1"/>
  <c r="I1066" i="13" s="1"/>
  <c r="K1088" i="14"/>
  <c r="L1088" i="14" s="1"/>
  <c r="I1089" i="14" s="1"/>
  <c r="J1252" i="13" a="1"/>
  <c r="J1252" i="13" s="1"/>
  <c r="N1253" i="13"/>
  <c r="M1256" i="14"/>
  <c r="M1255" i="13"/>
  <c r="J1251" i="14" a="1"/>
  <c r="J1251" i="14" s="1"/>
  <c r="N1252" i="14"/>
  <c r="K1066" i="13" l="1"/>
  <c r="L1066" i="13" s="1"/>
  <c r="I1067" i="13" s="1"/>
  <c r="K1089" i="14"/>
  <c r="L1089" i="14" s="1"/>
  <c r="I1090" i="14" s="1"/>
  <c r="M1257" i="14"/>
  <c r="N1254" i="13"/>
  <c r="J1253" i="13" a="1"/>
  <c r="J1253" i="13" s="1"/>
  <c r="N1253" i="14"/>
  <c r="J1252" i="14" a="1"/>
  <c r="J1252" i="14" s="1"/>
  <c r="M1256" i="13"/>
  <c r="K1067" i="13" l="1"/>
  <c r="L1067" i="13" s="1"/>
  <c r="I1068" i="13" s="1"/>
  <c r="K1090" i="14"/>
  <c r="L1090" i="14" s="1"/>
  <c r="I1091" i="14" s="1"/>
  <c r="J1254" i="13" a="1"/>
  <c r="J1254" i="13" s="1"/>
  <c r="N1255" i="13"/>
  <c r="M1257" i="13"/>
  <c r="J1253" i="14" a="1"/>
  <c r="J1253" i="14" s="1"/>
  <c r="N1254" i="14"/>
  <c r="M1258" i="14"/>
  <c r="K1068" i="13" l="1"/>
  <c r="L1068" i="13" s="1"/>
  <c r="I1069" i="13" s="1"/>
  <c r="K1091" i="14"/>
  <c r="L1091" i="14" s="1"/>
  <c r="I1092" i="14" s="1"/>
  <c r="J1254" i="14" a="1"/>
  <c r="J1254" i="14" s="1"/>
  <c r="N1255" i="14"/>
  <c r="M1259" i="14"/>
  <c r="M1258" i="13"/>
  <c r="J1255" i="13" a="1"/>
  <c r="J1255" i="13" s="1"/>
  <c r="N1256" i="13"/>
  <c r="K1069" i="13" l="1"/>
  <c r="L1069" i="13" s="1"/>
  <c r="I1070" i="13" s="1"/>
  <c r="K1092" i="14"/>
  <c r="L1092" i="14" s="1"/>
  <c r="I1093" i="14" s="1"/>
  <c r="M1260" i="14"/>
  <c r="J1256" i="13" a="1"/>
  <c r="J1256" i="13" s="1"/>
  <c r="N1257" i="13"/>
  <c r="J1255" i="14" a="1"/>
  <c r="J1255" i="14" s="1"/>
  <c r="N1256" i="14"/>
  <c r="M1259" i="13"/>
  <c r="K1070" i="13" l="1"/>
  <c r="L1070" i="13" s="1"/>
  <c r="I1071" i="13" s="1"/>
  <c r="K1093" i="14"/>
  <c r="L1093" i="14" s="1"/>
  <c r="I1094" i="14" s="1"/>
  <c r="N1258" i="13"/>
  <c r="J1257" i="13" a="1"/>
  <c r="J1257" i="13" s="1"/>
  <c r="M1260" i="13"/>
  <c r="N1257" i="14"/>
  <c r="J1256" i="14" a="1"/>
  <c r="J1256" i="14" s="1"/>
  <c r="M1261" i="14"/>
  <c r="K1071" i="13" l="1"/>
  <c r="L1071" i="13" s="1"/>
  <c r="I1072" i="13" s="1"/>
  <c r="K1094" i="14"/>
  <c r="L1094" i="14" s="1"/>
  <c r="I1095" i="14" s="1"/>
  <c r="M1261" i="13"/>
  <c r="M1262" i="14"/>
  <c r="J1257" i="14" a="1"/>
  <c r="J1257" i="14" s="1"/>
  <c r="N1258" i="14"/>
  <c r="J1258" i="13" a="1"/>
  <c r="J1258" i="13" s="1"/>
  <c r="N1259" i="13"/>
  <c r="K1072" i="13" l="1"/>
  <c r="L1072" i="13" s="1"/>
  <c r="I1073" i="13" s="1"/>
  <c r="K1095" i="14"/>
  <c r="L1095" i="14" s="1"/>
  <c r="I1096" i="14" s="1"/>
  <c r="M1263" i="14"/>
  <c r="J1258" i="14" a="1"/>
  <c r="J1258" i="14" s="1"/>
  <c r="N1259" i="14"/>
  <c r="J1259" i="13" a="1"/>
  <c r="J1259" i="13" s="1"/>
  <c r="N1260" i="13"/>
  <c r="M1262" i="13"/>
  <c r="K1073" i="13" l="1"/>
  <c r="L1073" i="13" s="1"/>
  <c r="I1074" i="13" s="1"/>
  <c r="K1096" i="14"/>
  <c r="L1096" i="14" s="1"/>
  <c r="I1097" i="14" s="1"/>
  <c r="J1259" i="14" a="1"/>
  <c r="J1259" i="14" s="1"/>
  <c r="N1260" i="14"/>
  <c r="J1260" i="13" a="1"/>
  <c r="J1260" i="13" s="1"/>
  <c r="N1261" i="13"/>
  <c r="M1264" i="14"/>
  <c r="M1263" i="13"/>
  <c r="K1074" i="13" l="1"/>
  <c r="L1074" i="13" s="1"/>
  <c r="I1075" i="13" s="1"/>
  <c r="K1097" i="14"/>
  <c r="L1097" i="14" s="1"/>
  <c r="I1098" i="14" s="1"/>
  <c r="N1262" i="13"/>
  <c r="J1261" i="13" a="1"/>
  <c r="J1261" i="13" s="1"/>
  <c r="M1265" i="14"/>
  <c r="M1264" i="13"/>
  <c r="N1261" i="14"/>
  <c r="J1260" i="14" a="1"/>
  <c r="J1260" i="14" s="1"/>
  <c r="K1075" i="13" l="1"/>
  <c r="L1075" i="13" s="1"/>
  <c r="I1076" i="13" s="1"/>
  <c r="K1098" i="14"/>
  <c r="L1098" i="14" s="1"/>
  <c r="I1099" i="14" s="1"/>
  <c r="J1261" i="14" a="1"/>
  <c r="J1261" i="14" s="1"/>
  <c r="N1262" i="14"/>
  <c r="M1266" i="14"/>
  <c r="M1265" i="13"/>
  <c r="J1262" i="13" a="1"/>
  <c r="J1262" i="13" s="1"/>
  <c r="N1263" i="13"/>
  <c r="K1076" i="13" l="1"/>
  <c r="L1076" i="13" s="1"/>
  <c r="I1077" i="13" s="1"/>
  <c r="K1099" i="14"/>
  <c r="L1099" i="14" s="1"/>
  <c r="I1100" i="14" s="1"/>
  <c r="M1267" i="14"/>
  <c r="J1263" i="13" a="1"/>
  <c r="J1263" i="13" s="1"/>
  <c r="N1264" i="13"/>
  <c r="J1262" i="14" a="1"/>
  <c r="J1262" i="14" s="1"/>
  <c r="N1263" i="14"/>
  <c r="M1266" i="13"/>
  <c r="K1077" i="13" l="1"/>
  <c r="L1077" i="13" s="1"/>
  <c r="I1078" i="13" s="1"/>
  <c r="K1100" i="14"/>
  <c r="L1100" i="14" s="1"/>
  <c r="I1101" i="14" s="1"/>
  <c r="J1264" i="13" a="1"/>
  <c r="J1264" i="13" s="1"/>
  <c r="N1265" i="13"/>
  <c r="J1263" i="14" a="1"/>
  <c r="J1263" i="14" s="1"/>
  <c r="N1264" i="14"/>
  <c r="M1268" i="14"/>
  <c r="M1267" i="13"/>
  <c r="K1078" i="13" l="1"/>
  <c r="L1078" i="13" s="1"/>
  <c r="I1079" i="13" s="1"/>
  <c r="M1269" i="14"/>
  <c r="N1265" i="14"/>
  <c r="J1264" i="14" a="1"/>
  <c r="J1264" i="14" s="1"/>
  <c r="K1101" i="14"/>
  <c r="L1101" i="14" s="1"/>
  <c r="I1102" i="14" s="1"/>
  <c r="M1268" i="13"/>
  <c r="N1266" i="13"/>
  <c r="J1265" i="13" a="1"/>
  <c r="J1265" i="13" s="1"/>
  <c r="K1079" i="13" l="1"/>
  <c r="L1079" i="13" s="1"/>
  <c r="I1080" i="13" s="1"/>
  <c r="K1102" i="14"/>
  <c r="L1102" i="14" s="1"/>
  <c r="I1103" i="14" s="1"/>
  <c r="M1269" i="13"/>
  <c r="J1265" i="14" a="1"/>
  <c r="J1265" i="14" s="1"/>
  <c r="N1266" i="14"/>
  <c r="J1266" i="13" a="1"/>
  <c r="J1266" i="13" s="1"/>
  <c r="N1267" i="13"/>
  <c r="M1270" i="14"/>
  <c r="K1080" i="13" l="1"/>
  <c r="L1080" i="13" s="1"/>
  <c r="I1081" i="13" s="1"/>
  <c r="K1103" i="14"/>
  <c r="L1103" i="14" s="1"/>
  <c r="I1104" i="14" s="1"/>
  <c r="J1267" i="13" a="1"/>
  <c r="J1267" i="13" s="1"/>
  <c r="N1268" i="13"/>
  <c r="J1266" i="14" a="1"/>
  <c r="J1266" i="14" s="1"/>
  <c r="N1267" i="14"/>
  <c r="M1271" i="14"/>
  <c r="M1270" i="13"/>
  <c r="K1081" i="13" l="1"/>
  <c r="L1081" i="13" s="1"/>
  <c r="I1082" i="13" s="1"/>
  <c r="K1104" i="14"/>
  <c r="L1104" i="14" s="1"/>
  <c r="I1105" i="14" s="1"/>
  <c r="J1267" i="14" a="1"/>
  <c r="J1267" i="14" s="1"/>
  <c r="N1268" i="14"/>
  <c r="M1271" i="13"/>
  <c r="J1268" i="13" a="1"/>
  <c r="J1268" i="13" s="1"/>
  <c r="N1269" i="13"/>
  <c r="M1272" i="14"/>
  <c r="K1082" i="13" l="1"/>
  <c r="L1082" i="13" s="1"/>
  <c r="I1083" i="13" s="1"/>
  <c r="K1105" i="14"/>
  <c r="L1105" i="14" s="1"/>
  <c r="I1106" i="14" s="1"/>
  <c r="N1269" i="14"/>
  <c r="J1268" i="14" a="1"/>
  <c r="J1268" i="14" s="1"/>
  <c r="M1273" i="14"/>
  <c r="N1270" i="13"/>
  <c r="J1269" i="13" a="1"/>
  <c r="J1269" i="13" s="1"/>
  <c r="M1272" i="13"/>
  <c r="K1083" i="13" l="1"/>
  <c r="L1083" i="13" s="1"/>
  <c r="I1084" i="13" s="1"/>
  <c r="K1106" i="14"/>
  <c r="L1106" i="14" s="1"/>
  <c r="I1107" i="14" s="1"/>
  <c r="M1273" i="13"/>
  <c r="M1274" i="14"/>
  <c r="J1270" i="13" a="1"/>
  <c r="J1270" i="13" s="1"/>
  <c r="N1271" i="13"/>
  <c r="J1269" i="14" a="1"/>
  <c r="J1269" i="14" s="1"/>
  <c r="N1270" i="14"/>
  <c r="K1084" i="13" l="1"/>
  <c r="L1084" i="13" s="1"/>
  <c r="I1085" i="13" s="1"/>
  <c r="K1107" i="14"/>
  <c r="L1107" i="14" s="1"/>
  <c r="I1108" i="14" s="1"/>
  <c r="J1270" i="14" a="1"/>
  <c r="J1270" i="14" s="1"/>
  <c r="N1271" i="14"/>
  <c r="J1271" i="13" a="1"/>
  <c r="J1271" i="13" s="1"/>
  <c r="N1272" i="13"/>
  <c r="M1275" i="14"/>
  <c r="M1274" i="13"/>
  <c r="K1085" i="13" l="1"/>
  <c r="L1085" i="13" s="1"/>
  <c r="I1086" i="13" s="1"/>
  <c r="K1108" i="14"/>
  <c r="L1108" i="14" s="1"/>
  <c r="I1109" i="14" s="1"/>
  <c r="J1272" i="13" a="1"/>
  <c r="J1272" i="13" s="1"/>
  <c r="N1273" i="13"/>
  <c r="J1271" i="14" a="1"/>
  <c r="J1271" i="14" s="1"/>
  <c r="N1272" i="14"/>
  <c r="M1275" i="13"/>
  <c r="M1276" i="14"/>
  <c r="K1086" i="13" l="1"/>
  <c r="L1086" i="13" s="1"/>
  <c r="I1087" i="13" s="1"/>
  <c r="K1109" i="14"/>
  <c r="L1109" i="14" s="1"/>
  <c r="I1110" i="14" s="1"/>
  <c r="N1273" i="14"/>
  <c r="J1272" i="14" a="1"/>
  <c r="J1272" i="14" s="1"/>
  <c r="N1274" i="13"/>
  <c r="J1273" i="13" a="1"/>
  <c r="J1273" i="13" s="1"/>
  <c r="M1277" i="14"/>
  <c r="M1276" i="13"/>
  <c r="K1087" i="13" l="1"/>
  <c r="L1087" i="13" s="1"/>
  <c r="I1088" i="13" s="1"/>
  <c r="K1110" i="14"/>
  <c r="L1110" i="14" s="1"/>
  <c r="I1111" i="14" s="1"/>
  <c r="M1277" i="13"/>
  <c r="J1274" i="13" a="1"/>
  <c r="J1274" i="13" s="1"/>
  <c r="N1275" i="13"/>
  <c r="M1278" i="14"/>
  <c r="J1273" i="14" a="1"/>
  <c r="J1273" i="14" s="1"/>
  <c r="N1274" i="14"/>
  <c r="K1088" i="13" l="1"/>
  <c r="L1088" i="13" s="1"/>
  <c r="I1089" i="13" s="1"/>
  <c r="K1111" i="14"/>
  <c r="L1111" i="14" s="1"/>
  <c r="I1112" i="14" s="1"/>
  <c r="J1275" i="13" a="1"/>
  <c r="J1275" i="13" s="1"/>
  <c r="N1276" i="13"/>
  <c r="J1274" i="14" a="1"/>
  <c r="J1274" i="14" s="1"/>
  <c r="N1275" i="14"/>
  <c r="M1279" i="14"/>
  <c r="M1278" i="13"/>
  <c r="K1089" i="13" l="1"/>
  <c r="L1089" i="13" s="1"/>
  <c r="I1090" i="13" s="1"/>
  <c r="K1112" i="14"/>
  <c r="L1112" i="14" s="1"/>
  <c r="I1113" i="14" s="1"/>
  <c r="J1275" i="14" a="1"/>
  <c r="J1275" i="14" s="1"/>
  <c r="N1276" i="14"/>
  <c r="J1276" i="13" a="1"/>
  <c r="J1276" i="13" s="1"/>
  <c r="N1277" i="13"/>
  <c r="M1279" i="13"/>
  <c r="M1280" i="14"/>
  <c r="K1090" i="13" l="1"/>
  <c r="L1090" i="13" s="1"/>
  <c r="I1091" i="13" s="1"/>
  <c r="K1113" i="14"/>
  <c r="L1113" i="14" s="1"/>
  <c r="I1114" i="14" s="1"/>
  <c r="N1278" i="13"/>
  <c r="J1277" i="13" a="1"/>
  <c r="J1277" i="13" s="1"/>
  <c r="M1281" i="14"/>
  <c r="N1277" i="14"/>
  <c r="J1276" i="14" a="1"/>
  <c r="J1276" i="14" s="1"/>
  <c r="M1280" i="13"/>
  <c r="K1091" i="13" l="1"/>
  <c r="L1091" i="13" s="1"/>
  <c r="I1092" i="13" s="1"/>
  <c r="K1114" i="14"/>
  <c r="L1114" i="14" s="1"/>
  <c r="I1115" i="14" s="1"/>
  <c r="M1281" i="13"/>
  <c r="M1282" i="14"/>
  <c r="J1277" i="14" a="1"/>
  <c r="J1277" i="14" s="1"/>
  <c r="N1278" i="14"/>
  <c r="J1278" i="13" a="1"/>
  <c r="J1278" i="13" s="1"/>
  <c r="N1279" i="13"/>
  <c r="K1092" i="13" l="1"/>
  <c r="L1092" i="13" s="1"/>
  <c r="I1093" i="13" s="1"/>
  <c r="K1115" i="14"/>
  <c r="L1115" i="14" s="1"/>
  <c r="I1116" i="14" s="1"/>
  <c r="M1283" i="14"/>
  <c r="J1278" i="14" a="1"/>
  <c r="J1278" i="14" s="1"/>
  <c r="N1279" i="14"/>
  <c r="J1279" i="13" a="1"/>
  <c r="J1279" i="13" s="1"/>
  <c r="N1280" i="13"/>
  <c r="M1282" i="13"/>
  <c r="K1093" i="13" l="1"/>
  <c r="L1093" i="13" s="1"/>
  <c r="I1094" i="13" s="1"/>
  <c r="K1116" i="14"/>
  <c r="L1116" i="14" s="1"/>
  <c r="I1117" i="14" s="1"/>
  <c r="J1279" i="14" a="1"/>
  <c r="J1279" i="14" s="1"/>
  <c r="N1280" i="14"/>
  <c r="M1283" i="13"/>
  <c r="J1280" i="13" a="1"/>
  <c r="J1280" i="13" s="1"/>
  <c r="N1281" i="13"/>
  <c r="M1284" i="14"/>
  <c r="K1094" i="13" l="1"/>
  <c r="L1094" i="13" s="1"/>
  <c r="I1095" i="13" s="1"/>
  <c r="K1117" i="14"/>
  <c r="L1117" i="14" s="1"/>
  <c r="I1118" i="14" s="1"/>
  <c r="N1282" i="13"/>
  <c r="J1281" i="13" a="1"/>
  <c r="J1281" i="13" s="1"/>
  <c r="M1285" i="14"/>
  <c r="M1284" i="13"/>
  <c r="N1281" i="14"/>
  <c r="J1280" i="14" a="1"/>
  <c r="J1280" i="14" s="1"/>
  <c r="K1095" i="13" l="1"/>
  <c r="L1095" i="13" s="1"/>
  <c r="I1096" i="13" s="1"/>
  <c r="K1118" i="14"/>
  <c r="L1118" i="14" s="1"/>
  <c r="I1119" i="14" s="1"/>
  <c r="J1281" i="14" a="1"/>
  <c r="J1281" i="14" s="1"/>
  <c r="N1282" i="14"/>
  <c r="M1286" i="14"/>
  <c r="M1285" i="13"/>
  <c r="J1282" i="13" a="1"/>
  <c r="J1282" i="13" s="1"/>
  <c r="N1283" i="13"/>
  <c r="K1096" i="13" l="1"/>
  <c r="L1096" i="13" s="1"/>
  <c r="I1097" i="13" s="1"/>
  <c r="K1119" i="14"/>
  <c r="L1119" i="14" s="1"/>
  <c r="I1120" i="14" s="1"/>
  <c r="M1287" i="14"/>
  <c r="J1282" i="14" a="1"/>
  <c r="J1282" i="14" s="1"/>
  <c r="N1283" i="14"/>
  <c r="J1283" i="13" a="1"/>
  <c r="J1283" i="13" s="1"/>
  <c r="N1284" i="13"/>
  <c r="M1286" i="13"/>
  <c r="K1097" i="13" l="1"/>
  <c r="L1097" i="13" s="1"/>
  <c r="I1098" i="13" s="1"/>
  <c r="K1120" i="14"/>
  <c r="L1120" i="14" s="1"/>
  <c r="I1121" i="14" s="1"/>
  <c r="J1283" i="14" a="1"/>
  <c r="J1283" i="14" s="1"/>
  <c r="N1284" i="14"/>
  <c r="M1287" i="13"/>
  <c r="J1284" i="13" a="1"/>
  <c r="J1284" i="13" s="1"/>
  <c r="N1285" i="13"/>
  <c r="M1288" i="14"/>
  <c r="K1098" i="13" l="1"/>
  <c r="L1098" i="13" s="1"/>
  <c r="I1099" i="13" s="1"/>
  <c r="K1121" i="14"/>
  <c r="L1121" i="14" s="1"/>
  <c r="I1122" i="14" s="1"/>
  <c r="M1289" i="14"/>
  <c r="M1288" i="13"/>
  <c r="N1286" i="13"/>
  <c r="J1285" i="13" a="1"/>
  <c r="J1285" i="13" s="1"/>
  <c r="N1285" i="14"/>
  <c r="J1284" i="14" a="1"/>
  <c r="J1284" i="14" s="1"/>
  <c r="K1099" i="13" l="1"/>
  <c r="L1099" i="13" s="1"/>
  <c r="I1100" i="13" s="1"/>
  <c r="K1122" i="14"/>
  <c r="L1122" i="14" s="1"/>
  <c r="I1123" i="14" s="1"/>
  <c r="M1289" i="13"/>
  <c r="J1285" i="14" a="1"/>
  <c r="J1285" i="14" s="1"/>
  <c r="N1286" i="14"/>
  <c r="J1286" i="13" a="1"/>
  <c r="J1286" i="13" s="1"/>
  <c r="N1287" i="13"/>
  <c r="M1290" i="14"/>
  <c r="K1100" i="13" l="1"/>
  <c r="L1100" i="13" s="1"/>
  <c r="I1101" i="13" s="1"/>
  <c r="K1123" i="14"/>
  <c r="L1123" i="14" s="1"/>
  <c r="I1124" i="14" s="1"/>
  <c r="J1286" i="14" a="1"/>
  <c r="J1286" i="14" s="1"/>
  <c r="N1287" i="14"/>
  <c r="J1287" i="13" a="1"/>
  <c r="J1287" i="13" s="1"/>
  <c r="N1288" i="13"/>
  <c r="M1291" i="14"/>
  <c r="M1290" i="13"/>
  <c r="K1101" i="13" l="1"/>
  <c r="L1101" i="13" s="1"/>
  <c r="I1102" i="13" s="1"/>
  <c r="K1124" i="14"/>
  <c r="L1124" i="14" s="1"/>
  <c r="I1125" i="14" s="1"/>
  <c r="J1288" i="13" a="1"/>
  <c r="J1288" i="13" s="1"/>
  <c r="N1289" i="13"/>
  <c r="M1291" i="13"/>
  <c r="M1292" i="14"/>
  <c r="J1287" i="14" a="1"/>
  <c r="J1287" i="14" s="1"/>
  <c r="N1288" i="14"/>
  <c r="K1102" i="13" l="1"/>
  <c r="L1102" i="13" s="1"/>
  <c r="I1103" i="13" s="1"/>
  <c r="K1125" i="14"/>
  <c r="L1125" i="14" s="1"/>
  <c r="I1126" i="14" s="1"/>
  <c r="N1290" i="13"/>
  <c r="J1289" i="13" a="1"/>
  <c r="J1289" i="13" s="1"/>
  <c r="M1293" i="14"/>
  <c r="N1289" i="14"/>
  <c r="J1288" i="14" a="1"/>
  <c r="J1288" i="14" s="1"/>
  <c r="M1292" i="13"/>
  <c r="K1103" i="13" l="1"/>
  <c r="L1103" i="13" s="1"/>
  <c r="I1104" i="13" s="1"/>
  <c r="K1126" i="14"/>
  <c r="L1126" i="14" s="1"/>
  <c r="I1127" i="14" s="1"/>
  <c r="M1293" i="13"/>
  <c r="M1294" i="14"/>
  <c r="J1289" i="14" a="1"/>
  <c r="J1289" i="14" s="1"/>
  <c r="N1290" i="14"/>
  <c r="J1290" i="13" a="1"/>
  <c r="J1290" i="13" s="1"/>
  <c r="N1291" i="13"/>
  <c r="K1104" i="13" l="1"/>
  <c r="L1104" i="13" s="1"/>
  <c r="I1105" i="13" s="1"/>
  <c r="K1127" i="14"/>
  <c r="L1127" i="14" s="1"/>
  <c r="I1128" i="14" s="1"/>
  <c r="M1295" i="14"/>
  <c r="J1290" i="14" a="1"/>
  <c r="J1290" i="14" s="1"/>
  <c r="N1291" i="14"/>
  <c r="J1291" i="13" a="1"/>
  <c r="J1291" i="13" s="1"/>
  <c r="N1292" i="13"/>
  <c r="M1294" i="13"/>
  <c r="K1105" i="13" l="1"/>
  <c r="L1105" i="13" s="1"/>
  <c r="I1106" i="13" s="1"/>
  <c r="K1128" i="14"/>
  <c r="L1128" i="14" s="1"/>
  <c r="I1129" i="14" s="1"/>
  <c r="J1291" i="14" a="1"/>
  <c r="J1291" i="14" s="1"/>
  <c r="N1292" i="14"/>
  <c r="J1292" i="13" a="1"/>
  <c r="J1292" i="13" s="1"/>
  <c r="N1293" i="13"/>
  <c r="M1296" i="14"/>
  <c r="M1295" i="13"/>
  <c r="K1106" i="13" l="1"/>
  <c r="L1106" i="13" s="1"/>
  <c r="I1107" i="13" s="1"/>
  <c r="K1129" i="14"/>
  <c r="L1129" i="14" s="1"/>
  <c r="I1130" i="14" s="1"/>
  <c r="N1294" i="13"/>
  <c r="J1293" i="13" a="1"/>
  <c r="J1293" i="13" s="1"/>
  <c r="N1293" i="14"/>
  <c r="J1292" i="14" a="1"/>
  <c r="J1292" i="14" s="1"/>
  <c r="M1296" i="13"/>
  <c r="M1297" i="14"/>
  <c r="K1107" i="13" l="1"/>
  <c r="L1107" i="13" s="1"/>
  <c r="I1108" i="13" s="1"/>
  <c r="K1130" i="14"/>
  <c r="L1130" i="14" s="1"/>
  <c r="I1131" i="14" s="1"/>
  <c r="M1298" i="14"/>
  <c r="J1293" i="14" a="1"/>
  <c r="J1293" i="14" s="1"/>
  <c r="N1294" i="14"/>
  <c r="M1297" i="13"/>
  <c r="J1294" i="13" a="1"/>
  <c r="J1294" i="13" s="1"/>
  <c r="N1295" i="13"/>
  <c r="K1108" i="13" l="1"/>
  <c r="L1108" i="13" s="1"/>
  <c r="I1109" i="13" s="1"/>
  <c r="K1131" i="14"/>
  <c r="L1131" i="14" s="1"/>
  <c r="I1132" i="14" s="1"/>
  <c r="J1294" i="14" a="1"/>
  <c r="J1294" i="14" s="1"/>
  <c r="N1295" i="14"/>
  <c r="J1295" i="13" a="1"/>
  <c r="J1295" i="13" s="1"/>
  <c r="N1296" i="13"/>
  <c r="M1298" i="13"/>
  <c r="M1299" i="14"/>
  <c r="K1109" i="13" l="1"/>
  <c r="L1109" i="13" s="1"/>
  <c r="I1110" i="13" s="1"/>
  <c r="K1132" i="14"/>
  <c r="L1132" i="14" s="1"/>
  <c r="I1133" i="14" s="1"/>
  <c r="M1300" i="14"/>
  <c r="J1296" i="13" a="1"/>
  <c r="J1296" i="13" s="1"/>
  <c r="N1297" i="13"/>
  <c r="J1295" i="14" a="1"/>
  <c r="J1295" i="14" s="1"/>
  <c r="N1296" i="14"/>
  <c r="M1299" i="13"/>
  <c r="K1110" i="13" l="1"/>
  <c r="L1110" i="13" s="1"/>
  <c r="I1111" i="13" s="1"/>
  <c r="K1133" i="14"/>
  <c r="L1133" i="14" s="1"/>
  <c r="I1134" i="14" s="1"/>
  <c r="M1300" i="13"/>
  <c r="N1298" i="13"/>
  <c r="J1297" i="13" a="1"/>
  <c r="J1297" i="13" s="1"/>
  <c r="N1297" i="14"/>
  <c r="J1296" i="14" a="1"/>
  <c r="J1296" i="14" s="1"/>
  <c r="M1301" i="14"/>
  <c r="K1111" i="13" l="1"/>
  <c r="L1111" i="13" s="1"/>
  <c r="I1112" i="13" s="1"/>
  <c r="K1134" i="14"/>
  <c r="L1134" i="14" s="1"/>
  <c r="I1135" i="14" s="1"/>
  <c r="J1298" i="13" a="1"/>
  <c r="J1298" i="13" s="1"/>
  <c r="N1299" i="13"/>
  <c r="M1302" i="14"/>
  <c r="M1301" i="13"/>
  <c r="J1297" i="14" a="1"/>
  <c r="J1297" i="14" s="1"/>
  <c r="N1298" i="14"/>
  <c r="K1112" i="13" l="1"/>
  <c r="L1112" i="13" s="1"/>
  <c r="I1113" i="13" s="1"/>
  <c r="K1135" i="14"/>
  <c r="L1135" i="14" s="1"/>
  <c r="I1136" i="14" s="1"/>
  <c r="J1298" i="14" a="1"/>
  <c r="J1298" i="14" s="1"/>
  <c r="N1299" i="14"/>
  <c r="M1303" i="14"/>
  <c r="J1299" i="13" a="1"/>
  <c r="J1299" i="13" s="1"/>
  <c r="N1300" i="13"/>
  <c r="M1302" i="13"/>
  <c r="K1113" i="13" l="1"/>
  <c r="L1113" i="13" s="1"/>
  <c r="I1114" i="13" s="1"/>
  <c r="K1136" i="14"/>
  <c r="L1136" i="14" s="1"/>
  <c r="I1137" i="14" s="1"/>
  <c r="M1304" i="14"/>
  <c r="M1303" i="13"/>
  <c r="J1300" i="13" a="1"/>
  <c r="J1300" i="13" s="1"/>
  <c r="N1301" i="13"/>
  <c r="J1299" i="14" a="1"/>
  <c r="J1299" i="14" s="1"/>
  <c r="N1300" i="14"/>
  <c r="K1114" i="13" l="1"/>
  <c r="L1114" i="13" s="1"/>
  <c r="I1115" i="13" s="1"/>
  <c r="K1137" i="14"/>
  <c r="L1137" i="14" s="1"/>
  <c r="I1138" i="14" s="1"/>
  <c r="M1304" i="13"/>
  <c r="N1301" i="14"/>
  <c r="J1300" i="14" a="1"/>
  <c r="J1300" i="14" s="1"/>
  <c r="N1302" i="13"/>
  <c r="J1301" i="13" a="1"/>
  <c r="J1301" i="13" s="1"/>
  <c r="M1305" i="14"/>
  <c r="K1115" i="13" l="1"/>
  <c r="L1115" i="13" s="1"/>
  <c r="I1116" i="13" s="1"/>
  <c r="K1138" i="14"/>
  <c r="L1138" i="14" s="1"/>
  <c r="I1139" i="14" s="1"/>
  <c r="J1301" i="14" a="1"/>
  <c r="J1301" i="14" s="1"/>
  <c r="N1302" i="14"/>
  <c r="M1305" i="13"/>
  <c r="M1306" i="14"/>
  <c r="J1302" i="13" a="1"/>
  <c r="J1302" i="13" s="1"/>
  <c r="N1303" i="13"/>
  <c r="K1116" i="13" l="1"/>
  <c r="L1116" i="13" s="1"/>
  <c r="I1117" i="13" s="1"/>
  <c r="K1139" i="14"/>
  <c r="L1139" i="14" s="1"/>
  <c r="I1140" i="14" s="1"/>
  <c r="J1303" i="13" a="1"/>
  <c r="J1303" i="13" s="1"/>
  <c r="N1304" i="13"/>
  <c r="M1306" i="13"/>
  <c r="J1302" i="14" a="1"/>
  <c r="J1302" i="14" s="1"/>
  <c r="N1303" i="14"/>
  <c r="M1307" i="14"/>
  <c r="K1117" i="13" l="1"/>
  <c r="L1117" i="13" s="1"/>
  <c r="I1118" i="13" s="1"/>
  <c r="K1140" i="14"/>
  <c r="L1140" i="14" s="1"/>
  <c r="I1141" i="14" s="1"/>
  <c r="M1308" i="14"/>
  <c r="M1307" i="13"/>
  <c r="J1304" i="13" a="1"/>
  <c r="J1304" i="13" s="1"/>
  <c r="N1305" i="13"/>
  <c r="J1303" i="14" a="1"/>
  <c r="J1303" i="14" s="1"/>
  <c r="N1304" i="14"/>
  <c r="K1118" i="13" l="1"/>
  <c r="L1118" i="13" s="1"/>
  <c r="I1119" i="13" s="1"/>
  <c r="K1141" i="14"/>
  <c r="L1141" i="14" s="1"/>
  <c r="I1142" i="14" s="1"/>
  <c r="M1308" i="13"/>
  <c r="N1305" i="14"/>
  <c r="J1304" i="14" a="1"/>
  <c r="J1304" i="14" s="1"/>
  <c r="N1306" i="13"/>
  <c r="J1305" i="13" a="1"/>
  <c r="J1305" i="13" s="1"/>
  <c r="M1309" i="14"/>
  <c r="K1119" i="13" l="1"/>
  <c r="L1119" i="13" s="1"/>
  <c r="I1120" i="13" s="1"/>
  <c r="K1142" i="14"/>
  <c r="L1142" i="14" s="1"/>
  <c r="I1143" i="14" s="1"/>
  <c r="J1305" i="14" a="1"/>
  <c r="J1305" i="14" s="1"/>
  <c r="N1306" i="14"/>
  <c r="M1309" i="13"/>
  <c r="M1310" i="14"/>
  <c r="J1306" i="13" a="1"/>
  <c r="J1306" i="13" s="1"/>
  <c r="N1307" i="13"/>
  <c r="K1120" i="13" l="1"/>
  <c r="L1120" i="13" s="1"/>
  <c r="I1121" i="13" s="1"/>
  <c r="K1143" i="14"/>
  <c r="L1143" i="14" s="1"/>
  <c r="I1144" i="14" s="1"/>
  <c r="J1307" i="13" a="1"/>
  <c r="J1307" i="13" s="1"/>
  <c r="N1308" i="13"/>
  <c r="M1310" i="13"/>
  <c r="J1306" i="14" a="1"/>
  <c r="J1306" i="14" s="1"/>
  <c r="N1307" i="14"/>
  <c r="M1311" i="14"/>
  <c r="K1121" i="13" l="1"/>
  <c r="L1121" i="13" s="1"/>
  <c r="I1122" i="13" s="1"/>
  <c r="K1144" i="14"/>
  <c r="L1144" i="14" s="1"/>
  <c r="I1145" i="14" s="1"/>
  <c r="M1311" i="13"/>
  <c r="J1307" i="14" a="1"/>
  <c r="J1307" i="14" s="1"/>
  <c r="N1308" i="14"/>
  <c r="J1308" i="13" a="1"/>
  <c r="J1308" i="13" s="1"/>
  <c r="N1309" i="13"/>
  <c r="M1312" i="14"/>
  <c r="K1122" i="13" l="1"/>
  <c r="L1122" i="13" s="1"/>
  <c r="I1123" i="13" s="1"/>
  <c r="K1145" i="14"/>
  <c r="L1145" i="14" s="1"/>
  <c r="I1146" i="14" s="1"/>
  <c r="N1310" i="13"/>
  <c r="J1309" i="13" a="1"/>
  <c r="J1309" i="13" s="1"/>
  <c r="N1309" i="14"/>
  <c r="J1308" i="14" a="1"/>
  <c r="J1308" i="14" s="1"/>
  <c r="M1313" i="14"/>
  <c r="M1312" i="13"/>
  <c r="K1123" i="13" l="1"/>
  <c r="L1123" i="13" s="1"/>
  <c r="I1124" i="13" s="1"/>
  <c r="K1146" i="14"/>
  <c r="L1146" i="14" s="1"/>
  <c r="I1147" i="14" s="1"/>
  <c r="M1313" i="13"/>
  <c r="J1309" i="14" a="1"/>
  <c r="J1309" i="14" s="1"/>
  <c r="N1310" i="14"/>
  <c r="M1314" i="14"/>
  <c r="J1310" i="13" a="1"/>
  <c r="J1310" i="13" s="1"/>
  <c r="N1311" i="13"/>
  <c r="K1124" i="13" l="1"/>
  <c r="L1124" i="13" s="1"/>
  <c r="I1125" i="13" s="1"/>
  <c r="K1147" i="14"/>
  <c r="L1147" i="14" s="1"/>
  <c r="I1148" i="14" s="1"/>
  <c r="J1311" i="13" a="1"/>
  <c r="J1311" i="13" s="1"/>
  <c r="N1312" i="13"/>
  <c r="J1310" i="14" a="1"/>
  <c r="J1310" i="14" s="1"/>
  <c r="N1311" i="14"/>
  <c r="M1315" i="14"/>
  <c r="M1314" i="13"/>
  <c r="K1125" i="13" l="1"/>
  <c r="L1125" i="13" s="1"/>
  <c r="I1126" i="13" s="1"/>
  <c r="K1148" i="14"/>
  <c r="L1148" i="14" s="1"/>
  <c r="I1149" i="14" s="1"/>
  <c r="J1311" i="14" a="1"/>
  <c r="J1311" i="14" s="1"/>
  <c r="N1312" i="14"/>
  <c r="J1312" i="13" a="1"/>
  <c r="J1312" i="13" s="1"/>
  <c r="N1313" i="13"/>
  <c r="M1315" i="13"/>
  <c r="M1316" i="14"/>
  <c r="K1126" i="13" l="1"/>
  <c r="L1126" i="13" s="1"/>
  <c r="I1127" i="13" s="1"/>
  <c r="K1149" i="14"/>
  <c r="L1149" i="14" s="1"/>
  <c r="I1150" i="14" s="1"/>
  <c r="N1314" i="13"/>
  <c r="J1313" i="13" a="1"/>
  <c r="J1313" i="13" s="1"/>
  <c r="N1313" i="14"/>
  <c r="J1312" i="14" a="1"/>
  <c r="J1312" i="14" s="1"/>
  <c r="M1317" i="14"/>
  <c r="M1316" i="13"/>
  <c r="K1127" i="13" l="1"/>
  <c r="L1127" i="13" s="1"/>
  <c r="I1128" i="13" s="1"/>
  <c r="K1150" i="14"/>
  <c r="L1150" i="14" s="1"/>
  <c r="I1151" i="14" s="1"/>
  <c r="J1313" i="14" a="1"/>
  <c r="J1313" i="14" s="1"/>
  <c r="N1314" i="14"/>
  <c r="M1317" i="13"/>
  <c r="M1318" i="14"/>
  <c r="J1314" i="13" a="1"/>
  <c r="J1314" i="13" s="1"/>
  <c r="N1315" i="13"/>
  <c r="K1128" i="13" l="1"/>
  <c r="L1128" i="13" s="1"/>
  <c r="I1129" i="13" s="1"/>
  <c r="K1151" i="14"/>
  <c r="L1151" i="14" s="1"/>
  <c r="I1152" i="14" s="1"/>
  <c r="M1318" i="13"/>
  <c r="J1315" i="13" a="1"/>
  <c r="J1315" i="13" s="1"/>
  <c r="N1316" i="13"/>
  <c r="J1314" i="14" a="1"/>
  <c r="J1314" i="14" s="1"/>
  <c r="N1315" i="14"/>
  <c r="M1319" i="14"/>
  <c r="K1129" i="13" l="1"/>
  <c r="L1129" i="13" s="1"/>
  <c r="I1130" i="13" s="1"/>
  <c r="K1152" i="14"/>
  <c r="L1152" i="14" s="1"/>
  <c r="I1153" i="14" s="1"/>
  <c r="J1316" i="13" a="1"/>
  <c r="J1316" i="13" s="1"/>
  <c r="N1317" i="13"/>
  <c r="M1320" i="14"/>
  <c r="J1315" i="14" a="1"/>
  <c r="J1315" i="14" s="1"/>
  <c r="N1316" i="14"/>
  <c r="M1319" i="13"/>
  <c r="K1130" i="13" l="1"/>
  <c r="L1130" i="13" s="1"/>
  <c r="I1131" i="13" s="1"/>
  <c r="K1153" i="14"/>
  <c r="L1153" i="14" s="1"/>
  <c r="I1154" i="14" s="1"/>
  <c r="M1320" i="13"/>
  <c r="M1321" i="14"/>
  <c r="N1317" i="14"/>
  <c r="J1316" i="14" a="1"/>
  <c r="J1316" i="14" s="1"/>
  <c r="N1318" i="13"/>
  <c r="J1317" i="13" a="1"/>
  <c r="J1317" i="13" s="1"/>
  <c r="K1131" i="13" l="1"/>
  <c r="L1131" i="13" s="1"/>
  <c r="I1132" i="13" s="1"/>
  <c r="K1154" i="14"/>
  <c r="L1154" i="14" s="1"/>
  <c r="I1155" i="14" s="1"/>
  <c r="J1318" i="13" a="1"/>
  <c r="J1318" i="13" s="1"/>
  <c r="N1319" i="13"/>
  <c r="M1322" i="14"/>
  <c r="M1321" i="13"/>
  <c r="J1317" i="14" a="1"/>
  <c r="J1317" i="14" s="1"/>
  <c r="N1318" i="14"/>
  <c r="K1132" i="13" l="1"/>
  <c r="L1132" i="13" s="1"/>
  <c r="I1133" i="13" s="1"/>
  <c r="K1155" i="14"/>
  <c r="L1155" i="14" s="1"/>
  <c r="I1156" i="14" s="1"/>
  <c r="J1318" i="14" a="1"/>
  <c r="J1318" i="14" s="1"/>
  <c r="N1319" i="14"/>
  <c r="M1323" i="14"/>
  <c r="J1319" i="13" a="1"/>
  <c r="J1319" i="13" s="1"/>
  <c r="N1320" i="13"/>
  <c r="M1322" i="13"/>
  <c r="K1133" i="13" l="1"/>
  <c r="L1133" i="13" s="1"/>
  <c r="I1134" i="13" s="1"/>
  <c r="K1156" i="14"/>
  <c r="L1156" i="14" s="1"/>
  <c r="I1157" i="14" s="1"/>
  <c r="M1324" i="14"/>
  <c r="M1323" i="13"/>
  <c r="J1320" i="13" a="1"/>
  <c r="J1320" i="13" s="1"/>
  <c r="N1321" i="13"/>
  <c r="J1319" i="14" a="1"/>
  <c r="J1319" i="14" s="1"/>
  <c r="N1320" i="14"/>
  <c r="K1134" i="13" l="1"/>
  <c r="L1134" i="13" s="1"/>
  <c r="I1135" i="13" s="1"/>
  <c r="K1157" i="14"/>
  <c r="L1157" i="14" s="1"/>
  <c r="I1158" i="14" s="1"/>
  <c r="N1321" i="14"/>
  <c r="J1320" i="14" a="1"/>
  <c r="J1320" i="14" s="1"/>
  <c r="M1324" i="13"/>
  <c r="N1322" i="13"/>
  <c r="J1321" i="13" a="1"/>
  <c r="J1321" i="13" s="1"/>
  <c r="M1325" i="14"/>
  <c r="K1135" i="13" l="1"/>
  <c r="L1135" i="13" s="1"/>
  <c r="I1136" i="13" s="1"/>
  <c r="K1158" i="14"/>
  <c r="L1158" i="14" s="1"/>
  <c r="I1159" i="14" s="1"/>
  <c r="M1325" i="13"/>
  <c r="M1326" i="14"/>
  <c r="J1322" i="13" a="1"/>
  <c r="J1322" i="13" s="1"/>
  <c r="N1323" i="13"/>
  <c r="J1321" i="14" a="1"/>
  <c r="J1321" i="14" s="1"/>
  <c r="N1322" i="14"/>
  <c r="K1136" i="13" l="1"/>
  <c r="L1136" i="13" s="1"/>
  <c r="I1137" i="13" s="1"/>
  <c r="K1159" i="14"/>
  <c r="L1159" i="14" s="1"/>
  <c r="I1160" i="14" s="1"/>
  <c r="J1322" i="14" a="1"/>
  <c r="J1322" i="14" s="1"/>
  <c r="N1323" i="14"/>
  <c r="M1327" i="14"/>
  <c r="J1323" i="13" a="1"/>
  <c r="J1323" i="13" s="1"/>
  <c r="N1324" i="13"/>
  <c r="M1326" i="13"/>
  <c r="K1137" i="13" l="1"/>
  <c r="L1137" i="13" s="1"/>
  <c r="I1138" i="13" s="1"/>
  <c r="K1160" i="14"/>
  <c r="L1160" i="14" s="1"/>
  <c r="I1161" i="14" s="1"/>
  <c r="M1328" i="14"/>
  <c r="M1327" i="13"/>
  <c r="J1324" i="13" a="1"/>
  <c r="J1324" i="13" s="1"/>
  <c r="N1325" i="13"/>
  <c r="J1323" i="14" a="1"/>
  <c r="J1323" i="14" s="1"/>
  <c r="N1324" i="14"/>
  <c r="K1138" i="13" l="1"/>
  <c r="L1138" i="13" s="1"/>
  <c r="I1139" i="13" s="1"/>
  <c r="K1161" i="14"/>
  <c r="L1161" i="14" s="1"/>
  <c r="I1162" i="14" s="1"/>
  <c r="N1325" i="14"/>
  <c r="J1324" i="14" a="1"/>
  <c r="J1324" i="14" s="1"/>
  <c r="M1328" i="13"/>
  <c r="N1326" i="13"/>
  <c r="J1325" i="13" a="1"/>
  <c r="J1325" i="13" s="1"/>
  <c r="M1329" i="14"/>
  <c r="K1139" i="13" l="1"/>
  <c r="L1139" i="13" s="1"/>
  <c r="I1140" i="13" s="1"/>
  <c r="M1329" i="13"/>
  <c r="K1162" i="14"/>
  <c r="L1162" i="14" s="1"/>
  <c r="I1163" i="14" s="1"/>
  <c r="M1330" i="14"/>
  <c r="J1326" i="13" a="1"/>
  <c r="J1326" i="13" s="1"/>
  <c r="N1327" i="13"/>
  <c r="J1325" i="14" a="1"/>
  <c r="J1325" i="14" s="1"/>
  <c r="N1326" i="14"/>
  <c r="K1140" i="13" l="1"/>
  <c r="L1140" i="13" s="1"/>
  <c r="I1141" i="13" s="1"/>
  <c r="K1163" i="14"/>
  <c r="L1163" i="14" s="1"/>
  <c r="I1164" i="14" s="1"/>
  <c r="M1330" i="13"/>
  <c r="J1326" i="14" a="1"/>
  <c r="J1326" i="14" s="1"/>
  <c r="N1327" i="14"/>
  <c r="M1331" i="14"/>
  <c r="J1327" i="13" a="1"/>
  <c r="J1327" i="13" s="1"/>
  <c r="N1328" i="13"/>
  <c r="K1141" i="13" l="1"/>
  <c r="L1141" i="13" s="1"/>
  <c r="I1142" i="13" s="1"/>
  <c r="K1164" i="14"/>
  <c r="L1164" i="14" s="1"/>
  <c r="I1165" i="14" s="1"/>
  <c r="J1328" i="13" a="1"/>
  <c r="J1328" i="13" s="1"/>
  <c r="N1329" i="13"/>
  <c r="J1327" i="14" a="1"/>
  <c r="J1327" i="14" s="1"/>
  <c r="N1328" i="14"/>
  <c r="M1332" i="14"/>
  <c r="M1331" i="13"/>
  <c r="K1142" i="13" l="1"/>
  <c r="L1142" i="13" s="1"/>
  <c r="I1143" i="13" s="1"/>
  <c r="K1165" i="14"/>
  <c r="L1165" i="14" s="1"/>
  <c r="I1166" i="14" s="1"/>
  <c r="M1332" i="13"/>
  <c r="N1330" i="13"/>
  <c r="J1329" i="13" a="1"/>
  <c r="J1329" i="13" s="1"/>
  <c r="N1329" i="14"/>
  <c r="J1328" i="14" a="1"/>
  <c r="J1328" i="14" s="1"/>
  <c r="M1333" i="14"/>
  <c r="K1143" i="13" l="1"/>
  <c r="L1143" i="13" s="1"/>
  <c r="I1144" i="13" s="1"/>
  <c r="K1166" i="14"/>
  <c r="L1166" i="14" s="1"/>
  <c r="I1167" i="14" s="1"/>
  <c r="M1334" i="14"/>
  <c r="J1330" i="13" a="1"/>
  <c r="J1330" i="13" s="1"/>
  <c r="N1331" i="13"/>
  <c r="M1333" i="13"/>
  <c r="J1329" i="14" a="1"/>
  <c r="J1329" i="14" s="1"/>
  <c r="N1330" i="14"/>
  <c r="K1144" i="13" l="1"/>
  <c r="L1144" i="13" s="1"/>
  <c r="I1145" i="13" s="1"/>
  <c r="K1167" i="14"/>
  <c r="L1167" i="14" s="1"/>
  <c r="I1168" i="14" s="1"/>
  <c r="J1330" i="14" a="1"/>
  <c r="J1330" i="14" s="1"/>
  <c r="N1331" i="14"/>
  <c r="J1331" i="13" a="1"/>
  <c r="J1331" i="13" s="1"/>
  <c r="N1332" i="13"/>
  <c r="M1334" i="13"/>
  <c r="M1335" i="14"/>
  <c r="K1145" i="13" l="1"/>
  <c r="L1145" i="13" s="1"/>
  <c r="I1146" i="13" s="1"/>
  <c r="K1168" i="14"/>
  <c r="L1168" i="14" s="1"/>
  <c r="I1169" i="14" s="1"/>
  <c r="J1332" i="13" a="1"/>
  <c r="J1332" i="13" s="1"/>
  <c r="N1333" i="13"/>
  <c r="J1331" i="14" a="1"/>
  <c r="J1331" i="14" s="1"/>
  <c r="N1332" i="14"/>
  <c r="M1336" i="14"/>
  <c r="M1335" i="13"/>
  <c r="K1146" i="13" l="1"/>
  <c r="L1146" i="13" s="1"/>
  <c r="I1147" i="13" s="1"/>
  <c r="K1169" i="14"/>
  <c r="L1169" i="14" s="1"/>
  <c r="I1170" i="14" s="1"/>
  <c r="N1333" i="14"/>
  <c r="J1332" i="14" a="1"/>
  <c r="J1332" i="14" s="1"/>
  <c r="N1334" i="13"/>
  <c r="J1333" i="13" a="1"/>
  <c r="J1333" i="13" s="1"/>
  <c r="M1336" i="13"/>
  <c r="M1337" i="14"/>
  <c r="K1147" i="13" l="1"/>
  <c r="L1147" i="13" s="1"/>
  <c r="I1148" i="13" s="1"/>
  <c r="K1170" i="14"/>
  <c r="L1170" i="14" s="1"/>
  <c r="I1171" i="14" s="1"/>
  <c r="M1338" i="14"/>
  <c r="J1334" i="13" a="1"/>
  <c r="J1334" i="13" s="1"/>
  <c r="N1335" i="13"/>
  <c r="M1337" i="13"/>
  <c r="J1333" i="14" a="1"/>
  <c r="J1333" i="14" s="1"/>
  <c r="N1334" i="14"/>
  <c r="K1148" i="13" l="1"/>
  <c r="L1148" i="13" s="1"/>
  <c r="I1149" i="13" s="1"/>
  <c r="K1171" i="14"/>
  <c r="L1171" i="14" s="1"/>
  <c r="I1172" i="14" s="1"/>
  <c r="J1334" i="14" a="1"/>
  <c r="J1334" i="14" s="1"/>
  <c r="N1335" i="14"/>
  <c r="J1335" i="13" a="1"/>
  <c r="J1335" i="13" s="1"/>
  <c r="N1336" i="13"/>
  <c r="M1338" i="13"/>
  <c r="M1339" i="14"/>
  <c r="K1149" i="13" l="1"/>
  <c r="L1149" i="13" s="1"/>
  <c r="I1150" i="13" s="1"/>
  <c r="K1172" i="14"/>
  <c r="L1172" i="14" s="1"/>
  <c r="I1173" i="14" s="1"/>
  <c r="J1336" i="13" a="1"/>
  <c r="J1336" i="13" s="1"/>
  <c r="N1337" i="13"/>
  <c r="J1335" i="14" a="1"/>
  <c r="J1335" i="14" s="1"/>
  <c r="N1336" i="14"/>
  <c r="M1340" i="14"/>
  <c r="M1339" i="13"/>
  <c r="K1150" i="13" l="1"/>
  <c r="L1150" i="13" s="1"/>
  <c r="I1151" i="13" s="1"/>
  <c r="K1173" i="14"/>
  <c r="L1173" i="14" s="1"/>
  <c r="I1174" i="14" s="1"/>
  <c r="N1337" i="14"/>
  <c r="J1336" i="14" a="1"/>
  <c r="J1336" i="14" s="1"/>
  <c r="N1338" i="13"/>
  <c r="J1337" i="13" a="1"/>
  <c r="J1337" i="13" s="1"/>
  <c r="M1340" i="13"/>
  <c r="M1341" i="14"/>
  <c r="K1151" i="13" l="1"/>
  <c r="L1151" i="13" s="1"/>
  <c r="I1152" i="13" s="1"/>
  <c r="K1174" i="14"/>
  <c r="L1174" i="14" s="1"/>
  <c r="I1175" i="14" s="1"/>
  <c r="M1342" i="14"/>
  <c r="J1338" i="13" a="1"/>
  <c r="J1338" i="13" s="1"/>
  <c r="N1339" i="13"/>
  <c r="M1341" i="13"/>
  <c r="J1337" i="14" a="1"/>
  <c r="J1337" i="14" s="1"/>
  <c r="N1338" i="14"/>
  <c r="K1152" i="13" l="1"/>
  <c r="L1152" i="13" s="1"/>
  <c r="I1153" i="13" s="1"/>
  <c r="K1175" i="14"/>
  <c r="L1175" i="14" s="1"/>
  <c r="I1176" i="14" s="1"/>
  <c r="J1339" i="13" a="1"/>
  <c r="J1339" i="13" s="1"/>
  <c r="N1340" i="13"/>
  <c r="J1338" i="14" a="1"/>
  <c r="J1338" i="14" s="1"/>
  <c r="N1339" i="14"/>
  <c r="M1342" i="13"/>
  <c r="M1343" i="14"/>
  <c r="K1153" i="13" l="1"/>
  <c r="L1153" i="13" s="1"/>
  <c r="I1154" i="13" s="1"/>
  <c r="K1176" i="14"/>
  <c r="L1176" i="14" s="1"/>
  <c r="I1177" i="14" s="1"/>
  <c r="M1344" i="14"/>
  <c r="J1340" i="13" a="1"/>
  <c r="J1340" i="13" s="1"/>
  <c r="N1341" i="13"/>
  <c r="J1339" i="14" a="1"/>
  <c r="J1339" i="14" s="1"/>
  <c r="N1340" i="14"/>
  <c r="M1343" i="13"/>
  <c r="K1154" i="13" l="1"/>
  <c r="L1154" i="13" s="1"/>
  <c r="I1155" i="13" s="1"/>
  <c r="K1177" i="14"/>
  <c r="L1177" i="14" s="1"/>
  <c r="I1178" i="14" s="1"/>
  <c r="N1342" i="13"/>
  <c r="J1341" i="13" a="1"/>
  <c r="J1341" i="13" s="1"/>
  <c r="M1344" i="13"/>
  <c r="N1341" i="14"/>
  <c r="J1340" i="14" a="1"/>
  <c r="J1340" i="14" s="1"/>
  <c r="M1345" i="14"/>
  <c r="K1155" i="13" l="1"/>
  <c r="L1155" i="13" s="1"/>
  <c r="I1156" i="13" s="1"/>
  <c r="K1178" i="14"/>
  <c r="L1178" i="14" s="1"/>
  <c r="I1179" i="14" s="1"/>
  <c r="M1345" i="13"/>
  <c r="M1346" i="14"/>
  <c r="J1341" i="14" a="1"/>
  <c r="J1341" i="14" s="1"/>
  <c r="N1342" i="14"/>
  <c r="J1342" i="13" a="1"/>
  <c r="J1342" i="13" s="1"/>
  <c r="N1343" i="13"/>
  <c r="K1156" i="13" l="1"/>
  <c r="L1156" i="13" s="1"/>
  <c r="I1157" i="13" s="1"/>
  <c r="K1179" i="14"/>
  <c r="L1179" i="14" s="1"/>
  <c r="I1180" i="14" s="1"/>
  <c r="J1343" i="13" a="1"/>
  <c r="J1343" i="13" s="1"/>
  <c r="N1344" i="13"/>
  <c r="M1347" i="14"/>
  <c r="J1342" i="14" a="1"/>
  <c r="J1342" i="14" s="1"/>
  <c r="N1343" i="14"/>
  <c r="M1346" i="13"/>
  <c r="K1157" i="13" l="1"/>
  <c r="L1157" i="13" s="1"/>
  <c r="I1158" i="13" s="1"/>
  <c r="K1180" i="14"/>
  <c r="L1180" i="14" s="1"/>
  <c r="I1181" i="14" s="1"/>
  <c r="M1348" i="14"/>
  <c r="M1347" i="13"/>
  <c r="J1343" i="14" a="1"/>
  <c r="J1343" i="14" s="1"/>
  <c r="N1344" i="14"/>
  <c r="J1344" i="13" a="1"/>
  <c r="J1344" i="13" s="1"/>
  <c r="N1345" i="13"/>
  <c r="K1158" i="13" l="1"/>
  <c r="L1158" i="13" s="1"/>
  <c r="I1159" i="13" s="1"/>
  <c r="K1181" i="14"/>
  <c r="L1181" i="14" s="1"/>
  <c r="I1182" i="14" s="1"/>
  <c r="M1348" i="13"/>
  <c r="N1345" i="14"/>
  <c r="J1344" i="14" a="1"/>
  <c r="J1344" i="14" s="1"/>
  <c r="N1346" i="13"/>
  <c r="J1345" i="13" a="1"/>
  <c r="J1345" i="13" s="1"/>
  <c r="M1349" i="14"/>
  <c r="K1159" i="13" l="1"/>
  <c r="L1159" i="13" s="1"/>
  <c r="I1160" i="13" s="1"/>
  <c r="K1182" i="14"/>
  <c r="L1182" i="14" s="1"/>
  <c r="I1183" i="14" s="1"/>
  <c r="M1350" i="14"/>
  <c r="J1345" i="14" a="1"/>
  <c r="J1345" i="14" s="1"/>
  <c r="N1346" i="14"/>
  <c r="M1349" i="13"/>
  <c r="J1346" i="13" a="1"/>
  <c r="J1346" i="13" s="1"/>
  <c r="N1347" i="13"/>
  <c r="K1160" i="13" l="1"/>
  <c r="L1160" i="13" s="1"/>
  <c r="I1161" i="13" s="1"/>
  <c r="K1183" i="14"/>
  <c r="L1183" i="14" s="1"/>
  <c r="I1184" i="14" s="1"/>
  <c r="J1347" i="13" a="1"/>
  <c r="J1347" i="13" s="1"/>
  <c r="N1348" i="13"/>
  <c r="J1346" i="14" a="1"/>
  <c r="J1346" i="14" s="1"/>
  <c r="N1347" i="14"/>
  <c r="M1350" i="13"/>
  <c r="M1351" i="14"/>
  <c r="K1161" i="13" l="1"/>
  <c r="L1161" i="13" s="1"/>
  <c r="I1162" i="13" s="1"/>
  <c r="K1184" i="14"/>
  <c r="L1184" i="14" s="1"/>
  <c r="I1185" i="14" s="1"/>
  <c r="J1347" i="14" a="1"/>
  <c r="J1347" i="14" s="1"/>
  <c r="N1348" i="14"/>
  <c r="J1348" i="13" a="1"/>
  <c r="J1348" i="13" s="1"/>
  <c r="N1349" i="13"/>
  <c r="M1352" i="14"/>
  <c r="M1351" i="13"/>
  <c r="K1162" i="13" l="1"/>
  <c r="L1162" i="13" s="1"/>
  <c r="I1163" i="13" s="1"/>
  <c r="K1185" i="14"/>
  <c r="L1185" i="14" s="1"/>
  <c r="I1186" i="14" s="1"/>
  <c r="N1350" i="13"/>
  <c r="J1349" i="13" a="1"/>
  <c r="J1349" i="13" s="1"/>
  <c r="M1352" i="13"/>
  <c r="N1349" i="14"/>
  <c r="J1348" i="14" a="1"/>
  <c r="J1348" i="14" s="1"/>
  <c r="M1353" i="14"/>
  <c r="K1163" i="13" l="1"/>
  <c r="L1163" i="13" s="1"/>
  <c r="I1164" i="13" s="1"/>
  <c r="K1186" i="14"/>
  <c r="L1186" i="14" s="1"/>
  <c r="I1187" i="14" s="1"/>
  <c r="M1354" i="14"/>
  <c r="M1353" i="13"/>
  <c r="J1349" i="14" a="1"/>
  <c r="J1349" i="14" s="1"/>
  <c r="N1350" i="14"/>
  <c r="J1350" i="13" a="1"/>
  <c r="J1350" i="13" s="1"/>
  <c r="N1351" i="13"/>
  <c r="K1164" i="13" l="1"/>
  <c r="L1164" i="13" s="1"/>
  <c r="I1165" i="13" s="1"/>
  <c r="K1187" i="14"/>
  <c r="L1187" i="14" s="1"/>
  <c r="I1188" i="14" s="1"/>
  <c r="J1351" i="13" a="1"/>
  <c r="J1351" i="13" s="1"/>
  <c r="N1352" i="13"/>
  <c r="M1354" i="13"/>
  <c r="J1350" i="14" a="1"/>
  <c r="J1350" i="14" s="1"/>
  <c r="N1351" i="14"/>
  <c r="M1355" i="14"/>
  <c r="K1165" i="13" l="1"/>
  <c r="L1165" i="13" s="1"/>
  <c r="I1166" i="13" s="1"/>
  <c r="K1188" i="14"/>
  <c r="L1188" i="14" s="1"/>
  <c r="I1189" i="14" s="1"/>
  <c r="M1356" i="14"/>
  <c r="M1355" i="13"/>
  <c r="J1351" i="14" a="1"/>
  <c r="J1351" i="14" s="1"/>
  <c r="N1352" i="14"/>
  <c r="J1352" i="13" a="1"/>
  <c r="J1352" i="13" s="1"/>
  <c r="N1353" i="13"/>
  <c r="K1166" i="13" l="1"/>
  <c r="L1166" i="13" s="1"/>
  <c r="I1167" i="13" s="1"/>
  <c r="K1189" i="14"/>
  <c r="L1189" i="14" s="1"/>
  <c r="I1190" i="14" s="1"/>
  <c r="N1354" i="13"/>
  <c r="J1353" i="13" a="1"/>
  <c r="J1353" i="13" s="1"/>
  <c r="M1356" i="13"/>
  <c r="N1353" i="14"/>
  <c r="J1352" i="14" a="1"/>
  <c r="J1352" i="14" s="1"/>
  <c r="M1357" i="14"/>
  <c r="K1167" i="13" l="1"/>
  <c r="L1167" i="13" s="1"/>
  <c r="I1168" i="13" s="1"/>
  <c r="K1190" i="14"/>
  <c r="L1190" i="14" s="1"/>
  <c r="I1191" i="14" s="1"/>
  <c r="J1353" i="14" a="1"/>
  <c r="J1353" i="14" s="1"/>
  <c r="N1354" i="14"/>
  <c r="J1354" i="13" a="1"/>
  <c r="J1354" i="13" s="1"/>
  <c r="N1355" i="13"/>
  <c r="M1357" i="13"/>
  <c r="M1358" i="14"/>
  <c r="K1168" i="13" l="1"/>
  <c r="L1168" i="13" s="1"/>
  <c r="I1169" i="13" s="1"/>
  <c r="K1191" i="14"/>
  <c r="L1191" i="14" s="1"/>
  <c r="I1192" i="14" s="1"/>
  <c r="J1355" i="13" a="1"/>
  <c r="J1355" i="13" s="1"/>
  <c r="N1356" i="13"/>
  <c r="M1359" i="14"/>
  <c r="J1354" i="14" a="1"/>
  <c r="J1354" i="14" s="1"/>
  <c r="N1355" i="14"/>
  <c r="M1358" i="13"/>
  <c r="K1169" i="13" l="1"/>
  <c r="L1169" i="13" s="1"/>
  <c r="I1170" i="13" s="1"/>
  <c r="K1192" i="14"/>
  <c r="L1192" i="14" s="1"/>
  <c r="I1193" i="14" s="1"/>
  <c r="M1360" i="14"/>
  <c r="M1359" i="13"/>
  <c r="J1355" i="14" a="1"/>
  <c r="J1355" i="14" s="1"/>
  <c r="N1356" i="14"/>
  <c r="J1356" i="13" a="1"/>
  <c r="J1356" i="13" s="1"/>
  <c r="N1357" i="13"/>
  <c r="K1170" i="13" l="1"/>
  <c r="L1170" i="13" s="1"/>
  <c r="I1171" i="13" s="1"/>
  <c r="K1193" i="14"/>
  <c r="L1193" i="14" s="1"/>
  <c r="I1194" i="14" s="1"/>
  <c r="N1358" i="13"/>
  <c r="J1357" i="13" a="1"/>
  <c r="J1357" i="13" s="1"/>
  <c r="M1360" i="13"/>
  <c r="N1357" i="14"/>
  <c r="J1356" i="14" a="1"/>
  <c r="J1356" i="14" s="1"/>
  <c r="M1361" i="14"/>
  <c r="K1171" i="13" l="1"/>
  <c r="L1171" i="13" s="1"/>
  <c r="I1172" i="13" s="1"/>
  <c r="K1194" i="14"/>
  <c r="L1194" i="14" s="1"/>
  <c r="I1195" i="14" s="1"/>
  <c r="M1361" i="13"/>
  <c r="M1362" i="14"/>
  <c r="J1357" i="14" a="1"/>
  <c r="J1357" i="14" s="1"/>
  <c r="N1358" i="14"/>
  <c r="J1358" i="13" a="1"/>
  <c r="J1358" i="13" s="1"/>
  <c r="N1359" i="13"/>
  <c r="K1172" i="13" l="1"/>
  <c r="L1172" i="13" s="1"/>
  <c r="I1173" i="13" s="1"/>
  <c r="K1195" i="14"/>
  <c r="L1195" i="14" s="1"/>
  <c r="I1196" i="14" s="1"/>
  <c r="J1359" i="13" a="1"/>
  <c r="J1359" i="13" s="1"/>
  <c r="N1360" i="13"/>
  <c r="J1358" i="14" a="1"/>
  <c r="J1358" i="14" s="1"/>
  <c r="N1359" i="14"/>
  <c r="M1363" i="14"/>
  <c r="M1362" i="13"/>
  <c r="K1173" i="13" l="1"/>
  <c r="L1173" i="13" s="1"/>
  <c r="I1174" i="13" s="1"/>
  <c r="K1196" i="14"/>
  <c r="L1196" i="14" s="1"/>
  <c r="I1197" i="14" s="1"/>
  <c r="J1359" i="14" a="1"/>
  <c r="J1359" i="14" s="1"/>
  <c r="N1360" i="14"/>
  <c r="M1363" i="13"/>
  <c r="M1364" i="14"/>
  <c r="J1360" i="13" a="1"/>
  <c r="J1360" i="13" s="1"/>
  <c r="N1361" i="13"/>
  <c r="K1174" i="13" l="1"/>
  <c r="L1174" i="13" s="1"/>
  <c r="I1175" i="13" s="1"/>
  <c r="K1197" i="14"/>
  <c r="L1197" i="14" s="1"/>
  <c r="I1198" i="14" s="1"/>
  <c r="N1362" i="13"/>
  <c r="J1361" i="13" a="1"/>
  <c r="J1361" i="13" s="1"/>
  <c r="M1364" i="13"/>
  <c r="N1361" i="14"/>
  <c r="J1360" i="14" a="1"/>
  <c r="J1360" i="14" s="1"/>
  <c r="M1365" i="14"/>
  <c r="K1175" i="13" l="1"/>
  <c r="L1175" i="13" s="1"/>
  <c r="I1176" i="13" s="1"/>
  <c r="M1365" i="13"/>
  <c r="M1366" i="14"/>
  <c r="J1361" i="14" a="1"/>
  <c r="J1361" i="14" s="1"/>
  <c r="N1362" i="14"/>
  <c r="J1362" i="13" a="1"/>
  <c r="J1362" i="13" s="1"/>
  <c r="N1363" i="13"/>
  <c r="K1198" i="14"/>
  <c r="L1198" i="14" s="1"/>
  <c r="I1199" i="14" s="1"/>
  <c r="K1176" i="13" l="1"/>
  <c r="L1176" i="13" s="1"/>
  <c r="I1177" i="13" s="1"/>
  <c r="K1199" i="14"/>
  <c r="L1199" i="14" s="1"/>
  <c r="I1200" i="14" s="1"/>
  <c r="M1366" i="13"/>
  <c r="J1362" i="14" a="1"/>
  <c r="J1362" i="14" s="1"/>
  <c r="N1363" i="14"/>
  <c r="J1363" i="13" a="1"/>
  <c r="J1363" i="13" s="1"/>
  <c r="N1364" i="13"/>
  <c r="M1367" i="14"/>
  <c r="K1177" i="13" l="1"/>
  <c r="L1177" i="13" s="1"/>
  <c r="I1178" i="13" s="1"/>
  <c r="K1200" i="14"/>
  <c r="L1200" i="14" s="1"/>
  <c r="I1201" i="14" s="1"/>
  <c r="M1368" i="14"/>
  <c r="J1363" i="14" a="1"/>
  <c r="J1363" i="14" s="1"/>
  <c r="N1364" i="14"/>
  <c r="J1364" i="13" a="1"/>
  <c r="J1364" i="13" s="1"/>
  <c r="N1365" i="13"/>
  <c r="M1367" i="13"/>
  <c r="K1178" i="13" l="1"/>
  <c r="L1178" i="13" s="1"/>
  <c r="I1179" i="13" s="1"/>
  <c r="K1201" i="14"/>
  <c r="L1201" i="14" s="1"/>
  <c r="I1202" i="14" s="1"/>
  <c r="N1365" i="14"/>
  <c r="J1364" i="14" a="1"/>
  <c r="J1364" i="14" s="1"/>
  <c r="M1368" i="13"/>
  <c r="N1366" i="13"/>
  <c r="J1365" i="13" a="1"/>
  <c r="J1365" i="13" s="1"/>
  <c r="M1369" i="14"/>
  <c r="K1179" i="13" l="1"/>
  <c r="L1179" i="13" s="1"/>
  <c r="I1180" i="13" s="1"/>
  <c r="K1202" i="14"/>
  <c r="L1202" i="14" s="1"/>
  <c r="I1203" i="14" s="1"/>
  <c r="M1369" i="13"/>
  <c r="M1370" i="14"/>
  <c r="J1366" i="13" a="1"/>
  <c r="J1366" i="13" s="1"/>
  <c r="N1367" i="13"/>
  <c r="J1365" i="14" a="1"/>
  <c r="J1365" i="14" s="1"/>
  <c r="N1366" i="14"/>
  <c r="K1180" i="13" l="1"/>
  <c r="L1180" i="13" s="1"/>
  <c r="I1181" i="13" s="1"/>
  <c r="K1203" i="14"/>
  <c r="L1203" i="14" s="1"/>
  <c r="I1204" i="14" s="1"/>
  <c r="M1370" i="13"/>
  <c r="M1371" i="14"/>
  <c r="J1366" i="14" a="1"/>
  <c r="J1366" i="14" s="1"/>
  <c r="N1367" i="14"/>
  <c r="J1367" i="13" a="1"/>
  <c r="J1367" i="13" s="1"/>
  <c r="N1368" i="13"/>
  <c r="K1181" i="13" l="1"/>
  <c r="L1181" i="13" s="1"/>
  <c r="I1182" i="13" s="1"/>
  <c r="J1368" i="13" a="1"/>
  <c r="J1368" i="13" s="1"/>
  <c r="N1369" i="13"/>
  <c r="M1372" i="14"/>
  <c r="M1371" i="13"/>
  <c r="K1204" i="14"/>
  <c r="L1204" i="14" s="1"/>
  <c r="I1205" i="14" s="1"/>
  <c r="J1367" i="14" a="1"/>
  <c r="J1367" i="14" s="1"/>
  <c r="N1368" i="14"/>
  <c r="K1182" i="13" l="1"/>
  <c r="L1182" i="13" s="1"/>
  <c r="I1183" i="13" s="1"/>
  <c r="K1205" i="14"/>
  <c r="L1205" i="14" s="1"/>
  <c r="I1206" i="14" s="1"/>
  <c r="N1370" i="13"/>
  <c r="J1369" i="13" a="1"/>
  <c r="J1369" i="13" s="1"/>
  <c r="N1369" i="14"/>
  <c r="J1368" i="14" a="1"/>
  <c r="J1368" i="14" s="1"/>
  <c r="M1373" i="14"/>
  <c r="M1372" i="13"/>
  <c r="K1183" i="13" l="1"/>
  <c r="L1183" i="13" s="1"/>
  <c r="I1184" i="13" s="1"/>
  <c r="K1206" i="14"/>
  <c r="L1206" i="14" s="1"/>
  <c r="I1207" i="14" s="1"/>
  <c r="M1373" i="13"/>
  <c r="J1369" i="14" a="1"/>
  <c r="J1369" i="14" s="1"/>
  <c r="N1370" i="14"/>
  <c r="M1374" i="14"/>
  <c r="J1370" i="13" a="1"/>
  <c r="J1370" i="13" s="1"/>
  <c r="N1371" i="13"/>
  <c r="K1184" i="13" l="1"/>
  <c r="L1184" i="13" s="1"/>
  <c r="I1185" i="13" s="1"/>
  <c r="K1207" i="14"/>
  <c r="L1207" i="14" s="1"/>
  <c r="I1208" i="14" s="1"/>
  <c r="J1371" i="13" a="1"/>
  <c r="J1371" i="13" s="1"/>
  <c r="N1372" i="13"/>
  <c r="J1370" i="14" a="1"/>
  <c r="J1370" i="14" s="1"/>
  <c r="N1371" i="14"/>
  <c r="M1375" i="14"/>
  <c r="M1374" i="13"/>
  <c r="K1185" i="13" l="1"/>
  <c r="L1185" i="13" s="1"/>
  <c r="I1186" i="13" s="1"/>
  <c r="K1208" i="14"/>
  <c r="L1208" i="14" s="1"/>
  <c r="I1209" i="14" s="1"/>
  <c r="M1375" i="13"/>
  <c r="M1376" i="14"/>
  <c r="J1372" i="13" a="1"/>
  <c r="J1372" i="13" s="1"/>
  <c r="N1373" i="13"/>
  <c r="J1371" i="14" a="1"/>
  <c r="J1371" i="14" s="1"/>
  <c r="N1372" i="14"/>
  <c r="K1186" i="13" l="1"/>
  <c r="L1186" i="13" s="1"/>
  <c r="I1187" i="13" s="1"/>
  <c r="K1209" i="14"/>
  <c r="L1209" i="14" s="1"/>
  <c r="I1210" i="14" s="1"/>
  <c r="N1373" i="14"/>
  <c r="J1372" i="14" a="1"/>
  <c r="J1372" i="14" s="1"/>
  <c r="M1377" i="14"/>
  <c r="N1374" i="13"/>
  <c r="J1373" i="13" a="1"/>
  <c r="J1373" i="13" s="1"/>
  <c r="M1376" i="13"/>
  <c r="K1187" i="13" l="1"/>
  <c r="L1187" i="13" s="1"/>
  <c r="I1188" i="13" s="1"/>
  <c r="K1210" i="14"/>
  <c r="L1210" i="14" s="1"/>
  <c r="I1211" i="14" s="1"/>
  <c r="M1377" i="13"/>
  <c r="M1378" i="14"/>
  <c r="J1374" i="13" a="1"/>
  <c r="J1374" i="13" s="1"/>
  <c r="N1375" i="13"/>
  <c r="J1373" i="14" a="1"/>
  <c r="J1373" i="14" s="1"/>
  <c r="N1374" i="14"/>
  <c r="K1188" i="13" l="1"/>
  <c r="L1188" i="13" s="1"/>
  <c r="I1189" i="13" s="1"/>
  <c r="K1211" i="14"/>
  <c r="L1211" i="14" s="1"/>
  <c r="I1212" i="14" s="1"/>
  <c r="J1374" i="14" a="1"/>
  <c r="J1374" i="14" s="1"/>
  <c r="N1375" i="14"/>
  <c r="M1379" i="14"/>
  <c r="J1375" i="13" a="1"/>
  <c r="J1375" i="13" s="1"/>
  <c r="N1376" i="13"/>
  <c r="M1378" i="13"/>
  <c r="K1189" i="13" l="1"/>
  <c r="L1189" i="13" s="1"/>
  <c r="I1190" i="13" s="1"/>
  <c r="K1212" i="14"/>
  <c r="L1212" i="14" s="1"/>
  <c r="I1213" i="14" s="1"/>
  <c r="J1375" i="14" a="1"/>
  <c r="J1375" i="14" s="1"/>
  <c r="N1376" i="14"/>
  <c r="M1380" i="14"/>
  <c r="M1379" i="13"/>
  <c r="J1376" i="13" a="1"/>
  <c r="J1376" i="13" s="1"/>
  <c r="N1377" i="13"/>
  <c r="K1190" i="13" l="1"/>
  <c r="L1190" i="13" s="1"/>
  <c r="I1191" i="13" s="1"/>
  <c r="K1213" i="14"/>
  <c r="L1213" i="14" s="1"/>
  <c r="I1214" i="14" s="1"/>
  <c r="N1378" i="13"/>
  <c r="J1377" i="13" a="1"/>
  <c r="J1377" i="13" s="1"/>
  <c r="M1381" i="14"/>
  <c r="N1377" i="14"/>
  <c r="J1376" i="14" a="1"/>
  <c r="J1376" i="14" s="1"/>
  <c r="M1380" i="13"/>
  <c r="K1191" i="13" l="1"/>
  <c r="L1191" i="13" s="1"/>
  <c r="I1192" i="13" s="1"/>
  <c r="K1214" i="14"/>
  <c r="L1214" i="14" s="1"/>
  <c r="I1215" i="14" s="1"/>
  <c r="M1381" i="13"/>
  <c r="M1382" i="14"/>
  <c r="J1377" i="14" a="1"/>
  <c r="J1377" i="14" s="1"/>
  <c r="N1378" i="14"/>
  <c r="J1378" i="13" a="1"/>
  <c r="J1378" i="13" s="1"/>
  <c r="N1379" i="13"/>
  <c r="K1192" i="13" l="1"/>
  <c r="L1192" i="13" s="1"/>
  <c r="I1193" i="13" s="1"/>
  <c r="K1215" i="14"/>
  <c r="L1215" i="14" s="1"/>
  <c r="I1216" i="14" s="1"/>
  <c r="M1383" i="14"/>
  <c r="J1379" i="13" a="1"/>
  <c r="J1379" i="13" s="1"/>
  <c r="N1380" i="13"/>
  <c r="J1378" i="14" a="1"/>
  <c r="J1378" i="14" s="1"/>
  <c r="N1379" i="14"/>
  <c r="M1382" i="13"/>
  <c r="K1193" i="13" l="1"/>
  <c r="L1193" i="13" s="1"/>
  <c r="I1194" i="13" s="1"/>
  <c r="K1216" i="14"/>
  <c r="L1216" i="14" s="1"/>
  <c r="I1217" i="14" s="1"/>
  <c r="J1380" i="13" a="1"/>
  <c r="J1380" i="13" s="1"/>
  <c r="N1381" i="13"/>
  <c r="J1379" i="14" a="1"/>
  <c r="J1379" i="14" s="1"/>
  <c r="N1380" i="14"/>
  <c r="M1384" i="14"/>
  <c r="M1383" i="13"/>
  <c r="K1194" i="13" l="1"/>
  <c r="L1194" i="13" s="1"/>
  <c r="I1195" i="13" s="1"/>
  <c r="K1217" i="14"/>
  <c r="L1217" i="14" s="1"/>
  <c r="I1218" i="14" s="1"/>
  <c r="N1382" i="13"/>
  <c r="J1381" i="13" a="1"/>
  <c r="J1381" i="13" s="1"/>
  <c r="N1381" i="14"/>
  <c r="J1380" i="14" a="1"/>
  <c r="J1380" i="14" s="1"/>
  <c r="M1384" i="13"/>
  <c r="M1385" i="14"/>
  <c r="K1195" i="13" l="1"/>
  <c r="L1195" i="13" s="1"/>
  <c r="I1196" i="13" s="1"/>
  <c r="K1218" i="14"/>
  <c r="L1218" i="14" s="1"/>
  <c r="I1219" i="14" s="1"/>
  <c r="J1381" i="14" a="1"/>
  <c r="J1381" i="14" s="1"/>
  <c r="N1382" i="14"/>
  <c r="M1386" i="14"/>
  <c r="M1385" i="13"/>
  <c r="J1382" i="13" a="1"/>
  <c r="J1382" i="13" s="1"/>
  <c r="N1383" i="13"/>
  <c r="K1196" i="13" l="1"/>
  <c r="L1196" i="13" s="1"/>
  <c r="I1197" i="13" s="1"/>
  <c r="K1219" i="14"/>
  <c r="L1219" i="14" s="1"/>
  <c r="I1220" i="14" s="1"/>
  <c r="J1383" i="13" a="1"/>
  <c r="J1383" i="13" s="1"/>
  <c r="N1384" i="13"/>
  <c r="M1387" i="14"/>
  <c r="M1386" i="13"/>
  <c r="J1382" i="14" a="1"/>
  <c r="J1382" i="14" s="1"/>
  <c r="N1383" i="14"/>
  <c r="K1197" i="13" l="1"/>
  <c r="L1197" i="13" s="1"/>
  <c r="I1198" i="13" s="1"/>
  <c r="K1220" i="14"/>
  <c r="L1220" i="14" s="1"/>
  <c r="I1221" i="14" s="1"/>
  <c r="J1384" i="13" a="1"/>
  <c r="J1384" i="13" s="1"/>
  <c r="N1385" i="13"/>
  <c r="M1387" i="13"/>
  <c r="J1383" i="14" a="1"/>
  <c r="J1383" i="14" s="1"/>
  <c r="N1384" i="14"/>
  <c r="M1388" i="14"/>
  <c r="K1198" i="13" l="1"/>
  <c r="L1198" i="13" s="1"/>
  <c r="I1199" i="13" s="1"/>
  <c r="M1389" i="14"/>
  <c r="M1388" i="13"/>
  <c r="K1221" i="14"/>
  <c r="L1221" i="14" s="1"/>
  <c r="I1222" i="14" s="1"/>
  <c r="N1385" i="14"/>
  <c r="J1384" i="14" a="1"/>
  <c r="J1384" i="14" s="1"/>
  <c r="N1386" i="13"/>
  <c r="J1385" i="13" a="1"/>
  <c r="J1385" i="13" s="1"/>
  <c r="K1199" i="13" l="1"/>
  <c r="L1199" i="13" s="1"/>
  <c r="I1200" i="13" s="1"/>
  <c r="K1222" i="14"/>
  <c r="L1222" i="14" s="1"/>
  <c r="I1223" i="14" s="1"/>
  <c r="J1386" i="13" a="1"/>
  <c r="J1386" i="13" s="1"/>
  <c r="N1387" i="13"/>
  <c r="M1390" i="14"/>
  <c r="M1389" i="13"/>
  <c r="J1385" i="14" a="1"/>
  <c r="J1385" i="14" s="1"/>
  <c r="N1386" i="14"/>
  <c r="K1200" i="13" l="1"/>
  <c r="L1200" i="13" s="1"/>
  <c r="I1201" i="13" s="1"/>
  <c r="K1223" i="14"/>
  <c r="L1223" i="14" s="1"/>
  <c r="I1224" i="14" s="1"/>
  <c r="J1386" i="14" a="1"/>
  <c r="J1386" i="14" s="1"/>
  <c r="N1387" i="14"/>
  <c r="M1391" i="14"/>
  <c r="J1387" i="13" a="1"/>
  <c r="J1387" i="13" s="1"/>
  <c r="N1388" i="13"/>
  <c r="M1390" i="13"/>
  <c r="K1201" i="13" l="1"/>
  <c r="L1201" i="13" s="1"/>
  <c r="I1202" i="13" s="1"/>
  <c r="K1224" i="14"/>
  <c r="L1224" i="14" s="1"/>
  <c r="I1225" i="14" s="1"/>
  <c r="M1392" i="14"/>
  <c r="J1388" i="13" a="1"/>
  <c r="J1388" i="13" s="1"/>
  <c r="N1389" i="13"/>
  <c r="M1391" i="13"/>
  <c r="J1387" i="14" a="1"/>
  <c r="J1387" i="14" s="1"/>
  <c r="N1388" i="14"/>
  <c r="K1202" i="13" l="1"/>
  <c r="L1202" i="13" s="1"/>
  <c r="I1203" i="13" s="1"/>
  <c r="K1225" i="14"/>
  <c r="L1225" i="14" s="1"/>
  <c r="I1226" i="14" s="1"/>
  <c r="N1389" i="14"/>
  <c r="J1388" i="14" a="1"/>
  <c r="J1388" i="14" s="1"/>
  <c r="N1390" i="13"/>
  <c r="J1389" i="13" a="1"/>
  <c r="J1389" i="13" s="1"/>
  <c r="M1392" i="13"/>
  <c r="M1393" i="14"/>
  <c r="K1203" i="13" l="1"/>
  <c r="L1203" i="13" s="1"/>
  <c r="I1204" i="13" s="1"/>
  <c r="K1226" i="14"/>
  <c r="L1226" i="14" s="1"/>
  <c r="I1227" i="14" s="1"/>
  <c r="J1390" i="13" a="1"/>
  <c r="J1390" i="13" s="1"/>
  <c r="N1391" i="13"/>
  <c r="M1394" i="14"/>
  <c r="M1393" i="13"/>
  <c r="J1389" i="14" a="1"/>
  <c r="J1389" i="14" s="1"/>
  <c r="N1390" i="14"/>
  <c r="K1204" i="13" l="1"/>
  <c r="L1204" i="13" s="1"/>
  <c r="I1205" i="13" s="1"/>
  <c r="K1227" i="14"/>
  <c r="L1227" i="14" s="1"/>
  <c r="I1228" i="14" s="1"/>
  <c r="J1390" i="14" a="1"/>
  <c r="J1390" i="14" s="1"/>
  <c r="N1391" i="14"/>
  <c r="M1395" i="14"/>
  <c r="J1391" i="13" a="1"/>
  <c r="J1391" i="13" s="1"/>
  <c r="N1392" i="13"/>
  <c r="M1394" i="13"/>
  <c r="K1205" i="13" l="1"/>
  <c r="L1205" i="13" s="1"/>
  <c r="I1206" i="13" s="1"/>
  <c r="K1228" i="14"/>
  <c r="L1228" i="14" s="1"/>
  <c r="I1229" i="14" s="1"/>
  <c r="J1392" i="13" a="1"/>
  <c r="J1392" i="13" s="1"/>
  <c r="N1393" i="13"/>
  <c r="M1396" i="14"/>
  <c r="M1395" i="13"/>
  <c r="J1391" i="14" a="1"/>
  <c r="J1391" i="14" s="1"/>
  <c r="N1392" i="14"/>
  <c r="K1206" i="13" l="1"/>
  <c r="L1206" i="13" s="1"/>
  <c r="I1207" i="13" s="1"/>
  <c r="K1229" i="14"/>
  <c r="L1229" i="14" s="1"/>
  <c r="I1230" i="14" s="1"/>
  <c r="M1397" i="14"/>
  <c r="N1393" i="14"/>
  <c r="J1392" i="14" a="1"/>
  <c r="J1392" i="14" s="1"/>
  <c r="N1394" i="13"/>
  <c r="J1393" i="13" a="1"/>
  <c r="J1393" i="13" s="1"/>
  <c r="M1396" i="13"/>
  <c r="K1207" i="13" l="1"/>
  <c r="L1207" i="13" s="1"/>
  <c r="I1208" i="13" s="1"/>
  <c r="K1230" i="14"/>
  <c r="L1230" i="14" s="1"/>
  <c r="I1231" i="14" s="1"/>
  <c r="M1397" i="13"/>
  <c r="J1393" i="14" a="1"/>
  <c r="J1393" i="14" s="1"/>
  <c r="N1394" i="14"/>
  <c r="J1394" i="13" a="1"/>
  <c r="J1394" i="13" s="1"/>
  <c r="N1395" i="13"/>
  <c r="M1398" i="14"/>
  <c r="K1208" i="13" l="1"/>
  <c r="L1208" i="13" s="1"/>
  <c r="I1209" i="13" s="1"/>
  <c r="K1231" i="14"/>
  <c r="L1231" i="14" s="1"/>
  <c r="I1232" i="14" s="1"/>
  <c r="J1394" i="14" a="1"/>
  <c r="J1394" i="14" s="1"/>
  <c r="N1395" i="14"/>
  <c r="J1395" i="13" a="1"/>
  <c r="J1395" i="13" s="1"/>
  <c r="N1396" i="13"/>
  <c r="M1399" i="14"/>
  <c r="M1398" i="13"/>
  <c r="K1209" i="13" l="1"/>
  <c r="L1209" i="13" s="1"/>
  <c r="I1210" i="13" s="1"/>
  <c r="K1232" i="14"/>
  <c r="L1232" i="14" s="1"/>
  <c r="I1233" i="14" s="1"/>
  <c r="J1396" i="13" a="1"/>
  <c r="J1396" i="13" s="1"/>
  <c r="N1397" i="13"/>
  <c r="J1395" i="14" a="1"/>
  <c r="J1395" i="14" s="1"/>
  <c r="N1396" i="14"/>
  <c r="M1399" i="13"/>
  <c r="M1400" i="14"/>
  <c r="K1210" i="13" l="1"/>
  <c r="L1210" i="13" s="1"/>
  <c r="I1211" i="13" s="1"/>
  <c r="K1233" i="14"/>
  <c r="L1233" i="14" s="1"/>
  <c r="I1234" i="14" s="1"/>
  <c r="N1397" i="14"/>
  <c r="J1396" i="14" a="1"/>
  <c r="J1396" i="14" s="1"/>
  <c r="N1398" i="13"/>
  <c r="J1397" i="13" a="1"/>
  <c r="J1397" i="13" s="1"/>
  <c r="M1401" i="14"/>
  <c r="M1400" i="13"/>
  <c r="K1211" i="13" l="1"/>
  <c r="L1211" i="13" s="1"/>
  <c r="I1212" i="13" s="1"/>
  <c r="K1234" i="14"/>
  <c r="L1234" i="14" s="1"/>
  <c r="I1235" i="14" s="1"/>
  <c r="J1398" i="13" a="1"/>
  <c r="J1398" i="13" s="1"/>
  <c r="N1399" i="13"/>
  <c r="M1401" i="13"/>
  <c r="M1402" i="14"/>
  <c r="J1397" i="14" a="1"/>
  <c r="J1397" i="14" s="1"/>
  <c r="N1398" i="14"/>
  <c r="K1212" i="13" l="1"/>
  <c r="L1212" i="13" s="1"/>
  <c r="I1213" i="13" s="1"/>
  <c r="K1235" i="14"/>
  <c r="L1235" i="14" s="1"/>
  <c r="I1236" i="14" s="1"/>
  <c r="J1398" i="14" a="1"/>
  <c r="J1398" i="14" s="1"/>
  <c r="N1399" i="14"/>
  <c r="M1402" i="13"/>
  <c r="J1399" i="13" a="1"/>
  <c r="J1399" i="13" s="1"/>
  <c r="N1400" i="13"/>
  <c r="M1403" i="14"/>
  <c r="K1213" i="13" l="1"/>
  <c r="L1213" i="13" s="1"/>
  <c r="I1214" i="13" s="1"/>
  <c r="K1236" i="14"/>
  <c r="L1236" i="14" s="1"/>
  <c r="I1237" i="14" s="1"/>
  <c r="M1403" i="13"/>
  <c r="J1400" i="13" a="1"/>
  <c r="J1400" i="13" s="1"/>
  <c r="N1401" i="13"/>
  <c r="J1399" i="14" a="1"/>
  <c r="J1399" i="14" s="1"/>
  <c r="N1400" i="14"/>
  <c r="M1404" i="14"/>
  <c r="K1214" i="13" l="1"/>
  <c r="L1214" i="13" s="1"/>
  <c r="I1215" i="13" s="1"/>
  <c r="K1237" i="14"/>
  <c r="L1237" i="14" s="1"/>
  <c r="I1238" i="14" s="1"/>
  <c r="N1402" i="13"/>
  <c r="J1401" i="13" a="1"/>
  <c r="J1401" i="13" s="1"/>
  <c r="M1405" i="14"/>
  <c r="N1401" i="14"/>
  <c r="J1400" i="14" a="1"/>
  <c r="J1400" i="14" s="1"/>
  <c r="M1404" i="13"/>
  <c r="K1215" i="13" l="1"/>
  <c r="L1215" i="13" s="1"/>
  <c r="I1216" i="13" s="1"/>
  <c r="K1238" i="14"/>
  <c r="L1238" i="14" s="1"/>
  <c r="I1239" i="14" s="1"/>
  <c r="M1405" i="13"/>
  <c r="M1406" i="14"/>
  <c r="J1401" i="14" a="1"/>
  <c r="J1401" i="14" s="1"/>
  <c r="N1402" i="14"/>
  <c r="J1402" i="13" a="1"/>
  <c r="J1402" i="13" s="1"/>
  <c r="N1403" i="13"/>
  <c r="K1216" i="13" l="1"/>
  <c r="L1216" i="13" s="1"/>
  <c r="I1217" i="13" s="1"/>
  <c r="K1239" i="14"/>
  <c r="L1239" i="14" s="1"/>
  <c r="I1240" i="14" s="1"/>
  <c r="M1407" i="14"/>
  <c r="J1402" i="14" a="1"/>
  <c r="J1402" i="14" s="1"/>
  <c r="N1403" i="14"/>
  <c r="J1403" i="13" a="1"/>
  <c r="J1403" i="13" s="1"/>
  <c r="N1404" i="13"/>
  <c r="M1406" i="13"/>
  <c r="K1217" i="13" l="1"/>
  <c r="L1217" i="13" s="1"/>
  <c r="I1218" i="13" s="1"/>
  <c r="K1240" i="14"/>
  <c r="L1240" i="14" s="1"/>
  <c r="I1241" i="14" s="1"/>
  <c r="J1403" i="14" a="1"/>
  <c r="J1403" i="14" s="1"/>
  <c r="N1404" i="14"/>
  <c r="J1404" i="13" a="1"/>
  <c r="J1404" i="13" s="1"/>
  <c r="N1405" i="13"/>
  <c r="M1408" i="14"/>
  <c r="M1407" i="13"/>
  <c r="K1218" i="13" l="1"/>
  <c r="L1218" i="13" s="1"/>
  <c r="I1219" i="13" s="1"/>
  <c r="K1241" i="14"/>
  <c r="L1241" i="14" s="1"/>
  <c r="I1242" i="14" s="1"/>
  <c r="N1406" i="13"/>
  <c r="J1405" i="13" a="1"/>
  <c r="J1405" i="13" s="1"/>
  <c r="N1405" i="14"/>
  <c r="J1404" i="14" a="1"/>
  <c r="J1404" i="14" s="1"/>
  <c r="M1408" i="13"/>
  <c r="M1409" i="14"/>
  <c r="K1219" i="13" l="1"/>
  <c r="L1219" i="13" s="1"/>
  <c r="I1220" i="13" s="1"/>
  <c r="K1242" i="14"/>
  <c r="L1242" i="14" s="1"/>
  <c r="I1243" i="14" s="1"/>
  <c r="J1405" i="14" a="1"/>
  <c r="J1405" i="14" s="1"/>
  <c r="N1406" i="14"/>
  <c r="M1410" i="14"/>
  <c r="M1409" i="13"/>
  <c r="J1406" i="13" a="1"/>
  <c r="J1406" i="13" s="1"/>
  <c r="N1407" i="13"/>
  <c r="K1220" i="13" l="1"/>
  <c r="L1220" i="13" s="1"/>
  <c r="I1221" i="13" s="1"/>
  <c r="K1243" i="14"/>
  <c r="L1243" i="14" s="1"/>
  <c r="I1244" i="14" s="1"/>
  <c r="M1411" i="14"/>
  <c r="J1407" i="13" a="1"/>
  <c r="J1407" i="13" s="1"/>
  <c r="N1408" i="13"/>
  <c r="J1406" i="14" a="1"/>
  <c r="J1406" i="14" s="1"/>
  <c r="N1407" i="14"/>
  <c r="M1410" i="13"/>
  <c r="K1221" i="13" l="1"/>
  <c r="L1221" i="13" s="1"/>
  <c r="I1222" i="13" s="1"/>
  <c r="K1244" i="14"/>
  <c r="L1244" i="14" s="1"/>
  <c r="I1245" i="14" s="1"/>
  <c r="J1408" i="13" a="1"/>
  <c r="J1408" i="13" s="1"/>
  <c r="N1409" i="13"/>
  <c r="J1407" i="14" a="1"/>
  <c r="J1407" i="14" s="1"/>
  <c r="N1408" i="14"/>
  <c r="M1412" i="14"/>
  <c r="M1411" i="13"/>
  <c r="K1222" i="13" l="1"/>
  <c r="L1222" i="13" s="1"/>
  <c r="I1223" i="13" s="1"/>
  <c r="K1245" i="14"/>
  <c r="L1245" i="14" s="1"/>
  <c r="I1246" i="14" s="1"/>
  <c r="N1410" i="13"/>
  <c r="J1409" i="13" a="1"/>
  <c r="J1409" i="13" s="1"/>
  <c r="N1409" i="14"/>
  <c r="J1408" i="14" a="1"/>
  <c r="J1408" i="14" s="1"/>
  <c r="M1412" i="13"/>
  <c r="M1413" i="14"/>
  <c r="K1223" i="13" l="1"/>
  <c r="L1223" i="13" s="1"/>
  <c r="I1224" i="13" s="1"/>
  <c r="K1246" i="14"/>
  <c r="L1246" i="14" s="1"/>
  <c r="I1247" i="14" s="1"/>
  <c r="J1409" i="14" a="1"/>
  <c r="J1409" i="14" s="1"/>
  <c r="N1410" i="14"/>
  <c r="M1414" i="14"/>
  <c r="M1413" i="13"/>
  <c r="J1410" i="13" a="1"/>
  <c r="J1410" i="13" s="1"/>
  <c r="N1411" i="13"/>
  <c r="K1224" i="13" l="1"/>
  <c r="L1224" i="13" s="1"/>
  <c r="I1225" i="13" s="1"/>
  <c r="K1247" i="14"/>
  <c r="L1247" i="14" s="1"/>
  <c r="I1248" i="14" s="1"/>
  <c r="M1415" i="14"/>
  <c r="J1411" i="13" a="1"/>
  <c r="J1411" i="13" s="1"/>
  <c r="N1412" i="13"/>
  <c r="J1410" i="14" a="1"/>
  <c r="J1410" i="14" s="1"/>
  <c r="N1411" i="14"/>
  <c r="M1414" i="13"/>
  <c r="K1225" i="13" l="1"/>
  <c r="L1225" i="13" s="1"/>
  <c r="I1226" i="13" s="1"/>
  <c r="K1248" i="14"/>
  <c r="L1248" i="14" s="1"/>
  <c r="I1249" i="14" s="1"/>
  <c r="J1412" i="13" a="1"/>
  <c r="J1412" i="13" s="1"/>
  <c r="N1413" i="13"/>
  <c r="J1411" i="14" a="1"/>
  <c r="J1411" i="14" s="1"/>
  <c r="N1412" i="14"/>
  <c r="M1416" i="14"/>
  <c r="M1415" i="13"/>
  <c r="K1226" i="13" l="1"/>
  <c r="L1226" i="13" s="1"/>
  <c r="I1227" i="13" s="1"/>
  <c r="K1249" i="14"/>
  <c r="L1249" i="14" s="1"/>
  <c r="I1250" i="14" s="1"/>
  <c r="N1413" i="14"/>
  <c r="J1412" i="14" a="1"/>
  <c r="J1412" i="14" s="1"/>
  <c r="N1414" i="13"/>
  <c r="J1413" i="13" a="1"/>
  <c r="J1413" i="13" s="1"/>
  <c r="M1416" i="13"/>
  <c r="M1417" i="14"/>
  <c r="K1227" i="13" l="1"/>
  <c r="L1227" i="13" s="1"/>
  <c r="I1228" i="13" s="1"/>
  <c r="K1250" i="14"/>
  <c r="L1250" i="14" s="1"/>
  <c r="I1251" i="14" s="1"/>
  <c r="J1414" i="13" a="1"/>
  <c r="J1414" i="13" s="1"/>
  <c r="N1415" i="13"/>
  <c r="M1418" i="14"/>
  <c r="M1417" i="13"/>
  <c r="J1413" i="14" a="1"/>
  <c r="J1413" i="14" s="1"/>
  <c r="N1414" i="14"/>
  <c r="K1228" i="13" l="1"/>
  <c r="L1228" i="13" s="1"/>
  <c r="I1229" i="13" s="1"/>
  <c r="K1251" i="14"/>
  <c r="L1251" i="14" s="1"/>
  <c r="I1252" i="14" s="1"/>
  <c r="J1414" i="14" a="1"/>
  <c r="J1414" i="14" s="1"/>
  <c r="N1415" i="14"/>
  <c r="M1419" i="14"/>
  <c r="J1415" i="13" a="1"/>
  <c r="J1415" i="13" s="1"/>
  <c r="N1416" i="13"/>
  <c r="M1418" i="13"/>
  <c r="K1229" i="13" l="1"/>
  <c r="L1229" i="13" s="1"/>
  <c r="I1230" i="13" s="1"/>
  <c r="K1252" i="14"/>
  <c r="L1252" i="14" s="1"/>
  <c r="I1253" i="14" s="1"/>
  <c r="J1416" i="13" a="1"/>
  <c r="J1416" i="13" s="1"/>
  <c r="N1417" i="13"/>
  <c r="J1415" i="14" a="1"/>
  <c r="J1415" i="14" s="1"/>
  <c r="N1416" i="14"/>
  <c r="M1420" i="14"/>
  <c r="M1419" i="13"/>
  <c r="K1230" i="13" l="1"/>
  <c r="L1230" i="13" s="1"/>
  <c r="I1231" i="13" s="1"/>
  <c r="K1253" i="14"/>
  <c r="L1253" i="14" s="1"/>
  <c r="I1254" i="14" s="1"/>
  <c r="N1418" i="13"/>
  <c r="J1417" i="13" a="1"/>
  <c r="J1417" i="13" s="1"/>
  <c r="N1417" i="14"/>
  <c r="J1416" i="14" a="1"/>
  <c r="J1416" i="14" s="1"/>
  <c r="M1420" i="13"/>
  <c r="M1421" i="14"/>
  <c r="K1231" i="13" l="1"/>
  <c r="L1231" i="13" s="1"/>
  <c r="I1232" i="13" s="1"/>
  <c r="K1254" i="14"/>
  <c r="L1254" i="14" s="1"/>
  <c r="I1255" i="14" s="1"/>
  <c r="M1422" i="14"/>
  <c r="J1417" i="14" a="1"/>
  <c r="J1417" i="14" s="1"/>
  <c r="N1418" i="14"/>
  <c r="M1421" i="13"/>
  <c r="J1418" i="13" a="1"/>
  <c r="J1418" i="13" s="1"/>
  <c r="N1419" i="13"/>
  <c r="K1232" i="13" l="1"/>
  <c r="L1232" i="13" s="1"/>
  <c r="I1233" i="13" s="1"/>
  <c r="K1255" i="14"/>
  <c r="L1255" i="14" s="1"/>
  <c r="I1256" i="14" s="1"/>
  <c r="J1418" i="14" a="1"/>
  <c r="J1418" i="14" s="1"/>
  <c r="N1419" i="14"/>
  <c r="J1419" i="13" a="1"/>
  <c r="J1419" i="13" s="1"/>
  <c r="N1420" i="13"/>
  <c r="M1422" i="13"/>
  <c r="M1423" i="14"/>
  <c r="K1233" i="13" l="1"/>
  <c r="L1233" i="13" s="1"/>
  <c r="I1234" i="13" s="1"/>
  <c r="K1256" i="14"/>
  <c r="L1256" i="14" s="1"/>
  <c r="I1257" i="14" s="1"/>
  <c r="J1420" i="13" a="1"/>
  <c r="J1420" i="13" s="1"/>
  <c r="N1421" i="13"/>
  <c r="J1419" i="14" a="1"/>
  <c r="J1419" i="14" s="1"/>
  <c r="N1420" i="14"/>
  <c r="M1424" i="14"/>
  <c r="M1423" i="13"/>
  <c r="K1234" i="13" l="1"/>
  <c r="L1234" i="13" s="1"/>
  <c r="I1235" i="13" s="1"/>
  <c r="K1257" i="14"/>
  <c r="L1257" i="14" s="1"/>
  <c r="I1258" i="14" s="1"/>
  <c r="M1424" i="13"/>
  <c r="N1422" i="13"/>
  <c r="J1421" i="13" a="1"/>
  <c r="J1421" i="13" s="1"/>
  <c r="N1421" i="14"/>
  <c r="J1420" i="14" a="1"/>
  <c r="J1420" i="14" s="1"/>
  <c r="M1425" i="14"/>
  <c r="K1235" i="13" l="1"/>
  <c r="L1235" i="13" s="1"/>
  <c r="I1236" i="13" s="1"/>
  <c r="K1258" i="14"/>
  <c r="L1258" i="14" s="1"/>
  <c r="I1259" i="14" s="1"/>
  <c r="M1426" i="14"/>
  <c r="M1425" i="13"/>
  <c r="J1422" i="13" a="1"/>
  <c r="J1422" i="13" s="1"/>
  <c r="N1423" i="13"/>
  <c r="J1421" i="14" a="1"/>
  <c r="J1421" i="14" s="1"/>
  <c r="N1422" i="14"/>
  <c r="K1236" i="13" l="1"/>
  <c r="L1236" i="13" s="1"/>
  <c r="I1237" i="13" s="1"/>
  <c r="K1259" i="14"/>
  <c r="L1259" i="14" s="1"/>
  <c r="I1260" i="14" s="1"/>
  <c r="J1423" i="13" a="1"/>
  <c r="J1423" i="13" s="1"/>
  <c r="N1424" i="13"/>
  <c r="J1422" i="14" a="1"/>
  <c r="J1422" i="14" s="1"/>
  <c r="N1423" i="14"/>
  <c r="M1426" i="13"/>
  <c r="M1427" i="14"/>
  <c r="K1237" i="13" l="1"/>
  <c r="L1237" i="13" s="1"/>
  <c r="I1238" i="13" s="1"/>
  <c r="K1260" i="14"/>
  <c r="L1260" i="14" s="1"/>
  <c r="I1261" i="14" s="1"/>
  <c r="J1423" i="14" a="1"/>
  <c r="J1423" i="14" s="1"/>
  <c r="N1424" i="14"/>
  <c r="J1424" i="13" a="1"/>
  <c r="J1424" i="13" s="1"/>
  <c r="N1425" i="13"/>
  <c r="M1428" i="14"/>
  <c r="M1427" i="13"/>
  <c r="K1238" i="13" l="1"/>
  <c r="L1238" i="13" s="1"/>
  <c r="I1239" i="13" s="1"/>
  <c r="N1426" i="13"/>
  <c r="J1425" i="13" a="1"/>
  <c r="J1425" i="13" s="1"/>
  <c r="N1425" i="14"/>
  <c r="J1424" i="14" a="1"/>
  <c r="J1424" i="14" s="1"/>
  <c r="M1429" i="14"/>
  <c r="M1428" i="13"/>
  <c r="K1261" i="14"/>
  <c r="L1261" i="14" s="1"/>
  <c r="I1262" i="14" s="1"/>
  <c r="K1239" i="13" l="1"/>
  <c r="L1239" i="13" s="1"/>
  <c r="I1240" i="13" s="1"/>
  <c r="K1262" i="14"/>
  <c r="L1262" i="14" s="1"/>
  <c r="I1263" i="14" s="1"/>
  <c r="M1430" i="14"/>
  <c r="J1426" i="13" a="1"/>
  <c r="J1426" i="13" s="1"/>
  <c r="N1427" i="13"/>
  <c r="M1429" i="13"/>
  <c r="J1425" i="14" a="1"/>
  <c r="J1425" i="14" s="1"/>
  <c r="N1426" i="14"/>
  <c r="K1240" i="13" l="1"/>
  <c r="L1240" i="13" s="1"/>
  <c r="I1241" i="13" s="1"/>
  <c r="J1426" i="14" a="1"/>
  <c r="J1426" i="14" s="1"/>
  <c r="N1427" i="14"/>
  <c r="J1427" i="13" a="1"/>
  <c r="J1427" i="13" s="1"/>
  <c r="N1428" i="13"/>
  <c r="M1430" i="13"/>
  <c r="M1431" i="14"/>
  <c r="K1263" i="14"/>
  <c r="L1263" i="14" s="1"/>
  <c r="I1264" i="14" s="1"/>
  <c r="K1241" i="13" l="1"/>
  <c r="L1241" i="13" s="1"/>
  <c r="I1242" i="13" s="1"/>
  <c r="K1264" i="14"/>
  <c r="L1264" i="14" s="1"/>
  <c r="I1265" i="14" s="1"/>
  <c r="J1427" i="14" a="1"/>
  <c r="J1427" i="14" s="1"/>
  <c r="N1428" i="14"/>
  <c r="M1431" i="13"/>
  <c r="J1428" i="13" a="1"/>
  <c r="J1428" i="13" s="1"/>
  <c r="N1429" i="13"/>
  <c r="M1432" i="14"/>
  <c r="K1242" i="13" l="1"/>
  <c r="L1242" i="13" s="1"/>
  <c r="I1243" i="13" s="1"/>
  <c r="K1265" i="14"/>
  <c r="L1265" i="14" s="1"/>
  <c r="I1266" i="14" s="1"/>
  <c r="M1432" i="13"/>
  <c r="N1430" i="13"/>
  <c r="J1429" i="13" a="1"/>
  <c r="J1429" i="13" s="1"/>
  <c r="N1429" i="14"/>
  <c r="J1428" i="14" a="1"/>
  <c r="J1428" i="14" s="1"/>
  <c r="M1433" i="14"/>
  <c r="K1243" i="13" l="1"/>
  <c r="L1243" i="13" s="1"/>
  <c r="I1244" i="13" s="1"/>
  <c r="K1266" i="14"/>
  <c r="L1266" i="14" s="1"/>
  <c r="I1267" i="14" s="1"/>
  <c r="M1434" i="14"/>
  <c r="M1433" i="13"/>
  <c r="J1430" i="13" a="1"/>
  <c r="J1430" i="13" s="1"/>
  <c r="N1431" i="13"/>
  <c r="J1429" i="14" a="1"/>
  <c r="J1429" i="14" s="1"/>
  <c r="N1430" i="14"/>
  <c r="K1244" i="13" l="1"/>
  <c r="L1244" i="13" s="1"/>
  <c r="I1245" i="13" s="1"/>
  <c r="K1267" i="14"/>
  <c r="L1267" i="14" s="1"/>
  <c r="I1268" i="14" s="1"/>
  <c r="M1434" i="13"/>
  <c r="J1431" i="13" a="1"/>
  <c r="J1431" i="13" s="1"/>
  <c r="N1432" i="13"/>
  <c r="J1430" i="14" a="1"/>
  <c r="J1430" i="14" s="1"/>
  <c r="N1431" i="14"/>
  <c r="M1435" i="14"/>
  <c r="K1245" i="13" l="1"/>
  <c r="L1245" i="13" s="1"/>
  <c r="I1246" i="13" s="1"/>
  <c r="K1268" i="14"/>
  <c r="L1268" i="14" s="1"/>
  <c r="I1269" i="14" s="1"/>
  <c r="M1436" i="14"/>
  <c r="J1431" i="14" a="1"/>
  <c r="J1431" i="14" s="1"/>
  <c r="N1432" i="14"/>
  <c r="J1432" i="13" a="1"/>
  <c r="J1432" i="13" s="1"/>
  <c r="N1433" i="13"/>
  <c r="M1435" i="13"/>
  <c r="K1246" i="13" l="1"/>
  <c r="L1246" i="13" s="1"/>
  <c r="I1247" i="13" s="1"/>
  <c r="K1269" i="14"/>
  <c r="L1269" i="14" s="1"/>
  <c r="I1270" i="14" s="1"/>
  <c r="N1433" i="14"/>
  <c r="J1432" i="14" a="1"/>
  <c r="J1432" i="14" s="1"/>
  <c r="M1436" i="13"/>
  <c r="N1434" i="13"/>
  <c r="J1433" i="13" a="1"/>
  <c r="J1433" i="13" s="1"/>
  <c r="M1437" i="14"/>
  <c r="K1247" i="13" l="1"/>
  <c r="L1247" i="13" s="1"/>
  <c r="I1248" i="13" s="1"/>
  <c r="K1270" i="14"/>
  <c r="L1270" i="14" s="1"/>
  <c r="I1271" i="14" s="1"/>
  <c r="M1437" i="13"/>
  <c r="M1438" i="14"/>
  <c r="J1434" i="13" a="1"/>
  <c r="J1434" i="13" s="1"/>
  <c r="N1435" i="13"/>
  <c r="J1433" i="14" a="1"/>
  <c r="J1433" i="14" s="1"/>
  <c r="N1434" i="14"/>
  <c r="K1248" i="13" l="1"/>
  <c r="L1248" i="13" s="1"/>
  <c r="I1249" i="13" s="1"/>
  <c r="K1271" i="14"/>
  <c r="L1271" i="14" s="1"/>
  <c r="I1272" i="14" s="1"/>
  <c r="J1434" i="14" a="1"/>
  <c r="J1434" i="14" s="1"/>
  <c r="N1435" i="14"/>
  <c r="M1439" i="14"/>
  <c r="J1435" i="13" a="1"/>
  <c r="J1435" i="13" s="1"/>
  <c r="N1436" i="13"/>
  <c r="M1438" i="13"/>
  <c r="K1249" i="13" l="1"/>
  <c r="L1249" i="13" s="1"/>
  <c r="I1250" i="13" s="1"/>
  <c r="K1272" i="14"/>
  <c r="L1272" i="14" s="1"/>
  <c r="I1273" i="14" s="1"/>
  <c r="M1440" i="14"/>
  <c r="M1439" i="13"/>
  <c r="J1436" i="13" a="1"/>
  <c r="J1436" i="13" s="1"/>
  <c r="N1437" i="13"/>
  <c r="J1435" i="14" a="1"/>
  <c r="J1435" i="14" s="1"/>
  <c r="N1436" i="14"/>
  <c r="K1250" i="13" l="1"/>
  <c r="L1250" i="13" s="1"/>
  <c r="I1251" i="13" s="1"/>
  <c r="K1273" i="14"/>
  <c r="L1273" i="14" s="1"/>
  <c r="I1274" i="14" s="1"/>
  <c r="M1440" i="13"/>
  <c r="N1438" i="13"/>
  <c r="J1437" i="13" a="1"/>
  <c r="J1437" i="13" s="1"/>
  <c r="N1437" i="14"/>
  <c r="J1436" i="14" a="1"/>
  <c r="J1436" i="14" s="1"/>
  <c r="M1441" i="14"/>
  <c r="K1251" i="13" l="1"/>
  <c r="L1251" i="13" s="1"/>
  <c r="I1252" i="13" s="1"/>
  <c r="K1274" i="14"/>
  <c r="L1274" i="14" s="1"/>
  <c r="I1275" i="14" s="1"/>
  <c r="J1438" i="13" a="1"/>
  <c r="J1438" i="13" s="1"/>
  <c r="N1439" i="13"/>
  <c r="M1441" i="13"/>
  <c r="M1442" i="14"/>
  <c r="J1437" i="14" a="1"/>
  <c r="J1437" i="14" s="1"/>
  <c r="N1438" i="14"/>
  <c r="K1252" i="13" l="1"/>
  <c r="L1252" i="13" s="1"/>
  <c r="I1253" i="13" s="1"/>
  <c r="K1275" i="14"/>
  <c r="L1275" i="14" s="1"/>
  <c r="I1276" i="14" s="1"/>
  <c r="J1439" i="13" a="1"/>
  <c r="J1439" i="13" s="1"/>
  <c r="N1440" i="13"/>
  <c r="J1438" i="14" a="1"/>
  <c r="J1438" i="14" s="1"/>
  <c r="N1439" i="14"/>
  <c r="M1442" i="13"/>
  <c r="M1443" i="14"/>
  <c r="K1253" i="13" l="1"/>
  <c r="L1253" i="13" s="1"/>
  <c r="I1254" i="13" s="1"/>
  <c r="K1276" i="14"/>
  <c r="L1276" i="14" s="1"/>
  <c r="I1277" i="14" s="1"/>
  <c r="M1444" i="14"/>
  <c r="J1440" i="13" a="1"/>
  <c r="J1440" i="13" s="1"/>
  <c r="N1441" i="13"/>
  <c r="J1439" i="14" a="1"/>
  <c r="J1439" i="14" s="1"/>
  <c r="N1440" i="14"/>
  <c r="M1443" i="13"/>
  <c r="K1254" i="13" l="1"/>
  <c r="L1254" i="13" s="1"/>
  <c r="I1255" i="13" s="1"/>
  <c r="K1277" i="14"/>
  <c r="L1277" i="14" s="1"/>
  <c r="I1278" i="14" s="1"/>
  <c r="N1442" i="13"/>
  <c r="J1441" i="13" a="1"/>
  <c r="J1441" i="13" s="1"/>
  <c r="M1444" i="13"/>
  <c r="N1441" i="14"/>
  <c r="J1440" i="14" a="1"/>
  <c r="J1440" i="14" s="1"/>
  <c r="M1445" i="14"/>
  <c r="K1255" i="13" l="1"/>
  <c r="L1255" i="13" s="1"/>
  <c r="I1256" i="13" s="1"/>
  <c r="K1278" i="14"/>
  <c r="L1278" i="14" s="1"/>
  <c r="I1279" i="14" s="1"/>
  <c r="M1445" i="13"/>
  <c r="M1446" i="14"/>
  <c r="J1441" i="14" a="1"/>
  <c r="J1441" i="14" s="1"/>
  <c r="N1442" i="14"/>
  <c r="J1442" i="13" a="1"/>
  <c r="J1442" i="13" s="1"/>
  <c r="N1443" i="13"/>
  <c r="K1256" i="13" l="1"/>
  <c r="L1256" i="13" s="1"/>
  <c r="I1257" i="13" s="1"/>
  <c r="K1279" i="14"/>
  <c r="L1279" i="14" s="1"/>
  <c r="I1280" i="14" s="1"/>
  <c r="J1443" i="13" a="1"/>
  <c r="J1443" i="13" s="1"/>
  <c r="N1444" i="13"/>
  <c r="M1447" i="14"/>
  <c r="J1442" i="14" a="1"/>
  <c r="J1442" i="14" s="1"/>
  <c r="N1443" i="14"/>
  <c r="M1446" i="13"/>
  <c r="K1257" i="13" l="1"/>
  <c r="L1257" i="13" s="1"/>
  <c r="I1258" i="13" s="1"/>
  <c r="K1280" i="14"/>
  <c r="L1280" i="14" s="1"/>
  <c r="I1281" i="14" s="1"/>
  <c r="J1443" i="14" a="1"/>
  <c r="J1443" i="14" s="1"/>
  <c r="N1444" i="14"/>
  <c r="M1448" i="14"/>
  <c r="M1447" i="13"/>
  <c r="J1444" i="13" a="1"/>
  <c r="J1444" i="13" s="1"/>
  <c r="N1445" i="13"/>
  <c r="K1258" i="13" l="1"/>
  <c r="L1258" i="13" s="1"/>
  <c r="I1259" i="13" s="1"/>
  <c r="K1281" i="14"/>
  <c r="L1281" i="14" s="1"/>
  <c r="I1282" i="14" s="1"/>
  <c r="N1446" i="13"/>
  <c r="J1445" i="13" a="1"/>
  <c r="J1445" i="13" s="1"/>
  <c r="M1449" i="14"/>
  <c r="M1448" i="13"/>
  <c r="N1445" i="14"/>
  <c r="J1444" i="14" a="1"/>
  <c r="J1444" i="14" s="1"/>
  <c r="K1259" i="13" l="1"/>
  <c r="L1259" i="13" s="1"/>
  <c r="I1260" i="13" s="1"/>
  <c r="K1282" i="14"/>
  <c r="L1282" i="14" s="1"/>
  <c r="I1283" i="14" s="1"/>
  <c r="J1445" i="14" a="1"/>
  <c r="J1445" i="14" s="1"/>
  <c r="N1446" i="14"/>
  <c r="M1450" i="14"/>
  <c r="M1449" i="13"/>
  <c r="J1446" i="13" a="1"/>
  <c r="J1446" i="13" s="1"/>
  <c r="N1447" i="13"/>
  <c r="K1260" i="13" l="1"/>
  <c r="L1260" i="13" s="1"/>
  <c r="I1261" i="13" s="1"/>
  <c r="K1283" i="14"/>
  <c r="L1283" i="14" s="1"/>
  <c r="I1284" i="14" s="1"/>
  <c r="M1451" i="14"/>
  <c r="J1446" i="14" a="1"/>
  <c r="J1446" i="14" s="1"/>
  <c r="N1447" i="14"/>
  <c r="J1447" i="13" a="1"/>
  <c r="J1447" i="13" s="1"/>
  <c r="N1448" i="13"/>
  <c r="M1450" i="13"/>
  <c r="K1261" i="13" l="1"/>
  <c r="L1261" i="13" s="1"/>
  <c r="I1262" i="13" s="1"/>
  <c r="K1284" i="14"/>
  <c r="L1284" i="14" s="1"/>
  <c r="I1285" i="14" s="1"/>
  <c r="J1447" i="14" a="1"/>
  <c r="J1447" i="14" s="1"/>
  <c r="N1448" i="14"/>
  <c r="J1448" i="13" a="1"/>
  <c r="J1448" i="13" s="1"/>
  <c r="N1449" i="13"/>
  <c r="M1452" i="14"/>
  <c r="M1451" i="13"/>
  <c r="K1262" i="13" l="1"/>
  <c r="L1262" i="13" s="1"/>
  <c r="I1263" i="13" s="1"/>
  <c r="K1285" i="14"/>
  <c r="L1285" i="14" s="1"/>
  <c r="I1286" i="14" s="1"/>
  <c r="N1450" i="13"/>
  <c r="J1449" i="13" a="1"/>
  <c r="J1449" i="13" s="1"/>
  <c r="N1449" i="14"/>
  <c r="J1448" i="14" a="1"/>
  <c r="J1448" i="14" s="1"/>
  <c r="M1452" i="13"/>
  <c r="M1453" i="14"/>
  <c r="K1263" i="13" l="1"/>
  <c r="L1263" i="13" s="1"/>
  <c r="I1264" i="13" s="1"/>
  <c r="K1286" i="14"/>
  <c r="L1286" i="14" s="1"/>
  <c r="I1287" i="14" s="1"/>
  <c r="J1449" i="14" a="1"/>
  <c r="J1449" i="14" s="1"/>
  <c r="N1450" i="14"/>
  <c r="M1454" i="14"/>
  <c r="M1453" i="13"/>
  <c r="J1450" i="13" a="1"/>
  <c r="J1450" i="13" s="1"/>
  <c r="N1451" i="13"/>
  <c r="K1264" i="13" l="1"/>
  <c r="L1264" i="13" s="1"/>
  <c r="I1265" i="13" s="1"/>
  <c r="K1287" i="14"/>
  <c r="L1287" i="14" s="1"/>
  <c r="I1288" i="14" s="1"/>
  <c r="M1454" i="13"/>
  <c r="J1451" i="13" a="1"/>
  <c r="J1451" i="13" s="1"/>
  <c r="N1452" i="13"/>
  <c r="M1455" i="14"/>
  <c r="J1450" i="14" a="1"/>
  <c r="J1450" i="14" s="1"/>
  <c r="N1451" i="14"/>
  <c r="K1265" i="13" l="1"/>
  <c r="L1265" i="13" s="1"/>
  <c r="I1266" i="13" s="1"/>
  <c r="K1288" i="14"/>
  <c r="L1288" i="14" s="1"/>
  <c r="I1289" i="14" s="1"/>
  <c r="M1456" i="14"/>
  <c r="M1455" i="13"/>
  <c r="J1452" i="13" a="1"/>
  <c r="J1452" i="13" s="1"/>
  <c r="N1453" i="13"/>
  <c r="J1451" i="14" a="1"/>
  <c r="J1451" i="14" s="1"/>
  <c r="N1452" i="14"/>
  <c r="K1266" i="13" l="1"/>
  <c r="L1266" i="13" s="1"/>
  <c r="I1267" i="13" s="1"/>
  <c r="K1289" i="14"/>
  <c r="L1289" i="14" s="1"/>
  <c r="I1290" i="14" s="1"/>
  <c r="M1456" i="13"/>
  <c r="N1453" i="14"/>
  <c r="J1452" i="14" a="1"/>
  <c r="J1452" i="14" s="1"/>
  <c r="N1454" i="13"/>
  <c r="J1453" i="13" a="1"/>
  <c r="J1453" i="13" s="1"/>
  <c r="M1457" i="14"/>
  <c r="K1267" i="13" l="1"/>
  <c r="L1267" i="13" s="1"/>
  <c r="I1268" i="13" s="1"/>
  <c r="K1290" i="14"/>
  <c r="L1290" i="14" s="1"/>
  <c r="I1291" i="14" s="1"/>
  <c r="J1453" i="14" a="1"/>
  <c r="J1453" i="14" s="1"/>
  <c r="N1454" i="14"/>
  <c r="M1457" i="13"/>
  <c r="M1458" i="14"/>
  <c r="J1454" i="13" a="1"/>
  <c r="J1454" i="13" s="1"/>
  <c r="N1455" i="13"/>
  <c r="K1268" i="13" l="1"/>
  <c r="L1268" i="13" s="1"/>
  <c r="I1269" i="13" s="1"/>
  <c r="K1291" i="14"/>
  <c r="L1291" i="14" s="1"/>
  <c r="I1292" i="14" s="1"/>
  <c r="M1458" i="13"/>
  <c r="J1454" i="14" a="1"/>
  <c r="J1454" i="14" s="1"/>
  <c r="N1455" i="14"/>
  <c r="J1455" i="13" a="1"/>
  <c r="J1455" i="13" s="1"/>
  <c r="N1456" i="13"/>
  <c r="M1459" i="14"/>
  <c r="K1269" i="13" l="1"/>
  <c r="L1269" i="13" s="1"/>
  <c r="I1270" i="13" s="1"/>
  <c r="K1292" i="14"/>
  <c r="L1292" i="14" s="1"/>
  <c r="I1293" i="14" s="1"/>
  <c r="M1460" i="14"/>
  <c r="J1456" i="13" a="1"/>
  <c r="J1456" i="13" s="1"/>
  <c r="N1457" i="13"/>
  <c r="J1455" i="14" a="1"/>
  <c r="J1455" i="14" s="1"/>
  <c r="N1456" i="14"/>
  <c r="M1459" i="13"/>
  <c r="K1270" i="13" l="1"/>
  <c r="L1270" i="13" s="1"/>
  <c r="I1271" i="13" s="1"/>
  <c r="K1293" i="14"/>
  <c r="L1293" i="14" s="1"/>
  <c r="I1294" i="14" s="1"/>
  <c r="N1457" i="14"/>
  <c r="J1456" i="14" a="1"/>
  <c r="J1456" i="14" s="1"/>
  <c r="N1458" i="13"/>
  <c r="J1457" i="13" a="1"/>
  <c r="J1457" i="13" s="1"/>
  <c r="M1460" i="13"/>
  <c r="M1461" i="14"/>
  <c r="K1271" i="13" l="1"/>
  <c r="L1271" i="13" s="1"/>
  <c r="I1272" i="13" s="1"/>
  <c r="K1294" i="14"/>
  <c r="L1294" i="14" s="1"/>
  <c r="I1295" i="14" s="1"/>
  <c r="M1462" i="14"/>
  <c r="J1458" i="13" a="1"/>
  <c r="J1458" i="13" s="1"/>
  <c r="N1459" i="13"/>
  <c r="M1461" i="13"/>
  <c r="J1457" i="14" a="1"/>
  <c r="J1457" i="14" s="1"/>
  <c r="N1458" i="14"/>
  <c r="K1272" i="13" l="1"/>
  <c r="L1272" i="13" s="1"/>
  <c r="I1273" i="13" s="1"/>
  <c r="K1295" i="14"/>
  <c r="L1295" i="14" s="1"/>
  <c r="I1296" i="14" s="1"/>
  <c r="J1459" i="13" a="1"/>
  <c r="J1459" i="13" s="1"/>
  <c r="N1460" i="13"/>
  <c r="J1458" i="14" a="1"/>
  <c r="J1458" i="14" s="1"/>
  <c r="N1459" i="14"/>
  <c r="M1462" i="13"/>
  <c r="M1463" i="14"/>
  <c r="K1273" i="13" l="1"/>
  <c r="L1273" i="13" s="1"/>
  <c r="I1274" i="13" s="1"/>
  <c r="K1296" i="14"/>
  <c r="L1296" i="14" s="1"/>
  <c r="I1297" i="14" s="1"/>
  <c r="M1464" i="14"/>
  <c r="J1460" i="13" a="1"/>
  <c r="J1460" i="13" s="1"/>
  <c r="N1461" i="13"/>
  <c r="J1459" i="14" a="1"/>
  <c r="J1459" i="14" s="1"/>
  <c r="N1460" i="14"/>
  <c r="M1463" i="13"/>
  <c r="K1274" i="13" l="1"/>
  <c r="L1274" i="13" s="1"/>
  <c r="I1275" i="13" s="1"/>
  <c r="K1297" i="14"/>
  <c r="L1297" i="14" s="1"/>
  <c r="I1298" i="14" s="1"/>
  <c r="M1464" i="13"/>
  <c r="N1461" i="14"/>
  <c r="J1460" i="14" a="1"/>
  <c r="J1460" i="14" s="1"/>
  <c r="N1462" i="13"/>
  <c r="J1461" i="13" a="1"/>
  <c r="J1461" i="13" s="1"/>
  <c r="M1465" i="14"/>
  <c r="K1275" i="13" l="1"/>
  <c r="L1275" i="13" s="1"/>
  <c r="I1276" i="13" s="1"/>
  <c r="K1298" i="14"/>
  <c r="L1298" i="14" s="1"/>
  <c r="I1299" i="14" s="1"/>
  <c r="J1461" i="14" a="1"/>
  <c r="J1461" i="14" s="1"/>
  <c r="N1462" i="14"/>
  <c r="M1465" i="13"/>
  <c r="M1466" i="14"/>
  <c r="J1462" i="13" a="1"/>
  <c r="J1462" i="13" s="1"/>
  <c r="N1463" i="13"/>
  <c r="K1276" i="13" l="1"/>
  <c r="L1276" i="13" s="1"/>
  <c r="I1277" i="13" s="1"/>
  <c r="K1299" i="14"/>
  <c r="L1299" i="14" s="1"/>
  <c r="I1300" i="14" s="1"/>
  <c r="M1466" i="13"/>
  <c r="J1463" i="13" a="1"/>
  <c r="J1463" i="13" s="1"/>
  <c r="N1464" i="13"/>
  <c r="J1462" i="14" a="1"/>
  <c r="J1462" i="14" s="1"/>
  <c r="N1463" i="14"/>
  <c r="M1467" i="14"/>
  <c r="K1277" i="13" l="1"/>
  <c r="L1277" i="13" s="1"/>
  <c r="I1278" i="13" s="1"/>
  <c r="K1300" i="14"/>
  <c r="L1300" i="14" s="1"/>
  <c r="I1301" i="14" s="1"/>
  <c r="M1468" i="14"/>
  <c r="J1463" i="14" a="1"/>
  <c r="J1463" i="14" s="1"/>
  <c r="N1464" i="14"/>
  <c r="J1464" i="13" a="1"/>
  <c r="J1464" i="13" s="1"/>
  <c r="N1465" i="13"/>
  <c r="M1467" i="13"/>
  <c r="K1278" i="13" l="1"/>
  <c r="L1278" i="13" s="1"/>
  <c r="I1279" i="13" s="1"/>
  <c r="K1301" i="14"/>
  <c r="L1301" i="14" s="1"/>
  <c r="I1302" i="14" s="1"/>
  <c r="N1465" i="14"/>
  <c r="J1464" i="14" a="1"/>
  <c r="J1464" i="14" s="1"/>
  <c r="N1466" i="13"/>
  <c r="J1465" i="13" a="1"/>
  <c r="J1465" i="13" s="1"/>
  <c r="M1468" i="13"/>
  <c r="M1469" i="14"/>
  <c r="K1279" i="13" l="1"/>
  <c r="L1279" i="13" s="1"/>
  <c r="I1280" i="13" s="1"/>
  <c r="K1302" i="14"/>
  <c r="L1302" i="14" s="1"/>
  <c r="I1303" i="14" s="1"/>
  <c r="M1470" i="14"/>
  <c r="J1466" i="13" a="1"/>
  <c r="J1466" i="13" s="1"/>
  <c r="N1467" i="13"/>
  <c r="M1469" i="13"/>
  <c r="J1465" i="14" a="1"/>
  <c r="J1465" i="14" s="1"/>
  <c r="N1466" i="14"/>
  <c r="K1280" i="13" l="1"/>
  <c r="L1280" i="13" s="1"/>
  <c r="I1281" i="13" s="1"/>
  <c r="K1303" i="14"/>
  <c r="L1303" i="14" s="1"/>
  <c r="I1304" i="14" s="1"/>
  <c r="J1467" i="13" a="1"/>
  <c r="J1467" i="13" s="1"/>
  <c r="N1468" i="13"/>
  <c r="J1466" i="14" a="1"/>
  <c r="J1466" i="14" s="1"/>
  <c r="N1467" i="14"/>
  <c r="M1470" i="13"/>
  <c r="M1471" i="14"/>
  <c r="K1281" i="13" l="1"/>
  <c r="L1281" i="13" s="1"/>
  <c r="I1282" i="13" s="1"/>
  <c r="K1304" i="14"/>
  <c r="L1304" i="14" s="1"/>
  <c r="I1305" i="14" s="1"/>
  <c r="M1472" i="14"/>
  <c r="J1467" i="14" a="1"/>
  <c r="J1467" i="14" s="1"/>
  <c r="N1468" i="14"/>
  <c r="J1468" i="13" a="1"/>
  <c r="J1468" i="13" s="1"/>
  <c r="N1469" i="13"/>
  <c r="M1471" i="13"/>
  <c r="K1282" i="13" l="1"/>
  <c r="L1282" i="13" s="1"/>
  <c r="I1283" i="13" s="1"/>
  <c r="K1305" i="14"/>
  <c r="L1305" i="14" s="1"/>
  <c r="I1306" i="14" s="1"/>
  <c r="N1469" i="14"/>
  <c r="J1468" i="14" a="1"/>
  <c r="J1468" i="14" s="1"/>
  <c r="M1472" i="13"/>
  <c r="N1470" i="13"/>
  <c r="J1469" i="13" a="1"/>
  <c r="J1469" i="13" s="1"/>
  <c r="M1473" i="14"/>
  <c r="K1283" i="13" l="1"/>
  <c r="L1283" i="13" s="1"/>
  <c r="I1284" i="13" s="1"/>
  <c r="K1306" i="14"/>
  <c r="L1306" i="14" s="1"/>
  <c r="I1307" i="14" s="1"/>
  <c r="M1473" i="13"/>
  <c r="M1474" i="14"/>
  <c r="J1470" i="13" a="1"/>
  <c r="J1470" i="13" s="1"/>
  <c r="N1471" i="13"/>
  <c r="J1469" i="14" a="1"/>
  <c r="J1469" i="14" s="1"/>
  <c r="N1470" i="14"/>
  <c r="K1284" i="13" l="1"/>
  <c r="L1284" i="13" s="1"/>
  <c r="I1285" i="13" s="1"/>
  <c r="K1307" i="14"/>
  <c r="L1307" i="14" s="1"/>
  <c r="I1308" i="14" s="1"/>
  <c r="M1475" i="14"/>
  <c r="J1470" i="14" a="1"/>
  <c r="J1470" i="14" s="1"/>
  <c r="N1471" i="14"/>
  <c r="J1471" i="13" a="1"/>
  <c r="J1471" i="13" s="1"/>
  <c r="N1472" i="13"/>
  <c r="M1474" i="13"/>
  <c r="K1285" i="13" l="1"/>
  <c r="L1285" i="13" s="1"/>
  <c r="I1286" i="13" s="1"/>
  <c r="K1308" i="14"/>
  <c r="L1308" i="14" s="1"/>
  <c r="I1309" i="14" s="1"/>
  <c r="J1471" i="14" a="1"/>
  <c r="J1471" i="14" s="1"/>
  <c r="N1472" i="14"/>
  <c r="J1472" i="13" a="1"/>
  <c r="J1472" i="13" s="1"/>
  <c r="N1473" i="13"/>
  <c r="M1476" i="14"/>
  <c r="M1475" i="13"/>
  <c r="K1286" i="13" l="1"/>
  <c r="L1286" i="13" s="1"/>
  <c r="I1287" i="13" s="1"/>
  <c r="K1309" i="14"/>
  <c r="L1309" i="14" s="1"/>
  <c r="I1310" i="14" s="1"/>
  <c r="M1476" i="13"/>
  <c r="N1473" i="14"/>
  <c r="J1472" i="14" a="1"/>
  <c r="J1472" i="14" s="1"/>
  <c r="N1474" i="13"/>
  <c r="J1473" i="13" a="1"/>
  <c r="J1473" i="13" s="1"/>
  <c r="M1477" i="14"/>
  <c r="K1287" i="13" l="1"/>
  <c r="L1287" i="13" s="1"/>
  <c r="I1288" i="13" s="1"/>
  <c r="K1310" i="14"/>
  <c r="L1310" i="14" s="1"/>
  <c r="I1311" i="14" s="1"/>
  <c r="J1473" i="14" a="1"/>
  <c r="J1473" i="14" s="1"/>
  <c r="N1474" i="14"/>
  <c r="M1478" i="14"/>
  <c r="M1477" i="13"/>
  <c r="J1474" i="13" a="1"/>
  <c r="J1474" i="13" s="1"/>
  <c r="N1475" i="13"/>
  <c r="K1288" i="13" l="1"/>
  <c r="L1288" i="13" s="1"/>
  <c r="I1289" i="13" s="1"/>
  <c r="K1311" i="14"/>
  <c r="L1311" i="14" s="1"/>
  <c r="I1312" i="14" s="1"/>
  <c r="J1475" i="13" a="1"/>
  <c r="J1475" i="13" s="1"/>
  <c r="N1476" i="13"/>
  <c r="J1474" i="14" a="1"/>
  <c r="J1474" i="14" s="1"/>
  <c r="N1475" i="14"/>
  <c r="M1479" i="14"/>
  <c r="M1478" i="13"/>
  <c r="K1289" i="13" l="1"/>
  <c r="L1289" i="13" s="1"/>
  <c r="I1290" i="13" s="1"/>
  <c r="K1312" i="14"/>
  <c r="L1312" i="14" s="1"/>
  <c r="I1313" i="14" s="1"/>
  <c r="M1479" i="13"/>
  <c r="M1480" i="14"/>
  <c r="J1476" i="13" a="1"/>
  <c r="J1476" i="13" s="1"/>
  <c r="N1477" i="13"/>
  <c r="J1475" i="14" a="1"/>
  <c r="J1475" i="14" s="1"/>
  <c r="N1476" i="14"/>
  <c r="K1290" i="13" l="1"/>
  <c r="L1290" i="13" s="1"/>
  <c r="I1291" i="13" s="1"/>
  <c r="K1313" i="14"/>
  <c r="L1313" i="14" s="1"/>
  <c r="I1314" i="14" s="1"/>
  <c r="N1477" i="14"/>
  <c r="J1476" i="14" a="1"/>
  <c r="J1476" i="14" s="1"/>
  <c r="M1481" i="14"/>
  <c r="N1478" i="13"/>
  <c r="J1477" i="13" a="1"/>
  <c r="J1477" i="13" s="1"/>
  <c r="M1480" i="13"/>
  <c r="K1291" i="13" l="1"/>
  <c r="L1291" i="13" s="1"/>
  <c r="I1292" i="13" s="1"/>
  <c r="K1314" i="14"/>
  <c r="L1314" i="14" s="1"/>
  <c r="I1315" i="14" s="1"/>
  <c r="M1481" i="13"/>
  <c r="M1482" i="14"/>
  <c r="J1478" i="13" a="1"/>
  <c r="J1478" i="13" s="1"/>
  <c r="N1479" i="13"/>
  <c r="J1477" i="14" a="1"/>
  <c r="J1477" i="14" s="1"/>
  <c r="N1478" i="14"/>
  <c r="K1292" i="13" l="1"/>
  <c r="L1292" i="13" s="1"/>
  <c r="I1293" i="13" s="1"/>
  <c r="K1315" i="14"/>
  <c r="L1315" i="14" s="1"/>
  <c r="I1316" i="14" s="1"/>
  <c r="J1478" i="14" a="1"/>
  <c r="J1478" i="14" s="1"/>
  <c r="N1479" i="14"/>
  <c r="M1483" i="14"/>
  <c r="J1479" i="13" a="1"/>
  <c r="J1479" i="13" s="1"/>
  <c r="N1480" i="13"/>
  <c r="M1482" i="13"/>
  <c r="K1293" i="13" l="1"/>
  <c r="L1293" i="13" s="1"/>
  <c r="I1294" i="13" s="1"/>
  <c r="K1316" i="14"/>
  <c r="L1316" i="14" s="1"/>
  <c r="I1317" i="14" s="1"/>
  <c r="J1480" i="13" a="1"/>
  <c r="J1480" i="13" s="1"/>
  <c r="N1481" i="13"/>
  <c r="M1484" i="14"/>
  <c r="M1483" i="13"/>
  <c r="J1479" i="14" a="1"/>
  <c r="J1479" i="14" s="1"/>
  <c r="N1480" i="14"/>
  <c r="K1294" i="13" l="1"/>
  <c r="L1294" i="13" s="1"/>
  <c r="I1295" i="13" s="1"/>
  <c r="K1317" i="14"/>
  <c r="L1317" i="14" s="1"/>
  <c r="I1318" i="14" s="1"/>
  <c r="N1481" i="14"/>
  <c r="J1480" i="14" a="1"/>
  <c r="J1480" i="14" s="1"/>
  <c r="M1485" i="14"/>
  <c r="N1482" i="13"/>
  <c r="J1481" i="13" a="1"/>
  <c r="J1481" i="13" s="1"/>
  <c r="M1484" i="13"/>
  <c r="K1295" i="13" l="1"/>
  <c r="L1295" i="13" s="1"/>
  <c r="I1296" i="13" s="1"/>
  <c r="K1318" i="14"/>
  <c r="L1318" i="14" s="1"/>
  <c r="I1319" i="14" s="1"/>
  <c r="M1485" i="13"/>
  <c r="M1486" i="14"/>
  <c r="J1482" i="13" a="1"/>
  <c r="J1482" i="13" s="1"/>
  <c r="N1483" i="13"/>
  <c r="J1481" i="14" a="1"/>
  <c r="J1481" i="14" s="1"/>
  <c r="N1482" i="14"/>
  <c r="K1296" i="13" l="1"/>
  <c r="L1296" i="13" s="1"/>
  <c r="I1297" i="13" s="1"/>
  <c r="K1319" i="14"/>
  <c r="L1319" i="14" s="1"/>
  <c r="I1320" i="14" s="1"/>
  <c r="J1482" i="14" a="1"/>
  <c r="J1482" i="14" s="1"/>
  <c r="N1483" i="14"/>
  <c r="M1487" i="14"/>
  <c r="J1483" i="13" a="1"/>
  <c r="J1483" i="13" s="1"/>
  <c r="N1484" i="13"/>
  <c r="M1486" i="13"/>
  <c r="K1297" i="13" l="1"/>
  <c r="L1297" i="13" s="1"/>
  <c r="I1298" i="13" s="1"/>
  <c r="K1320" i="14"/>
  <c r="L1320" i="14" s="1"/>
  <c r="I1321" i="14" s="1"/>
  <c r="M1488" i="14"/>
  <c r="M1487" i="13"/>
  <c r="J1483" i="14" a="1"/>
  <c r="J1483" i="14" s="1"/>
  <c r="N1484" i="14"/>
  <c r="J1484" i="13" a="1"/>
  <c r="J1484" i="13" s="1"/>
  <c r="N1485" i="13"/>
  <c r="K1298" i="13" l="1"/>
  <c r="L1298" i="13" s="1"/>
  <c r="I1299" i="13" s="1"/>
  <c r="K1321" i="14"/>
  <c r="L1321" i="14" s="1"/>
  <c r="I1322" i="14" s="1"/>
  <c r="N1486" i="13"/>
  <c r="J1485" i="13" a="1"/>
  <c r="J1485" i="13" s="1"/>
  <c r="M1488" i="13"/>
  <c r="N1485" i="14"/>
  <c r="J1484" i="14" a="1"/>
  <c r="J1484" i="14" s="1"/>
  <c r="M1489" i="14"/>
  <c r="K1299" i="13" l="1"/>
  <c r="L1299" i="13" s="1"/>
  <c r="I1300" i="13" s="1"/>
  <c r="K1322" i="14"/>
  <c r="L1322" i="14" s="1"/>
  <c r="I1323" i="14" s="1"/>
  <c r="M1489" i="13"/>
  <c r="M1490" i="14"/>
  <c r="J1485" i="14" a="1"/>
  <c r="J1485" i="14" s="1"/>
  <c r="N1486" i="14"/>
  <c r="J1486" i="13" a="1"/>
  <c r="J1486" i="13" s="1"/>
  <c r="N1487" i="13"/>
  <c r="K1300" i="13" l="1"/>
  <c r="L1300" i="13" s="1"/>
  <c r="I1301" i="13" s="1"/>
  <c r="K1323" i="14"/>
  <c r="L1323" i="14" s="1"/>
  <c r="I1324" i="14" s="1"/>
  <c r="M1491" i="14"/>
  <c r="J1486" i="14" a="1"/>
  <c r="J1486" i="14" s="1"/>
  <c r="N1487" i="14"/>
  <c r="J1487" i="13" a="1"/>
  <c r="J1487" i="13" s="1"/>
  <c r="N1488" i="13"/>
  <c r="M1490" i="13"/>
  <c r="K1301" i="13" l="1"/>
  <c r="L1301" i="13" s="1"/>
  <c r="I1302" i="13" s="1"/>
  <c r="K1324" i="14"/>
  <c r="L1324" i="14" s="1"/>
  <c r="I1325" i="14" s="1"/>
  <c r="J1487" i="14" a="1"/>
  <c r="J1487" i="14" s="1"/>
  <c r="N1488" i="14"/>
  <c r="J1488" i="13" a="1"/>
  <c r="J1488" i="13" s="1"/>
  <c r="N1489" i="13"/>
  <c r="M1492" i="14"/>
  <c r="M1491" i="13"/>
  <c r="K1302" i="13" l="1"/>
  <c r="L1302" i="13" s="1"/>
  <c r="I1303" i="13" s="1"/>
  <c r="K1325" i="14"/>
  <c r="L1325" i="14" s="1"/>
  <c r="I1326" i="14" s="1"/>
  <c r="N1490" i="13"/>
  <c r="J1489" i="13" a="1"/>
  <c r="J1489" i="13" s="1"/>
  <c r="M1492" i="13"/>
  <c r="N1489" i="14"/>
  <c r="J1488" i="14" a="1"/>
  <c r="J1488" i="14" s="1"/>
  <c r="M1493" i="14"/>
  <c r="K1303" i="13" l="1"/>
  <c r="L1303" i="13" s="1"/>
  <c r="I1304" i="13" s="1"/>
  <c r="K1326" i="14"/>
  <c r="L1326" i="14" s="1"/>
  <c r="I1327" i="14" s="1"/>
  <c r="M1493" i="13"/>
  <c r="M1494" i="14"/>
  <c r="J1489" i="14" a="1"/>
  <c r="J1489" i="14" s="1"/>
  <c r="N1490" i="14"/>
  <c r="J1490" i="13" a="1"/>
  <c r="J1490" i="13" s="1"/>
  <c r="N1491" i="13"/>
  <c r="K1304" i="13" l="1"/>
  <c r="L1304" i="13" s="1"/>
  <c r="I1305" i="13" s="1"/>
  <c r="K1327" i="14"/>
  <c r="L1327" i="14" s="1"/>
  <c r="I1328" i="14" s="1"/>
  <c r="J1491" i="13" a="1"/>
  <c r="J1491" i="13" s="1"/>
  <c r="N1492" i="13"/>
  <c r="M1495" i="14"/>
  <c r="J1490" i="14" a="1"/>
  <c r="J1490" i="14" s="1"/>
  <c r="N1491" i="14"/>
  <c r="M1494" i="13"/>
  <c r="K1305" i="13" l="1"/>
  <c r="L1305" i="13" s="1"/>
  <c r="I1306" i="13" s="1"/>
  <c r="K1328" i="14"/>
  <c r="L1328" i="14" s="1"/>
  <c r="I1329" i="14" s="1"/>
  <c r="M1496" i="14"/>
  <c r="J1491" i="14" a="1"/>
  <c r="J1491" i="14" s="1"/>
  <c r="N1492" i="14"/>
  <c r="M1495" i="13"/>
  <c r="J1492" i="13" a="1"/>
  <c r="J1492" i="13" s="1"/>
  <c r="N1493" i="13"/>
  <c r="K1306" i="13" l="1"/>
  <c r="L1306" i="13" s="1"/>
  <c r="I1307" i="13" s="1"/>
  <c r="K1329" i="14"/>
  <c r="L1329" i="14" s="1"/>
  <c r="I1330" i="14" s="1"/>
  <c r="N1493" i="14"/>
  <c r="J1492" i="14" a="1"/>
  <c r="J1492" i="14" s="1"/>
  <c r="N1494" i="13"/>
  <c r="J1493" i="13" a="1"/>
  <c r="J1493" i="13" s="1"/>
  <c r="M1496" i="13"/>
  <c r="M1497" i="14"/>
  <c r="K1307" i="13" l="1"/>
  <c r="L1307" i="13" s="1"/>
  <c r="I1308" i="13" s="1"/>
  <c r="K1330" i="14"/>
  <c r="L1330" i="14" s="1"/>
  <c r="I1331" i="14" s="1"/>
  <c r="J1494" i="13" a="1"/>
  <c r="J1494" i="13" s="1"/>
  <c r="N1495" i="13"/>
  <c r="M1498" i="14"/>
  <c r="M1497" i="13"/>
  <c r="J1493" i="14" a="1"/>
  <c r="J1493" i="14" s="1"/>
  <c r="N1494" i="14"/>
  <c r="K1308" i="13" l="1"/>
  <c r="L1308" i="13" s="1"/>
  <c r="I1309" i="13" s="1"/>
  <c r="K1331" i="14"/>
  <c r="L1331" i="14" s="1"/>
  <c r="I1332" i="14" s="1"/>
  <c r="J1494" i="14" a="1"/>
  <c r="J1494" i="14" s="1"/>
  <c r="N1495" i="14"/>
  <c r="M1499" i="14"/>
  <c r="J1495" i="13" a="1"/>
  <c r="J1495" i="13" s="1"/>
  <c r="N1496" i="13"/>
  <c r="M1498" i="13"/>
  <c r="K1309" i="13" l="1"/>
  <c r="L1309" i="13" s="1"/>
  <c r="I1310" i="13" s="1"/>
  <c r="K1332" i="14"/>
  <c r="L1332" i="14" s="1"/>
  <c r="I1333" i="14" s="1"/>
  <c r="J1496" i="13" a="1"/>
  <c r="J1496" i="13" s="1"/>
  <c r="N1497" i="13"/>
  <c r="M1500" i="14"/>
  <c r="M1499" i="13"/>
  <c r="J1495" i="14" a="1"/>
  <c r="J1495" i="14" s="1"/>
  <c r="N1496" i="14"/>
  <c r="K1310" i="13" l="1"/>
  <c r="L1310" i="13" s="1"/>
  <c r="I1311" i="13" s="1"/>
  <c r="K1333" i="14"/>
  <c r="L1333" i="14" s="1"/>
  <c r="I1334" i="14" s="1"/>
  <c r="M1501" i="14"/>
  <c r="N1498" i="13"/>
  <c r="J1497" i="13" a="1"/>
  <c r="J1497" i="13" s="1"/>
  <c r="N1497" i="14"/>
  <c r="J1496" i="14" a="1"/>
  <c r="J1496" i="14" s="1"/>
  <c r="M1500" i="13"/>
  <c r="K1311" i="13" l="1"/>
  <c r="L1311" i="13" s="1"/>
  <c r="I1312" i="13" s="1"/>
  <c r="K1334" i="14"/>
  <c r="L1334" i="14" s="1"/>
  <c r="I1335" i="14" s="1"/>
  <c r="M1501" i="13"/>
  <c r="J1498" i="13" a="1"/>
  <c r="J1498" i="13" s="1"/>
  <c r="N1499" i="13"/>
  <c r="J1497" i="14" a="1"/>
  <c r="J1497" i="14" s="1"/>
  <c r="N1498" i="14"/>
  <c r="M1502" i="14"/>
  <c r="K1312" i="13" l="1"/>
  <c r="L1312" i="13" s="1"/>
  <c r="I1313" i="13" s="1"/>
  <c r="K1335" i="14"/>
  <c r="L1335" i="14" s="1"/>
  <c r="I1336" i="14" s="1"/>
  <c r="M1503" i="14"/>
  <c r="J1499" i="13" a="1"/>
  <c r="J1499" i="13" s="1"/>
  <c r="N1500" i="13"/>
  <c r="J1498" i="14" a="1"/>
  <c r="J1498" i="14" s="1"/>
  <c r="N1499" i="14"/>
  <c r="M1502" i="13"/>
  <c r="K1313" i="13" l="1"/>
  <c r="L1313" i="13" s="1"/>
  <c r="I1314" i="13" s="1"/>
  <c r="K1336" i="14"/>
  <c r="L1336" i="14" s="1"/>
  <c r="I1337" i="14" s="1"/>
  <c r="M1503" i="13"/>
  <c r="J1499" i="14" a="1"/>
  <c r="J1499" i="14" s="1"/>
  <c r="N1500" i="14"/>
  <c r="M1504" i="14"/>
  <c r="J1500" i="13" a="1"/>
  <c r="J1500" i="13" s="1"/>
  <c r="N1501" i="13"/>
  <c r="K1314" i="13" l="1"/>
  <c r="L1314" i="13" s="1"/>
  <c r="I1315" i="13" s="1"/>
  <c r="K1337" i="14"/>
  <c r="L1337" i="14" s="1"/>
  <c r="I1338" i="14" s="1"/>
  <c r="N1501" i="14"/>
  <c r="J1500" i="14" a="1"/>
  <c r="J1500" i="14" s="1"/>
  <c r="N1502" i="13"/>
  <c r="J1501" i="13" a="1"/>
  <c r="J1501" i="13" s="1"/>
  <c r="M1505" i="14"/>
  <c r="M1504" i="13"/>
  <c r="K1315" i="13" l="1"/>
  <c r="L1315" i="13" s="1"/>
  <c r="I1316" i="13" s="1"/>
  <c r="J1502" i="13" a="1"/>
  <c r="J1502" i="13" s="1"/>
  <c r="N1503" i="13"/>
  <c r="M1506" i="14"/>
  <c r="M1505" i="13"/>
  <c r="J1501" i="14" a="1"/>
  <c r="J1501" i="14" s="1"/>
  <c r="N1502" i="14"/>
  <c r="K1338" i="14"/>
  <c r="L1338" i="14" s="1"/>
  <c r="I1339" i="14" s="1"/>
  <c r="K1316" i="13" l="1"/>
  <c r="L1316" i="13" s="1"/>
  <c r="I1317" i="13" s="1"/>
  <c r="K1339" i="14"/>
  <c r="L1339" i="14" s="1"/>
  <c r="I1340" i="14" s="1"/>
  <c r="J1503" i="13" a="1"/>
  <c r="J1503" i="13" s="1"/>
  <c r="N1504" i="13"/>
  <c r="M1506" i="13"/>
  <c r="J1502" i="14" a="1"/>
  <c r="J1502" i="14" s="1"/>
  <c r="N1503" i="14"/>
  <c r="M1507" i="14"/>
  <c r="K1317" i="13" l="1"/>
  <c r="L1317" i="13" s="1"/>
  <c r="I1318" i="13" s="1"/>
  <c r="K1340" i="14"/>
  <c r="L1340" i="14" s="1"/>
  <c r="I1341" i="14" s="1"/>
  <c r="M1508" i="14"/>
  <c r="M1507" i="13"/>
  <c r="J1503" i="14" a="1"/>
  <c r="J1503" i="14" s="1"/>
  <c r="N1504" i="14"/>
  <c r="J1504" i="13" a="1"/>
  <c r="J1504" i="13" s="1"/>
  <c r="N1505" i="13"/>
  <c r="K1318" i="13" l="1"/>
  <c r="L1318" i="13" s="1"/>
  <c r="I1319" i="13" s="1"/>
  <c r="K1341" i="14"/>
  <c r="L1341" i="14" s="1"/>
  <c r="I1342" i="14" s="1"/>
  <c r="N1506" i="13"/>
  <c r="J1505" i="13" a="1"/>
  <c r="J1505" i="13" s="1"/>
  <c r="M1508" i="13"/>
  <c r="N1505" i="14"/>
  <c r="J1504" i="14" a="1"/>
  <c r="J1504" i="14" s="1"/>
  <c r="M1509" i="14"/>
  <c r="K1319" i="13" l="1"/>
  <c r="L1319" i="13" s="1"/>
  <c r="I1320" i="13" s="1"/>
  <c r="K1342" i="14"/>
  <c r="L1342" i="14" s="1"/>
  <c r="I1343" i="14" s="1"/>
  <c r="J1505" i="14" a="1"/>
  <c r="J1505" i="14" s="1"/>
  <c r="N1506" i="14"/>
  <c r="M1509" i="13"/>
  <c r="M1510" i="14"/>
  <c r="J1506" i="13" a="1"/>
  <c r="J1506" i="13" s="1"/>
  <c r="N1507" i="13"/>
  <c r="K1320" i="13" l="1"/>
  <c r="L1320" i="13" s="1"/>
  <c r="I1321" i="13" s="1"/>
  <c r="M1511" i="14"/>
  <c r="J1507" i="13" a="1"/>
  <c r="J1507" i="13" s="1"/>
  <c r="N1508" i="13"/>
  <c r="M1510" i="13"/>
  <c r="K1343" i="14"/>
  <c r="L1343" i="14" s="1"/>
  <c r="I1344" i="14" s="1"/>
  <c r="J1506" i="14" a="1"/>
  <c r="J1506" i="14" s="1"/>
  <c r="N1507" i="14"/>
  <c r="K1321" i="13" l="1"/>
  <c r="L1321" i="13" s="1"/>
  <c r="I1322" i="13" s="1"/>
  <c r="K1344" i="14"/>
  <c r="L1344" i="14" s="1"/>
  <c r="I1345" i="14" s="1"/>
  <c r="J1507" i="14" a="1"/>
  <c r="J1507" i="14" s="1"/>
  <c r="N1508" i="14"/>
  <c r="M1512" i="14"/>
  <c r="M1511" i="13"/>
  <c r="J1508" i="13" a="1"/>
  <c r="J1508" i="13" s="1"/>
  <c r="N1509" i="13"/>
  <c r="K1322" i="13" l="1"/>
  <c r="L1322" i="13" s="1"/>
  <c r="I1323" i="13" s="1"/>
  <c r="K1345" i="14"/>
  <c r="L1345" i="14" s="1"/>
  <c r="I1346" i="14" s="1"/>
  <c r="N1510" i="13"/>
  <c r="J1509" i="13" a="1"/>
  <c r="J1509" i="13" s="1"/>
  <c r="N1509" i="14"/>
  <c r="J1508" i="14" a="1"/>
  <c r="J1508" i="14" s="1"/>
  <c r="M1512" i="13"/>
  <c r="M1513" i="14"/>
  <c r="K1323" i="13" l="1"/>
  <c r="L1323" i="13" s="1"/>
  <c r="I1324" i="13" s="1"/>
  <c r="K1346" i="14"/>
  <c r="L1346" i="14" s="1"/>
  <c r="I1347" i="14" s="1"/>
  <c r="M1513" i="13"/>
  <c r="M1514" i="14"/>
  <c r="J1509" i="14" a="1"/>
  <c r="J1509" i="14" s="1"/>
  <c r="N1510" i="14"/>
  <c r="J1510" i="13" a="1"/>
  <c r="J1510" i="13" s="1"/>
  <c r="N1511" i="13"/>
  <c r="K1324" i="13" l="1"/>
  <c r="L1324" i="13" s="1"/>
  <c r="I1325" i="13" s="1"/>
  <c r="K1347" i="14"/>
  <c r="L1347" i="14" s="1"/>
  <c r="I1348" i="14" s="1"/>
  <c r="M1515" i="14"/>
  <c r="J1511" i="13" a="1"/>
  <c r="J1511" i="13" s="1"/>
  <c r="N1512" i="13"/>
  <c r="J1510" i="14" a="1"/>
  <c r="J1510" i="14" s="1"/>
  <c r="N1511" i="14"/>
  <c r="M1514" i="13"/>
  <c r="K1325" i="13" l="1"/>
  <c r="L1325" i="13" s="1"/>
  <c r="I1326" i="13" s="1"/>
  <c r="K1348" i="14"/>
  <c r="L1348" i="14" s="1"/>
  <c r="I1349" i="14" s="1"/>
  <c r="J1512" i="13" a="1"/>
  <c r="J1512" i="13" s="1"/>
  <c r="N1513" i="13"/>
  <c r="M1516" i="14"/>
  <c r="M1515" i="13"/>
  <c r="J1511" i="14" a="1"/>
  <c r="J1511" i="14" s="1"/>
  <c r="N1512" i="14"/>
  <c r="K1326" i="13" l="1"/>
  <c r="L1326" i="13" s="1"/>
  <c r="I1327" i="13" s="1"/>
  <c r="N1513" i="14"/>
  <c r="J1512" i="14" a="1"/>
  <c r="J1512" i="14" s="1"/>
  <c r="K1349" i="14"/>
  <c r="L1349" i="14" s="1"/>
  <c r="I1350" i="14" s="1"/>
  <c r="M1517" i="14"/>
  <c r="N1514" i="13"/>
  <c r="J1513" i="13" a="1"/>
  <c r="J1513" i="13" s="1"/>
  <c r="M1516" i="13"/>
  <c r="K1327" i="13" l="1"/>
  <c r="L1327" i="13" s="1"/>
  <c r="I1328" i="13" s="1"/>
  <c r="K1350" i="14"/>
  <c r="L1350" i="14" s="1"/>
  <c r="I1351" i="14" s="1"/>
  <c r="M1517" i="13"/>
  <c r="M1518" i="14"/>
  <c r="J1513" i="14" a="1"/>
  <c r="J1513" i="14" s="1"/>
  <c r="N1514" i="14"/>
  <c r="J1514" i="13" a="1"/>
  <c r="J1514" i="13" s="1"/>
  <c r="N1515" i="13"/>
  <c r="K1328" i="13" l="1"/>
  <c r="L1328" i="13" s="1"/>
  <c r="I1329" i="13" s="1"/>
  <c r="K1351" i="14"/>
  <c r="L1351" i="14" s="1"/>
  <c r="I1352" i="14" s="1"/>
  <c r="J1515" i="13" a="1"/>
  <c r="J1515" i="13" s="1"/>
  <c r="N1516" i="13"/>
  <c r="M1519" i="14"/>
  <c r="J1514" i="14" a="1"/>
  <c r="J1514" i="14" s="1"/>
  <c r="N1515" i="14"/>
  <c r="M1518" i="13"/>
  <c r="K1329" i="13" l="1"/>
  <c r="L1329" i="13" s="1"/>
  <c r="I1330" i="13" s="1"/>
  <c r="K1352" i="14"/>
  <c r="L1352" i="14" s="1"/>
  <c r="I1353" i="14" s="1"/>
  <c r="M1520" i="14"/>
  <c r="M1519" i="13"/>
  <c r="J1515" i="14" a="1"/>
  <c r="J1515" i="14" s="1"/>
  <c r="N1516" i="14"/>
  <c r="J1516" i="13" a="1"/>
  <c r="J1516" i="13" s="1"/>
  <c r="N1517" i="13"/>
  <c r="K1330" i="13" l="1"/>
  <c r="L1330" i="13" s="1"/>
  <c r="I1331" i="13" s="1"/>
  <c r="K1353" i="14"/>
  <c r="L1353" i="14" s="1"/>
  <c r="I1354" i="14" s="1"/>
  <c r="N1517" i="14"/>
  <c r="J1516" i="14" a="1"/>
  <c r="J1516" i="14" s="1"/>
  <c r="N1518" i="13"/>
  <c r="J1517" i="13" a="1"/>
  <c r="J1517" i="13" s="1"/>
  <c r="M1520" i="13"/>
  <c r="M1521" i="14"/>
  <c r="K1331" i="13" l="1"/>
  <c r="L1331" i="13" s="1"/>
  <c r="I1332" i="13" s="1"/>
  <c r="K1354" i="14"/>
  <c r="L1354" i="14" s="1"/>
  <c r="I1355" i="14" s="1"/>
  <c r="M1522" i="14"/>
  <c r="J1518" i="13" a="1"/>
  <c r="J1518" i="13" s="1"/>
  <c r="N1519" i="13"/>
  <c r="M1521" i="13"/>
  <c r="J1517" i="14" a="1"/>
  <c r="J1517" i="14" s="1"/>
  <c r="N1518" i="14"/>
  <c r="K1332" i="13" l="1"/>
  <c r="L1332" i="13" s="1"/>
  <c r="I1333" i="13" s="1"/>
  <c r="K1355" i="14"/>
  <c r="L1355" i="14" s="1"/>
  <c r="I1356" i="14" s="1"/>
  <c r="J1519" i="13" a="1"/>
  <c r="J1519" i="13" s="1"/>
  <c r="N1520" i="13"/>
  <c r="J1518" i="14" a="1"/>
  <c r="J1518" i="14" s="1"/>
  <c r="N1519" i="14"/>
  <c r="M1522" i="13"/>
  <c r="M1523" i="14"/>
  <c r="K1333" i="13" l="1"/>
  <c r="L1333" i="13" s="1"/>
  <c r="I1334" i="13" s="1"/>
  <c r="K1356" i="14"/>
  <c r="L1356" i="14" s="1"/>
  <c r="I1357" i="14" s="1"/>
  <c r="J1519" i="14" a="1"/>
  <c r="J1519" i="14" s="1"/>
  <c r="N1520" i="14"/>
  <c r="M1523" i="13"/>
  <c r="M1524" i="14"/>
  <c r="J1520" i="13" a="1"/>
  <c r="J1520" i="13" s="1"/>
  <c r="N1521" i="13"/>
  <c r="K1334" i="13" l="1"/>
  <c r="L1334" i="13" s="1"/>
  <c r="I1335" i="13" s="1"/>
  <c r="K1357" i="14"/>
  <c r="L1357" i="14" s="1"/>
  <c r="I1358" i="14" s="1"/>
  <c r="N1522" i="13"/>
  <c r="J1521" i="13" a="1"/>
  <c r="J1521" i="13" s="1"/>
  <c r="M1524" i="13"/>
  <c r="N1521" i="14"/>
  <c r="J1520" i="14" a="1"/>
  <c r="J1520" i="14" s="1"/>
  <c r="M1525" i="14"/>
  <c r="K1335" i="13" l="1"/>
  <c r="L1335" i="13" s="1"/>
  <c r="I1336" i="13" s="1"/>
  <c r="J1522" i="13" a="1"/>
  <c r="J1522" i="13" s="1"/>
  <c r="N1523" i="13"/>
  <c r="K1358" i="14"/>
  <c r="L1358" i="14" s="1"/>
  <c r="I1359" i="14" s="1"/>
  <c r="M1525" i="13"/>
  <c r="J1521" i="14" a="1"/>
  <c r="J1521" i="14" s="1"/>
  <c r="N1522" i="14"/>
  <c r="M1526" i="14"/>
  <c r="K1336" i="13" l="1"/>
  <c r="L1336" i="13" s="1"/>
  <c r="I1337" i="13" s="1"/>
  <c r="K1359" i="14"/>
  <c r="L1359" i="14" s="1"/>
  <c r="I1360" i="14" s="1"/>
  <c r="J1522" i="14" a="1"/>
  <c r="J1522" i="14" s="1"/>
  <c r="N1523" i="14"/>
  <c r="J1523" i="13" a="1"/>
  <c r="J1523" i="13" s="1"/>
  <c r="N1524" i="13"/>
  <c r="M1527" i="14"/>
  <c r="M1526" i="13"/>
  <c r="K1337" i="13" l="1"/>
  <c r="L1337" i="13" s="1"/>
  <c r="I1338" i="13" s="1"/>
  <c r="J1524" i="13" a="1"/>
  <c r="J1524" i="13" s="1"/>
  <c r="N1525" i="13"/>
  <c r="M1527" i="13"/>
  <c r="K1360" i="14"/>
  <c r="L1360" i="14" s="1"/>
  <c r="I1361" i="14" s="1"/>
  <c r="J1523" i="14" a="1"/>
  <c r="J1523" i="14" s="1"/>
  <c r="N1524" i="14"/>
  <c r="M1528" i="14"/>
  <c r="K1338" i="13" l="1"/>
  <c r="L1338" i="13" s="1"/>
  <c r="I1339" i="13" s="1"/>
  <c r="M1529" i="14"/>
  <c r="N1526" i="13"/>
  <c r="J1525" i="13" a="1"/>
  <c r="J1525" i="13" s="1"/>
  <c r="N1525" i="14"/>
  <c r="J1524" i="14" a="1"/>
  <c r="J1524" i="14" s="1"/>
  <c r="K1361" i="14"/>
  <c r="L1361" i="14" s="1"/>
  <c r="I1362" i="14" s="1"/>
  <c r="M1528" i="13"/>
  <c r="K1339" i="13" l="1"/>
  <c r="L1339" i="13" s="1"/>
  <c r="I1340" i="13" s="1"/>
  <c r="K1362" i="14"/>
  <c r="L1362" i="14" s="1"/>
  <c r="I1363" i="14" s="1"/>
  <c r="M1529" i="13"/>
  <c r="J1525" i="14" a="1"/>
  <c r="J1525" i="14" s="1"/>
  <c r="N1526" i="14"/>
  <c r="M1530" i="14"/>
  <c r="J1526" i="13" a="1"/>
  <c r="J1526" i="13" s="1"/>
  <c r="N1527" i="13"/>
  <c r="K1340" i="13" l="1"/>
  <c r="L1340" i="13" s="1"/>
  <c r="I1341" i="13" s="1"/>
  <c r="K1363" i="14"/>
  <c r="L1363" i="14" s="1"/>
  <c r="I1364" i="14" s="1"/>
  <c r="J1526" i="14" a="1"/>
  <c r="J1526" i="14" s="1"/>
  <c r="N1527" i="14"/>
  <c r="J1527" i="13" a="1"/>
  <c r="J1527" i="13" s="1"/>
  <c r="N1528" i="13"/>
  <c r="M1531" i="14"/>
  <c r="M1530" i="13"/>
  <c r="K1341" i="13" l="1"/>
  <c r="L1341" i="13" s="1"/>
  <c r="I1342" i="13" s="1"/>
  <c r="K1364" i="14"/>
  <c r="L1364" i="14" s="1"/>
  <c r="I1365" i="14" s="1"/>
  <c r="M1532" i="14"/>
  <c r="J1528" i="13" a="1"/>
  <c r="J1528" i="13" s="1"/>
  <c r="N1529" i="13"/>
  <c r="M1531" i="13"/>
  <c r="J1527" i="14" a="1"/>
  <c r="J1527" i="14" s="1"/>
  <c r="N1528" i="14"/>
  <c r="K1342" i="13" l="1"/>
  <c r="L1342" i="13" s="1"/>
  <c r="I1343" i="13" s="1"/>
  <c r="K1365" i="14"/>
  <c r="L1365" i="14" s="1"/>
  <c r="I1366" i="14" s="1"/>
  <c r="N1530" i="13"/>
  <c r="J1529" i="13" a="1"/>
  <c r="J1529" i="13" s="1"/>
  <c r="N1529" i="14"/>
  <c r="J1528" i="14" a="1"/>
  <c r="J1528" i="14" s="1"/>
  <c r="M1532" i="13"/>
  <c r="M1533" i="14"/>
  <c r="K1343" i="13" l="1"/>
  <c r="L1343" i="13" s="1"/>
  <c r="I1344" i="13" s="1"/>
  <c r="K1366" i="14"/>
  <c r="L1366" i="14" s="1"/>
  <c r="I1367" i="14" s="1"/>
  <c r="J1529" i="14" a="1"/>
  <c r="J1529" i="14" s="1"/>
  <c r="N1530" i="14"/>
  <c r="M1534" i="14"/>
  <c r="M1533" i="13"/>
  <c r="J1530" i="13" a="1"/>
  <c r="J1530" i="13" s="1"/>
  <c r="N1531" i="13"/>
  <c r="K1344" i="13" l="1"/>
  <c r="L1344" i="13" s="1"/>
  <c r="I1345" i="13" s="1"/>
  <c r="K1367" i="14"/>
  <c r="L1367" i="14" s="1"/>
  <c r="I1368" i="14" s="1"/>
  <c r="M1535" i="14"/>
  <c r="J1530" i="14" a="1"/>
  <c r="J1530" i="14" s="1"/>
  <c r="N1531" i="14"/>
  <c r="J1531" i="13" a="1"/>
  <c r="J1531" i="13" s="1"/>
  <c r="N1532" i="13"/>
  <c r="M1534" i="13"/>
  <c r="K1345" i="13" l="1"/>
  <c r="L1345" i="13" s="1"/>
  <c r="I1346" i="13" s="1"/>
  <c r="K1368" i="14"/>
  <c r="L1368" i="14" s="1"/>
  <c r="I1369" i="14" s="1"/>
  <c r="J1531" i="14" a="1"/>
  <c r="J1531" i="14" s="1"/>
  <c r="N1532" i="14"/>
  <c r="M1535" i="13"/>
  <c r="J1532" i="13" a="1"/>
  <c r="J1532" i="13" s="1"/>
  <c r="N1533" i="13"/>
  <c r="M1536" i="14"/>
  <c r="K1346" i="13" l="1"/>
  <c r="L1346" i="13" s="1"/>
  <c r="I1347" i="13" s="1"/>
  <c r="K1369" i="14"/>
  <c r="L1369" i="14" s="1"/>
  <c r="I1370" i="14" s="1"/>
  <c r="N1534" i="13"/>
  <c r="J1533" i="13" a="1"/>
  <c r="J1533" i="13" s="1"/>
  <c r="N1533" i="14"/>
  <c r="J1532" i="14" a="1"/>
  <c r="J1532" i="14" s="1"/>
  <c r="M1537" i="14"/>
  <c r="M1536" i="13"/>
  <c r="K1347" i="13" l="1"/>
  <c r="L1347" i="13" s="1"/>
  <c r="I1348" i="13" s="1"/>
  <c r="K1370" i="14"/>
  <c r="L1370" i="14" s="1"/>
  <c r="I1371" i="14" s="1"/>
  <c r="M1537" i="13"/>
  <c r="J1533" i="14" a="1"/>
  <c r="J1533" i="14" s="1"/>
  <c r="N1534" i="14"/>
  <c r="M1538" i="14"/>
  <c r="J1534" i="13" a="1"/>
  <c r="J1534" i="13" s="1"/>
  <c r="N1535" i="13"/>
  <c r="K1348" i="13" l="1"/>
  <c r="L1348" i="13" s="1"/>
  <c r="I1349" i="13" s="1"/>
  <c r="K1371" i="14"/>
  <c r="L1371" i="14" s="1"/>
  <c r="I1372" i="14" s="1"/>
  <c r="J1534" i="14" a="1"/>
  <c r="J1534" i="14" s="1"/>
  <c r="N1535" i="14"/>
  <c r="J1535" i="13" a="1"/>
  <c r="J1535" i="13" s="1"/>
  <c r="N1536" i="13"/>
  <c r="M1539" i="14"/>
  <c r="M1538" i="13"/>
  <c r="K1349" i="13" l="1"/>
  <c r="L1349" i="13" s="1"/>
  <c r="I1350" i="13" s="1"/>
  <c r="K1372" i="14"/>
  <c r="L1372" i="14" s="1"/>
  <c r="I1373" i="14" s="1"/>
  <c r="J1536" i="13" a="1"/>
  <c r="J1536" i="13" s="1"/>
  <c r="N1537" i="13"/>
  <c r="J1535" i="14" a="1"/>
  <c r="J1535" i="14" s="1"/>
  <c r="N1536" i="14"/>
  <c r="M1539" i="13"/>
  <c r="M1540" i="14"/>
  <c r="K1350" i="13" l="1"/>
  <c r="L1350" i="13" s="1"/>
  <c r="I1351" i="13" s="1"/>
  <c r="K1373" i="14"/>
  <c r="L1373" i="14" s="1"/>
  <c r="I1374" i="14" s="1"/>
  <c r="N1537" i="14"/>
  <c r="J1536" i="14" a="1"/>
  <c r="J1536" i="14" s="1"/>
  <c r="N1538" i="13"/>
  <c r="J1537" i="13" a="1"/>
  <c r="J1537" i="13" s="1"/>
  <c r="M1541" i="14"/>
  <c r="M1540" i="13"/>
  <c r="K1351" i="13" l="1"/>
  <c r="L1351" i="13" s="1"/>
  <c r="I1352" i="13" s="1"/>
  <c r="K1374" i="14"/>
  <c r="L1374" i="14" s="1"/>
  <c r="I1375" i="14" s="1"/>
  <c r="M1542" i="14"/>
  <c r="J1537" i="14" a="1"/>
  <c r="J1537" i="14" s="1"/>
  <c r="N1538" i="14"/>
  <c r="M1541" i="13"/>
  <c r="J1538" i="13" a="1"/>
  <c r="J1538" i="13" s="1"/>
  <c r="N1539" i="13"/>
  <c r="K1352" i="13" l="1"/>
  <c r="L1352" i="13" s="1"/>
  <c r="I1353" i="13" s="1"/>
  <c r="J1539" i="13" a="1"/>
  <c r="J1539" i="13" s="1"/>
  <c r="N1540" i="13"/>
  <c r="J1538" i="14" a="1"/>
  <c r="J1538" i="14" s="1"/>
  <c r="N1539" i="14"/>
  <c r="K1375" i="14"/>
  <c r="L1375" i="14" s="1"/>
  <c r="I1376" i="14" s="1"/>
  <c r="M1542" i="13"/>
  <c r="M1543" i="14"/>
  <c r="K1353" i="13" l="1"/>
  <c r="L1353" i="13" s="1"/>
  <c r="I1354" i="13" s="1"/>
  <c r="M1543" i="13"/>
  <c r="M1544" i="14"/>
  <c r="J1540" i="13" a="1"/>
  <c r="J1540" i="13" s="1"/>
  <c r="N1541" i="13"/>
  <c r="K1376" i="14"/>
  <c r="L1376" i="14" s="1"/>
  <c r="I1377" i="14" s="1"/>
  <c r="J1539" i="14" a="1"/>
  <c r="J1539" i="14" s="1"/>
  <c r="N1540" i="14"/>
  <c r="K1354" i="13" l="1"/>
  <c r="L1354" i="13" s="1"/>
  <c r="I1355" i="13" s="1"/>
  <c r="K1377" i="14"/>
  <c r="L1377" i="14" s="1"/>
  <c r="I1378" i="14" s="1"/>
  <c r="N1542" i="13"/>
  <c r="J1541" i="13" a="1"/>
  <c r="J1541" i="13" s="1"/>
  <c r="M1544" i="13"/>
  <c r="N1541" i="14"/>
  <c r="J1540" i="14" a="1"/>
  <c r="J1540" i="14" s="1"/>
  <c r="M1545" i="14"/>
  <c r="K1355" i="13" l="1"/>
  <c r="L1355" i="13" s="1"/>
  <c r="I1356" i="13" s="1"/>
  <c r="K1378" i="14"/>
  <c r="L1378" i="14" s="1"/>
  <c r="I1379" i="14" s="1"/>
  <c r="M1545" i="13"/>
  <c r="M1546" i="14"/>
  <c r="J1541" i="14" a="1"/>
  <c r="J1541" i="14" s="1"/>
  <c r="N1542" i="14"/>
  <c r="J1542" i="13" a="1"/>
  <c r="J1542" i="13" s="1"/>
  <c r="N1543" i="13"/>
  <c r="K1356" i="13" l="1"/>
  <c r="L1356" i="13" s="1"/>
  <c r="I1357" i="13" s="1"/>
  <c r="K1379" i="14"/>
  <c r="L1379" i="14" s="1"/>
  <c r="I1380" i="14" s="1"/>
  <c r="J1543" i="13" a="1"/>
  <c r="J1543" i="13" s="1"/>
  <c r="N1544" i="13"/>
  <c r="M1547" i="14"/>
  <c r="J1542" i="14" a="1"/>
  <c r="J1542" i="14" s="1"/>
  <c r="N1543" i="14"/>
  <c r="M1546" i="13"/>
  <c r="K1357" i="13" l="1"/>
  <c r="L1357" i="13" s="1"/>
  <c r="I1358" i="13" s="1"/>
  <c r="K1380" i="14"/>
  <c r="L1380" i="14" s="1"/>
  <c r="I1381" i="14" s="1"/>
  <c r="M1548" i="14"/>
  <c r="M1547" i="13"/>
  <c r="J1544" i="13" a="1"/>
  <c r="J1544" i="13" s="1"/>
  <c r="N1545" i="13"/>
  <c r="J1543" i="14" a="1"/>
  <c r="J1543" i="14" s="1"/>
  <c r="N1544" i="14"/>
  <c r="K1358" i="13" l="1"/>
  <c r="L1358" i="13" s="1"/>
  <c r="I1359" i="13" s="1"/>
  <c r="K1381" i="14"/>
  <c r="L1381" i="14" s="1"/>
  <c r="I1382" i="14" s="1"/>
  <c r="N1545" i="14"/>
  <c r="J1544" i="14" a="1"/>
  <c r="J1544" i="14" s="1"/>
  <c r="M1549" i="14"/>
  <c r="N1546" i="13"/>
  <c r="J1545" i="13" a="1"/>
  <c r="J1545" i="13" s="1"/>
  <c r="M1548" i="13"/>
  <c r="K1359" i="13" l="1"/>
  <c r="L1359" i="13" s="1"/>
  <c r="I1360" i="13" s="1"/>
  <c r="K1382" i="14"/>
  <c r="L1382" i="14" s="1"/>
  <c r="I1383" i="14" s="1"/>
  <c r="M1549" i="13"/>
  <c r="M1550" i="14"/>
  <c r="J1546" i="13" a="1"/>
  <c r="J1546" i="13" s="1"/>
  <c r="N1547" i="13"/>
  <c r="J1545" i="14" a="1"/>
  <c r="J1545" i="14" s="1"/>
  <c r="N1546" i="14"/>
  <c r="K1360" i="13" l="1"/>
  <c r="L1360" i="13" s="1"/>
  <c r="I1361" i="13" s="1"/>
  <c r="K1383" i="14"/>
  <c r="L1383" i="14" s="1"/>
  <c r="I1384" i="14" s="1"/>
  <c r="J1546" i="14" a="1"/>
  <c r="J1546" i="14" s="1"/>
  <c r="N1547" i="14"/>
  <c r="M1551" i="14"/>
  <c r="J1547" i="13" a="1"/>
  <c r="J1547" i="13" s="1"/>
  <c r="N1548" i="13"/>
  <c r="M1550" i="13"/>
  <c r="K1361" i="13" l="1"/>
  <c r="L1361" i="13" s="1"/>
  <c r="I1362" i="13" s="1"/>
  <c r="K1384" i="14"/>
  <c r="L1384" i="14" s="1"/>
  <c r="I1385" i="14" s="1"/>
  <c r="J1547" i="14" a="1"/>
  <c r="J1547" i="14" s="1"/>
  <c r="N1548" i="14"/>
  <c r="J1548" i="13" a="1"/>
  <c r="J1548" i="13" s="1"/>
  <c r="N1549" i="13"/>
  <c r="M1552" i="14"/>
  <c r="M1551" i="13"/>
  <c r="K1362" i="13" l="1"/>
  <c r="L1362" i="13" s="1"/>
  <c r="I1363" i="13" s="1"/>
  <c r="K1385" i="14"/>
  <c r="L1385" i="14" s="1"/>
  <c r="I1386" i="14" s="1"/>
  <c r="N1550" i="13"/>
  <c r="J1549" i="13" a="1"/>
  <c r="J1549" i="13" s="1"/>
  <c r="N1549" i="14"/>
  <c r="J1548" i="14" a="1"/>
  <c r="J1548" i="14" s="1"/>
  <c r="M1552" i="13"/>
  <c r="M1553" i="14"/>
  <c r="K1363" i="13" l="1"/>
  <c r="L1363" i="13" s="1"/>
  <c r="I1364" i="13" s="1"/>
  <c r="K1386" i="14"/>
  <c r="L1386" i="14" s="1"/>
  <c r="I1387" i="14" s="1"/>
  <c r="M1553" i="13"/>
  <c r="M1554" i="14"/>
  <c r="J1549" i="14" a="1"/>
  <c r="J1549" i="14" s="1"/>
  <c r="N1550" i="14"/>
  <c r="J1550" i="13" a="1"/>
  <c r="J1550" i="13" s="1"/>
  <c r="N1551" i="13"/>
  <c r="K1364" i="13" l="1"/>
  <c r="L1364" i="13" s="1"/>
  <c r="I1365" i="13" s="1"/>
  <c r="K1387" i="14"/>
  <c r="L1387" i="14" s="1"/>
  <c r="I1388" i="14" s="1"/>
  <c r="M1555" i="14"/>
  <c r="J1551" i="13" a="1"/>
  <c r="J1551" i="13" s="1"/>
  <c r="N1552" i="13"/>
  <c r="J1550" i="14" a="1"/>
  <c r="J1550" i="14" s="1"/>
  <c r="N1551" i="14"/>
  <c r="M1554" i="13"/>
  <c r="K1365" i="13" l="1"/>
  <c r="L1365" i="13" s="1"/>
  <c r="I1366" i="13" s="1"/>
  <c r="J1552" i="13" a="1"/>
  <c r="J1552" i="13" s="1"/>
  <c r="N1553" i="13"/>
  <c r="M1555" i="13"/>
  <c r="J1551" i="14" a="1"/>
  <c r="J1551" i="14" s="1"/>
  <c r="N1552" i="14"/>
  <c r="M1556" i="14"/>
  <c r="K1388" i="14"/>
  <c r="L1388" i="14" s="1"/>
  <c r="I1389" i="14" s="1"/>
  <c r="K1366" i="13" l="1"/>
  <c r="L1366" i="13" s="1"/>
  <c r="I1367" i="13" s="1"/>
  <c r="K1389" i="14"/>
  <c r="L1389" i="14" s="1"/>
  <c r="I1390" i="14" s="1"/>
  <c r="N1553" i="14"/>
  <c r="J1552" i="14" a="1"/>
  <c r="J1552" i="14" s="1"/>
  <c r="N1554" i="13"/>
  <c r="J1553" i="13" a="1"/>
  <c r="J1553" i="13" s="1"/>
  <c r="M1557" i="14"/>
  <c r="M1556" i="13"/>
  <c r="K1367" i="13" l="1"/>
  <c r="L1367" i="13" s="1"/>
  <c r="I1368" i="13" s="1"/>
  <c r="K1390" i="14"/>
  <c r="L1390" i="14" s="1"/>
  <c r="I1391" i="14" s="1"/>
  <c r="M1557" i="13"/>
  <c r="J1554" i="13" a="1"/>
  <c r="J1554" i="13" s="1"/>
  <c r="N1555" i="13"/>
  <c r="M1558" i="14"/>
  <c r="J1553" i="14" a="1"/>
  <c r="J1553" i="14" s="1"/>
  <c r="N1554" i="14"/>
  <c r="K1368" i="13" l="1"/>
  <c r="L1368" i="13" s="1"/>
  <c r="I1369" i="13" s="1"/>
  <c r="K1391" i="14"/>
  <c r="L1391" i="14" s="1"/>
  <c r="I1392" i="14" s="1"/>
  <c r="J1555" i="13" a="1"/>
  <c r="J1555" i="13" s="1"/>
  <c r="N1556" i="13"/>
  <c r="J1554" i="14" a="1"/>
  <c r="J1554" i="14" s="1"/>
  <c r="N1555" i="14"/>
  <c r="M1559" i="14"/>
  <c r="M1558" i="13"/>
  <c r="K1369" i="13" l="1"/>
  <c r="L1369" i="13" s="1"/>
  <c r="I1370" i="13" s="1"/>
  <c r="K1392" i="14"/>
  <c r="L1392" i="14" s="1"/>
  <c r="I1393" i="14" s="1"/>
  <c r="M1560" i="14"/>
  <c r="J1555" i="14" a="1"/>
  <c r="J1555" i="14" s="1"/>
  <c r="N1556" i="14"/>
  <c r="M1559" i="13"/>
  <c r="J1556" i="13" a="1"/>
  <c r="J1556" i="13" s="1"/>
  <c r="N1557" i="13"/>
  <c r="K1370" i="13" l="1"/>
  <c r="L1370" i="13" s="1"/>
  <c r="I1371" i="13" s="1"/>
  <c r="K1393" i="14"/>
  <c r="L1393" i="14" s="1"/>
  <c r="I1394" i="14" s="1"/>
  <c r="N1557" i="14"/>
  <c r="J1556" i="14" a="1"/>
  <c r="J1556" i="14" s="1"/>
  <c r="N1558" i="13"/>
  <c r="J1557" i="13" a="1"/>
  <c r="J1557" i="13" s="1"/>
  <c r="M1560" i="13"/>
  <c r="M1561" i="14"/>
  <c r="K1371" i="13" l="1"/>
  <c r="L1371" i="13" s="1"/>
  <c r="I1372" i="13" s="1"/>
  <c r="K1394" i="14"/>
  <c r="L1394" i="14" s="1"/>
  <c r="I1395" i="14" s="1"/>
  <c r="J1558" i="13" a="1"/>
  <c r="J1558" i="13" s="1"/>
  <c r="N1559" i="13"/>
  <c r="M1562" i="14"/>
  <c r="M1561" i="13"/>
  <c r="J1557" i="14" a="1"/>
  <c r="J1557" i="14" s="1"/>
  <c r="N1558" i="14"/>
  <c r="K1372" i="13" l="1"/>
  <c r="L1372" i="13" s="1"/>
  <c r="I1373" i="13" s="1"/>
  <c r="K1395" i="14"/>
  <c r="L1395" i="14" s="1"/>
  <c r="I1396" i="14" s="1"/>
  <c r="M1563" i="14"/>
  <c r="J1558" i="14" a="1"/>
  <c r="J1558" i="14" s="1"/>
  <c r="N1559" i="14"/>
  <c r="J1559" i="13" a="1"/>
  <c r="J1559" i="13" s="1"/>
  <c r="N1560" i="13"/>
  <c r="M1562" i="13"/>
  <c r="K1373" i="13" l="1"/>
  <c r="L1373" i="13" s="1"/>
  <c r="I1374" i="13" s="1"/>
  <c r="K1396" i="14"/>
  <c r="L1396" i="14" s="1"/>
  <c r="I1397" i="14" s="1"/>
  <c r="J1560" i="13" a="1"/>
  <c r="J1560" i="13" s="1"/>
  <c r="N1561" i="13"/>
  <c r="M1564" i="14"/>
  <c r="J1559" i="14" a="1"/>
  <c r="J1559" i="14" s="1"/>
  <c r="N1560" i="14"/>
  <c r="M1563" i="13"/>
  <c r="K1374" i="13" l="1"/>
  <c r="L1374" i="13" s="1"/>
  <c r="I1375" i="13" s="1"/>
  <c r="K1397" i="14"/>
  <c r="L1397" i="14" s="1"/>
  <c r="I1398" i="14" s="1"/>
  <c r="M1564" i="13"/>
  <c r="M1565" i="14"/>
  <c r="N1562" i="13"/>
  <c r="J1561" i="13" a="1"/>
  <c r="J1561" i="13" s="1"/>
  <c r="N1561" i="14"/>
  <c r="J1560" i="14" a="1"/>
  <c r="J1560" i="14" s="1"/>
  <c r="K1375" i="13" l="1"/>
  <c r="L1375" i="13" s="1"/>
  <c r="I1376" i="13" s="1"/>
  <c r="K1398" i="14"/>
  <c r="L1398" i="14" s="1"/>
  <c r="I1399" i="14" s="1"/>
  <c r="J1561" i="14" a="1"/>
  <c r="J1561" i="14" s="1"/>
  <c r="N1562" i="14"/>
  <c r="M1566" i="14"/>
  <c r="M1565" i="13"/>
  <c r="J1562" i="13" a="1"/>
  <c r="J1562" i="13" s="1"/>
  <c r="N1563" i="13"/>
  <c r="K1376" i="13" l="1"/>
  <c r="L1376" i="13" s="1"/>
  <c r="I1377" i="13" s="1"/>
  <c r="K1399" i="14"/>
  <c r="L1399" i="14" s="1"/>
  <c r="I1400" i="14" s="1"/>
  <c r="M1566" i="13"/>
  <c r="J1563" i="13" a="1"/>
  <c r="J1563" i="13" s="1"/>
  <c r="N1564" i="13"/>
  <c r="M1567" i="14"/>
  <c r="J1562" i="14" a="1"/>
  <c r="J1562" i="14" s="1"/>
  <c r="N1563" i="14"/>
  <c r="K1377" i="13" l="1"/>
  <c r="L1377" i="13" s="1"/>
  <c r="I1378" i="13" s="1"/>
  <c r="K1400" i="14"/>
  <c r="L1400" i="14" s="1"/>
  <c r="I1401" i="14" s="1"/>
  <c r="J1564" i="13" a="1"/>
  <c r="J1564" i="13" s="1"/>
  <c r="N1565" i="13"/>
  <c r="J1563" i="14" a="1"/>
  <c r="J1563" i="14" s="1"/>
  <c r="N1564" i="14"/>
  <c r="M1568" i="14"/>
  <c r="M1567" i="13"/>
  <c r="K1378" i="13" l="1"/>
  <c r="L1378" i="13" s="1"/>
  <c r="I1379" i="13" s="1"/>
  <c r="K1401" i="14"/>
  <c r="L1401" i="14" s="1"/>
  <c r="I1402" i="14" s="1"/>
  <c r="M1569" i="14"/>
  <c r="N1565" i="14"/>
  <c r="J1564" i="14" a="1"/>
  <c r="J1564" i="14" s="1"/>
  <c r="M1568" i="13"/>
  <c r="N1566" i="13"/>
  <c r="J1565" i="13" a="1"/>
  <c r="J1565" i="13" s="1"/>
  <c r="K1379" i="13" l="1"/>
  <c r="L1379" i="13" s="1"/>
  <c r="I1380" i="13" s="1"/>
  <c r="K1402" i="14"/>
  <c r="L1402" i="14" s="1"/>
  <c r="I1403" i="14" s="1"/>
  <c r="M1569" i="13"/>
  <c r="J1566" i="13" a="1"/>
  <c r="J1566" i="13" s="1"/>
  <c r="N1567" i="13"/>
  <c r="M1570" i="14"/>
  <c r="J1565" i="14" a="1"/>
  <c r="J1565" i="14" s="1"/>
  <c r="N1566" i="14"/>
  <c r="K1380" i="13" l="1"/>
  <c r="L1380" i="13" s="1"/>
  <c r="I1381" i="13" s="1"/>
  <c r="K1403" i="14"/>
  <c r="L1403" i="14" s="1"/>
  <c r="I1404" i="14" s="1"/>
  <c r="J1567" i="13" a="1"/>
  <c r="J1567" i="13" s="1"/>
  <c r="N1568" i="13"/>
  <c r="J1566" i="14" a="1"/>
  <c r="J1566" i="14" s="1"/>
  <c r="N1567" i="14"/>
  <c r="M1571" i="14"/>
  <c r="M1570" i="13"/>
  <c r="K1381" i="13" l="1"/>
  <c r="L1381" i="13" s="1"/>
  <c r="I1382" i="13" s="1"/>
  <c r="K1404" i="14"/>
  <c r="L1404" i="14" s="1"/>
  <c r="I1405" i="14" s="1"/>
  <c r="J1567" i="14" a="1"/>
  <c r="J1567" i="14" s="1"/>
  <c r="N1568" i="14"/>
  <c r="J1568" i="13" a="1"/>
  <c r="J1568" i="13" s="1"/>
  <c r="N1569" i="13"/>
  <c r="M1571" i="13"/>
  <c r="M1572" i="14"/>
  <c r="K1382" i="13" l="1"/>
  <c r="L1382" i="13" s="1"/>
  <c r="I1383" i="13" s="1"/>
  <c r="K1405" i="14"/>
  <c r="L1405" i="14" s="1"/>
  <c r="I1406" i="14" s="1"/>
  <c r="N1570" i="13"/>
  <c r="J1569" i="13" a="1"/>
  <c r="J1569" i="13" s="1"/>
  <c r="N1569" i="14"/>
  <c r="J1568" i="14" a="1"/>
  <c r="J1568" i="14" s="1"/>
  <c r="M1573" i="14"/>
  <c r="M1572" i="13"/>
  <c r="K1383" i="13" l="1"/>
  <c r="L1383" i="13" s="1"/>
  <c r="I1384" i="13" s="1"/>
  <c r="K1406" i="14"/>
  <c r="L1406" i="14" s="1"/>
  <c r="I1407" i="14" s="1"/>
  <c r="M1573" i="13"/>
  <c r="J1569" i="14" a="1"/>
  <c r="J1569" i="14" s="1"/>
  <c r="N1570" i="14"/>
  <c r="M1574" i="14"/>
  <c r="J1570" i="13" a="1"/>
  <c r="J1570" i="13" s="1"/>
  <c r="N1571" i="13"/>
  <c r="K1384" i="13" l="1"/>
  <c r="L1384" i="13" s="1"/>
  <c r="I1385" i="13" s="1"/>
  <c r="K1407" i="14"/>
  <c r="L1407" i="14" s="1"/>
  <c r="I1408" i="14" s="1"/>
  <c r="J1570" i="14" a="1"/>
  <c r="J1570" i="14" s="1"/>
  <c r="N1571" i="14"/>
  <c r="J1571" i="13" a="1"/>
  <c r="J1571" i="13" s="1"/>
  <c r="N1572" i="13"/>
  <c r="M1574" i="13"/>
  <c r="M1575" i="14"/>
  <c r="K1385" i="13" l="1"/>
  <c r="L1385" i="13" s="1"/>
  <c r="I1386" i="13" s="1"/>
  <c r="K1408" i="14"/>
  <c r="L1408" i="14" s="1"/>
  <c r="I1409" i="14" s="1"/>
  <c r="M1576" i="14"/>
  <c r="J1572" i="13" a="1"/>
  <c r="J1572" i="13" s="1"/>
  <c r="N1573" i="13"/>
  <c r="J1571" i="14" a="1"/>
  <c r="J1571" i="14" s="1"/>
  <c r="N1572" i="14"/>
  <c r="M1575" i="13"/>
  <c r="K1386" i="13" l="1"/>
  <c r="L1386" i="13" s="1"/>
  <c r="I1387" i="13" s="1"/>
  <c r="K1409" i="14"/>
  <c r="L1409" i="14" s="1"/>
  <c r="I1410" i="14" s="1"/>
  <c r="N1574" i="13"/>
  <c r="J1573" i="13" a="1"/>
  <c r="J1573" i="13" s="1"/>
  <c r="M1576" i="13"/>
  <c r="M1577" i="14"/>
  <c r="N1573" i="14"/>
  <c r="J1572" i="14" a="1"/>
  <c r="J1572" i="14" s="1"/>
  <c r="K1387" i="13" l="1"/>
  <c r="L1387" i="13" s="1"/>
  <c r="I1388" i="13" s="1"/>
  <c r="K1410" i="14"/>
  <c r="L1410" i="14" s="1"/>
  <c r="I1411" i="14" s="1"/>
  <c r="M1577" i="13"/>
  <c r="J1573" i="14" a="1"/>
  <c r="J1573" i="14" s="1"/>
  <c r="N1574" i="14"/>
  <c r="M1578" i="14"/>
  <c r="J1574" i="13" a="1"/>
  <c r="J1574" i="13" s="1"/>
  <c r="N1575" i="13"/>
  <c r="K1388" i="13" l="1"/>
  <c r="L1388" i="13" s="1"/>
  <c r="I1389" i="13" s="1"/>
  <c r="J1575" i="13" a="1"/>
  <c r="J1575" i="13" s="1"/>
  <c r="N1576" i="13"/>
  <c r="J1574" i="14" a="1"/>
  <c r="J1574" i="14" s="1"/>
  <c r="N1575" i="14"/>
  <c r="M1579" i="14"/>
  <c r="M1578" i="13"/>
  <c r="K1411" i="14"/>
  <c r="L1411" i="14" s="1"/>
  <c r="I1412" i="14" s="1"/>
  <c r="K1389" i="13" l="1"/>
  <c r="L1389" i="13" s="1"/>
  <c r="I1390" i="13" s="1"/>
  <c r="M1579" i="13"/>
  <c r="M1580" i="14"/>
  <c r="J1576" i="13" a="1"/>
  <c r="J1576" i="13" s="1"/>
  <c r="N1577" i="13"/>
  <c r="J1575" i="14" a="1"/>
  <c r="J1575" i="14" s="1"/>
  <c r="N1576" i="14"/>
  <c r="K1412" i="14"/>
  <c r="L1412" i="14" s="1"/>
  <c r="I1413" i="14" s="1"/>
  <c r="K1390" i="13" l="1"/>
  <c r="L1390" i="13" s="1"/>
  <c r="I1391" i="13" s="1"/>
  <c r="K1413" i="14"/>
  <c r="L1413" i="14" s="1"/>
  <c r="I1414" i="14" s="1"/>
  <c r="M1580" i="13"/>
  <c r="N1578" i="13"/>
  <c r="J1577" i="13" a="1"/>
  <c r="J1577" i="13" s="1"/>
  <c r="N1577" i="14"/>
  <c r="J1576" i="14" a="1"/>
  <c r="J1576" i="14" s="1"/>
  <c r="M1581" i="14"/>
  <c r="K1391" i="13" l="1"/>
  <c r="L1391" i="13" s="1"/>
  <c r="I1392" i="13" s="1"/>
  <c r="K1414" i="14"/>
  <c r="L1414" i="14" s="1"/>
  <c r="I1415" i="14" s="1"/>
  <c r="M1582" i="14"/>
  <c r="J1578" i="13" a="1"/>
  <c r="J1578" i="13" s="1"/>
  <c r="N1579" i="13"/>
  <c r="M1581" i="13"/>
  <c r="J1577" i="14" a="1"/>
  <c r="J1577" i="14" s="1"/>
  <c r="N1578" i="14"/>
  <c r="K1392" i="13" l="1"/>
  <c r="L1392" i="13" s="1"/>
  <c r="I1393" i="13" s="1"/>
  <c r="K1415" i="14"/>
  <c r="L1415" i="14" s="1"/>
  <c r="I1416" i="14" s="1"/>
  <c r="J1578" i="14" a="1"/>
  <c r="J1578" i="14" s="1"/>
  <c r="N1579" i="14"/>
  <c r="J1579" i="13" a="1"/>
  <c r="J1579" i="13" s="1"/>
  <c r="N1580" i="13"/>
  <c r="M1582" i="13"/>
  <c r="M1583" i="14"/>
  <c r="K1393" i="13" l="1"/>
  <c r="L1393" i="13" s="1"/>
  <c r="I1394" i="13" s="1"/>
  <c r="K1416" i="14"/>
  <c r="L1416" i="14" s="1"/>
  <c r="I1417" i="14" s="1"/>
  <c r="M1584" i="14"/>
  <c r="J1580" i="13" a="1"/>
  <c r="J1580" i="13" s="1"/>
  <c r="N1581" i="13"/>
  <c r="J1579" i="14" a="1"/>
  <c r="J1579" i="14" s="1"/>
  <c r="N1580" i="14"/>
  <c r="M1583" i="13"/>
  <c r="K1394" i="13" l="1"/>
  <c r="L1394" i="13" s="1"/>
  <c r="I1395" i="13" s="1"/>
  <c r="N1581" i="14"/>
  <c r="J1580" i="14" a="1"/>
  <c r="J1580" i="14" s="1"/>
  <c r="N1582" i="13"/>
  <c r="J1581" i="13" a="1"/>
  <c r="J1581" i="13" s="1"/>
  <c r="K1417" i="14"/>
  <c r="L1417" i="14" s="1"/>
  <c r="I1418" i="14" s="1"/>
  <c r="M1584" i="13"/>
  <c r="M1585" i="14"/>
  <c r="K1395" i="13" l="1"/>
  <c r="L1395" i="13" s="1"/>
  <c r="I1396" i="13" s="1"/>
  <c r="K1418" i="14"/>
  <c r="L1418" i="14" s="1"/>
  <c r="I1419" i="14" s="1"/>
  <c r="J1581" i="14" a="1"/>
  <c r="J1581" i="14" s="1"/>
  <c r="N1582" i="14"/>
  <c r="M1586" i="14"/>
  <c r="M1585" i="13"/>
  <c r="J1582" i="13" a="1"/>
  <c r="J1582" i="13" s="1"/>
  <c r="N1583" i="13"/>
  <c r="K1396" i="13" l="1"/>
  <c r="L1396" i="13" s="1"/>
  <c r="I1397" i="13" s="1"/>
  <c r="K1419" i="14"/>
  <c r="L1419" i="14" s="1"/>
  <c r="I1420" i="14" s="1"/>
  <c r="J1583" i="13" a="1"/>
  <c r="J1583" i="13" s="1"/>
  <c r="N1584" i="13"/>
  <c r="M1587" i="14"/>
  <c r="J1582" i="14" a="1"/>
  <c r="J1582" i="14" s="1"/>
  <c r="N1583" i="14"/>
  <c r="M1586" i="13"/>
  <c r="K1397" i="13" l="1"/>
  <c r="L1397" i="13" s="1"/>
  <c r="I1398" i="13" s="1"/>
  <c r="K1420" i="14"/>
  <c r="L1420" i="14" s="1"/>
  <c r="I1421" i="14" s="1"/>
  <c r="J1584" i="13" a="1"/>
  <c r="J1584" i="13" s="1"/>
  <c r="N1585" i="13"/>
  <c r="M1588" i="14"/>
  <c r="M1587" i="13"/>
  <c r="J1583" i="14" a="1"/>
  <c r="J1583" i="14" s="1"/>
  <c r="N1584" i="14"/>
  <c r="K1398" i="13" l="1"/>
  <c r="L1398" i="13" s="1"/>
  <c r="I1399" i="13" s="1"/>
  <c r="K1421" i="14"/>
  <c r="L1421" i="14" s="1"/>
  <c r="I1422" i="14" s="1"/>
  <c r="N1585" i="14"/>
  <c r="J1584" i="14" a="1"/>
  <c r="J1584" i="14" s="1"/>
  <c r="M1588" i="13"/>
  <c r="M1589" i="14"/>
  <c r="N1586" i="13"/>
  <c r="J1585" i="13" a="1"/>
  <c r="J1585" i="13" s="1"/>
  <c r="K1399" i="13" l="1"/>
  <c r="L1399" i="13" s="1"/>
  <c r="I1400" i="13" s="1"/>
  <c r="K1422" i="14"/>
  <c r="L1422" i="14" s="1"/>
  <c r="I1423" i="14" s="1"/>
  <c r="M1590" i="14"/>
  <c r="J1585" i="14" a="1"/>
  <c r="J1585" i="14" s="1"/>
  <c r="N1586" i="14"/>
  <c r="M1589" i="13"/>
  <c r="J1586" i="13" a="1"/>
  <c r="J1586" i="13" s="1"/>
  <c r="N1587" i="13"/>
  <c r="K1400" i="13" l="1"/>
  <c r="L1400" i="13" s="1"/>
  <c r="I1401" i="13" s="1"/>
  <c r="K1423" i="14"/>
  <c r="L1423" i="14" s="1"/>
  <c r="I1424" i="14" s="1"/>
  <c r="J1586" i="14" a="1"/>
  <c r="J1586" i="14" s="1"/>
  <c r="N1587" i="14"/>
  <c r="J1587" i="13" a="1"/>
  <c r="J1587" i="13" s="1"/>
  <c r="N1588" i="13"/>
  <c r="M1590" i="13"/>
  <c r="M1591" i="14"/>
  <c r="K1401" i="13" l="1"/>
  <c r="L1401" i="13" s="1"/>
  <c r="I1402" i="13" s="1"/>
  <c r="K1424" i="14"/>
  <c r="L1424" i="14" s="1"/>
  <c r="I1425" i="14" s="1"/>
  <c r="M1592" i="14"/>
  <c r="J1588" i="13" a="1"/>
  <c r="J1588" i="13" s="1"/>
  <c r="N1589" i="13"/>
  <c r="J1587" i="14" a="1"/>
  <c r="J1587" i="14" s="1"/>
  <c r="N1588" i="14"/>
  <c r="M1591" i="13"/>
  <c r="K1402" i="13" l="1"/>
  <c r="L1402" i="13" s="1"/>
  <c r="I1403" i="13" s="1"/>
  <c r="K1425" i="14"/>
  <c r="L1425" i="14" s="1"/>
  <c r="I1426" i="14" s="1"/>
  <c r="N1590" i="13"/>
  <c r="J1589" i="13" a="1"/>
  <c r="J1589" i="13" s="1"/>
  <c r="M1592" i="13"/>
  <c r="N1589" i="14"/>
  <c r="J1588" i="14" a="1"/>
  <c r="J1588" i="14" s="1"/>
  <c r="M1593" i="14"/>
  <c r="K1403" i="13" l="1"/>
  <c r="L1403" i="13" s="1"/>
  <c r="I1404" i="13" s="1"/>
  <c r="K1426" i="14"/>
  <c r="L1426" i="14" s="1"/>
  <c r="I1427" i="14" s="1"/>
  <c r="J1589" i="14" a="1"/>
  <c r="J1589" i="14" s="1"/>
  <c r="N1590" i="14"/>
  <c r="M1593" i="13"/>
  <c r="M1594" i="14"/>
  <c r="J1590" i="13" a="1"/>
  <c r="J1590" i="13" s="1"/>
  <c r="N1591" i="13"/>
  <c r="K1404" i="13" l="1"/>
  <c r="L1404" i="13" s="1"/>
  <c r="I1405" i="13" s="1"/>
  <c r="K1427" i="14"/>
  <c r="L1427" i="14" s="1"/>
  <c r="I1428" i="14" s="1"/>
  <c r="M1594" i="13"/>
  <c r="J1590" i="14" a="1"/>
  <c r="J1590" i="14" s="1"/>
  <c r="N1591" i="14"/>
  <c r="J1591" i="13" a="1"/>
  <c r="J1591" i="13" s="1"/>
  <c r="N1592" i="13"/>
  <c r="M1595" i="14"/>
  <c r="K1405" i="13" l="1"/>
  <c r="L1405" i="13" s="1"/>
  <c r="I1406" i="13" s="1"/>
  <c r="K1428" i="14"/>
  <c r="L1428" i="14" s="1"/>
  <c r="I1429" i="14" s="1"/>
  <c r="J1592" i="13" a="1"/>
  <c r="J1592" i="13" s="1"/>
  <c r="N1593" i="13"/>
  <c r="M1596" i="14"/>
  <c r="J1591" i="14" a="1"/>
  <c r="J1591" i="14" s="1"/>
  <c r="N1592" i="14"/>
  <c r="M1595" i="13"/>
  <c r="K1406" i="13" l="1"/>
  <c r="L1406" i="13" s="1"/>
  <c r="I1407" i="13" s="1"/>
  <c r="K1429" i="14"/>
  <c r="L1429" i="14" s="1"/>
  <c r="I1430" i="14" s="1"/>
  <c r="N1594" i="13"/>
  <c r="J1593" i="13" a="1"/>
  <c r="J1593" i="13" s="1"/>
  <c r="M1596" i="13"/>
  <c r="M1597" i="14"/>
  <c r="N1593" i="14"/>
  <c r="J1592" i="14" a="1"/>
  <c r="J1592" i="14" s="1"/>
  <c r="K1407" i="13" l="1"/>
  <c r="L1407" i="13" s="1"/>
  <c r="I1408" i="13" s="1"/>
  <c r="K1430" i="14"/>
  <c r="L1430" i="14" s="1"/>
  <c r="I1431" i="14" s="1"/>
  <c r="M1597" i="13"/>
  <c r="J1593" i="14" a="1"/>
  <c r="J1593" i="14" s="1"/>
  <c r="N1594" i="14"/>
  <c r="M1598" i="14"/>
  <c r="J1594" i="13" a="1"/>
  <c r="J1594" i="13" s="1"/>
  <c r="N1595" i="13"/>
  <c r="K1408" i="13" l="1"/>
  <c r="L1408" i="13" s="1"/>
  <c r="I1409" i="13" s="1"/>
  <c r="K1431" i="14"/>
  <c r="L1431" i="14" s="1"/>
  <c r="I1432" i="14" s="1"/>
  <c r="M1599" i="14"/>
  <c r="J1595" i="13" a="1"/>
  <c r="J1595" i="13" s="1"/>
  <c r="N1596" i="13"/>
  <c r="M1598" i="13"/>
  <c r="J1594" i="14" a="1"/>
  <c r="J1594" i="14" s="1"/>
  <c r="N1595" i="14"/>
  <c r="K1409" i="13" l="1"/>
  <c r="L1409" i="13" s="1"/>
  <c r="I1410" i="13" s="1"/>
  <c r="K1432" i="14"/>
  <c r="L1432" i="14" s="1"/>
  <c r="I1433" i="14" s="1"/>
  <c r="M1600" i="14"/>
  <c r="J1596" i="13" a="1"/>
  <c r="J1596" i="13" s="1"/>
  <c r="N1597" i="13"/>
  <c r="J1595" i="14" a="1"/>
  <c r="J1595" i="14" s="1"/>
  <c r="N1596" i="14"/>
  <c r="M1599" i="13"/>
  <c r="K1410" i="13" l="1"/>
  <c r="L1410" i="13" s="1"/>
  <c r="I1411" i="13" s="1"/>
  <c r="N1598" i="13"/>
  <c r="J1597" i="13" a="1"/>
  <c r="J1597" i="13" s="1"/>
  <c r="N1597" i="14"/>
  <c r="J1596" i="14" a="1"/>
  <c r="J1596" i="14" s="1"/>
  <c r="M1600" i="13"/>
  <c r="K1433" i="14"/>
  <c r="L1433" i="14" s="1"/>
  <c r="I1434" i="14" s="1"/>
  <c r="M1601" i="14"/>
  <c r="K1411" i="13" l="1"/>
  <c r="L1411" i="13" s="1"/>
  <c r="I1412" i="13" s="1"/>
  <c r="K1434" i="14"/>
  <c r="L1434" i="14" s="1"/>
  <c r="I1435" i="14" s="1"/>
  <c r="M1602" i="14"/>
  <c r="J1598" i="13" a="1"/>
  <c r="J1598" i="13" s="1"/>
  <c r="N1599" i="13"/>
  <c r="M1601" i="13"/>
  <c r="J1597" i="14" a="1"/>
  <c r="J1597" i="14" s="1"/>
  <c r="N1598" i="14"/>
  <c r="K1412" i="13" l="1"/>
  <c r="L1412" i="13" s="1"/>
  <c r="I1413" i="13" s="1"/>
  <c r="K1435" i="14"/>
  <c r="L1435" i="14" s="1"/>
  <c r="I1436" i="14" s="1"/>
  <c r="J1599" i="13" a="1"/>
  <c r="J1599" i="13" s="1"/>
  <c r="N1600" i="13"/>
  <c r="J1598" i="14" a="1"/>
  <c r="J1598" i="14" s="1"/>
  <c r="N1599" i="14"/>
  <c r="M1602" i="13"/>
  <c r="M1603" i="14"/>
  <c r="K1413" i="13" l="1"/>
  <c r="L1413" i="13" s="1"/>
  <c r="I1414" i="13" s="1"/>
  <c r="K1436" i="14"/>
  <c r="L1436" i="14" s="1"/>
  <c r="I1437" i="14" s="1"/>
  <c r="M1604" i="14"/>
  <c r="J1600" i="13" a="1"/>
  <c r="J1600" i="13" s="1"/>
  <c r="N1601" i="13"/>
  <c r="J1599" i="14" a="1"/>
  <c r="J1599" i="14" s="1"/>
  <c r="N1600" i="14"/>
  <c r="M1603" i="13"/>
  <c r="K1414" i="13" l="1"/>
  <c r="L1414" i="13" s="1"/>
  <c r="I1415" i="13" s="1"/>
  <c r="K1437" i="14"/>
  <c r="L1437" i="14" s="1"/>
  <c r="I1438" i="14" s="1"/>
  <c r="N1601" i="14"/>
  <c r="J1600" i="14" a="1"/>
  <c r="J1600" i="14" s="1"/>
  <c r="M1605" i="14"/>
  <c r="N1602" i="13"/>
  <c r="J1601" i="13" a="1"/>
  <c r="J1601" i="13" s="1"/>
  <c r="M1604" i="13"/>
  <c r="K1415" i="13" l="1"/>
  <c r="L1415" i="13" s="1"/>
  <c r="I1416" i="13" s="1"/>
  <c r="K1438" i="14"/>
  <c r="L1438" i="14" s="1"/>
  <c r="I1439" i="14" s="1"/>
  <c r="J1601" i="14" a="1"/>
  <c r="J1601" i="14" s="1"/>
  <c r="N1602" i="14"/>
  <c r="J1602" i="13" a="1"/>
  <c r="J1602" i="13" s="1"/>
  <c r="N1603" i="13"/>
  <c r="M1605" i="13"/>
  <c r="M1606" i="14"/>
  <c r="K1416" i="13" l="1"/>
  <c r="L1416" i="13" s="1"/>
  <c r="I1417" i="13" s="1"/>
  <c r="K1439" i="14"/>
  <c r="L1439" i="14" s="1"/>
  <c r="I1440" i="14" s="1"/>
  <c r="J1603" i="13" a="1"/>
  <c r="J1603" i="13" s="1"/>
  <c r="N1604" i="13"/>
  <c r="M1606" i="13"/>
  <c r="M1607" i="14"/>
  <c r="J1602" i="14" a="1"/>
  <c r="J1602" i="14" s="1"/>
  <c r="N1603" i="14"/>
  <c r="K1417" i="13" l="1"/>
  <c r="L1417" i="13" s="1"/>
  <c r="I1418" i="13" s="1"/>
  <c r="K1440" i="14"/>
  <c r="L1440" i="14" s="1"/>
  <c r="I1441" i="14" s="1"/>
  <c r="M1607" i="13"/>
  <c r="J1604" i="13" a="1"/>
  <c r="J1604" i="13" s="1"/>
  <c r="N1605" i="13"/>
  <c r="J1603" i="14" a="1"/>
  <c r="J1603" i="14" s="1"/>
  <c r="N1604" i="14"/>
  <c r="M1608" i="14"/>
  <c r="K1418" i="13" l="1"/>
  <c r="L1418" i="13" s="1"/>
  <c r="I1419" i="13" s="1"/>
  <c r="K1441" i="14"/>
  <c r="L1441" i="14" s="1"/>
  <c r="I1442" i="14" s="1"/>
  <c r="N1605" i="14"/>
  <c r="J1604" i="14" a="1"/>
  <c r="J1604" i="14" s="1"/>
  <c r="M1609" i="14"/>
  <c r="M1608" i="13"/>
  <c r="N1606" i="13"/>
  <c r="J1605" i="13" a="1"/>
  <c r="J1605" i="13" s="1"/>
  <c r="K1419" i="13" l="1"/>
  <c r="L1419" i="13" s="1"/>
  <c r="I1420" i="13" s="1"/>
  <c r="K1442" i="14"/>
  <c r="L1442" i="14" s="1"/>
  <c r="I1443" i="14" s="1"/>
  <c r="J1606" i="13" a="1"/>
  <c r="J1606" i="13" s="1"/>
  <c r="N1607" i="13"/>
  <c r="M1610" i="14"/>
  <c r="M1609" i="13"/>
  <c r="J1605" i="14" a="1"/>
  <c r="J1605" i="14" s="1"/>
  <c r="N1606" i="14"/>
  <c r="K1420" i="13" l="1"/>
  <c r="L1420" i="13" s="1"/>
  <c r="I1421" i="13" s="1"/>
  <c r="K1443" i="14"/>
  <c r="L1443" i="14" s="1"/>
  <c r="I1444" i="14" s="1"/>
  <c r="M1611" i="14"/>
  <c r="J1607" i="13" a="1"/>
  <c r="J1607" i="13" s="1"/>
  <c r="N1608" i="13"/>
  <c r="J1606" i="14" a="1"/>
  <c r="J1606" i="14" s="1"/>
  <c r="N1607" i="14"/>
  <c r="M1610" i="13"/>
  <c r="K1421" i="13" l="1"/>
  <c r="L1421" i="13" s="1"/>
  <c r="I1422" i="13" s="1"/>
  <c r="J1608" i="13" a="1"/>
  <c r="J1608" i="13" s="1"/>
  <c r="N1609" i="13"/>
  <c r="M1611" i="13"/>
  <c r="J1607" i="14" a="1"/>
  <c r="J1607" i="14" s="1"/>
  <c r="N1608" i="14"/>
  <c r="M1612" i="14"/>
  <c r="K1444" i="14"/>
  <c r="L1444" i="14" s="1"/>
  <c r="I1445" i="14" s="1"/>
  <c r="K1422" i="13" l="1"/>
  <c r="L1422" i="13" s="1"/>
  <c r="I1423" i="13" s="1"/>
  <c r="K1445" i="14"/>
  <c r="L1445" i="14" s="1"/>
  <c r="I1446" i="14" s="1"/>
  <c r="N1609" i="14"/>
  <c r="J1608" i="14" a="1"/>
  <c r="J1608" i="14" s="1"/>
  <c r="N1610" i="13"/>
  <c r="J1609" i="13" a="1"/>
  <c r="J1609" i="13" s="1"/>
  <c r="M1613" i="14"/>
  <c r="M1612" i="13"/>
  <c r="K1423" i="13" l="1"/>
  <c r="L1423" i="13" s="1"/>
  <c r="I1424" i="13" s="1"/>
  <c r="K1446" i="14"/>
  <c r="L1446" i="14" s="1"/>
  <c r="I1447" i="14" s="1"/>
  <c r="M1614" i="14"/>
  <c r="M1613" i="13"/>
  <c r="J1610" i="13" a="1"/>
  <c r="J1610" i="13" s="1"/>
  <c r="N1611" i="13"/>
  <c r="J1609" i="14" a="1"/>
  <c r="J1609" i="14" s="1"/>
  <c r="N1610" i="14"/>
  <c r="K1424" i="13" l="1"/>
  <c r="L1424" i="13" s="1"/>
  <c r="I1425" i="13" s="1"/>
  <c r="K1447" i="14"/>
  <c r="L1447" i="14" s="1"/>
  <c r="I1448" i="14" s="1"/>
  <c r="J1610" i="14" a="1"/>
  <c r="J1610" i="14" s="1"/>
  <c r="N1611" i="14"/>
  <c r="M1615" i="14"/>
  <c r="J1611" i="13" a="1"/>
  <c r="J1611" i="13" s="1"/>
  <c r="N1612" i="13"/>
  <c r="M1614" i="13"/>
  <c r="K1425" i="13" l="1"/>
  <c r="L1425" i="13" s="1"/>
  <c r="I1426" i="13" s="1"/>
  <c r="K1448" i="14"/>
  <c r="L1448" i="14" s="1"/>
  <c r="I1449" i="14" s="1"/>
  <c r="M1616" i="14"/>
  <c r="J1612" i="13" a="1"/>
  <c r="J1612" i="13" s="1"/>
  <c r="N1613" i="13"/>
  <c r="M1615" i="13"/>
  <c r="J1611" i="14" a="1"/>
  <c r="J1611" i="14" s="1"/>
  <c r="N1612" i="14"/>
  <c r="K1426" i="13" l="1"/>
  <c r="L1426" i="13" s="1"/>
  <c r="I1427" i="13" s="1"/>
  <c r="K1449" i="14"/>
  <c r="L1449" i="14" s="1"/>
  <c r="I1450" i="14" s="1"/>
  <c r="N1613" i="14"/>
  <c r="J1612" i="14" a="1"/>
  <c r="J1612" i="14" s="1"/>
  <c r="N1614" i="13"/>
  <c r="J1613" i="13" a="1"/>
  <c r="J1613" i="13" s="1"/>
  <c r="M1616" i="13"/>
  <c r="M1617" i="14"/>
  <c r="K1427" i="13" l="1"/>
  <c r="L1427" i="13" s="1"/>
  <c r="I1428" i="13" s="1"/>
  <c r="K1450" i="14"/>
  <c r="L1450" i="14" s="1"/>
  <c r="I1451" i="14" s="1"/>
  <c r="M1618" i="14"/>
  <c r="J1614" i="13" a="1"/>
  <c r="J1614" i="13" s="1"/>
  <c r="N1615" i="13"/>
  <c r="M1617" i="13"/>
  <c r="J1613" i="14" a="1"/>
  <c r="J1613" i="14" s="1"/>
  <c r="N1614" i="14"/>
  <c r="K1428" i="13" l="1"/>
  <c r="L1428" i="13" s="1"/>
  <c r="I1429" i="13" s="1"/>
  <c r="K1451" i="14"/>
  <c r="L1451" i="14" s="1"/>
  <c r="I1452" i="14" s="1"/>
  <c r="J1614" i="14" a="1"/>
  <c r="J1614" i="14" s="1"/>
  <c r="N1615" i="14"/>
  <c r="J1615" i="13" a="1"/>
  <c r="J1615" i="13" s="1"/>
  <c r="N1616" i="13"/>
  <c r="M1618" i="13"/>
  <c r="M1619" i="14"/>
  <c r="K1429" i="13" l="1"/>
  <c r="L1429" i="13" s="1"/>
  <c r="I1430" i="13" s="1"/>
  <c r="K1452" i="14"/>
  <c r="L1452" i="14" s="1"/>
  <c r="I1453" i="14" s="1"/>
  <c r="M1620" i="14"/>
  <c r="J1616" i="13" a="1"/>
  <c r="J1616" i="13" s="1"/>
  <c r="N1617" i="13"/>
  <c r="J1615" i="14" a="1"/>
  <c r="J1615" i="14" s="1"/>
  <c r="N1616" i="14"/>
  <c r="M1619" i="13"/>
  <c r="K1430" i="13" l="1"/>
  <c r="L1430" i="13" s="1"/>
  <c r="I1431" i="13" s="1"/>
  <c r="K1453" i="14"/>
  <c r="L1453" i="14" s="1"/>
  <c r="I1454" i="14" s="1"/>
  <c r="N1618" i="13"/>
  <c r="J1617" i="13" a="1"/>
  <c r="J1617" i="13" s="1"/>
  <c r="N1617" i="14"/>
  <c r="J1616" i="14" a="1"/>
  <c r="J1616" i="14" s="1"/>
  <c r="M1620" i="13"/>
  <c r="M1621" i="14"/>
  <c r="K1431" i="13" l="1"/>
  <c r="L1431" i="13" s="1"/>
  <c r="I1432" i="13" s="1"/>
  <c r="K1454" i="14"/>
  <c r="L1454" i="14" s="1"/>
  <c r="I1455" i="14" s="1"/>
  <c r="J1617" i="14" a="1"/>
  <c r="J1617" i="14" s="1"/>
  <c r="N1618" i="14"/>
  <c r="M1622" i="14"/>
  <c r="M1621" i="13"/>
  <c r="J1618" i="13" a="1"/>
  <c r="J1618" i="13" s="1"/>
  <c r="N1619" i="13"/>
  <c r="K1432" i="13" l="1"/>
  <c r="L1432" i="13" s="1"/>
  <c r="I1433" i="13" s="1"/>
  <c r="K1455" i="14"/>
  <c r="L1455" i="14" s="1"/>
  <c r="I1456" i="14" s="1"/>
  <c r="J1619" i="13" a="1"/>
  <c r="J1619" i="13" s="1"/>
  <c r="N1620" i="13"/>
  <c r="M1623" i="14"/>
  <c r="J1618" i="14" a="1"/>
  <c r="J1618" i="14" s="1"/>
  <c r="N1619" i="14"/>
  <c r="M1622" i="13"/>
  <c r="K1433" i="13" l="1"/>
  <c r="L1433" i="13" s="1"/>
  <c r="I1434" i="13" s="1"/>
  <c r="K1456" i="14"/>
  <c r="L1456" i="14" s="1"/>
  <c r="I1457" i="14" s="1"/>
  <c r="J1620" i="13" a="1"/>
  <c r="J1620" i="13" s="1"/>
  <c r="N1621" i="13"/>
  <c r="M1624" i="14"/>
  <c r="J1619" i="14" a="1"/>
  <c r="J1619" i="14" s="1"/>
  <c r="N1620" i="14"/>
  <c r="M1623" i="13"/>
  <c r="K1434" i="13" l="1"/>
  <c r="L1434" i="13" s="1"/>
  <c r="I1435" i="13" s="1"/>
  <c r="K1457" i="14"/>
  <c r="L1457" i="14" s="1"/>
  <c r="I1458" i="14" s="1"/>
  <c r="N1621" i="14"/>
  <c r="J1620" i="14" a="1"/>
  <c r="J1620" i="14" s="1"/>
  <c r="N1622" i="13"/>
  <c r="J1621" i="13" a="1"/>
  <c r="J1621" i="13" s="1"/>
  <c r="M1624" i="13"/>
  <c r="M1625" i="14"/>
  <c r="K1435" i="13" l="1"/>
  <c r="L1435" i="13" s="1"/>
  <c r="I1436" i="13" s="1"/>
  <c r="J1622" i="13" a="1"/>
  <c r="J1622" i="13" s="1"/>
  <c r="N1623" i="13"/>
  <c r="M1626" i="14"/>
  <c r="K1458" i="14"/>
  <c r="L1458" i="14" s="1"/>
  <c r="I1459" i="14" s="1"/>
  <c r="M1625" i="13"/>
  <c r="J1621" i="14" a="1"/>
  <c r="J1621" i="14" s="1"/>
  <c r="N1622" i="14"/>
  <c r="K1436" i="13" l="1"/>
  <c r="L1436" i="13" s="1"/>
  <c r="I1437" i="13" s="1"/>
  <c r="K1459" i="14"/>
  <c r="L1459" i="14" s="1"/>
  <c r="I1460" i="14" s="1"/>
  <c r="J1623" i="13" a="1"/>
  <c r="J1623" i="13" s="1"/>
  <c r="N1624" i="13"/>
  <c r="J1622" i="14" a="1"/>
  <c r="J1622" i="14" s="1"/>
  <c r="N1623" i="14"/>
  <c r="M1626" i="13"/>
  <c r="M1627" i="14"/>
  <c r="K1437" i="13" l="1"/>
  <c r="L1437" i="13" s="1"/>
  <c r="I1438" i="13" s="1"/>
  <c r="K1460" i="14"/>
  <c r="L1460" i="14" s="1"/>
  <c r="I1461" i="14" s="1"/>
  <c r="M1628" i="14"/>
  <c r="J1623" i="14" a="1"/>
  <c r="J1623" i="14" s="1"/>
  <c r="N1624" i="14"/>
  <c r="J1624" i="13" a="1"/>
  <c r="J1624" i="13" s="1"/>
  <c r="N1625" i="13"/>
  <c r="M1627" i="13"/>
  <c r="K1438" i="13" l="1"/>
  <c r="L1438" i="13" s="1"/>
  <c r="I1439" i="13" s="1"/>
  <c r="K1461" i="14"/>
  <c r="L1461" i="14" s="1"/>
  <c r="I1462" i="14" s="1"/>
  <c r="N1625" i="14"/>
  <c r="J1624" i="14" a="1"/>
  <c r="J1624" i="14" s="1"/>
  <c r="M1628" i="13"/>
  <c r="N1626" i="13"/>
  <c r="J1625" i="13" a="1"/>
  <c r="J1625" i="13" s="1"/>
  <c r="M1629" i="14"/>
  <c r="K1439" i="13" l="1"/>
  <c r="L1439" i="13" s="1"/>
  <c r="I1440" i="13" s="1"/>
  <c r="K1462" i="14"/>
  <c r="L1462" i="14" s="1"/>
  <c r="I1463" i="14" s="1"/>
  <c r="J1626" i="13" a="1"/>
  <c r="J1626" i="13" s="1"/>
  <c r="N1627" i="13"/>
  <c r="M1629" i="13"/>
  <c r="M1630" i="14"/>
  <c r="J1625" i="14" a="1"/>
  <c r="J1625" i="14" s="1"/>
  <c r="N1626" i="14"/>
  <c r="K1440" i="13" l="1"/>
  <c r="L1440" i="13" s="1"/>
  <c r="I1441" i="13" s="1"/>
  <c r="K1463" i="14"/>
  <c r="L1463" i="14" s="1"/>
  <c r="I1464" i="14" s="1"/>
  <c r="J1626" i="14" a="1"/>
  <c r="J1626" i="14" s="1"/>
  <c r="N1627" i="14"/>
  <c r="M1630" i="13"/>
  <c r="J1627" i="13" a="1"/>
  <c r="J1627" i="13" s="1"/>
  <c r="N1628" i="13"/>
  <c r="M1631" i="14"/>
  <c r="K1441" i="13" l="1"/>
  <c r="L1441" i="13" s="1"/>
  <c r="I1442" i="13" s="1"/>
  <c r="K1464" i="14"/>
  <c r="L1464" i="14" s="1"/>
  <c r="I1465" i="14" s="1"/>
  <c r="M1631" i="13"/>
  <c r="J1628" i="13" a="1"/>
  <c r="J1628" i="13" s="1"/>
  <c r="N1629" i="13"/>
  <c r="J1627" i="14" a="1"/>
  <c r="J1627" i="14" s="1"/>
  <c r="N1628" i="14"/>
  <c r="M1632" i="14"/>
  <c r="K1442" i="13" l="1"/>
  <c r="L1442" i="13" s="1"/>
  <c r="I1443" i="13" s="1"/>
  <c r="K1465" i="14"/>
  <c r="L1465" i="14" s="1"/>
  <c r="I1466" i="14" s="1"/>
  <c r="N1630" i="13"/>
  <c r="J1629" i="13" a="1"/>
  <c r="J1629" i="13" s="1"/>
  <c r="M1633" i="14"/>
  <c r="N1629" i="14"/>
  <c r="J1628" i="14" a="1"/>
  <c r="J1628" i="14" s="1"/>
  <c r="M1632" i="13"/>
  <c r="K1443" i="13" l="1"/>
  <c r="L1443" i="13" s="1"/>
  <c r="I1444" i="13" s="1"/>
  <c r="K1466" i="14"/>
  <c r="L1466" i="14" s="1"/>
  <c r="I1467" i="14" s="1"/>
  <c r="J1630" i="13" a="1"/>
  <c r="J1630" i="13" s="1"/>
  <c r="N1631" i="13"/>
  <c r="J1629" i="14" a="1"/>
  <c r="J1629" i="14" s="1"/>
  <c r="N1630" i="14"/>
  <c r="M1633" i="13"/>
  <c r="M1634" i="14"/>
  <c r="K1444" i="13" l="1"/>
  <c r="L1444" i="13" s="1"/>
  <c r="I1445" i="13" s="1"/>
  <c r="K1467" i="14"/>
  <c r="L1467" i="14" s="1"/>
  <c r="I1468" i="14" s="1"/>
  <c r="M1635" i="14"/>
  <c r="J1630" i="14" a="1"/>
  <c r="J1630" i="14" s="1"/>
  <c r="N1631" i="14"/>
  <c r="J1631" i="13" a="1"/>
  <c r="J1631" i="13" s="1"/>
  <c r="N1632" i="13"/>
  <c r="M1634" i="13"/>
  <c r="K1445" i="13" l="1"/>
  <c r="L1445" i="13" s="1"/>
  <c r="I1446" i="13" s="1"/>
  <c r="K1468" i="14"/>
  <c r="L1468" i="14" s="1"/>
  <c r="I1469" i="14" s="1"/>
  <c r="M1635" i="13"/>
  <c r="M1636" i="14"/>
  <c r="J1631" i="14" a="1"/>
  <c r="J1631" i="14" s="1"/>
  <c r="N1632" i="14"/>
  <c r="J1632" i="13" a="1"/>
  <c r="J1632" i="13" s="1"/>
  <c r="N1633" i="13"/>
  <c r="K1446" i="13" l="1"/>
  <c r="L1446" i="13" s="1"/>
  <c r="I1447" i="13" s="1"/>
  <c r="K1469" i="14"/>
  <c r="L1469" i="14" s="1"/>
  <c r="I1470" i="14" s="1"/>
  <c r="M1636" i="13"/>
  <c r="N1633" i="14"/>
  <c r="J1632" i="14" a="1"/>
  <c r="J1632" i="14" s="1"/>
  <c r="N1634" i="13"/>
  <c r="J1633" i="13" a="1"/>
  <c r="J1633" i="13" s="1"/>
  <c r="M1637" i="14"/>
  <c r="K1447" i="13" l="1"/>
  <c r="L1447" i="13" s="1"/>
  <c r="I1448" i="13" s="1"/>
  <c r="K1470" i="14"/>
  <c r="L1470" i="14" s="1"/>
  <c r="I1471" i="14" s="1"/>
  <c r="J1633" i="14" a="1"/>
  <c r="J1633" i="14" s="1"/>
  <c r="N1634" i="14"/>
  <c r="M1637" i="13"/>
  <c r="M1638" i="14"/>
  <c r="J1634" i="13" a="1"/>
  <c r="J1634" i="13" s="1"/>
  <c r="N1635" i="13"/>
  <c r="K1448" i="13" l="1"/>
  <c r="L1448" i="13" s="1"/>
  <c r="I1449" i="13" s="1"/>
  <c r="K1471" i="14"/>
  <c r="L1471" i="14" s="1"/>
  <c r="I1472" i="14" s="1"/>
  <c r="M1639" i="14"/>
  <c r="J1635" i="13" a="1"/>
  <c r="J1635" i="13" s="1"/>
  <c r="N1636" i="13"/>
  <c r="M1638" i="13"/>
  <c r="J1634" i="14" a="1"/>
  <c r="J1634" i="14" s="1"/>
  <c r="N1635" i="14"/>
  <c r="K1449" i="13" l="1"/>
  <c r="L1449" i="13" s="1"/>
  <c r="I1450" i="13" s="1"/>
  <c r="K1472" i="14"/>
  <c r="L1472" i="14" s="1"/>
  <c r="I1473" i="14" s="1"/>
  <c r="J1635" i="14" a="1"/>
  <c r="J1635" i="14" s="1"/>
  <c r="N1636" i="14"/>
  <c r="M1640" i="14"/>
  <c r="M1639" i="13"/>
  <c r="J1636" i="13" a="1"/>
  <c r="J1636" i="13" s="1"/>
  <c r="N1637" i="13"/>
  <c r="K1450" i="13" l="1"/>
  <c r="L1450" i="13" s="1"/>
  <c r="I1451" i="13" s="1"/>
  <c r="K1473" i="14"/>
  <c r="L1473" i="14" s="1"/>
  <c r="I1474" i="14" s="1"/>
  <c r="N1638" i="13"/>
  <c r="J1637" i="13" a="1"/>
  <c r="J1637" i="13" s="1"/>
  <c r="N1637" i="14"/>
  <c r="J1636" i="14" a="1"/>
  <c r="J1636" i="14" s="1"/>
  <c r="M1641" i="14"/>
  <c r="M1640" i="13"/>
  <c r="K1451" i="13" l="1"/>
  <c r="L1451" i="13" s="1"/>
  <c r="I1452" i="13" s="1"/>
  <c r="K1474" i="14"/>
  <c r="L1474" i="14" s="1"/>
  <c r="I1475" i="14" s="1"/>
  <c r="J1637" i="14" a="1"/>
  <c r="J1637" i="14" s="1"/>
  <c r="N1638" i="14"/>
  <c r="M1641" i="13"/>
  <c r="M1642" i="14"/>
  <c r="J1638" i="13" a="1"/>
  <c r="J1638" i="13" s="1"/>
  <c r="N1639" i="13"/>
  <c r="K1452" i="13" l="1"/>
  <c r="L1452" i="13" s="1"/>
  <c r="I1453" i="13" s="1"/>
  <c r="K1475" i="14"/>
  <c r="L1475" i="14" s="1"/>
  <c r="I1476" i="14" s="1"/>
  <c r="J1639" i="13" a="1"/>
  <c r="J1639" i="13" s="1"/>
  <c r="N1640" i="13"/>
  <c r="M1642" i="13"/>
  <c r="J1638" i="14" a="1"/>
  <c r="J1638" i="14" s="1"/>
  <c r="N1639" i="14"/>
  <c r="M1643" i="14"/>
  <c r="K1453" i="13" l="1"/>
  <c r="L1453" i="13" s="1"/>
  <c r="I1454" i="13" s="1"/>
  <c r="K1476" i="14"/>
  <c r="L1476" i="14" s="1"/>
  <c r="I1477" i="14" s="1"/>
  <c r="J1639" i="14" a="1"/>
  <c r="J1639" i="14" s="1"/>
  <c r="N1640" i="14"/>
  <c r="M1644" i="14"/>
  <c r="M1643" i="13"/>
  <c r="J1640" i="13" a="1"/>
  <c r="J1640" i="13" s="1"/>
  <c r="N1641" i="13"/>
  <c r="K1454" i="13" l="1"/>
  <c r="L1454" i="13" s="1"/>
  <c r="I1455" i="13" s="1"/>
  <c r="K1477" i="14"/>
  <c r="L1477" i="14" s="1"/>
  <c r="I1478" i="14" s="1"/>
  <c r="N1642" i="13"/>
  <c r="J1641" i="13" a="1"/>
  <c r="J1641" i="13" s="1"/>
  <c r="M1645" i="14"/>
  <c r="N1641" i="14"/>
  <c r="J1640" i="14" a="1"/>
  <c r="J1640" i="14" s="1"/>
  <c r="M1644" i="13"/>
  <c r="K1455" i="13" l="1"/>
  <c r="L1455" i="13" s="1"/>
  <c r="I1456" i="13" s="1"/>
  <c r="K1478" i="14"/>
  <c r="L1478" i="14" s="1"/>
  <c r="I1479" i="14" s="1"/>
  <c r="J1641" i="14" a="1"/>
  <c r="J1641" i="14" s="1"/>
  <c r="N1642" i="14"/>
  <c r="M1645" i="13"/>
  <c r="M1646" i="14"/>
  <c r="J1642" i="13" a="1"/>
  <c r="J1642" i="13" s="1"/>
  <c r="N1643" i="13"/>
  <c r="K1456" i="13" l="1"/>
  <c r="L1456" i="13" s="1"/>
  <c r="I1457" i="13" s="1"/>
  <c r="K1479" i="14"/>
  <c r="L1479" i="14" s="1"/>
  <c r="I1480" i="14" s="1"/>
  <c r="J1643" i="13" a="1"/>
  <c r="J1643" i="13" s="1"/>
  <c r="N1644" i="13"/>
  <c r="M1646" i="13"/>
  <c r="J1642" i="14" a="1"/>
  <c r="J1642" i="14" s="1"/>
  <c r="N1643" i="14"/>
  <c r="M1647" i="14"/>
  <c r="K1457" i="13" l="1"/>
  <c r="L1457" i="13" s="1"/>
  <c r="I1458" i="13" s="1"/>
  <c r="K1480" i="14"/>
  <c r="L1480" i="14" s="1"/>
  <c r="I1481" i="14" s="1"/>
  <c r="M1648" i="14"/>
  <c r="M1647" i="13"/>
  <c r="J1643" i="14" a="1"/>
  <c r="J1643" i="14" s="1"/>
  <c r="N1644" i="14"/>
  <c r="J1644" i="13" a="1"/>
  <c r="J1644" i="13" s="1"/>
  <c r="N1645" i="13"/>
  <c r="K1458" i="13" l="1"/>
  <c r="L1458" i="13" s="1"/>
  <c r="I1459" i="13" s="1"/>
  <c r="K1481" i="14"/>
  <c r="L1481" i="14" s="1"/>
  <c r="I1482" i="14" s="1"/>
  <c r="M1648" i="13"/>
  <c r="N1646" i="13"/>
  <c r="J1645" i="13" a="1"/>
  <c r="J1645" i="13" s="1"/>
  <c r="N1645" i="14"/>
  <c r="J1644" i="14" a="1"/>
  <c r="J1644" i="14" s="1"/>
  <c r="M1649" i="14"/>
  <c r="K1459" i="13" l="1"/>
  <c r="L1459" i="13" s="1"/>
  <c r="I1460" i="13" s="1"/>
  <c r="K1482" i="14"/>
  <c r="L1482" i="14" s="1"/>
  <c r="I1483" i="14" s="1"/>
  <c r="J1646" i="13" a="1"/>
  <c r="J1646" i="13" s="1"/>
  <c r="N1647" i="13"/>
  <c r="M1649" i="13"/>
  <c r="M1650" i="14"/>
  <c r="J1645" i="14" a="1"/>
  <c r="J1645" i="14" s="1"/>
  <c r="N1646" i="14"/>
  <c r="K1460" i="13" l="1"/>
  <c r="L1460" i="13" s="1"/>
  <c r="I1461" i="13" s="1"/>
  <c r="K1483" i="14"/>
  <c r="L1483" i="14" s="1"/>
  <c r="I1484" i="14" s="1"/>
  <c r="J1647" i="13" a="1"/>
  <c r="J1647" i="13" s="1"/>
  <c r="N1648" i="13"/>
  <c r="J1646" i="14" a="1"/>
  <c r="J1646" i="14" s="1"/>
  <c r="N1647" i="14"/>
  <c r="M1651" i="14"/>
  <c r="M1650" i="13"/>
  <c r="K1461" i="13" l="1"/>
  <c r="L1461" i="13" s="1"/>
  <c r="I1462" i="13" s="1"/>
  <c r="J1647" i="14" a="1"/>
  <c r="J1647" i="14" s="1"/>
  <c r="N1648" i="14"/>
  <c r="K1484" i="14"/>
  <c r="L1484" i="14" s="1"/>
  <c r="I1485" i="14" s="1"/>
  <c r="M1652" i="14"/>
  <c r="J1648" i="13" a="1"/>
  <c r="J1648" i="13" s="1"/>
  <c r="N1649" i="13"/>
  <c r="M1651" i="13"/>
  <c r="K1462" i="13" l="1"/>
  <c r="L1462" i="13" s="1"/>
  <c r="I1463" i="13" s="1"/>
  <c r="K1485" i="14"/>
  <c r="L1485" i="14" s="1"/>
  <c r="I1486" i="14" s="1"/>
  <c r="M1652" i="13"/>
  <c r="M1653" i="14"/>
  <c r="N1649" i="14"/>
  <c r="J1648" i="14" a="1"/>
  <c r="J1648" i="14" s="1"/>
  <c r="N1650" i="13"/>
  <c r="J1649" i="13" a="1"/>
  <c r="J1649" i="13" s="1"/>
  <c r="K1463" i="13" l="1"/>
  <c r="L1463" i="13" s="1"/>
  <c r="I1464" i="13" s="1"/>
  <c r="K1486" i="14"/>
  <c r="L1486" i="14" s="1"/>
  <c r="I1487" i="14" s="1"/>
  <c r="J1650" i="13" a="1"/>
  <c r="J1650" i="13" s="1"/>
  <c r="N1651" i="13"/>
  <c r="M1654" i="14"/>
  <c r="M1653" i="13"/>
  <c r="J1649" i="14" a="1"/>
  <c r="J1649" i="14" s="1"/>
  <c r="N1650" i="14"/>
  <c r="K1464" i="13" l="1"/>
  <c r="L1464" i="13" s="1"/>
  <c r="I1465" i="13" s="1"/>
  <c r="K1487" i="14"/>
  <c r="L1487" i="14" s="1"/>
  <c r="I1488" i="14" s="1"/>
  <c r="J1650" i="14" a="1"/>
  <c r="J1650" i="14" s="1"/>
  <c r="N1651" i="14"/>
  <c r="J1651" i="13" a="1"/>
  <c r="J1651" i="13" s="1"/>
  <c r="N1652" i="13"/>
  <c r="M1654" i="13"/>
  <c r="M1655" i="14"/>
  <c r="K1465" i="13" l="1"/>
  <c r="L1465" i="13" s="1"/>
  <c r="I1466" i="13" s="1"/>
  <c r="K1488" i="14"/>
  <c r="L1488" i="14" s="1"/>
  <c r="I1489" i="14" s="1"/>
  <c r="J1652" i="13" a="1"/>
  <c r="J1652" i="13" s="1"/>
  <c r="N1653" i="13"/>
  <c r="J1651" i="14" a="1"/>
  <c r="J1651" i="14" s="1"/>
  <c r="N1652" i="14"/>
  <c r="M1656" i="14"/>
  <c r="M1655" i="13"/>
  <c r="K1466" i="13" l="1"/>
  <c r="L1466" i="13" s="1"/>
  <c r="I1467" i="13" s="1"/>
  <c r="K1489" i="14"/>
  <c r="L1489" i="14" s="1"/>
  <c r="I1490" i="14" s="1"/>
  <c r="M1656" i="13"/>
  <c r="N1654" i="13"/>
  <c r="J1653" i="13" a="1"/>
  <c r="J1653" i="13" s="1"/>
  <c r="N1653" i="14"/>
  <c r="J1652" i="14" a="1"/>
  <c r="J1652" i="14" s="1"/>
  <c r="M1657" i="14"/>
  <c r="K1467" i="13" l="1"/>
  <c r="L1467" i="13" s="1"/>
  <c r="I1468" i="13" s="1"/>
  <c r="K1490" i="14"/>
  <c r="L1490" i="14" s="1"/>
  <c r="I1491" i="14" s="1"/>
  <c r="M1658" i="14"/>
  <c r="J1654" i="13" a="1"/>
  <c r="J1654" i="13" s="1"/>
  <c r="N1655" i="13"/>
  <c r="M1657" i="13"/>
  <c r="J1653" i="14" a="1"/>
  <c r="J1653" i="14" s="1"/>
  <c r="N1654" i="14"/>
  <c r="K1468" i="13" l="1"/>
  <c r="L1468" i="13" s="1"/>
  <c r="I1469" i="13" s="1"/>
  <c r="K1491" i="14"/>
  <c r="L1491" i="14" s="1"/>
  <c r="I1492" i="14" s="1"/>
  <c r="J1655" i="13" a="1"/>
  <c r="J1655" i="13" s="1"/>
  <c r="N1656" i="13"/>
  <c r="J1654" i="14" a="1"/>
  <c r="J1654" i="14" s="1"/>
  <c r="N1655" i="14"/>
  <c r="M1658" i="13"/>
  <c r="M1659" i="14"/>
  <c r="K1469" i="13" l="1"/>
  <c r="L1469" i="13" s="1"/>
  <c r="I1470" i="13" s="1"/>
  <c r="M1660" i="14"/>
  <c r="J1655" i="14" a="1"/>
  <c r="J1655" i="14" s="1"/>
  <c r="N1656" i="14"/>
  <c r="J1656" i="13" a="1"/>
  <c r="J1656" i="13" s="1"/>
  <c r="N1657" i="13"/>
  <c r="M1659" i="13"/>
  <c r="K1492" i="14"/>
  <c r="L1492" i="14" s="1"/>
  <c r="I1493" i="14" s="1"/>
  <c r="K1470" i="13" l="1"/>
  <c r="L1470" i="13" s="1"/>
  <c r="I1471" i="13" s="1"/>
  <c r="K1493" i="14"/>
  <c r="L1493" i="14" s="1"/>
  <c r="I1494" i="14" s="1"/>
  <c r="M1661" i="14"/>
  <c r="N1657" i="14"/>
  <c r="J1656" i="14" a="1"/>
  <c r="J1656" i="14" s="1"/>
  <c r="N1658" i="13"/>
  <c r="J1657" i="13" a="1"/>
  <c r="J1657" i="13" s="1"/>
  <c r="M1660" i="13"/>
  <c r="K1471" i="13" l="1"/>
  <c r="L1471" i="13" s="1"/>
  <c r="I1472" i="13" s="1"/>
  <c r="K1494" i="14"/>
  <c r="L1494" i="14" s="1"/>
  <c r="I1495" i="14" s="1"/>
  <c r="J1658" i="13" a="1"/>
  <c r="J1658" i="13" s="1"/>
  <c r="N1659" i="13"/>
  <c r="M1662" i="14"/>
  <c r="M1661" i="13"/>
  <c r="J1657" i="14" a="1"/>
  <c r="J1657" i="14" s="1"/>
  <c r="N1658" i="14"/>
  <c r="K1472" i="13" l="1"/>
  <c r="L1472" i="13" s="1"/>
  <c r="I1473" i="13" s="1"/>
  <c r="K1495" i="14"/>
  <c r="L1495" i="14" s="1"/>
  <c r="I1496" i="14" s="1"/>
  <c r="J1658" i="14" a="1"/>
  <c r="J1658" i="14" s="1"/>
  <c r="N1659" i="14"/>
  <c r="M1663" i="14"/>
  <c r="J1659" i="13" a="1"/>
  <c r="J1659" i="13" s="1"/>
  <c r="N1660" i="13"/>
  <c r="M1662" i="13"/>
  <c r="K1473" i="13" l="1"/>
  <c r="L1473" i="13" s="1"/>
  <c r="I1474" i="13" s="1"/>
  <c r="K1496" i="14"/>
  <c r="L1496" i="14" s="1"/>
  <c r="I1497" i="14" s="1"/>
  <c r="M1664" i="14"/>
  <c r="M1663" i="13"/>
  <c r="J1660" i="13" a="1"/>
  <c r="J1660" i="13" s="1"/>
  <c r="N1661" i="13"/>
  <c r="J1659" i="14" a="1"/>
  <c r="J1659" i="14" s="1"/>
  <c r="N1660" i="14"/>
  <c r="K1474" i="13" l="1"/>
  <c r="L1474" i="13" s="1"/>
  <c r="I1475" i="13" s="1"/>
  <c r="N1662" i="13"/>
  <c r="J1661" i="13" a="1"/>
  <c r="J1661" i="13" s="1"/>
  <c r="M1665" i="14"/>
  <c r="N1661" i="14"/>
  <c r="J1660" i="14" a="1"/>
  <c r="J1660" i="14" s="1"/>
  <c r="M1664" i="13"/>
  <c r="K1497" i="14"/>
  <c r="L1497" i="14" s="1"/>
  <c r="I1498" i="14" s="1"/>
  <c r="K1475" i="13" l="1"/>
  <c r="L1475" i="13" s="1"/>
  <c r="I1476" i="13" s="1"/>
  <c r="K1498" i="14"/>
  <c r="L1498" i="14" s="1"/>
  <c r="I1499" i="14" s="1"/>
  <c r="M1666" i="14"/>
  <c r="J1661" i="14" a="1"/>
  <c r="J1661" i="14" s="1"/>
  <c r="N1662" i="14"/>
  <c r="J1662" i="13" a="1"/>
  <c r="J1662" i="13" s="1"/>
  <c r="N1663" i="13"/>
  <c r="M1665" i="13"/>
  <c r="K1476" i="13" l="1"/>
  <c r="L1476" i="13" s="1"/>
  <c r="I1477" i="13" s="1"/>
  <c r="K1499" i="14"/>
  <c r="L1499" i="14" s="1"/>
  <c r="I1500" i="14" s="1"/>
  <c r="J1663" i="13" a="1"/>
  <c r="J1663" i="13" s="1"/>
  <c r="N1664" i="13"/>
  <c r="M1667" i="14"/>
  <c r="J1662" i="14" a="1"/>
  <c r="J1662" i="14" s="1"/>
  <c r="N1663" i="14"/>
  <c r="M1666" i="13"/>
  <c r="K1477" i="13" l="1"/>
  <c r="L1477" i="13" s="1"/>
  <c r="I1478" i="13" s="1"/>
  <c r="K1500" i="14"/>
  <c r="L1500" i="14" s="1"/>
  <c r="I1501" i="14" s="1"/>
  <c r="M1668" i="14"/>
  <c r="M1667" i="13"/>
  <c r="J1663" i="14" a="1"/>
  <c r="J1663" i="14" s="1"/>
  <c r="N1664" i="14"/>
  <c r="J1664" i="13" a="1"/>
  <c r="J1664" i="13" s="1"/>
  <c r="N1665" i="13"/>
  <c r="K1478" i="13" l="1"/>
  <c r="L1478" i="13" s="1"/>
  <c r="I1479" i="13" s="1"/>
  <c r="M1669" i="14"/>
  <c r="N1666" i="13"/>
  <c r="J1665" i="13" a="1"/>
  <c r="J1665" i="13" s="1"/>
  <c r="N1665" i="14"/>
  <c r="J1664" i="14" a="1"/>
  <c r="J1664" i="14" s="1"/>
  <c r="M1668" i="13"/>
  <c r="K1501" i="14"/>
  <c r="L1501" i="14" s="1"/>
  <c r="I1502" i="14" s="1"/>
  <c r="K1479" i="13" l="1"/>
  <c r="L1479" i="13" s="1"/>
  <c r="I1480" i="13" s="1"/>
  <c r="K1502" i="14"/>
  <c r="L1502" i="14" s="1"/>
  <c r="I1503" i="14" s="1"/>
  <c r="J1665" i="14" a="1"/>
  <c r="J1665" i="14" s="1"/>
  <c r="N1666" i="14"/>
  <c r="M1670" i="14"/>
  <c r="M1669" i="13"/>
  <c r="J1666" i="13" a="1"/>
  <c r="J1666" i="13" s="1"/>
  <c r="N1667" i="13"/>
  <c r="K1480" i="13" l="1"/>
  <c r="L1480" i="13" s="1"/>
  <c r="I1481" i="13" s="1"/>
  <c r="M1670" i="13"/>
  <c r="J1667" i="13" a="1"/>
  <c r="J1667" i="13" s="1"/>
  <c r="N1668" i="13"/>
  <c r="M1671" i="14"/>
  <c r="J1666" i="14" a="1"/>
  <c r="J1666" i="14" s="1"/>
  <c r="N1667" i="14"/>
  <c r="K1503" i="14"/>
  <c r="L1503" i="14" s="1"/>
  <c r="I1504" i="14" s="1"/>
  <c r="K1481" i="13" l="1"/>
  <c r="L1481" i="13" s="1"/>
  <c r="I1482" i="13" s="1"/>
  <c r="K1504" i="14"/>
  <c r="L1504" i="14" s="1"/>
  <c r="I1505" i="14" s="1"/>
  <c r="M1671" i="13"/>
  <c r="J1667" i="14" a="1"/>
  <c r="J1667" i="14" s="1"/>
  <c r="N1668" i="14"/>
  <c r="J1668" i="13" a="1"/>
  <c r="J1668" i="13" s="1"/>
  <c r="N1669" i="13"/>
  <c r="M1672" i="14"/>
  <c r="K1482" i="13" l="1"/>
  <c r="L1482" i="13" s="1"/>
  <c r="I1483" i="13" s="1"/>
  <c r="K1505" i="14"/>
  <c r="L1505" i="14" s="1"/>
  <c r="I1506" i="14" s="1"/>
  <c r="M1673" i="14"/>
  <c r="N1670" i="13"/>
  <c r="J1669" i="13" a="1"/>
  <c r="J1669" i="13" s="1"/>
  <c r="N1669" i="14"/>
  <c r="J1668" i="14" a="1"/>
  <c r="J1668" i="14" s="1"/>
  <c r="M1672" i="13"/>
  <c r="K1483" i="13" l="1"/>
  <c r="L1483" i="13" s="1"/>
  <c r="I1484" i="13" s="1"/>
  <c r="K1506" i="14"/>
  <c r="L1506" i="14" s="1"/>
  <c r="I1507" i="14" s="1"/>
  <c r="M1673" i="13"/>
  <c r="J1670" i="13" a="1"/>
  <c r="J1670" i="13" s="1"/>
  <c r="N1671" i="13"/>
  <c r="J1669" i="14" a="1"/>
  <c r="J1669" i="14" s="1"/>
  <c r="N1670" i="14"/>
  <c r="M1674" i="14"/>
  <c r="K1484" i="13" l="1"/>
  <c r="L1484" i="13" s="1"/>
  <c r="I1485" i="13" s="1"/>
  <c r="K1507" i="14"/>
  <c r="L1507" i="14" s="1"/>
  <c r="I1508" i="14" s="1"/>
  <c r="J1670" i="14" a="1"/>
  <c r="J1670" i="14" s="1"/>
  <c r="N1671" i="14"/>
  <c r="J1671" i="13" a="1"/>
  <c r="J1671" i="13" s="1"/>
  <c r="N1672" i="13"/>
  <c r="M1674" i="13"/>
  <c r="M1675" i="14"/>
  <c r="K1485" i="13" l="1"/>
  <c r="L1485" i="13" s="1"/>
  <c r="I1486" i="13" s="1"/>
  <c r="M1676" i="14"/>
  <c r="J1671" i="14" a="1"/>
  <c r="J1671" i="14" s="1"/>
  <c r="N1672" i="14"/>
  <c r="J1672" i="13" a="1"/>
  <c r="J1672" i="13" s="1"/>
  <c r="N1673" i="13"/>
  <c r="M1675" i="13"/>
  <c r="K1508" i="14"/>
  <c r="L1508" i="14" s="1"/>
  <c r="I1509" i="14" s="1"/>
  <c r="K1486" i="13" l="1"/>
  <c r="L1486" i="13" s="1"/>
  <c r="I1487" i="13" s="1"/>
  <c r="K1509" i="14"/>
  <c r="L1509" i="14" s="1"/>
  <c r="I1510" i="14" s="1"/>
  <c r="N1674" i="13"/>
  <c r="J1673" i="13" a="1"/>
  <c r="J1673" i="13" s="1"/>
  <c r="M1677" i="14"/>
  <c r="N1673" i="14"/>
  <c r="J1672" i="14" a="1"/>
  <c r="J1672" i="14" s="1"/>
  <c r="M1676" i="13"/>
  <c r="K1487" i="13" l="1"/>
  <c r="L1487" i="13" s="1"/>
  <c r="I1488" i="13" s="1"/>
  <c r="K1510" i="14"/>
  <c r="L1510" i="14" s="1"/>
  <c r="I1511" i="14" s="1"/>
  <c r="M1678" i="14"/>
  <c r="M1677" i="13"/>
  <c r="J1673" i="14" a="1"/>
  <c r="J1673" i="14" s="1"/>
  <c r="N1674" i="14"/>
  <c r="J1674" i="13" a="1"/>
  <c r="J1674" i="13" s="1"/>
  <c r="N1675" i="13"/>
  <c r="K1488" i="13" l="1"/>
  <c r="L1488" i="13" s="1"/>
  <c r="I1489" i="13" s="1"/>
  <c r="K1511" i="14"/>
  <c r="L1511" i="14" s="1"/>
  <c r="I1512" i="14" s="1"/>
  <c r="M1678" i="13"/>
  <c r="J1674" i="14" a="1"/>
  <c r="J1674" i="14" s="1"/>
  <c r="N1675" i="14"/>
  <c r="J1675" i="13" a="1"/>
  <c r="J1675" i="13" s="1"/>
  <c r="N1676" i="13"/>
  <c r="M1679" i="14"/>
  <c r="K1489" i="13" l="1"/>
  <c r="L1489" i="13" s="1"/>
  <c r="I1490" i="13" s="1"/>
  <c r="K1512" i="14"/>
  <c r="L1512" i="14" s="1"/>
  <c r="I1513" i="14" s="1"/>
  <c r="M1680" i="14"/>
  <c r="J1676" i="13" a="1"/>
  <c r="J1676" i="13" s="1"/>
  <c r="N1677" i="13"/>
  <c r="J1675" i="14" a="1"/>
  <c r="J1675" i="14" s="1"/>
  <c r="N1676" i="14"/>
  <c r="M1679" i="13"/>
  <c r="K1490" i="13" l="1"/>
  <c r="L1490" i="13" s="1"/>
  <c r="I1491" i="13" s="1"/>
  <c r="M1680" i="13"/>
  <c r="N1677" i="14"/>
  <c r="J1676" i="14" a="1"/>
  <c r="J1676" i="14" s="1"/>
  <c r="M1681" i="14"/>
  <c r="N1678" i="13"/>
  <c r="J1677" i="13" a="1"/>
  <c r="J1677" i="13" s="1"/>
  <c r="K1513" i="14"/>
  <c r="L1513" i="14" s="1"/>
  <c r="I1514" i="14" s="1"/>
  <c r="K1491" i="13" l="1"/>
  <c r="L1491" i="13" s="1"/>
  <c r="I1492" i="13" s="1"/>
  <c r="K1514" i="14"/>
  <c r="L1514" i="14" s="1"/>
  <c r="I1515" i="14" s="1"/>
  <c r="M1681" i="13"/>
  <c r="M1682" i="14"/>
  <c r="J1678" i="13" a="1"/>
  <c r="J1678" i="13" s="1"/>
  <c r="N1679" i="13"/>
  <c r="J1677" i="14" a="1"/>
  <c r="J1677" i="14" s="1"/>
  <c r="N1678" i="14"/>
  <c r="K1492" i="13" l="1"/>
  <c r="L1492" i="13" s="1"/>
  <c r="I1493" i="13" s="1"/>
  <c r="K1515" i="14"/>
  <c r="L1515" i="14" s="1"/>
  <c r="I1516" i="14" s="1"/>
  <c r="M1683" i="14"/>
  <c r="J1679" i="13" a="1"/>
  <c r="J1679" i="13" s="1"/>
  <c r="N1680" i="13"/>
  <c r="J1678" i="14" a="1"/>
  <c r="J1678" i="14" s="1"/>
  <c r="N1679" i="14"/>
  <c r="M1682" i="13"/>
  <c r="K1493" i="13" l="1"/>
  <c r="L1493" i="13" s="1"/>
  <c r="I1494" i="13" s="1"/>
  <c r="K1516" i="14"/>
  <c r="L1516" i="14" s="1"/>
  <c r="I1517" i="14" s="1"/>
  <c r="J1680" i="13" a="1"/>
  <c r="J1680" i="13" s="1"/>
  <c r="N1681" i="13"/>
  <c r="M1683" i="13"/>
  <c r="J1679" i="14" a="1"/>
  <c r="J1679" i="14" s="1"/>
  <c r="N1680" i="14"/>
  <c r="M1684" i="14"/>
  <c r="K1494" i="13" l="1"/>
  <c r="L1494" i="13" s="1"/>
  <c r="I1495" i="13" s="1"/>
  <c r="M1685" i="14"/>
  <c r="M1684" i="13"/>
  <c r="N1681" i="14"/>
  <c r="J1680" i="14" a="1"/>
  <c r="J1680" i="14" s="1"/>
  <c r="N1682" i="13"/>
  <c r="J1681" i="13" a="1"/>
  <c r="J1681" i="13" s="1"/>
  <c r="K1517" i="14"/>
  <c r="L1517" i="14" s="1"/>
  <c r="I1518" i="14" s="1"/>
  <c r="K1495" i="13" l="1"/>
  <c r="L1495" i="13" s="1"/>
  <c r="I1496" i="13" s="1"/>
  <c r="K1518" i="14"/>
  <c r="L1518" i="14" s="1"/>
  <c r="I1519" i="14" s="1"/>
  <c r="J1681" i="14" a="1"/>
  <c r="J1681" i="14" s="1"/>
  <c r="N1682" i="14"/>
  <c r="M1686" i="14"/>
  <c r="M1685" i="13"/>
  <c r="J1682" i="13" a="1"/>
  <c r="J1682" i="13" s="1"/>
  <c r="N1683" i="13"/>
  <c r="K1496" i="13" l="1"/>
  <c r="L1496" i="13" s="1"/>
  <c r="I1497" i="13" s="1"/>
  <c r="K1519" i="14"/>
  <c r="L1519" i="14" s="1"/>
  <c r="I1520" i="14" s="1"/>
  <c r="J1683" i="13" a="1"/>
  <c r="J1683" i="13" s="1"/>
  <c r="N1684" i="13"/>
  <c r="M1687" i="14"/>
  <c r="J1682" i="14" a="1"/>
  <c r="J1682" i="14" s="1"/>
  <c r="N1683" i="14"/>
  <c r="M1686" i="13"/>
  <c r="K1497" i="13" l="1"/>
  <c r="L1497" i="13" s="1"/>
  <c r="I1498" i="13" s="1"/>
  <c r="K1520" i="14"/>
  <c r="L1520" i="14" s="1"/>
  <c r="I1521" i="14" s="1"/>
  <c r="M1688" i="14"/>
  <c r="M1687" i="13"/>
  <c r="J1684" i="13" a="1"/>
  <c r="J1684" i="13" s="1"/>
  <c r="N1685" i="13"/>
  <c r="J1683" i="14" a="1"/>
  <c r="J1683" i="14" s="1"/>
  <c r="N1684" i="14"/>
  <c r="K1498" i="13" l="1"/>
  <c r="L1498" i="13" s="1"/>
  <c r="I1499" i="13" s="1"/>
  <c r="K1521" i="14"/>
  <c r="L1521" i="14" s="1"/>
  <c r="I1522" i="14" s="1"/>
  <c r="M1688" i="13"/>
  <c r="N1685" i="14"/>
  <c r="J1684" i="14" a="1"/>
  <c r="J1684" i="14" s="1"/>
  <c r="N1686" i="13"/>
  <c r="J1685" i="13" a="1"/>
  <c r="J1685" i="13" s="1"/>
  <c r="M1689" i="14"/>
  <c r="K1499" i="13" l="1"/>
  <c r="L1499" i="13" s="1"/>
  <c r="I1500" i="13" s="1"/>
  <c r="K1522" i="14"/>
  <c r="L1522" i="14" s="1"/>
  <c r="I1523" i="14" s="1"/>
  <c r="M1690" i="14"/>
  <c r="J1685" i="14" a="1"/>
  <c r="J1685" i="14" s="1"/>
  <c r="N1686" i="14"/>
  <c r="M1689" i="13"/>
  <c r="J1686" i="13" a="1"/>
  <c r="J1686" i="13" s="1"/>
  <c r="N1687" i="13"/>
  <c r="K1500" i="13" l="1"/>
  <c r="L1500" i="13" s="1"/>
  <c r="I1501" i="13" s="1"/>
  <c r="K1523" i="14"/>
  <c r="L1523" i="14" s="1"/>
  <c r="I1524" i="14" s="1"/>
  <c r="J1686" i="14" a="1"/>
  <c r="J1686" i="14" s="1"/>
  <c r="N1687" i="14"/>
  <c r="J1687" i="13" a="1"/>
  <c r="J1687" i="13" s="1"/>
  <c r="N1688" i="13"/>
  <c r="M1690" i="13"/>
  <c r="M1691" i="14"/>
  <c r="K1501" i="13" l="1"/>
  <c r="L1501" i="13" s="1"/>
  <c r="I1502" i="13" s="1"/>
  <c r="K1524" i="14"/>
  <c r="L1524" i="14" s="1"/>
  <c r="I1525" i="14" s="1"/>
  <c r="M1692" i="14"/>
  <c r="J1687" i="14" a="1"/>
  <c r="J1687" i="14" s="1"/>
  <c r="N1688" i="14"/>
  <c r="J1688" i="13" a="1"/>
  <c r="J1688" i="13" s="1"/>
  <c r="N1689" i="13"/>
  <c r="M1691" i="13"/>
  <c r="K1502" i="13" l="1"/>
  <c r="L1502" i="13" s="1"/>
  <c r="I1503" i="13" s="1"/>
  <c r="K1525" i="14"/>
  <c r="L1525" i="14" s="1"/>
  <c r="I1526" i="14" s="1"/>
  <c r="M1692" i="13"/>
  <c r="N1690" i="13"/>
  <c r="J1689" i="13" a="1"/>
  <c r="J1689" i="13" s="1"/>
  <c r="N1689" i="14"/>
  <c r="J1688" i="14" a="1"/>
  <c r="J1688" i="14" s="1"/>
  <c r="M1693" i="14"/>
  <c r="K1503" i="13" l="1"/>
  <c r="L1503" i="13" s="1"/>
  <c r="I1504" i="13" s="1"/>
  <c r="K1526" i="14"/>
  <c r="L1526" i="14" s="1"/>
  <c r="I1527" i="14" s="1"/>
  <c r="J1690" i="13" a="1"/>
  <c r="J1690" i="13" s="1"/>
  <c r="N1691" i="13"/>
  <c r="M1693" i="13"/>
  <c r="M1694" i="14"/>
  <c r="J1689" i="14" a="1"/>
  <c r="J1689" i="14" s="1"/>
  <c r="N1690" i="14"/>
  <c r="K1504" i="13" l="1"/>
  <c r="L1504" i="13" s="1"/>
  <c r="I1505" i="13" s="1"/>
  <c r="J1691" i="13" a="1"/>
  <c r="J1691" i="13" s="1"/>
  <c r="N1692" i="13"/>
  <c r="M1695" i="14"/>
  <c r="J1690" i="14" a="1"/>
  <c r="J1690" i="14" s="1"/>
  <c r="N1691" i="14"/>
  <c r="M1694" i="13"/>
  <c r="K1527" i="14"/>
  <c r="L1527" i="14" s="1"/>
  <c r="I1528" i="14" s="1"/>
  <c r="K1505" i="13" l="1"/>
  <c r="L1505" i="13" s="1"/>
  <c r="I1506" i="13" s="1"/>
  <c r="K1528" i="14"/>
  <c r="L1528" i="14" s="1"/>
  <c r="I1529" i="14" s="1"/>
  <c r="J1692" i="13" a="1"/>
  <c r="J1692" i="13" s="1"/>
  <c r="N1693" i="13"/>
  <c r="M1696" i="14"/>
  <c r="J1691" i="14" a="1"/>
  <c r="J1691" i="14" s="1"/>
  <c r="N1692" i="14"/>
  <c r="M1695" i="13"/>
  <c r="K1506" i="13" l="1"/>
  <c r="L1506" i="13" s="1"/>
  <c r="I1507" i="13" s="1"/>
  <c r="K1529" i="14"/>
  <c r="L1529" i="14" s="1"/>
  <c r="I1530" i="14" s="1"/>
  <c r="M1696" i="13"/>
  <c r="M1697" i="14"/>
  <c r="N1693" i="14"/>
  <c r="J1692" i="14" a="1"/>
  <c r="J1692" i="14" s="1"/>
  <c r="N1694" i="13"/>
  <c r="J1693" i="13" a="1"/>
  <c r="J1693" i="13" s="1"/>
  <c r="K1507" i="13" l="1"/>
  <c r="L1507" i="13" s="1"/>
  <c r="I1508" i="13" s="1"/>
  <c r="K1530" i="14"/>
  <c r="L1530" i="14" s="1"/>
  <c r="I1531" i="14" s="1"/>
  <c r="M1697" i="13"/>
  <c r="J1693" i="14" a="1"/>
  <c r="J1693" i="14" s="1"/>
  <c r="N1694" i="14"/>
  <c r="J1694" i="13" a="1"/>
  <c r="J1694" i="13" s="1"/>
  <c r="N1695" i="13"/>
  <c r="M1698" i="14"/>
  <c r="K1508" i="13" l="1"/>
  <c r="L1508" i="13" s="1"/>
  <c r="I1509" i="13" s="1"/>
  <c r="K1531" i="14"/>
  <c r="L1531" i="14" s="1"/>
  <c r="I1532" i="14" s="1"/>
  <c r="J1694" i="14" a="1"/>
  <c r="J1694" i="14" s="1"/>
  <c r="N1695" i="14"/>
  <c r="M1699" i="14"/>
  <c r="J1695" i="13" a="1"/>
  <c r="J1695" i="13" s="1"/>
  <c r="N1696" i="13"/>
  <c r="M1698" i="13"/>
  <c r="K1509" i="13" l="1"/>
  <c r="L1509" i="13" s="1"/>
  <c r="I1510" i="13" s="1"/>
  <c r="K1532" i="14"/>
  <c r="L1532" i="14" s="1"/>
  <c r="I1533" i="14" s="1"/>
  <c r="M1700" i="14"/>
  <c r="M1699" i="13"/>
  <c r="J1696" i="13" a="1"/>
  <c r="J1696" i="13" s="1"/>
  <c r="N1697" i="13"/>
  <c r="J1695" i="14" a="1"/>
  <c r="J1695" i="14" s="1"/>
  <c r="N1696" i="14"/>
  <c r="K1510" i="13" l="1"/>
  <c r="L1510" i="13" s="1"/>
  <c r="I1511" i="13" s="1"/>
  <c r="K1533" i="14"/>
  <c r="L1533" i="14" s="1"/>
  <c r="I1534" i="14" s="1"/>
  <c r="M1700" i="13"/>
  <c r="N1698" i="13"/>
  <c r="J1697" i="13" a="1"/>
  <c r="J1697" i="13" s="1"/>
  <c r="N1697" i="14"/>
  <c r="J1696" i="14" a="1"/>
  <c r="J1696" i="14" s="1"/>
  <c r="M1701" i="14"/>
  <c r="K1511" i="13" l="1"/>
  <c r="L1511" i="13" s="1"/>
  <c r="I1512" i="13" s="1"/>
  <c r="K1534" i="14"/>
  <c r="L1534" i="14" s="1"/>
  <c r="I1535" i="14" s="1"/>
  <c r="M1702" i="14"/>
  <c r="J1698" i="13" a="1"/>
  <c r="J1698" i="13" s="1"/>
  <c r="N1699" i="13"/>
  <c r="M1701" i="13"/>
  <c r="J1697" i="14" a="1"/>
  <c r="J1697" i="14" s="1"/>
  <c r="N1698" i="14"/>
  <c r="K1512" i="13" l="1"/>
  <c r="L1512" i="13" s="1"/>
  <c r="I1513" i="13" s="1"/>
  <c r="K1535" i="14"/>
  <c r="L1535" i="14" s="1"/>
  <c r="I1536" i="14" s="1"/>
  <c r="J1699" i="13" a="1"/>
  <c r="J1699" i="13" s="1"/>
  <c r="N1700" i="13"/>
  <c r="J1698" i="14" a="1"/>
  <c r="J1698" i="14" s="1"/>
  <c r="N1699" i="14"/>
  <c r="M1702" i="13"/>
  <c r="M1703" i="14"/>
  <c r="K1513" i="13" l="1"/>
  <c r="L1513" i="13" s="1"/>
  <c r="I1514" i="13" s="1"/>
  <c r="K1536" i="14"/>
  <c r="L1536" i="14" s="1"/>
  <c r="I1537" i="14" s="1"/>
  <c r="J1699" i="14" a="1"/>
  <c r="J1699" i="14" s="1"/>
  <c r="N1700" i="14"/>
  <c r="M1704" i="14"/>
  <c r="J1700" i="13" a="1"/>
  <c r="J1700" i="13" s="1"/>
  <c r="N1701" i="13"/>
  <c r="M1703" i="13"/>
  <c r="K1514" i="13" l="1"/>
  <c r="L1514" i="13" s="1"/>
  <c r="I1515" i="13" s="1"/>
  <c r="K1537" i="14"/>
  <c r="L1537" i="14" s="1"/>
  <c r="I1538" i="14" s="1"/>
  <c r="M1704" i="13"/>
  <c r="M1705" i="14"/>
  <c r="N1701" i="14"/>
  <c r="J1700" i="14" a="1"/>
  <c r="J1700" i="14" s="1"/>
  <c r="N1702" i="13"/>
  <c r="J1701" i="13" a="1"/>
  <c r="J1701" i="13" s="1"/>
  <c r="K1515" i="13" l="1"/>
  <c r="L1515" i="13" s="1"/>
  <c r="I1516" i="13" s="1"/>
  <c r="K1538" i="14"/>
  <c r="L1538" i="14" s="1"/>
  <c r="I1539" i="14" s="1"/>
  <c r="J1702" i="13" a="1"/>
  <c r="J1702" i="13" s="1"/>
  <c r="N1703" i="13"/>
  <c r="M1706" i="14"/>
  <c r="M1705" i="13"/>
  <c r="J1701" i="14" a="1"/>
  <c r="J1701" i="14" s="1"/>
  <c r="N1702" i="14"/>
  <c r="K1516" i="13" l="1"/>
  <c r="L1516" i="13" s="1"/>
  <c r="I1517" i="13" s="1"/>
  <c r="K1539" i="14"/>
  <c r="L1539" i="14" s="1"/>
  <c r="I1540" i="14" s="1"/>
  <c r="M1707" i="14"/>
  <c r="J1702" i="14" a="1"/>
  <c r="J1702" i="14" s="1"/>
  <c r="N1703" i="14"/>
  <c r="J1703" i="13" a="1"/>
  <c r="J1703" i="13" s="1"/>
  <c r="N1704" i="13"/>
  <c r="M1706" i="13"/>
  <c r="K1517" i="13" l="1"/>
  <c r="L1517" i="13" s="1"/>
  <c r="I1518" i="13" s="1"/>
  <c r="K1540" i="14"/>
  <c r="L1540" i="14" s="1"/>
  <c r="I1541" i="14" s="1"/>
  <c r="J1703" i="14" a="1"/>
  <c r="J1703" i="14" s="1"/>
  <c r="N1704" i="14"/>
  <c r="M1707" i="13"/>
  <c r="J1704" i="13" a="1"/>
  <c r="J1704" i="13" s="1"/>
  <c r="N1705" i="13"/>
  <c r="M1708" i="14"/>
  <c r="K1518" i="13" l="1"/>
  <c r="L1518" i="13" s="1"/>
  <c r="I1519" i="13" s="1"/>
  <c r="K1541" i="14"/>
  <c r="L1541" i="14" s="1"/>
  <c r="I1542" i="14" s="1"/>
  <c r="N1706" i="13"/>
  <c r="J1705" i="13" a="1"/>
  <c r="J1705" i="13" s="1"/>
  <c r="M1709" i="14"/>
  <c r="M1708" i="13"/>
  <c r="N1705" i="14"/>
  <c r="J1704" i="14" a="1"/>
  <c r="J1704" i="14" s="1"/>
  <c r="K1519" i="13" l="1"/>
  <c r="L1519" i="13" s="1"/>
  <c r="I1520" i="13" s="1"/>
  <c r="K1542" i="14"/>
  <c r="L1542" i="14" s="1"/>
  <c r="I1543" i="14" s="1"/>
  <c r="J1705" i="14" a="1"/>
  <c r="J1705" i="14" s="1"/>
  <c r="N1706" i="14"/>
  <c r="M1710" i="14"/>
  <c r="M1709" i="13"/>
  <c r="J1706" i="13" a="1"/>
  <c r="J1706" i="13" s="1"/>
  <c r="N1707" i="13"/>
  <c r="K1520" i="13" l="1"/>
  <c r="L1520" i="13" s="1"/>
  <c r="I1521" i="13" s="1"/>
  <c r="K1543" i="14"/>
  <c r="L1543" i="14" s="1"/>
  <c r="I1544" i="14" s="1"/>
  <c r="M1711" i="14"/>
  <c r="J1706" i="14" a="1"/>
  <c r="J1706" i="14" s="1"/>
  <c r="N1707" i="14"/>
  <c r="J1707" i="13" a="1"/>
  <c r="J1707" i="13" s="1"/>
  <c r="N1708" i="13"/>
  <c r="M1710" i="13"/>
  <c r="K1521" i="13" l="1"/>
  <c r="L1521" i="13" s="1"/>
  <c r="I1522" i="13" s="1"/>
  <c r="K1544" i="14"/>
  <c r="L1544" i="14" s="1"/>
  <c r="I1545" i="14" s="1"/>
  <c r="J1707" i="14" a="1"/>
  <c r="J1707" i="14" s="1"/>
  <c r="N1708" i="14"/>
  <c r="J1708" i="13" a="1"/>
  <c r="J1708" i="13" s="1"/>
  <c r="N1709" i="13"/>
  <c r="M1712" i="14"/>
  <c r="M1711" i="13"/>
  <c r="K1522" i="13" l="1"/>
  <c r="L1522" i="13" s="1"/>
  <c r="I1523" i="13" s="1"/>
  <c r="K1545" i="14"/>
  <c r="L1545" i="14" s="1"/>
  <c r="I1546" i="14" s="1"/>
  <c r="M1712" i="13"/>
  <c r="N1710" i="13"/>
  <c r="J1709" i="13" a="1"/>
  <c r="J1709" i="13" s="1"/>
  <c r="N1709" i="14"/>
  <c r="J1708" i="14" a="1"/>
  <c r="J1708" i="14" s="1"/>
  <c r="M1713" i="14"/>
  <c r="K1523" i="13" l="1"/>
  <c r="L1523" i="13" s="1"/>
  <c r="I1524" i="13" s="1"/>
  <c r="K1546" i="14"/>
  <c r="L1546" i="14" s="1"/>
  <c r="I1547" i="14" s="1"/>
  <c r="M1714" i="14"/>
  <c r="J1710" i="13" a="1"/>
  <c r="J1710" i="13" s="1"/>
  <c r="N1711" i="13"/>
  <c r="M1713" i="13"/>
  <c r="J1709" i="14" a="1"/>
  <c r="J1709" i="14" s="1"/>
  <c r="N1710" i="14"/>
  <c r="K1524" i="13" l="1"/>
  <c r="L1524" i="13" s="1"/>
  <c r="I1525" i="13" s="1"/>
  <c r="K1547" i="14"/>
  <c r="L1547" i="14" s="1"/>
  <c r="I1548" i="14" s="1"/>
  <c r="J1710" i="14" a="1"/>
  <c r="J1710" i="14" s="1"/>
  <c r="N1711" i="14"/>
  <c r="J1711" i="13" a="1"/>
  <c r="J1711" i="13" s="1"/>
  <c r="N1712" i="13"/>
  <c r="M1714" i="13"/>
  <c r="M1715" i="14"/>
  <c r="K1525" i="13" l="1"/>
  <c r="L1525" i="13" s="1"/>
  <c r="I1526" i="13" s="1"/>
  <c r="K1548" i="14"/>
  <c r="L1548" i="14" s="1"/>
  <c r="I1549" i="14" s="1"/>
  <c r="J1712" i="13" a="1"/>
  <c r="J1712" i="13" s="1"/>
  <c r="N1713" i="13"/>
  <c r="M1716" i="14"/>
  <c r="M1715" i="13"/>
  <c r="J1711" i="14" a="1"/>
  <c r="J1711" i="14" s="1"/>
  <c r="N1712" i="14"/>
  <c r="K1526" i="13" l="1"/>
  <c r="L1526" i="13" s="1"/>
  <c r="I1527" i="13" s="1"/>
  <c r="K1549" i="14"/>
  <c r="L1549" i="14" s="1"/>
  <c r="I1550" i="14" s="1"/>
  <c r="N1713" i="14"/>
  <c r="J1712" i="14" a="1"/>
  <c r="J1712" i="14" s="1"/>
  <c r="M1717" i="14"/>
  <c r="N1714" i="13"/>
  <c r="J1713" i="13" a="1"/>
  <c r="J1713" i="13" s="1"/>
  <c r="M1716" i="13"/>
  <c r="K1527" i="13" l="1"/>
  <c r="L1527" i="13" s="1"/>
  <c r="I1528" i="13" s="1"/>
  <c r="K1550" i="14"/>
  <c r="L1550" i="14" s="1"/>
  <c r="I1551" i="14" s="1"/>
  <c r="M1717" i="13"/>
  <c r="M1718" i="14"/>
  <c r="J1714" i="13" a="1"/>
  <c r="J1714" i="13" s="1"/>
  <c r="N1715" i="13"/>
  <c r="J1713" i="14" a="1"/>
  <c r="J1713" i="14" s="1"/>
  <c r="N1714" i="14"/>
  <c r="K1528" i="13" l="1"/>
  <c r="L1528" i="13" s="1"/>
  <c r="I1529" i="13" s="1"/>
  <c r="N1715" i="14"/>
  <c r="J1714" i="14" a="1"/>
  <c r="J1714" i="14" s="1"/>
  <c r="K1551" i="14"/>
  <c r="L1551" i="14" s="1"/>
  <c r="I1552" i="14" s="1"/>
  <c r="J1715" i="13" a="1"/>
  <c r="J1715" i="13" s="1"/>
  <c r="N1716" i="13"/>
  <c r="M1719" i="14"/>
  <c r="M1718" i="13"/>
  <c r="K1529" i="13" l="1"/>
  <c r="L1529" i="13" s="1"/>
  <c r="I1530" i="13" s="1"/>
  <c r="K1552" i="14"/>
  <c r="L1552" i="14" s="1"/>
  <c r="I1553" i="14" s="1"/>
  <c r="N1716" i="14"/>
  <c r="J1715" i="14" a="1"/>
  <c r="J1715" i="14" s="1"/>
  <c r="J1716" i="13" a="1"/>
  <c r="J1716" i="13" s="1"/>
  <c r="N1717" i="13"/>
  <c r="M1719" i="13"/>
  <c r="M1720" i="14"/>
  <c r="K1530" i="13" l="1"/>
  <c r="L1530" i="13" s="1"/>
  <c r="I1531" i="13" s="1"/>
  <c r="K1553" i="14"/>
  <c r="L1553" i="14" s="1"/>
  <c r="I1554" i="14" s="1"/>
  <c r="N1718" i="13"/>
  <c r="J1717" i="13" a="1"/>
  <c r="J1717" i="13" s="1"/>
  <c r="M1721" i="14"/>
  <c r="M1720" i="13"/>
  <c r="J1716" i="14" a="1"/>
  <c r="J1716" i="14" s="1"/>
  <c r="N1717" i="14"/>
  <c r="K1531" i="13" l="1"/>
  <c r="L1531" i="13" s="1"/>
  <c r="I1532" i="13" s="1"/>
  <c r="K1554" i="14"/>
  <c r="L1554" i="14" s="1"/>
  <c r="I1555" i="14" s="1"/>
  <c r="N1718" i="14"/>
  <c r="J1717" i="14" a="1"/>
  <c r="J1717" i="14" s="1"/>
  <c r="M1722" i="14"/>
  <c r="M1721" i="13"/>
  <c r="J1718" i="13" a="1"/>
  <c r="J1718" i="13" s="1"/>
  <c r="N1719" i="13"/>
  <c r="K1532" i="13" l="1"/>
  <c r="L1532" i="13" s="1"/>
  <c r="I1533" i="13" s="1"/>
  <c r="J1719" i="13" a="1"/>
  <c r="J1719" i="13" s="1"/>
  <c r="N1720" i="13"/>
  <c r="M1723" i="14"/>
  <c r="M1722" i="13"/>
  <c r="J1718" i="14" a="1"/>
  <c r="J1718" i="14" s="1"/>
  <c r="N1719" i="14"/>
  <c r="K1555" i="14"/>
  <c r="L1555" i="14" s="1"/>
  <c r="I1556" i="14" s="1"/>
  <c r="K1533" i="13" l="1"/>
  <c r="L1533" i="13" s="1"/>
  <c r="I1534" i="13" s="1"/>
  <c r="K1556" i="14"/>
  <c r="L1556" i="14" s="1"/>
  <c r="I1557" i="14" s="1"/>
  <c r="M1723" i="13"/>
  <c r="M1724" i="14"/>
  <c r="N1720" i="14"/>
  <c r="J1719" i="14" a="1"/>
  <c r="J1719" i="14" s="1"/>
  <c r="J1720" i="13" a="1"/>
  <c r="J1720" i="13" s="1"/>
  <c r="N1721" i="13"/>
  <c r="K1534" i="13" l="1"/>
  <c r="L1534" i="13" s="1"/>
  <c r="I1535" i="13" s="1"/>
  <c r="K1557" i="14"/>
  <c r="L1557" i="14" s="1"/>
  <c r="I1558" i="14" s="1"/>
  <c r="N1722" i="13"/>
  <c r="J1721" i="13" a="1"/>
  <c r="J1721" i="13" s="1"/>
  <c r="M1725" i="14"/>
  <c r="J1720" i="14" a="1"/>
  <c r="J1720" i="14" s="1"/>
  <c r="N1721" i="14"/>
  <c r="M1724" i="13"/>
  <c r="K1535" i="13" l="1"/>
  <c r="L1535" i="13" s="1"/>
  <c r="I1536" i="13" s="1"/>
  <c r="M1725" i="13"/>
  <c r="M1726" i="14"/>
  <c r="K1558" i="14"/>
  <c r="L1558" i="14" s="1"/>
  <c r="I1559" i="14" s="1"/>
  <c r="J1721" i="14" a="1"/>
  <c r="J1721" i="14" s="1"/>
  <c r="N1722" i="14"/>
  <c r="J1722" i="13" a="1"/>
  <c r="J1722" i="13" s="1"/>
  <c r="N1723" i="13"/>
  <c r="K1536" i="13" l="1"/>
  <c r="L1536" i="13" s="1"/>
  <c r="I1537" i="13" s="1"/>
  <c r="K1559" i="14"/>
  <c r="L1559" i="14" s="1"/>
  <c r="I1560" i="14" s="1"/>
  <c r="J1723" i="13" a="1"/>
  <c r="J1723" i="13" s="1"/>
  <c r="N1724" i="13"/>
  <c r="M1726" i="13"/>
  <c r="J1722" i="14" a="1"/>
  <c r="J1722" i="14" s="1"/>
  <c r="N1723" i="14"/>
  <c r="M1727" i="14"/>
  <c r="K1537" i="13" l="1"/>
  <c r="L1537" i="13" s="1"/>
  <c r="I1538" i="13" s="1"/>
  <c r="K1560" i="14"/>
  <c r="L1560" i="14" s="1"/>
  <c r="I1561" i="14" s="1"/>
  <c r="N1724" i="14"/>
  <c r="J1723" i="14" a="1"/>
  <c r="J1723" i="14" s="1"/>
  <c r="M1728" i="14"/>
  <c r="M1727" i="13"/>
  <c r="J1724" i="13" a="1"/>
  <c r="J1724" i="13" s="1"/>
  <c r="N1725" i="13"/>
  <c r="K1538" i="13" l="1"/>
  <c r="L1538" i="13" s="1"/>
  <c r="I1539" i="13" s="1"/>
  <c r="N1726" i="13"/>
  <c r="J1725" i="13" a="1"/>
  <c r="J1725" i="13" s="1"/>
  <c r="K1561" i="14"/>
  <c r="L1561" i="14" s="1"/>
  <c r="I1562" i="14" s="1"/>
  <c r="M1729" i="14"/>
  <c r="M1728" i="13"/>
  <c r="J1724" i="14" a="1"/>
  <c r="J1724" i="14" s="1"/>
  <c r="N1725" i="14"/>
  <c r="K1539" i="13" l="1"/>
  <c r="L1539" i="13" s="1"/>
  <c r="I1540" i="13" s="1"/>
  <c r="K1562" i="14"/>
  <c r="L1562" i="14" s="1"/>
  <c r="I1563" i="14" s="1"/>
  <c r="J1726" i="13" a="1"/>
  <c r="J1726" i="13" s="1"/>
  <c r="N1727" i="13"/>
  <c r="J1725" i="14" a="1"/>
  <c r="J1725" i="14" s="1"/>
  <c r="N1726" i="14"/>
  <c r="M1730" i="14"/>
  <c r="M1729" i="13"/>
  <c r="K1540" i="13" l="1"/>
  <c r="L1540" i="13" s="1"/>
  <c r="I1541" i="13" s="1"/>
  <c r="K1563" i="14"/>
  <c r="L1563" i="14" s="1"/>
  <c r="I1564" i="14" s="1"/>
  <c r="J1726" i="14" a="1"/>
  <c r="J1726" i="14" s="1"/>
  <c r="N1727" i="14"/>
  <c r="M1730" i="13"/>
  <c r="J1727" i="13" a="1"/>
  <c r="J1727" i="13" s="1"/>
  <c r="N1728" i="13"/>
  <c r="M1731" i="14"/>
  <c r="K1541" i="13" l="1"/>
  <c r="L1541" i="13" s="1"/>
  <c r="I1542" i="13" s="1"/>
  <c r="K1564" i="14"/>
  <c r="L1564" i="14" s="1"/>
  <c r="I1565" i="14" s="1"/>
  <c r="M1732" i="14"/>
  <c r="M1731" i="13"/>
  <c r="N1728" i="14"/>
  <c r="J1727" i="14" a="1"/>
  <c r="J1727" i="14" s="1"/>
  <c r="J1728" i="13" a="1"/>
  <c r="J1728" i="13" s="1"/>
  <c r="N1729" i="13"/>
  <c r="K1542" i="13" l="1"/>
  <c r="L1542" i="13" s="1"/>
  <c r="I1543" i="13" s="1"/>
  <c r="K1565" i="14"/>
  <c r="L1565" i="14" s="1"/>
  <c r="I1566" i="14" s="1"/>
  <c r="N1730" i="13"/>
  <c r="J1729" i="13" a="1"/>
  <c r="J1729" i="13" s="1"/>
  <c r="M1732" i="13"/>
  <c r="J1728" i="14" a="1"/>
  <c r="J1728" i="14" s="1"/>
  <c r="N1729" i="14"/>
  <c r="M1733" i="14"/>
  <c r="K1543" i="13" l="1"/>
  <c r="L1543" i="13" s="1"/>
  <c r="I1544" i="13" s="1"/>
  <c r="K1566" i="14"/>
  <c r="L1566" i="14" s="1"/>
  <c r="I1567" i="14" s="1"/>
  <c r="J1729" i="14" a="1"/>
  <c r="J1729" i="14" s="1"/>
  <c r="N1730" i="14"/>
  <c r="M1733" i="13"/>
  <c r="M1734" i="14"/>
  <c r="J1730" i="13" a="1"/>
  <c r="J1730" i="13" s="1"/>
  <c r="N1731" i="13"/>
  <c r="K1544" i="13" l="1"/>
  <c r="L1544" i="13" s="1"/>
  <c r="I1545" i="13" s="1"/>
  <c r="K1567" i="14"/>
  <c r="L1567" i="14" s="1"/>
  <c r="I1568" i="14" s="1"/>
  <c r="M1734" i="13"/>
  <c r="J1730" i="14" a="1"/>
  <c r="J1730" i="14" s="1"/>
  <c r="N1731" i="14"/>
  <c r="J1731" i="13" a="1"/>
  <c r="J1731" i="13" s="1"/>
  <c r="N1732" i="13"/>
  <c r="M1735" i="14"/>
  <c r="K1545" i="13" l="1"/>
  <c r="L1545" i="13" s="1"/>
  <c r="I1546" i="13" s="1"/>
  <c r="K1568" i="14"/>
  <c r="L1568" i="14" s="1"/>
  <c r="I1569" i="14" s="1"/>
  <c r="N1732" i="14"/>
  <c r="J1731" i="14" a="1"/>
  <c r="J1731" i="14" s="1"/>
  <c r="J1732" i="13" a="1"/>
  <c r="J1732" i="13" s="1"/>
  <c r="N1733" i="13"/>
  <c r="M1736" i="14"/>
  <c r="M1735" i="13"/>
  <c r="K1546" i="13" l="1"/>
  <c r="L1546" i="13" s="1"/>
  <c r="I1547" i="13" s="1"/>
  <c r="N1734" i="13"/>
  <c r="J1733" i="13" a="1"/>
  <c r="J1733" i="13" s="1"/>
  <c r="K1569" i="14"/>
  <c r="L1569" i="14" s="1"/>
  <c r="I1570" i="14" s="1"/>
  <c r="M1736" i="13"/>
  <c r="M1737" i="14"/>
  <c r="J1732" i="14" a="1"/>
  <c r="J1732" i="14" s="1"/>
  <c r="N1733" i="14"/>
  <c r="K1547" i="13" l="1"/>
  <c r="L1547" i="13" s="1"/>
  <c r="I1548" i="13" s="1"/>
  <c r="K1570" i="14"/>
  <c r="L1570" i="14" s="1"/>
  <c r="I1571" i="14" s="1"/>
  <c r="J1733" i="14" a="1"/>
  <c r="J1733" i="14" s="1"/>
  <c r="N1734" i="14"/>
  <c r="M1737" i="13"/>
  <c r="J1734" i="13" a="1"/>
  <c r="J1734" i="13" s="1"/>
  <c r="N1735" i="13"/>
  <c r="M1738" i="14"/>
  <c r="K1548" i="13" l="1"/>
  <c r="L1548" i="13" s="1"/>
  <c r="I1549" i="13" s="1"/>
  <c r="K1571" i="14"/>
  <c r="L1571" i="14" s="1"/>
  <c r="I1572" i="14" s="1"/>
  <c r="J1734" i="14" a="1"/>
  <c r="J1734" i="14" s="1"/>
  <c r="N1735" i="14"/>
  <c r="M1739" i="14"/>
  <c r="M1738" i="13"/>
  <c r="J1735" i="13" a="1"/>
  <c r="J1735" i="13" s="1"/>
  <c r="N1736" i="13"/>
  <c r="K1549" i="13" l="1"/>
  <c r="L1549" i="13" s="1"/>
  <c r="I1550" i="13" s="1"/>
  <c r="K1572" i="14"/>
  <c r="L1572" i="14" s="1"/>
  <c r="I1573" i="14" s="1"/>
  <c r="J1736" i="13" a="1"/>
  <c r="J1736" i="13" s="1"/>
  <c r="N1737" i="13"/>
  <c r="M1740" i="14"/>
  <c r="N1736" i="14"/>
  <c r="J1735" i="14" a="1"/>
  <c r="J1735" i="14" s="1"/>
  <c r="M1739" i="13"/>
  <c r="K1550" i="13" l="1"/>
  <c r="L1550" i="13" s="1"/>
  <c r="I1551" i="13" s="1"/>
  <c r="K1573" i="14"/>
  <c r="L1573" i="14" s="1"/>
  <c r="I1574" i="14" s="1"/>
  <c r="M1740" i="13"/>
  <c r="M1741" i="14"/>
  <c r="N1738" i="13"/>
  <c r="J1737" i="13" a="1"/>
  <c r="J1737" i="13" s="1"/>
  <c r="J1736" i="14" a="1"/>
  <c r="J1736" i="14" s="1"/>
  <c r="N1737" i="14"/>
  <c r="K1551" i="13" l="1"/>
  <c r="L1551" i="13" s="1"/>
  <c r="I1552" i="13" s="1"/>
  <c r="K1574" i="14"/>
  <c r="L1574" i="14" s="1"/>
  <c r="I1575" i="14" s="1"/>
  <c r="J1737" i="14" a="1"/>
  <c r="J1737" i="14" s="1"/>
  <c r="N1738" i="14"/>
  <c r="M1742" i="14"/>
  <c r="M1741" i="13"/>
  <c r="J1738" i="13" a="1"/>
  <c r="J1738" i="13" s="1"/>
  <c r="N1739" i="13"/>
  <c r="K1552" i="13" l="1"/>
  <c r="L1552" i="13" s="1"/>
  <c r="I1553" i="13" s="1"/>
  <c r="K1575" i="14"/>
  <c r="L1575" i="14" s="1"/>
  <c r="I1576" i="14" s="1"/>
  <c r="J1739" i="13" a="1"/>
  <c r="J1739" i="13" s="1"/>
  <c r="N1740" i="13"/>
  <c r="M1743" i="14"/>
  <c r="J1738" i="14" a="1"/>
  <c r="J1738" i="14" s="1"/>
  <c r="N1739" i="14"/>
  <c r="M1742" i="13"/>
  <c r="K1553" i="13" l="1"/>
  <c r="L1553" i="13" s="1"/>
  <c r="I1554" i="13" s="1"/>
  <c r="K1576" i="14"/>
  <c r="L1576" i="14" s="1"/>
  <c r="I1577" i="14" s="1"/>
  <c r="M1743" i="13"/>
  <c r="J1740" i="13" a="1"/>
  <c r="J1740" i="13" s="1"/>
  <c r="N1741" i="13"/>
  <c r="N1740" i="14"/>
  <c r="J1739" i="14" a="1"/>
  <c r="J1739" i="14" s="1"/>
  <c r="M1744" i="14"/>
  <c r="K1554" i="13" l="1"/>
  <c r="L1554" i="13" s="1"/>
  <c r="I1555" i="13" s="1"/>
  <c r="J1740" i="14" a="1"/>
  <c r="J1740" i="14" s="1"/>
  <c r="N1741" i="14"/>
  <c r="K1577" i="14"/>
  <c r="L1577" i="14" s="1"/>
  <c r="I1578" i="14" s="1"/>
  <c r="N1742" i="13"/>
  <c r="J1741" i="13" a="1"/>
  <c r="J1741" i="13" s="1"/>
  <c r="M1744" i="13"/>
  <c r="M1745" i="14"/>
  <c r="K1555" i="13" l="1"/>
  <c r="L1555" i="13" s="1"/>
  <c r="I1556" i="13" s="1"/>
  <c r="K1578" i="14"/>
  <c r="L1578" i="14" s="1"/>
  <c r="I1579" i="14" s="1"/>
  <c r="M1746" i="14"/>
  <c r="J1742" i="13" a="1"/>
  <c r="J1742" i="13" s="1"/>
  <c r="N1743" i="13"/>
  <c r="M1745" i="13"/>
  <c r="J1741" i="14" a="1"/>
  <c r="J1741" i="14" s="1"/>
  <c r="N1742" i="14"/>
  <c r="K1556" i="13" l="1"/>
  <c r="L1556" i="13" s="1"/>
  <c r="I1557" i="13" s="1"/>
  <c r="K1579" i="14"/>
  <c r="L1579" i="14" s="1"/>
  <c r="I1580" i="14" s="1"/>
  <c r="J1743" i="13" a="1"/>
  <c r="J1743" i="13" s="1"/>
  <c r="N1744" i="13"/>
  <c r="J1742" i="14" a="1"/>
  <c r="J1742" i="14" s="1"/>
  <c r="N1743" i="14"/>
  <c r="M1747" i="14"/>
  <c r="M1746" i="13"/>
  <c r="K1557" i="13" l="1"/>
  <c r="L1557" i="13" s="1"/>
  <c r="I1558" i="13" s="1"/>
  <c r="K1580" i="14"/>
  <c r="L1580" i="14" s="1"/>
  <c r="I1581" i="14" s="1"/>
  <c r="N1744" i="14"/>
  <c r="J1743" i="14" a="1"/>
  <c r="J1743" i="14" s="1"/>
  <c r="J1744" i="13" a="1"/>
  <c r="J1744" i="13" s="1"/>
  <c r="N1745" i="13"/>
  <c r="M1747" i="13"/>
  <c r="M1748" i="14"/>
  <c r="K1558" i="13" l="1"/>
  <c r="L1558" i="13" s="1"/>
  <c r="I1559" i="13" s="1"/>
  <c r="K1581" i="14"/>
  <c r="L1581" i="14" s="1"/>
  <c r="I1582" i="14" s="1"/>
  <c r="N1746" i="13"/>
  <c r="J1745" i="13" a="1"/>
  <c r="J1745" i="13" s="1"/>
  <c r="M1749" i="14"/>
  <c r="M1748" i="13"/>
  <c r="J1744" i="14" a="1"/>
  <c r="J1744" i="14" s="1"/>
  <c r="N1745" i="14"/>
  <c r="K1559" i="13" l="1"/>
  <c r="L1559" i="13" s="1"/>
  <c r="I1560" i="13" s="1"/>
  <c r="K1582" i="14"/>
  <c r="L1582" i="14" s="1"/>
  <c r="I1583" i="14" s="1"/>
  <c r="J1745" i="14" a="1"/>
  <c r="J1745" i="14" s="1"/>
  <c r="N1746" i="14"/>
  <c r="M1750" i="14"/>
  <c r="M1749" i="13"/>
  <c r="J1746" i="13" a="1"/>
  <c r="J1746" i="13" s="1"/>
  <c r="N1747" i="13"/>
  <c r="K1560" i="13" l="1"/>
  <c r="L1560" i="13" s="1"/>
  <c r="I1561" i="13" s="1"/>
  <c r="K1583" i="14"/>
  <c r="L1583" i="14" s="1"/>
  <c r="I1584" i="14" s="1"/>
  <c r="J1747" i="13" a="1"/>
  <c r="J1747" i="13" s="1"/>
  <c r="N1748" i="13"/>
  <c r="M1751" i="14"/>
  <c r="J1746" i="14" a="1"/>
  <c r="J1746" i="14" s="1"/>
  <c r="N1747" i="14"/>
  <c r="M1750" i="13"/>
  <c r="K1561" i="13" l="1"/>
  <c r="L1561" i="13" s="1"/>
  <c r="I1562" i="13" s="1"/>
  <c r="K1584" i="14"/>
  <c r="L1584" i="14" s="1"/>
  <c r="I1585" i="14" s="1"/>
  <c r="N1748" i="14"/>
  <c r="J1747" i="14" a="1"/>
  <c r="J1747" i="14" s="1"/>
  <c r="M1752" i="14"/>
  <c r="M1751" i="13"/>
  <c r="J1748" i="13" a="1"/>
  <c r="J1748" i="13" s="1"/>
  <c r="N1749" i="13"/>
  <c r="K1562" i="13" l="1"/>
  <c r="L1562" i="13" s="1"/>
  <c r="I1563" i="13" s="1"/>
  <c r="K1585" i="14"/>
  <c r="L1585" i="14" s="1"/>
  <c r="I1586" i="14" s="1"/>
  <c r="N1750" i="13"/>
  <c r="J1749" i="13" a="1"/>
  <c r="J1749" i="13" s="1"/>
  <c r="M1753" i="14"/>
  <c r="M1752" i="13"/>
  <c r="J1748" i="14" a="1"/>
  <c r="J1748" i="14" s="1"/>
  <c r="N1749" i="14"/>
  <c r="K1563" i="13" l="1"/>
  <c r="L1563" i="13" s="1"/>
  <c r="I1564" i="13" s="1"/>
  <c r="K1586" i="14"/>
  <c r="L1586" i="14" s="1"/>
  <c r="I1587" i="14" s="1"/>
  <c r="J1749" i="14" a="1"/>
  <c r="J1749" i="14" s="1"/>
  <c r="N1750" i="14"/>
  <c r="M1753" i="13"/>
  <c r="M1754" i="14"/>
  <c r="J1750" i="13" a="1"/>
  <c r="J1750" i="13" s="1"/>
  <c r="N1751" i="13"/>
  <c r="K1564" i="13" l="1"/>
  <c r="L1564" i="13" s="1"/>
  <c r="I1565" i="13" s="1"/>
  <c r="K1587" i="14"/>
  <c r="L1587" i="14" s="1"/>
  <c r="I1588" i="14" s="1"/>
  <c r="M1755" i="14"/>
  <c r="J1751" i="13" a="1"/>
  <c r="J1751" i="13" s="1"/>
  <c r="N1752" i="13"/>
  <c r="J1750" i="14" a="1"/>
  <c r="J1750" i="14" s="1"/>
  <c r="N1751" i="14"/>
  <c r="M1754" i="13"/>
  <c r="K1565" i="13" l="1"/>
  <c r="L1565" i="13" s="1"/>
  <c r="I1566" i="13" s="1"/>
  <c r="N1752" i="14"/>
  <c r="J1751" i="14" a="1"/>
  <c r="J1751" i="14" s="1"/>
  <c r="J1752" i="13" a="1"/>
  <c r="J1752" i="13" s="1"/>
  <c r="N1753" i="13"/>
  <c r="K1588" i="14"/>
  <c r="L1588" i="14" s="1"/>
  <c r="I1589" i="14" s="1"/>
  <c r="M1755" i="13"/>
  <c r="M1756" i="14"/>
  <c r="K1566" i="13" l="1"/>
  <c r="L1566" i="13" s="1"/>
  <c r="I1567" i="13" s="1"/>
  <c r="M1757" i="14"/>
  <c r="J1752" i="14" a="1"/>
  <c r="J1752" i="14" s="1"/>
  <c r="N1753" i="14"/>
  <c r="N1754" i="13"/>
  <c r="J1753" i="13" a="1"/>
  <c r="J1753" i="13" s="1"/>
  <c r="K1589" i="14"/>
  <c r="L1589" i="14" s="1"/>
  <c r="I1590" i="14" s="1"/>
  <c r="M1756" i="13"/>
  <c r="K1567" i="13" l="1"/>
  <c r="L1567" i="13" s="1"/>
  <c r="I1568" i="13" s="1"/>
  <c r="K1590" i="14"/>
  <c r="L1590" i="14" s="1"/>
  <c r="I1591" i="14" s="1"/>
  <c r="J1754" i="13" a="1"/>
  <c r="J1754" i="13" s="1"/>
  <c r="N1755" i="13"/>
  <c r="M1758" i="14"/>
  <c r="J1753" i="14" a="1"/>
  <c r="J1753" i="14" s="1"/>
  <c r="N1754" i="14"/>
  <c r="M1757" i="13"/>
  <c r="K1568" i="13" l="1"/>
  <c r="L1568" i="13" s="1"/>
  <c r="I1569" i="13" s="1"/>
  <c r="K1591" i="14"/>
  <c r="L1591" i="14" s="1"/>
  <c r="I1592" i="14" s="1"/>
  <c r="J1754" i="14" a="1"/>
  <c r="J1754" i="14" s="1"/>
  <c r="N1755" i="14"/>
  <c r="M1759" i="14"/>
  <c r="M1758" i="13"/>
  <c r="J1755" i="13" a="1"/>
  <c r="J1755" i="13" s="1"/>
  <c r="N1756" i="13"/>
  <c r="K1569" i="13" l="1"/>
  <c r="L1569" i="13" s="1"/>
  <c r="I1570" i="13" s="1"/>
  <c r="K1592" i="14"/>
  <c r="L1592" i="14" s="1"/>
  <c r="I1593" i="14" s="1"/>
  <c r="N1756" i="14"/>
  <c r="J1755" i="14" a="1"/>
  <c r="J1755" i="14" s="1"/>
  <c r="M1759" i="13"/>
  <c r="J1756" i="13" a="1"/>
  <c r="J1756" i="13" s="1"/>
  <c r="N1757" i="13"/>
  <c r="M1760" i="14"/>
  <c r="K1570" i="13" l="1"/>
  <c r="L1570" i="13" s="1"/>
  <c r="I1571" i="13" s="1"/>
  <c r="K1593" i="14"/>
  <c r="L1593" i="14" s="1"/>
  <c r="I1594" i="14" s="1"/>
  <c r="M1761" i="14"/>
  <c r="M1760" i="13"/>
  <c r="N1758" i="13"/>
  <c r="J1757" i="13" a="1"/>
  <c r="J1757" i="13" s="1"/>
  <c r="J1756" i="14" a="1"/>
  <c r="J1756" i="14" s="1"/>
  <c r="N1757" i="14"/>
  <c r="K1571" i="13" l="1"/>
  <c r="L1571" i="13" s="1"/>
  <c r="I1572" i="13" s="1"/>
  <c r="K1594" i="14"/>
  <c r="L1594" i="14" s="1"/>
  <c r="I1595" i="14" s="1"/>
  <c r="J1757" i="14" a="1"/>
  <c r="J1757" i="14" s="1"/>
  <c r="N1758" i="14"/>
  <c r="M1761" i="13"/>
  <c r="J1758" i="13" a="1"/>
  <c r="J1758" i="13" s="1"/>
  <c r="N1759" i="13"/>
  <c r="M1762" i="14"/>
  <c r="K1572" i="13" l="1"/>
  <c r="L1572" i="13" s="1"/>
  <c r="I1573" i="13" s="1"/>
  <c r="K1595" i="14"/>
  <c r="L1595" i="14" s="1"/>
  <c r="I1596" i="14" s="1"/>
  <c r="M1763" i="14"/>
  <c r="J1758" i="14" a="1"/>
  <c r="J1758" i="14" s="1"/>
  <c r="N1759" i="14"/>
  <c r="J1759" i="13" a="1"/>
  <c r="J1759" i="13" s="1"/>
  <c r="N1760" i="13"/>
  <c r="M1762" i="13"/>
  <c r="K1573" i="13" l="1"/>
  <c r="L1573" i="13" s="1"/>
  <c r="I1574" i="13" s="1"/>
  <c r="K1596" i="14"/>
  <c r="L1596" i="14" s="1"/>
  <c r="I1597" i="14" s="1"/>
  <c r="J1760" i="13" a="1"/>
  <c r="J1760" i="13" s="1"/>
  <c r="N1761" i="13"/>
  <c r="M1763" i="13"/>
  <c r="M1764" i="14"/>
  <c r="N1760" i="14"/>
  <c r="J1759" i="14" a="1"/>
  <c r="J1759" i="14" s="1"/>
  <c r="K1574" i="13" l="1"/>
  <c r="L1574" i="13" s="1"/>
  <c r="I1575" i="13" s="1"/>
  <c r="K1597" i="14"/>
  <c r="L1597" i="14" s="1"/>
  <c r="I1598" i="14" s="1"/>
  <c r="M1764" i="13"/>
  <c r="N1762" i="13"/>
  <c r="J1761" i="13" a="1"/>
  <c r="J1761" i="13" s="1"/>
  <c r="J1760" i="14" a="1"/>
  <c r="J1760" i="14" s="1"/>
  <c r="N1761" i="14"/>
  <c r="M1765" i="14"/>
  <c r="K1575" i="13" l="1"/>
  <c r="L1575" i="13" s="1"/>
  <c r="I1576" i="13" s="1"/>
  <c r="K1598" i="14"/>
  <c r="L1598" i="14" s="1"/>
  <c r="I1599" i="14" s="1"/>
  <c r="J1762" i="13" a="1"/>
  <c r="J1762" i="13" s="1"/>
  <c r="N1763" i="13"/>
  <c r="J1761" i="14" a="1"/>
  <c r="J1761" i="14" s="1"/>
  <c r="N1762" i="14"/>
  <c r="M1765" i="13"/>
  <c r="M1766" i="14"/>
  <c r="K1576" i="13" l="1"/>
  <c r="L1576" i="13" s="1"/>
  <c r="I1577" i="13" s="1"/>
  <c r="K1599" i="14"/>
  <c r="L1599" i="14" s="1"/>
  <c r="I1600" i="14" s="1"/>
  <c r="J1762" i="14" a="1"/>
  <c r="J1762" i="14" s="1"/>
  <c r="N1763" i="14"/>
  <c r="M1767" i="14"/>
  <c r="J1763" i="13" a="1"/>
  <c r="J1763" i="13" s="1"/>
  <c r="N1764" i="13"/>
  <c r="M1766" i="13"/>
  <c r="K1577" i="13" l="1"/>
  <c r="L1577" i="13" s="1"/>
  <c r="I1578" i="13" s="1"/>
  <c r="K1600" i="14"/>
  <c r="L1600" i="14" s="1"/>
  <c r="I1601" i="14" s="1"/>
  <c r="M1767" i="13"/>
  <c r="M1768" i="14"/>
  <c r="J1764" i="13" a="1"/>
  <c r="J1764" i="13" s="1"/>
  <c r="N1765" i="13"/>
  <c r="N1764" i="14"/>
  <c r="J1763" i="14" a="1"/>
  <c r="J1763" i="14" s="1"/>
  <c r="K1578" i="13" l="1"/>
  <c r="L1578" i="13" s="1"/>
  <c r="I1579" i="13" s="1"/>
  <c r="K1601" i="14"/>
  <c r="L1601" i="14" s="1"/>
  <c r="I1602" i="14" s="1"/>
  <c r="J1764" i="14" a="1"/>
  <c r="J1764" i="14" s="1"/>
  <c r="N1765" i="14"/>
  <c r="M1769" i="14"/>
  <c r="N1766" i="13"/>
  <c r="J1765" i="13" a="1"/>
  <c r="J1765" i="13" s="1"/>
  <c r="M1768" i="13"/>
  <c r="K1579" i="13" l="1"/>
  <c r="L1579" i="13" s="1"/>
  <c r="I1580" i="13" s="1"/>
  <c r="K1602" i="14"/>
  <c r="L1602" i="14" s="1"/>
  <c r="I1603" i="14" s="1"/>
  <c r="J1766" i="13" a="1"/>
  <c r="J1766" i="13" s="1"/>
  <c r="N1767" i="13"/>
  <c r="M1769" i="13"/>
  <c r="M1770" i="14"/>
  <c r="J1765" i="14" a="1"/>
  <c r="J1765" i="14" s="1"/>
  <c r="N1766" i="14"/>
  <c r="K1580" i="13" l="1"/>
  <c r="L1580" i="13" s="1"/>
  <c r="I1581" i="13" s="1"/>
  <c r="K1603" i="14"/>
  <c r="L1603" i="14" s="1"/>
  <c r="I1604" i="14" s="1"/>
  <c r="J1766" i="14" a="1"/>
  <c r="J1766" i="14" s="1"/>
  <c r="N1767" i="14"/>
  <c r="M1770" i="13"/>
  <c r="M1771" i="14"/>
  <c r="J1767" i="13" a="1"/>
  <c r="J1767" i="13" s="1"/>
  <c r="N1768" i="13"/>
  <c r="K1581" i="13" l="1"/>
  <c r="L1581" i="13" s="1"/>
  <c r="I1582" i="13" s="1"/>
  <c r="K1604" i="14"/>
  <c r="L1604" i="14" s="1"/>
  <c r="I1605" i="14" s="1"/>
  <c r="J1768" i="13" a="1"/>
  <c r="J1768" i="13" s="1"/>
  <c r="N1769" i="13"/>
  <c r="M1771" i="13"/>
  <c r="N1768" i="14"/>
  <c r="J1767" i="14" a="1"/>
  <c r="J1767" i="14" s="1"/>
  <c r="M1772" i="14"/>
  <c r="K1582" i="13" l="1"/>
  <c r="L1582" i="13" s="1"/>
  <c r="I1583" i="13" s="1"/>
  <c r="M1773" i="14"/>
  <c r="M1772" i="13"/>
  <c r="K1605" i="14"/>
  <c r="L1605" i="14" s="1"/>
  <c r="I1606" i="14" s="1"/>
  <c r="N1770" i="13"/>
  <c r="J1769" i="13" a="1"/>
  <c r="J1769" i="13" s="1"/>
  <c r="J1768" i="14" a="1"/>
  <c r="J1768" i="14" s="1"/>
  <c r="N1769" i="14"/>
  <c r="K1583" i="13" l="1"/>
  <c r="L1583" i="13" s="1"/>
  <c r="I1584" i="13" s="1"/>
  <c r="J1769" i="14" a="1"/>
  <c r="J1769" i="14" s="1"/>
  <c r="N1770" i="14"/>
  <c r="M1774" i="14"/>
  <c r="M1773" i="13"/>
  <c r="K1606" i="14"/>
  <c r="L1606" i="14" s="1"/>
  <c r="I1607" i="14" s="1"/>
  <c r="J1770" i="13" a="1"/>
  <c r="J1770" i="13" s="1"/>
  <c r="N1771" i="13"/>
  <c r="K1584" i="13" l="1"/>
  <c r="L1584" i="13" s="1"/>
  <c r="I1585" i="13" s="1"/>
  <c r="K1607" i="14"/>
  <c r="L1607" i="14" s="1"/>
  <c r="I1608" i="14" s="1"/>
  <c r="J1770" i="14" a="1"/>
  <c r="J1770" i="14" s="1"/>
  <c r="N1771" i="14"/>
  <c r="M1774" i="13"/>
  <c r="J1771" i="13" a="1"/>
  <c r="J1771" i="13" s="1"/>
  <c r="N1772" i="13"/>
  <c r="M1775" i="14"/>
  <c r="K1585" i="13" l="1"/>
  <c r="L1585" i="13" s="1"/>
  <c r="I1586" i="13" s="1"/>
  <c r="K1608" i="14"/>
  <c r="L1608" i="14" s="1"/>
  <c r="I1609" i="14" s="1"/>
  <c r="J1772" i="13" a="1"/>
  <c r="J1772" i="13" s="1"/>
  <c r="N1773" i="13"/>
  <c r="M1776" i="14"/>
  <c r="M1775" i="13"/>
  <c r="N1772" i="14"/>
  <c r="J1771" i="14" a="1"/>
  <c r="J1771" i="14" s="1"/>
  <c r="K1586" i="13" l="1"/>
  <c r="L1586" i="13" s="1"/>
  <c r="I1587" i="13" s="1"/>
  <c r="K1609" i="14"/>
  <c r="L1609" i="14" s="1"/>
  <c r="I1610" i="14" s="1"/>
  <c r="J1772" i="14" a="1"/>
  <c r="J1772" i="14" s="1"/>
  <c r="N1773" i="14"/>
  <c r="M1777" i="14"/>
  <c r="N1774" i="13"/>
  <c r="J1773" i="13" a="1"/>
  <c r="J1773" i="13" s="1"/>
  <c r="M1776" i="13"/>
  <c r="K1587" i="13" l="1"/>
  <c r="L1587" i="13" s="1"/>
  <c r="I1588" i="13" s="1"/>
  <c r="K1610" i="14"/>
  <c r="L1610" i="14" s="1"/>
  <c r="I1611" i="14" s="1"/>
  <c r="M1777" i="13"/>
  <c r="M1778" i="14"/>
  <c r="J1773" i="14" a="1"/>
  <c r="J1773" i="14" s="1"/>
  <c r="N1774" i="14"/>
  <c r="J1774" i="13" a="1"/>
  <c r="J1774" i="13" s="1"/>
  <c r="N1775" i="13"/>
  <c r="K1588" i="13" l="1"/>
  <c r="L1588" i="13" s="1"/>
  <c r="I1589" i="13" s="1"/>
  <c r="K1611" i="14"/>
  <c r="L1611" i="14" s="1"/>
  <c r="I1612" i="14" s="1"/>
  <c r="J1775" i="13" a="1"/>
  <c r="J1775" i="13" s="1"/>
  <c r="N1776" i="13"/>
  <c r="M1778" i="13"/>
  <c r="J1774" i="14" a="1"/>
  <c r="J1774" i="14" s="1"/>
  <c r="N1775" i="14"/>
  <c r="M1779" i="14"/>
  <c r="K1589" i="13" l="1"/>
  <c r="L1589" i="13" s="1"/>
  <c r="I1590" i="13" s="1"/>
  <c r="K1612" i="14"/>
  <c r="L1612" i="14" s="1"/>
  <c r="I1613" i="14" s="1"/>
  <c r="N1776" i="14"/>
  <c r="J1775" i="14" a="1"/>
  <c r="J1775" i="14" s="1"/>
  <c r="M1780" i="14"/>
  <c r="M1779" i="13"/>
  <c r="J1776" i="13" a="1"/>
  <c r="J1776" i="13" s="1"/>
  <c r="N1777" i="13"/>
  <c r="K1590" i="13" l="1"/>
  <c r="L1590" i="13" s="1"/>
  <c r="I1591" i="13" s="1"/>
  <c r="K1613" i="14"/>
  <c r="L1613" i="14" s="1"/>
  <c r="I1614" i="14" s="1"/>
  <c r="N1778" i="13"/>
  <c r="J1777" i="13" a="1"/>
  <c r="J1777" i="13" s="1"/>
  <c r="M1781" i="14"/>
  <c r="M1780" i="13"/>
  <c r="J1776" i="14" a="1"/>
  <c r="J1776" i="14" s="1"/>
  <c r="N1777" i="14"/>
  <c r="K1591" i="13" l="1"/>
  <c r="L1591" i="13" s="1"/>
  <c r="I1592" i="13" s="1"/>
  <c r="J1777" i="14" a="1"/>
  <c r="J1777" i="14" s="1"/>
  <c r="N1778" i="14"/>
  <c r="K1614" i="14"/>
  <c r="L1614" i="14" s="1"/>
  <c r="I1615" i="14" s="1"/>
  <c r="M1782" i="14"/>
  <c r="M1781" i="13"/>
  <c r="J1778" i="13" a="1"/>
  <c r="J1778" i="13" s="1"/>
  <c r="N1779" i="13"/>
  <c r="K1592" i="13" l="1"/>
  <c r="L1592" i="13" s="1"/>
  <c r="I1593" i="13" s="1"/>
  <c r="J1779" i="13" a="1"/>
  <c r="J1779" i="13" s="1"/>
  <c r="N1780" i="13"/>
  <c r="J1778" i="14" a="1"/>
  <c r="J1778" i="14" s="1"/>
  <c r="N1779" i="14"/>
  <c r="M1783" i="14"/>
  <c r="M1782" i="13"/>
  <c r="K1615" i="14"/>
  <c r="L1615" i="14" s="1"/>
  <c r="I1616" i="14" s="1"/>
  <c r="K1593" i="13" l="1"/>
  <c r="L1593" i="13" s="1"/>
  <c r="I1594" i="13" s="1"/>
  <c r="J1780" i="13" a="1"/>
  <c r="J1780" i="13" s="1"/>
  <c r="N1781" i="13"/>
  <c r="M1784" i="14"/>
  <c r="N1780" i="14"/>
  <c r="J1779" i="14" a="1"/>
  <c r="J1779" i="14" s="1"/>
  <c r="K1616" i="14"/>
  <c r="L1616" i="14" s="1"/>
  <c r="I1617" i="14" s="1"/>
  <c r="M1783" i="13"/>
  <c r="K1594" i="13" l="1"/>
  <c r="L1594" i="13" s="1"/>
  <c r="I1595" i="13" s="1"/>
  <c r="K1617" i="14"/>
  <c r="L1617" i="14" s="1"/>
  <c r="I1618" i="14" s="1"/>
  <c r="N1782" i="13"/>
  <c r="J1781" i="13" a="1"/>
  <c r="J1781" i="13" s="1"/>
  <c r="M1784" i="13"/>
  <c r="J1780" i="14" a="1"/>
  <c r="J1780" i="14" s="1"/>
  <c r="N1781" i="14"/>
  <c r="M1785" i="14"/>
  <c r="K1595" i="13" l="1"/>
  <c r="L1595" i="13" s="1"/>
  <c r="I1596" i="13" s="1"/>
  <c r="K1618" i="14"/>
  <c r="L1618" i="14" s="1"/>
  <c r="I1619" i="14" s="1"/>
  <c r="J1781" i="14" a="1"/>
  <c r="J1781" i="14" s="1"/>
  <c r="N1782" i="14"/>
  <c r="M1785" i="13"/>
  <c r="M1786" i="14"/>
  <c r="J1782" i="13" a="1"/>
  <c r="J1782" i="13" s="1"/>
  <c r="N1783" i="13"/>
  <c r="K1596" i="13" l="1"/>
  <c r="L1596" i="13" s="1"/>
  <c r="I1597" i="13" s="1"/>
  <c r="K1619" i="14"/>
  <c r="L1619" i="14" s="1"/>
  <c r="I1620" i="14" s="1"/>
  <c r="J1783" i="13" a="1"/>
  <c r="J1783" i="13" s="1"/>
  <c r="N1784" i="13"/>
  <c r="M1786" i="13"/>
  <c r="J1782" i="14" a="1"/>
  <c r="J1782" i="14" s="1"/>
  <c r="N1783" i="14"/>
  <c r="M1787" i="14"/>
  <c r="K1597" i="13" l="1"/>
  <c r="L1597" i="13" s="1"/>
  <c r="I1598" i="13" s="1"/>
  <c r="N1784" i="14"/>
  <c r="J1783" i="14" a="1"/>
  <c r="J1783" i="14" s="1"/>
  <c r="M1788" i="14"/>
  <c r="M1787" i="13"/>
  <c r="J1784" i="13" a="1"/>
  <c r="J1784" i="13" s="1"/>
  <c r="N1785" i="13"/>
  <c r="K1620" i="14"/>
  <c r="L1620" i="14" s="1"/>
  <c r="I1621" i="14" s="1"/>
  <c r="K1598" i="13" l="1"/>
  <c r="L1598" i="13" s="1"/>
  <c r="I1599" i="13" s="1"/>
  <c r="K1621" i="14"/>
  <c r="L1621" i="14" s="1"/>
  <c r="I1622" i="14" s="1"/>
  <c r="N1786" i="13"/>
  <c r="J1785" i="13" a="1"/>
  <c r="J1785" i="13" s="1"/>
  <c r="M1788" i="13"/>
  <c r="M1789" i="14"/>
  <c r="J1784" i="14" a="1"/>
  <c r="J1784" i="14" s="1"/>
  <c r="N1785" i="14"/>
  <c r="K1599" i="13" l="1"/>
  <c r="L1599" i="13" s="1"/>
  <c r="I1600" i="13" s="1"/>
  <c r="K1622" i="14"/>
  <c r="L1622" i="14" s="1"/>
  <c r="I1623" i="14" s="1"/>
  <c r="J1785" i="14" a="1"/>
  <c r="J1785" i="14" s="1"/>
  <c r="N1786" i="14"/>
  <c r="M1789" i="13"/>
  <c r="M1790" i="14"/>
  <c r="J1786" i="13" a="1"/>
  <c r="J1786" i="13" s="1"/>
  <c r="N1787" i="13"/>
  <c r="K1600" i="13" l="1"/>
  <c r="L1600" i="13" s="1"/>
  <c r="I1601" i="13" s="1"/>
  <c r="K1623" i="14"/>
  <c r="L1623" i="14" s="1"/>
  <c r="I1624" i="14" s="1"/>
  <c r="J1787" i="13" a="1"/>
  <c r="J1787" i="13" s="1"/>
  <c r="N1788" i="13"/>
  <c r="M1790" i="13"/>
  <c r="J1786" i="14" a="1"/>
  <c r="J1786" i="14" s="1"/>
  <c r="N1787" i="14"/>
  <c r="M1791" i="14"/>
  <c r="K1601" i="13" l="1"/>
  <c r="L1601" i="13" s="1"/>
  <c r="I1602" i="13" s="1"/>
  <c r="K1624" i="14"/>
  <c r="L1624" i="14" s="1"/>
  <c r="I1625" i="14" s="1"/>
  <c r="M1792" i="14"/>
  <c r="M1791" i="13"/>
  <c r="J1788" i="13" a="1"/>
  <c r="J1788" i="13" s="1"/>
  <c r="N1789" i="13"/>
  <c r="N1788" i="14"/>
  <c r="J1787" i="14" a="1"/>
  <c r="J1787" i="14" s="1"/>
  <c r="K1602" i="13" l="1"/>
  <c r="L1602" i="13" s="1"/>
  <c r="I1603" i="13" s="1"/>
  <c r="K1625" i="14"/>
  <c r="L1625" i="14" s="1"/>
  <c r="I1626" i="14" s="1"/>
  <c r="J1788" i="14" a="1"/>
  <c r="J1788" i="14" s="1"/>
  <c r="N1789" i="14"/>
  <c r="M1792" i="13"/>
  <c r="N1790" i="13"/>
  <c r="J1789" i="13" a="1"/>
  <c r="J1789" i="13" s="1"/>
  <c r="M1793" i="14"/>
  <c r="K1603" i="13" l="1"/>
  <c r="L1603" i="13" s="1"/>
  <c r="I1604" i="13" s="1"/>
  <c r="K1626" i="14"/>
  <c r="L1626" i="14" s="1"/>
  <c r="I1627" i="14" s="1"/>
  <c r="M1793" i="13"/>
  <c r="J1790" i="13" a="1"/>
  <c r="J1790" i="13" s="1"/>
  <c r="N1791" i="13"/>
  <c r="M1794" i="14"/>
  <c r="J1789" i="14" a="1"/>
  <c r="J1789" i="14" s="1"/>
  <c r="N1790" i="14"/>
  <c r="K1604" i="13" l="1"/>
  <c r="L1604" i="13" s="1"/>
  <c r="I1605" i="13" s="1"/>
  <c r="K1627" i="14"/>
  <c r="L1627" i="14" s="1"/>
  <c r="I1628" i="14" s="1"/>
  <c r="J1790" i="14" a="1"/>
  <c r="J1790" i="14" s="1"/>
  <c r="N1791" i="14"/>
  <c r="J1791" i="13" a="1"/>
  <c r="J1791" i="13" s="1"/>
  <c r="N1792" i="13"/>
  <c r="M1795" i="14"/>
  <c r="M1794" i="13"/>
  <c r="K1605" i="13" l="1"/>
  <c r="L1605" i="13" s="1"/>
  <c r="I1606" i="13" s="1"/>
  <c r="K1628" i="14"/>
  <c r="L1628" i="14" s="1"/>
  <c r="I1629" i="14" s="1"/>
  <c r="N1792" i="14"/>
  <c r="J1791" i="14" a="1"/>
  <c r="J1791" i="14" s="1"/>
  <c r="M1796" i="14"/>
  <c r="J1792" i="13" a="1"/>
  <c r="J1792" i="13" s="1"/>
  <c r="N1793" i="13"/>
  <c r="M1795" i="13"/>
  <c r="K1606" i="13" l="1"/>
  <c r="L1606" i="13" s="1"/>
  <c r="I1607" i="13" s="1"/>
  <c r="K1629" i="14"/>
  <c r="L1629" i="14" s="1"/>
  <c r="I1630" i="14" s="1"/>
  <c r="N1794" i="13"/>
  <c r="J1793" i="13" a="1"/>
  <c r="J1793" i="13" s="1"/>
  <c r="M1796" i="13"/>
  <c r="M1797" i="14"/>
  <c r="J1792" i="14" a="1"/>
  <c r="J1792" i="14" s="1"/>
  <c r="N1793" i="14"/>
  <c r="K1607" i="13" l="1"/>
  <c r="L1607" i="13" s="1"/>
  <c r="I1608" i="13" s="1"/>
  <c r="K1630" i="14"/>
  <c r="L1630" i="14" s="1"/>
  <c r="I1631" i="14" s="1"/>
  <c r="J1793" i="14" a="1"/>
  <c r="J1793" i="14" s="1"/>
  <c r="N1794" i="14"/>
  <c r="M1797" i="13"/>
  <c r="M1798" i="14"/>
  <c r="J1794" i="13" a="1"/>
  <c r="J1794" i="13" s="1"/>
  <c r="N1795" i="13"/>
  <c r="K1608" i="13" l="1"/>
  <c r="L1608" i="13" s="1"/>
  <c r="I1609" i="13" s="1"/>
  <c r="K1631" i="14"/>
  <c r="L1631" i="14" s="1"/>
  <c r="I1632" i="14" s="1"/>
  <c r="M1799" i="14"/>
  <c r="J1795" i="13" a="1"/>
  <c r="J1795" i="13" s="1"/>
  <c r="N1796" i="13"/>
  <c r="M1798" i="13"/>
  <c r="J1794" i="14" a="1"/>
  <c r="J1794" i="14" s="1"/>
  <c r="N1795" i="14"/>
  <c r="K1609" i="13" l="1"/>
  <c r="L1609" i="13" s="1"/>
  <c r="I1610" i="13" s="1"/>
  <c r="K1632" i="14"/>
  <c r="L1632" i="14" s="1"/>
  <c r="I1633" i="14" s="1"/>
  <c r="M1799" i="13"/>
  <c r="N1796" i="14"/>
  <c r="J1795" i="14" a="1"/>
  <c r="J1795" i="14" s="1"/>
  <c r="M1800" i="14"/>
  <c r="J1796" i="13" a="1"/>
  <c r="J1796" i="13" s="1"/>
  <c r="N1797" i="13"/>
  <c r="K1610" i="13" l="1"/>
  <c r="L1610" i="13" s="1"/>
  <c r="I1611" i="13" s="1"/>
  <c r="K1633" i="14"/>
  <c r="L1633" i="14" s="1"/>
  <c r="I1634" i="14" s="1"/>
  <c r="N1798" i="13"/>
  <c r="J1797" i="13" a="1"/>
  <c r="J1797" i="13" s="1"/>
  <c r="M1800" i="13"/>
  <c r="M1801" i="14"/>
  <c r="J1796" i="14" a="1"/>
  <c r="J1796" i="14" s="1"/>
  <c r="N1797" i="14"/>
  <c r="K1611" i="13" l="1"/>
  <c r="L1611" i="13" s="1"/>
  <c r="I1612" i="13" s="1"/>
  <c r="K1634" i="14"/>
  <c r="L1634" i="14" s="1"/>
  <c r="I1635" i="14" s="1"/>
  <c r="J1797" i="14" a="1"/>
  <c r="J1797" i="14" s="1"/>
  <c r="N1798" i="14"/>
  <c r="M1801" i="13"/>
  <c r="M1802" i="14"/>
  <c r="J1798" i="13" a="1"/>
  <c r="J1798" i="13" s="1"/>
  <c r="N1799" i="13"/>
  <c r="K1612" i="13" l="1"/>
  <c r="L1612" i="13" s="1"/>
  <c r="I1613" i="13" s="1"/>
  <c r="K1635" i="14"/>
  <c r="L1635" i="14" s="1"/>
  <c r="I1636" i="14" s="1"/>
  <c r="J1799" i="13" a="1"/>
  <c r="J1799" i="13" s="1"/>
  <c r="N1800" i="13"/>
  <c r="M1802" i="13"/>
  <c r="J1798" i="14" a="1"/>
  <c r="J1798" i="14" s="1"/>
  <c r="N1799" i="14"/>
  <c r="M1803" i="14"/>
  <c r="K1613" i="13" l="1"/>
  <c r="L1613" i="13" s="1"/>
  <c r="I1614" i="13" s="1"/>
  <c r="M1803" i="13"/>
  <c r="N1800" i="14"/>
  <c r="J1799" i="14" a="1"/>
  <c r="J1799" i="14" s="1"/>
  <c r="M1804" i="14"/>
  <c r="K1636" i="14"/>
  <c r="L1636" i="14" s="1"/>
  <c r="I1637" i="14" s="1"/>
  <c r="J1800" i="13" a="1"/>
  <c r="J1800" i="13" s="1"/>
  <c r="N1801" i="13"/>
  <c r="K1614" i="13" l="1"/>
  <c r="L1614" i="13" s="1"/>
  <c r="I1615" i="13" s="1"/>
  <c r="K1637" i="14"/>
  <c r="L1637" i="14" s="1"/>
  <c r="I1638" i="14" s="1"/>
  <c r="N1802" i="13"/>
  <c r="J1801" i="13" a="1"/>
  <c r="J1801" i="13" s="1"/>
  <c r="M1805" i="14"/>
  <c r="M1804" i="13"/>
  <c r="J1800" i="14" a="1"/>
  <c r="J1800" i="14" s="1"/>
  <c r="N1801" i="14"/>
  <c r="K1615" i="13" l="1"/>
  <c r="L1615" i="13" s="1"/>
  <c r="I1616" i="13" s="1"/>
  <c r="K1638" i="14"/>
  <c r="L1638" i="14" s="1"/>
  <c r="I1639" i="14" s="1"/>
  <c r="J1801" i="14" a="1"/>
  <c r="J1801" i="14" s="1"/>
  <c r="N1802" i="14"/>
  <c r="M1806" i="14"/>
  <c r="M1805" i="13"/>
  <c r="J1802" i="13" a="1"/>
  <c r="J1802" i="13" s="1"/>
  <c r="N1803" i="13"/>
  <c r="K1616" i="13" l="1"/>
  <c r="L1616" i="13" s="1"/>
  <c r="I1617" i="13" s="1"/>
  <c r="K1639" i="14"/>
  <c r="L1639" i="14" s="1"/>
  <c r="I1640" i="14" s="1"/>
  <c r="J1803" i="13" a="1"/>
  <c r="J1803" i="13" s="1"/>
  <c r="N1804" i="13"/>
  <c r="M1807" i="14"/>
  <c r="J1802" i="14" a="1"/>
  <c r="J1802" i="14" s="1"/>
  <c r="N1803" i="14"/>
  <c r="M1806" i="13"/>
  <c r="K1617" i="13" l="1"/>
  <c r="L1617" i="13" s="1"/>
  <c r="I1618" i="13" s="1"/>
  <c r="K1640" i="14"/>
  <c r="L1640" i="14" s="1"/>
  <c r="I1641" i="14" s="1"/>
  <c r="N1804" i="14"/>
  <c r="J1803" i="14" a="1"/>
  <c r="J1803" i="14" s="1"/>
  <c r="M1807" i="13"/>
  <c r="M1808" i="14"/>
  <c r="J1804" i="13" a="1"/>
  <c r="J1804" i="13" s="1"/>
  <c r="N1805" i="13"/>
  <c r="K1618" i="13" l="1"/>
  <c r="L1618" i="13" s="1"/>
  <c r="I1619" i="13" s="1"/>
  <c r="K1641" i="14"/>
  <c r="L1641" i="14" s="1"/>
  <c r="I1642" i="14" s="1"/>
  <c r="M1808" i="13"/>
  <c r="N1806" i="13"/>
  <c r="J1805" i="13" a="1"/>
  <c r="J1805" i="13" s="1"/>
  <c r="M1809" i="14"/>
  <c r="J1804" i="14" a="1"/>
  <c r="J1804" i="14" s="1"/>
  <c r="N1805" i="14"/>
  <c r="K1619" i="13" l="1"/>
  <c r="L1619" i="13" s="1"/>
  <c r="I1620" i="13" s="1"/>
  <c r="K1642" i="14"/>
  <c r="L1642" i="14" s="1"/>
  <c r="I1643" i="14" s="1"/>
  <c r="J1806" i="13" a="1"/>
  <c r="J1806" i="13" s="1"/>
  <c r="N1807" i="13"/>
  <c r="M1809" i="13"/>
  <c r="J1805" i="14" a="1"/>
  <c r="J1805" i="14" s="1"/>
  <c r="N1806" i="14"/>
  <c r="M1810" i="14"/>
  <c r="K1620" i="13" l="1"/>
  <c r="L1620" i="13" s="1"/>
  <c r="I1621" i="13" s="1"/>
  <c r="K1643" i="14"/>
  <c r="L1643" i="14" s="1"/>
  <c r="I1644" i="14" s="1"/>
  <c r="M1811" i="14"/>
  <c r="M1810" i="13"/>
  <c r="J1806" i="14" a="1"/>
  <c r="J1806" i="14" s="1"/>
  <c r="N1807" i="14"/>
  <c r="J1807" i="13" a="1"/>
  <c r="J1807" i="13" s="1"/>
  <c r="N1808" i="13"/>
  <c r="K1621" i="13" l="1"/>
  <c r="L1621" i="13" s="1"/>
  <c r="I1622" i="13" s="1"/>
  <c r="K1644" i="14"/>
  <c r="L1644" i="14" s="1"/>
  <c r="I1645" i="14" s="1"/>
  <c r="J1808" i="13" a="1"/>
  <c r="J1808" i="13" s="1"/>
  <c r="N1809" i="13"/>
  <c r="M1811" i="13"/>
  <c r="N1808" i="14"/>
  <c r="J1807" i="14" a="1"/>
  <c r="J1807" i="14" s="1"/>
  <c r="M1812" i="14"/>
  <c r="K1622" i="13" l="1"/>
  <c r="L1622" i="13" s="1"/>
  <c r="I1623" i="13" s="1"/>
  <c r="K1645" i="14"/>
  <c r="L1645" i="14" s="1"/>
  <c r="I1646" i="14" s="1"/>
  <c r="J1808" i="14" a="1"/>
  <c r="J1808" i="14" s="1"/>
  <c r="N1809" i="14"/>
  <c r="M1813" i="14"/>
  <c r="M1812" i="13"/>
  <c r="N1810" i="13"/>
  <c r="J1809" i="13" a="1"/>
  <c r="J1809" i="13" s="1"/>
  <c r="K1623" i="13" l="1"/>
  <c r="L1623" i="13" s="1"/>
  <c r="I1624" i="13" s="1"/>
  <c r="K1646" i="14"/>
  <c r="L1646" i="14" s="1"/>
  <c r="I1647" i="14" s="1"/>
  <c r="J1810" i="13" a="1"/>
  <c r="J1810" i="13" s="1"/>
  <c r="N1811" i="13"/>
  <c r="M1814" i="14"/>
  <c r="M1813" i="13"/>
  <c r="J1809" i="14" a="1"/>
  <c r="J1809" i="14" s="1"/>
  <c r="N1810" i="14"/>
  <c r="K1624" i="13" l="1"/>
  <c r="L1624" i="13" s="1"/>
  <c r="I1625" i="13" s="1"/>
  <c r="K1647" i="14"/>
  <c r="L1647" i="14" s="1"/>
  <c r="I1648" i="14" s="1"/>
  <c r="J1810" i="14" a="1"/>
  <c r="J1810" i="14" s="1"/>
  <c r="N1811" i="14"/>
  <c r="M1815" i="14"/>
  <c r="J1811" i="13" a="1"/>
  <c r="J1811" i="13" s="1"/>
  <c r="N1812" i="13"/>
  <c r="M1814" i="13"/>
  <c r="K1625" i="13" l="1"/>
  <c r="L1625" i="13" s="1"/>
  <c r="I1626" i="13" s="1"/>
  <c r="K1648" i="14"/>
  <c r="L1648" i="14" s="1"/>
  <c r="I1649" i="14" s="1"/>
  <c r="J1812" i="13" a="1"/>
  <c r="J1812" i="13" s="1"/>
  <c r="N1813" i="13"/>
  <c r="M1815" i="13"/>
  <c r="M1816" i="14"/>
  <c r="N1812" i="14"/>
  <c r="J1811" i="14" a="1"/>
  <c r="J1811" i="14" s="1"/>
  <c r="K1626" i="13" l="1"/>
  <c r="L1626" i="13" s="1"/>
  <c r="I1627" i="13" s="1"/>
  <c r="K1649" i="14"/>
  <c r="L1649" i="14" s="1"/>
  <c r="I1650" i="14" s="1"/>
  <c r="J1812" i="14" a="1"/>
  <c r="J1812" i="14" s="1"/>
  <c r="N1813" i="14"/>
  <c r="M1816" i="13"/>
  <c r="N1814" i="13"/>
  <c r="J1813" i="13" a="1"/>
  <c r="J1813" i="13" s="1"/>
  <c r="M1817" i="14"/>
  <c r="K1627" i="13" l="1"/>
  <c r="L1627" i="13" s="1"/>
  <c r="I1628" i="13" s="1"/>
  <c r="K1650" i="14"/>
  <c r="L1650" i="14" s="1"/>
  <c r="I1651" i="14" s="1"/>
  <c r="M1817" i="13"/>
  <c r="M1818" i="14"/>
  <c r="J1813" i="14" a="1"/>
  <c r="J1813" i="14" s="1"/>
  <c r="N1814" i="14"/>
  <c r="J1814" i="13" a="1"/>
  <c r="J1814" i="13" s="1"/>
  <c r="N1815" i="13"/>
  <c r="K1628" i="13" l="1"/>
  <c r="L1628" i="13" s="1"/>
  <c r="I1629" i="13" s="1"/>
  <c r="K1651" i="14"/>
  <c r="L1651" i="14" s="1"/>
  <c r="I1652" i="14" s="1"/>
  <c r="J1815" i="13" a="1"/>
  <c r="J1815" i="13" s="1"/>
  <c r="N1816" i="13"/>
  <c r="M1819" i="14"/>
  <c r="J1814" i="14" a="1"/>
  <c r="J1814" i="14" s="1"/>
  <c r="N1815" i="14"/>
  <c r="M1818" i="13"/>
  <c r="K1629" i="13" l="1"/>
  <c r="L1629" i="13" s="1"/>
  <c r="I1630" i="13" s="1"/>
  <c r="K1652" i="14"/>
  <c r="L1652" i="14" s="1"/>
  <c r="I1653" i="14" s="1"/>
  <c r="J1816" i="13" a="1"/>
  <c r="J1816" i="13" s="1"/>
  <c r="N1817" i="13"/>
  <c r="N1816" i="14"/>
  <c r="J1815" i="14" a="1"/>
  <c r="J1815" i="14" s="1"/>
  <c r="M1819" i="13"/>
  <c r="M1820" i="14"/>
  <c r="K1630" i="13" l="1"/>
  <c r="L1630" i="13" s="1"/>
  <c r="I1631" i="13" s="1"/>
  <c r="K1653" i="14"/>
  <c r="L1653" i="14" s="1"/>
  <c r="I1654" i="14" s="1"/>
  <c r="M1821" i="14"/>
  <c r="J1816" i="14" a="1"/>
  <c r="J1816" i="14" s="1"/>
  <c r="N1817" i="14"/>
  <c r="N1818" i="13"/>
  <c r="J1817" i="13" a="1"/>
  <c r="J1817" i="13" s="1"/>
  <c r="M1820" i="13"/>
  <c r="K1631" i="13" l="1"/>
  <c r="L1631" i="13" s="1"/>
  <c r="I1632" i="13" s="1"/>
  <c r="K1654" i="14"/>
  <c r="L1654" i="14" s="1"/>
  <c r="I1655" i="14" s="1"/>
  <c r="M1821" i="13"/>
  <c r="J1817" i="14" a="1"/>
  <c r="J1817" i="14" s="1"/>
  <c r="N1818" i="14"/>
  <c r="J1818" i="13" a="1"/>
  <c r="J1818" i="13" s="1"/>
  <c r="N1819" i="13"/>
  <c r="M1822" i="14"/>
  <c r="K1632" i="13" l="1"/>
  <c r="L1632" i="13" s="1"/>
  <c r="I1633" i="13" s="1"/>
  <c r="K1655" i="14"/>
  <c r="L1655" i="14" s="1"/>
  <c r="I1656" i="14" s="1"/>
  <c r="J1819" i="13" a="1"/>
  <c r="J1819" i="13" s="1"/>
  <c r="N1820" i="13"/>
  <c r="M1823" i="14"/>
  <c r="M1822" i="13"/>
  <c r="J1818" i="14" a="1"/>
  <c r="J1818" i="14" s="1"/>
  <c r="N1819" i="14"/>
  <c r="K1633" i="13" l="1"/>
  <c r="L1633" i="13" s="1"/>
  <c r="I1634" i="13" s="1"/>
  <c r="K1656" i="14"/>
  <c r="L1656" i="14" s="1"/>
  <c r="I1657" i="14" s="1"/>
  <c r="N1820" i="14"/>
  <c r="J1819" i="14" a="1"/>
  <c r="J1819" i="14" s="1"/>
  <c r="M1824" i="14"/>
  <c r="J1820" i="13" a="1"/>
  <c r="J1820" i="13" s="1"/>
  <c r="N1821" i="13"/>
  <c r="M1823" i="13"/>
  <c r="K1634" i="13" l="1"/>
  <c r="L1634" i="13" s="1"/>
  <c r="I1635" i="13" s="1"/>
  <c r="K1657" i="14"/>
  <c r="L1657" i="14" s="1"/>
  <c r="I1658" i="14" s="1"/>
  <c r="M1824" i="13"/>
  <c r="M1825" i="14"/>
  <c r="N1822" i="13"/>
  <c r="J1821" i="13" a="1"/>
  <c r="J1821" i="13" s="1"/>
  <c r="J1820" i="14" a="1"/>
  <c r="J1820" i="14" s="1"/>
  <c r="N1821" i="14"/>
  <c r="K1635" i="13" l="1"/>
  <c r="L1635" i="13" s="1"/>
  <c r="I1636" i="13" s="1"/>
  <c r="K1658" i="14"/>
  <c r="L1658" i="14" s="1"/>
  <c r="I1659" i="14" s="1"/>
  <c r="J1821" i="14" a="1"/>
  <c r="J1821" i="14" s="1"/>
  <c r="N1822" i="14"/>
  <c r="M1826" i="14"/>
  <c r="M1825" i="13"/>
  <c r="J1822" i="13" a="1"/>
  <c r="J1822" i="13" s="1"/>
  <c r="N1823" i="13"/>
  <c r="K1636" i="13" l="1"/>
  <c r="L1636" i="13" s="1"/>
  <c r="I1637" i="13" s="1"/>
  <c r="K1659" i="14"/>
  <c r="L1659" i="14" s="1"/>
  <c r="I1660" i="14" s="1"/>
  <c r="J1823" i="13" a="1"/>
  <c r="J1823" i="13" s="1"/>
  <c r="N1824" i="13"/>
  <c r="M1827" i="14"/>
  <c r="J1822" i="14" a="1"/>
  <c r="J1822" i="14" s="1"/>
  <c r="N1823" i="14"/>
  <c r="M1826" i="13"/>
  <c r="K1637" i="13" l="1"/>
  <c r="L1637" i="13" s="1"/>
  <c r="I1638" i="13" s="1"/>
  <c r="K1660" i="14"/>
  <c r="L1660" i="14" s="1"/>
  <c r="I1661" i="14" s="1"/>
  <c r="M1827" i="13"/>
  <c r="M1828" i="14"/>
  <c r="N1824" i="14"/>
  <c r="J1823" i="14" a="1"/>
  <c r="J1823" i="14" s="1"/>
  <c r="J1824" i="13" a="1"/>
  <c r="J1824" i="13" s="1"/>
  <c r="N1825" i="13"/>
  <c r="K1638" i="13" l="1"/>
  <c r="L1638" i="13" s="1"/>
  <c r="I1639" i="13" s="1"/>
  <c r="K1661" i="14"/>
  <c r="L1661" i="14" s="1"/>
  <c r="I1662" i="14" s="1"/>
  <c r="M1829" i="14"/>
  <c r="N1826" i="13"/>
  <c r="J1825" i="13" a="1"/>
  <c r="J1825" i="13" s="1"/>
  <c r="J1824" i="14" a="1"/>
  <c r="J1824" i="14" s="1"/>
  <c r="N1825" i="14"/>
  <c r="M1828" i="13"/>
  <c r="K1639" i="13" l="1"/>
  <c r="L1639" i="13" s="1"/>
  <c r="I1640" i="13" s="1"/>
  <c r="K1662" i="14"/>
  <c r="L1662" i="14" s="1"/>
  <c r="I1663" i="14" s="1"/>
  <c r="J1826" i="13" a="1"/>
  <c r="J1826" i="13" s="1"/>
  <c r="N1827" i="13"/>
  <c r="M1829" i="13"/>
  <c r="J1825" i="14" a="1"/>
  <c r="J1825" i="14" s="1"/>
  <c r="N1826" i="14"/>
  <c r="M1830" i="14"/>
  <c r="K1640" i="13" l="1"/>
  <c r="L1640" i="13" s="1"/>
  <c r="I1641" i="13" s="1"/>
  <c r="K1663" i="14"/>
  <c r="L1663" i="14" s="1"/>
  <c r="I1664" i="14" s="1"/>
  <c r="J1826" i="14" a="1"/>
  <c r="J1826" i="14" s="1"/>
  <c r="N1827" i="14"/>
  <c r="M1831" i="14"/>
  <c r="M1830" i="13"/>
  <c r="J1827" i="13" a="1"/>
  <c r="J1827" i="13" s="1"/>
  <c r="N1828" i="13"/>
  <c r="K1641" i="13" l="1"/>
  <c r="L1641" i="13" s="1"/>
  <c r="I1642" i="13" s="1"/>
  <c r="K1664" i="14"/>
  <c r="L1664" i="14" s="1"/>
  <c r="I1665" i="14" s="1"/>
  <c r="M1832" i="14"/>
  <c r="N1828" i="14"/>
  <c r="J1827" i="14" a="1"/>
  <c r="J1827" i="14" s="1"/>
  <c r="J1828" i="13" a="1"/>
  <c r="J1828" i="13" s="1"/>
  <c r="N1829" i="13"/>
  <c r="M1831" i="13"/>
  <c r="K1642" i="13" l="1"/>
  <c r="L1642" i="13" s="1"/>
  <c r="I1643" i="13" s="1"/>
  <c r="K1665" i="14"/>
  <c r="L1665" i="14" s="1"/>
  <c r="I1666" i="14" s="1"/>
  <c r="J1828" i="14" a="1"/>
  <c r="J1828" i="14" s="1"/>
  <c r="N1829" i="14"/>
  <c r="N1830" i="13"/>
  <c r="J1829" i="13" a="1"/>
  <c r="J1829" i="13" s="1"/>
  <c r="M1832" i="13"/>
  <c r="M1833" i="14"/>
  <c r="K1643" i="13" l="1"/>
  <c r="L1643" i="13" s="1"/>
  <c r="I1644" i="13" s="1"/>
  <c r="K1666" i="14"/>
  <c r="L1666" i="14" s="1"/>
  <c r="I1667" i="14" s="1"/>
  <c r="M1834" i="14"/>
  <c r="J1830" i="13" a="1"/>
  <c r="J1830" i="13" s="1"/>
  <c r="N1831" i="13"/>
  <c r="J1829" i="14" a="1"/>
  <c r="J1829" i="14" s="1"/>
  <c r="N1830" i="14"/>
  <c r="M1833" i="13"/>
  <c r="K1644" i="13" l="1"/>
  <c r="L1644" i="13" s="1"/>
  <c r="I1645" i="13" s="1"/>
  <c r="K1667" i="14"/>
  <c r="L1667" i="14" s="1"/>
  <c r="I1668" i="14" s="1"/>
  <c r="J1831" i="13" a="1"/>
  <c r="J1831" i="13" s="1"/>
  <c r="N1832" i="13"/>
  <c r="J1830" i="14" a="1"/>
  <c r="J1830" i="14" s="1"/>
  <c r="N1831" i="14"/>
  <c r="M1835" i="14"/>
  <c r="M1834" i="13"/>
  <c r="K1645" i="13" l="1"/>
  <c r="L1645" i="13" s="1"/>
  <c r="I1646" i="13" s="1"/>
  <c r="K1668" i="14"/>
  <c r="L1668" i="14" s="1"/>
  <c r="I1669" i="14" s="1"/>
  <c r="N1832" i="14"/>
  <c r="J1831" i="14" a="1"/>
  <c r="J1831" i="14" s="1"/>
  <c r="M1835" i="13"/>
  <c r="J1832" i="13" a="1"/>
  <c r="J1832" i="13" s="1"/>
  <c r="N1833" i="13"/>
  <c r="M1836" i="14"/>
  <c r="K1646" i="13" l="1"/>
  <c r="L1646" i="13" s="1"/>
  <c r="I1647" i="13" s="1"/>
  <c r="K1669" i="14"/>
  <c r="L1669" i="14" s="1"/>
  <c r="I1670" i="14" s="1"/>
  <c r="N1834" i="13"/>
  <c r="J1833" i="13" a="1"/>
  <c r="J1833" i="13" s="1"/>
  <c r="M1837" i="14"/>
  <c r="M1836" i="13"/>
  <c r="J1832" i="14" a="1"/>
  <c r="J1832" i="14" s="1"/>
  <c r="N1833" i="14"/>
  <c r="K1647" i="13" l="1"/>
  <c r="L1647" i="13" s="1"/>
  <c r="I1648" i="13" s="1"/>
  <c r="K1670" i="14"/>
  <c r="L1670" i="14" s="1"/>
  <c r="I1671" i="14" s="1"/>
  <c r="M1838" i="14"/>
  <c r="J1833" i="14" a="1"/>
  <c r="J1833" i="14" s="1"/>
  <c r="N1834" i="14"/>
  <c r="M1837" i="13"/>
  <c r="J1834" i="13" a="1"/>
  <c r="J1834" i="13" s="1"/>
  <c r="N1835" i="13"/>
  <c r="K1648" i="13" l="1"/>
  <c r="L1648" i="13" s="1"/>
  <c r="I1649" i="13" s="1"/>
  <c r="K1671" i="14"/>
  <c r="L1671" i="14" s="1"/>
  <c r="I1672" i="14" s="1"/>
  <c r="J1834" i="14" a="1"/>
  <c r="J1834" i="14" s="1"/>
  <c r="N1835" i="14"/>
  <c r="J1835" i="13" a="1"/>
  <c r="J1835" i="13" s="1"/>
  <c r="N1836" i="13"/>
  <c r="M1839" i="14"/>
  <c r="M1838" i="13"/>
  <c r="K1649" i="13" l="1"/>
  <c r="L1649" i="13" s="1"/>
  <c r="I1650" i="13" s="1"/>
  <c r="K1672" i="14"/>
  <c r="L1672" i="14" s="1"/>
  <c r="I1673" i="14" s="1"/>
  <c r="M1839" i="13"/>
  <c r="N1836" i="14"/>
  <c r="J1835" i="14" a="1"/>
  <c r="J1835" i="14" s="1"/>
  <c r="J1836" i="13" a="1"/>
  <c r="J1836" i="13" s="1"/>
  <c r="N1837" i="13"/>
  <c r="M1840" i="14"/>
  <c r="K1650" i="13" l="1"/>
  <c r="L1650" i="13" s="1"/>
  <c r="I1651" i="13" s="1"/>
  <c r="K1673" i="14"/>
  <c r="L1673" i="14" s="1"/>
  <c r="I1674" i="14" s="1"/>
  <c r="M1841" i="14"/>
  <c r="J1836" i="14" a="1"/>
  <c r="J1836" i="14" s="1"/>
  <c r="N1837" i="14"/>
  <c r="N1838" i="13"/>
  <c r="J1837" i="13" a="1"/>
  <c r="J1837" i="13" s="1"/>
  <c r="M1840" i="13"/>
  <c r="K1651" i="13" l="1"/>
  <c r="L1651" i="13" s="1"/>
  <c r="I1652" i="13" s="1"/>
  <c r="K1674" i="14"/>
  <c r="L1674" i="14" s="1"/>
  <c r="I1675" i="14" s="1"/>
  <c r="J1837" i="14" a="1"/>
  <c r="J1837" i="14" s="1"/>
  <c r="N1838" i="14"/>
  <c r="M1841" i="13"/>
  <c r="J1838" i="13" a="1"/>
  <c r="J1838" i="13" s="1"/>
  <c r="N1839" i="13"/>
  <c r="M1842" i="14"/>
  <c r="K1652" i="13" l="1"/>
  <c r="L1652" i="13" s="1"/>
  <c r="I1653" i="13" s="1"/>
  <c r="K1675" i="14"/>
  <c r="L1675" i="14" s="1"/>
  <c r="I1676" i="14" s="1"/>
  <c r="M1843" i="14"/>
  <c r="M1842" i="13"/>
  <c r="J1839" i="13" a="1"/>
  <c r="J1839" i="13" s="1"/>
  <c r="N1840" i="13"/>
  <c r="J1838" i="14" a="1"/>
  <c r="J1838" i="14" s="1"/>
  <c r="N1839" i="14"/>
  <c r="K1653" i="13" l="1"/>
  <c r="L1653" i="13" s="1"/>
  <c r="I1654" i="13" s="1"/>
  <c r="K1676" i="14"/>
  <c r="L1676" i="14" s="1"/>
  <c r="I1677" i="14" s="1"/>
  <c r="M1843" i="13"/>
  <c r="J1840" i="13" a="1"/>
  <c r="J1840" i="13" s="1"/>
  <c r="N1841" i="13"/>
  <c r="N1840" i="14"/>
  <c r="J1839" i="14" a="1"/>
  <c r="J1839" i="14" s="1"/>
  <c r="M1844" i="14"/>
  <c r="K1654" i="13" l="1"/>
  <c r="L1654" i="13" s="1"/>
  <c r="I1655" i="13" s="1"/>
  <c r="K1677" i="14"/>
  <c r="L1677" i="14" s="1"/>
  <c r="I1678" i="14" s="1"/>
  <c r="N1842" i="13"/>
  <c r="J1841" i="13" a="1"/>
  <c r="J1841" i="13" s="1"/>
  <c r="M1845" i="14"/>
  <c r="J1840" i="14" a="1"/>
  <c r="J1840" i="14" s="1"/>
  <c r="N1841" i="14"/>
  <c r="M1844" i="13"/>
  <c r="K1655" i="13" l="1"/>
  <c r="L1655" i="13" s="1"/>
  <c r="I1656" i="13" s="1"/>
  <c r="K1678" i="14"/>
  <c r="L1678" i="14" s="1"/>
  <c r="I1679" i="14" s="1"/>
  <c r="J1841" i="14" a="1"/>
  <c r="J1841" i="14" s="1"/>
  <c r="N1842" i="14"/>
  <c r="M1845" i="13"/>
  <c r="M1846" i="14"/>
  <c r="J1842" i="13" a="1"/>
  <c r="J1842" i="13" s="1"/>
  <c r="N1843" i="13"/>
  <c r="K1656" i="13" l="1"/>
  <c r="L1656" i="13" s="1"/>
  <c r="I1657" i="13" s="1"/>
  <c r="K1679" i="14"/>
  <c r="L1679" i="14" s="1"/>
  <c r="I1680" i="14" s="1"/>
  <c r="J1843" i="13" a="1"/>
  <c r="J1843" i="13" s="1"/>
  <c r="N1844" i="13"/>
  <c r="M1846" i="13"/>
  <c r="M1847" i="14"/>
  <c r="J1842" i="14" a="1"/>
  <c r="J1842" i="14" s="1"/>
  <c r="N1843" i="14"/>
  <c r="K1657" i="13" l="1"/>
  <c r="L1657" i="13" s="1"/>
  <c r="I1658" i="13" s="1"/>
  <c r="K1680" i="14"/>
  <c r="L1680" i="14" s="1"/>
  <c r="I1681" i="14" s="1"/>
  <c r="M1847" i="13"/>
  <c r="N1844" i="14"/>
  <c r="J1843" i="14" a="1"/>
  <c r="J1843" i="14" s="1"/>
  <c r="J1844" i="13" a="1"/>
  <c r="J1844" i="13" s="1"/>
  <c r="N1845" i="13"/>
  <c r="M1848" i="14"/>
  <c r="K1658" i="13" l="1"/>
  <c r="L1658" i="13" s="1"/>
  <c r="I1659" i="13" s="1"/>
  <c r="K1681" i="14"/>
  <c r="L1681" i="14" s="1"/>
  <c r="I1682" i="14" s="1"/>
  <c r="M1849" i="14"/>
  <c r="J1844" i="14" a="1"/>
  <c r="J1844" i="14" s="1"/>
  <c r="N1845" i="14"/>
  <c r="N1846" i="13"/>
  <c r="J1845" i="13" a="1"/>
  <c r="J1845" i="13" s="1"/>
  <c r="M1848" i="13"/>
  <c r="K1659" i="13" l="1"/>
  <c r="L1659" i="13" s="1"/>
  <c r="I1660" i="13" s="1"/>
  <c r="K1682" i="14"/>
  <c r="L1682" i="14" s="1"/>
  <c r="I1683" i="14" s="1"/>
  <c r="J1845" i="14" a="1"/>
  <c r="J1845" i="14" s="1"/>
  <c r="N1846" i="14"/>
  <c r="M1849" i="13"/>
  <c r="J1846" i="13" a="1"/>
  <c r="J1846" i="13" s="1"/>
  <c r="N1847" i="13"/>
  <c r="M1850" i="14"/>
  <c r="K1660" i="13" l="1"/>
  <c r="L1660" i="13" s="1"/>
  <c r="I1661" i="13" s="1"/>
  <c r="K1683" i="14"/>
  <c r="L1683" i="14" s="1"/>
  <c r="I1684" i="14" s="1"/>
  <c r="M1851" i="14"/>
  <c r="M1850" i="13"/>
  <c r="J1847" i="13" a="1"/>
  <c r="J1847" i="13" s="1"/>
  <c r="N1848" i="13"/>
  <c r="J1846" i="14" a="1"/>
  <c r="J1846" i="14" s="1"/>
  <c r="N1847" i="14"/>
  <c r="K1661" i="13" l="1"/>
  <c r="L1661" i="13" s="1"/>
  <c r="I1662" i="13" s="1"/>
  <c r="M1852" i="14"/>
  <c r="K1684" i="14"/>
  <c r="L1684" i="14" s="1"/>
  <c r="I1685" i="14" s="1"/>
  <c r="M1851" i="13"/>
  <c r="N1848" i="14"/>
  <c r="J1847" i="14" a="1"/>
  <c r="J1847" i="14" s="1"/>
  <c r="J1848" i="13" a="1"/>
  <c r="J1848" i="13" s="1"/>
  <c r="N1849" i="13"/>
  <c r="K1662" i="13" l="1"/>
  <c r="L1662" i="13" s="1"/>
  <c r="I1663" i="13" s="1"/>
  <c r="K1685" i="14"/>
  <c r="L1685" i="14" s="1"/>
  <c r="I1686" i="14" s="1"/>
  <c r="M1852" i="13"/>
  <c r="M1853" i="14"/>
  <c r="N1850" i="13"/>
  <c r="J1849" i="13" a="1"/>
  <c r="J1849" i="13" s="1"/>
  <c r="J1848" i="14" a="1"/>
  <c r="J1848" i="14" s="1"/>
  <c r="N1849" i="14"/>
  <c r="K1663" i="13" l="1"/>
  <c r="L1663" i="13" s="1"/>
  <c r="I1664" i="13" s="1"/>
  <c r="K1686" i="14"/>
  <c r="L1686" i="14" s="1"/>
  <c r="I1687" i="14" s="1"/>
  <c r="M1854" i="14"/>
  <c r="M1853" i="13"/>
  <c r="J1849" i="14" a="1"/>
  <c r="J1849" i="14" s="1"/>
  <c r="N1850" i="14"/>
  <c r="J1850" i="13" a="1"/>
  <c r="J1850" i="13" s="1"/>
  <c r="N1851" i="13"/>
  <c r="K1664" i="13" l="1"/>
  <c r="L1664" i="13" s="1"/>
  <c r="I1665" i="13" s="1"/>
  <c r="K1687" i="14"/>
  <c r="L1687" i="14" s="1"/>
  <c r="I1688" i="14" s="1"/>
  <c r="J1851" i="13" a="1"/>
  <c r="J1851" i="13" s="1"/>
  <c r="N1852" i="13"/>
  <c r="M1854" i="13"/>
  <c r="J1850" i="14" a="1"/>
  <c r="J1850" i="14" s="1"/>
  <c r="N1851" i="14"/>
  <c r="M1855" i="14"/>
  <c r="K1665" i="13" l="1"/>
  <c r="L1665" i="13" s="1"/>
  <c r="I1666" i="13" s="1"/>
  <c r="K1688" i="14"/>
  <c r="L1688" i="14" s="1"/>
  <c r="I1689" i="14" s="1"/>
  <c r="N1852" i="14"/>
  <c r="J1851" i="14" a="1"/>
  <c r="J1851" i="14" s="1"/>
  <c r="J1852" i="13" a="1"/>
  <c r="J1852" i="13" s="1"/>
  <c r="N1853" i="13"/>
  <c r="M1856" i="14"/>
  <c r="M1855" i="13"/>
  <c r="K1666" i="13" l="1"/>
  <c r="L1666" i="13" s="1"/>
  <c r="I1667" i="13" s="1"/>
  <c r="K1689" i="14"/>
  <c r="L1689" i="14" s="1"/>
  <c r="I1690" i="14" s="1"/>
  <c r="N1854" i="13"/>
  <c r="J1853" i="13" a="1"/>
  <c r="J1853" i="13" s="1"/>
  <c r="M1856" i="13"/>
  <c r="M1857" i="14"/>
  <c r="J1852" i="14" a="1"/>
  <c r="J1852" i="14" s="1"/>
  <c r="N1853" i="14"/>
  <c r="K1667" i="13" l="1"/>
  <c r="L1667" i="13" s="1"/>
  <c r="I1668" i="13" s="1"/>
  <c r="K1690" i="14"/>
  <c r="L1690" i="14" s="1"/>
  <c r="I1691" i="14" s="1"/>
  <c r="J1853" i="14" a="1"/>
  <c r="J1853" i="14" s="1"/>
  <c r="N1854" i="14"/>
  <c r="M1858" i="14"/>
  <c r="M1857" i="13"/>
  <c r="J1854" i="13" a="1"/>
  <c r="J1854" i="13" s="1"/>
  <c r="N1855" i="13"/>
  <c r="K1668" i="13" l="1"/>
  <c r="L1668" i="13" s="1"/>
  <c r="I1669" i="13" s="1"/>
  <c r="K1691" i="14"/>
  <c r="L1691" i="14" s="1"/>
  <c r="I1692" i="14" s="1"/>
  <c r="J1855" i="13" a="1"/>
  <c r="J1855" i="13" s="1"/>
  <c r="N1856" i="13"/>
  <c r="M1859" i="14"/>
  <c r="J1854" i="14" a="1"/>
  <c r="J1854" i="14" s="1"/>
  <c r="N1855" i="14"/>
  <c r="M1858" i="13"/>
  <c r="K1669" i="13" l="1"/>
  <c r="L1669" i="13" s="1"/>
  <c r="I1670" i="13" s="1"/>
  <c r="K1692" i="14"/>
  <c r="L1692" i="14" s="1"/>
  <c r="I1693" i="14" s="1"/>
  <c r="M1859" i="13"/>
  <c r="M1860" i="14"/>
  <c r="J1856" i="13" a="1"/>
  <c r="J1856" i="13" s="1"/>
  <c r="N1857" i="13"/>
  <c r="N1856" i="14"/>
  <c r="J1855" i="14" a="1"/>
  <c r="J1855" i="14" s="1"/>
  <c r="K1670" i="13" l="1"/>
  <c r="L1670" i="13" s="1"/>
  <c r="I1671" i="13" s="1"/>
  <c r="K1693" i="14"/>
  <c r="L1693" i="14" s="1"/>
  <c r="I1694" i="14" s="1"/>
  <c r="J1856" i="14" a="1"/>
  <c r="J1856" i="14" s="1"/>
  <c r="N1857" i="14"/>
  <c r="M1861" i="14"/>
  <c r="N1858" i="13"/>
  <c r="J1857" i="13" a="1"/>
  <c r="J1857" i="13" s="1"/>
  <c r="M1860" i="13"/>
  <c r="K1671" i="13" l="1"/>
  <c r="L1671" i="13" s="1"/>
  <c r="I1672" i="13" s="1"/>
  <c r="K1694" i="14"/>
  <c r="L1694" i="14" s="1"/>
  <c r="I1695" i="14" s="1"/>
  <c r="J1858" i="13" a="1"/>
  <c r="J1858" i="13" s="1"/>
  <c r="N1859" i="13"/>
  <c r="M1861" i="13"/>
  <c r="M1862" i="14"/>
  <c r="J1857" i="14" a="1"/>
  <c r="J1857" i="14" s="1"/>
  <c r="N1858" i="14"/>
  <c r="K1672" i="13" l="1"/>
  <c r="L1672" i="13" s="1"/>
  <c r="I1673" i="13" s="1"/>
  <c r="K1695" i="14"/>
  <c r="L1695" i="14" s="1"/>
  <c r="I1696" i="14" s="1"/>
  <c r="M1862" i="13"/>
  <c r="J1858" i="14" a="1"/>
  <c r="J1858" i="14" s="1"/>
  <c r="N1859" i="14"/>
  <c r="M1863" i="14"/>
  <c r="J1859" i="13" a="1"/>
  <c r="J1859" i="13" s="1"/>
  <c r="N1860" i="13"/>
  <c r="K1673" i="13" l="1"/>
  <c r="L1673" i="13" s="1"/>
  <c r="I1674" i="13" s="1"/>
  <c r="K1696" i="14"/>
  <c r="L1696" i="14" s="1"/>
  <c r="I1697" i="14" s="1"/>
  <c r="J1860" i="13" a="1"/>
  <c r="J1860" i="13" s="1"/>
  <c r="N1861" i="13"/>
  <c r="N1860" i="14"/>
  <c r="J1859" i="14" a="1"/>
  <c r="J1859" i="14" s="1"/>
  <c r="M1864" i="14"/>
  <c r="M1863" i="13"/>
  <c r="K1674" i="13" l="1"/>
  <c r="L1674" i="13" s="1"/>
  <c r="I1675" i="13" s="1"/>
  <c r="K1697" i="14"/>
  <c r="L1697" i="14" s="1"/>
  <c r="I1698" i="14" s="1"/>
  <c r="M1864" i="13"/>
  <c r="J1860" i="14" a="1"/>
  <c r="J1860" i="14" s="1"/>
  <c r="N1861" i="14"/>
  <c r="N1862" i="13"/>
  <c r="J1861" i="13" a="1"/>
  <c r="J1861" i="13" s="1"/>
  <c r="M1865" i="14"/>
  <c r="K1675" i="13" l="1"/>
  <c r="L1675" i="13" s="1"/>
  <c r="I1676" i="13" s="1"/>
  <c r="K1698" i="14"/>
  <c r="L1698" i="14" s="1"/>
  <c r="I1699" i="14" s="1"/>
  <c r="J1861" i="14" a="1"/>
  <c r="J1861" i="14" s="1"/>
  <c r="N1862" i="14"/>
  <c r="M1866" i="14"/>
  <c r="M1865" i="13"/>
  <c r="J1862" i="13" a="1"/>
  <c r="J1862" i="13" s="1"/>
  <c r="N1863" i="13"/>
  <c r="K1676" i="13" l="1"/>
  <c r="L1676" i="13" s="1"/>
  <c r="I1677" i="13" s="1"/>
  <c r="M1866" i="13"/>
  <c r="J1862" i="14" a="1"/>
  <c r="J1862" i="14" s="1"/>
  <c r="N1863" i="14"/>
  <c r="J1863" i="13" a="1"/>
  <c r="J1863" i="13" s="1"/>
  <c r="N1864" i="13"/>
  <c r="M1867" i="14"/>
  <c r="K1699" i="14"/>
  <c r="L1699" i="14" s="1"/>
  <c r="I1700" i="14" s="1"/>
  <c r="K1677" i="13" l="1"/>
  <c r="L1677" i="13" s="1"/>
  <c r="I1678" i="13" s="1"/>
  <c r="K1700" i="14"/>
  <c r="L1700" i="14" s="1"/>
  <c r="I1701" i="14" s="1"/>
  <c r="J1864" i="13" a="1"/>
  <c r="J1864" i="13" s="1"/>
  <c r="N1865" i="13"/>
  <c r="M1867" i="13"/>
  <c r="N1864" i="14"/>
  <c r="J1863" i="14" a="1"/>
  <c r="J1863" i="14" s="1"/>
  <c r="M1868" i="14"/>
  <c r="K1678" i="13" l="1"/>
  <c r="L1678" i="13" s="1"/>
  <c r="I1679" i="13" s="1"/>
  <c r="K1701" i="14"/>
  <c r="L1701" i="14" s="1"/>
  <c r="I1702" i="14" s="1"/>
  <c r="J1864" i="14" a="1"/>
  <c r="J1864" i="14" s="1"/>
  <c r="N1865" i="14"/>
  <c r="M1869" i="14"/>
  <c r="M1868" i="13"/>
  <c r="N1866" i="13"/>
  <c r="J1865" i="13" a="1"/>
  <c r="J1865" i="13" s="1"/>
  <c r="K1679" i="13" l="1"/>
  <c r="L1679" i="13" s="1"/>
  <c r="I1680" i="13" s="1"/>
  <c r="K1702" i="14"/>
  <c r="L1702" i="14" s="1"/>
  <c r="I1703" i="14" s="1"/>
  <c r="J1866" i="13" a="1"/>
  <c r="J1866" i="13" s="1"/>
  <c r="N1867" i="13"/>
  <c r="M1870" i="14"/>
  <c r="M1869" i="13"/>
  <c r="J1865" i="14" a="1"/>
  <c r="J1865" i="14" s="1"/>
  <c r="N1866" i="14"/>
  <c r="K1680" i="13" l="1"/>
  <c r="L1680" i="13" s="1"/>
  <c r="I1681" i="13" s="1"/>
  <c r="K1703" i="14"/>
  <c r="L1703" i="14" s="1"/>
  <c r="I1704" i="14" s="1"/>
  <c r="J1866" i="14" a="1"/>
  <c r="J1866" i="14" s="1"/>
  <c r="N1867" i="14"/>
  <c r="M1871" i="14"/>
  <c r="J1867" i="13" a="1"/>
  <c r="J1867" i="13" s="1"/>
  <c r="N1868" i="13"/>
  <c r="M1870" i="13"/>
  <c r="K1681" i="13" l="1"/>
  <c r="L1681" i="13" s="1"/>
  <c r="I1682" i="13" s="1"/>
  <c r="K1704" i="14"/>
  <c r="L1704" i="14" s="1"/>
  <c r="I1705" i="14" s="1"/>
  <c r="M1871" i="13"/>
  <c r="M1872" i="14"/>
  <c r="J1868" i="13" a="1"/>
  <c r="J1868" i="13" s="1"/>
  <c r="N1869" i="13"/>
  <c r="N1868" i="14"/>
  <c r="J1867" i="14" a="1"/>
  <c r="J1867" i="14" s="1"/>
  <c r="K1682" i="13" l="1"/>
  <c r="L1682" i="13" s="1"/>
  <c r="I1683" i="13" s="1"/>
  <c r="K1705" i="14"/>
  <c r="L1705" i="14" s="1"/>
  <c r="I1706" i="14" s="1"/>
  <c r="J1868" i="14" a="1"/>
  <c r="J1868" i="14" s="1"/>
  <c r="N1869" i="14"/>
  <c r="M1873" i="14"/>
  <c r="N1870" i="13"/>
  <c r="J1869" i="13" a="1"/>
  <c r="J1869" i="13" s="1"/>
  <c r="M1872" i="13"/>
  <c r="K1683" i="13" l="1"/>
  <c r="L1683" i="13" s="1"/>
  <c r="I1684" i="13" s="1"/>
  <c r="K1706" i="14"/>
  <c r="L1706" i="14" s="1"/>
  <c r="I1707" i="14" s="1"/>
  <c r="M1873" i="13"/>
  <c r="M1874" i="14"/>
  <c r="J1869" i="14" a="1"/>
  <c r="J1869" i="14" s="1"/>
  <c r="N1870" i="14"/>
  <c r="J1870" i="13" a="1"/>
  <c r="J1870" i="13" s="1"/>
  <c r="N1871" i="13"/>
  <c r="K1684" i="13" l="1"/>
  <c r="L1684" i="13" s="1"/>
  <c r="I1685" i="13" s="1"/>
  <c r="K1707" i="14"/>
  <c r="L1707" i="14" s="1"/>
  <c r="I1708" i="14" s="1"/>
  <c r="J1871" i="13" a="1"/>
  <c r="J1871" i="13" s="1"/>
  <c r="N1872" i="13"/>
  <c r="M1875" i="14"/>
  <c r="J1870" i="14" a="1"/>
  <c r="J1870" i="14" s="1"/>
  <c r="N1871" i="14"/>
  <c r="M1874" i="13"/>
  <c r="K1685" i="13" l="1"/>
  <c r="L1685" i="13" s="1"/>
  <c r="I1686" i="13" s="1"/>
  <c r="K1708" i="14"/>
  <c r="L1708" i="14" s="1"/>
  <c r="I1709" i="14" s="1"/>
  <c r="M1875" i="13"/>
  <c r="M1876" i="14"/>
  <c r="J1872" i="13" a="1"/>
  <c r="J1872" i="13" s="1"/>
  <c r="N1873" i="13"/>
  <c r="N1872" i="14"/>
  <c r="J1871" i="14" a="1"/>
  <c r="J1871" i="14" s="1"/>
  <c r="K1686" i="13" l="1"/>
  <c r="L1686" i="13" s="1"/>
  <c r="I1687" i="13" s="1"/>
  <c r="K1709" i="14"/>
  <c r="L1709" i="14" s="1"/>
  <c r="I1710" i="14" s="1"/>
  <c r="J1872" i="14" a="1"/>
  <c r="J1872" i="14" s="1"/>
  <c r="N1873" i="14"/>
  <c r="M1877" i="14"/>
  <c r="N1874" i="13"/>
  <c r="J1873" i="13" a="1"/>
  <c r="J1873" i="13" s="1"/>
  <c r="M1876" i="13"/>
  <c r="K1687" i="13" l="1"/>
  <c r="L1687" i="13" s="1"/>
  <c r="I1688" i="13" s="1"/>
  <c r="K1710" i="14"/>
  <c r="L1710" i="14" s="1"/>
  <c r="I1711" i="14" s="1"/>
  <c r="J1874" i="13" a="1"/>
  <c r="J1874" i="13" s="1"/>
  <c r="N1875" i="13"/>
  <c r="M1877" i="13"/>
  <c r="M1878" i="14"/>
  <c r="J1873" i="14" a="1"/>
  <c r="J1873" i="14" s="1"/>
  <c r="N1874" i="14"/>
  <c r="K1688" i="13" l="1"/>
  <c r="L1688" i="13" s="1"/>
  <c r="I1689" i="13" s="1"/>
  <c r="M1878" i="13"/>
  <c r="J1874" i="14" a="1"/>
  <c r="J1874" i="14" s="1"/>
  <c r="N1875" i="14"/>
  <c r="M1879" i="14"/>
  <c r="J1875" i="13" a="1"/>
  <c r="J1875" i="13" s="1"/>
  <c r="N1876" i="13"/>
  <c r="K1711" i="14"/>
  <c r="L1711" i="14" s="1"/>
  <c r="I1712" i="14" s="1"/>
  <c r="K1689" i="13" l="1"/>
  <c r="L1689" i="13" s="1"/>
  <c r="I1690" i="13" s="1"/>
  <c r="M1880" i="14"/>
  <c r="K1712" i="14"/>
  <c r="L1712" i="14" s="1"/>
  <c r="I1713" i="14" s="1"/>
  <c r="M1879" i="13"/>
  <c r="N1876" i="14"/>
  <c r="J1875" i="14" a="1"/>
  <c r="J1875" i="14" s="1"/>
  <c r="J1876" i="13" a="1"/>
  <c r="J1876" i="13" s="1"/>
  <c r="N1877" i="13"/>
  <c r="K1690" i="13" l="1"/>
  <c r="L1690" i="13" s="1"/>
  <c r="I1691" i="13" s="1"/>
  <c r="K1713" i="14"/>
  <c r="L1713" i="14" s="1"/>
  <c r="I1714" i="14" s="1"/>
  <c r="N1878" i="13"/>
  <c r="J1877" i="13" a="1"/>
  <c r="J1877" i="13" s="1"/>
  <c r="M1880" i="13"/>
  <c r="M1881" i="14"/>
  <c r="J1876" i="14" a="1"/>
  <c r="J1876" i="14" s="1"/>
  <c r="N1877" i="14"/>
  <c r="K1691" i="13" l="1"/>
  <c r="L1691" i="13" s="1"/>
  <c r="I1692" i="13" s="1"/>
  <c r="M1882" i="14"/>
  <c r="J1877" i="14" a="1"/>
  <c r="J1877" i="14" s="1"/>
  <c r="N1878" i="14"/>
  <c r="M1881" i="13"/>
  <c r="J1878" i="13" a="1"/>
  <c r="J1878" i="13" s="1"/>
  <c r="N1879" i="13"/>
  <c r="K1714" i="14"/>
  <c r="L1714" i="14" s="1"/>
  <c r="I1715" i="14" s="1"/>
  <c r="K1692" i="13" l="1"/>
  <c r="L1692" i="13" s="1"/>
  <c r="I1693" i="13" s="1"/>
  <c r="K1715" i="14"/>
  <c r="L1715" i="14" s="1"/>
  <c r="I1716" i="14" s="1"/>
  <c r="J1878" i="14" a="1"/>
  <c r="J1878" i="14" s="1"/>
  <c r="N1879" i="14"/>
  <c r="J1879" i="13" a="1"/>
  <c r="J1879" i="13" s="1"/>
  <c r="N1880" i="13"/>
  <c r="M1883" i="14"/>
  <c r="M1882" i="13"/>
  <c r="K1693" i="13" l="1"/>
  <c r="L1693" i="13" s="1"/>
  <c r="I1694" i="13" s="1"/>
  <c r="K1716" i="14"/>
  <c r="L1716" i="14" s="1"/>
  <c r="I1717" i="14" s="1"/>
  <c r="M1884" i="14"/>
  <c r="J1880" i="13" a="1"/>
  <c r="J1880" i="13" s="1"/>
  <c r="N1881" i="13"/>
  <c r="N1880" i="14"/>
  <c r="J1879" i="14" a="1"/>
  <c r="J1879" i="14" s="1"/>
  <c r="M1883" i="13"/>
  <c r="K1694" i="13" l="1"/>
  <c r="L1694" i="13" s="1"/>
  <c r="I1695" i="13" s="1"/>
  <c r="K1717" i="14"/>
  <c r="L1717" i="14" s="1"/>
  <c r="I1718" i="14" s="1"/>
  <c r="N1882" i="13"/>
  <c r="J1881" i="13" a="1"/>
  <c r="J1881" i="13" s="1"/>
  <c r="M1884" i="13"/>
  <c r="J1880" i="14" a="1"/>
  <c r="J1880" i="14" s="1"/>
  <c r="N1881" i="14"/>
  <c r="M1885" i="14"/>
  <c r="K1695" i="13" l="1"/>
  <c r="L1695" i="13" s="1"/>
  <c r="I1696" i="13" s="1"/>
  <c r="K1718" i="14"/>
  <c r="L1718" i="14" s="1"/>
  <c r="I1719" i="14" s="1"/>
  <c r="J1881" i="14" a="1"/>
  <c r="J1881" i="14" s="1"/>
  <c r="N1882" i="14"/>
  <c r="M1886" i="14"/>
  <c r="J1882" i="13" a="1"/>
  <c r="J1882" i="13" s="1"/>
  <c r="N1883" i="13"/>
  <c r="M1885" i="13"/>
  <c r="K1696" i="13" l="1"/>
  <c r="L1696" i="13" s="1"/>
  <c r="I1697" i="13" s="1"/>
  <c r="K1719" i="14"/>
  <c r="L1719" i="14" s="1"/>
  <c r="I1720" i="14" s="1"/>
  <c r="J1882" i="14" a="1"/>
  <c r="J1882" i="14" s="1"/>
  <c r="N1883" i="14"/>
  <c r="M1887" i="14"/>
  <c r="M1886" i="13"/>
  <c r="J1883" i="13" a="1"/>
  <c r="J1883" i="13" s="1"/>
  <c r="N1884" i="13"/>
  <c r="K1697" i="13" l="1"/>
  <c r="L1697" i="13" s="1"/>
  <c r="I1698" i="13" s="1"/>
  <c r="K1720" i="14"/>
  <c r="L1720" i="14" s="1"/>
  <c r="I1721" i="14" s="1"/>
  <c r="M1888" i="14"/>
  <c r="J1884" i="13" a="1"/>
  <c r="J1884" i="13" s="1"/>
  <c r="N1885" i="13"/>
  <c r="N1884" i="14"/>
  <c r="J1883" i="14" a="1"/>
  <c r="J1883" i="14" s="1"/>
  <c r="M1887" i="13"/>
  <c r="K1698" i="13" l="1"/>
  <c r="L1698" i="13" s="1"/>
  <c r="I1699" i="13" s="1"/>
  <c r="N1886" i="13"/>
  <c r="J1885" i="13" a="1"/>
  <c r="J1885" i="13" s="1"/>
  <c r="K1721" i="14"/>
  <c r="L1721" i="14" s="1"/>
  <c r="I1722" i="14" s="1"/>
  <c r="M1888" i="13"/>
  <c r="J1884" i="14" a="1"/>
  <c r="J1884" i="14" s="1"/>
  <c r="N1885" i="14"/>
  <c r="M1889" i="14"/>
  <c r="K1699" i="13" l="1"/>
  <c r="L1699" i="13" s="1"/>
  <c r="I1700" i="13" s="1"/>
  <c r="K1722" i="14"/>
  <c r="L1722" i="14" s="1"/>
  <c r="I1723" i="14" s="1"/>
  <c r="J1885" i="14" a="1"/>
  <c r="J1885" i="14" s="1"/>
  <c r="N1886" i="14"/>
  <c r="M1889" i="13"/>
  <c r="J1886" i="13" a="1"/>
  <c r="J1886" i="13" s="1"/>
  <c r="N1887" i="13"/>
  <c r="M1890" i="14"/>
  <c r="K1700" i="13" l="1"/>
  <c r="L1700" i="13" s="1"/>
  <c r="I1701" i="13" s="1"/>
  <c r="K1723" i="14"/>
  <c r="L1723" i="14" s="1"/>
  <c r="I1724" i="14" s="1"/>
  <c r="M1891" i="14"/>
  <c r="M1890" i="13"/>
  <c r="J1886" i="14" a="1"/>
  <c r="J1886" i="14" s="1"/>
  <c r="N1887" i="14"/>
  <c r="J1887" i="13" a="1"/>
  <c r="J1887" i="13" s="1"/>
  <c r="N1888" i="13"/>
  <c r="K1701" i="13" l="1"/>
  <c r="L1701" i="13" s="1"/>
  <c r="I1702" i="13" s="1"/>
  <c r="J1888" i="13" a="1"/>
  <c r="J1888" i="13" s="1"/>
  <c r="N1889" i="13"/>
  <c r="M1891" i="13"/>
  <c r="K1724" i="14"/>
  <c r="L1724" i="14" s="1"/>
  <c r="I1725" i="14" s="1"/>
  <c r="N1888" i="14"/>
  <c r="J1887" i="14" a="1"/>
  <c r="J1887" i="14" s="1"/>
  <c r="M1892" i="14"/>
  <c r="K1702" i="13" l="1"/>
  <c r="L1702" i="13" s="1"/>
  <c r="I1703" i="13" s="1"/>
  <c r="M1893" i="14"/>
  <c r="N1890" i="13"/>
  <c r="J1889" i="13" a="1"/>
  <c r="J1889" i="13" s="1"/>
  <c r="K1725" i="14"/>
  <c r="L1725" i="14" s="1"/>
  <c r="I1726" i="14" s="1"/>
  <c r="J1888" i="14" a="1"/>
  <c r="J1888" i="14" s="1"/>
  <c r="N1889" i="14"/>
  <c r="M1892" i="13"/>
  <c r="K1703" i="13" l="1"/>
  <c r="L1703" i="13" s="1"/>
  <c r="I1704" i="13" s="1"/>
  <c r="J1889" i="14" a="1"/>
  <c r="J1889" i="14" s="1"/>
  <c r="N1890" i="14"/>
  <c r="M1893" i="13"/>
  <c r="K1726" i="14"/>
  <c r="L1726" i="14" s="1"/>
  <c r="I1727" i="14" s="1"/>
  <c r="M1894" i="14"/>
  <c r="J1890" i="13" a="1"/>
  <c r="J1890" i="13" s="1"/>
  <c r="N1891" i="13"/>
  <c r="K1704" i="13" l="1"/>
  <c r="L1704" i="13" s="1"/>
  <c r="I1705" i="13" s="1"/>
  <c r="K1727" i="14"/>
  <c r="L1727" i="14" s="1"/>
  <c r="I1728" i="14" s="1"/>
  <c r="J1890" i="14" a="1"/>
  <c r="J1890" i="14" s="1"/>
  <c r="N1891" i="14"/>
  <c r="J1891" i="13" a="1"/>
  <c r="J1891" i="13" s="1"/>
  <c r="N1892" i="13"/>
  <c r="M1895" i="14"/>
  <c r="M1894" i="13"/>
  <c r="K1705" i="13" l="1"/>
  <c r="L1705" i="13" s="1"/>
  <c r="I1706" i="13" s="1"/>
  <c r="K1728" i="14"/>
  <c r="L1728" i="14" s="1"/>
  <c r="I1729" i="14" s="1"/>
  <c r="N1892" i="14"/>
  <c r="J1891" i="14" a="1"/>
  <c r="J1891" i="14" s="1"/>
  <c r="M1896" i="14"/>
  <c r="J1892" i="13" a="1"/>
  <c r="J1892" i="13" s="1"/>
  <c r="N1893" i="13"/>
  <c r="M1895" i="13"/>
  <c r="K1706" i="13" l="1"/>
  <c r="L1706" i="13" s="1"/>
  <c r="I1707" i="13" s="1"/>
  <c r="K1729" i="14"/>
  <c r="L1729" i="14" s="1"/>
  <c r="I1730" i="14" s="1"/>
  <c r="N1894" i="13"/>
  <c r="J1893" i="13" a="1"/>
  <c r="J1893" i="13" s="1"/>
  <c r="J1892" i="14" a="1"/>
  <c r="J1892" i="14" s="1"/>
  <c r="N1893" i="14"/>
  <c r="M1896" i="13"/>
  <c r="M1897" i="14"/>
  <c r="K1707" i="13" l="1"/>
  <c r="L1707" i="13" s="1"/>
  <c r="I1708" i="13" s="1"/>
  <c r="J1893" i="14" a="1"/>
  <c r="J1893" i="14" s="1"/>
  <c r="N1894" i="14"/>
  <c r="M1898" i="14"/>
  <c r="K1730" i="14"/>
  <c r="L1730" i="14" s="1"/>
  <c r="I1731" i="14" s="1"/>
  <c r="M1897" i="13"/>
  <c r="J1894" i="13" a="1"/>
  <c r="J1894" i="13" s="1"/>
  <c r="N1895" i="13"/>
  <c r="K1708" i="13" l="1"/>
  <c r="L1708" i="13" s="1"/>
  <c r="I1709" i="13" s="1"/>
  <c r="K1731" i="14"/>
  <c r="L1731" i="14" s="1"/>
  <c r="I1732" i="14" s="1"/>
  <c r="J1895" i="13" a="1"/>
  <c r="J1895" i="13" s="1"/>
  <c r="N1896" i="13"/>
  <c r="J1894" i="14" a="1"/>
  <c r="J1894" i="14" s="1"/>
  <c r="N1895" i="14"/>
  <c r="M1899" i="14"/>
  <c r="M1898" i="13"/>
  <c r="K1709" i="13" l="1"/>
  <c r="L1709" i="13" s="1"/>
  <c r="I1710" i="13" s="1"/>
  <c r="K1732" i="14"/>
  <c r="L1732" i="14" s="1"/>
  <c r="I1733" i="14" s="1"/>
  <c r="N1896" i="14"/>
  <c r="J1895" i="14" a="1"/>
  <c r="J1895" i="14" s="1"/>
  <c r="M1899" i="13"/>
  <c r="J1896" i="13" a="1"/>
  <c r="J1896" i="13" s="1"/>
  <c r="N1897" i="13"/>
  <c r="M1900" i="14"/>
  <c r="K1710" i="13" l="1"/>
  <c r="L1710" i="13" s="1"/>
  <c r="I1711" i="13" s="1"/>
  <c r="K1733" i="14"/>
  <c r="L1733" i="14" s="1"/>
  <c r="I1734" i="14" s="1"/>
  <c r="M1901" i="14"/>
  <c r="M1900" i="13"/>
  <c r="J1896" i="14" a="1"/>
  <c r="J1896" i="14" s="1"/>
  <c r="N1897" i="14"/>
  <c r="N1898" i="13"/>
  <c r="J1897" i="13" a="1"/>
  <c r="J1897" i="13" s="1"/>
  <c r="K1711" i="13" l="1"/>
  <c r="L1711" i="13" s="1"/>
  <c r="I1712" i="13" s="1"/>
  <c r="K1734" i="14"/>
  <c r="L1734" i="14" s="1"/>
  <c r="I1735" i="14" s="1"/>
  <c r="M1901" i="13"/>
  <c r="J1898" i="13" a="1"/>
  <c r="J1898" i="13" s="1"/>
  <c r="N1899" i="13"/>
  <c r="J1897" i="14" a="1"/>
  <c r="J1897" i="14" s="1"/>
  <c r="N1898" i="14"/>
  <c r="M1902" i="14"/>
  <c r="K1712" i="13" l="1"/>
  <c r="L1712" i="13" s="1"/>
  <c r="I1713" i="13" s="1"/>
  <c r="K1735" i="14"/>
  <c r="L1735" i="14" s="1"/>
  <c r="I1736" i="14" s="1"/>
  <c r="J1899" i="13" a="1"/>
  <c r="J1899" i="13" s="1"/>
  <c r="N1900" i="13"/>
  <c r="J1898" i="14" a="1"/>
  <c r="J1898" i="14" s="1"/>
  <c r="N1899" i="14"/>
  <c r="M1902" i="13"/>
  <c r="M1903" i="14"/>
  <c r="K1713" i="13" l="1"/>
  <c r="L1713" i="13" s="1"/>
  <c r="I1714" i="13" s="1"/>
  <c r="J1900" i="13" a="1"/>
  <c r="J1900" i="13" s="1"/>
  <c r="N1901" i="13"/>
  <c r="M1903" i="13"/>
  <c r="N1900" i="14"/>
  <c r="J1899" i="14" a="1"/>
  <c r="J1899" i="14" s="1"/>
  <c r="M1904" i="14"/>
  <c r="K1736" i="14"/>
  <c r="L1736" i="14" s="1"/>
  <c r="I1737" i="14" s="1"/>
  <c r="K1714" i="13" l="1"/>
  <c r="L1714" i="13" s="1"/>
  <c r="I1715" i="13" s="1"/>
  <c r="K1737" i="14"/>
  <c r="L1737" i="14" s="1"/>
  <c r="I1738" i="14" s="1"/>
  <c r="N1902" i="13"/>
  <c r="J1901" i="13" a="1"/>
  <c r="J1901" i="13" s="1"/>
  <c r="J1900" i="14" a="1"/>
  <c r="J1900" i="14" s="1"/>
  <c r="N1901" i="14"/>
  <c r="M1905" i="14"/>
  <c r="M1904" i="13"/>
  <c r="K1715" i="13" l="1"/>
  <c r="L1715" i="13" s="1"/>
  <c r="I1716" i="13" s="1"/>
  <c r="K1738" i="14"/>
  <c r="L1738" i="14" s="1"/>
  <c r="I1739" i="14" s="1"/>
  <c r="M1906" i="14"/>
  <c r="M1905" i="13"/>
  <c r="J1901" i="14" a="1"/>
  <c r="J1901" i="14" s="1"/>
  <c r="N1902" i="14"/>
  <c r="J1902" i="13" a="1"/>
  <c r="J1902" i="13" s="1"/>
  <c r="N1903" i="13"/>
  <c r="K1716" i="13" l="1"/>
  <c r="L1716" i="13" s="1"/>
  <c r="I1717" i="13" s="1"/>
  <c r="K1739" i="14"/>
  <c r="L1739" i="14" s="1"/>
  <c r="I1740" i="14" s="1"/>
  <c r="J1902" i="14" a="1"/>
  <c r="J1902" i="14" s="1"/>
  <c r="N1903" i="14"/>
  <c r="M1907" i="14"/>
  <c r="J1903" i="13" a="1"/>
  <c r="J1903" i="13" s="1"/>
  <c r="N1904" i="13"/>
  <c r="M1906" i="13"/>
  <c r="K1717" i="13" l="1"/>
  <c r="L1717" i="13" s="1"/>
  <c r="I1718" i="13" s="1"/>
  <c r="N1904" i="14"/>
  <c r="J1903" i="14" a="1"/>
  <c r="J1903" i="14" s="1"/>
  <c r="K1740" i="14"/>
  <c r="L1740" i="14" s="1"/>
  <c r="I1741" i="14" s="1"/>
  <c r="J1904" i="13" a="1"/>
  <c r="J1904" i="13" s="1"/>
  <c r="N1905" i="13"/>
  <c r="M1907" i="13"/>
  <c r="M1908" i="14"/>
  <c r="K1718" i="13" l="1"/>
  <c r="L1718" i="13" s="1"/>
  <c r="I1719" i="13" s="1"/>
  <c r="K1741" i="14"/>
  <c r="L1741" i="14" s="1"/>
  <c r="I1742" i="14" s="1"/>
  <c r="J1904" i="14" a="1"/>
  <c r="J1904" i="14" s="1"/>
  <c r="N1905" i="14"/>
  <c r="N1906" i="13"/>
  <c r="J1905" i="13" a="1"/>
  <c r="J1905" i="13" s="1"/>
  <c r="M1909" i="14"/>
  <c r="M1908" i="13"/>
  <c r="K1719" i="13" l="1"/>
  <c r="L1719" i="13" s="1"/>
  <c r="I1720" i="13" s="1"/>
  <c r="K1742" i="14"/>
  <c r="L1742" i="14" s="1"/>
  <c r="I1743" i="14" s="1"/>
  <c r="M1909" i="13"/>
  <c r="J1905" i="14" a="1"/>
  <c r="J1905" i="14" s="1"/>
  <c r="N1906" i="14"/>
  <c r="J1906" i="13" a="1"/>
  <c r="J1906" i="13" s="1"/>
  <c r="N1907" i="13"/>
  <c r="M1910" i="14"/>
  <c r="K1720" i="13" l="1"/>
  <c r="L1720" i="13" s="1"/>
  <c r="I1721" i="13" s="1"/>
  <c r="K1743" i="14"/>
  <c r="L1743" i="14" s="1"/>
  <c r="I1744" i="14" s="1"/>
  <c r="J1906" i="14" a="1"/>
  <c r="J1906" i="14" s="1"/>
  <c r="N1907" i="14"/>
  <c r="J1907" i="13" a="1"/>
  <c r="J1907" i="13" s="1"/>
  <c r="N1908" i="13"/>
  <c r="M1911" i="14"/>
  <c r="M1910" i="13"/>
  <c r="K1721" i="13" l="1"/>
  <c r="L1721" i="13" s="1"/>
  <c r="I1722" i="13" s="1"/>
  <c r="K1744" i="14"/>
  <c r="L1744" i="14" s="1"/>
  <c r="I1745" i="14" s="1"/>
  <c r="M1911" i="13"/>
  <c r="M1912" i="14"/>
  <c r="J1908" i="13" a="1"/>
  <c r="J1908" i="13" s="1"/>
  <c r="N1909" i="13"/>
  <c r="N1908" i="14"/>
  <c r="J1907" i="14" a="1"/>
  <c r="J1907" i="14" s="1"/>
  <c r="K1722" i="13" l="1"/>
  <c r="L1722" i="13" s="1"/>
  <c r="I1723" i="13" s="1"/>
  <c r="K1745" i="14"/>
  <c r="L1745" i="14" s="1"/>
  <c r="I1746" i="14" s="1"/>
  <c r="N1910" i="13"/>
  <c r="J1909" i="13" a="1"/>
  <c r="J1909" i="13" s="1"/>
  <c r="M1912" i="13"/>
  <c r="J1908" i="14" a="1"/>
  <c r="J1908" i="14" s="1"/>
  <c r="N1909" i="14"/>
  <c r="M1913" i="14"/>
  <c r="K1723" i="13" l="1"/>
  <c r="L1723" i="13" s="1"/>
  <c r="I1724" i="13" s="1"/>
  <c r="M1913" i="13"/>
  <c r="J1909" i="14" a="1"/>
  <c r="J1909" i="14" s="1"/>
  <c r="N1910" i="14"/>
  <c r="M1914" i="14"/>
  <c r="K1746" i="14"/>
  <c r="L1746" i="14" s="1"/>
  <c r="I1747" i="14" s="1"/>
  <c r="J1910" i="13" a="1"/>
  <c r="J1910" i="13" s="1"/>
  <c r="N1911" i="13"/>
  <c r="K1724" i="13" l="1"/>
  <c r="L1724" i="13" s="1"/>
  <c r="I1725" i="13" s="1"/>
  <c r="K1747" i="14"/>
  <c r="L1747" i="14" s="1"/>
  <c r="I1748" i="14" s="1"/>
  <c r="J1911" i="13" a="1"/>
  <c r="J1911" i="13" s="1"/>
  <c r="N1912" i="13"/>
  <c r="M1915" i="14"/>
  <c r="M1914" i="13"/>
  <c r="J1910" i="14" a="1"/>
  <c r="J1910" i="14" s="1"/>
  <c r="N1911" i="14"/>
  <c r="K1725" i="13" l="1"/>
  <c r="L1725" i="13" s="1"/>
  <c r="I1726" i="13" s="1"/>
  <c r="K1748" i="14"/>
  <c r="L1748" i="14" s="1"/>
  <c r="I1749" i="14" s="1"/>
  <c r="M1915" i="13"/>
  <c r="N1912" i="14"/>
  <c r="J1911" i="14" a="1"/>
  <c r="J1911" i="14" s="1"/>
  <c r="M1916" i="14"/>
  <c r="J1912" i="13" a="1"/>
  <c r="J1912" i="13" s="1"/>
  <c r="N1913" i="13"/>
  <c r="K1726" i="13" l="1"/>
  <c r="L1726" i="13" s="1"/>
  <c r="I1727" i="13" s="1"/>
  <c r="K1749" i="14"/>
  <c r="L1749" i="14" s="1"/>
  <c r="I1750" i="14" s="1"/>
  <c r="N1914" i="13"/>
  <c r="J1913" i="13" a="1"/>
  <c r="J1913" i="13" s="1"/>
  <c r="M1916" i="13"/>
  <c r="M1917" i="14"/>
  <c r="J1912" i="14" a="1"/>
  <c r="J1912" i="14" s="1"/>
  <c r="N1913" i="14"/>
  <c r="K1727" i="13" l="1"/>
  <c r="L1727" i="13" s="1"/>
  <c r="I1728" i="13" s="1"/>
  <c r="K1750" i="14"/>
  <c r="L1750" i="14" s="1"/>
  <c r="I1751" i="14" s="1"/>
  <c r="J1914" i="13" a="1"/>
  <c r="J1914" i="13" s="1"/>
  <c r="N1915" i="13"/>
  <c r="J1913" i="14" a="1"/>
  <c r="J1913" i="14" s="1"/>
  <c r="N1914" i="14"/>
  <c r="M1917" i="13"/>
  <c r="M1918" i="14"/>
  <c r="K1728" i="13" l="1"/>
  <c r="L1728" i="13" s="1"/>
  <c r="I1729" i="13" s="1"/>
  <c r="M1918" i="13"/>
  <c r="M1919" i="14"/>
  <c r="J1914" i="14" a="1"/>
  <c r="J1914" i="14" s="1"/>
  <c r="N1915" i="14"/>
  <c r="K1751" i="14"/>
  <c r="L1751" i="14" s="1"/>
  <c r="I1752" i="14" s="1"/>
  <c r="J1915" i="13" a="1"/>
  <c r="J1915" i="13" s="1"/>
  <c r="N1916" i="13"/>
  <c r="K1729" i="13" l="1"/>
  <c r="L1729" i="13" s="1"/>
  <c r="I1730" i="13" s="1"/>
  <c r="K1752" i="14"/>
  <c r="L1752" i="14" s="1"/>
  <c r="I1753" i="14" s="1"/>
  <c r="J1916" i="13" a="1"/>
  <c r="J1916" i="13" s="1"/>
  <c r="N1917" i="13"/>
  <c r="M1920" i="14"/>
  <c r="N1916" i="14"/>
  <c r="J1915" i="14" a="1"/>
  <c r="J1915" i="14" s="1"/>
  <c r="M1919" i="13"/>
  <c r="K1730" i="13" l="1"/>
  <c r="L1730" i="13" s="1"/>
  <c r="I1731" i="13" s="1"/>
  <c r="K1753" i="14"/>
  <c r="L1753" i="14" s="1"/>
  <c r="I1754" i="14" s="1"/>
  <c r="N1918" i="13"/>
  <c r="J1917" i="13" a="1"/>
  <c r="J1917" i="13" s="1"/>
  <c r="J1916" i="14" a="1"/>
  <c r="J1916" i="14" s="1"/>
  <c r="N1917" i="14"/>
  <c r="M1920" i="13"/>
  <c r="M1921" i="14"/>
  <c r="K1731" i="13" l="1"/>
  <c r="L1731" i="13" s="1"/>
  <c r="I1732" i="13" s="1"/>
  <c r="K1754" i="14"/>
  <c r="L1754" i="14" s="1"/>
  <c r="I1755" i="14" s="1"/>
  <c r="M1922" i="14"/>
  <c r="M1921" i="13"/>
  <c r="J1917" i="14" a="1"/>
  <c r="J1917" i="14" s="1"/>
  <c r="N1918" i="14"/>
  <c r="J1918" i="13" a="1"/>
  <c r="J1918" i="13" s="1"/>
  <c r="N1919" i="13"/>
  <c r="K1732" i="13" l="1"/>
  <c r="L1732" i="13" s="1"/>
  <c r="I1733" i="13" s="1"/>
  <c r="K1755" i="14"/>
  <c r="L1755" i="14" s="1"/>
  <c r="I1756" i="14" s="1"/>
  <c r="J1919" i="13" a="1"/>
  <c r="J1919" i="13" s="1"/>
  <c r="N1920" i="13"/>
  <c r="M1922" i="13"/>
  <c r="J1918" i="14" a="1"/>
  <c r="J1918" i="14" s="1"/>
  <c r="N1919" i="14"/>
  <c r="M1923" i="14"/>
  <c r="K1733" i="13" l="1"/>
  <c r="L1733" i="13" s="1"/>
  <c r="I1734" i="13" s="1"/>
  <c r="K1756" i="14"/>
  <c r="L1756" i="14" s="1"/>
  <c r="I1757" i="14" s="1"/>
  <c r="J1920" i="13" a="1"/>
  <c r="J1920" i="13" s="1"/>
  <c r="N1921" i="13"/>
  <c r="N1920" i="14"/>
  <c r="J1919" i="14" a="1"/>
  <c r="J1919" i="14" s="1"/>
  <c r="M1924" i="14"/>
  <c r="M1923" i="13"/>
  <c r="K1734" i="13" l="1"/>
  <c r="L1734" i="13" s="1"/>
  <c r="I1735" i="13" s="1"/>
  <c r="K1757" i="14"/>
  <c r="L1757" i="14" s="1"/>
  <c r="I1758" i="14" s="1"/>
  <c r="M1924" i="13"/>
  <c r="N1922" i="13"/>
  <c r="J1921" i="13" a="1"/>
  <c r="J1921" i="13" s="1"/>
  <c r="J1920" i="14" a="1"/>
  <c r="J1920" i="14" s="1"/>
  <c r="N1921" i="14"/>
  <c r="M1925" i="14"/>
  <c r="K1735" i="13" l="1"/>
  <c r="L1735" i="13" s="1"/>
  <c r="I1736" i="13" s="1"/>
  <c r="K1758" i="14"/>
  <c r="L1758" i="14" s="1"/>
  <c r="I1759" i="14" s="1"/>
  <c r="M1926" i="14"/>
  <c r="M1925" i="13"/>
  <c r="J1921" i="14" a="1"/>
  <c r="J1921" i="14" s="1"/>
  <c r="N1922" i="14"/>
  <c r="J1922" i="13" a="1"/>
  <c r="J1922" i="13" s="1"/>
  <c r="N1923" i="13"/>
  <c r="K1736" i="13" l="1"/>
  <c r="L1736" i="13" s="1"/>
  <c r="I1737" i="13" s="1"/>
  <c r="K1759" i="14"/>
  <c r="L1759" i="14" s="1"/>
  <c r="I1760" i="14" s="1"/>
  <c r="J1923" i="13" a="1"/>
  <c r="J1923" i="13" s="1"/>
  <c r="N1924" i="13"/>
  <c r="M1926" i="13"/>
  <c r="J1922" i="14" a="1"/>
  <c r="J1922" i="14" s="1"/>
  <c r="N1923" i="14"/>
  <c r="M1927" i="14"/>
  <c r="K1737" i="13" l="1"/>
  <c r="L1737" i="13" s="1"/>
  <c r="I1738" i="13" s="1"/>
  <c r="K1760" i="14"/>
  <c r="L1760" i="14" s="1"/>
  <c r="I1761" i="14" s="1"/>
  <c r="J1924" i="13" a="1"/>
  <c r="J1924" i="13" s="1"/>
  <c r="N1925" i="13"/>
  <c r="M1928" i="14"/>
  <c r="M1927" i="13"/>
  <c r="N1924" i="14"/>
  <c r="J1923" i="14" a="1"/>
  <c r="J1923" i="14" s="1"/>
  <c r="K1738" i="13" l="1"/>
  <c r="L1738" i="13" s="1"/>
  <c r="I1739" i="13" s="1"/>
  <c r="K1761" i="14"/>
  <c r="L1761" i="14" s="1"/>
  <c r="I1762" i="14" s="1"/>
  <c r="M1929" i="14"/>
  <c r="N1926" i="13"/>
  <c r="J1925" i="13" a="1"/>
  <c r="J1925" i="13" s="1"/>
  <c r="J1924" i="14" a="1"/>
  <c r="J1924" i="14" s="1"/>
  <c r="N1925" i="14"/>
  <c r="M1928" i="13"/>
  <c r="K1739" i="13" l="1"/>
  <c r="L1739" i="13" s="1"/>
  <c r="I1740" i="13" s="1"/>
  <c r="K1762" i="14"/>
  <c r="L1762" i="14" s="1"/>
  <c r="I1763" i="14" s="1"/>
  <c r="M1929" i="13"/>
  <c r="J1926" i="13" a="1"/>
  <c r="J1926" i="13" s="1"/>
  <c r="N1927" i="13"/>
  <c r="J1925" i="14" a="1"/>
  <c r="J1925" i="14" s="1"/>
  <c r="N1926" i="14"/>
  <c r="M1930" i="14"/>
  <c r="K1740" i="13" l="1"/>
  <c r="L1740" i="13" s="1"/>
  <c r="I1741" i="13" s="1"/>
  <c r="M1931" i="14"/>
  <c r="J1927" i="13" a="1"/>
  <c r="J1927" i="13" s="1"/>
  <c r="N1928" i="13"/>
  <c r="J1926" i="14" a="1"/>
  <c r="J1926" i="14" s="1"/>
  <c r="N1927" i="14"/>
  <c r="M1930" i="13"/>
  <c r="K1763" i="14"/>
  <c r="L1763" i="14" s="1"/>
  <c r="I1764" i="14" s="1"/>
  <c r="K1741" i="13" l="1"/>
  <c r="L1741" i="13" s="1"/>
  <c r="I1742" i="13" s="1"/>
  <c r="K1764" i="14"/>
  <c r="L1764" i="14" s="1"/>
  <c r="I1765" i="14" s="1"/>
  <c r="N1928" i="14"/>
  <c r="J1927" i="14" a="1"/>
  <c r="J1927" i="14" s="1"/>
  <c r="M1932" i="14"/>
  <c r="J1928" i="13" a="1"/>
  <c r="J1928" i="13" s="1"/>
  <c r="N1929" i="13"/>
  <c r="M1931" i="13"/>
  <c r="K1742" i="13" l="1"/>
  <c r="L1742" i="13" s="1"/>
  <c r="I1743" i="13" s="1"/>
  <c r="J1928" i="14" a="1"/>
  <c r="J1928" i="14" s="1"/>
  <c r="N1929" i="14"/>
  <c r="N1930" i="13"/>
  <c r="J1929" i="13" a="1"/>
  <c r="J1929" i="13" s="1"/>
  <c r="M1932" i="13"/>
  <c r="M1933" i="14"/>
  <c r="K1765" i="14"/>
  <c r="L1765" i="14" s="1"/>
  <c r="I1766" i="14" s="1"/>
  <c r="K1743" i="13" l="1"/>
  <c r="L1743" i="13" s="1"/>
  <c r="I1744" i="13" s="1"/>
  <c r="K1766" i="14"/>
  <c r="L1766" i="14" s="1"/>
  <c r="I1767" i="14" s="1"/>
  <c r="J1929" i="14" a="1"/>
  <c r="J1929" i="14" s="1"/>
  <c r="N1930" i="14"/>
  <c r="M1933" i="13"/>
  <c r="M1934" i="14"/>
  <c r="J1930" i="13" a="1"/>
  <c r="J1930" i="13" s="1"/>
  <c r="N1931" i="13"/>
  <c r="K1744" i="13" l="1"/>
  <c r="L1744" i="13" s="1"/>
  <c r="I1745" i="13" s="1"/>
  <c r="K1767" i="14"/>
  <c r="L1767" i="14" s="1"/>
  <c r="I1768" i="14" s="1"/>
  <c r="J1931" i="13" a="1"/>
  <c r="J1931" i="13" s="1"/>
  <c r="N1932" i="13"/>
  <c r="M1934" i="13"/>
  <c r="M1935" i="14"/>
  <c r="J1930" i="14" a="1"/>
  <c r="J1930" i="14" s="1"/>
  <c r="N1931" i="14"/>
  <c r="K1745" i="13" l="1"/>
  <c r="L1745" i="13" s="1"/>
  <c r="I1746" i="13" s="1"/>
  <c r="K1768" i="14"/>
  <c r="L1768" i="14" s="1"/>
  <c r="I1769" i="14" s="1"/>
  <c r="M1935" i="13"/>
  <c r="N1932" i="14"/>
  <c r="J1931" i="14" a="1"/>
  <c r="J1931" i="14" s="1"/>
  <c r="J1932" i="13" a="1"/>
  <c r="J1932" i="13" s="1"/>
  <c r="N1933" i="13"/>
  <c r="M1936" i="14"/>
  <c r="K1746" i="13" l="1"/>
  <c r="L1746" i="13" s="1"/>
  <c r="I1747" i="13" s="1"/>
  <c r="K1769" i="14"/>
  <c r="L1769" i="14" s="1"/>
  <c r="I1770" i="14" s="1"/>
  <c r="J1932" i="14" a="1"/>
  <c r="J1932" i="14" s="1"/>
  <c r="N1933" i="14"/>
  <c r="M1937" i="14"/>
  <c r="N1934" i="13"/>
  <c r="J1933" i="13" a="1"/>
  <c r="J1933" i="13" s="1"/>
  <c r="M1936" i="13"/>
  <c r="K1747" i="13" l="1"/>
  <c r="L1747" i="13" s="1"/>
  <c r="I1748" i="13" s="1"/>
  <c r="K1770" i="14"/>
  <c r="L1770" i="14" s="1"/>
  <c r="I1771" i="14" s="1"/>
  <c r="J1934" i="13" a="1"/>
  <c r="J1934" i="13" s="1"/>
  <c r="N1935" i="13"/>
  <c r="M1937" i="13"/>
  <c r="M1938" i="14"/>
  <c r="J1933" i="14" a="1"/>
  <c r="J1933" i="14" s="1"/>
  <c r="N1934" i="14"/>
  <c r="K1748" i="13" l="1"/>
  <c r="L1748" i="13" s="1"/>
  <c r="I1749" i="13" s="1"/>
  <c r="K1771" i="14"/>
  <c r="L1771" i="14" s="1"/>
  <c r="I1772" i="14" s="1"/>
  <c r="M1938" i="13"/>
  <c r="J1935" i="13" a="1"/>
  <c r="J1935" i="13" s="1"/>
  <c r="N1936" i="13"/>
  <c r="J1934" i="14" a="1"/>
  <c r="J1934" i="14" s="1"/>
  <c r="N1935" i="14"/>
  <c r="M1939" i="14"/>
  <c r="K1749" i="13" l="1"/>
  <c r="L1749" i="13" s="1"/>
  <c r="I1750" i="13" s="1"/>
  <c r="K1772" i="14"/>
  <c r="L1772" i="14" s="1"/>
  <c r="I1773" i="14" s="1"/>
  <c r="M1940" i="14"/>
  <c r="N1936" i="14"/>
  <c r="J1935" i="14" a="1"/>
  <c r="J1935" i="14" s="1"/>
  <c r="J1936" i="13" a="1"/>
  <c r="J1936" i="13" s="1"/>
  <c r="N1937" i="13"/>
  <c r="M1939" i="13"/>
  <c r="K1750" i="13" l="1"/>
  <c r="L1750" i="13" s="1"/>
  <c r="I1751" i="13" s="1"/>
  <c r="K1773" i="14"/>
  <c r="L1773" i="14" s="1"/>
  <c r="I1774" i="14" s="1"/>
  <c r="M1940" i="13"/>
  <c r="J1936" i="14" a="1"/>
  <c r="J1936" i="14" s="1"/>
  <c r="N1937" i="14"/>
  <c r="N1938" i="13"/>
  <c r="J1937" i="13" a="1"/>
  <c r="J1937" i="13" s="1"/>
  <c r="M1941" i="14"/>
  <c r="K1751" i="13" l="1"/>
  <c r="L1751" i="13" s="1"/>
  <c r="I1752" i="13" s="1"/>
  <c r="K1774" i="14"/>
  <c r="L1774" i="14" s="1"/>
  <c r="I1775" i="14" s="1"/>
  <c r="J1937" i="14" a="1"/>
  <c r="J1937" i="14" s="1"/>
  <c r="N1938" i="14"/>
  <c r="M1942" i="14"/>
  <c r="M1941" i="13"/>
  <c r="J1938" i="13" a="1"/>
  <c r="J1938" i="13" s="1"/>
  <c r="N1939" i="13"/>
  <c r="K1752" i="13" l="1"/>
  <c r="L1752" i="13" s="1"/>
  <c r="I1753" i="13" s="1"/>
  <c r="K1775" i="14"/>
  <c r="L1775" i="14" s="1"/>
  <c r="I1776" i="14" s="1"/>
  <c r="J1939" i="13" a="1"/>
  <c r="J1939" i="13" s="1"/>
  <c r="N1940" i="13"/>
  <c r="M1943" i="14"/>
  <c r="J1938" i="14" a="1"/>
  <c r="J1938" i="14" s="1"/>
  <c r="N1939" i="14"/>
  <c r="M1942" i="13"/>
  <c r="K1753" i="13" l="1"/>
  <c r="L1753" i="13" s="1"/>
  <c r="I1754" i="13" s="1"/>
  <c r="K1776" i="14"/>
  <c r="L1776" i="14" s="1"/>
  <c r="I1777" i="14" s="1"/>
  <c r="N1940" i="14"/>
  <c r="J1939" i="14" a="1"/>
  <c r="J1939" i="14" s="1"/>
  <c r="M1943" i="13"/>
  <c r="M1944" i="14"/>
  <c r="J1940" i="13" a="1"/>
  <c r="J1940" i="13" s="1"/>
  <c r="N1941" i="13"/>
  <c r="K1754" i="13" l="1"/>
  <c r="L1754" i="13" s="1"/>
  <c r="I1755" i="13" s="1"/>
  <c r="K1777" i="14"/>
  <c r="L1777" i="14" s="1"/>
  <c r="I1778" i="14" s="1"/>
  <c r="N1942" i="13"/>
  <c r="J1941" i="13" a="1"/>
  <c r="J1941" i="13" s="1"/>
  <c r="M1944" i="13"/>
  <c r="M1945" i="14"/>
  <c r="J1940" i="14" a="1"/>
  <c r="J1940" i="14" s="1"/>
  <c r="N1941" i="14"/>
  <c r="K1755" i="13" l="1"/>
  <c r="L1755" i="13" s="1"/>
  <c r="I1756" i="13" s="1"/>
  <c r="K1778" i="14"/>
  <c r="L1778" i="14" s="1"/>
  <c r="I1779" i="14" s="1"/>
  <c r="M1946" i="14"/>
  <c r="J1942" i="13" a="1"/>
  <c r="J1942" i="13" s="1"/>
  <c r="N1943" i="13"/>
  <c r="J1941" i="14" a="1"/>
  <c r="J1941" i="14" s="1"/>
  <c r="N1942" i="14"/>
  <c r="M1945" i="13"/>
  <c r="K1756" i="13" l="1"/>
  <c r="L1756" i="13" s="1"/>
  <c r="I1757" i="13" s="1"/>
  <c r="K1779" i="14"/>
  <c r="L1779" i="14" s="1"/>
  <c r="I1780" i="14" s="1"/>
  <c r="J1943" i="13" a="1"/>
  <c r="J1943" i="13" s="1"/>
  <c r="N1944" i="13"/>
  <c r="M1946" i="13"/>
  <c r="J1942" i="14" a="1"/>
  <c r="J1942" i="14" s="1"/>
  <c r="N1943" i="14"/>
  <c r="M1947" i="14"/>
  <c r="K1757" i="13" l="1"/>
  <c r="L1757" i="13" s="1"/>
  <c r="I1758" i="13" s="1"/>
  <c r="K1780" i="14"/>
  <c r="L1780" i="14" s="1"/>
  <c r="I1781" i="14" s="1"/>
  <c r="N1944" i="14"/>
  <c r="J1943" i="14" a="1"/>
  <c r="J1943" i="14" s="1"/>
  <c r="M1948" i="14"/>
  <c r="M1947" i="13"/>
  <c r="J1944" i="13" a="1"/>
  <c r="J1944" i="13" s="1"/>
  <c r="N1945" i="13"/>
  <c r="K1758" i="13" l="1"/>
  <c r="L1758" i="13" s="1"/>
  <c r="I1759" i="13" s="1"/>
  <c r="K1781" i="14"/>
  <c r="L1781" i="14" s="1"/>
  <c r="I1782" i="14" s="1"/>
  <c r="M1949" i="14"/>
  <c r="N1946" i="13"/>
  <c r="J1945" i="13" a="1"/>
  <c r="J1945" i="13" s="1"/>
  <c r="M1948" i="13"/>
  <c r="J1944" i="14" a="1"/>
  <c r="J1944" i="14" s="1"/>
  <c r="N1945" i="14"/>
  <c r="K1759" i="13" l="1"/>
  <c r="L1759" i="13" s="1"/>
  <c r="I1760" i="13" s="1"/>
  <c r="K1782" i="14"/>
  <c r="L1782" i="14" s="1"/>
  <c r="I1783" i="14" s="1"/>
  <c r="J1946" i="13" a="1"/>
  <c r="J1946" i="13" s="1"/>
  <c r="N1947" i="13"/>
  <c r="J1945" i="14" a="1"/>
  <c r="J1945" i="14" s="1"/>
  <c r="N1946" i="14"/>
  <c r="M1949" i="13"/>
  <c r="M1950" i="14"/>
  <c r="K1760" i="13" l="1"/>
  <c r="L1760" i="13" s="1"/>
  <c r="I1761" i="13" s="1"/>
  <c r="K1783" i="14"/>
  <c r="L1783" i="14" s="1"/>
  <c r="I1784" i="14" s="1"/>
  <c r="J1946" i="14" a="1"/>
  <c r="J1946" i="14" s="1"/>
  <c r="N1947" i="14"/>
  <c r="J1947" i="13" a="1"/>
  <c r="J1947" i="13" s="1"/>
  <c r="N1948" i="13"/>
  <c r="M1951" i="14"/>
  <c r="M1950" i="13"/>
  <c r="K1761" i="13" l="1"/>
  <c r="L1761" i="13" s="1"/>
  <c r="I1762" i="13" s="1"/>
  <c r="K1784" i="14"/>
  <c r="L1784" i="14" s="1"/>
  <c r="I1785" i="14" s="1"/>
  <c r="J1948" i="13" a="1"/>
  <c r="J1948" i="13" s="1"/>
  <c r="N1949" i="13"/>
  <c r="N1948" i="14"/>
  <c r="J1947" i="14" a="1"/>
  <c r="J1947" i="14" s="1"/>
  <c r="M1951" i="13"/>
  <c r="M1952" i="14"/>
  <c r="K1762" i="13" l="1"/>
  <c r="L1762" i="13" s="1"/>
  <c r="I1763" i="13" s="1"/>
  <c r="K1785" i="14"/>
  <c r="L1785" i="14" s="1"/>
  <c r="I1786" i="14" s="1"/>
  <c r="J1948" i="14" a="1"/>
  <c r="J1948" i="14" s="1"/>
  <c r="N1949" i="14"/>
  <c r="N1950" i="13"/>
  <c r="J1949" i="13" a="1"/>
  <c r="J1949" i="13" s="1"/>
  <c r="M1953" i="14"/>
  <c r="M1952" i="13"/>
  <c r="K1763" i="13" l="1"/>
  <c r="L1763" i="13" s="1"/>
  <c r="I1764" i="13" s="1"/>
  <c r="K1786" i="14"/>
  <c r="L1786" i="14" s="1"/>
  <c r="I1787" i="14" s="1"/>
  <c r="J1950" i="13" a="1"/>
  <c r="J1950" i="13" s="1"/>
  <c r="N1951" i="13"/>
  <c r="M1953" i="13"/>
  <c r="J1949" i="14" a="1"/>
  <c r="J1949" i="14" s="1"/>
  <c r="N1950" i="14"/>
  <c r="M1954" i="14"/>
  <c r="K1764" i="13" l="1"/>
  <c r="L1764" i="13" s="1"/>
  <c r="I1765" i="13" s="1"/>
  <c r="K1787" i="14"/>
  <c r="L1787" i="14" s="1"/>
  <c r="I1788" i="14" s="1"/>
  <c r="J1950" i="14" a="1"/>
  <c r="J1950" i="14" s="1"/>
  <c r="N1951" i="14"/>
  <c r="M1955" i="14"/>
  <c r="M1954" i="13"/>
  <c r="J1951" i="13" a="1"/>
  <c r="J1951" i="13" s="1"/>
  <c r="N1952" i="13"/>
  <c r="K1765" i="13" l="1"/>
  <c r="L1765" i="13" s="1"/>
  <c r="I1766" i="13" s="1"/>
  <c r="K1788" i="14"/>
  <c r="L1788" i="14" s="1"/>
  <c r="I1789" i="14" s="1"/>
  <c r="J1952" i="13" a="1"/>
  <c r="J1952" i="13" s="1"/>
  <c r="N1953" i="13"/>
  <c r="M1956" i="14"/>
  <c r="N1952" i="14"/>
  <c r="J1951" i="14" a="1"/>
  <c r="J1951" i="14" s="1"/>
  <c r="M1955" i="13"/>
  <c r="K1766" i="13" l="1"/>
  <c r="L1766" i="13" s="1"/>
  <c r="I1767" i="13" s="1"/>
  <c r="K1789" i="14"/>
  <c r="L1789" i="14" s="1"/>
  <c r="I1790" i="14" s="1"/>
  <c r="N1954" i="13"/>
  <c r="J1953" i="13" a="1"/>
  <c r="J1953" i="13" s="1"/>
  <c r="J1952" i="14" a="1"/>
  <c r="J1952" i="14" s="1"/>
  <c r="N1953" i="14"/>
  <c r="M1956" i="13"/>
  <c r="M1957" i="14"/>
  <c r="K1767" i="13" l="1"/>
  <c r="L1767" i="13" s="1"/>
  <c r="I1768" i="13" s="1"/>
  <c r="K1790" i="14"/>
  <c r="L1790" i="14" s="1"/>
  <c r="I1791" i="14" s="1"/>
  <c r="J1953" i="14" a="1"/>
  <c r="J1953" i="14" s="1"/>
  <c r="N1954" i="14"/>
  <c r="M1958" i="14"/>
  <c r="M1957" i="13"/>
  <c r="J1954" i="13" a="1"/>
  <c r="J1954" i="13" s="1"/>
  <c r="N1955" i="13"/>
  <c r="K1768" i="13" l="1"/>
  <c r="L1768" i="13" s="1"/>
  <c r="I1769" i="13" s="1"/>
  <c r="K1791" i="14"/>
  <c r="L1791" i="14" s="1"/>
  <c r="I1792" i="14" s="1"/>
  <c r="J1954" i="14" a="1"/>
  <c r="J1954" i="14" s="1"/>
  <c r="N1955" i="14"/>
  <c r="J1955" i="13" a="1"/>
  <c r="J1955" i="13" s="1"/>
  <c r="N1956" i="13"/>
  <c r="M1959" i="14"/>
  <c r="M1958" i="13"/>
  <c r="K1769" i="13" l="1"/>
  <c r="L1769" i="13" s="1"/>
  <c r="I1770" i="13" s="1"/>
  <c r="K1792" i="14"/>
  <c r="L1792" i="14" s="1"/>
  <c r="I1793" i="14" s="1"/>
  <c r="M1959" i="13"/>
  <c r="J1956" i="13" a="1"/>
  <c r="J1956" i="13" s="1"/>
  <c r="N1957" i="13"/>
  <c r="N1956" i="14"/>
  <c r="J1955" i="14" a="1"/>
  <c r="J1955" i="14" s="1"/>
  <c r="M1960" i="14"/>
  <c r="K1770" i="13" l="1"/>
  <c r="L1770" i="13" s="1"/>
  <c r="I1771" i="13" s="1"/>
  <c r="K1793" i="14"/>
  <c r="L1793" i="14" s="1"/>
  <c r="I1794" i="14" s="1"/>
  <c r="N1958" i="13"/>
  <c r="J1957" i="13" a="1"/>
  <c r="J1957" i="13" s="1"/>
  <c r="M1961" i="14"/>
  <c r="J1956" i="14" a="1"/>
  <c r="J1956" i="14" s="1"/>
  <c r="N1957" i="14"/>
  <c r="M1960" i="13"/>
  <c r="K1771" i="13" l="1"/>
  <c r="L1771" i="13" s="1"/>
  <c r="I1772" i="13" s="1"/>
  <c r="K1794" i="14"/>
  <c r="L1794" i="14" s="1"/>
  <c r="I1795" i="14" s="1"/>
  <c r="M1961" i="13"/>
  <c r="M1962" i="14"/>
  <c r="J1957" i="14" a="1"/>
  <c r="J1957" i="14" s="1"/>
  <c r="N1958" i="14"/>
  <c r="J1958" i="13" a="1"/>
  <c r="J1958" i="13" s="1"/>
  <c r="N1959" i="13"/>
  <c r="K1772" i="13" l="1"/>
  <c r="L1772" i="13" s="1"/>
  <c r="I1773" i="13" s="1"/>
  <c r="K1795" i="14"/>
  <c r="L1795" i="14" s="1"/>
  <c r="I1796" i="14" s="1"/>
  <c r="J1959" i="13" a="1"/>
  <c r="J1959" i="13" s="1"/>
  <c r="N1960" i="13"/>
  <c r="M1963" i="14"/>
  <c r="J1958" i="14" a="1"/>
  <c r="J1958" i="14" s="1"/>
  <c r="N1959" i="14"/>
  <c r="M1962" i="13"/>
  <c r="K1773" i="13" l="1"/>
  <c r="L1773" i="13" s="1"/>
  <c r="I1774" i="13" s="1"/>
  <c r="N1960" i="14"/>
  <c r="J1959" i="14" a="1"/>
  <c r="J1959" i="14" s="1"/>
  <c r="M1963" i="13"/>
  <c r="M1964" i="14"/>
  <c r="K1796" i="14"/>
  <c r="L1796" i="14" s="1"/>
  <c r="I1797" i="14" s="1"/>
  <c r="J1960" i="13" a="1"/>
  <c r="J1960" i="13" s="1"/>
  <c r="N1961" i="13"/>
  <c r="K1774" i="13" l="1"/>
  <c r="L1774" i="13" s="1"/>
  <c r="I1775" i="13" s="1"/>
  <c r="K1797" i="14"/>
  <c r="L1797" i="14" s="1"/>
  <c r="I1798" i="14" s="1"/>
  <c r="M1965" i="14"/>
  <c r="J1960" i="14" a="1"/>
  <c r="J1960" i="14" s="1"/>
  <c r="N1961" i="14"/>
  <c r="N1962" i="13"/>
  <c r="J1961" i="13" a="1"/>
  <c r="J1961" i="13" s="1"/>
  <c r="M1964" i="13"/>
  <c r="K1775" i="13" l="1"/>
  <c r="L1775" i="13" s="1"/>
  <c r="I1776" i="13" s="1"/>
  <c r="K1798" i="14"/>
  <c r="L1798" i="14" s="1"/>
  <c r="I1799" i="14" s="1"/>
  <c r="J1961" i="14" a="1"/>
  <c r="J1961" i="14" s="1"/>
  <c r="N1962" i="14"/>
  <c r="M1965" i="13"/>
  <c r="J1962" i="13" a="1"/>
  <c r="J1962" i="13" s="1"/>
  <c r="N1963" i="13"/>
  <c r="M1966" i="14"/>
  <c r="K1776" i="13" l="1"/>
  <c r="L1776" i="13" s="1"/>
  <c r="I1777" i="13" s="1"/>
  <c r="K1799" i="14"/>
  <c r="L1799" i="14" s="1"/>
  <c r="I1800" i="14" s="1"/>
  <c r="M1967" i="14"/>
  <c r="M1966" i="13"/>
  <c r="J1962" i="14" a="1"/>
  <c r="J1962" i="14" s="1"/>
  <c r="N1963" i="14"/>
  <c r="J1963" i="13" a="1"/>
  <c r="J1963" i="13" s="1"/>
  <c r="N1964" i="13"/>
  <c r="K1777" i="13" l="1"/>
  <c r="L1777" i="13" s="1"/>
  <c r="I1778" i="13" s="1"/>
  <c r="M1967" i="13"/>
  <c r="J1964" i="13" a="1"/>
  <c r="J1964" i="13" s="1"/>
  <c r="N1965" i="13"/>
  <c r="N1964" i="14"/>
  <c r="J1963" i="14" a="1"/>
  <c r="J1963" i="14" s="1"/>
  <c r="M1968" i="14"/>
  <c r="K1800" i="14"/>
  <c r="L1800" i="14" s="1"/>
  <c r="I1801" i="14" s="1"/>
  <c r="K1778" i="13" l="1"/>
  <c r="L1778" i="13" s="1"/>
  <c r="I1779" i="13" s="1"/>
  <c r="K1801" i="14"/>
  <c r="L1801" i="14" s="1"/>
  <c r="I1802" i="14" s="1"/>
  <c r="J1964" i="14" a="1"/>
  <c r="J1964" i="14" s="1"/>
  <c r="N1965" i="14"/>
  <c r="M1968" i="13"/>
  <c r="N1966" i="13"/>
  <c r="J1965" i="13" a="1"/>
  <c r="J1965" i="13" s="1"/>
  <c r="M1969" i="14"/>
  <c r="K1779" i="13" l="1"/>
  <c r="L1779" i="13" s="1"/>
  <c r="I1780" i="13" s="1"/>
  <c r="K1802" i="14"/>
  <c r="L1802" i="14" s="1"/>
  <c r="I1803" i="14" s="1"/>
  <c r="J1965" i="14" a="1"/>
  <c r="J1965" i="14" s="1"/>
  <c r="N1966" i="14"/>
  <c r="J1966" i="13" a="1"/>
  <c r="J1966" i="13" s="1"/>
  <c r="N1967" i="13"/>
  <c r="M1969" i="13"/>
  <c r="M1970" i="14"/>
  <c r="K1780" i="13" l="1"/>
  <c r="L1780" i="13" s="1"/>
  <c r="I1781" i="13" s="1"/>
  <c r="K1803" i="14"/>
  <c r="L1803" i="14" s="1"/>
  <c r="I1804" i="14" s="1"/>
  <c r="M1970" i="13"/>
  <c r="M1971" i="14"/>
  <c r="J1967" i="13" a="1"/>
  <c r="J1967" i="13" s="1"/>
  <c r="N1968" i="13"/>
  <c r="J1966" i="14" a="1"/>
  <c r="J1966" i="14" s="1"/>
  <c r="N1967" i="14"/>
  <c r="K1781" i="13" l="1"/>
  <c r="L1781" i="13" s="1"/>
  <c r="I1782" i="13" s="1"/>
  <c r="K1804" i="14"/>
  <c r="L1804" i="14" s="1"/>
  <c r="I1805" i="14" s="1"/>
  <c r="N1968" i="14"/>
  <c r="J1967" i="14" a="1"/>
  <c r="J1967" i="14" s="1"/>
  <c r="M1972" i="14"/>
  <c r="J1968" i="13" a="1"/>
  <c r="J1968" i="13" s="1"/>
  <c r="N1969" i="13"/>
  <c r="M1971" i="13"/>
  <c r="K1782" i="13" l="1"/>
  <c r="L1782" i="13" s="1"/>
  <c r="I1783" i="13" s="1"/>
  <c r="M1972" i="13"/>
  <c r="M1973" i="14"/>
  <c r="K1805" i="14"/>
  <c r="L1805" i="14" s="1"/>
  <c r="I1806" i="14" s="1"/>
  <c r="N1970" i="13"/>
  <c r="J1969" i="13" a="1"/>
  <c r="J1969" i="13" s="1"/>
  <c r="J1968" i="14" a="1"/>
  <c r="J1968" i="14" s="1"/>
  <c r="N1969" i="14"/>
  <c r="K1783" i="13" l="1"/>
  <c r="L1783" i="13" s="1"/>
  <c r="I1784" i="13" s="1"/>
  <c r="K1806" i="14"/>
  <c r="L1806" i="14" s="1"/>
  <c r="I1807" i="14" s="1"/>
  <c r="M1973" i="13"/>
  <c r="J1969" i="14" a="1"/>
  <c r="J1969" i="14" s="1"/>
  <c r="N1970" i="14"/>
  <c r="J1970" i="13" a="1"/>
  <c r="J1970" i="13" s="1"/>
  <c r="N1971" i="13"/>
  <c r="M1974" i="14"/>
  <c r="K1784" i="13" l="1"/>
  <c r="L1784" i="13" s="1"/>
  <c r="I1785" i="13" s="1"/>
  <c r="K1807" i="14"/>
  <c r="L1807" i="14" s="1"/>
  <c r="I1808" i="14" s="1"/>
  <c r="J1970" i="14" a="1"/>
  <c r="J1970" i="14" s="1"/>
  <c r="N1971" i="14"/>
  <c r="M1975" i="14"/>
  <c r="J1971" i="13" a="1"/>
  <c r="J1971" i="13" s="1"/>
  <c r="N1972" i="13"/>
  <c r="M1974" i="13"/>
  <c r="K1785" i="13" l="1"/>
  <c r="L1785" i="13" s="1"/>
  <c r="I1786" i="13" s="1"/>
  <c r="K1808" i="14"/>
  <c r="L1808" i="14" s="1"/>
  <c r="I1809" i="14" s="1"/>
  <c r="N1972" i="14"/>
  <c r="J1971" i="14" a="1"/>
  <c r="J1971" i="14" s="1"/>
  <c r="M1975" i="13"/>
  <c r="J1972" i="13" a="1"/>
  <c r="J1972" i="13" s="1"/>
  <c r="N1973" i="13"/>
  <c r="M1976" i="14"/>
  <c r="K1786" i="13" l="1"/>
  <c r="L1786" i="13" s="1"/>
  <c r="I1787" i="13" s="1"/>
  <c r="K1809" i="14"/>
  <c r="L1809" i="14" s="1"/>
  <c r="I1810" i="14" s="1"/>
  <c r="N1974" i="13"/>
  <c r="J1973" i="13" a="1"/>
  <c r="J1973" i="13" s="1"/>
  <c r="M1977" i="14"/>
  <c r="M1976" i="13"/>
  <c r="J1972" i="14" a="1"/>
  <c r="J1972" i="14" s="1"/>
  <c r="N1973" i="14"/>
  <c r="K1787" i="13" l="1"/>
  <c r="L1787" i="13" s="1"/>
  <c r="I1788" i="13" s="1"/>
  <c r="K1810" i="14"/>
  <c r="L1810" i="14" s="1"/>
  <c r="I1811" i="14" s="1"/>
  <c r="J1973" i="14" a="1"/>
  <c r="J1973" i="14" s="1"/>
  <c r="N1974" i="14"/>
  <c r="M1978" i="14"/>
  <c r="M1977" i="13"/>
  <c r="J1974" i="13" a="1"/>
  <c r="J1974" i="13" s="1"/>
  <c r="N1975" i="13"/>
  <c r="K1788" i="13" l="1"/>
  <c r="L1788" i="13" s="1"/>
  <c r="I1789" i="13" s="1"/>
  <c r="J1975" i="13" a="1"/>
  <c r="J1975" i="13" s="1"/>
  <c r="N1976" i="13"/>
  <c r="M1979" i="14"/>
  <c r="K1811" i="14"/>
  <c r="L1811" i="14" s="1"/>
  <c r="I1812" i="14" s="1"/>
  <c r="J1974" i="14" a="1"/>
  <c r="J1974" i="14" s="1"/>
  <c r="N1975" i="14"/>
  <c r="M1978" i="13"/>
  <c r="K1789" i="13" l="1"/>
  <c r="L1789" i="13" s="1"/>
  <c r="I1790" i="13" s="1"/>
  <c r="K1812" i="14"/>
  <c r="L1812" i="14" s="1"/>
  <c r="I1813" i="14" s="1"/>
  <c r="J1976" i="13" a="1"/>
  <c r="J1976" i="13" s="1"/>
  <c r="N1977" i="13"/>
  <c r="M1979" i="13"/>
  <c r="N1976" i="14"/>
  <c r="J1975" i="14" a="1"/>
  <c r="J1975" i="14" s="1"/>
  <c r="M1980" i="14"/>
  <c r="K1790" i="13" l="1"/>
  <c r="L1790" i="13" s="1"/>
  <c r="I1791" i="13" s="1"/>
  <c r="J1976" i="14" a="1"/>
  <c r="J1976" i="14" s="1"/>
  <c r="N1977" i="14"/>
  <c r="M1981" i="14"/>
  <c r="M1980" i="13"/>
  <c r="K1813" i="14"/>
  <c r="L1813" i="14" s="1"/>
  <c r="I1814" i="14" s="1"/>
  <c r="N1978" i="13"/>
  <c r="J1977" i="13" a="1"/>
  <c r="J1977" i="13" s="1"/>
  <c r="K1791" i="13" l="1"/>
  <c r="L1791" i="13" s="1"/>
  <c r="I1792" i="13" s="1"/>
  <c r="K1814" i="14"/>
  <c r="L1814" i="14" s="1"/>
  <c r="I1815" i="14" s="1"/>
  <c r="J1977" i="14" a="1"/>
  <c r="J1977" i="14" s="1"/>
  <c r="N1978" i="14"/>
  <c r="M1981" i="13"/>
  <c r="J1978" i="13" a="1"/>
  <c r="J1978" i="13" s="1"/>
  <c r="N1979" i="13"/>
  <c r="M1982" i="14"/>
  <c r="K1792" i="13" l="1"/>
  <c r="L1792" i="13" s="1"/>
  <c r="I1793" i="13" s="1"/>
  <c r="K1815" i="14"/>
  <c r="L1815" i="14" s="1"/>
  <c r="I1816" i="14" s="1"/>
  <c r="J1979" i="13" a="1"/>
  <c r="J1979" i="13" s="1"/>
  <c r="N1980" i="13"/>
  <c r="J1978" i="14" a="1"/>
  <c r="J1978" i="14" s="1"/>
  <c r="N1979" i="14"/>
  <c r="M1983" i="14"/>
  <c r="M1982" i="13"/>
  <c r="K1793" i="13" l="1"/>
  <c r="L1793" i="13" s="1"/>
  <c r="I1794" i="13" s="1"/>
  <c r="K1816" i="14"/>
  <c r="L1816" i="14" s="1"/>
  <c r="I1817" i="14" s="1"/>
  <c r="N1980" i="14"/>
  <c r="J1979" i="14" a="1"/>
  <c r="J1979" i="14" s="1"/>
  <c r="M1983" i="13"/>
  <c r="J1980" i="13" a="1"/>
  <c r="J1980" i="13" s="1"/>
  <c r="N1981" i="13"/>
  <c r="M1984" i="14"/>
  <c r="K1794" i="13" l="1"/>
  <c r="L1794" i="13" s="1"/>
  <c r="I1795" i="13" s="1"/>
  <c r="M1984" i="13"/>
  <c r="K1817" i="14"/>
  <c r="L1817" i="14" s="1"/>
  <c r="I1818" i="14" s="1"/>
  <c r="M1985" i="14"/>
  <c r="N1982" i="13"/>
  <c r="J1981" i="13" a="1"/>
  <c r="J1981" i="13" s="1"/>
  <c r="J1980" i="14" a="1"/>
  <c r="J1980" i="14" s="1"/>
  <c r="N1981" i="14"/>
  <c r="K1795" i="13" l="1"/>
  <c r="L1795" i="13" s="1"/>
  <c r="I1796" i="13" s="1"/>
  <c r="K1818" i="14"/>
  <c r="L1818" i="14" s="1"/>
  <c r="I1819" i="14" s="1"/>
  <c r="J1981" i="14" a="1"/>
  <c r="J1981" i="14" s="1"/>
  <c r="N1982" i="14"/>
  <c r="M1985" i="13"/>
  <c r="M1986" i="14"/>
  <c r="J1982" i="13" a="1"/>
  <c r="J1982" i="13" s="1"/>
  <c r="N1983" i="13"/>
  <c r="K1796" i="13" l="1"/>
  <c r="L1796" i="13" s="1"/>
  <c r="I1797" i="13" s="1"/>
  <c r="K1819" i="14"/>
  <c r="L1819" i="14" s="1"/>
  <c r="I1820" i="14" s="1"/>
  <c r="J1982" i="14" a="1"/>
  <c r="J1982" i="14" s="1"/>
  <c r="N1983" i="14"/>
  <c r="J1983" i="13" a="1"/>
  <c r="J1983" i="13" s="1"/>
  <c r="N1984" i="13"/>
  <c r="M1986" i="13"/>
  <c r="M1987" i="14"/>
  <c r="K1797" i="13" l="1"/>
  <c r="L1797" i="13" s="1"/>
  <c r="I1798" i="13" s="1"/>
  <c r="K1820" i="14"/>
  <c r="L1820" i="14" s="1"/>
  <c r="I1821" i="14" s="1"/>
  <c r="J1984" i="13" a="1"/>
  <c r="J1984" i="13" s="1"/>
  <c r="N1985" i="13"/>
  <c r="M1988" i="14"/>
  <c r="N1984" i="14"/>
  <c r="J1983" i="14" a="1"/>
  <c r="J1983" i="14" s="1"/>
  <c r="M1987" i="13"/>
  <c r="K1798" i="13" l="1"/>
  <c r="L1798" i="13" s="1"/>
  <c r="I1799" i="13" s="1"/>
  <c r="K1821" i="14"/>
  <c r="L1821" i="14" s="1"/>
  <c r="I1822" i="14" s="1"/>
  <c r="M1988" i="13"/>
  <c r="M1989" i="14"/>
  <c r="N1986" i="13"/>
  <c r="J1985" i="13" a="1"/>
  <c r="J1985" i="13" s="1"/>
  <c r="J1984" i="14" a="1"/>
  <c r="J1984" i="14" s="1"/>
  <c r="N1985" i="14"/>
  <c r="K1799" i="13" l="1"/>
  <c r="L1799" i="13" s="1"/>
  <c r="I1800" i="13" s="1"/>
  <c r="K1822" i="14"/>
  <c r="L1822" i="14" s="1"/>
  <c r="I1823" i="14" s="1"/>
  <c r="M1990" i="14"/>
  <c r="J1985" i="14" a="1"/>
  <c r="J1985" i="14" s="1"/>
  <c r="N1986" i="14"/>
  <c r="M1989" i="13"/>
  <c r="J1986" i="13" a="1"/>
  <c r="J1986" i="13" s="1"/>
  <c r="N1987" i="13"/>
  <c r="K1800" i="13" l="1"/>
  <c r="L1800" i="13" s="1"/>
  <c r="I1801" i="13" s="1"/>
  <c r="K1823" i="14"/>
  <c r="L1823" i="14" s="1"/>
  <c r="I1824" i="14" s="1"/>
  <c r="J1986" i="14" a="1"/>
  <c r="J1986" i="14" s="1"/>
  <c r="N1987" i="14"/>
  <c r="J1987" i="13" a="1"/>
  <c r="J1987" i="13" s="1"/>
  <c r="N1988" i="13"/>
  <c r="M1991" i="14"/>
  <c r="M1990" i="13"/>
  <c r="K1801" i="13" l="1"/>
  <c r="L1801" i="13" s="1"/>
  <c r="I1802" i="13" s="1"/>
  <c r="K1824" i="14"/>
  <c r="L1824" i="14" s="1"/>
  <c r="I1825" i="14" s="1"/>
  <c r="N1988" i="14"/>
  <c r="J1987" i="14" a="1"/>
  <c r="J1987" i="14" s="1"/>
  <c r="M1992" i="14"/>
  <c r="J1988" i="13" a="1"/>
  <c r="J1988" i="13" s="1"/>
  <c r="N1989" i="13"/>
  <c r="M1991" i="13"/>
  <c r="K1802" i="13" l="1"/>
  <c r="L1802" i="13" s="1"/>
  <c r="I1803" i="13" s="1"/>
  <c r="K1825" i="14"/>
  <c r="L1825" i="14" s="1"/>
  <c r="I1826" i="14" s="1"/>
  <c r="N1990" i="13"/>
  <c r="J1989" i="13" a="1"/>
  <c r="J1989" i="13" s="1"/>
  <c r="J1988" i="14" a="1"/>
  <c r="J1988" i="14" s="1"/>
  <c r="N1989" i="14"/>
  <c r="M1992" i="13"/>
  <c r="M1993" i="14"/>
  <c r="K1803" i="13" l="1"/>
  <c r="L1803" i="13" s="1"/>
  <c r="I1804" i="13" s="1"/>
  <c r="K1826" i="14"/>
  <c r="L1826" i="14" s="1"/>
  <c r="I1827" i="14" s="1"/>
  <c r="M1993" i="13"/>
  <c r="J1989" i="14" a="1"/>
  <c r="J1989" i="14" s="1"/>
  <c r="N1990" i="14"/>
  <c r="M1994" i="14"/>
  <c r="J1990" i="13" a="1"/>
  <c r="J1990" i="13" s="1"/>
  <c r="N1991" i="13"/>
  <c r="K1804" i="13" l="1"/>
  <c r="L1804" i="13" s="1"/>
  <c r="I1805" i="13" s="1"/>
  <c r="K1827" i="14"/>
  <c r="L1827" i="14" s="1"/>
  <c r="I1828" i="14" s="1"/>
  <c r="J1991" i="13" a="1"/>
  <c r="J1991" i="13" s="1"/>
  <c r="N1992" i="13"/>
  <c r="J1990" i="14" a="1"/>
  <c r="J1990" i="14" s="1"/>
  <c r="N1991" i="14"/>
  <c r="M1995" i="14"/>
  <c r="M1994" i="13"/>
  <c r="K1805" i="13" l="1"/>
  <c r="L1805" i="13" s="1"/>
  <c r="I1806" i="13" s="1"/>
  <c r="K1828" i="14"/>
  <c r="L1828" i="14" s="1"/>
  <c r="I1829" i="14" s="1"/>
  <c r="N1992" i="14"/>
  <c r="J1991" i="14" a="1"/>
  <c r="J1991" i="14" s="1"/>
  <c r="M1996" i="14"/>
  <c r="M1995" i="13"/>
  <c r="J1992" i="13" a="1"/>
  <c r="J1992" i="13" s="1"/>
  <c r="N1993" i="13"/>
  <c r="K1806" i="13" l="1"/>
  <c r="L1806" i="13" s="1"/>
  <c r="I1807" i="13" s="1"/>
  <c r="M1996" i="13"/>
  <c r="N1994" i="13"/>
  <c r="J1993" i="13" a="1"/>
  <c r="J1993" i="13" s="1"/>
  <c r="M1997" i="14"/>
  <c r="J1992" i="14" a="1"/>
  <c r="J1992" i="14" s="1"/>
  <c r="N1993" i="14"/>
  <c r="K1829" i="14"/>
  <c r="L1829" i="14" s="1"/>
  <c r="I1830" i="14" s="1"/>
  <c r="K1807" i="13" l="1"/>
  <c r="L1807" i="13" s="1"/>
  <c r="I1808" i="13" s="1"/>
  <c r="K1830" i="14"/>
  <c r="L1830" i="14" s="1"/>
  <c r="I1831" i="14" s="1"/>
  <c r="J1993" i="14" a="1"/>
  <c r="J1993" i="14" s="1"/>
  <c r="N1994" i="14"/>
  <c r="M1997" i="13"/>
  <c r="M1998" i="14"/>
  <c r="J1994" i="13" a="1"/>
  <c r="J1994" i="13" s="1"/>
  <c r="N1995" i="13"/>
  <c r="K1808" i="13" l="1"/>
  <c r="L1808" i="13" s="1"/>
  <c r="I1809" i="13" s="1"/>
  <c r="K1831" i="14"/>
  <c r="L1831" i="14" s="1"/>
  <c r="I1832" i="14" s="1"/>
  <c r="J1995" i="13" a="1"/>
  <c r="J1995" i="13" s="1"/>
  <c r="N1996" i="13"/>
  <c r="M1998" i="13"/>
  <c r="M1999" i="14"/>
  <c r="J1994" i="14" a="1"/>
  <c r="J1994" i="14" s="1"/>
  <c r="N1995" i="14"/>
  <c r="K1809" i="13" l="1"/>
  <c r="L1809" i="13" s="1"/>
  <c r="I1810" i="13" s="1"/>
  <c r="N1996" i="14"/>
  <c r="J1995" i="14" a="1"/>
  <c r="J1995" i="14" s="1"/>
  <c r="M1999" i="13"/>
  <c r="K1832" i="14"/>
  <c r="L1832" i="14" s="1"/>
  <c r="I1833" i="14" s="1"/>
  <c r="J1996" i="13" a="1"/>
  <c r="J1996" i="13" s="1"/>
  <c r="N1997" i="13"/>
  <c r="M2000" i="14"/>
  <c r="K1810" i="13" l="1"/>
  <c r="L1810" i="13" s="1"/>
  <c r="I1811" i="13" s="1"/>
  <c r="K1833" i="14"/>
  <c r="L1833" i="14" s="1"/>
  <c r="I1834" i="14" s="1"/>
  <c r="N1998" i="13"/>
  <c r="J1997" i="13" a="1"/>
  <c r="J1997" i="13" s="1"/>
  <c r="M2001" i="14"/>
  <c r="J1996" i="14" a="1"/>
  <c r="J1996" i="14" s="1"/>
  <c r="N1997" i="14"/>
  <c r="M2000" i="13"/>
  <c r="K1811" i="13" l="1"/>
  <c r="L1811" i="13" s="1"/>
  <c r="I1812" i="13" s="1"/>
  <c r="K1834" i="14"/>
  <c r="L1834" i="14" s="1"/>
  <c r="I1835" i="14" s="1"/>
  <c r="J1997" i="14" a="1"/>
  <c r="J1997" i="14" s="1"/>
  <c r="N1998" i="14"/>
  <c r="M2001" i="13"/>
  <c r="M2002" i="14"/>
  <c r="J1998" i="13" a="1"/>
  <c r="J1998" i="13" s="1"/>
  <c r="N1999" i="13"/>
  <c r="K1812" i="13" l="1"/>
  <c r="L1812" i="13" s="1"/>
  <c r="I1813" i="13" s="1"/>
  <c r="K1835" i="14"/>
  <c r="L1835" i="14" s="1"/>
  <c r="I1836" i="14" s="1"/>
  <c r="J1999" i="13" a="1"/>
  <c r="J1999" i="13" s="1"/>
  <c r="N2000" i="13"/>
  <c r="J1998" i="14" a="1"/>
  <c r="J1998" i="14" s="1"/>
  <c r="N1999" i="14"/>
  <c r="M2002" i="13"/>
  <c r="M2003" i="14"/>
  <c r="K1813" i="13" l="1"/>
  <c r="L1813" i="13" s="1"/>
  <c r="I1814" i="13" s="1"/>
  <c r="K1836" i="14"/>
  <c r="L1836" i="14" s="1"/>
  <c r="I1837" i="14" s="1"/>
  <c r="N2000" i="14"/>
  <c r="J1999" i="14" a="1"/>
  <c r="J1999" i="14" s="1"/>
  <c r="M2003" i="13"/>
  <c r="M2004" i="14"/>
  <c r="J2000" i="13" a="1"/>
  <c r="J2000" i="13" s="1"/>
  <c r="N2001" i="13"/>
  <c r="K1814" i="13" l="1"/>
  <c r="L1814" i="13" s="1"/>
  <c r="I1815" i="13" s="1"/>
  <c r="K1837" i="14"/>
  <c r="L1837" i="14" s="1"/>
  <c r="I1838" i="14" s="1"/>
  <c r="N2002" i="13"/>
  <c r="J2001" i="13" a="1"/>
  <c r="J2001" i="13" s="1"/>
  <c r="M2004" i="13"/>
  <c r="M2005" i="14"/>
  <c r="J2000" i="14" a="1"/>
  <c r="J2000" i="14" s="1"/>
  <c r="N2001" i="14"/>
  <c r="K1815" i="13" l="1"/>
  <c r="L1815" i="13" s="1"/>
  <c r="I1816" i="13" s="1"/>
  <c r="K1838" i="14"/>
  <c r="L1838" i="14" s="1"/>
  <c r="I1839" i="14" s="1"/>
  <c r="M2006" i="14"/>
  <c r="J2002" i="13" a="1"/>
  <c r="J2002" i="13" s="1"/>
  <c r="N2003" i="13"/>
  <c r="M2005" i="13"/>
  <c r="J2001" i="14" a="1"/>
  <c r="J2001" i="14" s="1"/>
  <c r="N2002" i="14"/>
  <c r="K1816" i="13" l="1"/>
  <c r="L1816" i="13" s="1"/>
  <c r="I1817" i="13" s="1"/>
  <c r="K1839" i="14"/>
  <c r="L1839" i="14" s="1"/>
  <c r="I1840" i="14" s="1"/>
  <c r="J2002" i="14" a="1"/>
  <c r="J2002" i="14" s="1"/>
  <c r="N2003" i="14"/>
  <c r="J2003" i="13" a="1"/>
  <c r="J2003" i="13" s="1"/>
  <c r="N2004" i="13"/>
  <c r="M2007" i="14"/>
  <c r="M2006" i="13"/>
  <c r="K1817" i="13" l="1"/>
  <c r="L1817" i="13" s="1"/>
  <c r="I1818" i="13" s="1"/>
  <c r="K1840" i="14"/>
  <c r="L1840" i="14" s="1"/>
  <c r="I1841" i="14" s="1"/>
  <c r="J2004" i="13" a="1"/>
  <c r="J2004" i="13" s="1"/>
  <c r="N2005" i="13"/>
  <c r="M2008" i="14"/>
  <c r="M2007" i="13"/>
  <c r="N2004" i="14"/>
  <c r="J2003" i="14" a="1"/>
  <c r="J2003" i="14" s="1"/>
  <c r="K1818" i="13" l="1"/>
  <c r="L1818" i="13" s="1"/>
  <c r="I1819" i="13" s="1"/>
  <c r="K1841" i="14"/>
  <c r="L1841" i="14" s="1"/>
  <c r="I1842" i="14" s="1"/>
  <c r="N2006" i="13"/>
  <c r="J2005" i="13" a="1"/>
  <c r="J2005" i="13" s="1"/>
  <c r="M2008" i="13"/>
  <c r="J2004" i="14" a="1"/>
  <c r="J2004" i="14" s="1"/>
  <c r="N2005" i="14"/>
  <c r="M2009" i="14"/>
  <c r="K1819" i="13" l="1"/>
  <c r="L1819" i="13" s="1"/>
  <c r="I1820" i="13" s="1"/>
  <c r="K1842" i="14"/>
  <c r="L1842" i="14" s="1"/>
  <c r="I1843" i="14" s="1"/>
  <c r="M2009" i="13"/>
  <c r="M2010" i="14"/>
  <c r="J2005" i="14" a="1"/>
  <c r="J2005" i="14" s="1"/>
  <c r="N2006" i="14"/>
  <c r="J2006" i="13" a="1"/>
  <c r="J2006" i="13" s="1"/>
  <c r="N2007" i="13"/>
  <c r="K1820" i="13" l="1"/>
  <c r="L1820" i="13" s="1"/>
  <c r="I1821" i="13" s="1"/>
  <c r="K1843" i="14"/>
  <c r="L1843" i="14" s="1"/>
  <c r="I1844" i="14" s="1"/>
  <c r="M2011" i="14"/>
  <c r="J2007" i="13" a="1"/>
  <c r="J2007" i="13" s="1"/>
  <c r="N2008" i="13"/>
  <c r="J2006" i="14" a="1"/>
  <c r="J2006" i="14" s="1"/>
  <c r="N2007" i="14"/>
  <c r="M2010" i="13"/>
  <c r="K1821" i="13" l="1"/>
  <c r="L1821" i="13" s="1"/>
  <c r="I1822" i="13" s="1"/>
  <c r="K1844" i="14"/>
  <c r="L1844" i="14" s="1"/>
  <c r="I1845" i="14" s="1"/>
  <c r="J2008" i="13" a="1"/>
  <c r="J2008" i="13" s="1"/>
  <c r="N2009" i="13"/>
  <c r="N2008" i="14"/>
  <c r="J2007" i="14" a="1"/>
  <c r="J2007" i="14" s="1"/>
  <c r="M2011" i="13"/>
  <c r="M2012" i="14"/>
  <c r="K1822" i="13" l="1"/>
  <c r="L1822" i="13" s="1"/>
  <c r="I1823" i="13" s="1"/>
  <c r="K1845" i="14"/>
  <c r="L1845" i="14" s="1"/>
  <c r="I1846" i="14" s="1"/>
  <c r="M2012" i="13"/>
  <c r="M2013" i="14"/>
  <c r="J2008" i="14" a="1"/>
  <c r="J2008" i="14" s="1"/>
  <c r="N2009" i="14"/>
  <c r="N2010" i="13"/>
  <c r="J2009" i="13" a="1"/>
  <c r="J2009" i="13" s="1"/>
  <c r="K1823" i="13" l="1"/>
  <c r="L1823" i="13" s="1"/>
  <c r="I1824" i="13" s="1"/>
  <c r="K1846" i="14"/>
  <c r="L1846" i="14" s="1"/>
  <c r="I1847" i="14" s="1"/>
  <c r="J2010" i="13" a="1"/>
  <c r="J2010" i="13" s="1"/>
  <c r="N2011" i="13"/>
  <c r="M2014" i="14"/>
  <c r="J2009" i="14" a="1"/>
  <c r="J2009" i="14" s="1"/>
  <c r="N2010" i="14"/>
  <c r="M2013" i="13"/>
  <c r="K1824" i="13" l="1"/>
  <c r="L1824" i="13" s="1"/>
  <c r="I1825" i="13" s="1"/>
  <c r="K1847" i="14"/>
  <c r="L1847" i="14" s="1"/>
  <c r="I1848" i="14" s="1"/>
  <c r="J2010" i="14" a="1"/>
  <c r="J2010" i="14" s="1"/>
  <c r="N2011" i="14"/>
  <c r="M2015" i="14"/>
  <c r="M2014" i="13"/>
  <c r="J2011" i="13" a="1"/>
  <c r="J2011" i="13" s="1"/>
  <c r="N2012" i="13"/>
  <c r="K1825" i="13" l="1"/>
  <c r="L1825" i="13" s="1"/>
  <c r="I1826" i="13" s="1"/>
  <c r="K1848" i="14"/>
  <c r="L1848" i="14" s="1"/>
  <c r="I1849" i="14" s="1"/>
  <c r="J2012" i="13" a="1"/>
  <c r="J2012" i="13" s="1"/>
  <c r="N2013" i="13"/>
  <c r="M2016" i="14"/>
  <c r="N2012" i="14"/>
  <c r="J2011" i="14" a="1"/>
  <c r="J2011" i="14" s="1"/>
  <c r="M2015" i="13"/>
  <c r="K1826" i="13" l="1"/>
  <c r="L1826" i="13" s="1"/>
  <c r="I1827" i="13" s="1"/>
  <c r="K1849" i="14"/>
  <c r="L1849" i="14" s="1"/>
  <c r="I1850" i="14" s="1"/>
  <c r="M2016" i="13"/>
  <c r="M2017" i="14"/>
  <c r="N2014" i="13"/>
  <c r="J2013" i="13" a="1"/>
  <c r="J2013" i="13" s="1"/>
  <c r="J2012" i="14" a="1"/>
  <c r="J2012" i="14" s="1"/>
  <c r="N2013" i="14"/>
  <c r="K1827" i="13" l="1"/>
  <c r="L1827" i="13" s="1"/>
  <c r="I1828" i="13" s="1"/>
  <c r="K1850" i="14"/>
  <c r="L1850" i="14" s="1"/>
  <c r="I1851" i="14" s="1"/>
  <c r="M2018" i="14"/>
  <c r="M2017" i="13"/>
  <c r="J2013" i="14" a="1"/>
  <c r="J2013" i="14" s="1"/>
  <c r="N2014" i="14"/>
  <c r="J2014" i="13" a="1"/>
  <c r="J2014" i="13" s="1"/>
  <c r="N2015" i="13"/>
  <c r="K1828" i="13" l="1"/>
  <c r="L1828" i="13" s="1"/>
  <c r="I1829" i="13" s="1"/>
  <c r="K1851" i="14"/>
  <c r="L1851" i="14" s="1"/>
  <c r="I1852" i="14" s="1"/>
  <c r="J2015" i="13" a="1"/>
  <c r="J2015" i="13" s="1"/>
  <c r="N2016" i="13"/>
  <c r="M2018" i="13"/>
  <c r="J2014" i="14" a="1"/>
  <c r="J2014" i="14" s="1"/>
  <c r="N2015" i="14"/>
  <c r="M2019" i="14"/>
  <c r="K1829" i="13" l="1"/>
  <c r="L1829" i="13" s="1"/>
  <c r="I1830" i="13" s="1"/>
  <c r="K1852" i="14"/>
  <c r="L1852" i="14" s="1"/>
  <c r="I1853" i="14" s="1"/>
  <c r="N2016" i="14"/>
  <c r="J2015" i="14" a="1"/>
  <c r="J2015" i="14" s="1"/>
  <c r="M2020" i="14"/>
  <c r="M2019" i="13"/>
  <c r="J2016" i="13" a="1"/>
  <c r="J2016" i="13" s="1"/>
  <c r="N2017" i="13"/>
  <c r="K1830" i="13" l="1"/>
  <c r="L1830" i="13" s="1"/>
  <c r="I1831" i="13" s="1"/>
  <c r="K1853" i="14"/>
  <c r="L1853" i="14" s="1"/>
  <c r="I1854" i="14" s="1"/>
  <c r="M2021" i="14"/>
  <c r="N2018" i="13"/>
  <c r="J2017" i="13" a="1"/>
  <c r="J2017" i="13" s="1"/>
  <c r="M2020" i="13"/>
  <c r="J2016" i="14" a="1"/>
  <c r="J2016" i="14" s="1"/>
  <c r="N2017" i="14"/>
  <c r="K1831" i="13" l="1"/>
  <c r="L1831" i="13" s="1"/>
  <c r="I1832" i="13" s="1"/>
  <c r="K1854" i="14"/>
  <c r="L1854" i="14" s="1"/>
  <c r="I1855" i="14" s="1"/>
  <c r="J2017" i="14" a="1"/>
  <c r="J2017" i="14" s="1"/>
  <c r="N2018" i="14"/>
  <c r="J2018" i="13" a="1"/>
  <c r="J2018" i="13" s="1"/>
  <c r="N2019" i="13"/>
  <c r="M2021" i="13"/>
  <c r="M2022" i="14"/>
  <c r="K1832" i="13" l="1"/>
  <c r="L1832" i="13" s="1"/>
  <c r="I1833" i="13" s="1"/>
  <c r="K1855" i="14"/>
  <c r="L1855" i="14" s="1"/>
  <c r="I1856" i="14" s="1"/>
  <c r="M2023" i="14"/>
  <c r="J2019" i="13" a="1"/>
  <c r="J2019" i="13" s="1"/>
  <c r="N2020" i="13"/>
  <c r="M2022" i="13"/>
  <c r="J2018" i="14" a="1"/>
  <c r="J2018" i="14" s="1"/>
  <c r="N2019" i="14"/>
  <c r="K1833" i="13" l="1"/>
  <c r="L1833" i="13" s="1"/>
  <c r="I1834" i="13" s="1"/>
  <c r="K1856" i="14"/>
  <c r="L1856" i="14" s="1"/>
  <c r="I1857" i="14" s="1"/>
  <c r="J2020" i="13" a="1"/>
  <c r="J2020" i="13" s="1"/>
  <c r="N2021" i="13"/>
  <c r="N2020" i="14"/>
  <c r="J2019" i="14" a="1"/>
  <c r="J2019" i="14" s="1"/>
  <c r="M2023" i="13"/>
  <c r="M2024" i="14"/>
  <c r="K1834" i="13" l="1"/>
  <c r="L1834" i="13" s="1"/>
  <c r="I1835" i="13" s="1"/>
  <c r="K1857" i="14"/>
  <c r="L1857" i="14" s="1"/>
  <c r="I1858" i="14" s="1"/>
  <c r="J2020" i="14" a="1"/>
  <c r="J2020" i="14" s="1"/>
  <c r="N2021" i="14"/>
  <c r="N2022" i="13"/>
  <c r="J2021" i="13" a="1"/>
  <c r="J2021" i="13" s="1"/>
  <c r="M2025" i="14"/>
  <c r="M2024" i="13"/>
  <c r="K1835" i="13" l="1"/>
  <c r="L1835" i="13" s="1"/>
  <c r="I1836" i="13" s="1"/>
  <c r="K1858" i="14"/>
  <c r="L1858" i="14" s="1"/>
  <c r="I1859" i="14" s="1"/>
  <c r="M2025" i="13"/>
  <c r="J2022" i="13" a="1"/>
  <c r="J2022" i="13" s="1"/>
  <c r="N2023" i="13"/>
  <c r="J2021" i="14" a="1"/>
  <c r="J2021" i="14" s="1"/>
  <c r="N2022" i="14"/>
  <c r="M2026" i="14"/>
  <c r="K1836" i="13" l="1"/>
  <c r="L1836" i="13" s="1"/>
  <c r="I1837" i="13" s="1"/>
  <c r="K1859" i="14"/>
  <c r="L1859" i="14" s="1"/>
  <c r="I1860" i="14" s="1"/>
  <c r="J2023" i="13" a="1"/>
  <c r="J2023" i="13" s="1"/>
  <c r="N2024" i="13"/>
  <c r="J2022" i="14" a="1"/>
  <c r="J2022" i="14" s="1"/>
  <c r="N2023" i="14"/>
  <c r="M2027" i="14"/>
  <c r="M2026" i="13"/>
  <c r="K1837" i="13" l="1"/>
  <c r="L1837" i="13" s="1"/>
  <c r="I1838" i="13" s="1"/>
  <c r="K1860" i="14"/>
  <c r="L1860" i="14" s="1"/>
  <c r="I1861" i="14" s="1"/>
  <c r="M2028" i="14"/>
  <c r="N2024" i="14"/>
  <c r="J2023" i="14" a="1"/>
  <c r="J2023" i="14" s="1"/>
  <c r="M2027" i="13"/>
  <c r="J2024" i="13" a="1"/>
  <c r="J2024" i="13" s="1"/>
  <c r="N2025" i="13"/>
  <c r="K1838" i="13" l="1"/>
  <c r="L1838" i="13" s="1"/>
  <c r="I1839" i="13" s="1"/>
  <c r="K1861" i="14"/>
  <c r="L1861" i="14" s="1"/>
  <c r="I1862" i="14" s="1"/>
  <c r="N2026" i="13"/>
  <c r="J2025" i="13" a="1"/>
  <c r="J2025" i="13" s="1"/>
  <c r="J2024" i="14" a="1"/>
  <c r="J2024" i="14" s="1"/>
  <c r="N2025" i="14"/>
  <c r="M2028" i="13"/>
  <c r="M2029" i="14"/>
  <c r="K1839" i="13" l="1"/>
  <c r="L1839" i="13" s="1"/>
  <c r="I1840" i="13" s="1"/>
  <c r="K1862" i="14"/>
  <c r="L1862" i="14" s="1"/>
  <c r="I1863" i="14" s="1"/>
  <c r="J2025" i="14" a="1"/>
  <c r="J2025" i="14" s="1"/>
  <c r="N2026" i="14"/>
  <c r="M2030" i="14"/>
  <c r="M2029" i="13"/>
  <c r="J2026" i="13" a="1"/>
  <c r="J2026" i="13" s="1"/>
  <c r="N2027" i="13"/>
  <c r="K1840" i="13" l="1"/>
  <c r="L1840" i="13" s="1"/>
  <c r="I1841" i="13" s="1"/>
  <c r="K1863" i="14"/>
  <c r="L1863" i="14" s="1"/>
  <c r="I1864" i="14" s="1"/>
  <c r="J2027" i="13" a="1"/>
  <c r="J2027" i="13" s="1"/>
  <c r="N2028" i="13"/>
  <c r="M2031" i="14"/>
  <c r="J2026" i="14" a="1"/>
  <c r="J2026" i="14" s="1"/>
  <c r="N2027" i="14"/>
  <c r="M2030" i="13"/>
  <c r="K1841" i="13" l="1"/>
  <c r="L1841" i="13" s="1"/>
  <c r="I1842" i="13" s="1"/>
  <c r="K1864" i="14"/>
  <c r="L1864" i="14" s="1"/>
  <c r="I1865" i="14" s="1"/>
  <c r="N2028" i="14"/>
  <c r="J2027" i="14" a="1"/>
  <c r="J2027" i="14" s="1"/>
  <c r="J2028" i="13" a="1"/>
  <c r="J2028" i="13" s="1"/>
  <c r="N2029" i="13"/>
  <c r="M2031" i="13"/>
  <c r="M2032" i="14"/>
  <c r="K1842" i="13" l="1"/>
  <c r="L1842" i="13" s="1"/>
  <c r="I1843" i="13" s="1"/>
  <c r="M2032" i="13"/>
  <c r="N2030" i="13"/>
  <c r="J2029" i="13" a="1"/>
  <c r="J2029" i="13" s="1"/>
  <c r="K1865" i="14"/>
  <c r="L1865" i="14" s="1"/>
  <c r="I1866" i="14" s="1"/>
  <c r="M2033" i="14"/>
  <c r="J2028" i="14" a="1"/>
  <c r="J2028" i="14" s="1"/>
  <c r="N2029" i="14"/>
  <c r="K1843" i="13" l="1"/>
  <c r="L1843" i="13" s="1"/>
  <c r="I1844" i="13" s="1"/>
  <c r="K1866" i="14"/>
  <c r="L1866" i="14" s="1"/>
  <c r="I1867" i="14" s="1"/>
  <c r="M2033" i="13"/>
  <c r="M2034" i="14"/>
  <c r="J2029" i="14" a="1"/>
  <c r="J2029" i="14" s="1"/>
  <c r="N2030" i="14"/>
  <c r="J2030" i="13" a="1"/>
  <c r="J2030" i="13" s="1"/>
  <c r="N2031" i="13"/>
  <c r="K1844" i="13" l="1"/>
  <c r="L1844" i="13" s="1"/>
  <c r="I1845" i="13" s="1"/>
  <c r="J2031" i="13" a="1"/>
  <c r="J2031" i="13" s="1"/>
  <c r="N2032" i="13"/>
  <c r="M2035" i="14"/>
  <c r="J2030" i="14" a="1"/>
  <c r="J2030" i="14" s="1"/>
  <c r="N2031" i="14"/>
  <c r="M2034" i="13"/>
  <c r="K1867" i="14"/>
  <c r="L1867" i="14" s="1"/>
  <c r="I1868" i="14" s="1"/>
  <c r="K1845" i="13" l="1"/>
  <c r="L1845" i="13" s="1"/>
  <c r="I1846" i="13" s="1"/>
  <c r="K1868" i="14"/>
  <c r="L1868" i="14" s="1"/>
  <c r="I1869" i="14" s="1"/>
  <c r="J2032" i="13" a="1"/>
  <c r="J2032" i="13" s="1"/>
  <c r="N2033" i="13"/>
  <c r="N2032" i="14"/>
  <c r="J2031" i="14" a="1"/>
  <c r="J2031" i="14" s="1"/>
  <c r="M2035" i="13"/>
  <c r="M2036" i="14"/>
  <c r="K1846" i="13" l="1"/>
  <c r="L1846" i="13" s="1"/>
  <c r="I1847" i="13" s="1"/>
  <c r="K1869" i="14"/>
  <c r="L1869" i="14" s="1"/>
  <c r="I1870" i="14" s="1"/>
  <c r="N2034" i="13"/>
  <c r="J2033" i="13" a="1"/>
  <c r="J2033" i="13" s="1"/>
  <c r="M2036" i="13"/>
  <c r="M2037" i="14"/>
  <c r="J2032" i="14" a="1"/>
  <c r="J2032" i="14" s="1"/>
  <c r="N2033" i="14"/>
  <c r="K1847" i="13" l="1"/>
  <c r="L1847" i="13" s="1"/>
  <c r="I1848" i="13" s="1"/>
  <c r="K1870" i="14"/>
  <c r="L1870" i="14" s="1"/>
  <c r="I1871" i="14" s="1"/>
  <c r="J2033" i="14" a="1"/>
  <c r="J2033" i="14" s="1"/>
  <c r="N2034" i="14"/>
  <c r="M2037" i="13"/>
  <c r="M2038" i="14"/>
  <c r="J2034" i="13" a="1"/>
  <c r="J2034" i="13" s="1"/>
  <c r="N2035" i="13"/>
  <c r="K1848" i="13" l="1"/>
  <c r="L1848" i="13" s="1"/>
  <c r="I1849" i="13" s="1"/>
  <c r="K1871" i="14"/>
  <c r="L1871" i="14" s="1"/>
  <c r="I1872" i="14" s="1"/>
  <c r="J2035" i="13" a="1"/>
  <c r="J2035" i="13" s="1"/>
  <c r="N2036" i="13"/>
  <c r="M2038" i="13"/>
  <c r="J2034" i="14" a="1"/>
  <c r="J2034" i="14" s="1"/>
  <c r="N2035" i="14"/>
  <c r="M2039" i="14"/>
  <c r="K1849" i="13" l="1"/>
  <c r="L1849" i="13" s="1"/>
  <c r="I1850" i="13" s="1"/>
  <c r="K1872" i="14"/>
  <c r="L1872" i="14" s="1"/>
  <c r="I1873" i="14" s="1"/>
  <c r="J2036" i="13" a="1"/>
  <c r="J2036" i="13" s="1"/>
  <c r="N2037" i="13"/>
  <c r="N2036" i="14"/>
  <c r="J2035" i="14" a="1"/>
  <c r="J2035" i="14" s="1"/>
  <c r="M2040" i="14"/>
  <c r="M2039" i="13"/>
  <c r="K1850" i="13" l="1"/>
  <c r="L1850" i="13" s="1"/>
  <c r="I1851" i="13" s="1"/>
  <c r="K1873" i="14"/>
  <c r="L1873" i="14" s="1"/>
  <c r="I1874" i="14" s="1"/>
  <c r="N2038" i="13"/>
  <c r="J2037" i="13" a="1"/>
  <c r="J2037" i="13" s="1"/>
  <c r="M2041" i="14"/>
  <c r="M2040" i="13"/>
  <c r="J2036" i="14" a="1"/>
  <c r="J2036" i="14" s="1"/>
  <c r="N2037" i="14"/>
  <c r="K1851" i="13" l="1"/>
  <c r="L1851" i="13" s="1"/>
  <c r="I1852" i="13" s="1"/>
  <c r="K1874" i="14"/>
  <c r="L1874" i="14" s="1"/>
  <c r="I1875" i="14" s="1"/>
  <c r="J2037" i="14" a="1"/>
  <c r="J2037" i="14" s="1"/>
  <c r="N2038" i="14"/>
  <c r="M2042" i="14"/>
  <c r="M2041" i="13"/>
  <c r="J2038" i="13" a="1"/>
  <c r="J2038" i="13" s="1"/>
  <c r="N2039" i="13"/>
  <c r="K1852" i="13" l="1"/>
  <c r="L1852" i="13" s="1"/>
  <c r="I1853" i="13" s="1"/>
  <c r="K1875" i="14"/>
  <c r="L1875" i="14" s="1"/>
  <c r="I1876" i="14" s="1"/>
  <c r="J2039" i="13" a="1"/>
  <c r="J2039" i="13" s="1"/>
  <c r="N2040" i="13"/>
  <c r="M2043" i="14"/>
  <c r="J2038" i="14" a="1"/>
  <c r="J2038" i="14" s="1"/>
  <c r="N2039" i="14"/>
  <c r="M2042" i="13"/>
  <c r="K1853" i="13" l="1"/>
  <c r="L1853" i="13" s="1"/>
  <c r="I1854" i="13" s="1"/>
  <c r="K1876" i="14"/>
  <c r="L1876" i="14" s="1"/>
  <c r="I1877" i="14" s="1"/>
  <c r="N2040" i="14"/>
  <c r="J2039" i="14" a="1"/>
  <c r="J2039" i="14" s="1"/>
  <c r="J2040" i="13" a="1"/>
  <c r="J2040" i="13" s="1"/>
  <c r="N2041" i="13"/>
  <c r="M2043" i="13"/>
  <c r="M2044" i="14"/>
  <c r="K1854" i="13" l="1"/>
  <c r="L1854" i="13" s="1"/>
  <c r="I1855" i="13" s="1"/>
  <c r="K1877" i="14"/>
  <c r="L1877" i="14" s="1"/>
  <c r="I1878" i="14" s="1"/>
  <c r="N2042" i="13"/>
  <c r="J2041" i="13" a="1"/>
  <c r="J2041" i="13" s="1"/>
  <c r="M2045" i="14"/>
  <c r="M2044" i="13"/>
  <c r="J2040" i="14" a="1"/>
  <c r="J2040" i="14" s="1"/>
  <c r="N2041" i="14"/>
  <c r="K1855" i="13" l="1"/>
  <c r="L1855" i="13" s="1"/>
  <c r="I1856" i="13" s="1"/>
  <c r="K1878" i="14"/>
  <c r="L1878" i="14" s="1"/>
  <c r="I1879" i="14" s="1"/>
  <c r="J2041" i="14" a="1"/>
  <c r="J2041" i="14" s="1"/>
  <c r="N2042" i="14"/>
  <c r="M2046" i="14"/>
  <c r="M2045" i="13"/>
  <c r="J2042" i="13" a="1"/>
  <c r="J2042" i="13" s="1"/>
  <c r="N2043" i="13"/>
  <c r="K1856" i="13" l="1"/>
  <c r="L1856" i="13" s="1"/>
  <c r="I1857" i="13" s="1"/>
  <c r="K1879" i="14"/>
  <c r="L1879" i="14" s="1"/>
  <c r="I1880" i="14" s="1"/>
  <c r="M2046" i="13"/>
  <c r="J2043" i="13" a="1"/>
  <c r="J2043" i="13" s="1"/>
  <c r="N2044" i="13"/>
  <c r="M2047" i="14"/>
  <c r="J2042" i="14" a="1"/>
  <c r="J2042" i="14" s="1"/>
  <c r="N2043" i="14"/>
  <c r="K1857" i="13" l="1"/>
  <c r="L1857" i="13" s="1"/>
  <c r="I1858" i="13" s="1"/>
  <c r="K1880" i="14"/>
  <c r="L1880" i="14" s="1"/>
  <c r="I1881" i="14" s="1"/>
  <c r="N2044" i="14"/>
  <c r="J2043" i="14" a="1"/>
  <c r="J2043" i="14" s="1"/>
  <c r="J2044" i="13" a="1"/>
  <c r="J2044" i="13" s="1"/>
  <c r="N2045" i="13"/>
  <c r="M2048" i="14"/>
  <c r="M2047" i="13"/>
  <c r="K1858" i="13" l="1"/>
  <c r="L1858" i="13" s="1"/>
  <c r="I1859" i="13" s="1"/>
  <c r="K1881" i="14"/>
  <c r="L1881" i="14" s="1"/>
  <c r="I1882" i="14" s="1"/>
  <c r="N2046" i="13"/>
  <c r="J2045" i="13" a="1"/>
  <c r="J2045" i="13" s="1"/>
  <c r="M2049" i="14"/>
  <c r="M2048" i="13"/>
  <c r="J2044" i="14" a="1"/>
  <c r="J2044" i="14" s="1"/>
  <c r="N2045" i="14"/>
  <c r="K1859" i="13" l="1"/>
  <c r="L1859" i="13" s="1"/>
  <c r="I1860" i="13" s="1"/>
  <c r="K1882" i="14"/>
  <c r="L1882" i="14" s="1"/>
  <c r="I1883" i="14" s="1"/>
  <c r="J2045" i="14" a="1"/>
  <c r="J2045" i="14" s="1"/>
  <c r="N2046" i="14"/>
  <c r="M2049" i="13"/>
  <c r="J2046" i="13" a="1"/>
  <c r="J2046" i="13" s="1"/>
  <c r="N2047" i="13"/>
  <c r="M2050" i="14"/>
  <c r="K1860" i="13" l="1"/>
  <c r="L1860" i="13" s="1"/>
  <c r="I1861" i="13" s="1"/>
  <c r="K1883" i="14"/>
  <c r="L1883" i="14" s="1"/>
  <c r="I1884" i="14" s="1"/>
  <c r="M2051" i="14"/>
  <c r="M2050" i="13"/>
  <c r="J2047" i="13" a="1"/>
  <c r="J2047" i="13" s="1"/>
  <c r="N2048" i="13"/>
  <c r="J2046" i="14" a="1"/>
  <c r="J2046" i="14" s="1"/>
  <c r="N2047" i="14"/>
  <c r="K1861" i="13" l="1"/>
  <c r="L1861" i="13" s="1"/>
  <c r="I1862" i="13" s="1"/>
  <c r="K1884" i="14"/>
  <c r="L1884" i="14" s="1"/>
  <c r="I1885" i="14" s="1"/>
  <c r="N2048" i="14"/>
  <c r="J2047" i="14" a="1"/>
  <c r="J2047" i="14" s="1"/>
  <c r="M2051" i="13"/>
  <c r="J2048" i="13" a="1"/>
  <c r="J2048" i="13" s="1"/>
  <c r="N2049" i="13"/>
  <c r="M2052" i="14"/>
  <c r="K1862" i="13" l="1"/>
  <c r="L1862" i="13" s="1"/>
  <c r="I1863" i="13" s="1"/>
  <c r="K1885" i="14"/>
  <c r="L1885" i="14" s="1"/>
  <c r="I1886" i="14" s="1"/>
  <c r="N2050" i="13"/>
  <c r="J2049" i="13" a="1"/>
  <c r="J2049" i="13" s="1"/>
  <c r="M2053" i="14"/>
  <c r="M2052" i="13"/>
  <c r="J2048" i="14" a="1"/>
  <c r="J2048" i="14" s="1"/>
  <c r="N2049" i="14"/>
  <c r="K1863" i="13" l="1"/>
  <c r="L1863" i="13" s="1"/>
  <c r="I1864" i="13" s="1"/>
  <c r="K1886" i="14"/>
  <c r="L1886" i="14" s="1"/>
  <c r="I1887" i="14" s="1"/>
  <c r="J2049" i="14" a="1"/>
  <c r="J2049" i="14" s="1"/>
  <c r="N2050" i="14"/>
  <c r="M2054" i="14"/>
  <c r="M2053" i="13"/>
  <c r="J2050" i="13" a="1"/>
  <c r="J2050" i="13" s="1"/>
  <c r="N2051" i="13"/>
  <c r="K1864" i="13" l="1"/>
  <c r="L1864" i="13" s="1"/>
  <c r="I1865" i="13" s="1"/>
  <c r="K1887" i="14"/>
  <c r="L1887" i="14" s="1"/>
  <c r="I1888" i="14" s="1"/>
  <c r="M2054" i="13"/>
  <c r="M2055" i="14"/>
  <c r="J2051" i="13" a="1"/>
  <c r="J2051" i="13" s="1"/>
  <c r="N2052" i="13"/>
  <c r="J2050" i="14" a="1"/>
  <c r="J2050" i="14" s="1"/>
  <c r="N2051" i="14"/>
  <c r="K1865" i="13" l="1"/>
  <c r="L1865" i="13" s="1"/>
  <c r="I1866" i="13" s="1"/>
  <c r="N2052" i="14"/>
  <c r="J2051" i="14" a="1"/>
  <c r="J2051" i="14" s="1"/>
  <c r="M2056" i="14"/>
  <c r="J2052" i="13" a="1"/>
  <c r="J2052" i="13" s="1"/>
  <c r="N2053" i="13"/>
  <c r="M2055" i="13"/>
  <c r="K1888" i="14"/>
  <c r="L1888" i="14" s="1"/>
  <c r="I1889" i="14" s="1"/>
  <c r="K1866" i="13" l="1"/>
  <c r="L1866" i="13" s="1"/>
  <c r="I1867" i="13" s="1"/>
  <c r="K1889" i="14"/>
  <c r="L1889" i="14" s="1"/>
  <c r="I1890" i="14" s="1"/>
  <c r="N2054" i="13"/>
  <c r="J2053" i="13" a="1"/>
  <c r="J2053" i="13" s="1"/>
  <c r="J2052" i="14" a="1"/>
  <c r="J2052" i="14" s="1"/>
  <c r="N2053" i="14"/>
  <c r="M2056" i="13"/>
  <c r="M2057" i="14"/>
  <c r="K1867" i="13" l="1"/>
  <c r="L1867" i="13" s="1"/>
  <c r="I1868" i="13" s="1"/>
  <c r="K1890" i="14"/>
  <c r="L1890" i="14" s="1"/>
  <c r="I1891" i="14" s="1"/>
  <c r="J2053" i="14" a="1"/>
  <c r="J2053" i="14" s="1"/>
  <c r="N2054" i="14"/>
  <c r="M2058" i="14"/>
  <c r="M2057" i="13"/>
  <c r="J2054" i="13" a="1"/>
  <c r="J2054" i="13" s="1"/>
  <c r="N2055" i="13"/>
  <c r="K1868" i="13" l="1"/>
  <c r="L1868" i="13" s="1"/>
  <c r="I1869" i="13" s="1"/>
  <c r="K1891" i="14"/>
  <c r="L1891" i="14" s="1"/>
  <c r="I1892" i="14" s="1"/>
  <c r="J2054" i="14" a="1"/>
  <c r="J2054" i="14" s="1"/>
  <c r="N2055" i="14"/>
  <c r="M2058" i="13"/>
  <c r="J2055" i="13" a="1"/>
  <c r="J2055" i="13" s="1"/>
  <c r="N2056" i="13"/>
  <c r="M2059" i="14"/>
  <c r="K1869" i="13" l="1"/>
  <c r="L1869" i="13" s="1"/>
  <c r="I1870" i="13" s="1"/>
  <c r="K1892" i="14"/>
  <c r="L1892" i="14" s="1"/>
  <c r="I1893" i="14" s="1"/>
  <c r="M2060" i="14"/>
  <c r="M2059" i="13"/>
  <c r="J2056" i="13" a="1"/>
  <c r="J2056" i="13" s="1"/>
  <c r="N2057" i="13"/>
  <c r="N2056" i="14"/>
  <c r="J2055" i="14" a="1"/>
  <c r="J2055" i="14" s="1"/>
  <c r="K1870" i="13" l="1"/>
  <c r="L1870" i="13" s="1"/>
  <c r="I1871" i="13" s="1"/>
  <c r="N2058" i="13"/>
  <c r="J2057" i="13" a="1"/>
  <c r="J2057" i="13" s="1"/>
  <c r="M2061" i="14"/>
  <c r="J2056" i="14" a="1"/>
  <c r="J2056" i="14" s="1"/>
  <c r="N2057" i="14"/>
  <c r="M2060" i="13"/>
  <c r="K1893" i="14"/>
  <c r="L1893" i="14" s="1"/>
  <c r="I1894" i="14" s="1"/>
  <c r="K1871" i="13" l="1"/>
  <c r="L1871" i="13" s="1"/>
  <c r="I1872" i="13" s="1"/>
  <c r="K1894" i="14"/>
  <c r="L1894" i="14" s="1"/>
  <c r="I1895" i="14" s="1"/>
  <c r="J2058" i="13" a="1"/>
  <c r="J2058" i="13" s="1"/>
  <c r="N2059" i="13"/>
  <c r="J2057" i="14" a="1"/>
  <c r="J2057" i="14" s="1"/>
  <c r="N2058" i="14"/>
  <c r="M2061" i="13"/>
  <c r="M2062" i="14"/>
  <c r="K1872" i="13" l="1"/>
  <c r="L1872" i="13" s="1"/>
  <c r="I1873" i="13" s="1"/>
  <c r="K1895" i="14"/>
  <c r="L1895" i="14" s="1"/>
  <c r="I1896" i="14" s="1"/>
  <c r="J2058" i="14" a="1"/>
  <c r="J2058" i="14" s="1"/>
  <c r="N2059" i="14"/>
  <c r="M2062" i="13"/>
  <c r="M2063" i="14"/>
  <c r="J2059" i="13" a="1"/>
  <c r="J2059" i="13" s="1"/>
  <c r="N2060" i="13"/>
  <c r="K1873" i="13" l="1"/>
  <c r="L1873" i="13" s="1"/>
  <c r="I1874" i="13" s="1"/>
  <c r="N2060" i="14"/>
  <c r="J2059" i="14" a="1"/>
  <c r="J2059" i="14" s="1"/>
  <c r="M2064" i="14"/>
  <c r="J2060" i="13" a="1"/>
  <c r="J2060" i="13" s="1"/>
  <c r="N2061" i="13"/>
  <c r="M2063" i="13"/>
  <c r="K1896" i="14"/>
  <c r="L1896" i="14" s="1"/>
  <c r="I1897" i="14" s="1"/>
  <c r="K1874" i="13" l="1"/>
  <c r="L1874" i="13" s="1"/>
  <c r="I1875" i="13" s="1"/>
  <c r="K1897" i="14"/>
  <c r="L1897" i="14" s="1"/>
  <c r="I1898" i="14" s="1"/>
  <c r="N2062" i="13"/>
  <c r="J2061" i="13" a="1"/>
  <c r="J2061" i="13" s="1"/>
  <c r="J2060" i="14" a="1"/>
  <c r="J2060" i="14" s="1"/>
  <c r="N2061" i="14"/>
  <c r="M2064" i="13"/>
  <c r="M2065" i="14"/>
  <c r="K1875" i="13" l="1"/>
  <c r="L1875" i="13" s="1"/>
  <c r="I1876" i="13" s="1"/>
  <c r="K1898" i="14"/>
  <c r="L1898" i="14" s="1"/>
  <c r="I1899" i="14" s="1"/>
  <c r="J2061" i="14" a="1"/>
  <c r="J2061" i="14" s="1"/>
  <c r="N2062" i="14"/>
  <c r="M2066" i="14"/>
  <c r="M2065" i="13"/>
  <c r="J2062" i="13" a="1"/>
  <c r="J2062" i="13" s="1"/>
  <c r="N2063" i="13"/>
  <c r="K1876" i="13" l="1"/>
  <c r="L1876" i="13" s="1"/>
  <c r="I1877" i="13" s="1"/>
  <c r="J2062" i="14" a="1"/>
  <c r="J2062" i="14" s="1"/>
  <c r="N2063" i="14"/>
  <c r="M2066" i="13"/>
  <c r="J2063" i="13" a="1"/>
  <c r="J2063" i="13" s="1"/>
  <c r="N2064" i="13"/>
  <c r="M2067" i="14"/>
  <c r="K1899" i="14"/>
  <c r="L1899" i="14" s="1"/>
  <c r="I1900" i="14" s="1"/>
  <c r="K1877" i="13" l="1"/>
  <c r="L1877" i="13" s="1"/>
  <c r="I1878" i="13" s="1"/>
  <c r="K1900" i="14"/>
  <c r="L1900" i="14" s="1"/>
  <c r="I1901" i="14" s="1"/>
  <c r="J2064" i="13" a="1"/>
  <c r="J2064" i="13" s="1"/>
  <c r="N2065" i="13"/>
  <c r="N2064" i="14"/>
  <c r="J2063" i="14" a="1"/>
  <c r="J2063" i="14" s="1"/>
  <c r="M2068" i="14"/>
  <c r="M2067" i="13"/>
  <c r="K1878" i="13" l="1"/>
  <c r="L1878" i="13" s="1"/>
  <c r="I1879" i="13" s="1"/>
  <c r="K1901" i="14"/>
  <c r="L1901" i="14" s="1"/>
  <c r="I1902" i="14" s="1"/>
  <c r="N2066" i="13"/>
  <c r="J2065" i="13" a="1"/>
  <c r="J2065" i="13" s="1"/>
  <c r="M2069" i="14"/>
  <c r="M2068" i="13"/>
  <c r="J2064" i="14" a="1"/>
  <c r="J2064" i="14" s="1"/>
  <c r="N2065" i="14"/>
  <c r="K1879" i="13" l="1"/>
  <c r="L1879" i="13" s="1"/>
  <c r="I1880" i="13" s="1"/>
  <c r="K1902" i="14"/>
  <c r="L1902" i="14" s="1"/>
  <c r="I1903" i="14" s="1"/>
  <c r="J2065" i="14" a="1"/>
  <c r="J2065" i="14" s="1"/>
  <c r="N2066" i="14"/>
  <c r="M2070" i="14"/>
  <c r="M2069" i="13"/>
  <c r="J2066" i="13" a="1"/>
  <c r="J2066" i="13" s="1"/>
  <c r="N2067" i="13"/>
  <c r="K1880" i="13" l="1"/>
  <c r="L1880" i="13" s="1"/>
  <c r="I1881" i="13" s="1"/>
  <c r="K1903" i="14"/>
  <c r="L1903" i="14" s="1"/>
  <c r="I1904" i="14" s="1"/>
  <c r="J2066" i="14" a="1"/>
  <c r="J2066" i="14" s="1"/>
  <c r="N2067" i="14"/>
  <c r="M2070" i="13"/>
  <c r="M2071" i="14"/>
  <c r="J2067" i="13" a="1"/>
  <c r="J2067" i="13" s="1"/>
  <c r="N2068" i="13"/>
  <c r="K1881" i="13" l="1"/>
  <c r="L1881" i="13" s="1"/>
  <c r="I1882" i="13" s="1"/>
  <c r="K1904" i="14"/>
  <c r="L1904" i="14" s="1"/>
  <c r="I1905" i="14" s="1"/>
  <c r="M2072" i="14"/>
  <c r="M2071" i="13"/>
  <c r="J2068" i="13" a="1"/>
  <c r="J2068" i="13" s="1"/>
  <c r="N2069" i="13"/>
  <c r="N2068" i="14"/>
  <c r="J2067" i="14" a="1"/>
  <c r="J2067" i="14" s="1"/>
  <c r="K1882" i="13" l="1"/>
  <c r="L1882" i="13" s="1"/>
  <c r="I1883" i="13" s="1"/>
  <c r="K1905" i="14"/>
  <c r="L1905" i="14" s="1"/>
  <c r="I1906" i="14" s="1"/>
  <c r="M2072" i="13"/>
  <c r="N2070" i="13"/>
  <c r="J2069" i="13" a="1"/>
  <c r="J2069" i="13" s="1"/>
  <c r="J2068" i="14" a="1"/>
  <c r="J2068" i="14" s="1"/>
  <c r="N2069" i="14"/>
  <c r="M2073" i="14"/>
  <c r="K1883" i="13" l="1"/>
  <c r="L1883" i="13" s="1"/>
  <c r="I1884" i="13" s="1"/>
  <c r="M2074" i="14"/>
  <c r="J2070" i="13" a="1"/>
  <c r="J2070" i="13" s="1"/>
  <c r="N2071" i="13"/>
  <c r="J2069" i="14" a="1"/>
  <c r="J2069" i="14" s="1"/>
  <c r="N2070" i="14"/>
  <c r="M2073" i="13"/>
  <c r="K1906" i="14"/>
  <c r="L1906" i="14" s="1"/>
  <c r="I1907" i="14" s="1"/>
  <c r="K1884" i="13" l="1"/>
  <c r="L1884" i="13" s="1"/>
  <c r="I1885" i="13" s="1"/>
  <c r="K1907" i="14"/>
  <c r="L1907" i="14" s="1"/>
  <c r="I1908" i="14" s="1"/>
  <c r="J2070" i="14" a="1"/>
  <c r="J2070" i="14" s="1"/>
  <c r="N2071" i="14"/>
  <c r="M2075" i="14"/>
  <c r="J2071" i="13" a="1"/>
  <c r="J2071" i="13" s="1"/>
  <c r="N2072" i="13"/>
  <c r="M2074" i="13"/>
  <c r="K1885" i="13" l="1"/>
  <c r="L1885" i="13" s="1"/>
  <c r="I1886" i="13" s="1"/>
  <c r="K1908" i="14"/>
  <c r="L1908" i="14" s="1"/>
  <c r="I1909" i="14" s="1"/>
  <c r="J2072" i="13" a="1"/>
  <c r="J2072" i="13" s="1"/>
  <c r="N2073" i="13"/>
  <c r="M2075" i="13"/>
  <c r="M2076" i="14"/>
  <c r="N2072" i="14"/>
  <c r="J2071" i="14" a="1"/>
  <c r="J2071" i="14" s="1"/>
  <c r="K1886" i="13" l="1"/>
  <c r="L1886" i="13" s="1"/>
  <c r="I1887" i="13" s="1"/>
  <c r="K1909" i="14"/>
  <c r="L1909" i="14" s="1"/>
  <c r="I1910" i="14" s="1"/>
  <c r="J2072" i="14" a="1"/>
  <c r="J2072" i="14" s="1"/>
  <c r="N2073" i="14"/>
  <c r="M2076" i="13"/>
  <c r="M2077" i="14"/>
  <c r="N2074" i="13"/>
  <c r="J2073" i="13" a="1"/>
  <c r="J2073" i="13" s="1"/>
  <c r="K1887" i="13" l="1"/>
  <c r="L1887" i="13" s="1"/>
  <c r="I1888" i="13" s="1"/>
  <c r="J2073" i="14" a="1"/>
  <c r="J2073" i="14" s="1"/>
  <c r="N2074" i="14"/>
  <c r="M2078" i="14"/>
  <c r="M2077" i="13"/>
  <c r="J2074" i="13" a="1"/>
  <c r="J2074" i="13" s="1"/>
  <c r="N2075" i="13"/>
  <c r="K1910" i="14"/>
  <c r="L1910" i="14" s="1"/>
  <c r="I1911" i="14" s="1"/>
  <c r="K1888" i="13" l="1"/>
  <c r="L1888" i="13" s="1"/>
  <c r="I1889" i="13" s="1"/>
  <c r="K1911" i="14"/>
  <c r="L1911" i="14" s="1"/>
  <c r="I1912" i="14" s="1"/>
  <c r="J2074" i="14" a="1"/>
  <c r="J2074" i="14" s="1"/>
  <c r="N2075" i="14"/>
  <c r="M2078" i="13"/>
  <c r="J2075" i="13" a="1"/>
  <c r="J2075" i="13" s="1"/>
  <c r="N2076" i="13"/>
  <c r="M2079" i="14"/>
  <c r="K1889" i="13" l="1"/>
  <c r="L1889" i="13" s="1"/>
  <c r="I1890" i="13" s="1"/>
  <c r="K1912" i="14"/>
  <c r="L1912" i="14" s="1"/>
  <c r="I1913" i="14" s="1"/>
  <c r="J2076" i="13" a="1"/>
  <c r="J2076" i="13" s="1"/>
  <c r="N2077" i="13"/>
  <c r="M2080" i="14"/>
  <c r="M2079" i="13"/>
  <c r="N2076" i="14"/>
  <c r="J2075" i="14" a="1"/>
  <c r="J2075" i="14" s="1"/>
  <c r="K1890" i="13" l="1"/>
  <c r="L1890" i="13" s="1"/>
  <c r="I1891" i="13" s="1"/>
  <c r="K1913" i="14"/>
  <c r="L1913" i="14" s="1"/>
  <c r="I1914" i="14" s="1"/>
  <c r="N2078" i="13"/>
  <c r="J2077" i="13" a="1"/>
  <c r="J2077" i="13" s="1"/>
  <c r="J2076" i="14" a="1"/>
  <c r="J2076" i="14" s="1"/>
  <c r="N2077" i="14"/>
  <c r="M2080" i="13"/>
  <c r="M2081" i="14"/>
  <c r="K1891" i="13" l="1"/>
  <c r="L1891" i="13" s="1"/>
  <c r="I1892" i="13" s="1"/>
  <c r="J2077" i="14" a="1"/>
  <c r="J2077" i="14" s="1"/>
  <c r="N2078" i="14"/>
  <c r="K1914" i="14"/>
  <c r="L1914" i="14" s="1"/>
  <c r="I1915" i="14" s="1"/>
  <c r="M2082" i="14"/>
  <c r="M2081" i="13"/>
  <c r="J2078" i="13" a="1"/>
  <c r="J2078" i="13" s="1"/>
  <c r="N2079" i="13"/>
  <c r="K1892" i="13" l="1"/>
  <c r="L1892" i="13" s="1"/>
  <c r="I1893" i="13" s="1"/>
  <c r="K1915" i="14"/>
  <c r="L1915" i="14" s="1"/>
  <c r="I1916" i="14" s="1"/>
  <c r="J2079" i="13" a="1"/>
  <c r="J2079" i="13" s="1"/>
  <c r="N2080" i="13"/>
  <c r="M2083" i="14"/>
  <c r="J2078" i="14" a="1"/>
  <c r="J2078" i="14" s="1"/>
  <c r="N2079" i="14"/>
  <c r="M2082" i="13"/>
  <c r="K1893" i="13" l="1"/>
  <c r="L1893" i="13" s="1"/>
  <c r="I1894" i="13" s="1"/>
  <c r="K1916" i="14"/>
  <c r="L1916" i="14" s="1"/>
  <c r="I1917" i="14" s="1"/>
  <c r="J2080" i="13" a="1"/>
  <c r="J2080" i="13" s="1"/>
  <c r="N2081" i="13"/>
  <c r="N2080" i="14"/>
  <c r="J2079" i="14" a="1"/>
  <c r="J2079" i="14" s="1"/>
  <c r="M2083" i="13"/>
  <c r="M2084" i="14"/>
  <c r="K1894" i="13" l="1"/>
  <c r="L1894" i="13" s="1"/>
  <c r="I1895" i="13" s="1"/>
  <c r="K1917" i="14"/>
  <c r="L1917" i="14" s="1"/>
  <c r="I1918" i="14" s="1"/>
  <c r="N2082" i="13"/>
  <c r="J2081" i="13" a="1"/>
  <c r="J2081" i="13" s="1"/>
  <c r="M2085" i="14"/>
  <c r="J2080" i="14" a="1"/>
  <c r="J2080" i="14" s="1"/>
  <c r="N2081" i="14"/>
  <c r="M2084" i="13"/>
  <c r="K1895" i="13" l="1"/>
  <c r="L1895" i="13" s="1"/>
  <c r="I1896" i="13" s="1"/>
  <c r="K1918" i="14"/>
  <c r="L1918" i="14" s="1"/>
  <c r="I1919" i="14" s="1"/>
  <c r="J2081" i="14" a="1"/>
  <c r="J2081" i="14" s="1"/>
  <c r="N2082" i="14"/>
  <c r="M2085" i="13"/>
  <c r="M2086" i="14"/>
  <c r="J2082" i="13" a="1"/>
  <c r="J2082" i="13" s="1"/>
  <c r="N2083" i="13"/>
  <c r="K1896" i="13" l="1"/>
  <c r="L1896" i="13" s="1"/>
  <c r="I1897" i="13" s="1"/>
  <c r="K1919" i="14"/>
  <c r="L1919" i="14" s="1"/>
  <c r="I1920" i="14" s="1"/>
  <c r="J2083" i="13" a="1"/>
  <c r="J2083" i="13" s="1"/>
  <c r="N2084" i="13"/>
  <c r="M2086" i="13"/>
  <c r="M2087" i="14"/>
  <c r="J2082" i="14" a="1"/>
  <c r="J2082" i="14" s="1"/>
  <c r="N2083" i="14"/>
  <c r="K1897" i="13" l="1"/>
  <c r="L1897" i="13" s="1"/>
  <c r="I1898" i="13" s="1"/>
  <c r="K1920" i="14"/>
  <c r="L1920" i="14" s="1"/>
  <c r="I1921" i="14" s="1"/>
  <c r="J2084" i="13" a="1"/>
  <c r="J2084" i="13" s="1"/>
  <c r="N2085" i="13"/>
  <c r="N2084" i="14"/>
  <c r="J2083" i="14" a="1"/>
  <c r="J2083" i="14" s="1"/>
  <c r="M2088" i="14"/>
  <c r="M2087" i="13"/>
  <c r="K1898" i="13" l="1"/>
  <c r="L1898" i="13" s="1"/>
  <c r="I1899" i="13" s="1"/>
  <c r="J2084" i="14" a="1"/>
  <c r="J2084" i="14" s="1"/>
  <c r="N2085" i="14"/>
  <c r="K1921" i="14"/>
  <c r="L1921" i="14" s="1"/>
  <c r="I1922" i="14" s="1"/>
  <c r="N2086" i="13"/>
  <c r="J2085" i="13" a="1"/>
  <c r="J2085" i="13" s="1"/>
  <c r="M2088" i="13"/>
  <c r="M2089" i="14"/>
  <c r="K1899" i="13" l="1"/>
  <c r="L1899" i="13" s="1"/>
  <c r="I1900" i="13" s="1"/>
  <c r="K1922" i="14"/>
  <c r="L1922" i="14" s="1"/>
  <c r="I1923" i="14" s="1"/>
  <c r="J2085" i="14" a="1"/>
  <c r="J2085" i="14" s="1"/>
  <c r="N2086" i="14"/>
  <c r="J2086" i="13" a="1"/>
  <c r="J2086" i="13" s="1"/>
  <c r="N2087" i="13"/>
  <c r="M2089" i="13"/>
  <c r="M2090" i="14"/>
  <c r="K1900" i="13" l="1"/>
  <c r="L1900" i="13" s="1"/>
  <c r="I1901" i="13" s="1"/>
  <c r="K1923" i="14"/>
  <c r="L1923" i="14" s="1"/>
  <c r="I1924" i="14" s="1"/>
  <c r="M2091" i="14"/>
  <c r="J2087" i="13" a="1"/>
  <c r="J2087" i="13" s="1"/>
  <c r="N2088" i="13"/>
  <c r="M2090" i="13"/>
  <c r="J2086" i="14" a="1"/>
  <c r="J2086" i="14" s="1"/>
  <c r="N2087" i="14"/>
  <c r="K1901" i="13" l="1"/>
  <c r="L1901" i="13" s="1"/>
  <c r="I1902" i="13" s="1"/>
  <c r="N2088" i="14"/>
  <c r="J2087" i="14" a="1"/>
  <c r="J2087" i="14" s="1"/>
  <c r="J2088" i="13" a="1"/>
  <c r="J2088" i="13" s="1"/>
  <c r="N2089" i="13"/>
  <c r="K1924" i="14"/>
  <c r="L1924" i="14" s="1"/>
  <c r="I1925" i="14" s="1"/>
  <c r="M2091" i="13"/>
  <c r="M2092" i="14"/>
  <c r="K1902" i="13" l="1"/>
  <c r="L1902" i="13" s="1"/>
  <c r="I1903" i="13" s="1"/>
  <c r="K1925" i="14"/>
  <c r="L1925" i="14" s="1"/>
  <c r="I1926" i="14" s="1"/>
  <c r="J2088" i="14" a="1"/>
  <c r="J2088" i="14" s="1"/>
  <c r="N2089" i="14"/>
  <c r="M2093" i="14"/>
  <c r="N2090" i="13"/>
  <c r="J2089" i="13" a="1"/>
  <c r="J2089" i="13" s="1"/>
  <c r="M2092" i="13"/>
  <c r="K1903" i="13" l="1"/>
  <c r="L1903" i="13" s="1"/>
  <c r="I1904" i="13" s="1"/>
  <c r="K1926" i="14"/>
  <c r="L1926" i="14" s="1"/>
  <c r="I1927" i="14" s="1"/>
  <c r="J2090" i="13" a="1"/>
  <c r="J2090" i="13" s="1"/>
  <c r="N2091" i="13"/>
  <c r="M2093" i="13"/>
  <c r="M2094" i="14"/>
  <c r="J2089" i="14" a="1"/>
  <c r="J2089" i="14" s="1"/>
  <c r="N2090" i="14"/>
  <c r="K1904" i="13" l="1"/>
  <c r="L1904" i="13" s="1"/>
  <c r="I1905" i="13" s="1"/>
  <c r="K1927" i="14"/>
  <c r="L1927" i="14" s="1"/>
  <c r="I1928" i="14" s="1"/>
  <c r="J2090" i="14" a="1"/>
  <c r="J2090" i="14" s="1"/>
  <c r="N2091" i="14"/>
  <c r="M2094" i="13"/>
  <c r="M2095" i="14"/>
  <c r="J2091" i="13" a="1"/>
  <c r="J2091" i="13" s="1"/>
  <c r="N2092" i="13"/>
  <c r="K1905" i="13" l="1"/>
  <c r="L1905" i="13" s="1"/>
  <c r="I1906" i="13" s="1"/>
  <c r="K1928" i="14"/>
  <c r="L1928" i="14" s="1"/>
  <c r="I1929" i="14" s="1"/>
  <c r="M2096" i="14"/>
  <c r="M2095" i="13"/>
  <c r="J2092" i="13" a="1"/>
  <c r="J2092" i="13" s="1"/>
  <c r="N2093" i="13"/>
  <c r="N2092" i="14"/>
  <c r="J2091" i="14" a="1"/>
  <c r="J2091" i="14" s="1"/>
  <c r="K1906" i="13" l="1"/>
  <c r="L1906" i="13" s="1"/>
  <c r="I1907" i="13" s="1"/>
  <c r="K1929" i="14"/>
  <c r="L1929" i="14" s="1"/>
  <c r="I1930" i="14" s="1"/>
  <c r="J2092" i="14" a="1"/>
  <c r="J2092" i="14" s="1"/>
  <c r="N2093" i="14"/>
  <c r="M2096" i="13"/>
  <c r="N2094" i="13"/>
  <c r="J2093" i="13" a="1"/>
  <c r="J2093" i="13" s="1"/>
  <c r="M2097" i="14"/>
  <c r="K1907" i="13" l="1"/>
  <c r="L1907" i="13" s="1"/>
  <c r="I1908" i="13" s="1"/>
  <c r="K1930" i="14"/>
  <c r="L1930" i="14" s="1"/>
  <c r="I1931" i="14" s="1"/>
  <c r="J2094" i="13" a="1"/>
  <c r="J2094" i="13" s="1"/>
  <c r="N2095" i="13"/>
  <c r="M2097" i="13"/>
  <c r="M2098" i="14"/>
  <c r="J2093" i="14" a="1"/>
  <c r="J2093" i="14" s="1"/>
  <c r="N2094" i="14"/>
  <c r="K1908" i="13" l="1"/>
  <c r="L1908" i="13" s="1"/>
  <c r="I1909" i="13" s="1"/>
  <c r="K1931" i="14"/>
  <c r="L1931" i="14" s="1"/>
  <c r="I1932" i="14" s="1"/>
  <c r="J2094" i="14" a="1"/>
  <c r="J2094" i="14" s="1"/>
  <c r="N2095" i="14"/>
  <c r="M2098" i="13"/>
  <c r="J2095" i="13" a="1"/>
  <c r="J2095" i="13" s="1"/>
  <c r="N2096" i="13"/>
  <c r="M2099" i="14"/>
  <c r="K1909" i="13" l="1"/>
  <c r="L1909" i="13" s="1"/>
  <c r="I1910" i="13" s="1"/>
  <c r="M2100" i="14"/>
  <c r="M2099" i="13"/>
  <c r="K1932" i="14"/>
  <c r="L1932" i="14" s="1"/>
  <c r="I1933" i="14" s="1"/>
  <c r="N2096" i="14"/>
  <c r="J2095" i="14" a="1"/>
  <c r="J2095" i="14" s="1"/>
  <c r="J2096" i="13" a="1"/>
  <c r="J2096" i="13" s="1"/>
  <c r="N2097" i="13"/>
  <c r="K1910" i="13" l="1"/>
  <c r="L1910" i="13" s="1"/>
  <c r="I1911" i="13" s="1"/>
  <c r="N2098" i="13"/>
  <c r="J2097" i="13" a="1"/>
  <c r="J2097" i="13" s="1"/>
  <c r="K1933" i="14"/>
  <c r="L1933" i="14" s="1"/>
  <c r="I1934" i="14" s="1"/>
  <c r="M2101" i="14"/>
  <c r="J2096" i="14" a="1"/>
  <c r="J2096" i="14" s="1"/>
  <c r="N2097" i="14"/>
  <c r="M2100" i="13"/>
  <c r="K1911" i="13" l="1"/>
  <c r="L1911" i="13" s="1"/>
  <c r="I1912" i="13" s="1"/>
  <c r="K1934" i="14"/>
  <c r="L1934" i="14" s="1"/>
  <c r="I1935" i="14" s="1"/>
  <c r="J2097" i="14" a="1"/>
  <c r="J2097" i="14" s="1"/>
  <c r="N2098" i="14"/>
  <c r="M2101" i="13"/>
  <c r="M2102" i="14"/>
  <c r="J2098" i="13" a="1"/>
  <c r="J2098" i="13" s="1"/>
  <c r="N2099" i="13"/>
  <c r="K1912" i="13" l="1"/>
  <c r="L1912" i="13" s="1"/>
  <c r="I1913" i="13" s="1"/>
  <c r="K1935" i="14"/>
  <c r="L1935" i="14" s="1"/>
  <c r="I1936" i="14" s="1"/>
  <c r="J2099" i="13" a="1"/>
  <c r="J2099" i="13" s="1"/>
  <c r="N2100" i="13"/>
  <c r="J2098" i="14" a="1"/>
  <c r="J2098" i="14" s="1"/>
  <c r="N2099" i="14"/>
  <c r="M2102" i="13"/>
  <c r="M2103" i="14"/>
  <c r="K1913" i="13" l="1"/>
  <c r="L1913" i="13" s="1"/>
  <c r="I1914" i="13" s="1"/>
  <c r="K1936" i="14"/>
  <c r="L1936" i="14" s="1"/>
  <c r="I1937" i="14" s="1"/>
  <c r="J2100" i="13" a="1"/>
  <c r="J2100" i="13" s="1"/>
  <c r="N2101" i="13"/>
  <c r="N2100" i="14"/>
  <c r="J2099" i="14" a="1"/>
  <c r="J2099" i="14" s="1"/>
  <c r="M2103" i="13"/>
  <c r="M2104" i="14"/>
  <c r="K1914" i="13" l="1"/>
  <c r="L1914" i="13" s="1"/>
  <c r="I1915" i="13" s="1"/>
  <c r="K1937" i="14"/>
  <c r="L1937" i="14" s="1"/>
  <c r="I1938" i="14" s="1"/>
  <c r="J2100" i="14" a="1"/>
  <c r="J2100" i="14" s="1"/>
  <c r="N2101" i="14"/>
  <c r="M2105" i="14"/>
  <c r="N2102" i="13"/>
  <c r="J2101" i="13" a="1"/>
  <c r="J2101" i="13" s="1"/>
  <c r="M2104" i="13"/>
  <c r="K1915" i="13" l="1"/>
  <c r="L1915" i="13" s="1"/>
  <c r="I1916" i="13" s="1"/>
  <c r="K1938" i="14"/>
  <c r="L1938" i="14" s="1"/>
  <c r="I1939" i="14" s="1"/>
  <c r="J2101" i="14" a="1"/>
  <c r="J2101" i="14" s="1"/>
  <c r="N2102" i="14"/>
  <c r="J2102" i="13" a="1"/>
  <c r="J2102" i="13" s="1"/>
  <c r="N2103" i="13"/>
  <c r="M2105" i="13"/>
  <c r="M2106" i="14"/>
  <c r="K1916" i="13" l="1"/>
  <c r="L1916" i="13" s="1"/>
  <c r="I1917" i="13" s="1"/>
  <c r="K1939" i="14"/>
  <c r="L1939" i="14" s="1"/>
  <c r="I1940" i="14" s="1"/>
  <c r="J2102" i="14" a="1"/>
  <c r="J2102" i="14" s="1"/>
  <c r="N2103" i="14"/>
  <c r="M2106" i="13"/>
  <c r="M2107" i="14"/>
  <c r="J2103" i="13" a="1"/>
  <c r="J2103" i="13" s="1"/>
  <c r="N2104" i="13"/>
  <c r="K1917" i="13" l="1"/>
  <c r="L1917" i="13" s="1"/>
  <c r="I1918" i="13" s="1"/>
  <c r="N2104" i="14"/>
  <c r="J2103" i="14" a="1"/>
  <c r="J2103" i="14" s="1"/>
  <c r="M2108" i="14"/>
  <c r="J2104" i="13" a="1"/>
  <c r="J2104" i="13" s="1"/>
  <c r="N2105" i="13"/>
  <c r="M2107" i="13"/>
  <c r="K1940" i="14"/>
  <c r="L1940" i="14" s="1"/>
  <c r="I1941" i="14" s="1"/>
  <c r="K1918" i="13" l="1"/>
  <c r="L1918" i="13" s="1"/>
  <c r="I1919" i="13" s="1"/>
  <c r="K1941" i="14"/>
  <c r="L1941" i="14" s="1"/>
  <c r="I1942" i="14" s="1"/>
  <c r="N2106" i="13"/>
  <c r="J2105" i="13" a="1"/>
  <c r="J2105" i="13" s="1"/>
  <c r="J2104" i="14" a="1"/>
  <c r="J2104" i="14" s="1"/>
  <c r="N2105" i="14"/>
  <c r="M2108" i="13"/>
  <c r="M2109" i="14"/>
  <c r="K1919" i="13" l="1"/>
  <c r="L1919" i="13" s="1"/>
  <c r="I1920" i="13" s="1"/>
  <c r="K1942" i="14"/>
  <c r="L1942" i="14" s="1"/>
  <c r="I1943" i="14" s="1"/>
  <c r="J2105" i="14" a="1"/>
  <c r="J2105" i="14" s="1"/>
  <c r="N2106" i="14"/>
  <c r="M2110" i="14"/>
  <c r="M2109" i="13"/>
  <c r="J2106" i="13" a="1"/>
  <c r="J2106" i="13" s="1"/>
  <c r="N2107" i="13"/>
  <c r="K1920" i="13" l="1"/>
  <c r="L1920" i="13" s="1"/>
  <c r="I1921" i="13" s="1"/>
  <c r="M2110" i="13"/>
  <c r="J2107" i="13" a="1"/>
  <c r="J2107" i="13" s="1"/>
  <c r="N2108" i="13"/>
  <c r="M2111" i="14"/>
  <c r="K1943" i="14"/>
  <c r="L1943" i="14" s="1"/>
  <c r="I1944" i="14" s="1"/>
  <c r="J2106" i="14" a="1"/>
  <c r="J2106" i="14" s="1"/>
  <c r="N2107" i="14"/>
  <c r="K1921" i="13" l="1"/>
  <c r="L1921" i="13" s="1"/>
  <c r="I1922" i="13" s="1"/>
  <c r="K1944" i="14"/>
  <c r="L1944" i="14" s="1"/>
  <c r="I1945" i="14" s="1"/>
  <c r="N2108" i="14"/>
  <c r="J2107" i="14" a="1"/>
  <c r="J2107" i="14" s="1"/>
  <c r="M2112" i="14"/>
  <c r="M2111" i="13"/>
  <c r="J2108" i="13" a="1"/>
  <c r="J2108" i="13" s="1"/>
  <c r="N2109" i="13"/>
  <c r="K1922" i="13" l="1"/>
  <c r="L1922" i="13" s="1"/>
  <c r="I1923" i="13" s="1"/>
  <c r="K1945" i="14"/>
  <c r="L1945" i="14" s="1"/>
  <c r="I1946" i="14" s="1"/>
  <c r="N2110" i="13"/>
  <c r="J2109" i="13" a="1"/>
  <c r="J2109" i="13" s="1"/>
  <c r="M2113" i="14"/>
  <c r="M2112" i="13"/>
  <c r="J2108" i="14" a="1"/>
  <c r="J2108" i="14" s="1"/>
  <c r="N2109" i="14"/>
  <c r="K1923" i="13" l="1"/>
  <c r="L1923" i="13" s="1"/>
  <c r="I1924" i="13" s="1"/>
  <c r="K1946" i="14"/>
  <c r="L1946" i="14" s="1"/>
  <c r="I1947" i="14" s="1"/>
  <c r="J2109" i="14" a="1"/>
  <c r="J2109" i="14" s="1"/>
  <c r="N2110" i="14"/>
  <c r="M2114" i="14"/>
  <c r="M2113" i="13"/>
  <c r="J2110" i="13" a="1"/>
  <c r="J2110" i="13" s="1"/>
  <c r="N2111" i="13"/>
  <c r="K1924" i="13" l="1"/>
  <c r="L1924" i="13" s="1"/>
  <c r="I1925" i="13" s="1"/>
  <c r="K1947" i="14"/>
  <c r="L1947" i="14" s="1"/>
  <c r="I1948" i="14" s="1"/>
  <c r="J2111" i="13" a="1"/>
  <c r="J2111" i="13" s="1"/>
  <c r="N2112" i="13"/>
  <c r="M2115" i="14"/>
  <c r="J2110" i="14" a="1"/>
  <c r="J2110" i="14" s="1"/>
  <c r="N2111" i="14"/>
  <c r="M2114" i="13"/>
  <c r="K1925" i="13" l="1"/>
  <c r="L1925" i="13" s="1"/>
  <c r="I1926" i="13" s="1"/>
  <c r="M2115" i="13"/>
  <c r="M2116" i="14"/>
  <c r="K1948" i="14"/>
  <c r="L1948" i="14" s="1"/>
  <c r="I1949" i="14" s="1"/>
  <c r="J2112" i="13" a="1"/>
  <c r="J2112" i="13" s="1"/>
  <c r="N2113" i="13"/>
  <c r="N2112" i="14"/>
  <c r="J2111" i="14" a="1"/>
  <c r="J2111" i="14" s="1"/>
  <c r="K1926" i="13" l="1"/>
  <c r="L1926" i="13" s="1"/>
  <c r="I1927" i="13" s="1"/>
  <c r="K1949" i="14"/>
  <c r="L1949" i="14" s="1"/>
  <c r="I1950" i="14" s="1"/>
  <c r="M2116" i="13"/>
  <c r="J2112" i="14" a="1"/>
  <c r="J2112" i="14" s="1"/>
  <c r="N2113" i="14"/>
  <c r="N2114" i="13"/>
  <c r="J2113" i="13" a="1"/>
  <c r="J2113" i="13" s="1"/>
  <c r="M2117" i="14"/>
  <c r="K1927" i="13" l="1"/>
  <c r="L1927" i="13" s="1"/>
  <c r="I1928" i="13" s="1"/>
  <c r="K1950" i="14"/>
  <c r="L1950" i="14" s="1"/>
  <c r="I1951" i="14" s="1"/>
  <c r="J2113" i="14" a="1"/>
  <c r="J2113" i="14" s="1"/>
  <c r="N2114" i="14"/>
  <c r="M2118" i="14"/>
  <c r="M2117" i="13"/>
  <c r="J2114" i="13" a="1"/>
  <c r="J2114" i="13" s="1"/>
  <c r="N2115" i="13"/>
  <c r="K1928" i="13" l="1"/>
  <c r="L1928" i="13" s="1"/>
  <c r="I1929" i="13" s="1"/>
  <c r="K1951" i="14"/>
  <c r="L1951" i="14" s="1"/>
  <c r="I1952" i="14" s="1"/>
  <c r="J2114" i="14" a="1"/>
  <c r="J2114" i="14" s="1"/>
  <c r="N2115" i="14"/>
  <c r="J2115" i="13" a="1"/>
  <c r="J2115" i="13" s="1"/>
  <c r="N2116" i="13"/>
  <c r="M2118" i="13"/>
  <c r="M2119" i="14"/>
  <c r="K1929" i="13" l="1"/>
  <c r="L1929" i="13" s="1"/>
  <c r="I1930" i="13" s="1"/>
  <c r="K1952" i="14"/>
  <c r="L1952" i="14" s="1"/>
  <c r="I1953" i="14" s="1"/>
  <c r="J2116" i="13" a="1"/>
  <c r="J2116" i="13" s="1"/>
  <c r="N2117" i="13"/>
  <c r="N2116" i="14"/>
  <c r="J2115" i="14" a="1"/>
  <c r="J2115" i="14" s="1"/>
  <c r="M2120" i="14"/>
  <c r="M2119" i="13"/>
  <c r="K1930" i="13" l="1"/>
  <c r="L1930" i="13" s="1"/>
  <c r="I1931" i="13" s="1"/>
  <c r="K1953" i="14"/>
  <c r="L1953" i="14" s="1"/>
  <c r="I1954" i="14" s="1"/>
  <c r="J2116" i="14" a="1"/>
  <c r="J2116" i="14" s="1"/>
  <c r="N2117" i="14"/>
  <c r="M2121" i="14"/>
  <c r="M2120" i="13"/>
  <c r="N2118" i="13"/>
  <c r="J2117" i="13" a="1"/>
  <c r="J2117" i="13" s="1"/>
  <c r="K1931" i="13" l="1"/>
  <c r="L1931" i="13" s="1"/>
  <c r="I1932" i="13" s="1"/>
  <c r="K1954" i="14"/>
  <c r="L1954" i="14" s="1"/>
  <c r="I1955" i="14" s="1"/>
  <c r="J2117" i="14" a="1"/>
  <c r="J2117" i="14" s="1"/>
  <c r="N2118" i="14"/>
  <c r="M2122" i="14"/>
  <c r="J2118" i="13" a="1"/>
  <c r="J2118" i="13" s="1"/>
  <c r="N2119" i="13"/>
  <c r="M2121" i="13"/>
  <c r="K1932" i="13" l="1"/>
  <c r="L1932" i="13" s="1"/>
  <c r="I1933" i="13" s="1"/>
  <c r="M2123" i="14"/>
  <c r="M2122" i="13"/>
  <c r="K1955" i="14"/>
  <c r="L1955" i="14" s="1"/>
  <c r="I1956" i="14" s="1"/>
  <c r="J2118" i="14" a="1"/>
  <c r="J2118" i="14" s="1"/>
  <c r="N2119" i="14"/>
  <c r="J2119" i="13" a="1"/>
  <c r="J2119" i="13" s="1"/>
  <c r="N2120" i="13"/>
  <c r="K1933" i="13" l="1"/>
  <c r="L1933" i="13" s="1"/>
  <c r="I1934" i="13" s="1"/>
  <c r="J2120" i="13" a="1"/>
  <c r="J2120" i="13" s="1"/>
  <c r="N2121" i="13"/>
  <c r="M2124" i="14"/>
  <c r="K1956" i="14"/>
  <c r="L1956" i="14" s="1"/>
  <c r="I1957" i="14" s="1"/>
  <c r="N2120" i="14"/>
  <c r="J2119" i="14" a="1"/>
  <c r="J2119" i="14" s="1"/>
  <c r="M2123" i="13"/>
  <c r="K1934" i="13" l="1"/>
  <c r="L1934" i="13" s="1"/>
  <c r="I1935" i="13" s="1"/>
  <c r="K1957" i="14"/>
  <c r="L1957" i="14" s="1"/>
  <c r="I1958" i="14" s="1"/>
  <c r="N2122" i="13"/>
  <c r="J2121" i="13" a="1"/>
  <c r="J2121" i="13" s="1"/>
  <c r="M2124" i="13"/>
  <c r="J2120" i="14" a="1"/>
  <c r="J2120" i="14" s="1"/>
  <c r="N2121" i="14"/>
  <c r="M2125" i="14"/>
  <c r="K1935" i="13" l="1"/>
  <c r="L1935" i="13" s="1"/>
  <c r="I1936" i="13" s="1"/>
  <c r="M2125" i="13"/>
  <c r="J2122" i="13" a="1"/>
  <c r="J2122" i="13" s="1"/>
  <c r="N2123" i="13"/>
  <c r="M2126" i="14"/>
  <c r="J2121" i="14" a="1"/>
  <c r="J2121" i="14" s="1"/>
  <c r="N2122" i="14"/>
  <c r="K1958" i="14"/>
  <c r="L1958" i="14" s="1"/>
  <c r="I1959" i="14" s="1"/>
  <c r="K1936" i="13" l="1"/>
  <c r="L1936" i="13" s="1"/>
  <c r="I1937" i="13" s="1"/>
  <c r="K1959" i="14"/>
  <c r="L1959" i="14" s="1"/>
  <c r="I1960" i="14" s="1"/>
  <c r="J2123" i="13" a="1"/>
  <c r="J2123" i="13" s="1"/>
  <c r="N2124" i="13"/>
  <c r="M2127" i="14"/>
  <c r="M2126" i="13"/>
  <c r="J2122" i="14" a="1"/>
  <c r="J2122" i="14" s="1"/>
  <c r="N2123" i="14"/>
  <c r="K1937" i="13" l="1"/>
  <c r="L1937" i="13" s="1"/>
  <c r="I1938" i="13" s="1"/>
  <c r="K1960" i="14"/>
  <c r="L1960" i="14" s="1"/>
  <c r="I1961" i="14" s="1"/>
  <c r="N2124" i="14"/>
  <c r="J2123" i="14" a="1"/>
  <c r="J2123" i="14" s="1"/>
  <c r="M2128" i="14"/>
  <c r="M2127" i="13"/>
  <c r="J2124" i="13" a="1"/>
  <c r="J2124" i="13" s="1"/>
  <c r="N2125" i="13"/>
  <c r="K1938" i="13" l="1"/>
  <c r="L1938" i="13" s="1"/>
  <c r="I1939" i="13" s="1"/>
  <c r="K1961" i="14"/>
  <c r="L1961" i="14" s="1"/>
  <c r="I1962" i="14" s="1"/>
  <c r="N2126" i="13"/>
  <c r="J2125" i="13" a="1"/>
  <c r="J2125" i="13" s="1"/>
  <c r="M2129" i="14"/>
  <c r="M2128" i="13"/>
  <c r="J2124" i="14" a="1"/>
  <c r="J2124" i="14" s="1"/>
  <c r="N2125" i="14"/>
  <c r="K1939" i="13" l="1"/>
  <c r="L1939" i="13" s="1"/>
  <c r="I1940" i="13" s="1"/>
  <c r="K1962" i="14"/>
  <c r="L1962" i="14" s="1"/>
  <c r="I1963" i="14" s="1"/>
  <c r="J2125" i="14" a="1"/>
  <c r="J2125" i="14" s="1"/>
  <c r="N2126" i="14"/>
  <c r="M2130" i="14"/>
  <c r="M2129" i="13"/>
  <c r="J2126" i="13" a="1"/>
  <c r="J2126" i="13" s="1"/>
  <c r="N2127" i="13"/>
  <c r="K1940" i="13" l="1"/>
  <c r="L1940" i="13" s="1"/>
  <c r="I1941" i="13" s="1"/>
  <c r="J2127" i="13" a="1"/>
  <c r="J2127" i="13" s="1"/>
  <c r="N2128" i="13"/>
  <c r="M2131" i="14"/>
  <c r="K1963" i="14"/>
  <c r="L1963" i="14" s="1"/>
  <c r="I1964" i="14" s="1"/>
  <c r="J2126" i="14" a="1"/>
  <c r="J2126" i="14" s="1"/>
  <c r="N2127" i="14"/>
  <c r="M2130" i="13"/>
  <c r="K1941" i="13" l="1"/>
  <c r="L1941" i="13" s="1"/>
  <c r="I1942" i="13" s="1"/>
  <c r="M2131" i="13"/>
  <c r="J2128" i="13" a="1"/>
  <c r="J2128" i="13" s="1"/>
  <c r="N2129" i="13"/>
  <c r="N2128" i="14"/>
  <c r="J2127" i="14" a="1"/>
  <c r="J2127" i="14" s="1"/>
  <c r="K1964" i="14"/>
  <c r="L1964" i="14" s="1"/>
  <c r="I1965" i="14" s="1"/>
  <c r="M2132" i="14"/>
  <c r="K1942" i="13" l="1"/>
  <c r="L1942" i="13" s="1"/>
  <c r="I1943" i="13" s="1"/>
  <c r="M2133" i="14"/>
  <c r="J2128" i="14" a="1"/>
  <c r="J2128" i="14" s="1"/>
  <c r="N2129" i="14"/>
  <c r="M2132" i="13"/>
  <c r="N2130" i="13"/>
  <c r="J2129" i="13" a="1"/>
  <c r="J2129" i="13" s="1"/>
  <c r="K1965" i="14"/>
  <c r="L1965" i="14" s="1"/>
  <c r="I1966" i="14" s="1"/>
  <c r="K1943" i="13" l="1"/>
  <c r="L1943" i="13" s="1"/>
  <c r="I1944" i="13" s="1"/>
  <c r="J2130" i="13" a="1"/>
  <c r="J2130" i="13" s="1"/>
  <c r="N2131" i="13"/>
  <c r="M2133" i="13"/>
  <c r="K1966" i="14"/>
  <c r="L1966" i="14" s="1"/>
  <c r="I1967" i="14" s="1"/>
  <c r="M2134" i="14"/>
  <c r="J2129" i="14" a="1"/>
  <c r="J2129" i="14" s="1"/>
  <c r="N2130" i="14"/>
  <c r="K1944" i="13" l="1"/>
  <c r="L1944" i="13" s="1"/>
  <c r="I1945" i="13" s="1"/>
  <c r="K1967" i="14"/>
  <c r="L1967" i="14" s="1"/>
  <c r="I1968" i="14" s="1"/>
  <c r="J2131" i="13" a="1"/>
  <c r="J2131" i="13" s="1"/>
  <c r="N2132" i="13"/>
  <c r="J2130" i="14" a="1"/>
  <c r="J2130" i="14" s="1"/>
  <c r="N2131" i="14"/>
  <c r="M2135" i="14"/>
  <c r="M2134" i="13"/>
  <c r="K1945" i="13" l="1"/>
  <c r="L1945" i="13" s="1"/>
  <c r="I1946" i="13" s="1"/>
  <c r="K1968" i="14"/>
  <c r="L1968" i="14" s="1"/>
  <c r="I1969" i="14" s="1"/>
  <c r="J2132" i="13" a="1"/>
  <c r="J2132" i="13" s="1"/>
  <c r="N2133" i="13"/>
  <c r="M2136" i="14"/>
  <c r="N2132" i="14"/>
  <c r="J2131" i="14" a="1"/>
  <c r="J2131" i="14" s="1"/>
  <c r="M2135" i="13"/>
  <c r="K1946" i="13" l="1"/>
  <c r="L1946" i="13" s="1"/>
  <c r="I1947" i="13" s="1"/>
  <c r="K1969" i="14"/>
  <c r="L1969" i="14" s="1"/>
  <c r="I1970" i="14" s="1"/>
  <c r="N2134" i="13"/>
  <c r="J2133" i="13" a="1"/>
  <c r="J2133" i="13" s="1"/>
  <c r="J2132" i="14" a="1"/>
  <c r="J2132" i="14" s="1"/>
  <c r="N2133" i="14"/>
  <c r="M2136" i="13"/>
  <c r="M2137" i="14"/>
  <c r="K1947" i="13" l="1"/>
  <c r="L1947" i="13" s="1"/>
  <c r="I1948" i="13" s="1"/>
  <c r="K1970" i="14"/>
  <c r="L1970" i="14" s="1"/>
  <c r="I1971" i="14" s="1"/>
  <c r="J2133" i="14" a="1"/>
  <c r="J2133" i="14" s="1"/>
  <c r="N2134" i="14"/>
  <c r="M2138" i="14"/>
  <c r="M2137" i="13"/>
  <c r="J2134" i="13" a="1"/>
  <c r="J2134" i="13" s="1"/>
  <c r="N2135" i="13"/>
  <c r="K1948" i="13" l="1"/>
  <c r="L1948" i="13" s="1"/>
  <c r="I1949" i="13" s="1"/>
  <c r="K1971" i="14"/>
  <c r="L1971" i="14" s="1"/>
  <c r="I1972" i="14" s="1"/>
  <c r="J2135" i="13" a="1"/>
  <c r="J2135" i="13" s="1"/>
  <c r="N2136" i="13"/>
  <c r="M2139" i="14"/>
  <c r="J2134" i="14" a="1"/>
  <c r="J2134" i="14" s="1"/>
  <c r="N2135" i="14"/>
  <c r="M2138" i="13"/>
  <c r="K1949" i="13" l="1"/>
  <c r="L1949" i="13" s="1"/>
  <c r="I1950" i="13" s="1"/>
  <c r="K1972" i="14"/>
  <c r="L1972" i="14" s="1"/>
  <c r="I1973" i="14" s="1"/>
  <c r="M2139" i="13"/>
  <c r="M2140" i="14"/>
  <c r="J2136" i="13" a="1"/>
  <c r="J2136" i="13" s="1"/>
  <c r="N2137" i="13"/>
  <c r="N2136" i="14"/>
  <c r="J2135" i="14" a="1"/>
  <c r="J2135" i="14" s="1"/>
  <c r="K1950" i="13" l="1"/>
  <c r="L1950" i="13" s="1"/>
  <c r="I1951" i="13" s="1"/>
  <c r="K1973" i="14"/>
  <c r="L1973" i="14" s="1"/>
  <c r="I1974" i="14" s="1"/>
  <c r="M2141" i="14"/>
  <c r="J2136" i="14" a="1"/>
  <c r="J2136" i="14" s="1"/>
  <c r="N2137" i="14"/>
  <c r="N2138" i="13"/>
  <c r="J2137" i="13" a="1"/>
  <c r="J2137" i="13" s="1"/>
  <c r="M2140" i="13"/>
  <c r="K1951" i="13" l="1"/>
  <c r="L1951" i="13" s="1"/>
  <c r="I1952" i="13" s="1"/>
  <c r="M2141" i="13"/>
  <c r="J2137" i="14" a="1"/>
  <c r="J2137" i="14" s="1"/>
  <c r="N2138" i="14"/>
  <c r="K1974" i="14"/>
  <c r="L1974" i="14" s="1"/>
  <c r="I1975" i="14" s="1"/>
  <c r="J2138" i="13" a="1"/>
  <c r="J2138" i="13" s="1"/>
  <c r="N2139" i="13"/>
  <c r="M2142" i="14"/>
  <c r="K1952" i="13" l="1"/>
  <c r="L1952" i="13" s="1"/>
  <c r="I1953" i="13" s="1"/>
  <c r="K1975" i="14"/>
  <c r="L1975" i="14" s="1"/>
  <c r="I1976" i="14" s="1"/>
  <c r="M2143" i="14"/>
  <c r="M2142" i="13"/>
  <c r="J2139" i="13" a="1"/>
  <c r="J2139" i="13" s="1"/>
  <c r="N2140" i="13"/>
  <c r="J2138" i="14" a="1"/>
  <c r="J2138" i="14" s="1"/>
  <c r="N2139" i="14"/>
  <c r="K1953" i="13" l="1"/>
  <c r="L1953" i="13" s="1"/>
  <c r="I1954" i="13" s="1"/>
  <c r="K1976" i="14"/>
  <c r="L1976" i="14" s="1"/>
  <c r="I1977" i="14" s="1"/>
  <c r="N2140" i="14"/>
  <c r="J2139" i="14" a="1"/>
  <c r="J2139" i="14" s="1"/>
  <c r="J2140" i="13" a="1"/>
  <c r="J2140" i="13" s="1"/>
  <c r="N2141" i="13"/>
  <c r="M2143" i="13"/>
  <c r="M2144" i="14"/>
  <c r="K1954" i="13" l="1"/>
  <c r="L1954" i="13" s="1"/>
  <c r="I1955" i="13" s="1"/>
  <c r="K1977" i="14"/>
  <c r="L1977" i="14" s="1"/>
  <c r="I1978" i="14" s="1"/>
  <c r="J2140" i="14" a="1"/>
  <c r="J2140" i="14" s="1"/>
  <c r="N2141" i="14"/>
  <c r="N2142" i="13"/>
  <c r="J2141" i="13" a="1"/>
  <c r="J2141" i="13" s="1"/>
  <c r="M2145" i="14"/>
  <c r="M2144" i="13"/>
  <c r="K1955" i="13" l="1"/>
  <c r="L1955" i="13" s="1"/>
  <c r="I1956" i="13" s="1"/>
  <c r="M2145" i="13"/>
  <c r="J2142" i="13" a="1"/>
  <c r="J2142" i="13" s="1"/>
  <c r="N2143" i="13"/>
  <c r="K1978" i="14"/>
  <c r="L1978" i="14" s="1"/>
  <c r="I1979" i="14" s="1"/>
  <c r="J2141" i="14" a="1"/>
  <c r="J2141" i="14" s="1"/>
  <c r="N2142" i="14"/>
  <c r="M2146" i="14"/>
  <c r="K1956" i="13" l="1"/>
  <c r="L1956" i="13" s="1"/>
  <c r="I1957" i="13" s="1"/>
  <c r="M2147" i="14"/>
  <c r="K1979" i="14"/>
  <c r="L1979" i="14" s="1"/>
  <c r="I1980" i="14" s="1"/>
  <c r="M2146" i="13"/>
  <c r="J2142" i="14" a="1"/>
  <c r="J2142" i="14" s="1"/>
  <c r="N2143" i="14"/>
  <c r="J2143" i="13" a="1"/>
  <c r="J2143" i="13" s="1"/>
  <c r="N2144" i="13"/>
  <c r="K1957" i="13" l="1"/>
  <c r="L1957" i="13" s="1"/>
  <c r="I1958" i="13" s="1"/>
  <c r="K1980" i="14"/>
  <c r="L1980" i="14" s="1"/>
  <c r="I1981" i="14" s="1"/>
  <c r="J2144" i="13" a="1"/>
  <c r="J2144" i="13" s="1"/>
  <c r="N2145" i="13"/>
  <c r="M2147" i="13"/>
  <c r="M2148" i="14"/>
  <c r="N2144" i="14"/>
  <c r="J2143" i="14" a="1"/>
  <c r="J2143" i="14" s="1"/>
  <c r="K1958" i="13" l="1"/>
  <c r="L1958" i="13" s="1"/>
  <c r="I1959" i="13" s="1"/>
  <c r="K1981" i="14"/>
  <c r="L1981" i="14" s="1"/>
  <c r="I1982" i="14" s="1"/>
  <c r="N2146" i="13"/>
  <c r="J2145" i="13" a="1"/>
  <c r="J2145" i="13" s="1"/>
  <c r="J2144" i="14" a="1"/>
  <c r="J2144" i="14" s="1"/>
  <c r="N2145" i="14"/>
  <c r="M2148" i="13"/>
  <c r="M2149" i="14"/>
  <c r="K1959" i="13" l="1"/>
  <c r="L1959" i="13" s="1"/>
  <c r="I1960" i="13" s="1"/>
  <c r="K1982" i="14"/>
  <c r="L1982" i="14" s="1"/>
  <c r="I1983" i="14" s="1"/>
  <c r="M2150" i="14"/>
  <c r="J2145" i="14" a="1"/>
  <c r="J2145" i="14" s="1"/>
  <c r="N2146" i="14"/>
  <c r="M2149" i="13"/>
  <c r="J2146" i="13" a="1"/>
  <c r="J2146" i="13" s="1"/>
  <c r="N2147" i="13"/>
  <c r="K1960" i="13" l="1"/>
  <c r="L1960" i="13" s="1"/>
  <c r="I1961" i="13" s="1"/>
  <c r="K1983" i="14"/>
  <c r="L1983" i="14" s="1"/>
  <c r="I1984" i="14" s="1"/>
  <c r="J2146" i="14" a="1"/>
  <c r="J2146" i="14" s="1"/>
  <c r="N2147" i="14"/>
  <c r="J2147" i="13" a="1"/>
  <c r="J2147" i="13" s="1"/>
  <c r="N2148" i="13"/>
  <c r="M2151" i="14"/>
  <c r="M2150" i="13"/>
  <c r="K1961" i="13" l="1"/>
  <c r="L1961" i="13" s="1"/>
  <c r="I1962" i="13" s="1"/>
  <c r="K1984" i="14"/>
  <c r="L1984" i="14" s="1"/>
  <c r="I1985" i="14" s="1"/>
  <c r="J2148" i="13" a="1"/>
  <c r="J2148" i="13" s="1"/>
  <c r="N2149" i="13"/>
  <c r="N2148" i="14"/>
  <c r="J2147" i="14" a="1"/>
  <c r="J2147" i="14" s="1"/>
  <c r="M2151" i="13"/>
  <c r="M2152" i="14"/>
  <c r="K1962" i="13" l="1"/>
  <c r="L1962" i="13" s="1"/>
  <c r="I1963" i="13" s="1"/>
  <c r="J2148" i="14" a="1"/>
  <c r="J2148" i="14" s="1"/>
  <c r="N2149" i="14"/>
  <c r="K1985" i="14"/>
  <c r="L1985" i="14" s="1"/>
  <c r="I1986" i="14" s="1"/>
  <c r="M2152" i="13"/>
  <c r="M2153" i="14"/>
  <c r="N2150" i="13"/>
  <c r="J2149" i="13" a="1"/>
  <c r="J2149" i="13" s="1"/>
  <c r="K1963" i="13" l="1"/>
  <c r="L1963" i="13" s="1"/>
  <c r="I1964" i="13" s="1"/>
  <c r="K1986" i="14"/>
  <c r="L1986" i="14" s="1"/>
  <c r="I1987" i="14" s="1"/>
  <c r="M2153" i="13"/>
  <c r="J2149" i="14" a="1"/>
  <c r="J2149" i="14" s="1"/>
  <c r="N2150" i="14"/>
  <c r="J2150" i="13" a="1"/>
  <c r="J2150" i="13" s="1"/>
  <c r="N2151" i="13"/>
  <c r="M2154" i="14"/>
  <c r="K1964" i="13" l="1"/>
  <c r="L1964" i="13" s="1"/>
  <c r="I1965" i="13" s="1"/>
  <c r="K1987" i="14"/>
  <c r="L1987" i="14" s="1"/>
  <c r="I1988" i="14" s="1"/>
  <c r="J2151" i="13" a="1"/>
  <c r="J2151" i="13" s="1"/>
  <c r="N2152" i="13"/>
  <c r="M2155" i="14"/>
  <c r="J2150" i="14" a="1"/>
  <c r="J2150" i="14" s="1"/>
  <c r="N2151" i="14"/>
  <c r="M2154" i="13"/>
  <c r="K1965" i="13" l="1"/>
  <c r="L1965" i="13" s="1"/>
  <c r="I1966" i="13" s="1"/>
  <c r="K1988" i="14"/>
  <c r="L1988" i="14" s="1"/>
  <c r="I1989" i="14" s="1"/>
  <c r="J2152" i="13" a="1"/>
  <c r="J2152" i="13" s="1"/>
  <c r="N2153" i="13"/>
  <c r="N2152" i="14"/>
  <c r="J2151" i="14" a="1"/>
  <c r="J2151" i="14" s="1"/>
  <c r="M2155" i="13"/>
  <c r="M2156" i="14"/>
  <c r="K1966" i="13" l="1"/>
  <c r="L1966" i="13" s="1"/>
  <c r="I1967" i="13" s="1"/>
  <c r="J2152" i="14" a="1"/>
  <c r="J2152" i="14" s="1"/>
  <c r="N2153" i="14"/>
  <c r="K1989" i="14"/>
  <c r="L1989" i="14" s="1"/>
  <c r="I1990" i="14" s="1"/>
  <c r="M2157" i="14"/>
  <c r="N2154" i="13"/>
  <c r="J2153" i="13" a="1"/>
  <c r="J2153" i="13" s="1"/>
  <c r="M2156" i="13"/>
  <c r="K1967" i="13" l="1"/>
  <c r="L1967" i="13" s="1"/>
  <c r="I1968" i="13" s="1"/>
  <c r="K1990" i="14"/>
  <c r="L1990" i="14" s="1"/>
  <c r="I1991" i="14" s="1"/>
  <c r="M2157" i="13"/>
  <c r="J2153" i="14" a="1"/>
  <c r="J2153" i="14" s="1"/>
  <c r="N2154" i="14"/>
  <c r="M2158" i="14"/>
  <c r="J2154" i="13" a="1"/>
  <c r="J2154" i="13" s="1"/>
  <c r="N2155" i="13"/>
  <c r="K1968" i="13" l="1"/>
  <c r="L1968" i="13" s="1"/>
  <c r="I1969" i="13" s="1"/>
  <c r="K1991" i="14"/>
  <c r="L1991" i="14" s="1"/>
  <c r="I1992" i="14" s="1"/>
  <c r="J2154" i="14" a="1"/>
  <c r="J2154" i="14" s="1"/>
  <c r="N2155" i="14"/>
  <c r="J2155" i="13" a="1"/>
  <c r="J2155" i="13" s="1"/>
  <c r="N2156" i="13"/>
  <c r="M2159" i="14"/>
  <c r="M2158" i="13"/>
  <c r="K1969" i="13" l="1"/>
  <c r="L1969" i="13" s="1"/>
  <c r="I1970" i="13" s="1"/>
  <c r="K1992" i="14"/>
  <c r="L1992" i="14" s="1"/>
  <c r="I1993" i="14" s="1"/>
  <c r="J2156" i="13" a="1"/>
  <c r="J2156" i="13" s="1"/>
  <c r="N2157" i="13"/>
  <c r="M2159" i="13"/>
  <c r="N2156" i="14"/>
  <c r="J2155" i="14" a="1"/>
  <c r="J2155" i="14" s="1"/>
  <c r="M2160" i="14"/>
  <c r="K1970" i="13" l="1"/>
  <c r="L1970" i="13" s="1"/>
  <c r="I1971" i="13" s="1"/>
  <c r="K1993" i="14"/>
  <c r="L1993" i="14" s="1"/>
  <c r="I1994" i="14" s="1"/>
  <c r="N2158" i="13"/>
  <c r="J2157" i="13" a="1"/>
  <c r="J2157" i="13" s="1"/>
  <c r="J2156" i="14" a="1"/>
  <c r="J2156" i="14" s="1"/>
  <c r="N2157" i="14"/>
  <c r="M2161" i="14"/>
  <c r="M2160" i="13"/>
  <c r="K1971" i="13" l="1"/>
  <c r="L1971" i="13" s="1"/>
  <c r="I1972" i="13" s="1"/>
  <c r="K1994" i="14"/>
  <c r="L1994" i="14" s="1"/>
  <c r="I1995" i="14" s="1"/>
  <c r="M2161" i="13"/>
  <c r="J2157" i="14" a="1"/>
  <c r="J2157" i="14" s="1"/>
  <c r="N2158" i="14"/>
  <c r="M2162" i="14"/>
  <c r="J2158" i="13" a="1"/>
  <c r="J2158" i="13" s="1"/>
  <c r="N2159" i="13"/>
  <c r="K1972" i="13" l="1"/>
  <c r="L1972" i="13" s="1"/>
  <c r="I1973" i="13" s="1"/>
  <c r="K1995" i="14"/>
  <c r="L1995" i="14" s="1"/>
  <c r="I1996" i="14" s="1"/>
  <c r="J2159" i="13" a="1"/>
  <c r="J2159" i="13" s="1"/>
  <c r="N2160" i="13"/>
  <c r="M2162" i="13"/>
  <c r="M2163" i="14"/>
  <c r="J2158" i="14" a="1"/>
  <c r="J2158" i="14" s="1"/>
  <c r="N2159" i="14"/>
  <c r="K1973" i="13" l="1"/>
  <c r="L1973" i="13" s="1"/>
  <c r="I1974" i="13" s="1"/>
  <c r="K1996" i="14"/>
  <c r="L1996" i="14" s="1"/>
  <c r="I1997" i="14" s="1"/>
  <c r="N2160" i="14"/>
  <c r="J2159" i="14" a="1"/>
  <c r="J2159" i="14" s="1"/>
  <c r="J2160" i="13" a="1"/>
  <c r="J2160" i="13" s="1"/>
  <c r="N2161" i="13"/>
  <c r="M2163" i="13"/>
  <c r="M2164" i="14"/>
  <c r="K1974" i="13" l="1"/>
  <c r="L1974" i="13" s="1"/>
  <c r="I1975" i="13" s="1"/>
  <c r="N2162" i="13"/>
  <c r="J2161" i="13" a="1"/>
  <c r="J2161" i="13" s="1"/>
  <c r="M2165" i="14"/>
  <c r="K1997" i="14"/>
  <c r="L1997" i="14" s="1"/>
  <c r="I1998" i="14" s="1"/>
  <c r="M2164" i="13"/>
  <c r="J2160" i="14" a="1"/>
  <c r="J2160" i="14" s="1"/>
  <c r="N2161" i="14"/>
  <c r="K1975" i="13" l="1"/>
  <c r="L1975" i="13" s="1"/>
  <c r="I1976" i="13" s="1"/>
  <c r="K1998" i="14"/>
  <c r="L1998" i="14" s="1"/>
  <c r="I1999" i="14" s="1"/>
  <c r="J2161" i="14" a="1"/>
  <c r="J2161" i="14" s="1"/>
  <c r="N2162" i="14"/>
  <c r="J2162" i="13" a="1"/>
  <c r="J2162" i="13" s="1"/>
  <c r="N2163" i="13"/>
  <c r="M2165" i="13"/>
  <c r="M2166" i="14"/>
  <c r="K1976" i="13" l="1"/>
  <c r="L1976" i="13" s="1"/>
  <c r="I1977" i="13" s="1"/>
  <c r="K1999" i="14"/>
  <c r="L1999" i="14" s="1"/>
  <c r="I2000" i="14" s="1"/>
  <c r="M2167" i="14"/>
  <c r="J2163" i="13" a="1"/>
  <c r="J2163" i="13" s="1"/>
  <c r="N2164" i="13"/>
  <c r="J2162" i="14" a="1"/>
  <c r="J2162" i="14" s="1"/>
  <c r="N2163" i="14"/>
  <c r="M2166" i="13"/>
  <c r="K1977" i="13" l="1"/>
  <c r="L1977" i="13" s="1"/>
  <c r="I1978" i="13" s="1"/>
  <c r="K2000" i="14"/>
  <c r="L2000" i="14" s="1"/>
  <c r="I2001" i="14" s="1"/>
  <c r="N2164" i="14"/>
  <c r="J2163" i="14" a="1"/>
  <c r="J2163" i="14" s="1"/>
  <c r="M2167" i="13"/>
  <c r="M2168" i="14"/>
  <c r="J2164" i="13" a="1"/>
  <c r="J2164" i="13" s="1"/>
  <c r="N2165" i="13"/>
  <c r="K1978" i="13" l="1"/>
  <c r="L1978" i="13" s="1"/>
  <c r="I1979" i="13" s="1"/>
  <c r="K2001" i="14"/>
  <c r="L2001" i="14" s="1"/>
  <c r="I2002" i="14" s="1"/>
  <c r="N2166" i="13"/>
  <c r="J2165" i="13" a="1"/>
  <c r="J2165" i="13" s="1"/>
  <c r="M2168" i="13"/>
  <c r="M2169" i="14"/>
  <c r="J2164" i="14" a="1"/>
  <c r="J2164" i="14" s="1"/>
  <c r="N2165" i="14"/>
  <c r="K1979" i="13" l="1"/>
  <c r="L1979" i="13" s="1"/>
  <c r="I1980" i="13" s="1"/>
  <c r="K2002" i="14"/>
  <c r="L2002" i="14" s="1"/>
  <c r="I2003" i="14" s="1"/>
  <c r="M2170" i="14"/>
  <c r="J2165" i="14" a="1"/>
  <c r="J2165" i="14" s="1"/>
  <c r="N2166" i="14"/>
  <c r="M2169" i="13"/>
  <c r="J2166" i="13" a="1"/>
  <c r="J2166" i="13" s="1"/>
  <c r="N2167" i="13"/>
  <c r="K1980" i="13" l="1"/>
  <c r="L1980" i="13" s="1"/>
  <c r="I1981" i="13" s="1"/>
  <c r="K2003" i="14"/>
  <c r="L2003" i="14" s="1"/>
  <c r="I2004" i="14" s="1"/>
  <c r="J2167" i="13" a="1"/>
  <c r="J2167" i="13" s="1"/>
  <c r="N2168" i="13"/>
  <c r="J2166" i="14" a="1"/>
  <c r="J2166" i="14" s="1"/>
  <c r="N2167" i="14"/>
  <c r="M2171" i="14"/>
  <c r="M2170" i="13"/>
  <c r="K1981" i="13" l="1"/>
  <c r="L1981" i="13" s="1"/>
  <c r="I1982" i="13" s="1"/>
  <c r="K2004" i="14"/>
  <c r="L2004" i="14" s="1"/>
  <c r="I2005" i="14" s="1"/>
  <c r="N2168" i="14"/>
  <c r="J2167" i="14" a="1"/>
  <c r="J2167" i="14" s="1"/>
  <c r="J2168" i="13" a="1"/>
  <c r="J2168" i="13" s="1"/>
  <c r="N2169" i="13"/>
  <c r="M2171" i="13"/>
  <c r="M2172" i="14"/>
  <c r="K1982" i="13" l="1"/>
  <c r="L1982" i="13" s="1"/>
  <c r="I1983" i="13" s="1"/>
  <c r="K2005" i="14"/>
  <c r="L2005" i="14" s="1"/>
  <c r="I2006" i="14" s="1"/>
  <c r="J2168" i="14" a="1"/>
  <c r="J2168" i="14" s="1"/>
  <c r="N2169" i="14"/>
  <c r="N2170" i="13"/>
  <c r="J2169" i="13" a="1"/>
  <c r="J2169" i="13" s="1"/>
  <c r="M2173" i="14"/>
  <c r="M2172" i="13"/>
  <c r="K1983" i="13" l="1"/>
  <c r="L1983" i="13" s="1"/>
  <c r="I1984" i="13" s="1"/>
  <c r="K2006" i="14"/>
  <c r="L2006" i="14" s="1"/>
  <c r="I2007" i="14" s="1"/>
  <c r="M2173" i="13"/>
  <c r="J2170" i="13" a="1"/>
  <c r="J2170" i="13" s="1"/>
  <c r="N2171" i="13"/>
  <c r="J2169" i="14" a="1"/>
  <c r="J2169" i="14" s="1"/>
  <c r="N2170" i="14"/>
  <c r="M2174" i="14"/>
  <c r="K1984" i="13" l="1"/>
  <c r="L1984" i="13" s="1"/>
  <c r="I1985" i="13" s="1"/>
  <c r="K2007" i="14"/>
  <c r="L2007" i="14" s="1"/>
  <c r="I2008" i="14" s="1"/>
  <c r="M2175" i="14"/>
  <c r="J2171" i="13" a="1"/>
  <c r="J2171" i="13" s="1"/>
  <c r="N2172" i="13"/>
  <c r="J2170" i="14" a="1"/>
  <c r="J2170" i="14" s="1"/>
  <c r="N2171" i="14"/>
  <c r="M2174" i="13"/>
  <c r="K1985" i="13" l="1"/>
  <c r="L1985" i="13" s="1"/>
  <c r="I1986" i="13" s="1"/>
  <c r="K2008" i="14"/>
  <c r="L2008" i="14" s="1"/>
  <c r="I2009" i="14" s="1"/>
  <c r="N2172" i="14"/>
  <c r="J2171" i="14" a="1"/>
  <c r="J2171" i="14" s="1"/>
  <c r="J2172" i="13" a="1"/>
  <c r="J2172" i="13" s="1"/>
  <c r="N2173" i="13"/>
  <c r="M2175" i="13"/>
  <c r="M2176" i="14"/>
  <c r="K1986" i="13" l="1"/>
  <c r="L1986" i="13" s="1"/>
  <c r="I1987" i="13" s="1"/>
  <c r="K2009" i="14"/>
  <c r="L2009" i="14" s="1"/>
  <c r="I2010" i="14" s="1"/>
  <c r="N2174" i="13"/>
  <c r="J2173" i="13" a="1"/>
  <c r="J2173" i="13" s="1"/>
  <c r="M2176" i="13"/>
  <c r="M2177" i="14"/>
  <c r="J2172" i="14" a="1"/>
  <c r="J2172" i="14" s="1"/>
  <c r="N2173" i="14"/>
  <c r="K1987" i="13" l="1"/>
  <c r="L1987" i="13" s="1"/>
  <c r="I1988" i="13" s="1"/>
  <c r="K2010" i="14"/>
  <c r="L2010" i="14" s="1"/>
  <c r="I2011" i="14" s="1"/>
  <c r="J2173" i="14" a="1"/>
  <c r="J2173" i="14" s="1"/>
  <c r="N2174" i="14"/>
  <c r="M2177" i="13"/>
  <c r="M2178" i="14"/>
  <c r="J2174" i="13" a="1"/>
  <c r="J2174" i="13" s="1"/>
  <c r="N2175" i="13"/>
  <c r="K1988" i="13" l="1"/>
  <c r="L1988" i="13" s="1"/>
  <c r="I1989" i="13" s="1"/>
  <c r="K2011" i="14"/>
  <c r="L2011" i="14" s="1"/>
  <c r="I2012" i="14" s="1"/>
  <c r="J2174" i="14" a="1"/>
  <c r="J2174" i="14" s="1"/>
  <c r="N2175" i="14"/>
  <c r="J2175" i="13" a="1"/>
  <c r="J2175" i="13" s="1"/>
  <c r="N2176" i="13"/>
  <c r="M2179" i="14"/>
  <c r="M2178" i="13"/>
  <c r="K1989" i="13" l="1"/>
  <c r="L1989" i="13" s="1"/>
  <c r="I1990" i="13" s="1"/>
  <c r="K2012" i="14"/>
  <c r="L2012" i="14" s="1"/>
  <c r="I2013" i="14" s="1"/>
  <c r="M2179" i="13"/>
  <c r="M2180" i="14"/>
  <c r="J2176" i="13" a="1"/>
  <c r="J2176" i="13" s="1"/>
  <c r="N2177" i="13"/>
  <c r="N2176" i="14"/>
  <c r="J2175" i="14" a="1"/>
  <c r="J2175" i="14" s="1"/>
  <c r="K1990" i="13" l="1"/>
  <c r="L1990" i="13" s="1"/>
  <c r="I1991" i="13" s="1"/>
  <c r="K2013" i="14"/>
  <c r="L2013" i="14" s="1"/>
  <c r="I2014" i="14" s="1"/>
  <c r="N2178" i="13"/>
  <c r="J2177" i="13" a="1"/>
  <c r="J2177" i="13" s="1"/>
  <c r="J2176" i="14" a="1"/>
  <c r="J2176" i="14" s="1"/>
  <c r="N2177" i="14"/>
  <c r="M2181" i="14"/>
  <c r="M2180" i="13"/>
  <c r="K1991" i="13" l="1"/>
  <c r="L1991" i="13" s="1"/>
  <c r="I1992" i="13" s="1"/>
  <c r="M2181" i="13"/>
  <c r="J2177" i="14" a="1"/>
  <c r="J2177" i="14" s="1"/>
  <c r="N2178" i="14"/>
  <c r="K2014" i="14"/>
  <c r="L2014" i="14" s="1"/>
  <c r="I2015" i="14" s="1"/>
  <c r="M2182" i="14"/>
  <c r="J2178" i="13" a="1"/>
  <c r="J2178" i="13" s="1"/>
  <c r="N2179" i="13"/>
  <c r="K1992" i="13" l="1"/>
  <c r="L1992" i="13" s="1"/>
  <c r="I1993" i="13" s="1"/>
  <c r="J2179" i="13" a="1"/>
  <c r="J2179" i="13" s="1"/>
  <c r="N2180" i="13"/>
  <c r="M2182" i="13"/>
  <c r="J2178" i="14" a="1"/>
  <c r="J2178" i="14" s="1"/>
  <c r="N2179" i="14"/>
  <c r="K2015" i="14"/>
  <c r="L2015" i="14" s="1"/>
  <c r="I2016" i="14" s="1"/>
  <c r="M2183" i="14"/>
  <c r="K1993" i="13" l="1"/>
  <c r="L1993" i="13" s="1"/>
  <c r="I1994" i="13" s="1"/>
  <c r="K2016" i="14"/>
  <c r="L2016" i="14" s="1"/>
  <c r="I2017" i="14" s="1"/>
  <c r="N2180" i="14"/>
  <c r="J2179" i="14" a="1"/>
  <c r="J2179" i="14" s="1"/>
  <c r="J2180" i="13" a="1"/>
  <c r="J2180" i="13" s="1"/>
  <c r="N2181" i="13"/>
  <c r="M2184" i="14"/>
  <c r="M2183" i="13"/>
  <c r="K1994" i="13" l="1"/>
  <c r="L1994" i="13" s="1"/>
  <c r="I1995" i="13" s="1"/>
  <c r="N2182" i="13"/>
  <c r="J2181" i="13" a="1"/>
  <c r="J2181" i="13" s="1"/>
  <c r="M2184" i="13"/>
  <c r="M2185" i="14"/>
  <c r="J2180" i="14" a="1"/>
  <c r="J2180" i="14" s="1"/>
  <c r="N2181" i="14"/>
  <c r="K2017" i="14"/>
  <c r="L2017" i="14" s="1"/>
  <c r="I2018" i="14" s="1"/>
  <c r="K1995" i="13" l="1"/>
  <c r="L1995" i="13" s="1"/>
  <c r="I1996" i="13" s="1"/>
  <c r="K2018" i="14"/>
  <c r="L2018" i="14" s="1"/>
  <c r="I2019" i="14" s="1"/>
  <c r="M2186" i="14"/>
  <c r="J2182" i="13" a="1"/>
  <c r="J2182" i="13" s="1"/>
  <c r="N2183" i="13"/>
  <c r="J2181" i="14" a="1"/>
  <c r="J2181" i="14" s="1"/>
  <c r="N2182" i="14"/>
  <c r="M2185" i="13"/>
  <c r="K1996" i="13" l="1"/>
  <c r="L1996" i="13" s="1"/>
  <c r="I1997" i="13" s="1"/>
  <c r="M2186" i="13"/>
  <c r="J2183" i="13" a="1"/>
  <c r="J2183" i="13" s="1"/>
  <c r="N2184" i="13"/>
  <c r="K2019" i="14"/>
  <c r="L2019" i="14" s="1"/>
  <c r="I2020" i="14" s="1"/>
  <c r="J2182" i="14" a="1"/>
  <c r="J2182" i="14" s="1"/>
  <c r="N2183" i="14"/>
  <c r="M2187" i="14"/>
  <c r="K1997" i="13" l="1"/>
  <c r="L1997" i="13" s="1"/>
  <c r="I1998" i="13" s="1"/>
  <c r="N2184" i="14"/>
  <c r="J2183" i="14" a="1"/>
  <c r="J2183" i="14" s="1"/>
  <c r="K2020" i="14"/>
  <c r="L2020" i="14" s="1"/>
  <c r="I2021" i="14" s="1"/>
  <c r="M2187" i="13"/>
  <c r="M2188" i="14"/>
  <c r="J2184" i="13" a="1"/>
  <c r="J2184" i="13" s="1"/>
  <c r="N2185" i="13"/>
  <c r="K1998" i="13" l="1"/>
  <c r="L1998" i="13" s="1"/>
  <c r="I1999" i="13" s="1"/>
  <c r="K2021" i="14"/>
  <c r="L2021" i="14" s="1"/>
  <c r="I2022" i="14" s="1"/>
  <c r="N2186" i="13"/>
  <c r="J2185" i="13" a="1"/>
  <c r="J2185" i="13" s="1"/>
  <c r="J2184" i="14" a="1"/>
  <c r="J2184" i="14" s="1"/>
  <c r="N2185" i="14"/>
  <c r="M2188" i="13"/>
  <c r="M2189" i="14"/>
  <c r="K1999" i="13" l="1"/>
  <c r="L1999" i="13" s="1"/>
  <c r="I2000" i="13" s="1"/>
  <c r="K2022" i="14"/>
  <c r="L2022" i="14" s="1"/>
  <c r="I2023" i="14" s="1"/>
  <c r="J2185" i="14" a="1"/>
  <c r="J2185" i="14" s="1"/>
  <c r="N2186" i="14"/>
  <c r="M2190" i="14"/>
  <c r="M2189" i="13"/>
  <c r="J2186" i="13" a="1"/>
  <c r="J2186" i="13" s="1"/>
  <c r="N2187" i="13"/>
  <c r="K2000" i="13" l="1"/>
  <c r="L2000" i="13" s="1"/>
  <c r="I2001" i="13" s="1"/>
  <c r="K2023" i="14"/>
  <c r="L2023" i="14" s="1"/>
  <c r="I2024" i="14" s="1"/>
  <c r="J2187" i="13" a="1"/>
  <c r="J2187" i="13" s="1"/>
  <c r="N2188" i="13"/>
  <c r="J2186" i="14" a="1"/>
  <c r="J2186" i="14" s="1"/>
  <c r="N2187" i="14"/>
  <c r="M2191" i="14"/>
  <c r="M2190" i="13"/>
  <c r="K2001" i="13" l="1"/>
  <c r="L2001" i="13" s="1"/>
  <c r="I2002" i="13" s="1"/>
  <c r="K2024" i="14"/>
  <c r="L2024" i="14" s="1"/>
  <c r="I2025" i="14" s="1"/>
  <c r="N2188" i="14"/>
  <c r="J2187" i="14" a="1"/>
  <c r="J2187" i="14" s="1"/>
  <c r="J2188" i="13" a="1"/>
  <c r="J2188" i="13" s="1"/>
  <c r="N2189" i="13"/>
  <c r="M2191" i="13"/>
  <c r="M2192" i="14"/>
  <c r="K2002" i="13" l="1"/>
  <c r="L2002" i="13" s="1"/>
  <c r="I2003" i="13" s="1"/>
  <c r="K2025" i="14"/>
  <c r="L2025" i="14" s="1"/>
  <c r="I2026" i="14" s="1"/>
  <c r="N2190" i="13"/>
  <c r="J2189" i="13" a="1"/>
  <c r="J2189" i="13" s="1"/>
  <c r="M2193" i="14"/>
  <c r="M2192" i="13"/>
  <c r="J2188" i="14" a="1"/>
  <c r="J2188" i="14" s="1"/>
  <c r="N2189" i="14"/>
  <c r="K2003" i="13" l="1"/>
  <c r="L2003" i="13" s="1"/>
  <c r="I2004" i="13" s="1"/>
  <c r="K2026" i="14"/>
  <c r="L2026" i="14" s="1"/>
  <c r="I2027" i="14" s="1"/>
  <c r="M2193" i="13"/>
  <c r="J2189" i="14" a="1"/>
  <c r="J2189" i="14" s="1"/>
  <c r="N2190" i="14"/>
  <c r="M2194" i="14"/>
  <c r="J2190" i="13" a="1"/>
  <c r="J2190" i="13" s="1"/>
  <c r="N2191" i="13"/>
  <c r="K2004" i="13" l="1"/>
  <c r="L2004" i="13" s="1"/>
  <c r="I2005" i="13" s="1"/>
  <c r="K2027" i="14"/>
  <c r="L2027" i="14" s="1"/>
  <c r="I2028" i="14" s="1"/>
  <c r="J2191" i="13" a="1"/>
  <c r="J2191" i="13" s="1"/>
  <c r="N2192" i="13"/>
  <c r="J2190" i="14" a="1"/>
  <c r="J2190" i="14" s="1"/>
  <c r="N2191" i="14"/>
  <c r="M2195" i="14"/>
  <c r="M2194" i="13"/>
  <c r="K2005" i="13" l="1"/>
  <c r="L2005" i="13" s="1"/>
  <c r="I2006" i="13" s="1"/>
  <c r="K2028" i="14"/>
  <c r="L2028" i="14" s="1"/>
  <c r="I2029" i="14" s="1"/>
  <c r="N2192" i="14"/>
  <c r="J2191" i="14" a="1"/>
  <c r="J2191" i="14" s="1"/>
  <c r="M2196" i="14"/>
  <c r="M2195" i="13"/>
  <c r="J2192" i="13" a="1"/>
  <c r="J2192" i="13" s="1"/>
  <c r="N2193" i="13"/>
  <c r="K2006" i="13" l="1"/>
  <c r="L2006" i="13" s="1"/>
  <c r="I2007" i="13" s="1"/>
  <c r="K2029" i="14"/>
  <c r="L2029" i="14" s="1"/>
  <c r="I2030" i="14" s="1"/>
  <c r="N2194" i="13"/>
  <c r="J2193" i="13" a="1"/>
  <c r="J2193" i="13" s="1"/>
  <c r="M2197" i="14"/>
  <c r="M2196" i="13"/>
  <c r="J2192" i="14" a="1"/>
  <c r="J2192" i="14" s="1"/>
  <c r="N2193" i="14"/>
  <c r="K2007" i="13" l="1"/>
  <c r="L2007" i="13" s="1"/>
  <c r="I2008" i="13" s="1"/>
  <c r="K2030" i="14"/>
  <c r="L2030" i="14" s="1"/>
  <c r="I2031" i="14" s="1"/>
  <c r="M2198" i="14"/>
  <c r="J2193" i="14" a="1"/>
  <c r="J2193" i="14" s="1"/>
  <c r="N2194" i="14"/>
  <c r="M2197" i="13"/>
  <c r="J2194" i="13" a="1"/>
  <c r="J2194" i="13" s="1"/>
  <c r="N2195" i="13"/>
  <c r="K2008" i="13" l="1"/>
  <c r="L2008" i="13" s="1"/>
  <c r="I2009" i="13" s="1"/>
  <c r="J2195" i="13" a="1"/>
  <c r="J2195" i="13" s="1"/>
  <c r="N2196" i="13"/>
  <c r="M2199" i="14"/>
  <c r="J2194" i="14" a="1"/>
  <c r="J2194" i="14" s="1"/>
  <c r="N2195" i="14"/>
  <c r="M2198" i="13"/>
  <c r="K2031" i="14"/>
  <c r="L2031" i="14" s="1"/>
  <c r="I2032" i="14" s="1"/>
  <c r="K2009" i="13" l="1"/>
  <c r="L2009" i="13" s="1"/>
  <c r="I2010" i="13" s="1"/>
  <c r="K2032" i="14"/>
  <c r="L2032" i="14" s="1"/>
  <c r="I2033" i="14" s="1"/>
  <c r="N2196" i="14"/>
  <c r="J2195" i="14" a="1"/>
  <c r="J2195" i="14" s="1"/>
  <c r="J2196" i="13" a="1"/>
  <c r="J2196" i="13" s="1"/>
  <c r="N2197" i="13"/>
  <c r="M2199" i="13"/>
  <c r="M2200" i="14"/>
  <c r="K2010" i="13" l="1"/>
  <c r="L2010" i="13" s="1"/>
  <c r="I2011" i="13" s="1"/>
  <c r="K2033" i="14"/>
  <c r="L2033" i="14" s="1"/>
  <c r="I2034" i="14" s="1"/>
  <c r="M2200" i="13"/>
  <c r="N2198" i="13"/>
  <c r="J2197" i="13" a="1"/>
  <c r="J2197" i="13" s="1"/>
  <c r="M2201" i="14"/>
  <c r="J2196" i="14" a="1"/>
  <c r="J2196" i="14" s="1"/>
  <c r="N2197" i="14"/>
  <c r="K2011" i="13" l="1"/>
  <c r="L2011" i="13" s="1"/>
  <c r="I2012" i="13" s="1"/>
  <c r="K2034" i="14"/>
  <c r="L2034" i="14" s="1"/>
  <c r="I2035" i="14" s="1"/>
  <c r="J2197" i="14" a="1"/>
  <c r="J2197" i="14" s="1"/>
  <c r="N2198" i="14"/>
  <c r="M2201" i="13"/>
  <c r="M2202" i="14"/>
  <c r="J2198" i="13" a="1"/>
  <c r="J2198" i="13" s="1"/>
  <c r="N2199" i="13"/>
  <c r="K2012" i="13" l="1"/>
  <c r="L2012" i="13" s="1"/>
  <c r="I2013" i="13" s="1"/>
  <c r="K2035" i="14"/>
  <c r="L2035" i="14" s="1"/>
  <c r="I2036" i="14" s="1"/>
  <c r="M2203" i="14"/>
  <c r="J2199" i="13" a="1"/>
  <c r="J2199" i="13" s="1"/>
  <c r="N2200" i="13"/>
  <c r="J2198" i="14" a="1"/>
  <c r="J2198" i="14" s="1"/>
  <c r="N2199" i="14"/>
  <c r="M2202" i="13"/>
  <c r="K2013" i="13" l="1"/>
  <c r="L2013" i="13" s="1"/>
  <c r="I2014" i="13" s="1"/>
  <c r="K2036" i="14"/>
  <c r="L2036" i="14" s="1"/>
  <c r="I2037" i="14" s="1"/>
  <c r="M2203" i="13"/>
  <c r="M2204" i="14"/>
  <c r="J2200" i="13" a="1"/>
  <c r="J2200" i="13" s="1"/>
  <c r="N2201" i="13"/>
  <c r="N2200" i="14"/>
  <c r="J2199" i="14" a="1"/>
  <c r="J2199" i="14" s="1"/>
  <c r="K2014" i="13" l="1"/>
  <c r="L2014" i="13" s="1"/>
  <c r="I2015" i="13" s="1"/>
  <c r="K2037" i="14"/>
  <c r="L2037" i="14" s="1"/>
  <c r="I2038" i="14" s="1"/>
  <c r="J2200" i="14" a="1"/>
  <c r="J2200" i="14" s="1"/>
  <c r="N2201" i="14"/>
  <c r="M2205" i="14"/>
  <c r="M2204" i="13"/>
  <c r="N2202" i="13"/>
  <c r="J2201" i="13" a="1"/>
  <c r="J2201" i="13" s="1"/>
  <c r="K2015" i="13" l="1"/>
  <c r="L2015" i="13" s="1"/>
  <c r="I2016" i="13" s="1"/>
  <c r="K2038" i="14"/>
  <c r="L2038" i="14" s="1"/>
  <c r="I2039" i="14" s="1"/>
  <c r="J2202" i="13" a="1"/>
  <c r="J2202" i="13" s="1"/>
  <c r="N2203" i="13"/>
  <c r="M2206" i="14"/>
  <c r="M2205" i="13"/>
  <c r="J2201" i="14" a="1"/>
  <c r="J2201" i="14" s="1"/>
  <c r="N2202" i="14"/>
  <c r="K2016" i="13" l="1"/>
  <c r="L2016" i="13" s="1"/>
  <c r="I2017" i="13" s="1"/>
  <c r="K2039" i="14"/>
  <c r="L2039" i="14" s="1"/>
  <c r="I2040" i="14" s="1"/>
  <c r="J2203" i="13" a="1"/>
  <c r="J2203" i="13" s="1"/>
  <c r="N2204" i="13"/>
  <c r="J2202" i="14" a="1"/>
  <c r="J2202" i="14" s="1"/>
  <c r="N2203" i="14"/>
  <c r="M2207" i="14"/>
  <c r="M2206" i="13"/>
  <c r="K2017" i="13" l="1"/>
  <c r="L2017" i="13" s="1"/>
  <c r="I2018" i="13" s="1"/>
  <c r="N2204" i="14"/>
  <c r="J2203" i="14" a="1"/>
  <c r="J2203" i="14" s="1"/>
  <c r="K2040" i="14"/>
  <c r="L2040" i="14" s="1"/>
  <c r="I2041" i="14" s="1"/>
  <c r="M2207" i="13"/>
  <c r="J2204" i="13" a="1"/>
  <c r="J2204" i="13" s="1"/>
  <c r="N2205" i="13"/>
  <c r="M2208" i="14"/>
  <c r="K2018" i="13" l="1"/>
  <c r="L2018" i="13" s="1"/>
  <c r="I2019" i="13" s="1"/>
  <c r="M2209" i="14"/>
  <c r="J2204" i="14" a="1"/>
  <c r="J2204" i="14" s="1"/>
  <c r="N2205" i="14"/>
  <c r="N2206" i="13"/>
  <c r="J2205" i="13" a="1"/>
  <c r="J2205" i="13" s="1"/>
  <c r="M2208" i="13"/>
  <c r="K2041" i="14"/>
  <c r="L2041" i="14" s="1"/>
  <c r="I2042" i="14" s="1"/>
  <c r="K2019" i="13" l="1"/>
  <c r="L2019" i="13" s="1"/>
  <c r="I2020" i="13" s="1"/>
  <c r="K2042" i="14"/>
  <c r="L2042" i="14" s="1"/>
  <c r="I2043" i="14" s="1"/>
  <c r="J2206" i="13" a="1"/>
  <c r="J2206" i="13" s="1"/>
  <c r="N2207" i="13"/>
  <c r="M2210" i="14"/>
  <c r="J2205" i="14" a="1"/>
  <c r="J2205" i="14" s="1"/>
  <c r="N2206" i="14"/>
  <c r="M2209" i="13"/>
  <c r="K2020" i="13" l="1"/>
  <c r="L2020" i="13" s="1"/>
  <c r="I2021" i="13" s="1"/>
  <c r="M2211" i="14"/>
  <c r="K2043" i="14"/>
  <c r="L2043" i="14" s="1"/>
  <c r="I2044" i="14" s="1"/>
  <c r="M2210" i="13"/>
  <c r="J2206" i="14" a="1"/>
  <c r="J2206" i="14" s="1"/>
  <c r="N2207" i="14"/>
  <c r="J2207" i="13" a="1"/>
  <c r="J2207" i="13" s="1"/>
  <c r="N2208" i="13"/>
  <c r="K2021" i="13" l="1"/>
  <c r="L2021" i="13" s="1"/>
  <c r="I2022" i="13" s="1"/>
  <c r="K2044" i="14"/>
  <c r="L2044" i="14" s="1"/>
  <c r="I2045" i="14" s="1"/>
  <c r="N2208" i="14"/>
  <c r="J2207" i="14" a="1"/>
  <c r="J2207" i="14" s="1"/>
  <c r="J2208" i="13" a="1"/>
  <c r="J2208" i="13" s="1"/>
  <c r="N2209" i="13"/>
  <c r="M2211" i="13"/>
  <c r="M2212" i="14"/>
  <c r="K2022" i="13" l="1"/>
  <c r="L2022" i="13" s="1"/>
  <c r="I2023" i="13" s="1"/>
  <c r="N2210" i="13"/>
  <c r="J2209" i="13" a="1"/>
  <c r="J2209" i="13" s="1"/>
  <c r="M2212" i="13"/>
  <c r="M2213" i="14"/>
  <c r="J2208" i="14" a="1"/>
  <c r="J2208" i="14" s="1"/>
  <c r="N2209" i="14"/>
  <c r="K2045" i="14"/>
  <c r="L2045" i="14" s="1"/>
  <c r="I2046" i="14" s="1"/>
  <c r="K2023" i="13" l="1"/>
  <c r="L2023" i="13" s="1"/>
  <c r="I2024" i="13" s="1"/>
  <c r="J2209" i="14" a="1"/>
  <c r="J2209" i="14" s="1"/>
  <c r="N2210" i="14"/>
  <c r="M2213" i="13"/>
  <c r="K2046" i="14"/>
  <c r="L2046" i="14" s="1"/>
  <c r="I2047" i="14" s="1"/>
  <c r="M2214" i="14"/>
  <c r="J2210" i="13" a="1"/>
  <c r="J2210" i="13" s="1"/>
  <c r="N2211" i="13"/>
  <c r="K2024" i="13" l="1"/>
  <c r="L2024" i="13" s="1"/>
  <c r="I2025" i="13" s="1"/>
  <c r="K2047" i="14"/>
  <c r="L2047" i="14" s="1"/>
  <c r="I2048" i="14" s="1"/>
  <c r="M2215" i="14"/>
  <c r="J2211" i="13" a="1"/>
  <c r="J2211" i="13" s="1"/>
  <c r="N2212" i="13"/>
  <c r="M2214" i="13"/>
  <c r="J2210" i="14" a="1"/>
  <c r="J2210" i="14" s="1"/>
  <c r="N2211" i="14"/>
  <c r="K2025" i="13" l="1"/>
  <c r="L2025" i="13" s="1"/>
  <c r="I2026" i="13" s="1"/>
  <c r="K2048" i="14"/>
  <c r="L2048" i="14" s="1"/>
  <c r="I2049" i="14" s="1"/>
  <c r="M2215" i="13"/>
  <c r="M2216" i="14"/>
  <c r="N2212" i="14"/>
  <c r="J2211" i="14" a="1"/>
  <c r="J2211" i="14" s="1"/>
  <c r="J2212" i="13" a="1"/>
  <c r="J2212" i="13" s="1"/>
  <c r="N2213" i="13"/>
  <c r="K2026" i="13" l="1"/>
  <c r="L2026" i="13" s="1"/>
  <c r="I2027" i="13" s="1"/>
  <c r="N2214" i="13"/>
  <c r="J2213" i="13" a="1"/>
  <c r="J2213" i="13" s="1"/>
  <c r="M2217" i="14"/>
  <c r="J2212" i="14" a="1"/>
  <c r="J2212" i="14" s="1"/>
  <c r="N2213" i="14"/>
  <c r="M2216" i="13"/>
  <c r="K2049" i="14"/>
  <c r="L2049" i="14" s="1"/>
  <c r="I2050" i="14" s="1"/>
  <c r="K2027" i="13" l="1"/>
  <c r="L2027" i="13" s="1"/>
  <c r="I2028" i="13" s="1"/>
  <c r="K2050" i="14"/>
  <c r="L2050" i="14" s="1"/>
  <c r="I2051" i="14" s="1"/>
  <c r="J2214" i="13" a="1"/>
  <c r="J2214" i="13" s="1"/>
  <c r="N2215" i="13"/>
  <c r="J2213" i="14" a="1"/>
  <c r="J2213" i="14" s="1"/>
  <c r="N2214" i="14"/>
  <c r="M2217" i="13"/>
  <c r="M2218" i="14"/>
  <c r="K2028" i="13" l="1"/>
  <c r="L2028" i="13" s="1"/>
  <c r="I2029" i="13" s="1"/>
  <c r="K2051" i="14"/>
  <c r="L2051" i="14" s="1"/>
  <c r="I2052" i="14" s="1"/>
  <c r="M2218" i="13"/>
  <c r="M2219" i="14"/>
  <c r="J2214" i="14" a="1"/>
  <c r="J2214" i="14" s="1"/>
  <c r="N2215" i="14"/>
  <c r="J2215" i="13" a="1"/>
  <c r="J2215" i="13" s="1"/>
  <c r="N2216" i="13"/>
  <c r="K2029" i="13" l="1"/>
  <c r="L2029" i="13" s="1"/>
  <c r="I2030" i="13" s="1"/>
  <c r="M2220" i="14"/>
  <c r="J2216" i="13" a="1"/>
  <c r="J2216" i="13" s="1"/>
  <c r="N2217" i="13"/>
  <c r="K2052" i="14"/>
  <c r="L2052" i="14" s="1"/>
  <c r="I2053" i="14" s="1"/>
  <c r="N2216" i="14"/>
  <c r="J2215" i="14" a="1"/>
  <c r="J2215" i="14" s="1"/>
  <c r="M2219" i="13"/>
  <c r="K2030" i="13" l="1"/>
  <c r="L2030" i="13" s="1"/>
  <c r="I2031" i="13" s="1"/>
  <c r="K2053" i="14"/>
  <c r="L2053" i="14" s="1"/>
  <c r="I2054" i="14" s="1"/>
  <c r="M2220" i="13"/>
  <c r="M2221" i="14"/>
  <c r="N2218" i="13"/>
  <c r="J2217" i="13" a="1"/>
  <c r="J2217" i="13" s="1"/>
  <c r="J2216" i="14" a="1"/>
  <c r="J2216" i="14" s="1"/>
  <c r="N2217" i="14"/>
  <c r="K2031" i="13" l="1"/>
  <c r="L2031" i="13" s="1"/>
  <c r="I2032" i="13" s="1"/>
  <c r="K2054" i="14"/>
  <c r="L2054" i="14" s="1"/>
  <c r="I2055" i="14" s="1"/>
  <c r="J2217" i="14" a="1"/>
  <c r="J2217" i="14" s="1"/>
  <c r="N2218" i="14"/>
  <c r="M2222" i="14"/>
  <c r="M2221" i="13"/>
  <c r="J2218" i="13" a="1"/>
  <c r="J2218" i="13" s="1"/>
  <c r="N2219" i="13"/>
  <c r="K2032" i="13" l="1"/>
  <c r="L2032" i="13" s="1"/>
  <c r="I2033" i="13" s="1"/>
  <c r="K2055" i="14"/>
  <c r="L2055" i="14" s="1"/>
  <c r="I2056" i="14" s="1"/>
  <c r="J2219" i="13" a="1"/>
  <c r="J2219" i="13" s="1"/>
  <c r="N2220" i="13"/>
  <c r="M2223" i="14"/>
  <c r="J2218" i="14" a="1"/>
  <c r="J2218" i="14" s="1"/>
  <c r="N2219" i="14"/>
  <c r="M2222" i="13"/>
  <c r="K2033" i="13" l="1"/>
  <c r="L2033" i="13" s="1"/>
  <c r="I2034" i="13" s="1"/>
  <c r="K2056" i="14"/>
  <c r="L2056" i="14" s="1"/>
  <c r="I2057" i="14" s="1"/>
  <c r="M2223" i="13"/>
  <c r="M2224" i="14"/>
  <c r="N2220" i="14"/>
  <c r="J2219" i="14" a="1"/>
  <c r="J2219" i="14" s="1"/>
  <c r="J2220" i="13" a="1"/>
  <c r="J2220" i="13" s="1"/>
  <c r="N2221" i="13"/>
  <c r="K2034" i="13" l="1"/>
  <c r="L2034" i="13" s="1"/>
  <c r="I2035" i="13" s="1"/>
  <c r="K2057" i="14"/>
  <c r="L2057" i="14" s="1"/>
  <c r="I2058" i="14" s="1"/>
  <c r="N2222" i="13"/>
  <c r="J2221" i="13" a="1"/>
  <c r="J2221" i="13" s="1"/>
  <c r="M2225" i="14"/>
  <c r="J2220" i="14" a="1"/>
  <c r="J2220" i="14" s="1"/>
  <c r="N2221" i="14"/>
  <c r="M2224" i="13"/>
  <c r="K2035" i="13" l="1"/>
  <c r="L2035" i="13" s="1"/>
  <c r="I2036" i="13" s="1"/>
  <c r="J2221" i="14" a="1"/>
  <c r="J2221" i="14" s="1"/>
  <c r="N2222" i="14"/>
  <c r="M2225" i="13"/>
  <c r="M2226" i="14"/>
  <c r="K2058" i="14"/>
  <c r="L2058" i="14" s="1"/>
  <c r="I2059" i="14" s="1"/>
  <c r="J2222" i="13" a="1"/>
  <c r="J2222" i="13" s="1"/>
  <c r="N2223" i="13"/>
  <c r="K2036" i="13" l="1"/>
  <c r="L2036" i="13" s="1"/>
  <c r="I2037" i="13" s="1"/>
  <c r="K2059" i="14"/>
  <c r="L2059" i="14" s="1"/>
  <c r="I2060" i="14" s="1"/>
  <c r="J2223" i="13" a="1"/>
  <c r="J2223" i="13" s="1"/>
  <c r="N2224" i="13"/>
  <c r="M2227" i="14"/>
  <c r="J2222" i="14" a="1"/>
  <c r="J2222" i="14" s="1"/>
  <c r="N2223" i="14"/>
  <c r="M2226" i="13"/>
  <c r="K2037" i="13" l="1"/>
  <c r="L2037" i="13" s="1"/>
  <c r="I2038" i="13" s="1"/>
  <c r="K2060" i="14"/>
  <c r="L2060" i="14" s="1"/>
  <c r="I2061" i="14" s="1"/>
  <c r="N2224" i="14"/>
  <c r="J2223" i="14" a="1"/>
  <c r="J2223" i="14" s="1"/>
  <c r="J2224" i="13" a="1"/>
  <c r="J2224" i="13" s="1"/>
  <c r="N2225" i="13"/>
  <c r="M2227" i="13"/>
  <c r="M2228" i="14"/>
  <c r="K2038" i="13" l="1"/>
  <c r="L2038" i="13" s="1"/>
  <c r="I2039" i="13" s="1"/>
  <c r="K2061" i="14"/>
  <c r="L2061" i="14" s="1"/>
  <c r="I2062" i="14" s="1"/>
  <c r="M2229" i="14"/>
  <c r="N2226" i="13"/>
  <c r="J2225" i="13" a="1"/>
  <c r="J2225" i="13" s="1"/>
  <c r="M2228" i="13"/>
  <c r="J2224" i="14" a="1"/>
  <c r="J2224" i="14" s="1"/>
  <c r="N2225" i="14"/>
  <c r="K2039" i="13" l="1"/>
  <c r="L2039" i="13" s="1"/>
  <c r="I2040" i="13" s="1"/>
  <c r="K2062" i="14"/>
  <c r="L2062" i="14" s="1"/>
  <c r="I2063" i="14" s="1"/>
  <c r="J2225" i="14" a="1"/>
  <c r="J2225" i="14" s="1"/>
  <c r="N2226" i="14"/>
  <c r="M2230" i="14"/>
  <c r="M2229" i="13"/>
  <c r="J2226" i="13" a="1"/>
  <c r="J2226" i="13" s="1"/>
  <c r="N2227" i="13"/>
  <c r="K2040" i="13" l="1"/>
  <c r="L2040" i="13" s="1"/>
  <c r="I2041" i="13" s="1"/>
  <c r="K2063" i="14"/>
  <c r="L2063" i="14" s="1"/>
  <c r="I2064" i="14" s="1"/>
  <c r="M2231" i="14"/>
  <c r="J2227" i="13" a="1"/>
  <c r="J2227" i="13" s="1"/>
  <c r="N2228" i="13"/>
  <c r="J2226" i="14" a="1"/>
  <c r="J2226" i="14" s="1"/>
  <c r="N2227" i="14"/>
  <c r="M2230" i="13"/>
  <c r="K2041" i="13" l="1"/>
  <c r="L2041" i="13" s="1"/>
  <c r="I2042" i="13" s="1"/>
  <c r="K2064" i="14"/>
  <c r="L2064" i="14" s="1"/>
  <c r="I2065" i="14" s="1"/>
  <c r="M2231" i="13"/>
  <c r="N2228" i="14"/>
  <c r="J2227" i="14" a="1"/>
  <c r="J2227" i="14" s="1"/>
  <c r="J2228" i="13" a="1"/>
  <c r="J2228" i="13" s="1"/>
  <c r="N2229" i="13"/>
  <c r="M2232" i="14"/>
  <c r="K2042" i="13" l="1"/>
  <c r="L2042" i="13" s="1"/>
  <c r="I2043" i="13" s="1"/>
  <c r="K2065" i="14"/>
  <c r="L2065" i="14" s="1"/>
  <c r="I2066" i="14" s="1"/>
  <c r="M2233" i="14"/>
  <c r="J2228" i="14" a="1"/>
  <c r="J2228" i="14" s="1"/>
  <c r="N2229" i="14"/>
  <c r="N2230" i="13"/>
  <c r="J2229" i="13" a="1"/>
  <c r="J2229" i="13" s="1"/>
  <c r="M2232" i="13"/>
  <c r="K2043" i="13" l="1"/>
  <c r="L2043" i="13" s="1"/>
  <c r="I2044" i="13" s="1"/>
  <c r="M2233" i="13"/>
  <c r="J2229" i="14" a="1"/>
  <c r="J2229" i="14" s="1"/>
  <c r="N2230" i="14"/>
  <c r="K2066" i="14"/>
  <c r="L2066" i="14" s="1"/>
  <c r="I2067" i="14" s="1"/>
  <c r="J2230" i="13" a="1"/>
  <c r="J2230" i="13" s="1"/>
  <c r="N2231" i="13"/>
  <c r="M2234" i="14"/>
  <c r="K2044" i="13" l="1"/>
  <c r="L2044" i="13" s="1"/>
  <c r="I2045" i="13" s="1"/>
  <c r="M2235" i="14"/>
  <c r="K2067" i="14"/>
  <c r="L2067" i="14" s="1"/>
  <c r="I2068" i="14" s="1"/>
  <c r="M2234" i="13"/>
  <c r="J2230" i="14" a="1"/>
  <c r="J2230" i="14" s="1"/>
  <c r="N2231" i="14"/>
  <c r="J2231" i="13" a="1"/>
  <c r="J2231" i="13" s="1"/>
  <c r="N2232" i="13"/>
  <c r="K2045" i="13" l="1"/>
  <c r="L2045" i="13" s="1"/>
  <c r="I2046" i="13" s="1"/>
  <c r="K2068" i="14"/>
  <c r="L2068" i="14" s="1"/>
  <c r="I2069" i="14" s="1"/>
  <c r="J2232" i="13" a="1"/>
  <c r="J2232" i="13" s="1"/>
  <c r="N2233" i="13"/>
  <c r="M2236" i="14"/>
  <c r="M2235" i="13"/>
  <c r="N2232" i="14"/>
  <c r="J2231" i="14" a="1"/>
  <c r="J2231" i="14" s="1"/>
  <c r="K2046" i="13" l="1"/>
  <c r="L2046" i="13" s="1"/>
  <c r="I2047" i="13" s="1"/>
  <c r="K2069" i="14"/>
  <c r="L2069" i="14" s="1"/>
  <c r="I2070" i="14" s="1"/>
  <c r="N2233" i="14"/>
  <c r="J2232" i="14" a="1"/>
  <c r="J2232" i="14" s="1"/>
  <c r="M2237" i="14"/>
  <c r="N2234" i="13"/>
  <c r="J2233" i="13" a="1"/>
  <c r="J2233" i="13" s="1"/>
  <c r="M2236" i="13"/>
  <c r="K2047" i="13" l="1"/>
  <c r="L2047" i="13" s="1"/>
  <c r="I2048" i="13" s="1"/>
  <c r="K2070" i="14"/>
  <c r="L2070" i="14" s="1"/>
  <c r="I2071" i="14" s="1"/>
  <c r="M2237" i="13"/>
  <c r="N2234" i="14"/>
  <c r="J2233" i="14" a="1"/>
  <c r="J2233" i="14" s="1"/>
  <c r="M2238" i="14"/>
  <c r="J2234" i="13" a="1"/>
  <c r="J2234" i="13" s="1"/>
  <c r="N2235" i="13"/>
  <c r="K2048" i="13" l="1"/>
  <c r="L2048" i="13" s="1"/>
  <c r="I2049" i="13" s="1"/>
  <c r="K2071" i="14"/>
  <c r="L2071" i="14" s="1"/>
  <c r="I2072" i="14" s="1"/>
  <c r="J2235" i="13" a="1"/>
  <c r="J2235" i="13" s="1"/>
  <c r="N2236" i="13"/>
  <c r="J2234" i="14" a="1"/>
  <c r="J2234" i="14" s="1"/>
  <c r="N2235" i="14"/>
  <c r="M2239" i="14"/>
  <c r="M2238" i="13"/>
  <c r="K2049" i="13" l="1"/>
  <c r="L2049" i="13" s="1"/>
  <c r="I2050" i="13" s="1"/>
  <c r="K2072" i="14"/>
  <c r="L2072" i="14" s="1"/>
  <c r="I2073" i="14" s="1"/>
  <c r="N2236" i="14"/>
  <c r="J2235" i="14" a="1"/>
  <c r="J2235" i="14" s="1"/>
  <c r="M2239" i="13"/>
  <c r="M2240" i="14"/>
  <c r="J2236" i="13" a="1"/>
  <c r="J2236" i="13" s="1"/>
  <c r="N2237" i="13"/>
  <c r="K2050" i="13" l="1"/>
  <c r="L2050" i="13" s="1"/>
  <c r="I2051" i="13" s="1"/>
  <c r="K2073" i="14"/>
  <c r="L2073" i="14" s="1"/>
  <c r="I2074" i="14" s="1"/>
  <c r="M2241" i="14"/>
  <c r="N2238" i="13"/>
  <c r="J2237" i="13" a="1"/>
  <c r="J2237" i="13" s="1"/>
  <c r="M2240" i="13"/>
  <c r="N2237" i="14"/>
  <c r="J2236" i="14" a="1"/>
  <c r="J2236" i="14" s="1"/>
  <c r="K2051" i="13" l="1"/>
  <c r="L2051" i="13" s="1"/>
  <c r="I2052" i="13" s="1"/>
  <c r="K2074" i="14"/>
  <c r="L2074" i="14" s="1"/>
  <c r="I2075" i="14" s="1"/>
  <c r="J2237" i="14" a="1"/>
  <c r="J2237" i="14" s="1"/>
  <c r="N2238" i="14"/>
  <c r="J2238" i="13" a="1"/>
  <c r="J2238" i="13" s="1"/>
  <c r="N2239" i="13"/>
  <c r="M2241" i="13"/>
  <c r="M2242" i="14"/>
  <c r="K2052" i="13" l="1"/>
  <c r="L2052" i="13" s="1"/>
  <c r="I2053" i="13" s="1"/>
  <c r="J2239" i="13" a="1"/>
  <c r="J2239" i="13" s="1"/>
  <c r="N2240" i="13"/>
  <c r="K2075" i="14"/>
  <c r="L2075" i="14" s="1"/>
  <c r="I2076" i="14" s="1"/>
  <c r="M2242" i="13"/>
  <c r="M2243" i="14"/>
  <c r="N2239" i="14"/>
  <c r="J2238" i="14" a="1"/>
  <c r="J2238" i="14" s="1"/>
  <c r="K2053" i="13" l="1"/>
  <c r="L2053" i="13" s="1"/>
  <c r="I2054" i="13" s="1"/>
  <c r="K2076" i="14"/>
  <c r="L2076" i="14" s="1"/>
  <c r="I2077" i="14" s="1"/>
  <c r="J2240" i="13" a="1"/>
  <c r="J2240" i="13" s="1"/>
  <c r="N2241" i="13"/>
  <c r="N2240" i="14"/>
  <c r="J2239" i="14" a="1"/>
  <c r="J2239" i="14" s="1"/>
  <c r="M2243" i="13"/>
  <c r="M2244" i="14"/>
  <c r="K2054" i="13" l="1"/>
  <c r="L2054" i="13" s="1"/>
  <c r="I2055" i="13" s="1"/>
  <c r="K2077" i="14"/>
  <c r="L2077" i="14" s="1"/>
  <c r="I2078" i="14" s="1"/>
  <c r="M2244" i="13"/>
  <c r="M2245" i="14"/>
  <c r="N2241" i="14"/>
  <c r="J2240" i="14" a="1"/>
  <c r="J2240" i="14" s="1"/>
  <c r="N2242" i="13"/>
  <c r="J2241" i="13" a="1"/>
  <c r="J2241" i="13" s="1"/>
  <c r="K2055" i="13" l="1"/>
  <c r="L2055" i="13" s="1"/>
  <c r="I2056" i="13" s="1"/>
  <c r="M2246" i="14"/>
  <c r="K2078" i="14"/>
  <c r="L2078" i="14" s="1"/>
  <c r="I2079" i="14" s="1"/>
  <c r="M2245" i="13"/>
  <c r="J2242" i="13" a="1"/>
  <c r="J2242" i="13" s="1"/>
  <c r="N2243" i="13"/>
  <c r="J2241" i="14" a="1"/>
  <c r="J2241" i="14" s="1"/>
  <c r="N2242" i="14"/>
  <c r="K2056" i="13" l="1"/>
  <c r="L2056" i="13" s="1"/>
  <c r="I2057" i="13" s="1"/>
  <c r="K2079" i="14"/>
  <c r="L2079" i="14" s="1"/>
  <c r="I2080" i="14" s="1"/>
  <c r="J2243" i="13" a="1"/>
  <c r="J2243" i="13" s="1"/>
  <c r="N2244" i="13"/>
  <c r="N2243" i="14"/>
  <c r="J2242" i="14" a="1"/>
  <c r="J2242" i="14" s="1"/>
  <c r="M2247" i="14"/>
  <c r="M2246" i="13"/>
  <c r="K2057" i="13" l="1"/>
  <c r="L2057" i="13" s="1"/>
  <c r="I2058" i="13" s="1"/>
  <c r="K2080" i="14"/>
  <c r="L2080" i="14" s="1"/>
  <c r="I2081" i="14" s="1"/>
  <c r="M2247" i="13"/>
  <c r="M2248" i="14"/>
  <c r="N2244" i="14"/>
  <c r="J2243" i="14" a="1"/>
  <c r="J2243" i="14" s="1"/>
  <c r="J2244" i="13" a="1"/>
  <c r="J2244" i="13" s="1"/>
  <c r="N2245" i="13"/>
  <c r="K2058" i="13" l="1"/>
  <c r="L2058" i="13" s="1"/>
  <c r="I2059" i="13" s="1"/>
  <c r="K2081" i="14"/>
  <c r="L2081" i="14" s="1"/>
  <c r="I2082" i="14" s="1"/>
  <c r="N2246" i="13"/>
  <c r="J2245" i="13" a="1"/>
  <c r="J2245" i="13" s="1"/>
  <c r="M2249" i="14"/>
  <c r="N2245" i="14"/>
  <c r="J2244" i="14" a="1"/>
  <c r="J2244" i="14" s="1"/>
  <c r="M2248" i="13"/>
  <c r="K2059" i="13" l="1"/>
  <c r="L2059" i="13" s="1"/>
  <c r="I2060" i="13" s="1"/>
  <c r="K2082" i="14"/>
  <c r="L2082" i="14" s="1"/>
  <c r="I2083" i="14" s="1"/>
  <c r="M2249" i="13"/>
  <c r="J2245" i="14" a="1"/>
  <c r="J2245" i="14" s="1"/>
  <c r="N2246" i="14"/>
  <c r="M2250" i="14"/>
  <c r="J2246" i="13" a="1"/>
  <c r="J2246" i="13" s="1"/>
  <c r="N2247" i="13"/>
  <c r="K2060" i="13" l="1"/>
  <c r="L2060" i="13" s="1"/>
  <c r="I2061" i="13" s="1"/>
  <c r="K2083" i="14"/>
  <c r="L2083" i="14" s="1"/>
  <c r="I2084" i="14" s="1"/>
  <c r="N2247" i="14"/>
  <c r="J2246" i="14" a="1"/>
  <c r="J2246" i="14" s="1"/>
  <c r="J2247" i="13" a="1"/>
  <c r="J2247" i="13" s="1"/>
  <c r="N2248" i="13"/>
  <c r="M2251" i="14"/>
  <c r="M2250" i="13"/>
  <c r="K2061" i="13" l="1"/>
  <c r="L2061" i="13" s="1"/>
  <c r="I2062" i="13" s="1"/>
  <c r="M2251" i="13"/>
  <c r="J2248" i="13" a="1"/>
  <c r="J2248" i="13" s="1"/>
  <c r="N2249" i="13"/>
  <c r="K2084" i="14"/>
  <c r="L2084" i="14" s="1"/>
  <c r="I2085" i="14" s="1"/>
  <c r="M2252" i="14"/>
  <c r="J2247" i="14" a="1"/>
  <c r="J2247" i="14" s="1"/>
  <c r="N2248" i="14"/>
  <c r="K2062" i="13" l="1"/>
  <c r="L2062" i="13" s="1"/>
  <c r="I2063" i="13" s="1"/>
  <c r="K2085" i="14"/>
  <c r="L2085" i="14" s="1"/>
  <c r="I2086" i="14" s="1"/>
  <c r="N2249" i="14"/>
  <c r="J2248" i="14" a="1"/>
  <c r="J2248" i="14" s="1"/>
  <c r="M2252" i="13"/>
  <c r="N2250" i="13"/>
  <c r="J2249" i="13" a="1"/>
  <c r="J2249" i="13" s="1"/>
  <c r="M2253" i="14"/>
  <c r="K2063" i="13" l="1"/>
  <c r="L2063" i="13" s="1"/>
  <c r="I2064" i="13" s="1"/>
  <c r="J2250" i="13" a="1"/>
  <c r="J2250" i="13" s="1"/>
  <c r="N2251" i="13"/>
  <c r="M2254" i="14"/>
  <c r="M2253" i="13"/>
  <c r="J2249" i="14" a="1"/>
  <c r="J2249" i="14" s="1"/>
  <c r="N2250" i="14"/>
  <c r="K2086" i="14"/>
  <c r="L2086" i="14" s="1"/>
  <c r="I2087" i="14" s="1"/>
  <c r="K2064" i="13" l="1"/>
  <c r="L2064" i="13" s="1"/>
  <c r="I2065" i="13" s="1"/>
  <c r="K2087" i="14"/>
  <c r="L2087" i="14" s="1"/>
  <c r="I2088" i="14" s="1"/>
  <c r="J2250" i="14" a="1"/>
  <c r="J2250" i="14" s="1"/>
  <c r="N2251" i="14"/>
  <c r="M2255" i="14"/>
  <c r="J2251" i="13" a="1"/>
  <c r="J2251" i="13" s="1"/>
  <c r="N2252" i="13"/>
  <c r="M2254" i="13"/>
  <c r="K2065" i="13" l="1"/>
  <c r="L2065" i="13" s="1"/>
  <c r="I2066" i="13" s="1"/>
  <c r="K2088" i="14"/>
  <c r="L2088" i="14" s="1"/>
  <c r="I2089" i="14" s="1"/>
  <c r="M2256" i="14"/>
  <c r="M2255" i="13"/>
  <c r="J2252" i="13" a="1"/>
  <c r="J2252" i="13" s="1"/>
  <c r="N2253" i="13"/>
  <c r="N2252" i="14"/>
  <c r="J2251" i="14" a="1"/>
  <c r="J2251" i="14" s="1"/>
  <c r="K2066" i="13" l="1"/>
  <c r="L2066" i="13" s="1"/>
  <c r="I2067" i="13" s="1"/>
  <c r="K2089" i="14"/>
  <c r="L2089" i="14" s="1"/>
  <c r="I2090" i="14" s="1"/>
  <c r="N2254" i="13"/>
  <c r="J2253" i="13" a="1"/>
  <c r="J2253" i="13" s="1"/>
  <c r="N2253" i="14"/>
  <c r="J2252" i="14" a="1"/>
  <c r="J2252" i="14" s="1"/>
  <c r="M2257" i="14"/>
  <c r="M2256" i="13"/>
  <c r="K2067" i="13" l="1"/>
  <c r="L2067" i="13" s="1"/>
  <c r="I2068" i="13" s="1"/>
  <c r="K2090" i="14"/>
  <c r="L2090" i="14" s="1"/>
  <c r="I2091" i="14" s="1"/>
  <c r="J2254" i="13" a="1"/>
  <c r="J2254" i="13" s="1"/>
  <c r="N2255" i="13"/>
  <c r="M2257" i="13"/>
  <c r="M2258" i="14"/>
  <c r="J2253" i="14" a="1"/>
  <c r="J2253" i="14" s="1"/>
  <c r="N2254" i="14"/>
  <c r="K2068" i="13" l="1"/>
  <c r="L2068" i="13" s="1"/>
  <c r="I2069" i="13" s="1"/>
  <c r="K2091" i="14"/>
  <c r="L2091" i="14" s="1"/>
  <c r="I2092" i="14" s="1"/>
  <c r="N2255" i="14"/>
  <c r="J2254" i="14" a="1"/>
  <c r="J2254" i="14" s="1"/>
  <c r="M2259" i="14"/>
  <c r="M2258" i="13"/>
  <c r="J2255" i="13" a="1"/>
  <c r="J2255" i="13" s="1"/>
  <c r="N2256" i="13"/>
  <c r="K2069" i="13" l="1"/>
  <c r="L2069" i="13" s="1"/>
  <c r="I2070" i="13" s="1"/>
  <c r="K2092" i="14"/>
  <c r="L2092" i="14" s="1"/>
  <c r="I2093" i="14" s="1"/>
  <c r="J2256" i="13" a="1"/>
  <c r="J2256" i="13" s="1"/>
  <c r="N2257" i="13"/>
  <c r="M2260" i="14"/>
  <c r="M2259" i="13"/>
  <c r="N2256" i="14"/>
  <c r="J2255" i="14" a="1"/>
  <c r="J2255" i="14" s="1"/>
  <c r="K2070" i="13" l="1"/>
  <c r="L2070" i="13" s="1"/>
  <c r="I2071" i="13" s="1"/>
  <c r="K2093" i="14"/>
  <c r="L2093" i="14" s="1"/>
  <c r="I2094" i="14" s="1"/>
  <c r="N2258" i="13"/>
  <c r="J2257" i="13" a="1"/>
  <c r="J2257" i="13" s="1"/>
  <c r="N2257" i="14"/>
  <c r="J2256" i="14" a="1"/>
  <c r="J2256" i="14" s="1"/>
  <c r="M2260" i="13"/>
  <c r="M2261" i="14"/>
  <c r="K2071" i="13" l="1"/>
  <c r="L2071" i="13" s="1"/>
  <c r="I2072" i="13" s="1"/>
  <c r="J2257" i="14" a="1"/>
  <c r="J2257" i="14" s="1"/>
  <c r="N2258" i="14"/>
  <c r="K2094" i="14"/>
  <c r="L2094" i="14" s="1"/>
  <c r="I2095" i="14" s="1"/>
  <c r="M2262" i="14"/>
  <c r="M2261" i="13"/>
  <c r="J2258" i="13" a="1"/>
  <c r="J2258" i="13" s="1"/>
  <c r="N2259" i="13"/>
  <c r="K2072" i="13" l="1"/>
  <c r="L2072" i="13" s="1"/>
  <c r="I2073" i="13" s="1"/>
  <c r="K2095" i="14"/>
  <c r="L2095" i="14" s="1"/>
  <c r="I2096" i="14" s="1"/>
  <c r="J2259" i="13" a="1"/>
  <c r="J2259" i="13" s="1"/>
  <c r="N2260" i="13"/>
  <c r="M2263" i="14"/>
  <c r="N2259" i="14"/>
  <c r="J2258" i="14" a="1"/>
  <c r="J2258" i="14" s="1"/>
  <c r="M2262" i="13"/>
  <c r="K2073" i="13" l="1"/>
  <c r="L2073" i="13" s="1"/>
  <c r="I2074" i="13" s="1"/>
  <c r="K2096" i="14"/>
  <c r="L2096" i="14" s="1"/>
  <c r="I2097" i="14" s="1"/>
  <c r="N2260" i="14"/>
  <c r="J2259" i="14" a="1"/>
  <c r="J2259" i="14" s="1"/>
  <c r="M2263" i="13"/>
  <c r="M2264" i="14"/>
  <c r="J2260" i="13" a="1"/>
  <c r="J2260" i="13" s="1"/>
  <c r="N2261" i="13"/>
  <c r="K2074" i="13" l="1"/>
  <c r="L2074" i="13" s="1"/>
  <c r="I2075" i="13" s="1"/>
  <c r="K2097" i="14"/>
  <c r="L2097" i="14" s="1"/>
  <c r="I2098" i="14" s="1"/>
  <c r="M2264" i="13"/>
  <c r="N2262" i="13"/>
  <c r="J2261" i="13" a="1"/>
  <c r="J2261" i="13" s="1"/>
  <c r="N2261" i="14"/>
  <c r="J2260" i="14" a="1"/>
  <c r="J2260" i="14" s="1"/>
  <c r="M2265" i="14"/>
  <c r="K2075" i="13" l="1"/>
  <c r="L2075" i="13" s="1"/>
  <c r="I2076" i="13" s="1"/>
  <c r="K2098" i="14"/>
  <c r="L2098" i="14" s="1"/>
  <c r="I2099" i="14" s="1"/>
  <c r="M2266" i="14"/>
  <c r="J2262" i="13" a="1"/>
  <c r="J2262" i="13" s="1"/>
  <c r="N2263" i="13"/>
  <c r="M2265" i="13"/>
  <c r="J2261" i="14" a="1"/>
  <c r="J2261" i="14" s="1"/>
  <c r="N2262" i="14"/>
  <c r="K2076" i="13" l="1"/>
  <c r="L2076" i="13" s="1"/>
  <c r="I2077" i="13" s="1"/>
  <c r="K2099" i="14"/>
  <c r="L2099" i="14" s="1"/>
  <c r="I2100" i="14" s="1"/>
  <c r="J2263" i="13" a="1"/>
  <c r="J2263" i="13" s="1"/>
  <c r="N2264" i="13"/>
  <c r="N2263" i="14"/>
  <c r="J2262" i="14" a="1"/>
  <c r="J2262" i="14" s="1"/>
  <c r="M2267" i="14"/>
  <c r="M2266" i="13"/>
  <c r="K2077" i="13" l="1"/>
  <c r="L2077" i="13" s="1"/>
  <c r="I2078" i="13" s="1"/>
  <c r="K2100" i="14"/>
  <c r="L2100" i="14" s="1"/>
  <c r="I2101" i="14" s="1"/>
  <c r="N2264" i="14"/>
  <c r="J2263" i="14" a="1"/>
  <c r="J2263" i="14" s="1"/>
  <c r="J2264" i="13" a="1"/>
  <c r="J2264" i="13" s="1"/>
  <c r="N2265" i="13"/>
  <c r="M2267" i="13"/>
  <c r="M2268" i="14"/>
  <c r="K2078" i="13" l="1"/>
  <c r="L2078" i="13" s="1"/>
  <c r="I2079" i="13" s="1"/>
  <c r="K2101" i="14"/>
  <c r="L2101" i="14" s="1"/>
  <c r="I2102" i="14" s="1"/>
  <c r="N2266" i="13"/>
  <c r="J2265" i="13" a="1"/>
  <c r="J2265" i="13" s="1"/>
  <c r="M2269" i="14"/>
  <c r="M2268" i="13"/>
  <c r="J2264" i="14" a="1"/>
  <c r="J2264" i="14" s="1"/>
  <c r="N2265" i="14"/>
  <c r="K2079" i="13" l="1"/>
  <c r="L2079" i="13" s="1"/>
  <c r="I2080" i="13" s="1"/>
  <c r="K2102" i="14"/>
  <c r="L2102" i="14" s="1"/>
  <c r="I2103" i="14" s="1"/>
  <c r="J2265" i="14" a="1"/>
  <c r="J2265" i="14" s="1"/>
  <c r="N2266" i="14"/>
  <c r="M2270" i="14"/>
  <c r="M2269" i="13"/>
  <c r="J2266" i="13" a="1"/>
  <c r="J2266" i="13" s="1"/>
  <c r="N2267" i="13"/>
  <c r="K2080" i="13" l="1"/>
  <c r="L2080" i="13" s="1"/>
  <c r="I2081" i="13" s="1"/>
  <c r="K2103" i="14"/>
  <c r="L2103" i="14" s="1"/>
  <c r="I2104" i="14" s="1"/>
  <c r="N2267" i="14"/>
  <c r="J2266" i="14" a="1"/>
  <c r="J2266" i="14" s="1"/>
  <c r="J2267" i="13" a="1"/>
  <c r="J2267" i="13" s="1"/>
  <c r="N2268" i="13"/>
  <c r="M2271" i="14"/>
  <c r="M2270" i="13"/>
  <c r="K2081" i="13" l="1"/>
  <c r="L2081" i="13" s="1"/>
  <c r="I2082" i="13" s="1"/>
  <c r="M2271" i="13"/>
  <c r="J2268" i="13" a="1"/>
  <c r="J2268" i="13" s="1"/>
  <c r="N2269" i="13"/>
  <c r="K2104" i="14"/>
  <c r="L2104" i="14" s="1"/>
  <c r="I2105" i="14" s="1"/>
  <c r="M2272" i="14"/>
  <c r="N2268" i="14"/>
  <c r="J2267" i="14" a="1"/>
  <c r="J2267" i="14" s="1"/>
  <c r="K2082" i="13" l="1"/>
  <c r="L2082" i="13" s="1"/>
  <c r="I2083" i="13" s="1"/>
  <c r="K2105" i="14"/>
  <c r="L2105" i="14" s="1"/>
  <c r="I2106" i="14" s="1"/>
  <c r="N2270" i="13"/>
  <c r="J2269" i="13" a="1"/>
  <c r="J2269" i="13" s="1"/>
  <c r="M2273" i="14"/>
  <c r="J2268" i="14" a="1"/>
  <c r="J2268" i="14" s="1"/>
  <c r="N2269" i="14"/>
  <c r="M2272" i="13"/>
  <c r="K2083" i="13" l="1"/>
  <c r="L2083" i="13" s="1"/>
  <c r="I2084" i="13" s="1"/>
  <c r="K2106" i="14"/>
  <c r="L2106" i="14" s="1"/>
  <c r="I2107" i="14" s="1"/>
  <c r="M2273" i="13"/>
  <c r="M2274" i="14"/>
  <c r="J2269" i="14" a="1"/>
  <c r="J2269" i="14" s="1"/>
  <c r="N2270" i="14"/>
  <c r="J2270" i="13" a="1"/>
  <c r="J2270" i="13" s="1"/>
  <c r="N2271" i="13"/>
  <c r="K2084" i="13" l="1"/>
  <c r="L2084" i="13" s="1"/>
  <c r="I2085" i="13" s="1"/>
  <c r="J2271" i="13" a="1"/>
  <c r="J2271" i="13" s="1"/>
  <c r="N2272" i="13"/>
  <c r="M2275" i="14"/>
  <c r="K2107" i="14"/>
  <c r="L2107" i="14" s="1"/>
  <c r="I2108" i="14" s="1"/>
  <c r="N2271" i="14"/>
  <c r="J2270" i="14" a="1"/>
  <c r="J2270" i="14" s="1"/>
  <c r="M2274" i="13"/>
  <c r="K2085" i="13" l="1"/>
  <c r="L2085" i="13" s="1"/>
  <c r="I2086" i="13" s="1"/>
  <c r="M2275" i="13"/>
  <c r="K2108" i="14"/>
  <c r="L2108" i="14" s="1"/>
  <c r="I2109" i="14" s="1"/>
  <c r="J2272" i="13" a="1"/>
  <c r="J2272" i="13" s="1"/>
  <c r="N2273" i="13"/>
  <c r="N2272" i="14"/>
  <c r="J2271" i="14" a="1"/>
  <c r="J2271" i="14" s="1"/>
  <c r="M2276" i="14"/>
  <c r="K2086" i="13" l="1"/>
  <c r="L2086" i="13" s="1"/>
  <c r="I2087" i="13" s="1"/>
  <c r="K2109" i="14"/>
  <c r="L2109" i="14" s="1"/>
  <c r="I2110" i="14" s="1"/>
  <c r="N2274" i="13"/>
  <c r="J2273" i="13" a="1"/>
  <c r="J2273" i="13" s="1"/>
  <c r="M2276" i="13"/>
  <c r="M2277" i="14"/>
  <c r="J2272" i="14" a="1"/>
  <c r="J2272" i="14" s="1"/>
  <c r="N2273" i="14"/>
  <c r="K2087" i="13" l="1"/>
  <c r="L2087" i="13" s="1"/>
  <c r="I2088" i="13" s="1"/>
  <c r="J2273" i="14" a="1"/>
  <c r="J2273" i="14" s="1"/>
  <c r="N2274" i="14"/>
  <c r="M2277" i="13"/>
  <c r="M2278" i="14"/>
  <c r="J2274" i="13" a="1"/>
  <c r="J2274" i="13" s="1"/>
  <c r="N2275" i="13"/>
  <c r="K2110" i="14"/>
  <c r="L2110" i="14" s="1"/>
  <c r="I2111" i="14" s="1"/>
  <c r="K2088" i="13" l="1"/>
  <c r="L2088" i="13" s="1"/>
  <c r="I2089" i="13" s="1"/>
  <c r="K2111" i="14"/>
  <c r="L2111" i="14" s="1"/>
  <c r="I2112" i="14" s="1"/>
  <c r="M2279" i="14"/>
  <c r="N2275" i="14"/>
  <c r="J2274" i="14" a="1"/>
  <c r="J2274" i="14" s="1"/>
  <c r="J2275" i="13" a="1"/>
  <c r="J2275" i="13" s="1"/>
  <c r="N2276" i="13"/>
  <c r="M2278" i="13"/>
  <c r="K2089" i="13" l="1"/>
  <c r="L2089" i="13" s="1"/>
  <c r="I2090" i="13" s="1"/>
  <c r="K2112" i="14"/>
  <c r="L2112" i="14" s="1"/>
  <c r="I2113" i="14" s="1"/>
  <c r="M2279" i="13"/>
  <c r="N2276" i="14"/>
  <c r="J2275" i="14" a="1"/>
  <c r="J2275" i="14" s="1"/>
  <c r="J2276" i="13" a="1"/>
  <c r="J2276" i="13" s="1"/>
  <c r="N2277" i="13"/>
  <c r="M2280" i="14"/>
  <c r="K2090" i="13" l="1"/>
  <c r="L2090" i="13" s="1"/>
  <c r="I2091" i="13" s="1"/>
  <c r="K2113" i="14"/>
  <c r="L2113" i="14" s="1"/>
  <c r="I2114" i="14" s="1"/>
  <c r="N2278" i="13"/>
  <c r="J2277" i="13" a="1"/>
  <c r="J2277" i="13" s="1"/>
  <c r="M2281" i="14"/>
  <c r="J2276" i="14" a="1"/>
  <c r="J2276" i="14" s="1"/>
  <c r="N2277" i="14"/>
  <c r="M2280" i="13"/>
  <c r="K2091" i="13" l="1"/>
  <c r="L2091" i="13" s="1"/>
  <c r="I2092" i="13" s="1"/>
  <c r="K2114" i="14"/>
  <c r="L2114" i="14" s="1"/>
  <c r="I2115" i="14" s="1"/>
  <c r="M2281" i="13"/>
  <c r="M2282" i="14"/>
  <c r="J2277" i="14" a="1"/>
  <c r="J2277" i="14" s="1"/>
  <c r="N2278" i="14"/>
  <c r="J2278" i="13" a="1"/>
  <c r="J2278" i="13" s="1"/>
  <c r="N2279" i="13"/>
  <c r="K2092" i="13" l="1"/>
  <c r="L2092" i="13" s="1"/>
  <c r="I2093" i="13" s="1"/>
  <c r="K2115" i="14"/>
  <c r="L2115" i="14" s="1"/>
  <c r="I2116" i="14" s="1"/>
  <c r="N2279" i="14"/>
  <c r="J2278" i="14" a="1"/>
  <c r="J2278" i="14" s="1"/>
  <c r="J2279" i="13" a="1"/>
  <c r="J2279" i="13" s="1"/>
  <c r="N2280" i="13"/>
  <c r="M2283" i="14"/>
  <c r="M2282" i="13"/>
  <c r="K2093" i="13" l="1"/>
  <c r="L2093" i="13" s="1"/>
  <c r="I2094" i="13" s="1"/>
  <c r="K2116" i="14"/>
  <c r="L2116" i="14" s="1"/>
  <c r="I2117" i="14" s="1"/>
  <c r="J2280" i="13" a="1"/>
  <c r="J2280" i="13" s="1"/>
  <c r="N2281" i="13"/>
  <c r="M2283" i="13"/>
  <c r="M2284" i="14"/>
  <c r="N2280" i="14"/>
  <c r="J2279" i="14" a="1"/>
  <c r="J2279" i="14" s="1"/>
  <c r="K2094" i="13" l="1"/>
  <c r="L2094" i="13" s="1"/>
  <c r="I2095" i="13" s="1"/>
  <c r="K2117" i="14"/>
  <c r="L2117" i="14" s="1"/>
  <c r="I2118" i="14" s="1"/>
  <c r="N2282" i="13"/>
  <c r="J2281" i="13" a="1"/>
  <c r="J2281" i="13" s="1"/>
  <c r="J2280" i="14" a="1"/>
  <c r="J2280" i="14" s="1"/>
  <c r="N2281" i="14"/>
  <c r="M2285" i="14"/>
  <c r="M2284" i="13"/>
  <c r="K2095" i="13" l="1"/>
  <c r="L2095" i="13" s="1"/>
  <c r="I2096" i="13" s="1"/>
  <c r="M2285" i="13"/>
  <c r="J2281" i="14" a="1"/>
  <c r="J2281" i="14" s="1"/>
  <c r="N2282" i="14"/>
  <c r="K2118" i="14"/>
  <c r="L2118" i="14" s="1"/>
  <c r="I2119" i="14" s="1"/>
  <c r="M2286" i="14"/>
  <c r="J2282" i="13" a="1"/>
  <c r="J2282" i="13" s="1"/>
  <c r="N2283" i="13"/>
  <c r="K2096" i="13" l="1"/>
  <c r="L2096" i="13" s="1"/>
  <c r="I2097" i="13" s="1"/>
  <c r="J2283" i="13" a="1"/>
  <c r="J2283" i="13" s="1"/>
  <c r="N2284" i="13"/>
  <c r="M2286" i="13"/>
  <c r="K2119" i="14"/>
  <c r="L2119" i="14" s="1"/>
  <c r="I2120" i="14" s="1"/>
  <c r="M2287" i="14"/>
  <c r="J2282" i="14" a="1"/>
  <c r="J2282" i="14" s="1"/>
  <c r="N2283" i="14"/>
  <c r="K2097" i="13" l="1"/>
  <c r="L2097" i="13" s="1"/>
  <c r="I2098" i="13" s="1"/>
  <c r="K2120" i="14"/>
  <c r="L2120" i="14" s="1"/>
  <c r="I2121" i="14" s="1"/>
  <c r="J2284" i="13" a="1"/>
  <c r="J2284" i="13" s="1"/>
  <c r="N2285" i="13"/>
  <c r="N2284" i="14"/>
  <c r="J2283" i="14" a="1"/>
  <c r="J2283" i="14" s="1"/>
  <c r="M2288" i="14"/>
  <c r="M2287" i="13"/>
  <c r="K2098" i="13" l="1"/>
  <c r="L2098" i="13" s="1"/>
  <c r="I2099" i="13" s="1"/>
  <c r="K2121" i="14"/>
  <c r="L2121" i="14" s="1"/>
  <c r="I2122" i="14" s="1"/>
  <c r="M2288" i="13"/>
  <c r="J2284" i="14" a="1"/>
  <c r="J2284" i="14" s="1"/>
  <c r="N2285" i="14"/>
  <c r="N2286" i="13"/>
  <c r="J2285" i="13" a="1"/>
  <c r="J2285" i="13" s="1"/>
  <c r="M2289" i="14"/>
  <c r="K2099" i="13" l="1"/>
  <c r="L2099" i="13" s="1"/>
  <c r="I2100" i="13" s="1"/>
  <c r="K2122" i="14"/>
  <c r="L2122" i="14" s="1"/>
  <c r="I2123" i="14" s="1"/>
  <c r="J2285" i="14" a="1"/>
  <c r="J2285" i="14" s="1"/>
  <c r="N2286" i="14"/>
  <c r="M2290" i="14"/>
  <c r="M2289" i="13"/>
  <c r="J2286" i="13" a="1"/>
  <c r="J2286" i="13" s="1"/>
  <c r="N2287" i="13"/>
  <c r="K2100" i="13" l="1"/>
  <c r="L2100" i="13" s="1"/>
  <c r="I2101" i="13" s="1"/>
  <c r="K2123" i="14"/>
  <c r="L2123" i="14" s="1"/>
  <c r="I2124" i="14" s="1"/>
  <c r="M2290" i="13"/>
  <c r="J2287" i="13" a="1"/>
  <c r="J2287" i="13" s="1"/>
  <c r="N2288" i="13"/>
  <c r="M2291" i="14"/>
  <c r="N2287" i="14"/>
  <c r="J2286" i="14" a="1"/>
  <c r="J2286" i="14" s="1"/>
  <c r="K2101" i="13" l="1"/>
  <c r="L2101" i="13" s="1"/>
  <c r="I2102" i="13" s="1"/>
  <c r="K2124" i="14"/>
  <c r="L2124" i="14" s="1"/>
  <c r="I2125" i="14" s="1"/>
  <c r="J2288" i="13" a="1"/>
  <c r="J2288" i="13" s="1"/>
  <c r="N2289" i="13"/>
  <c r="N2288" i="14"/>
  <c r="J2287" i="14" a="1"/>
  <c r="J2287" i="14" s="1"/>
  <c r="M2292" i="14"/>
  <c r="M2291" i="13"/>
  <c r="K2102" i="13" l="1"/>
  <c r="L2102" i="13" s="1"/>
  <c r="I2103" i="13" s="1"/>
  <c r="J2288" i="14" a="1"/>
  <c r="J2288" i="14" s="1"/>
  <c r="N2289" i="14"/>
  <c r="K2125" i="14"/>
  <c r="L2125" i="14" s="1"/>
  <c r="I2126" i="14" s="1"/>
  <c r="N2290" i="13"/>
  <c r="J2289" i="13" a="1"/>
  <c r="J2289" i="13" s="1"/>
  <c r="M2292" i="13"/>
  <c r="M2293" i="14"/>
  <c r="K2103" i="13" l="1"/>
  <c r="L2103" i="13" s="1"/>
  <c r="I2104" i="13" s="1"/>
  <c r="K2126" i="14"/>
  <c r="L2126" i="14" s="1"/>
  <c r="I2127" i="14" s="1"/>
  <c r="J2289" i="14" a="1"/>
  <c r="J2289" i="14" s="1"/>
  <c r="N2290" i="14"/>
  <c r="M2294" i="14"/>
  <c r="J2290" i="13" a="1"/>
  <c r="J2290" i="13" s="1"/>
  <c r="N2291" i="13"/>
  <c r="M2293" i="13"/>
  <c r="K2104" i="13" l="1"/>
  <c r="L2104" i="13" s="1"/>
  <c r="I2105" i="13" s="1"/>
  <c r="K2127" i="14"/>
  <c r="L2127" i="14" s="1"/>
  <c r="I2128" i="14" s="1"/>
  <c r="J2291" i="13" a="1"/>
  <c r="J2291" i="13" s="1"/>
  <c r="N2292" i="13"/>
  <c r="M2295" i="14"/>
  <c r="M2294" i="13"/>
  <c r="J2290" i="14" a="1"/>
  <c r="J2290" i="14" s="1"/>
  <c r="N2291" i="14"/>
  <c r="K2105" i="13" l="1"/>
  <c r="L2105" i="13" s="1"/>
  <c r="I2106" i="13" s="1"/>
  <c r="K2128" i="14"/>
  <c r="L2128" i="14" s="1"/>
  <c r="I2129" i="14" s="1"/>
  <c r="J2292" i="13" a="1"/>
  <c r="J2292" i="13" s="1"/>
  <c r="N2293" i="13"/>
  <c r="N2292" i="14"/>
  <c r="J2291" i="14" a="1"/>
  <c r="J2291" i="14" s="1"/>
  <c r="M2295" i="13"/>
  <c r="M2296" i="14"/>
  <c r="K2106" i="13" l="1"/>
  <c r="L2106" i="13" s="1"/>
  <c r="I2107" i="13" s="1"/>
  <c r="M2297" i="14"/>
  <c r="K2129" i="14"/>
  <c r="L2129" i="14" s="1"/>
  <c r="I2130" i="14" s="1"/>
  <c r="J2292" i="14" a="1"/>
  <c r="J2292" i="14" s="1"/>
  <c r="N2293" i="14"/>
  <c r="N2294" i="13"/>
  <c r="J2293" i="13" a="1"/>
  <c r="J2293" i="13" s="1"/>
  <c r="M2296" i="13"/>
  <c r="K2107" i="13" l="1"/>
  <c r="L2107" i="13" s="1"/>
  <c r="I2108" i="13" s="1"/>
  <c r="K2130" i="14"/>
  <c r="L2130" i="14" s="1"/>
  <c r="I2131" i="14" s="1"/>
  <c r="J2293" i="14" a="1"/>
  <c r="J2293" i="14" s="1"/>
  <c r="N2294" i="14"/>
  <c r="M2297" i="13"/>
  <c r="M2298" i="14"/>
  <c r="J2294" i="13" a="1"/>
  <c r="J2294" i="13" s="1"/>
  <c r="N2295" i="13"/>
  <c r="K2108" i="13" l="1"/>
  <c r="L2108" i="13" s="1"/>
  <c r="I2109" i="13" s="1"/>
  <c r="M2299" i="14"/>
  <c r="J2295" i="13" a="1"/>
  <c r="J2295" i="13" s="1"/>
  <c r="N2296" i="13"/>
  <c r="M2298" i="13"/>
  <c r="N2295" i="14"/>
  <c r="J2294" i="14" a="1"/>
  <c r="J2294" i="14" s="1"/>
  <c r="K2131" i="14"/>
  <c r="L2131" i="14" s="1"/>
  <c r="I2132" i="14" s="1"/>
  <c r="K2109" i="13" l="1"/>
  <c r="L2109" i="13" s="1"/>
  <c r="I2110" i="13" s="1"/>
  <c r="K2132" i="14"/>
  <c r="L2132" i="14" s="1"/>
  <c r="I2133" i="14" s="1"/>
  <c r="J2296" i="13" a="1"/>
  <c r="J2296" i="13" s="1"/>
  <c r="N2297" i="13"/>
  <c r="N2296" i="14"/>
  <c r="J2295" i="14" a="1"/>
  <c r="J2295" i="14" s="1"/>
  <c r="M2299" i="13"/>
  <c r="M2300" i="14"/>
  <c r="K2110" i="13" l="1"/>
  <c r="L2110" i="13" s="1"/>
  <c r="I2111" i="13" s="1"/>
  <c r="K2133" i="14"/>
  <c r="L2133" i="14" s="1"/>
  <c r="I2134" i="14" s="1"/>
  <c r="M2300" i="13"/>
  <c r="N2298" i="13"/>
  <c r="J2297" i="13" a="1"/>
  <c r="J2297" i="13" s="1"/>
  <c r="M2301" i="14"/>
  <c r="J2296" i="14" a="1"/>
  <c r="J2296" i="14" s="1"/>
  <c r="N2297" i="14"/>
  <c r="K2111" i="13" l="1"/>
  <c r="L2111" i="13" s="1"/>
  <c r="I2112" i="13" s="1"/>
  <c r="J2297" i="14" a="1"/>
  <c r="J2297" i="14" s="1"/>
  <c r="N2298" i="14"/>
  <c r="K2134" i="14"/>
  <c r="L2134" i="14" s="1"/>
  <c r="I2135" i="14" s="1"/>
  <c r="J2298" i="13" a="1"/>
  <c r="J2298" i="13" s="1"/>
  <c r="N2299" i="13"/>
  <c r="M2301" i="13"/>
  <c r="M2302" i="14"/>
  <c r="K2112" i="13" l="1"/>
  <c r="L2112" i="13" s="1"/>
  <c r="I2113" i="13" s="1"/>
  <c r="K2135" i="14"/>
  <c r="L2135" i="14" s="1"/>
  <c r="I2136" i="14" s="1"/>
  <c r="M2302" i="13"/>
  <c r="M2303" i="14"/>
  <c r="J2299" i="13" a="1"/>
  <c r="J2299" i="13" s="1"/>
  <c r="N2300" i="13"/>
  <c r="J2298" i="14" a="1"/>
  <c r="J2298" i="14" s="1"/>
  <c r="N2299" i="14"/>
  <c r="K2113" i="13" l="1"/>
  <c r="L2113" i="13" s="1"/>
  <c r="I2114" i="13" s="1"/>
  <c r="K2136" i="14"/>
  <c r="L2136" i="14" s="1"/>
  <c r="I2137" i="14" s="1"/>
  <c r="N2300" i="14"/>
  <c r="J2299" i="14" a="1"/>
  <c r="J2299" i="14" s="1"/>
  <c r="M2304" i="14"/>
  <c r="M2303" i="13"/>
  <c r="J2300" i="13" a="1"/>
  <c r="J2300" i="13" s="1"/>
  <c r="N2301" i="13"/>
  <c r="K2114" i="13" l="1"/>
  <c r="L2114" i="13" s="1"/>
  <c r="I2115" i="13" s="1"/>
  <c r="N2302" i="13"/>
  <c r="J2301" i="13" a="1"/>
  <c r="J2301" i="13" s="1"/>
  <c r="K2137" i="14"/>
  <c r="L2137" i="14" s="1"/>
  <c r="I2138" i="14" s="1"/>
  <c r="M2305" i="14"/>
  <c r="M2304" i="13"/>
  <c r="J2300" i="14" a="1"/>
  <c r="J2300" i="14" s="1"/>
  <c r="N2301" i="14"/>
  <c r="K2115" i="13" l="1"/>
  <c r="L2115" i="13" s="1"/>
  <c r="I2116" i="13" s="1"/>
  <c r="J2301" i="14" a="1"/>
  <c r="J2301" i="14" s="1"/>
  <c r="N2302" i="14"/>
  <c r="M2306" i="14"/>
  <c r="J2302" i="13" a="1"/>
  <c r="J2302" i="13" s="1"/>
  <c r="N2303" i="13"/>
  <c r="M2305" i="13"/>
  <c r="K2138" i="14"/>
  <c r="L2138" i="14" s="1"/>
  <c r="I2139" i="14" s="1"/>
  <c r="K2116" i="13" l="1"/>
  <c r="L2116" i="13" s="1"/>
  <c r="I2117" i="13" s="1"/>
  <c r="K2139" i="14"/>
  <c r="L2139" i="14" s="1"/>
  <c r="I2140" i="14" s="1"/>
  <c r="J2303" i="13" a="1"/>
  <c r="J2303" i="13" s="1"/>
  <c r="N2304" i="13"/>
  <c r="N2303" i="14"/>
  <c r="J2302" i="14" a="1"/>
  <c r="J2302" i="14" s="1"/>
  <c r="M2307" i="14"/>
  <c r="M2306" i="13"/>
  <c r="K2117" i="13" l="1"/>
  <c r="L2117" i="13" s="1"/>
  <c r="I2118" i="13" s="1"/>
  <c r="K2140" i="14"/>
  <c r="L2140" i="14" s="1"/>
  <c r="I2141" i="14" s="1"/>
  <c r="M2307" i="13"/>
  <c r="N2304" i="14"/>
  <c r="J2303" i="14" a="1"/>
  <c r="J2303" i="14" s="1"/>
  <c r="J2304" i="13" a="1"/>
  <c r="J2304" i="13" s="1"/>
  <c r="N2305" i="13"/>
  <c r="M2308" i="14"/>
  <c r="K2118" i="13" l="1"/>
  <c r="L2118" i="13" s="1"/>
  <c r="I2119" i="13" s="1"/>
  <c r="K2141" i="14"/>
  <c r="L2141" i="14" s="1"/>
  <c r="I2142" i="14" s="1"/>
  <c r="M2309" i="14"/>
  <c r="M2308" i="13"/>
  <c r="N2306" i="13"/>
  <c r="J2305" i="13" a="1"/>
  <c r="J2305" i="13" s="1"/>
  <c r="J2304" i="14" a="1"/>
  <c r="J2304" i="14" s="1"/>
  <c r="N2305" i="14"/>
  <c r="K2119" i="13" l="1"/>
  <c r="L2119" i="13" s="1"/>
  <c r="I2120" i="13" s="1"/>
  <c r="K2142" i="14"/>
  <c r="L2142" i="14" s="1"/>
  <c r="I2143" i="14" s="1"/>
  <c r="J2305" i="14" a="1"/>
  <c r="J2305" i="14" s="1"/>
  <c r="N2306" i="14"/>
  <c r="M2309" i="13"/>
  <c r="M2310" i="14"/>
  <c r="J2306" i="13" a="1"/>
  <c r="J2306" i="13" s="1"/>
  <c r="N2307" i="13"/>
  <c r="K2120" i="13" l="1"/>
  <c r="L2120" i="13" s="1"/>
  <c r="I2121" i="13" s="1"/>
  <c r="K2143" i="14"/>
  <c r="L2143" i="14" s="1"/>
  <c r="I2144" i="14" s="1"/>
  <c r="J2307" i="13" a="1"/>
  <c r="J2307" i="13" s="1"/>
  <c r="N2308" i="13"/>
  <c r="J2306" i="14" a="1"/>
  <c r="J2306" i="14" s="1"/>
  <c r="N2307" i="14"/>
  <c r="M2310" i="13"/>
  <c r="M2311" i="14"/>
  <c r="K2121" i="13" l="1"/>
  <c r="L2121" i="13" s="1"/>
  <c r="I2122" i="13" s="1"/>
  <c r="K2144" i="14"/>
  <c r="L2144" i="14" s="1"/>
  <c r="I2145" i="14" s="1"/>
  <c r="M2312" i="14"/>
  <c r="N2308" i="14"/>
  <c r="J2307" i="14" a="1"/>
  <c r="J2307" i="14" s="1"/>
  <c r="J2308" i="13" a="1"/>
  <c r="J2308" i="13" s="1"/>
  <c r="N2309" i="13"/>
  <c r="M2311" i="13"/>
  <c r="K2122" i="13" l="1"/>
  <c r="L2122" i="13" s="1"/>
  <c r="I2123" i="13" s="1"/>
  <c r="K2145" i="14"/>
  <c r="L2145" i="14" s="1"/>
  <c r="I2146" i="14" s="1"/>
  <c r="M2312" i="13"/>
  <c r="J2308" i="14" a="1"/>
  <c r="J2308" i="14" s="1"/>
  <c r="N2309" i="14"/>
  <c r="N2310" i="13"/>
  <c r="J2309" i="13" a="1"/>
  <c r="J2309" i="13" s="1"/>
  <c r="M2313" i="14"/>
  <c r="K2123" i="13" l="1"/>
  <c r="L2123" i="13" s="1"/>
  <c r="I2124" i="13" s="1"/>
  <c r="K2146" i="14"/>
  <c r="L2146" i="14" s="1"/>
  <c r="I2147" i="14" s="1"/>
  <c r="J2309" i="14" a="1"/>
  <c r="J2309" i="14" s="1"/>
  <c r="N2310" i="14"/>
  <c r="M2314" i="14"/>
  <c r="M2313" i="13"/>
  <c r="J2310" i="13" a="1"/>
  <c r="J2310" i="13" s="1"/>
  <c r="N2311" i="13"/>
  <c r="K2124" i="13" l="1"/>
  <c r="L2124" i="13" s="1"/>
  <c r="I2125" i="13" s="1"/>
  <c r="K2147" i="14"/>
  <c r="L2147" i="14" s="1"/>
  <c r="I2148" i="14" s="1"/>
  <c r="J2311" i="13" a="1"/>
  <c r="J2311" i="13" s="1"/>
  <c r="N2312" i="13"/>
  <c r="M2315" i="14"/>
  <c r="N2311" i="14"/>
  <c r="J2310" i="14" a="1"/>
  <c r="J2310" i="14" s="1"/>
  <c r="M2314" i="13"/>
  <c r="K2125" i="13" l="1"/>
  <c r="L2125" i="13" s="1"/>
  <c r="I2126" i="13" s="1"/>
  <c r="K2148" i="14"/>
  <c r="L2148" i="14" s="1"/>
  <c r="I2149" i="14" s="1"/>
  <c r="N2312" i="14"/>
  <c r="J2311" i="14" a="1"/>
  <c r="J2311" i="14" s="1"/>
  <c r="M2315" i="13"/>
  <c r="M2316" i="14"/>
  <c r="J2312" i="13" a="1"/>
  <c r="J2312" i="13" s="1"/>
  <c r="N2313" i="13"/>
  <c r="K2126" i="13" l="1"/>
  <c r="L2126" i="13" s="1"/>
  <c r="I2127" i="13" s="1"/>
  <c r="K2149" i="14"/>
  <c r="L2149" i="14" s="1"/>
  <c r="I2150" i="14" s="1"/>
  <c r="M2316" i="13"/>
  <c r="N2314" i="13"/>
  <c r="J2313" i="13" a="1"/>
  <c r="J2313" i="13" s="1"/>
  <c r="M2317" i="14"/>
  <c r="J2312" i="14" a="1"/>
  <c r="J2312" i="14" s="1"/>
  <c r="N2313" i="14"/>
  <c r="K2127" i="13" l="1"/>
  <c r="L2127" i="13" s="1"/>
  <c r="I2128" i="13" s="1"/>
  <c r="K2150" i="14"/>
  <c r="L2150" i="14" s="1"/>
  <c r="I2151" i="14" s="1"/>
  <c r="J2313" i="14" a="1"/>
  <c r="J2313" i="14" s="1"/>
  <c r="N2314" i="14"/>
  <c r="M2317" i="13"/>
  <c r="J2314" i="13" a="1"/>
  <c r="J2314" i="13" s="1"/>
  <c r="N2315" i="13"/>
  <c r="M2318" i="14"/>
  <c r="K2128" i="13" l="1"/>
  <c r="L2128" i="13" s="1"/>
  <c r="I2129" i="13" s="1"/>
  <c r="M2319" i="14"/>
  <c r="J2314" i="14" a="1"/>
  <c r="J2314" i="14" s="1"/>
  <c r="N2315" i="14"/>
  <c r="M2318" i="13"/>
  <c r="K2151" i="14"/>
  <c r="L2151" i="14" s="1"/>
  <c r="I2152" i="14" s="1"/>
  <c r="J2315" i="13" a="1"/>
  <c r="J2315" i="13" s="1"/>
  <c r="N2316" i="13"/>
  <c r="K2129" i="13" l="1"/>
  <c r="L2129" i="13" s="1"/>
  <c r="I2130" i="13" s="1"/>
  <c r="K2152" i="14"/>
  <c r="L2152" i="14" s="1"/>
  <c r="I2153" i="14" s="1"/>
  <c r="J2316" i="13" a="1"/>
  <c r="J2316" i="13" s="1"/>
  <c r="N2317" i="13"/>
  <c r="M2319" i="13"/>
  <c r="M2320" i="14"/>
  <c r="N2316" i="14"/>
  <c r="J2315" i="14" a="1"/>
  <c r="J2315" i="14" s="1"/>
  <c r="K2130" i="13" l="1"/>
  <c r="L2130" i="13" s="1"/>
  <c r="I2131" i="13" s="1"/>
  <c r="M2321" i="14"/>
  <c r="M2320" i="13"/>
  <c r="J2316" i="14" a="1"/>
  <c r="J2316" i="14" s="1"/>
  <c r="N2317" i="14"/>
  <c r="N2318" i="13"/>
  <c r="J2317" i="13" a="1"/>
  <c r="J2317" i="13" s="1"/>
  <c r="K2153" i="14"/>
  <c r="L2153" i="14" s="1"/>
  <c r="I2154" i="14" s="1"/>
  <c r="K2131" i="13" l="1"/>
  <c r="L2131" i="13" s="1"/>
  <c r="I2132" i="13" s="1"/>
  <c r="K2154" i="14"/>
  <c r="L2154" i="14" s="1"/>
  <c r="I2155" i="14" s="1"/>
  <c r="J2317" i="14" a="1"/>
  <c r="J2317" i="14" s="1"/>
  <c r="N2318" i="14"/>
  <c r="M2321" i="13"/>
  <c r="J2318" i="13" a="1"/>
  <c r="J2318" i="13" s="1"/>
  <c r="N2319" i="13"/>
  <c r="M2322" i="14"/>
  <c r="K2132" i="13" l="1"/>
  <c r="L2132" i="13" s="1"/>
  <c r="I2133" i="13" s="1"/>
  <c r="K2155" i="14"/>
  <c r="L2155" i="14" s="1"/>
  <c r="I2156" i="14" s="1"/>
  <c r="M2323" i="14"/>
  <c r="M2322" i="13"/>
  <c r="J2319" i="13" a="1"/>
  <c r="J2319" i="13" s="1"/>
  <c r="N2320" i="13"/>
  <c r="N2319" i="14"/>
  <c r="J2318" i="14" a="1"/>
  <c r="J2318" i="14" s="1"/>
  <c r="K2133" i="13" l="1"/>
  <c r="L2133" i="13" s="1"/>
  <c r="I2134" i="13" s="1"/>
  <c r="K2156" i="14"/>
  <c r="L2156" i="14" s="1"/>
  <c r="I2157" i="14" s="1"/>
  <c r="J2320" i="13" a="1"/>
  <c r="J2320" i="13" s="1"/>
  <c r="N2321" i="13"/>
  <c r="N2320" i="14"/>
  <c r="J2319" i="14" a="1"/>
  <c r="J2319" i="14" s="1"/>
  <c r="M2324" i="14"/>
  <c r="M2323" i="13"/>
  <c r="K2134" i="13" l="1"/>
  <c r="L2134" i="13" s="1"/>
  <c r="I2135" i="13" s="1"/>
  <c r="K2157" i="14"/>
  <c r="L2157" i="14" s="1"/>
  <c r="I2158" i="14" s="1"/>
  <c r="N2322" i="13"/>
  <c r="J2321" i="13" a="1"/>
  <c r="J2321" i="13" s="1"/>
  <c r="M2325" i="14"/>
  <c r="M2324" i="13"/>
  <c r="J2320" i="14" a="1"/>
  <c r="J2320" i="14" s="1"/>
  <c r="N2321" i="14"/>
  <c r="K2135" i="13" l="1"/>
  <c r="L2135" i="13" s="1"/>
  <c r="I2136" i="13" s="1"/>
  <c r="K2158" i="14"/>
  <c r="L2158" i="14" s="1"/>
  <c r="I2159" i="14" s="1"/>
  <c r="J2321" i="14" a="1"/>
  <c r="J2321" i="14" s="1"/>
  <c r="N2322" i="14"/>
  <c r="M2325" i="13"/>
  <c r="M2326" i="14"/>
  <c r="J2322" i="13" a="1"/>
  <c r="J2322" i="13" s="1"/>
  <c r="N2323" i="13"/>
  <c r="K2136" i="13" l="1"/>
  <c r="L2136" i="13" s="1"/>
  <c r="I2137" i="13" s="1"/>
  <c r="K2159" i="14"/>
  <c r="L2159" i="14" s="1"/>
  <c r="I2160" i="14" s="1"/>
  <c r="J2322" i="14" a="1"/>
  <c r="J2322" i="14" s="1"/>
  <c r="N2323" i="14"/>
  <c r="J2323" i="13" a="1"/>
  <c r="J2323" i="13" s="1"/>
  <c r="N2324" i="13"/>
  <c r="M2327" i="14"/>
  <c r="M2326" i="13"/>
  <c r="K2137" i="13" l="1"/>
  <c r="L2137" i="13" s="1"/>
  <c r="I2138" i="13" s="1"/>
  <c r="K2160" i="14"/>
  <c r="L2160" i="14" s="1"/>
  <c r="I2161" i="14" s="1"/>
  <c r="J2324" i="13" a="1"/>
  <c r="J2324" i="13" s="1"/>
  <c r="N2325" i="13"/>
  <c r="M2327" i="13"/>
  <c r="N2324" i="14"/>
  <c r="J2323" i="14" a="1"/>
  <c r="J2323" i="14" s="1"/>
  <c r="M2328" i="14"/>
  <c r="K2138" i="13" l="1"/>
  <c r="L2138" i="13" s="1"/>
  <c r="I2139" i="13" s="1"/>
  <c r="K2161" i="14"/>
  <c r="L2161" i="14" s="1"/>
  <c r="I2162" i="14" s="1"/>
  <c r="N2326" i="13"/>
  <c r="J2325" i="13" a="1"/>
  <c r="J2325" i="13" s="1"/>
  <c r="J2324" i="14" a="1"/>
  <c r="J2324" i="14" s="1"/>
  <c r="N2325" i="14"/>
  <c r="M2329" i="14"/>
  <c r="M2328" i="13"/>
  <c r="K2139" i="13" l="1"/>
  <c r="L2139" i="13" s="1"/>
  <c r="I2140" i="13" s="1"/>
  <c r="M2329" i="13"/>
  <c r="J2325" i="14" a="1"/>
  <c r="J2325" i="14" s="1"/>
  <c r="N2326" i="14"/>
  <c r="K2162" i="14"/>
  <c r="L2162" i="14" s="1"/>
  <c r="I2163" i="14" s="1"/>
  <c r="M2330" i="14"/>
  <c r="J2326" i="13" a="1"/>
  <c r="J2326" i="13" s="1"/>
  <c r="N2327" i="13"/>
  <c r="K2140" i="13" l="1"/>
  <c r="L2140" i="13" s="1"/>
  <c r="I2141" i="13" s="1"/>
  <c r="M2331" i="14"/>
  <c r="J2327" i="13" a="1"/>
  <c r="J2327" i="13" s="1"/>
  <c r="N2328" i="13"/>
  <c r="K2163" i="14"/>
  <c r="L2163" i="14" s="1"/>
  <c r="I2164" i="14" s="1"/>
  <c r="M2330" i="13"/>
  <c r="N2327" i="14"/>
  <c r="J2326" i="14" a="1"/>
  <c r="J2326" i="14" s="1"/>
  <c r="K2141" i="13" l="1"/>
  <c r="L2141" i="13" s="1"/>
  <c r="I2142" i="13" s="1"/>
  <c r="K2164" i="14"/>
  <c r="L2164" i="14" s="1"/>
  <c r="I2165" i="14" s="1"/>
  <c r="M2332" i="14"/>
  <c r="N2328" i="14"/>
  <c r="J2327" i="14" a="1"/>
  <c r="J2327" i="14" s="1"/>
  <c r="J2328" i="13" a="1"/>
  <c r="J2328" i="13" s="1"/>
  <c r="N2329" i="13"/>
  <c r="M2331" i="13"/>
  <c r="K2142" i="13" l="1"/>
  <c r="L2142" i="13" s="1"/>
  <c r="I2143" i="13" s="1"/>
  <c r="J2328" i="14" a="1"/>
  <c r="J2328" i="14" s="1"/>
  <c r="N2329" i="14"/>
  <c r="K2165" i="14"/>
  <c r="L2165" i="14" s="1"/>
  <c r="I2166" i="14" s="1"/>
  <c r="N2330" i="13"/>
  <c r="J2329" i="13" a="1"/>
  <c r="J2329" i="13" s="1"/>
  <c r="M2332" i="13"/>
  <c r="M2333" i="14"/>
  <c r="K2143" i="13" l="1"/>
  <c r="L2143" i="13" s="1"/>
  <c r="I2144" i="13" s="1"/>
  <c r="K2166" i="14"/>
  <c r="L2166" i="14" s="1"/>
  <c r="I2167" i="14" s="1"/>
  <c r="J2329" i="14" a="1"/>
  <c r="J2329" i="14" s="1"/>
  <c r="N2330" i="14"/>
  <c r="M2334" i="14"/>
  <c r="J2330" i="13" a="1"/>
  <c r="J2330" i="13" s="1"/>
  <c r="N2331" i="13"/>
  <c r="M2333" i="13"/>
  <c r="K2144" i="13" l="1"/>
  <c r="L2144" i="13" s="1"/>
  <c r="I2145" i="13" s="1"/>
  <c r="K2167" i="14"/>
  <c r="L2167" i="14" s="1"/>
  <c r="I2168" i="14" s="1"/>
  <c r="M2335" i="14"/>
  <c r="J2330" i="14" a="1"/>
  <c r="J2330" i="14" s="1"/>
  <c r="N2331" i="14"/>
  <c r="M2334" i="13"/>
  <c r="J2331" i="13" a="1"/>
  <c r="J2331" i="13" s="1"/>
  <c r="N2332" i="13"/>
  <c r="K2145" i="13" l="1"/>
  <c r="L2145" i="13" s="1"/>
  <c r="I2146" i="13" s="1"/>
  <c r="K2168" i="14"/>
  <c r="L2168" i="14" s="1"/>
  <c r="I2169" i="14" s="1"/>
  <c r="J2332" i="13" a="1"/>
  <c r="J2332" i="13" s="1"/>
  <c r="N2333" i="13"/>
  <c r="M2335" i="13"/>
  <c r="M2336" i="14"/>
  <c r="N2332" i="14"/>
  <c r="J2331" i="14" a="1"/>
  <c r="J2331" i="14" s="1"/>
  <c r="K2146" i="13" l="1"/>
  <c r="L2146" i="13" s="1"/>
  <c r="I2147" i="13" s="1"/>
  <c r="K2169" i="14"/>
  <c r="L2169" i="14" s="1"/>
  <c r="I2170" i="14" s="1"/>
  <c r="N2334" i="13"/>
  <c r="J2333" i="13" a="1"/>
  <c r="J2333" i="13" s="1"/>
  <c r="M2337" i="14"/>
  <c r="J2332" i="14" a="1"/>
  <c r="J2332" i="14" s="1"/>
  <c r="N2333" i="14"/>
  <c r="M2336" i="13"/>
  <c r="K2147" i="13" l="1"/>
  <c r="L2147" i="13" s="1"/>
  <c r="I2148" i="13" s="1"/>
  <c r="K2170" i="14"/>
  <c r="L2170" i="14" s="1"/>
  <c r="I2171" i="14" s="1"/>
  <c r="J2333" i="14" a="1"/>
  <c r="J2333" i="14" s="1"/>
  <c r="N2334" i="14"/>
  <c r="M2337" i="13"/>
  <c r="M2338" i="14"/>
  <c r="J2334" i="13" a="1"/>
  <c r="J2334" i="13" s="1"/>
  <c r="N2335" i="13"/>
  <c r="K2148" i="13" l="1"/>
  <c r="L2148" i="13" s="1"/>
  <c r="I2149" i="13" s="1"/>
  <c r="K2171" i="14"/>
  <c r="L2171" i="14" s="1"/>
  <c r="I2172" i="14" s="1"/>
  <c r="J2335" i="13" a="1"/>
  <c r="J2335" i="13" s="1"/>
  <c r="N2336" i="13"/>
  <c r="M2338" i="13"/>
  <c r="N2335" i="14"/>
  <c r="J2334" i="14" a="1"/>
  <c r="J2334" i="14" s="1"/>
  <c r="M2339" i="14"/>
  <c r="K2149" i="13" l="1"/>
  <c r="L2149" i="13" s="1"/>
  <c r="I2150" i="13" s="1"/>
  <c r="K2172" i="14"/>
  <c r="L2172" i="14" s="1"/>
  <c r="I2173" i="14" s="1"/>
  <c r="J2336" i="13" a="1"/>
  <c r="J2336" i="13" s="1"/>
  <c r="N2337" i="13"/>
  <c r="M2340" i="14"/>
  <c r="M2339" i="13"/>
  <c r="N2336" i="14"/>
  <c r="J2335" i="14" a="1"/>
  <c r="J2335" i="14" s="1"/>
  <c r="K2150" i="13" l="1"/>
  <c r="L2150" i="13" s="1"/>
  <c r="I2151" i="13" s="1"/>
  <c r="K2173" i="14"/>
  <c r="L2173" i="14" s="1"/>
  <c r="I2174" i="14" s="1"/>
  <c r="J2336" i="14" a="1"/>
  <c r="J2336" i="14" s="1"/>
  <c r="N2337" i="14"/>
  <c r="M2341" i="14"/>
  <c r="N2338" i="13"/>
  <c r="J2337" i="13" a="1"/>
  <c r="J2337" i="13" s="1"/>
  <c r="M2340" i="13"/>
  <c r="K2151" i="13" l="1"/>
  <c r="L2151" i="13" s="1"/>
  <c r="I2152" i="13" s="1"/>
  <c r="K2174" i="14"/>
  <c r="L2174" i="14" s="1"/>
  <c r="I2175" i="14" s="1"/>
  <c r="J2338" i="13" a="1"/>
  <c r="J2338" i="13" s="1"/>
  <c r="N2339" i="13"/>
  <c r="M2341" i="13"/>
  <c r="M2342" i="14"/>
  <c r="J2337" i="14" a="1"/>
  <c r="J2337" i="14" s="1"/>
  <c r="N2338" i="14"/>
  <c r="K2152" i="13" l="1"/>
  <c r="L2152" i="13" s="1"/>
  <c r="I2153" i="13" s="1"/>
  <c r="K2175" i="14"/>
  <c r="L2175" i="14" s="1"/>
  <c r="I2176" i="14" s="1"/>
  <c r="M2343" i="14"/>
  <c r="J2338" i="14" a="1"/>
  <c r="J2338" i="14" s="1"/>
  <c r="N2339" i="14"/>
  <c r="M2342" i="13"/>
  <c r="J2339" i="13" a="1"/>
  <c r="J2339" i="13" s="1"/>
  <c r="N2340" i="13"/>
  <c r="K2153" i="13" l="1"/>
  <c r="L2153" i="13" s="1"/>
  <c r="I2154" i="13" s="1"/>
  <c r="K2176" i="14"/>
  <c r="L2176" i="14" s="1"/>
  <c r="I2177" i="14" s="1"/>
  <c r="N2340" i="14"/>
  <c r="J2339" i="14" a="1"/>
  <c r="J2339" i="14" s="1"/>
  <c r="J2340" i="13" a="1"/>
  <c r="J2340" i="13" s="1"/>
  <c r="N2341" i="13"/>
  <c r="M2343" i="13"/>
  <c r="M2344" i="14"/>
  <c r="K2154" i="13" l="1"/>
  <c r="L2154" i="13" s="1"/>
  <c r="I2155" i="13" s="1"/>
  <c r="K2177" i="14"/>
  <c r="L2177" i="14" s="1"/>
  <c r="I2178" i="14" s="1"/>
  <c r="N2342" i="13"/>
  <c r="J2341" i="13" a="1"/>
  <c r="J2341" i="13" s="1"/>
  <c r="M2345" i="14"/>
  <c r="M2344" i="13"/>
  <c r="J2340" i="14" a="1"/>
  <c r="J2340" i="14" s="1"/>
  <c r="N2341" i="14"/>
  <c r="K2155" i="13" l="1"/>
  <c r="L2155" i="13" s="1"/>
  <c r="I2156" i="13" s="1"/>
  <c r="K2178" i="14"/>
  <c r="L2178" i="14" s="1"/>
  <c r="I2179" i="14" s="1"/>
  <c r="J2341" i="14" a="1"/>
  <c r="J2341" i="14" s="1"/>
  <c r="N2342" i="14"/>
  <c r="M2346" i="14"/>
  <c r="M2345" i="13"/>
  <c r="J2342" i="13" a="1"/>
  <c r="J2342" i="13" s="1"/>
  <c r="N2343" i="13"/>
  <c r="K2156" i="13" l="1"/>
  <c r="L2156" i="13" s="1"/>
  <c r="I2157" i="13" s="1"/>
  <c r="K2179" i="14"/>
  <c r="L2179" i="14" s="1"/>
  <c r="I2180" i="14" s="1"/>
  <c r="J2343" i="13" a="1"/>
  <c r="J2343" i="13" s="1"/>
  <c r="N2344" i="13"/>
  <c r="M2347" i="14"/>
  <c r="N2343" i="14"/>
  <c r="J2342" i="14" a="1"/>
  <c r="J2342" i="14" s="1"/>
  <c r="M2346" i="13"/>
  <c r="K2157" i="13" l="1"/>
  <c r="L2157" i="13" s="1"/>
  <c r="I2158" i="13" s="1"/>
  <c r="K2180" i="14"/>
  <c r="L2180" i="14" s="1"/>
  <c r="I2181" i="14" s="1"/>
  <c r="N2344" i="14"/>
  <c r="J2343" i="14" a="1"/>
  <c r="J2343" i="14" s="1"/>
  <c r="M2347" i="13"/>
  <c r="M2348" i="14"/>
  <c r="J2344" i="13" a="1"/>
  <c r="J2344" i="13" s="1"/>
  <c r="N2345" i="13"/>
  <c r="K2158" i="13" l="1"/>
  <c r="L2158" i="13" s="1"/>
  <c r="I2159" i="13" s="1"/>
  <c r="K2181" i="14"/>
  <c r="L2181" i="14" s="1"/>
  <c r="I2182" i="14" s="1"/>
  <c r="N2346" i="13"/>
  <c r="J2345" i="13" a="1"/>
  <c r="J2345" i="13" s="1"/>
  <c r="M2348" i="13"/>
  <c r="M2349" i="14"/>
  <c r="J2344" i="14" a="1"/>
  <c r="J2344" i="14" s="1"/>
  <c r="N2345" i="14"/>
  <c r="K2159" i="13" l="1"/>
  <c r="L2159" i="13" s="1"/>
  <c r="I2160" i="13" s="1"/>
  <c r="K2160" i="13" s="1"/>
  <c r="L2160" i="13" s="1"/>
  <c r="I2161" i="13" s="1"/>
  <c r="K2182" i="14"/>
  <c r="L2182" i="14" s="1"/>
  <c r="I2183" i="14" s="1"/>
  <c r="J2345" i="14" a="1"/>
  <c r="J2345" i="14" s="1"/>
  <c r="N2346" i="14"/>
  <c r="M2349" i="13"/>
  <c r="M2350" i="14"/>
  <c r="J2346" i="13" a="1"/>
  <c r="J2346" i="13" s="1"/>
  <c r="N2347" i="13"/>
  <c r="J2347" i="13" l="1" a="1"/>
  <c r="J2347" i="13" s="1"/>
  <c r="N2348" i="13"/>
  <c r="M2350" i="13"/>
  <c r="K2183" i="14"/>
  <c r="L2183" i="14" s="1"/>
  <c r="I2184" i="14" s="1"/>
  <c r="M2351" i="14"/>
  <c r="J2346" i="14" a="1"/>
  <c r="J2346" i="14" s="1"/>
  <c r="N2347" i="14"/>
  <c r="K2161" i="13"/>
  <c r="L2161" i="13" s="1"/>
  <c r="I2162" i="13" s="1"/>
  <c r="K2162" i="13" l="1"/>
  <c r="L2162" i="13" s="1"/>
  <c r="I2163" i="13" s="1"/>
  <c r="K2184" i="14"/>
  <c r="L2184" i="14" s="1"/>
  <c r="I2185" i="14" s="1"/>
  <c r="M2352" i="14"/>
  <c r="M2351" i="13"/>
  <c r="N2348" i="14"/>
  <c r="J2347" i="14" a="1"/>
  <c r="J2347" i="14" s="1"/>
  <c r="J2348" i="13" a="1"/>
  <c r="J2348" i="13" s="1"/>
  <c r="N2349" i="13"/>
  <c r="K2185" i="14" l="1"/>
  <c r="L2185" i="14" s="1"/>
  <c r="I2186" i="14" s="1"/>
  <c r="K2163" i="13"/>
  <c r="L2163" i="13" s="1"/>
  <c r="I2164" i="13" s="1"/>
  <c r="N2350" i="13"/>
  <c r="J2349" i="13" a="1"/>
  <c r="J2349" i="13" s="1"/>
  <c r="M2352" i="13"/>
  <c r="J2348" i="14" a="1"/>
  <c r="J2348" i="14" s="1"/>
  <c r="N2349" i="14"/>
  <c r="M2353" i="14"/>
  <c r="K2164" i="13" l="1"/>
  <c r="L2164" i="13" s="1"/>
  <c r="I2165" i="13" s="1"/>
  <c r="K2186" i="14"/>
  <c r="L2186" i="14" s="1"/>
  <c r="I2187" i="14" s="1"/>
  <c r="J2349" i="14" a="1"/>
  <c r="J2349" i="14" s="1"/>
  <c r="N2350" i="14"/>
  <c r="M2353" i="13"/>
  <c r="M2354" i="14"/>
  <c r="J2350" i="13" a="1"/>
  <c r="J2350" i="13" s="1"/>
  <c r="N2351" i="13"/>
  <c r="K2187" i="14" l="1"/>
  <c r="L2187" i="14" s="1"/>
  <c r="I2188" i="14" s="1"/>
  <c r="K2165" i="13"/>
  <c r="L2165" i="13" s="1"/>
  <c r="I2166" i="13" s="1"/>
  <c r="J2351" i="13" a="1"/>
  <c r="J2351" i="13" s="1"/>
  <c r="N2352" i="13"/>
  <c r="M2354" i="13"/>
  <c r="N2351" i="14"/>
  <c r="J2350" i="14" a="1"/>
  <c r="J2350" i="14" s="1"/>
  <c r="M2355" i="14"/>
  <c r="K2166" i="13" l="1"/>
  <c r="L2166" i="13" s="1"/>
  <c r="I2167" i="13" s="1"/>
  <c r="N2352" i="14"/>
  <c r="J2351" i="14" a="1"/>
  <c r="J2351" i="14" s="1"/>
  <c r="K2188" i="14"/>
  <c r="L2188" i="14" s="1"/>
  <c r="I2189" i="14" s="1"/>
  <c r="M2356" i="14"/>
  <c r="M2355" i="13"/>
  <c r="J2352" i="13" a="1"/>
  <c r="J2352" i="13" s="1"/>
  <c r="N2353" i="13"/>
  <c r="K2167" i="13" l="1"/>
  <c r="L2167" i="13" s="1"/>
  <c r="I2168" i="13" s="1"/>
  <c r="K2189" i="14"/>
  <c r="L2189" i="14" s="1"/>
  <c r="I2190" i="14" s="1"/>
  <c r="M2357" i="14"/>
  <c r="J2352" i="14" a="1"/>
  <c r="J2352" i="14" s="1"/>
  <c r="N2353" i="14"/>
  <c r="N2354" i="13"/>
  <c r="J2353" i="13" a="1"/>
  <c r="J2353" i="13" s="1"/>
  <c r="M2356" i="13"/>
  <c r="K2190" i="14" l="1"/>
  <c r="L2190" i="14" s="1"/>
  <c r="I2191" i="14" s="1"/>
  <c r="K2168" i="13"/>
  <c r="L2168" i="13" s="1"/>
  <c r="I2169" i="13" s="1"/>
  <c r="M2357" i="13"/>
  <c r="J2353" i="14" a="1"/>
  <c r="J2353" i="14" s="1"/>
  <c r="N2354" i="14"/>
  <c r="J2354" i="13" a="1"/>
  <c r="J2354" i="13" s="1"/>
  <c r="N2355" i="13"/>
  <c r="M2358" i="14"/>
  <c r="K2191" i="14" l="1"/>
  <c r="L2191" i="14" s="1"/>
  <c r="I2192" i="14" s="1"/>
  <c r="J2355" i="13" a="1"/>
  <c r="J2355" i="13" s="1"/>
  <c r="N2356" i="13"/>
  <c r="M2359" i="14"/>
  <c r="J2354" i="14" a="1"/>
  <c r="J2354" i="14" s="1"/>
  <c r="N2355" i="14"/>
  <c r="K2169" i="13"/>
  <c r="L2169" i="13" s="1"/>
  <c r="I2170" i="13" s="1"/>
  <c r="M2358" i="13"/>
  <c r="K2170" i="13" l="1"/>
  <c r="L2170" i="13" s="1"/>
  <c r="I2171" i="13" s="1"/>
  <c r="K2192" i="14"/>
  <c r="L2192" i="14" s="1"/>
  <c r="I2193" i="14" s="1"/>
  <c r="N2356" i="14"/>
  <c r="J2355" i="14" a="1"/>
  <c r="J2355" i="14" s="1"/>
  <c r="J2356" i="13" a="1"/>
  <c r="J2356" i="13" s="1"/>
  <c r="N2357" i="13"/>
  <c r="M2359" i="13"/>
  <c r="M2360" i="14"/>
  <c r="K2193" i="14" l="1"/>
  <c r="L2193" i="14" s="1"/>
  <c r="I2194" i="14" s="1"/>
  <c r="K2171" i="13"/>
  <c r="L2171" i="13" s="1"/>
  <c r="I2172" i="13" s="1"/>
  <c r="N2358" i="13"/>
  <c r="J2357" i="13" a="1"/>
  <c r="J2357" i="13" s="1"/>
  <c r="M2361" i="14"/>
  <c r="M2360" i="13"/>
  <c r="J2356" i="14" a="1"/>
  <c r="J2356" i="14" s="1"/>
  <c r="N2357" i="14"/>
  <c r="K2172" i="13" l="1"/>
  <c r="L2172" i="13" s="1"/>
  <c r="I2173" i="13" s="1"/>
  <c r="K2194" i="14"/>
  <c r="L2194" i="14" s="1"/>
  <c r="I2195" i="14" s="1"/>
  <c r="J2357" i="14" a="1"/>
  <c r="J2357" i="14" s="1"/>
  <c r="N2358" i="14"/>
  <c r="M2361" i="13"/>
  <c r="M2362" i="14"/>
  <c r="J2358" i="13" a="1"/>
  <c r="J2358" i="13" s="1"/>
  <c r="N2359" i="13"/>
  <c r="K2195" i="14" l="1"/>
  <c r="L2195" i="14" s="1"/>
  <c r="I2196" i="14" s="1"/>
  <c r="K2173" i="13"/>
  <c r="L2173" i="13" s="1"/>
  <c r="I2174" i="13" s="1"/>
  <c r="M2363" i="14"/>
  <c r="N2359" i="14"/>
  <c r="J2358" i="14" a="1"/>
  <c r="J2358" i="14" s="1"/>
  <c r="J2359" i="13" a="1"/>
  <c r="J2359" i="13" s="1"/>
  <c r="N2360" i="13"/>
  <c r="M2362" i="13"/>
  <c r="K2174" i="13" l="1"/>
  <c r="L2174" i="13" s="1"/>
  <c r="I2175" i="13" s="1"/>
  <c r="K2196" i="14"/>
  <c r="L2196" i="14" s="1"/>
  <c r="I2197" i="14" s="1"/>
  <c r="M2363" i="13"/>
  <c r="N2360" i="14"/>
  <c r="J2359" i="14" a="1"/>
  <c r="J2359" i="14" s="1"/>
  <c r="J2360" i="13" a="1"/>
  <c r="J2360" i="13" s="1"/>
  <c r="N2361" i="13"/>
  <c r="M2364" i="14"/>
  <c r="K2175" i="13" l="1"/>
  <c r="L2175" i="13" s="1"/>
  <c r="I2176" i="13" s="1"/>
  <c r="M2365" i="14"/>
  <c r="K2197" i="14"/>
  <c r="L2197" i="14" s="1"/>
  <c r="I2198" i="14" s="1"/>
  <c r="J2360" i="14" a="1"/>
  <c r="J2360" i="14" s="1"/>
  <c r="N2361" i="14"/>
  <c r="N2362" i="13"/>
  <c r="J2361" i="13" a="1"/>
  <c r="J2361" i="13" s="1"/>
  <c r="M2364" i="13"/>
  <c r="K2198" i="14" l="1"/>
  <c r="L2198" i="14" s="1"/>
  <c r="I2199" i="14" s="1"/>
  <c r="K2176" i="13"/>
  <c r="L2176" i="13" s="1"/>
  <c r="I2177" i="13" s="1"/>
  <c r="M2365" i="13"/>
  <c r="J2361" i="14" a="1"/>
  <c r="J2361" i="14" s="1"/>
  <c r="N2362" i="14"/>
  <c r="M2366" i="14"/>
  <c r="J2362" i="13" a="1"/>
  <c r="J2362" i="13" s="1"/>
  <c r="N2363" i="13"/>
  <c r="K2199" i="14" l="1"/>
  <c r="L2199" i="14" s="1"/>
  <c r="I2200" i="14" s="1"/>
  <c r="J2363" i="13" a="1"/>
  <c r="J2363" i="13" s="1"/>
  <c r="N2364" i="13"/>
  <c r="J2362" i="14" a="1"/>
  <c r="J2362" i="14" s="1"/>
  <c r="N2363" i="14"/>
  <c r="K2177" i="13"/>
  <c r="L2177" i="13" s="1"/>
  <c r="I2178" i="13" s="1"/>
  <c r="M2367" i="14"/>
  <c r="M2366" i="13"/>
  <c r="K2178" i="13" l="1"/>
  <c r="L2178" i="13" s="1"/>
  <c r="I2179" i="13" s="1"/>
  <c r="K2200" i="14"/>
  <c r="L2200" i="14" s="1"/>
  <c r="I2201" i="14" s="1"/>
  <c r="N2364" i="14"/>
  <c r="J2363" i="14" a="1"/>
  <c r="J2363" i="14" s="1"/>
  <c r="J2364" i="13" a="1"/>
  <c r="J2364" i="13" s="1"/>
  <c r="N2365" i="13"/>
  <c r="M2368" i="14"/>
  <c r="M2367" i="13"/>
  <c r="K2201" i="14" l="1"/>
  <c r="L2201" i="14" s="1"/>
  <c r="I2202" i="14" s="1"/>
  <c r="N2366" i="13"/>
  <c r="J2365" i="13" a="1"/>
  <c r="J2365" i="13" s="1"/>
  <c r="M2369" i="14"/>
  <c r="M2368" i="13"/>
  <c r="J2364" i="14" a="1"/>
  <c r="J2364" i="14" s="1"/>
  <c r="N2365" i="14"/>
  <c r="K2179" i="13"/>
  <c r="L2179" i="13" s="1"/>
  <c r="I2180" i="13" s="1"/>
  <c r="K2180" i="13" l="1"/>
  <c r="L2180" i="13" s="1"/>
  <c r="I2181" i="13" s="1"/>
  <c r="K2202" i="14"/>
  <c r="L2202" i="14" s="1"/>
  <c r="I2203" i="14" s="1"/>
  <c r="M2369" i="13"/>
  <c r="J2366" i="13" a="1"/>
  <c r="J2366" i="13" s="1"/>
  <c r="N2367" i="13"/>
  <c r="J2365" i="14" a="1"/>
  <c r="J2365" i="14" s="1"/>
  <c r="N2366" i="14"/>
  <c r="M2370" i="14"/>
  <c r="K2181" i="13" l="1"/>
  <c r="L2181" i="13" s="1"/>
  <c r="I2182" i="13" s="1"/>
  <c r="M2371" i="14"/>
  <c r="J2367" i="13" a="1"/>
  <c r="J2367" i="13" s="1"/>
  <c r="N2368" i="13"/>
  <c r="K2203" i="14"/>
  <c r="L2203" i="14" s="1"/>
  <c r="I2204" i="14" s="1"/>
  <c r="N2367" i="14"/>
  <c r="J2366" i="14" a="1"/>
  <c r="J2366" i="14" s="1"/>
  <c r="M2370" i="13"/>
  <c r="K2182" i="13" l="1"/>
  <c r="L2182" i="13" s="1"/>
  <c r="I2183" i="13" s="1"/>
  <c r="M2371" i="13"/>
  <c r="K2204" i="14"/>
  <c r="L2204" i="14" s="1"/>
  <c r="I2205" i="14" s="1"/>
  <c r="M2372" i="14"/>
  <c r="J2368" i="13" a="1"/>
  <c r="J2368" i="13" s="1"/>
  <c r="N2369" i="13"/>
  <c r="N2368" i="14"/>
  <c r="J2367" i="14" a="1"/>
  <c r="J2367" i="14" s="1"/>
  <c r="K2205" i="14" l="1"/>
  <c r="L2205" i="14" s="1"/>
  <c r="I2206" i="14" s="1"/>
  <c r="K2183" i="13"/>
  <c r="L2183" i="13" s="1"/>
  <c r="I2184" i="13" s="1"/>
  <c r="J2368" i="14" a="1"/>
  <c r="J2368" i="14" s="1"/>
  <c r="N2369" i="14"/>
  <c r="M2373" i="14"/>
  <c r="M2372" i="13"/>
  <c r="N2370" i="13"/>
  <c r="J2369" i="13" a="1"/>
  <c r="J2369" i="13" s="1"/>
  <c r="K2206" i="14" l="1"/>
  <c r="L2206" i="14" s="1"/>
  <c r="I2207" i="14" s="1"/>
  <c r="K2184" i="13"/>
  <c r="L2184" i="13" s="1"/>
  <c r="I2185" i="13" s="1"/>
  <c r="J2370" i="13" a="1"/>
  <c r="J2370" i="13" s="1"/>
  <c r="N2371" i="13"/>
  <c r="M2374" i="14"/>
  <c r="M2373" i="13"/>
  <c r="J2369" i="14" a="1"/>
  <c r="J2369" i="14" s="1"/>
  <c r="N2370" i="14"/>
  <c r="K2185" i="13" l="1"/>
  <c r="L2185" i="13" s="1"/>
  <c r="I2186" i="13" s="1"/>
  <c r="K2207" i="14"/>
  <c r="L2207" i="14" s="1"/>
  <c r="I2208" i="14" s="1"/>
  <c r="J2371" i="13" a="1"/>
  <c r="J2371" i="13" s="1"/>
  <c r="N2372" i="13"/>
  <c r="M2374" i="13"/>
  <c r="J2370" i="14" a="1"/>
  <c r="J2370" i="14" s="1"/>
  <c r="N2371" i="14"/>
  <c r="M2375" i="14"/>
  <c r="K2208" i="14" l="1"/>
  <c r="L2208" i="14" s="1"/>
  <c r="I2209" i="14" s="1"/>
  <c r="K2186" i="13"/>
  <c r="L2186" i="13" s="1"/>
  <c r="I2187" i="13" s="1"/>
  <c r="N2372" i="14"/>
  <c r="J2371" i="14" a="1"/>
  <c r="J2371" i="14" s="1"/>
  <c r="M2376" i="14"/>
  <c r="M2375" i="13"/>
  <c r="J2372" i="13" a="1"/>
  <c r="J2372" i="13" s="1"/>
  <c r="N2373" i="13"/>
  <c r="K2187" i="13" l="1"/>
  <c r="L2187" i="13" s="1"/>
  <c r="I2188" i="13" s="1"/>
  <c r="K2209" i="14"/>
  <c r="L2209" i="14" s="1"/>
  <c r="I2210" i="14" s="1"/>
  <c r="N2374" i="13"/>
  <c r="J2373" i="13" a="1"/>
  <c r="J2373" i="13" s="1"/>
  <c r="M2377" i="14"/>
  <c r="M2376" i="13"/>
  <c r="J2372" i="14" a="1"/>
  <c r="J2372" i="14" s="1"/>
  <c r="N2373" i="14"/>
  <c r="K2210" i="14" l="1"/>
  <c r="L2210" i="14" s="1"/>
  <c r="I2211" i="14" s="1"/>
  <c r="K2188" i="13"/>
  <c r="L2188" i="13" s="1"/>
  <c r="I2189" i="13" s="1"/>
  <c r="J2373" i="14" a="1"/>
  <c r="J2373" i="14" s="1"/>
  <c r="N2374" i="14"/>
  <c r="M2378" i="14"/>
  <c r="M2377" i="13"/>
  <c r="J2374" i="13" a="1"/>
  <c r="J2374" i="13" s="1"/>
  <c r="N2375" i="13"/>
  <c r="J2375" i="13" l="1" a="1"/>
  <c r="J2375" i="13" s="1"/>
  <c r="N2376" i="13"/>
  <c r="M2379" i="14"/>
  <c r="M2378" i="13"/>
  <c r="K2189" i="13"/>
  <c r="L2189" i="13" s="1"/>
  <c r="I2190" i="13" s="1"/>
  <c r="N2375" i="14"/>
  <c r="J2374" i="14" a="1"/>
  <c r="J2374" i="14" s="1"/>
  <c r="K2211" i="14"/>
  <c r="L2211" i="14" s="1"/>
  <c r="I2212" i="14" s="1"/>
  <c r="K2212" i="14" l="1"/>
  <c r="L2212" i="14" s="1"/>
  <c r="I2213" i="14" s="1"/>
  <c r="K2190" i="13"/>
  <c r="L2190" i="13" s="1"/>
  <c r="I2191" i="13" s="1"/>
  <c r="N2376" i="14"/>
  <c r="J2375" i="14" a="1"/>
  <c r="J2375" i="14" s="1"/>
  <c r="M2379" i="13"/>
  <c r="M2380" i="14"/>
  <c r="J2376" i="13" a="1"/>
  <c r="J2376" i="13" s="1"/>
  <c r="N2377" i="13"/>
  <c r="K2191" i="13" l="1"/>
  <c r="L2191" i="13" s="1"/>
  <c r="I2192" i="13" s="1"/>
  <c r="K2213" i="14"/>
  <c r="L2213" i="14" s="1"/>
  <c r="I2214" i="14" s="1"/>
  <c r="N2378" i="13"/>
  <c r="J2377" i="13" a="1"/>
  <c r="J2377" i="13" s="1"/>
  <c r="M2380" i="13"/>
  <c r="M2381" i="14"/>
  <c r="J2376" i="14" a="1"/>
  <c r="J2376" i="14" s="1"/>
  <c r="N2377" i="14"/>
  <c r="K2214" i="14" l="1"/>
  <c r="L2214" i="14" s="1"/>
  <c r="I2215" i="14" s="1"/>
  <c r="K2192" i="13"/>
  <c r="L2192" i="13" s="1"/>
  <c r="I2193" i="13" s="1"/>
  <c r="J2377" i="14" a="1"/>
  <c r="J2377" i="14" s="1"/>
  <c r="N2378" i="14"/>
  <c r="M2381" i="13"/>
  <c r="M2382" i="14"/>
  <c r="J2378" i="13" a="1"/>
  <c r="J2378" i="13" s="1"/>
  <c r="N2379" i="13"/>
  <c r="K2215" i="14" l="1"/>
  <c r="L2215" i="14" s="1"/>
  <c r="I2216" i="14" s="1"/>
  <c r="J2379" i="13" a="1"/>
  <c r="J2379" i="13" s="1"/>
  <c r="N2380" i="13"/>
  <c r="K2193" i="13"/>
  <c r="L2193" i="13" s="1"/>
  <c r="I2194" i="13" s="1"/>
  <c r="M2382" i="13"/>
  <c r="M2383" i="14"/>
  <c r="J2378" i="14" a="1"/>
  <c r="J2378" i="14" s="1"/>
  <c r="N2379" i="14"/>
  <c r="K2194" i="13" l="1"/>
  <c r="L2194" i="13" s="1"/>
  <c r="I2195" i="13" s="1"/>
  <c r="K2216" i="14"/>
  <c r="L2216" i="14" s="1"/>
  <c r="I2217" i="14" s="1"/>
  <c r="N2380" i="14"/>
  <c r="J2379" i="14" a="1"/>
  <c r="J2379" i="14" s="1"/>
  <c r="J2380" i="13" a="1"/>
  <c r="J2380" i="13" s="1"/>
  <c r="N2381" i="13"/>
  <c r="M2383" i="13"/>
  <c r="M2384" i="14"/>
  <c r="K2195" i="13" l="1"/>
  <c r="L2195" i="13" s="1"/>
  <c r="I2196" i="13" s="1"/>
  <c r="K2217" i="14"/>
  <c r="L2217" i="14" s="1"/>
  <c r="I2218" i="14" s="1"/>
  <c r="N2382" i="13"/>
  <c r="J2381" i="13" a="1"/>
  <c r="J2381" i="13" s="1"/>
  <c r="M2384" i="13"/>
  <c r="M2385" i="14"/>
  <c r="J2380" i="14" a="1"/>
  <c r="J2380" i="14" s="1"/>
  <c r="N2381" i="14"/>
  <c r="K2218" i="14" l="1"/>
  <c r="L2218" i="14" s="1"/>
  <c r="I2219" i="14" s="1"/>
  <c r="K2196" i="13"/>
  <c r="L2196" i="13" s="1"/>
  <c r="I2197" i="13" s="1"/>
  <c r="J2381" i="14" a="1"/>
  <c r="J2381" i="14" s="1"/>
  <c r="N2382" i="14"/>
  <c r="M2385" i="13"/>
  <c r="M2386" i="14"/>
  <c r="J2382" i="13" a="1"/>
  <c r="J2382" i="13" s="1"/>
  <c r="N2383" i="13"/>
  <c r="K2197" i="13" l="1"/>
  <c r="L2197" i="13" s="1"/>
  <c r="I2198" i="13" s="1"/>
  <c r="K2219" i="14"/>
  <c r="L2219" i="14" s="1"/>
  <c r="I2220" i="14" s="1"/>
  <c r="J2383" i="13" a="1"/>
  <c r="J2383" i="13" s="1"/>
  <c r="N2384" i="13"/>
  <c r="M2386" i="13"/>
  <c r="N2383" i="14"/>
  <c r="J2382" i="14" a="1"/>
  <c r="J2382" i="14" s="1"/>
  <c r="M2387" i="14"/>
  <c r="K2198" i="13" l="1"/>
  <c r="L2198" i="13" s="1"/>
  <c r="I2199" i="13" s="1"/>
  <c r="M2388" i="14"/>
  <c r="M2387" i="13"/>
  <c r="K2220" i="14"/>
  <c r="L2220" i="14" s="1"/>
  <c r="I2221" i="14" s="1"/>
  <c r="J2384" i="13" a="1"/>
  <c r="J2384" i="13" s="1"/>
  <c r="N2385" i="13"/>
  <c r="N2384" i="14"/>
  <c r="J2383" i="14" a="1"/>
  <c r="J2383" i="14" s="1"/>
  <c r="K2221" i="14" l="1"/>
  <c r="L2221" i="14" s="1"/>
  <c r="I2222" i="14" s="1"/>
  <c r="K2199" i="13"/>
  <c r="L2199" i="13" s="1"/>
  <c r="I2200" i="13" s="1"/>
  <c r="J2384" i="14" a="1"/>
  <c r="J2384" i="14" s="1"/>
  <c r="N2385" i="14"/>
  <c r="M2389" i="14"/>
  <c r="N2386" i="13"/>
  <c r="J2385" i="13" a="1"/>
  <c r="J2385" i="13" s="1"/>
  <c r="M2388" i="13"/>
  <c r="K2200" i="13" l="1"/>
  <c r="L2200" i="13" s="1"/>
  <c r="I2201" i="13" s="1"/>
  <c r="K2222" i="14"/>
  <c r="L2222" i="14" s="1"/>
  <c r="I2223" i="14" s="1"/>
  <c r="J2386" i="13" a="1"/>
  <c r="J2386" i="13" s="1"/>
  <c r="N2387" i="13"/>
  <c r="M2389" i="13"/>
  <c r="J2385" i="14" a="1"/>
  <c r="J2385" i="14" s="1"/>
  <c r="N2386" i="14"/>
  <c r="M2390" i="14"/>
  <c r="K2223" i="14" l="1"/>
  <c r="L2223" i="14" s="1"/>
  <c r="I2224" i="14" s="1"/>
  <c r="K2201" i="13"/>
  <c r="L2201" i="13" s="1"/>
  <c r="I2202" i="13" s="1"/>
  <c r="M2391" i="14"/>
  <c r="J2386" i="14" a="1"/>
  <c r="J2386" i="14" s="1"/>
  <c r="N2387" i="14"/>
  <c r="M2390" i="13"/>
  <c r="J2387" i="13" a="1"/>
  <c r="J2387" i="13" s="1"/>
  <c r="N2388" i="13"/>
  <c r="K2224" i="14" l="1"/>
  <c r="L2224" i="14" s="1"/>
  <c r="I2225" i="14" s="1"/>
  <c r="J2388" i="13" a="1"/>
  <c r="J2388" i="13" s="1"/>
  <c r="N2389" i="13"/>
  <c r="N2388" i="14"/>
  <c r="J2387" i="14" a="1"/>
  <c r="J2387" i="14" s="1"/>
  <c r="K2202" i="13"/>
  <c r="L2202" i="13" s="1"/>
  <c r="I2203" i="13" s="1"/>
  <c r="M2391" i="13"/>
  <c r="M2392" i="14"/>
  <c r="K2225" i="14" l="1"/>
  <c r="L2225" i="14" s="1"/>
  <c r="I2226" i="14" s="1"/>
  <c r="K2203" i="13"/>
  <c r="L2203" i="13" s="1"/>
  <c r="I2204" i="13" s="1"/>
  <c r="N2390" i="13"/>
  <c r="J2389" i="13" a="1"/>
  <c r="J2389" i="13" s="1"/>
  <c r="M2393" i="14"/>
  <c r="M2392" i="13"/>
  <c r="J2388" i="14" a="1"/>
  <c r="J2388" i="14" s="1"/>
  <c r="N2389" i="14"/>
  <c r="K2204" i="13" l="1"/>
  <c r="L2204" i="13" s="1"/>
  <c r="I2205" i="13" s="1"/>
  <c r="K2226" i="14"/>
  <c r="L2226" i="14" s="1"/>
  <c r="I2227" i="14" s="1"/>
  <c r="J2389" i="14" a="1"/>
  <c r="J2389" i="14" s="1"/>
  <c r="N2390" i="14"/>
  <c r="M2394" i="14"/>
  <c r="M2393" i="13"/>
  <c r="J2390" i="13" a="1"/>
  <c r="J2390" i="13" s="1"/>
  <c r="N2391" i="13"/>
  <c r="K2227" i="14" l="1"/>
  <c r="L2227" i="14" s="1"/>
  <c r="I2228" i="14" s="1"/>
  <c r="K2205" i="13"/>
  <c r="L2205" i="13" s="1"/>
  <c r="I2206" i="13" s="1"/>
  <c r="J2391" i="13" a="1"/>
  <c r="J2391" i="13" s="1"/>
  <c r="N2392" i="13"/>
  <c r="M2395" i="14"/>
  <c r="N2391" i="14"/>
  <c r="J2390" i="14" a="1"/>
  <c r="J2390" i="14" s="1"/>
  <c r="M2394" i="13"/>
  <c r="K2228" i="14" l="1"/>
  <c r="L2228" i="14" s="1"/>
  <c r="I2229" i="14" s="1"/>
  <c r="N2392" i="14"/>
  <c r="J2391" i="14" a="1"/>
  <c r="J2391" i="14" s="1"/>
  <c r="M2395" i="13"/>
  <c r="M2396" i="14"/>
  <c r="K2206" i="13"/>
  <c r="L2206" i="13" s="1"/>
  <c r="I2207" i="13" s="1"/>
  <c r="J2392" i="13" a="1"/>
  <c r="J2392" i="13" s="1"/>
  <c r="N2393" i="13"/>
  <c r="K2207" i="13" l="1"/>
  <c r="L2207" i="13" s="1"/>
  <c r="I2208" i="13" s="1"/>
  <c r="K2229" i="14"/>
  <c r="L2229" i="14" s="1"/>
  <c r="I2230" i="14" s="1"/>
  <c r="N2394" i="13"/>
  <c r="J2393" i="13" a="1"/>
  <c r="J2393" i="13" s="1"/>
  <c r="J2392" i="14" a="1"/>
  <c r="J2392" i="14" s="1"/>
  <c r="N2393" i="14"/>
  <c r="M2397" i="14"/>
  <c r="M2396" i="13"/>
  <c r="K2208" i="13" l="1"/>
  <c r="L2208" i="13" s="1"/>
  <c r="I2209" i="13" s="1"/>
  <c r="M2397" i="13"/>
  <c r="J2393" i="14" a="1"/>
  <c r="J2393" i="14" s="1"/>
  <c r="N2394" i="14"/>
  <c r="K2230" i="14"/>
  <c r="L2230" i="14" s="1"/>
  <c r="I2231" i="14" s="1"/>
  <c r="M2398" i="14"/>
  <c r="J2394" i="13" a="1"/>
  <c r="J2394" i="13" s="1"/>
  <c r="N2395" i="13"/>
  <c r="K2209" i="13" l="1"/>
  <c r="L2209" i="13" s="1"/>
  <c r="I2210" i="13" s="1"/>
  <c r="J2395" i="13" a="1"/>
  <c r="J2395" i="13" s="1"/>
  <c r="N2396" i="13"/>
  <c r="M2398" i="13"/>
  <c r="J2394" i="14" a="1"/>
  <c r="J2394" i="14" s="1"/>
  <c r="N2395" i="14"/>
  <c r="K2231" i="14"/>
  <c r="L2231" i="14" s="1"/>
  <c r="I2232" i="14" s="1"/>
  <c r="M2399" i="14"/>
  <c r="K2210" i="13" l="1"/>
  <c r="L2210" i="13" s="1"/>
  <c r="I2211" i="13" s="1"/>
  <c r="K2232" i="14"/>
  <c r="L2232" i="14" s="1"/>
  <c r="I2233" i="14" s="1"/>
  <c r="J2396" i="13" a="1"/>
  <c r="J2396" i="13" s="1"/>
  <c r="N2397" i="13"/>
  <c r="N2396" i="14"/>
  <c r="J2395" i="14" a="1"/>
  <c r="J2395" i="14" s="1"/>
  <c r="M2400" i="14"/>
  <c r="M2399" i="13"/>
  <c r="K2211" i="13" l="1"/>
  <c r="L2211" i="13" s="1"/>
  <c r="I2212" i="13" s="1"/>
  <c r="K2233" i="14"/>
  <c r="L2233" i="14" s="1"/>
  <c r="I2234" i="14" s="1"/>
  <c r="N2398" i="13"/>
  <c r="J2397" i="13" a="1"/>
  <c r="J2397" i="13" s="1"/>
  <c r="M2401" i="14"/>
  <c r="M2400" i="13"/>
  <c r="J2396" i="14" a="1"/>
  <c r="J2396" i="14" s="1"/>
  <c r="N2397" i="14"/>
  <c r="K2212" i="13" l="1"/>
  <c r="L2212" i="13" s="1"/>
  <c r="I2213" i="13" s="1"/>
  <c r="J2397" i="14" a="1"/>
  <c r="J2397" i="14" s="1"/>
  <c r="N2398" i="14"/>
  <c r="K2234" i="14"/>
  <c r="L2234" i="14" s="1"/>
  <c r="I2235" i="14" s="1"/>
  <c r="M2402" i="14"/>
  <c r="M2401" i="13"/>
  <c r="J2398" i="13" a="1"/>
  <c r="J2398" i="13" s="1"/>
  <c r="N2399" i="13"/>
  <c r="K2235" i="14" l="1"/>
  <c r="L2235" i="14" s="1"/>
  <c r="I2236" i="14" s="1"/>
  <c r="K2213" i="13"/>
  <c r="L2213" i="13" s="1"/>
  <c r="I2214" i="13" s="1"/>
  <c r="J2399" i="13" a="1"/>
  <c r="J2399" i="13" s="1"/>
  <c r="N2400" i="13"/>
  <c r="M2403" i="14"/>
  <c r="J2398" i="14" a="1"/>
  <c r="J2398" i="14" s="1"/>
  <c r="N2399" i="14"/>
  <c r="M2402" i="13"/>
  <c r="K2236" i="14" l="1"/>
  <c r="L2236" i="14" s="1"/>
  <c r="I2237" i="14" s="1"/>
  <c r="J2400" i="13" a="1"/>
  <c r="J2400" i="13" s="1"/>
  <c r="N2401" i="13"/>
  <c r="K2214" i="13"/>
  <c r="L2214" i="13" s="1"/>
  <c r="I2215" i="13" s="1"/>
  <c r="N2400" i="14"/>
  <c r="J2399" i="14" a="1"/>
  <c r="J2399" i="14" s="1"/>
  <c r="M2403" i="13"/>
  <c r="M2404" i="14"/>
  <c r="K2237" i="14" l="1"/>
  <c r="L2237" i="14" s="1"/>
  <c r="I2238" i="14" s="1"/>
  <c r="K2215" i="13"/>
  <c r="L2215" i="13" s="1"/>
  <c r="I2216" i="13" s="1"/>
  <c r="N2402" i="13"/>
  <c r="J2401" i="13" a="1"/>
  <c r="J2401" i="13" s="1"/>
  <c r="M2405" i="14"/>
  <c r="J2400" i="14" a="1"/>
  <c r="J2400" i="14" s="1"/>
  <c r="N2401" i="14"/>
  <c r="M2404" i="13"/>
  <c r="K2216" i="13" l="1"/>
  <c r="L2216" i="13" s="1"/>
  <c r="I2217" i="13" s="1"/>
  <c r="K2238" i="14"/>
  <c r="L2238" i="14" s="1"/>
  <c r="I2239" i="14" s="1"/>
  <c r="J2401" i="14" a="1"/>
  <c r="J2401" i="14" s="1"/>
  <c r="N2402" i="14"/>
  <c r="M2405" i="13"/>
  <c r="M2406" i="14"/>
  <c r="J2402" i="13" a="1"/>
  <c r="J2402" i="13" s="1"/>
  <c r="N2403" i="13"/>
  <c r="K2217" i="13" l="1"/>
  <c r="L2217" i="13" s="1"/>
  <c r="I2218" i="13" s="1"/>
  <c r="M2407" i="14"/>
  <c r="J2403" i="13" a="1"/>
  <c r="J2403" i="13" s="1"/>
  <c r="N2404" i="13"/>
  <c r="M2406" i="13"/>
  <c r="K2239" i="14"/>
  <c r="L2239" i="14" s="1"/>
  <c r="I2240" i="14" s="1"/>
  <c r="J2402" i="14" a="1"/>
  <c r="J2402" i="14" s="1"/>
  <c r="N2403" i="14"/>
  <c r="K2240" i="14" l="1"/>
  <c r="L2240" i="14" s="1"/>
  <c r="I2241" i="14" s="1"/>
  <c r="K2218" i="13"/>
  <c r="L2218" i="13" s="1"/>
  <c r="I2219" i="13" s="1"/>
  <c r="N2404" i="14"/>
  <c r="J2403" i="14" a="1"/>
  <c r="J2403" i="14" s="1"/>
  <c r="M2407" i="13"/>
  <c r="M2408" i="14"/>
  <c r="J2404" i="13" a="1"/>
  <c r="J2404" i="13" s="1"/>
  <c r="N2405" i="13"/>
  <c r="K2219" i="13" l="1"/>
  <c r="L2219" i="13" s="1"/>
  <c r="I2220" i="13" s="1"/>
  <c r="K2241" i="14"/>
  <c r="L2241" i="14" s="1"/>
  <c r="I2242" i="14" s="1"/>
  <c r="N2406" i="13"/>
  <c r="J2405" i="13" a="1"/>
  <c r="J2405" i="13" s="1"/>
  <c r="M2408" i="13"/>
  <c r="M2409" i="14"/>
  <c r="J2404" i="14" a="1"/>
  <c r="J2404" i="14" s="1"/>
  <c r="N2405" i="14"/>
  <c r="K2242" i="14" l="1"/>
  <c r="L2242" i="14" s="1"/>
  <c r="I2243" i="14" s="1"/>
  <c r="K2220" i="13"/>
  <c r="L2220" i="13" s="1"/>
  <c r="I2221" i="13" s="1"/>
  <c r="J2405" i="14" a="1"/>
  <c r="J2405" i="14" s="1"/>
  <c r="N2406" i="14"/>
  <c r="M2409" i="13"/>
  <c r="M2410" i="14"/>
  <c r="J2406" i="13" a="1"/>
  <c r="J2406" i="13" s="1"/>
  <c r="N2407" i="13"/>
  <c r="K2221" i="13" l="1"/>
  <c r="L2221" i="13" s="1"/>
  <c r="I2222" i="13" s="1"/>
  <c r="K2243" i="14"/>
  <c r="L2243" i="14" s="1"/>
  <c r="I2244" i="14" s="1"/>
  <c r="J2407" i="13" a="1"/>
  <c r="J2407" i="13" s="1"/>
  <c r="N2408" i="13"/>
  <c r="M2410" i="13"/>
  <c r="N2407" i="14"/>
  <c r="J2406" i="14" a="1"/>
  <c r="J2406" i="14" s="1"/>
  <c r="M2411" i="14"/>
  <c r="K2244" i="14" l="1"/>
  <c r="L2244" i="14" s="1"/>
  <c r="I2245" i="14" s="1"/>
  <c r="K2222" i="13"/>
  <c r="L2222" i="13" s="1"/>
  <c r="I2223" i="13" s="1"/>
  <c r="N2408" i="14"/>
  <c r="J2407" i="14" a="1"/>
  <c r="J2407" i="14" s="1"/>
  <c r="M2412" i="14"/>
  <c r="M2411" i="13"/>
  <c r="J2408" i="13" a="1"/>
  <c r="J2408" i="13" s="1"/>
  <c r="N2409" i="13"/>
  <c r="K2223" i="13" l="1"/>
  <c r="L2223" i="13" s="1"/>
  <c r="I2224" i="13" s="1"/>
  <c r="K2245" i="14"/>
  <c r="L2245" i="14" s="1"/>
  <c r="I2246" i="14" s="1"/>
  <c r="N2410" i="13"/>
  <c r="J2409" i="13" a="1"/>
  <c r="J2409" i="13" s="1"/>
  <c r="M2413" i="14"/>
  <c r="M2412" i="13"/>
  <c r="J2408" i="14" a="1"/>
  <c r="J2408" i="14" s="1"/>
  <c r="N2409" i="14"/>
  <c r="K2246" i="14" l="1"/>
  <c r="L2246" i="14" s="1"/>
  <c r="I2247" i="14" s="1"/>
  <c r="K2224" i="13"/>
  <c r="L2224" i="13" s="1"/>
  <c r="I2225" i="13" s="1"/>
  <c r="J2409" i="14" a="1"/>
  <c r="J2409" i="14" s="1"/>
  <c r="N2410" i="14"/>
  <c r="M2414" i="14"/>
  <c r="M2413" i="13"/>
  <c r="J2410" i="13" a="1"/>
  <c r="J2410" i="13" s="1"/>
  <c r="N2411" i="13"/>
  <c r="K2225" i="13" l="1"/>
  <c r="L2225" i="13" s="1"/>
  <c r="I2226" i="13" s="1"/>
  <c r="K2247" i="14"/>
  <c r="L2247" i="14" s="1"/>
  <c r="I2248" i="14" s="1"/>
  <c r="J2411" i="13" a="1"/>
  <c r="J2411" i="13" s="1"/>
  <c r="N2412" i="13"/>
  <c r="M2415" i="14"/>
  <c r="M2414" i="13"/>
  <c r="J2410" i="14" a="1"/>
  <c r="J2410" i="14" s="1"/>
  <c r="N2411" i="14"/>
  <c r="K2226" i="13" l="1"/>
  <c r="L2226" i="13" s="1"/>
  <c r="I2227" i="13" s="1"/>
  <c r="N2412" i="14"/>
  <c r="J2411" i="14" a="1"/>
  <c r="J2411" i="14" s="1"/>
  <c r="K2248" i="14"/>
  <c r="L2248" i="14" s="1"/>
  <c r="I2249" i="14" s="1"/>
  <c r="J2412" i="13" a="1"/>
  <c r="J2412" i="13" s="1"/>
  <c r="N2413" i="13"/>
  <c r="M2416" i="14"/>
  <c r="M2415" i="13"/>
  <c r="K2249" i="14" l="1"/>
  <c r="L2249" i="14" s="1"/>
  <c r="I2250" i="14" s="1"/>
  <c r="K2227" i="13"/>
  <c r="L2227" i="13" s="1"/>
  <c r="I2228" i="13" s="1"/>
  <c r="N2414" i="13"/>
  <c r="J2413" i="13" a="1"/>
  <c r="J2413" i="13" s="1"/>
  <c r="J2412" i="14" a="1"/>
  <c r="J2412" i="14" s="1"/>
  <c r="N2413" i="14"/>
  <c r="M2416" i="13"/>
  <c r="M2417" i="14"/>
  <c r="K2228" i="13" l="1"/>
  <c r="L2228" i="13" s="1"/>
  <c r="I2229" i="13" s="1"/>
  <c r="K2250" i="14"/>
  <c r="L2250" i="14" s="1"/>
  <c r="I2251" i="14" s="1"/>
  <c r="J2413" i="14" a="1"/>
  <c r="J2413" i="14" s="1"/>
  <c r="N2414" i="14"/>
  <c r="M2418" i="14"/>
  <c r="M2417" i="13"/>
  <c r="J2414" i="13" a="1"/>
  <c r="J2414" i="13" s="1"/>
  <c r="N2415" i="13"/>
  <c r="K2251" i="14" l="1"/>
  <c r="L2251" i="14" s="1"/>
  <c r="I2252" i="14" s="1"/>
  <c r="K2229" i="13"/>
  <c r="L2229" i="13" s="1"/>
  <c r="I2230" i="13" s="1"/>
  <c r="J2415" i="13" a="1"/>
  <c r="J2415" i="13" s="1"/>
  <c r="N2416" i="13"/>
  <c r="M2419" i="14"/>
  <c r="N2415" i="14"/>
  <c r="J2414" i="14" a="1"/>
  <c r="J2414" i="14" s="1"/>
  <c r="M2418" i="13"/>
  <c r="K2230" i="13" l="1"/>
  <c r="L2230" i="13" s="1"/>
  <c r="I2231" i="13" s="1"/>
  <c r="K2252" i="14"/>
  <c r="L2252" i="14" s="1"/>
  <c r="I2253" i="14" s="1"/>
  <c r="M2419" i="13"/>
  <c r="M2420" i="14"/>
  <c r="J2416" i="13" a="1"/>
  <c r="J2416" i="13" s="1"/>
  <c r="N2417" i="13"/>
  <c r="N2416" i="14"/>
  <c r="J2415" i="14" a="1"/>
  <c r="J2415" i="14" s="1"/>
  <c r="K2253" i="14" l="1"/>
  <c r="L2253" i="14" s="1"/>
  <c r="I2254" i="14" s="1"/>
  <c r="K2231" i="13"/>
  <c r="L2231" i="13" s="1"/>
  <c r="I2232" i="13" s="1"/>
  <c r="J2416" i="14" a="1"/>
  <c r="J2416" i="14" s="1"/>
  <c r="N2417" i="14"/>
  <c r="M2421" i="14"/>
  <c r="N2418" i="13"/>
  <c r="J2417" i="13" a="1"/>
  <c r="J2417" i="13" s="1"/>
  <c r="M2420" i="13"/>
  <c r="K2232" i="13" l="1"/>
  <c r="L2232" i="13" s="1"/>
  <c r="I2233" i="13" s="1"/>
  <c r="K2254" i="14"/>
  <c r="L2254" i="14" s="1"/>
  <c r="I2255" i="14" s="1"/>
  <c r="M2421" i="13"/>
  <c r="M2422" i="14"/>
  <c r="J2417" i="14" a="1"/>
  <c r="J2417" i="14" s="1"/>
  <c r="N2418" i="14"/>
  <c r="J2418" i="13" a="1"/>
  <c r="J2418" i="13" s="1"/>
  <c r="N2419" i="13"/>
  <c r="K2255" i="14" l="1"/>
  <c r="L2255" i="14" s="1"/>
  <c r="I2256" i="14" s="1"/>
  <c r="K2233" i="13"/>
  <c r="L2233" i="13" s="1"/>
  <c r="I2234" i="13" s="1"/>
  <c r="J2418" i="14" a="1"/>
  <c r="J2418" i="14" s="1"/>
  <c r="N2419" i="14"/>
  <c r="J2419" i="13" a="1"/>
  <c r="J2419" i="13" s="1"/>
  <c r="N2420" i="13"/>
  <c r="M2423" i="14"/>
  <c r="M2422" i="13"/>
  <c r="K2256" i="14" l="1"/>
  <c r="L2256" i="14" s="1"/>
  <c r="I2257" i="14" s="1"/>
  <c r="J2420" i="13" a="1"/>
  <c r="J2420" i="13" s="1"/>
  <c r="N2421" i="13"/>
  <c r="K2234" i="13"/>
  <c r="L2234" i="13" s="1"/>
  <c r="I2235" i="13" s="1"/>
  <c r="M2423" i="13"/>
  <c r="N2420" i="14"/>
  <c r="J2419" i="14" a="1"/>
  <c r="J2419" i="14" s="1"/>
  <c r="M2424" i="14"/>
  <c r="K2235" i="13" l="1"/>
  <c r="L2235" i="13" s="1"/>
  <c r="I2236" i="13" s="1"/>
  <c r="K2257" i="14"/>
  <c r="L2257" i="14" s="1"/>
  <c r="I2258" i="14" s="1"/>
  <c r="M2425" i="14"/>
  <c r="M2424" i="13"/>
  <c r="N2422" i="13"/>
  <c r="J2421" i="13" a="1"/>
  <c r="J2421" i="13" s="1"/>
  <c r="J2420" i="14" a="1"/>
  <c r="J2420" i="14" s="1"/>
  <c r="N2421" i="14"/>
  <c r="K2236" i="13" l="1"/>
  <c r="L2236" i="13" s="1"/>
  <c r="I2237" i="13" s="1"/>
  <c r="J2421" i="14" a="1"/>
  <c r="J2421" i="14" s="1"/>
  <c r="N2422" i="14"/>
  <c r="M2425" i="13"/>
  <c r="K2258" i="14"/>
  <c r="L2258" i="14" s="1"/>
  <c r="I2259" i="14" s="1"/>
  <c r="J2422" i="13" a="1"/>
  <c r="J2422" i="13" s="1"/>
  <c r="N2423" i="13"/>
  <c r="M2426" i="14"/>
  <c r="K2237" i="13" l="1"/>
  <c r="L2237" i="13" s="1"/>
  <c r="I2238" i="13" s="1"/>
  <c r="M2427" i="14"/>
  <c r="N2423" i="14"/>
  <c r="J2422" i="14" a="1"/>
  <c r="J2422" i="14" s="1"/>
  <c r="K2259" i="14"/>
  <c r="L2259" i="14" s="1"/>
  <c r="I2260" i="14" s="1"/>
  <c r="J2423" i="13" a="1"/>
  <c r="J2423" i="13" s="1"/>
  <c r="N2424" i="13"/>
  <c r="M2426" i="13"/>
  <c r="K2260" i="14" l="1"/>
  <c r="L2260" i="14" s="1"/>
  <c r="I2261" i="14" s="1"/>
  <c r="K2238" i="13"/>
  <c r="L2238" i="13" s="1"/>
  <c r="I2239" i="13" s="1"/>
  <c r="M2427" i="13"/>
  <c r="M2428" i="14"/>
  <c r="J2424" i="13" a="1"/>
  <c r="J2424" i="13" s="1"/>
  <c r="N2425" i="13"/>
  <c r="N2424" i="14"/>
  <c r="J2423" i="14" a="1"/>
  <c r="J2423" i="14" s="1"/>
  <c r="K2239" i="13" l="1"/>
  <c r="L2239" i="13" s="1"/>
  <c r="I2240" i="13" s="1"/>
  <c r="K2261" i="14"/>
  <c r="L2261" i="14" s="1"/>
  <c r="I2262" i="14" s="1"/>
  <c r="J2424" i="14" a="1"/>
  <c r="J2424" i="14" s="1"/>
  <c r="N2425" i="14"/>
  <c r="M2429" i="14"/>
  <c r="N2426" i="13"/>
  <c r="J2425" i="13" a="1"/>
  <c r="J2425" i="13" s="1"/>
  <c r="M2428" i="13"/>
  <c r="K2262" i="14" l="1"/>
  <c r="L2262" i="14" s="1"/>
  <c r="I2263" i="14" s="1"/>
  <c r="K2240" i="13"/>
  <c r="L2240" i="13" s="1"/>
  <c r="I2241" i="13" s="1"/>
  <c r="J2426" i="13" a="1"/>
  <c r="J2426" i="13" s="1"/>
  <c r="N2427" i="13"/>
  <c r="M2429" i="13"/>
  <c r="J2425" i="14" a="1"/>
  <c r="J2425" i="14" s="1"/>
  <c r="N2426" i="14"/>
  <c r="M2430" i="14"/>
  <c r="K2263" i="14" l="1"/>
  <c r="L2263" i="14" s="1"/>
  <c r="I2264" i="14" s="1"/>
  <c r="M2431" i="14"/>
  <c r="M2430" i="13"/>
  <c r="K2241" i="13"/>
  <c r="L2241" i="13" s="1"/>
  <c r="I2242" i="13" s="1"/>
  <c r="J2426" i="14" a="1"/>
  <c r="J2426" i="14" s="1"/>
  <c r="N2427" i="14"/>
  <c r="J2427" i="13" a="1"/>
  <c r="J2427" i="13" s="1"/>
  <c r="N2428" i="13"/>
  <c r="K2264" i="14" l="1"/>
  <c r="L2264" i="14" s="1"/>
  <c r="I2265" i="14" s="1"/>
  <c r="J2428" i="13" a="1"/>
  <c r="J2428" i="13" s="1"/>
  <c r="N2429" i="13"/>
  <c r="K2242" i="13"/>
  <c r="L2242" i="13" s="1"/>
  <c r="I2243" i="13" s="1"/>
  <c r="M2432" i="14"/>
  <c r="N2428" i="14"/>
  <c r="J2427" i="14" a="1"/>
  <c r="J2427" i="14" s="1"/>
  <c r="M2431" i="13"/>
  <c r="K2243" i="13" l="1"/>
  <c r="L2243" i="13" s="1"/>
  <c r="I2244" i="13" s="1"/>
  <c r="K2265" i="14"/>
  <c r="L2265" i="14" s="1"/>
  <c r="I2266" i="14" s="1"/>
  <c r="N2430" i="13"/>
  <c r="J2429" i="13" a="1"/>
  <c r="J2429" i="13" s="1"/>
  <c r="M2432" i="13"/>
  <c r="M2433" i="14"/>
  <c r="J2428" i="14" a="1"/>
  <c r="J2428" i="14" s="1"/>
  <c r="N2429" i="14"/>
  <c r="K2244" i="13" l="1"/>
  <c r="L2244" i="13" s="1"/>
  <c r="I2245" i="13" s="1"/>
  <c r="J2429" i="14" a="1"/>
  <c r="J2429" i="14" s="1"/>
  <c r="N2430" i="14"/>
  <c r="M2433" i="13"/>
  <c r="K2266" i="14"/>
  <c r="L2266" i="14" s="1"/>
  <c r="I2267" i="14" s="1"/>
  <c r="M2434" i="14"/>
  <c r="J2430" i="13" a="1"/>
  <c r="J2430" i="13" s="1"/>
  <c r="N2431" i="13"/>
  <c r="K2267" i="14" l="1"/>
  <c r="L2267" i="14" s="1"/>
  <c r="I2268" i="14" s="1"/>
  <c r="K2245" i="13"/>
  <c r="L2245" i="13" s="1"/>
  <c r="I2246" i="13" s="1"/>
  <c r="N2431" i="14"/>
  <c r="J2430" i="14" a="1"/>
  <c r="J2430" i="14" s="1"/>
  <c r="J2431" i="13" a="1"/>
  <c r="J2431" i="13" s="1"/>
  <c r="N2432" i="13"/>
  <c r="M2435" i="14"/>
  <c r="M2434" i="13"/>
  <c r="K2246" i="13" l="1"/>
  <c r="L2246" i="13" s="1"/>
  <c r="I2247" i="13" s="1"/>
  <c r="K2268" i="14"/>
  <c r="L2268" i="14" s="1"/>
  <c r="I2269" i="14" s="1"/>
  <c r="M2435" i="13"/>
  <c r="J2432" i="13" a="1"/>
  <c r="J2432" i="13" s="1"/>
  <c r="N2433" i="13"/>
  <c r="M2436" i="14"/>
  <c r="N2432" i="14"/>
  <c r="J2431" i="14" a="1"/>
  <c r="J2431" i="14" s="1"/>
  <c r="K2247" i="13" l="1"/>
  <c r="L2247" i="13" s="1"/>
  <c r="I2248" i="13" s="1"/>
  <c r="N2434" i="13"/>
  <c r="J2433" i="13" a="1"/>
  <c r="J2433" i="13" s="1"/>
  <c r="K2269" i="14"/>
  <c r="L2269" i="14" s="1"/>
  <c r="I2270" i="14" s="1"/>
  <c r="J2432" i="14" a="1"/>
  <c r="J2432" i="14" s="1"/>
  <c r="N2433" i="14"/>
  <c r="M2437" i="14"/>
  <c r="M2436" i="13"/>
  <c r="K2270" i="14" l="1"/>
  <c r="L2270" i="14" s="1"/>
  <c r="I2271" i="14" s="1"/>
  <c r="K2248" i="13"/>
  <c r="L2248" i="13" s="1"/>
  <c r="I2249" i="13" s="1"/>
  <c r="J2433" i="14" a="1"/>
  <c r="J2433" i="14" s="1"/>
  <c r="N2434" i="14"/>
  <c r="M2437" i="13"/>
  <c r="J2434" i="13" a="1"/>
  <c r="J2434" i="13" s="1"/>
  <c r="N2435" i="13"/>
  <c r="M2438" i="14"/>
  <c r="K2271" i="14" l="1"/>
  <c r="L2271" i="14" s="1"/>
  <c r="I2272" i="14" s="1"/>
  <c r="K2249" i="13"/>
  <c r="L2249" i="13" s="1"/>
  <c r="I2250" i="13" s="1"/>
  <c r="J2434" i="14" a="1"/>
  <c r="J2434" i="14" s="1"/>
  <c r="N2435" i="14"/>
  <c r="M2439" i="14"/>
  <c r="M2438" i="13"/>
  <c r="J2435" i="13" a="1"/>
  <c r="J2435" i="13" s="1"/>
  <c r="N2436" i="13"/>
  <c r="K2250" i="13" l="1"/>
  <c r="L2250" i="13" s="1"/>
  <c r="I2251" i="13" s="1"/>
  <c r="K2272" i="14"/>
  <c r="L2272" i="14" s="1"/>
  <c r="I2273" i="14" s="1"/>
  <c r="J2436" i="13" a="1"/>
  <c r="J2436" i="13" s="1"/>
  <c r="N2437" i="13"/>
  <c r="M2440" i="14"/>
  <c r="N2436" i="14"/>
  <c r="J2435" i="14" a="1"/>
  <c r="J2435" i="14" s="1"/>
  <c r="M2439" i="13"/>
  <c r="K2251" i="13" l="1"/>
  <c r="L2251" i="13" s="1"/>
  <c r="I2252" i="13" s="1"/>
  <c r="J2436" i="14" a="1"/>
  <c r="J2436" i="14" s="1"/>
  <c r="N2437" i="14"/>
  <c r="M2440" i="13"/>
  <c r="M2441" i="14"/>
  <c r="K2273" i="14"/>
  <c r="L2273" i="14" s="1"/>
  <c r="I2274" i="14" s="1"/>
  <c r="N2438" i="13"/>
  <c r="J2437" i="13" a="1"/>
  <c r="J2437" i="13" s="1"/>
  <c r="K2274" i="14" l="1"/>
  <c r="L2274" i="14" s="1"/>
  <c r="I2275" i="14" s="1"/>
  <c r="K2252" i="13"/>
  <c r="L2252" i="13" s="1"/>
  <c r="I2253" i="13" s="1"/>
  <c r="J2437" i="14" a="1"/>
  <c r="J2437" i="14" s="1"/>
  <c r="N2438" i="14"/>
  <c r="M2442" i="14"/>
  <c r="J2438" i="13" a="1"/>
  <c r="J2438" i="13" s="1"/>
  <c r="N2439" i="13"/>
  <c r="M2441" i="13"/>
  <c r="M2443" i="14" l="1"/>
  <c r="K2253" i="13"/>
  <c r="L2253" i="13" s="1"/>
  <c r="I2254" i="13" s="1"/>
  <c r="M2442" i="13"/>
  <c r="J2439" i="13" a="1"/>
  <c r="J2439" i="13" s="1"/>
  <c r="N2440" i="13"/>
  <c r="N2439" i="14"/>
  <c r="J2438" i="14" a="1"/>
  <c r="J2438" i="14" s="1"/>
  <c r="K2275" i="14"/>
  <c r="L2275" i="14" s="1"/>
  <c r="I2276" i="14" s="1"/>
  <c r="K2254" i="13" l="1"/>
  <c r="L2254" i="13" s="1"/>
  <c r="I2255" i="13" s="1"/>
  <c r="K2276" i="14"/>
  <c r="L2276" i="14" s="1"/>
  <c r="I2277" i="14" s="1"/>
  <c r="J2440" i="13" a="1"/>
  <c r="J2440" i="13" s="1"/>
  <c r="N2441" i="13"/>
  <c r="N2440" i="14"/>
  <c r="J2439" i="14" a="1"/>
  <c r="J2439" i="14" s="1"/>
  <c r="M2443" i="13"/>
  <c r="M2444" i="14"/>
  <c r="K2255" i="13" l="1"/>
  <c r="L2255" i="13" s="1"/>
  <c r="I2256" i="13" s="1"/>
  <c r="K2277" i="14"/>
  <c r="L2277" i="14" s="1"/>
  <c r="I2278" i="14" s="1"/>
  <c r="M2444" i="13"/>
  <c r="M2445" i="14"/>
  <c r="J2440" i="14" a="1"/>
  <c r="J2440" i="14" s="1"/>
  <c r="N2441" i="14"/>
  <c r="N2442" i="13"/>
  <c r="J2441" i="13" a="1"/>
  <c r="J2441" i="13" s="1"/>
  <c r="K2278" i="14" l="1"/>
  <c r="L2278" i="14" s="1"/>
  <c r="I2279" i="14" s="1"/>
  <c r="K2256" i="13"/>
  <c r="L2256" i="13" s="1"/>
  <c r="I2257" i="13" s="1"/>
  <c r="J2442" i="13" a="1"/>
  <c r="J2442" i="13" s="1"/>
  <c r="N2443" i="13"/>
  <c r="M2446" i="14"/>
  <c r="J2441" i="14" a="1"/>
  <c r="J2441" i="14" s="1"/>
  <c r="N2442" i="14"/>
  <c r="M2445" i="13"/>
  <c r="K2257" i="13" l="1"/>
  <c r="L2257" i="13" s="1"/>
  <c r="I2258" i="13" s="1"/>
  <c r="K2279" i="14"/>
  <c r="L2279" i="14" s="1"/>
  <c r="I2280" i="14" s="1"/>
  <c r="J2443" i="13" a="1"/>
  <c r="J2443" i="13" s="1"/>
  <c r="N2444" i="13"/>
  <c r="M2447" i="14"/>
  <c r="M2446" i="13"/>
  <c r="J2442" i="14" a="1"/>
  <c r="J2442" i="14" s="1"/>
  <c r="N2443" i="14"/>
  <c r="K2258" i="13" l="1"/>
  <c r="L2258" i="13" s="1"/>
  <c r="I2259" i="13" s="1"/>
  <c r="N2444" i="14"/>
  <c r="J2443" i="14" a="1"/>
  <c r="J2443" i="14" s="1"/>
  <c r="K2280" i="14"/>
  <c r="L2280" i="14" s="1"/>
  <c r="I2281" i="14" s="1"/>
  <c r="J2444" i="13" a="1"/>
  <c r="J2444" i="13" s="1"/>
  <c r="N2445" i="13"/>
  <c r="M2448" i="14"/>
  <c r="M2447" i="13"/>
  <c r="K2281" i="14" l="1"/>
  <c r="L2281" i="14" s="1"/>
  <c r="I2282" i="14" s="1"/>
  <c r="K2259" i="13"/>
  <c r="L2259" i="13" s="1"/>
  <c r="I2260" i="13" s="1"/>
  <c r="J2444" i="14" a="1"/>
  <c r="J2444" i="14" s="1"/>
  <c r="N2445" i="14"/>
  <c r="N2446" i="13"/>
  <c r="J2445" i="13" a="1"/>
  <c r="J2445" i="13" s="1"/>
  <c r="M2448" i="13"/>
  <c r="M2449" i="14"/>
  <c r="K2282" i="14" l="1"/>
  <c r="L2282" i="14" s="1"/>
  <c r="I2283" i="14" s="1"/>
  <c r="M2450" i="14"/>
  <c r="K2260" i="13"/>
  <c r="L2260" i="13" s="1"/>
  <c r="I2261" i="13" s="1"/>
  <c r="J2446" i="13" a="1"/>
  <c r="J2446" i="13" s="1"/>
  <c r="N2447" i="13"/>
  <c r="M2449" i="13"/>
  <c r="J2445" i="14" a="1"/>
  <c r="J2445" i="14" s="1"/>
  <c r="N2446" i="14"/>
  <c r="K2261" i="13" l="1"/>
  <c r="L2261" i="13" s="1"/>
  <c r="I2262" i="13" s="1"/>
  <c r="K2283" i="14"/>
  <c r="L2283" i="14" s="1"/>
  <c r="I2284" i="14" s="1"/>
  <c r="N2447" i="14"/>
  <c r="J2446" i="14" a="1"/>
  <c r="J2446" i="14" s="1"/>
  <c r="J2447" i="13" a="1"/>
  <c r="J2447" i="13" s="1"/>
  <c r="N2448" i="13"/>
  <c r="M2451" i="14"/>
  <c r="M2450" i="13"/>
  <c r="K2262" i="13" l="1"/>
  <c r="L2262" i="13" s="1"/>
  <c r="I2263" i="13" s="1"/>
  <c r="J2448" i="13" a="1"/>
  <c r="J2448" i="13" s="1"/>
  <c r="N2449" i="13"/>
  <c r="M2451" i="13"/>
  <c r="K2284" i="14"/>
  <c r="L2284" i="14" s="1"/>
  <c r="I2285" i="14" s="1"/>
  <c r="M2452" i="14"/>
  <c r="N2448" i="14"/>
  <c r="J2447" i="14" a="1"/>
  <c r="J2447" i="14" s="1"/>
  <c r="K2285" i="14" l="1"/>
  <c r="L2285" i="14" s="1"/>
  <c r="I2286" i="14" s="1"/>
  <c r="K2263" i="13"/>
  <c r="L2263" i="13" s="1"/>
  <c r="I2264" i="13" s="1"/>
  <c r="N2450" i="13"/>
  <c r="J2449" i="13" a="1"/>
  <c r="J2449" i="13" s="1"/>
  <c r="J2448" i="14" a="1"/>
  <c r="J2448" i="14" s="1"/>
  <c r="N2449" i="14"/>
  <c r="M2453" i="14"/>
  <c r="M2452" i="13"/>
  <c r="K2286" i="14" l="1"/>
  <c r="L2286" i="14" s="1"/>
  <c r="I2287" i="14" s="1"/>
  <c r="K2264" i="13"/>
  <c r="L2264" i="13" s="1"/>
  <c r="I2265" i="13" s="1"/>
  <c r="J2449" i="14" a="1"/>
  <c r="J2449" i="14" s="1"/>
  <c r="N2450" i="14"/>
  <c r="M2453" i="13"/>
  <c r="M2454" i="14"/>
  <c r="J2450" i="13" a="1"/>
  <c r="J2450" i="13" s="1"/>
  <c r="N2451" i="13"/>
  <c r="K2265" i="13" l="1"/>
  <c r="L2265" i="13" s="1"/>
  <c r="I2266" i="13" s="1"/>
  <c r="K2287" i="14"/>
  <c r="L2287" i="14" s="1"/>
  <c r="I2288" i="14" s="1"/>
  <c r="M2455" i="14"/>
  <c r="J2451" i="13" a="1"/>
  <c r="J2451" i="13" s="1"/>
  <c r="N2452" i="13"/>
  <c r="M2454" i="13"/>
  <c r="J2450" i="14" a="1"/>
  <c r="J2450" i="14" s="1"/>
  <c r="N2451" i="14"/>
  <c r="K2288" i="14" l="1"/>
  <c r="L2288" i="14" s="1"/>
  <c r="I2289" i="14" s="1"/>
  <c r="K2266" i="13"/>
  <c r="L2266" i="13" s="1"/>
  <c r="I2267" i="13" s="1"/>
  <c r="N2452" i="14"/>
  <c r="J2451" i="14" a="1"/>
  <c r="J2451" i="14" s="1"/>
  <c r="J2452" i="13" a="1"/>
  <c r="J2452" i="13" s="1"/>
  <c r="N2453" i="13"/>
  <c r="M2455" i="13"/>
  <c r="M2456" i="14"/>
  <c r="K2289" i="14" l="1"/>
  <c r="L2289" i="14" s="1"/>
  <c r="I2290" i="14" s="1"/>
  <c r="N2454" i="13"/>
  <c r="J2453" i="13" a="1"/>
  <c r="J2453" i="13" s="1"/>
  <c r="M2457" i="14"/>
  <c r="K2267" i="13"/>
  <c r="L2267" i="13" s="1"/>
  <c r="I2268" i="13" s="1"/>
  <c r="M2456" i="13"/>
  <c r="J2452" i="14" a="1"/>
  <c r="J2452" i="14" s="1"/>
  <c r="N2453" i="14"/>
  <c r="K2268" i="13" l="1"/>
  <c r="L2268" i="13" s="1"/>
  <c r="I2269" i="13" s="1"/>
  <c r="K2290" i="14"/>
  <c r="L2290" i="14" s="1"/>
  <c r="I2291" i="14" s="1"/>
  <c r="J2454" i="13" a="1"/>
  <c r="J2454" i="13" s="1"/>
  <c r="N2455" i="13"/>
  <c r="J2453" i="14" a="1"/>
  <c r="J2453" i="14" s="1"/>
  <c r="N2454" i="14"/>
  <c r="M2457" i="13"/>
  <c r="M2458" i="14"/>
  <c r="K2269" i="13" l="1"/>
  <c r="L2269" i="13" s="1"/>
  <c r="I2270" i="13" s="1"/>
  <c r="M2459" i="14"/>
  <c r="N2455" i="14"/>
  <c r="J2454" i="14" a="1"/>
  <c r="J2454" i="14" s="1"/>
  <c r="K2291" i="14"/>
  <c r="L2291" i="14" s="1"/>
  <c r="I2292" i="14" s="1"/>
  <c r="J2455" i="13" a="1"/>
  <c r="J2455" i="13" s="1"/>
  <c r="N2456" i="13"/>
  <c r="M2458" i="13"/>
  <c r="K2292" i="14" l="1"/>
  <c r="L2292" i="14" s="1"/>
  <c r="I2293" i="14" s="1"/>
  <c r="K2270" i="13"/>
  <c r="L2270" i="13" s="1"/>
  <c r="I2271" i="13" s="1"/>
  <c r="M2459" i="13"/>
  <c r="M2460" i="14"/>
  <c r="J2456" i="13" a="1"/>
  <c r="J2456" i="13" s="1"/>
  <c r="N2457" i="13"/>
  <c r="N2456" i="14"/>
  <c r="J2455" i="14" a="1"/>
  <c r="J2455" i="14" s="1"/>
  <c r="K2293" i="14" l="1"/>
  <c r="L2293" i="14" s="1"/>
  <c r="I2294" i="14" s="1"/>
  <c r="J2456" i="14" a="1"/>
  <c r="J2456" i="14" s="1"/>
  <c r="N2457" i="14"/>
  <c r="M2461" i="14"/>
  <c r="K2271" i="13"/>
  <c r="L2271" i="13" s="1"/>
  <c r="I2272" i="13" s="1"/>
  <c r="N2458" i="13"/>
  <c r="J2457" i="13" a="1"/>
  <c r="J2457" i="13" s="1"/>
  <c r="M2460" i="13"/>
  <c r="K2272" i="13" l="1"/>
  <c r="L2272" i="13" s="1"/>
  <c r="I2273" i="13" s="1"/>
  <c r="K2294" i="14"/>
  <c r="L2294" i="14" s="1"/>
  <c r="I2295" i="14" s="1"/>
  <c r="M2461" i="13"/>
  <c r="J2457" i="14" a="1"/>
  <c r="J2457" i="14" s="1"/>
  <c r="N2458" i="14"/>
  <c r="J2458" i="13" a="1"/>
  <c r="J2458" i="13" s="1"/>
  <c r="N2459" i="13"/>
  <c r="M2462" i="14"/>
  <c r="K2273" i="13" l="1"/>
  <c r="L2273" i="13" s="1"/>
  <c r="I2274" i="13" s="1"/>
  <c r="J2458" i="14" a="1"/>
  <c r="J2458" i="14" s="1"/>
  <c r="N2459" i="14"/>
  <c r="M2463" i="14"/>
  <c r="K2295" i="14"/>
  <c r="L2295" i="14" s="1"/>
  <c r="I2296" i="14" s="1"/>
  <c r="J2459" i="13" a="1"/>
  <c r="J2459" i="13" s="1"/>
  <c r="N2460" i="13"/>
  <c r="M2462" i="13"/>
  <c r="K2296" i="14" l="1"/>
  <c r="L2296" i="14" s="1"/>
  <c r="I2297" i="14" s="1"/>
  <c r="K2274" i="13"/>
  <c r="L2274" i="13" s="1"/>
  <c r="I2275" i="13" s="1"/>
  <c r="N2460" i="14"/>
  <c r="J2459" i="14" a="1"/>
  <c r="J2459" i="14" s="1"/>
  <c r="M2463" i="13"/>
  <c r="J2460" i="13" a="1"/>
  <c r="J2460" i="13" s="1"/>
  <c r="N2461" i="13"/>
  <c r="M2464" i="14"/>
  <c r="K2297" i="14" l="1"/>
  <c r="L2297" i="14" s="1"/>
  <c r="I2298" i="14" s="1"/>
  <c r="M2464" i="13"/>
  <c r="M2465" i="14"/>
  <c r="K2275" i="13"/>
  <c r="L2275" i="13" s="1"/>
  <c r="I2276" i="13" s="1"/>
  <c r="N2462" i="13"/>
  <c r="J2461" i="13" a="1"/>
  <c r="J2461" i="13" s="1"/>
  <c r="J2460" i="14" a="1"/>
  <c r="J2460" i="14" s="1"/>
  <c r="N2461" i="14"/>
  <c r="K2276" i="13" l="1"/>
  <c r="L2276" i="13" s="1"/>
  <c r="I2277" i="13" s="1"/>
  <c r="K2298" i="14"/>
  <c r="L2298" i="14" s="1"/>
  <c r="I2299" i="14" s="1"/>
  <c r="J2461" i="14" a="1"/>
  <c r="J2461" i="14" s="1"/>
  <c r="N2462" i="14"/>
  <c r="M2465" i="13"/>
  <c r="J2462" i="13" a="1"/>
  <c r="J2462" i="13" s="1"/>
  <c r="N2463" i="13"/>
  <c r="M2466" i="14"/>
  <c r="K2299" i="14" l="1"/>
  <c r="L2299" i="14" s="1"/>
  <c r="I2300" i="14" s="1"/>
  <c r="K2277" i="13"/>
  <c r="L2277" i="13" s="1"/>
  <c r="I2278" i="13" s="1"/>
  <c r="N2463" i="14"/>
  <c r="J2462" i="14" a="1"/>
  <c r="J2462" i="14" s="1"/>
  <c r="M2467" i="14"/>
  <c r="M2466" i="13"/>
  <c r="J2463" i="13" a="1"/>
  <c r="J2463" i="13" s="1"/>
  <c r="N2464" i="13"/>
  <c r="K2278" i="13" l="1"/>
  <c r="L2278" i="13" s="1"/>
  <c r="I2279" i="13" s="1"/>
  <c r="K2300" i="14"/>
  <c r="L2300" i="14" s="1"/>
  <c r="I2301" i="14" s="1"/>
  <c r="M2467" i="13"/>
  <c r="J2464" i="13" a="1"/>
  <c r="J2464" i="13" s="1"/>
  <c r="N2465" i="13"/>
  <c r="M2468" i="14"/>
  <c r="N2464" i="14"/>
  <c r="J2463" i="14" a="1"/>
  <c r="J2463" i="14" s="1"/>
  <c r="K2301" i="14" l="1"/>
  <c r="L2301" i="14" s="1"/>
  <c r="I2302" i="14" s="1"/>
  <c r="K2279" i="13"/>
  <c r="L2279" i="13" s="1"/>
  <c r="I2280" i="13" s="1"/>
  <c r="N2466" i="13"/>
  <c r="J2465" i="13" a="1"/>
  <c r="J2465" i="13" s="1"/>
  <c r="J2464" i="14" a="1"/>
  <c r="J2464" i="14" s="1"/>
  <c r="N2465" i="14"/>
  <c r="M2469" i="14"/>
  <c r="M2468" i="13"/>
  <c r="K2302" i="14" l="1"/>
  <c r="L2302" i="14" s="1"/>
  <c r="I2303" i="14" s="1"/>
  <c r="K2280" i="13"/>
  <c r="L2280" i="13" s="1"/>
  <c r="I2281" i="13" s="1"/>
  <c r="M2469" i="13"/>
  <c r="J2465" i="14" a="1"/>
  <c r="J2465" i="14" s="1"/>
  <c r="N2466" i="14"/>
  <c r="M2470" i="14"/>
  <c r="J2466" i="13" a="1"/>
  <c r="J2466" i="13" s="1"/>
  <c r="N2467" i="13"/>
  <c r="K2303" i="14" l="1"/>
  <c r="L2303" i="14" s="1"/>
  <c r="I2304" i="14" s="1"/>
  <c r="J2466" i="14" a="1"/>
  <c r="J2466" i="14" s="1"/>
  <c r="N2467" i="14"/>
  <c r="J2467" i="13" a="1"/>
  <c r="J2467" i="13" s="1"/>
  <c r="N2468" i="13"/>
  <c r="K2281" i="13"/>
  <c r="L2281" i="13" s="1"/>
  <c r="I2282" i="13" s="1"/>
  <c r="M2471" i="14"/>
  <c r="M2470" i="13"/>
  <c r="K2304" i="14" l="1"/>
  <c r="L2304" i="14" s="1"/>
  <c r="I2305" i="14" s="1"/>
  <c r="M2472" i="14"/>
  <c r="N2468" i="14"/>
  <c r="J2467" i="14" a="1"/>
  <c r="J2467" i="14" s="1"/>
  <c r="M2471" i="13"/>
  <c r="K2282" i="13"/>
  <c r="L2282" i="13" s="1"/>
  <c r="I2283" i="13" s="1"/>
  <c r="J2468" i="13" a="1"/>
  <c r="J2468" i="13" s="1"/>
  <c r="N2469" i="13"/>
  <c r="K2283" i="13" l="1"/>
  <c r="L2283" i="13" s="1"/>
  <c r="I2284" i="13" s="1"/>
  <c r="K2305" i="14"/>
  <c r="L2305" i="14" s="1"/>
  <c r="I2306" i="14" s="1"/>
  <c r="N2470" i="13"/>
  <c r="J2469" i="13" a="1"/>
  <c r="J2469" i="13" s="1"/>
  <c r="M2472" i="13"/>
  <c r="M2473" i="14"/>
  <c r="J2468" i="14" a="1"/>
  <c r="J2468" i="14" s="1"/>
  <c r="N2469" i="14"/>
  <c r="K2284" i="13" l="1"/>
  <c r="L2284" i="13" s="1"/>
  <c r="I2285" i="13" s="1"/>
  <c r="J2469" i="14" a="1"/>
  <c r="J2469" i="14" s="1"/>
  <c r="N2470" i="14"/>
  <c r="M2473" i="13"/>
  <c r="K2306" i="14"/>
  <c r="L2306" i="14" s="1"/>
  <c r="I2307" i="14" s="1"/>
  <c r="M2474" i="14"/>
  <c r="J2470" i="13" a="1"/>
  <c r="J2470" i="13" s="1"/>
  <c r="N2471" i="13"/>
  <c r="K2307" i="14" l="1"/>
  <c r="L2307" i="14" s="1"/>
  <c r="I2308" i="14" s="1"/>
  <c r="K2285" i="13"/>
  <c r="L2285" i="13" s="1"/>
  <c r="I2286" i="13" s="1"/>
  <c r="N2471" i="14"/>
  <c r="J2470" i="14" a="1"/>
  <c r="J2470" i="14" s="1"/>
  <c r="J2471" i="13" a="1"/>
  <c r="J2471" i="13" s="1"/>
  <c r="N2472" i="13"/>
  <c r="M2475" i="14"/>
  <c r="M2474" i="13"/>
  <c r="K2308" i="14" l="1"/>
  <c r="L2308" i="14" s="1"/>
  <c r="I2309" i="14" s="1"/>
  <c r="M2476" i="14"/>
  <c r="J2472" i="13" a="1"/>
  <c r="J2472" i="13" s="1"/>
  <c r="N2473" i="13"/>
  <c r="K2286" i="13"/>
  <c r="L2286" i="13" s="1"/>
  <c r="I2287" i="13" s="1"/>
  <c r="M2475" i="13"/>
  <c r="N2472" i="14"/>
  <c r="J2471" i="14" a="1"/>
  <c r="J2471" i="14" s="1"/>
  <c r="K2309" i="14" l="1"/>
  <c r="L2309" i="14" s="1"/>
  <c r="I2310" i="14" s="1"/>
  <c r="K2287" i="13"/>
  <c r="L2287" i="13" s="1"/>
  <c r="I2288" i="13" s="1"/>
  <c r="M2476" i="13"/>
  <c r="M2477" i="14"/>
  <c r="J2472" i="14" a="1"/>
  <c r="J2472" i="14" s="1"/>
  <c r="N2473" i="14"/>
  <c r="N2474" i="13"/>
  <c r="J2473" i="13" a="1"/>
  <c r="J2473" i="13" s="1"/>
  <c r="K2310" i="14" l="1"/>
  <c r="L2310" i="14" s="1"/>
  <c r="I2311" i="14" s="1"/>
  <c r="K2288" i="13"/>
  <c r="L2288" i="13" s="1"/>
  <c r="I2289" i="13" s="1"/>
  <c r="J2474" i="13" a="1"/>
  <c r="J2474" i="13" s="1"/>
  <c r="N2475" i="13"/>
  <c r="M2478" i="14"/>
  <c r="J2473" i="14" a="1"/>
  <c r="J2473" i="14" s="1"/>
  <c r="N2474" i="14"/>
  <c r="M2477" i="13"/>
  <c r="K2289" i="13" l="1"/>
  <c r="L2289" i="13" s="1"/>
  <c r="I2290" i="13" s="1"/>
  <c r="K2311" i="14"/>
  <c r="L2311" i="14" s="1"/>
  <c r="I2312" i="14" s="1"/>
  <c r="J2475" i="13" a="1"/>
  <c r="J2475" i="13" s="1"/>
  <c r="N2476" i="13"/>
  <c r="M2479" i="14"/>
  <c r="M2478" i="13"/>
  <c r="J2474" i="14" a="1"/>
  <c r="J2474" i="14" s="1"/>
  <c r="N2475" i="14"/>
  <c r="K2312" i="14" l="1"/>
  <c r="L2312" i="14" s="1"/>
  <c r="I2313" i="14" s="1"/>
  <c r="K2290" i="13"/>
  <c r="L2290" i="13" s="1"/>
  <c r="I2291" i="13" s="1"/>
  <c r="N2476" i="14"/>
  <c r="J2475" i="14" a="1"/>
  <c r="J2475" i="14" s="1"/>
  <c r="M2480" i="14"/>
  <c r="J2476" i="13" a="1"/>
  <c r="J2476" i="13" s="1"/>
  <c r="N2477" i="13"/>
  <c r="M2479" i="13"/>
  <c r="K2313" i="14" l="1"/>
  <c r="L2313" i="14" s="1"/>
  <c r="I2314" i="14" s="1"/>
  <c r="M2480" i="13"/>
  <c r="K2291" i="13"/>
  <c r="L2291" i="13" s="1"/>
  <c r="I2292" i="13" s="1"/>
  <c r="N2478" i="13"/>
  <c r="J2477" i="13" a="1"/>
  <c r="J2477" i="13" s="1"/>
  <c r="M2481" i="14"/>
  <c r="J2476" i="14" a="1"/>
  <c r="J2476" i="14" s="1"/>
  <c r="N2477" i="14"/>
  <c r="K2292" i="13" l="1"/>
  <c r="L2292" i="13" s="1"/>
  <c r="I2293" i="13" s="1"/>
  <c r="K2314" i="14"/>
  <c r="L2314" i="14" s="1"/>
  <c r="I2315" i="14" s="1"/>
  <c r="J2477" i="14" a="1"/>
  <c r="J2477" i="14" s="1"/>
  <c r="N2478" i="14"/>
  <c r="M2481" i="13"/>
  <c r="J2478" i="13" a="1"/>
  <c r="J2478" i="13" s="1"/>
  <c r="N2479" i="13"/>
  <c r="M2482" i="14"/>
  <c r="K2293" i="13" l="1"/>
  <c r="L2293" i="13" s="1"/>
  <c r="I2294" i="13" s="1"/>
  <c r="M2483" i="14"/>
  <c r="M2482" i="13"/>
  <c r="K2315" i="14"/>
  <c r="L2315" i="14" s="1"/>
  <c r="I2316" i="14" s="1"/>
  <c r="J2479" i="13" a="1"/>
  <c r="J2479" i="13" s="1"/>
  <c r="N2480" i="13"/>
  <c r="N2479" i="14"/>
  <c r="J2478" i="14" a="1"/>
  <c r="J2478" i="14" s="1"/>
  <c r="K2294" i="13" l="1"/>
  <c r="L2294" i="13" s="1"/>
  <c r="I2295" i="13" s="1"/>
  <c r="N2480" i="14"/>
  <c r="J2479" i="14" a="1"/>
  <c r="J2479" i="14" s="1"/>
  <c r="K2316" i="14"/>
  <c r="L2316" i="14" s="1"/>
  <c r="I2317" i="14" s="1"/>
  <c r="M2484" i="14"/>
  <c r="J2480" i="13" a="1"/>
  <c r="J2480" i="13" s="1"/>
  <c r="N2481" i="13"/>
  <c r="M2483" i="13"/>
  <c r="K2317" i="14" l="1"/>
  <c r="L2317" i="14" s="1"/>
  <c r="I2318" i="14" s="1"/>
  <c r="K2295" i="13"/>
  <c r="L2295" i="13" s="1"/>
  <c r="I2296" i="13" s="1"/>
  <c r="M2484" i="13"/>
  <c r="M2485" i="14"/>
  <c r="J2480" i="14" a="1"/>
  <c r="J2480" i="14" s="1"/>
  <c r="N2481" i="14"/>
  <c r="N2482" i="13"/>
  <c r="J2481" i="13" a="1"/>
  <c r="J2481" i="13" s="1"/>
  <c r="K2296" i="13" l="1"/>
  <c r="L2296" i="13" s="1"/>
  <c r="I2297" i="13" s="1"/>
  <c r="J2482" i="13" a="1"/>
  <c r="J2482" i="13" s="1"/>
  <c r="N2483" i="13"/>
  <c r="M2486" i="14"/>
  <c r="J2481" i="14" a="1"/>
  <c r="J2481" i="14" s="1"/>
  <c r="N2482" i="14"/>
  <c r="M2485" i="13"/>
  <c r="K2318" i="14"/>
  <c r="L2318" i="14" s="1"/>
  <c r="I2319" i="14" s="1"/>
  <c r="K2319" i="14" l="1"/>
  <c r="L2319" i="14" s="1"/>
  <c r="I2320" i="14" s="1"/>
  <c r="K2297" i="13"/>
  <c r="L2297" i="13" s="1"/>
  <c r="I2298" i="13" s="1"/>
  <c r="J2483" i="13" a="1"/>
  <c r="J2483" i="13" s="1"/>
  <c r="N2484" i="13"/>
  <c r="J2482" i="14" a="1"/>
  <c r="J2482" i="14" s="1"/>
  <c r="N2483" i="14"/>
  <c r="M2487" i="14"/>
  <c r="M2486" i="13"/>
  <c r="K2298" i="13" l="1"/>
  <c r="L2298" i="13" s="1"/>
  <c r="I2299" i="13" s="1"/>
  <c r="K2320" i="14"/>
  <c r="L2320" i="14" s="1"/>
  <c r="I2321" i="14" s="1"/>
  <c r="N2484" i="14"/>
  <c r="J2483" i="14" a="1"/>
  <c r="J2483" i="14" s="1"/>
  <c r="J2484" i="13" a="1"/>
  <c r="J2484" i="13" s="1"/>
  <c r="N2485" i="13"/>
  <c r="M2487" i="13"/>
  <c r="M2488" i="14"/>
  <c r="K2321" i="14" l="1"/>
  <c r="L2321" i="14" s="1"/>
  <c r="I2322" i="14" s="1"/>
  <c r="K2299" i="13"/>
  <c r="L2299" i="13" s="1"/>
  <c r="I2300" i="13" s="1"/>
  <c r="N2486" i="13"/>
  <c r="J2485" i="13" a="1"/>
  <c r="J2485" i="13" s="1"/>
  <c r="M2489" i="14"/>
  <c r="M2488" i="13"/>
  <c r="J2484" i="14" a="1"/>
  <c r="J2484" i="14" s="1"/>
  <c r="N2485" i="14"/>
  <c r="K2300" i="13" l="1"/>
  <c r="L2300" i="13" s="1"/>
  <c r="I2301" i="13" s="1"/>
  <c r="K2322" i="14"/>
  <c r="L2322" i="14" s="1"/>
  <c r="I2323" i="14" s="1"/>
  <c r="J2485" i="14" a="1"/>
  <c r="J2485" i="14" s="1"/>
  <c r="N2486" i="14"/>
  <c r="M2490" i="14"/>
  <c r="M2489" i="13"/>
  <c r="J2486" i="13" a="1"/>
  <c r="J2486" i="13" s="1"/>
  <c r="N2487" i="13"/>
  <c r="K2323" i="14" l="1"/>
  <c r="L2323" i="14" s="1"/>
  <c r="I2324" i="14" s="1"/>
  <c r="K2301" i="13"/>
  <c r="L2301" i="13" s="1"/>
  <c r="I2302" i="13" s="1"/>
  <c r="J2487" i="13" a="1"/>
  <c r="J2487" i="13" s="1"/>
  <c r="N2488" i="13"/>
  <c r="M2491" i="14"/>
  <c r="N2487" i="14"/>
  <c r="J2486" i="14" a="1"/>
  <c r="J2486" i="14" s="1"/>
  <c r="M2490" i="13"/>
  <c r="K2302" i="13" l="1"/>
  <c r="L2302" i="13" s="1"/>
  <c r="I2303" i="13" s="1"/>
  <c r="K2324" i="14"/>
  <c r="L2324" i="14" s="1"/>
  <c r="I2325" i="14" s="1"/>
  <c r="N2488" i="14"/>
  <c r="J2487" i="14" a="1"/>
  <c r="J2487" i="14" s="1"/>
  <c r="J2488" i="13" a="1"/>
  <c r="J2488" i="13" s="1"/>
  <c r="N2489" i="13"/>
  <c r="M2491" i="13"/>
  <c r="M2492" i="14"/>
  <c r="K2303" i="13" l="1"/>
  <c r="L2303" i="13" s="1"/>
  <c r="I2304" i="13" s="1"/>
  <c r="N2490" i="13"/>
  <c r="J2489" i="13" a="1"/>
  <c r="J2489" i="13" s="1"/>
  <c r="K2325" i="14"/>
  <c r="L2325" i="14" s="1"/>
  <c r="I2326" i="14" s="1"/>
  <c r="M2493" i="14"/>
  <c r="M2492" i="13"/>
  <c r="J2488" i="14" a="1"/>
  <c r="J2488" i="14" s="1"/>
  <c r="N2489" i="14"/>
  <c r="K2326" i="14" l="1"/>
  <c r="L2326" i="14" s="1"/>
  <c r="I2327" i="14" s="1"/>
  <c r="K2304" i="13"/>
  <c r="L2304" i="13" s="1"/>
  <c r="I2305" i="13" s="1"/>
  <c r="J2489" i="14" a="1"/>
  <c r="J2489" i="14" s="1"/>
  <c r="N2490" i="14"/>
  <c r="J2490" i="13" a="1"/>
  <c r="J2490" i="13" s="1"/>
  <c r="N2491" i="13"/>
  <c r="M2494" i="14"/>
  <c r="M2493" i="13"/>
  <c r="K2327" i="14" l="1"/>
  <c r="L2327" i="14" s="1"/>
  <c r="I2328" i="14" s="1"/>
  <c r="J2491" i="13" a="1"/>
  <c r="J2491" i="13" s="1"/>
  <c r="N2492" i="13"/>
  <c r="K2305" i="13"/>
  <c r="L2305" i="13" s="1"/>
  <c r="I2306" i="13" s="1"/>
  <c r="J2490" i="14" a="1"/>
  <c r="J2490" i="14" s="1"/>
  <c r="N2491" i="14"/>
  <c r="M2494" i="13"/>
  <c r="M2495" i="14"/>
  <c r="K2306" i="13" l="1"/>
  <c r="L2306" i="13" s="1"/>
  <c r="I2307" i="13" s="1"/>
  <c r="K2328" i="14"/>
  <c r="L2328" i="14" s="1"/>
  <c r="I2329" i="14" s="1"/>
  <c r="N2492" i="14"/>
  <c r="J2491" i="14" a="1"/>
  <c r="J2491" i="14" s="1"/>
  <c r="J2492" i="13" a="1"/>
  <c r="J2492" i="13" s="1"/>
  <c r="N2493" i="13"/>
  <c r="M2496" i="14"/>
  <c r="M2495" i="13"/>
  <c r="K2307" i="13" l="1"/>
  <c r="L2307" i="13" s="1"/>
  <c r="I2308" i="13" s="1"/>
  <c r="N2494" i="13"/>
  <c r="J2493" i="13" a="1"/>
  <c r="J2493" i="13" s="1"/>
  <c r="K2329" i="14"/>
  <c r="L2329" i="14" s="1"/>
  <c r="I2330" i="14" s="1"/>
  <c r="M2496" i="13"/>
  <c r="M2497" i="14"/>
  <c r="J2492" i="14" a="1"/>
  <c r="J2492" i="14" s="1"/>
  <c r="N2493" i="14"/>
  <c r="K2330" i="14" l="1"/>
  <c r="L2330" i="14" s="1"/>
  <c r="I2331" i="14" s="1"/>
  <c r="K2308" i="13"/>
  <c r="L2308" i="13" s="1"/>
  <c r="I2309" i="13" s="1"/>
  <c r="M2497" i="13"/>
  <c r="J2494" i="13" a="1"/>
  <c r="J2494" i="13" s="1"/>
  <c r="N2495" i="13"/>
  <c r="J2493" i="14" a="1"/>
  <c r="J2493" i="14" s="1"/>
  <c r="N2494" i="14"/>
  <c r="M2498" i="14"/>
  <c r="K2309" i="13" l="1"/>
  <c r="L2309" i="13" s="1"/>
  <c r="I2310" i="13" s="1"/>
  <c r="K2331" i="14"/>
  <c r="L2331" i="14" s="1"/>
  <c r="I2332" i="14" s="1"/>
  <c r="N2495" i="14"/>
  <c r="J2494" i="14" a="1"/>
  <c r="J2494" i="14" s="1"/>
  <c r="M2499" i="14"/>
  <c r="J2495" i="13" a="1"/>
  <c r="J2495" i="13" s="1"/>
  <c r="N2496" i="13"/>
  <c r="M2498" i="13"/>
  <c r="K2332" i="14" l="1"/>
  <c r="L2332" i="14" s="1"/>
  <c r="I2333" i="14" s="1"/>
  <c r="K2310" i="13"/>
  <c r="L2310" i="13" s="1"/>
  <c r="I2311" i="13" s="1"/>
  <c r="M2499" i="13"/>
  <c r="M2500" i="14"/>
  <c r="J2496" i="13" a="1"/>
  <c r="J2496" i="13" s="1"/>
  <c r="N2497" i="13"/>
  <c r="N2496" i="14"/>
  <c r="J2495" i="14" a="1"/>
  <c r="J2495" i="14" s="1"/>
  <c r="K2311" i="13" l="1"/>
  <c r="L2311" i="13" s="1"/>
  <c r="I2312" i="13" s="1"/>
  <c r="K2333" i="14"/>
  <c r="L2333" i="14" s="1"/>
  <c r="I2334" i="14" s="1"/>
  <c r="N2498" i="13"/>
  <c r="J2497" i="13" a="1"/>
  <c r="J2497" i="13" s="1"/>
  <c r="J2496" i="14" a="1"/>
  <c r="J2496" i="14" s="1"/>
  <c r="N2497" i="14"/>
  <c r="M2501" i="14"/>
  <c r="M2500" i="13"/>
  <c r="K2334" i="14" l="1"/>
  <c r="L2334" i="14" s="1"/>
  <c r="I2335" i="14" s="1"/>
  <c r="K2312" i="13"/>
  <c r="L2312" i="13" s="1"/>
  <c r="I2313" i="13" s="1"/>
  <c r="M2501" i="13"/>
  <c r="J2497" i="14" a="1"/>
  <c r="J2497" i="14" s="1"/>
  <c r="N2498" i="14"/>
  <c r="M2502" i="14"/>
  <c r="J2498" i="13" a="1"/>
  <c r="J2498" i="13" s="1"/>
  <c r="N2499" i="13"/>
  <c r="K2313" i="13" l="1"/>
  <c r="L2313" i="13" s="1"/>
  <c r="I2314" i="13" s="1"/>
  <c r="K2335" i="14"/>
  <c r="L2335" i="14" s="1"/>
  <c r="I2336" i="14" s="1"/>
  <c r="J2499" i="13" a="1"/>
  <c r="J2499" i="13" s="1"/>
  <c r="N2500" i="13"/>
  <c r="J2498" i="14" a="1"/>
  <c r="J2498" i="14" s="1"/>
  <c r="N2499" i="14"/>
  <c r="M2503" i="14"/>
  <c r="M2502" i="13"/>
  <c r="K2314" i="13" l="1"/>
  <c r="L2314" i="13" s="1"/>
  <c r="I2315" i="13" s="1"/>
  <c r="M2503" i="13"/>
  <c r="N2500" i="14"/>
  <c r="J2499" i="14" a="1"/>
  <c r="J2499" i="14" s="1"/>
  <c r="K2336" i="14"/>
  <c r="L2336" i="14" s="1"/>
  <c r="I2337" i="14" s="1"/>
  <c r="J2500" i="13" a="1"/>
  <c r="J2500" i="13" s="1"/>
  <c r="N2501" i="13"/>
  <c r="M2504" i="14"/>
  <c r="K2315" i="13" l="1"/>
  <c r="L2315" i="13" s="1"/>
  <c r="I2316" i="13" s="1"/>
  <c r="M2505" i="14"/>
  <c r="K2337" i="14"/>
  <c r="L2337" i="14" s="1"/>
  <c r="I2338" i="14" s="1"/>
  <c r="M2504" i="13"/>
  <c r="N2502" i="13"/>
  <c r="J2501" i="13" a="1"/>
  <c r="J2501" i="13" s="1"/>
  <c r="J2500" i="14" a="1"/>
  <c r="J2500" i="14" s="1"/>
  <c r="N2501" i="14"/>
  <c r="K2338" i="14" l="1"/>
  <c r="L2338" i="14" s="1"/>
  <c r="I2339" i="14" s="1"/>
  <c r="K2316" i="13"/>
  <c r="L2316" i="13" s="1"/>
  <c r="I2317" i="13" s="1"/>
  <c r="J2501" i="14" a="1"/>
  <c r="J2501" i="14" s="1"/>
  <c r="N2502" i="14"/>
  <c r="M2505" i="13"/>
  <c r="M2506" i="14"/>
  <c r="J2502" i="13" a="1"/>
  <c r="J2502" i="13" s="1"/>
  <c r="N2503" i="13"/>
  <c r="K2339" i="14" l="1"/>
  <c r="L2339" i="14" s="1"/>
  <c r="I2340" i="14" s="1"/>
  <c r="J2503" i="13" a="1"/>
  <c r="J2503" i="13" s="1"/>
  <c r="N2504" i="13"/>
  <c r="M2506" i="13"/>
  <c r="K2317" i="13"/>
  <c r="L2317" i="13" s="1"/>
  <c r="I2318" i="13" s="1"/>
  <c r="M2507" i="14"/>
  <c r="N2503" i="14"/>
  <c r="J2502" i="14" a="1"/>
  <c r="J2502" i="14" s="1"/>
  <c r="K2318" i="13" l="1"/>
  <c r="L2318" i="13" s="1"/>
  <c r="I2319" i="13" s="1"/>
  <c r="K2340" i="14"/>
  <c r="L2340" i="14" s="1"/>
  <c r="I2341" i="14" s="1"/>
  <c r="J2504" i="13" a="1"/>
  <c r="J2504" i="13" s="1"/>
  <c r="N2505" i="13"/>
  <c r="N2504" i="14"/>
  <c r="J2503" i="14" a="1"/>
  <c r="J2503" i="14" s="1"/>
  <c r="M2508" i="14"/>
  <c r="M2507" i="13"/>
  <c r="K2319" i="13" l="1"/>
  <c r="L2319" i="13" s="1"/>
  <c r="I2320" i="13" s="1"/>
  <c r="J2504" i="14" a="1"/>
  <c r="J2504" i="14" s="1"/>
  <c r="N2505" i="14"/>
  <c r="K2341" i="14"/>
  <c r="L2341" i="14" s="1"/>
  <c r="I2342" i="14" s="1"/>
  <c r="N2506" i="13"/>
  <c r="J2505" i="13" a="1"/>
  <c r="J2505" i="13" s="1"/>
  <c r="M2508" i="13"/>
  <c r="M2509" i="14"/>
  <c r="K2342" i="14" l="1"/>
  <c r="L2342" i="14" s="1"/>
  <c r="I2343" i="14" s="1"/>
  <c r="K2320" i="13"/>
  <c r="L2320" i="13" s="1"/>
  <c r="I2321" i="13" s="1"/>
  <c r="J2505" i="14" a="1"/>
  <c r="J2505" i="14" s="1"/>
  <c r="N2506" i="14"/>
  <c r="M2510" i="14"/>
  <c r="M2509" i="13"/>
  <c r="J2506" i="13" a="1"/>
  <c r="J2506" i="13" s="1"/>
  <c r="N2507" i="13"/>
  <c r="K2343" i="14" l="1"/>
  <c r="L2343" i="14" s="1"/>
  <c r="I2344" i="14" s="1"/>
  <c r="J2507" i="13" a="1"/>
  <c r="J2507" i="13" s="1"/>
  <c r="N2508" i="13"/>
  <c r="M2511" i="14"/>
  <c r="M2510" i="13"/>
  <c r="K2321" i="13"/>
  <c r="L2321" i="13" s="1"/>
  <c r="I2322" i="13" s="1"/>
  <c r="J2506" i="14" a="1"/>
  <c r="J2506" i="14" s="1"/>
  <c r="N2507" i="14"/>
  <c r="K2322" i="13" l="1"/>
  <c r="L2322" i="13" s="1"/>
  <c r="I2323" i="13" s="1"/>
  <c r="K2344" i="14"/>
  <c r="L2344" i="14" s="1"/>
  <c r="I2345" i="14" s="1"/>
  <c r="M2511" i="13"/>
  <c r="N2508" i="14"/>
  <c r="J2507" i="14" a="1"/>
  <c r="J2507" i="14" s="1"/>
  <c r="J2508" i="13" a="1"/>
  <c r="J2508" i="13" s="1"/>
  <c r="N2509" i="13"/>
  <c r="M2512" i="14"/>
  <c r="K2345" i="14" l="1"/>
  <c r="L2345" i="14" s="1"/>
  <c r="I2346" i="14" s="1"/>
  <c r="K2323" i="13"/>
  <c r="L2323" i="13" s="1"/>
  <c r="I2324" i="13" s="1"/>
  <c r="M2513" i="14"/>
  <c r="J2508" i="14" a="1"/>
  <c r="J2508" i="14" s="1"/>
  <c r="N2509" i="14"/>
  <c r="N2510" i="13"/>
  <c r="J2509" i="13" a="1"/>
  <c r="J2509" i="13" s="1"/>
  <c r="M2512" i="13"/>
  <c r="K2324" i="13" l="1"/>
  <c r="L2324" i="13" s="1"/>
  <c r="I2325" i="13" s="1"/>
  <c r="K2346" i="14"/>
  <c r="L2346" i="14" s="1"/>
  <c r="I2347" i="14" s="1"/>
  <c r="J2509" i="14" a="1"/>
  <c r="J2509" i="14" s="1"/>
  <c r="N2510" i="14"/>
  <c r="M2513" i="13"/>
  <c r="J2510" i="13" a="1"/>
  <c r="J2510" i="13" s="1"/>
  <c r="N2511" i="13"/>
  <c r="M2514" i="14"/>
  <c r="K2325" i="13" l="1"/>
  <c r="L2325" i="13" s="1"/>
  <c r="I2326" i="13" s="1"/>
  <c r="M2515" i="14"/>
  <c r="M2514" i="13"/>
  <c r="K2347" i="14"/>
  <c r="L2347" i="14" s="1"/>
  <c r="I2348" i="14" s="1"/>
  <c r="N2511" i="14"/>
  <c r="J2510" i="14" a="1"/>
  <c r="J2510" i="14" s="1"/>
  <c r="J2511" i="13" a="1"/>
  <c r="J2511" i="13" s="1"/>
  <c r="N2512" i="13"/>
  <c r="K2326" i="13" l="1"/>
  <c r="L2326" i="13" s="1"/>
  <c r="I2327" i="13" s="1"/>
  <c r="K2348" i="14"/>
  <c r="L2348" i="14" s="1"/>
  <c r="I2349" i="14" s="1"/>
  <c r="J2512" i="13" a="1"/>
  <c r="J2512" i="13" s="1"/>
  <c r="N2513" i="13"/>
  <c r="M2516" i="14"/>
  <c r="N2512" i="14"/>
  <c r="J2511" i="14" a="1"/>
  <c r="J2511" i="14" s="1"/>
  <c r="M2515" i="13"/>
  <c r="K2327" i="13" l="1"/>
  <c r="L2327" i="13" s="1"/>
  <c r="I2328" i="13" s="1"/>
  <c r="M2516" i="13"/>
  <c r="M2517" i="14"/>
  <c r="N2514" i="13"/>
  <c r="J2513" i="13" a="1"/>
  <c r="J2513" i="13" s="1"/>
  <c r="K2349" i="14"/>
  <c r="L2349" i="14" s="1"/>
  <c r="I2350" i="14" s="1"/>
  <c r="J2512" i="14" a="1"/>
  <c r="J2512" i="14" s="1"/>
  <c r="N2513" i="14"/>
  <c r="K2328" i="13" l="1"/>
  <c r="L2328" i="13" s="1"/>
  <c r="I2329" i="13" s="1"/>
  <c r="K2350" i="14"/>
  <c r="L2350" i="14" s="1"/>
  <c r="I2351" i="14" s="1"/>
  <c r="M2517" i="13"/>
  <c r="J2514" i="13" a="1"/>
  <c r="J2514" i="13" s="1"/>
  <c r="N2515" i="13"/>
  <c r="J2513" i="14" a="1"/>
  <c r="J2513" i="14" s="1"/>
  <c r="N2514" i="14"/>
  <c r="M2518" i="14"/>
  <c r="K2351" i="14" l="1"/>
  <c r="L2351" i="14" s="1"/>
  <c r="I2352" i="14" s="1"/>
  <c r="K2329" i="13"/>
  <c r="L2329" i="13" s="1"/>
  <c r="I2330" i="13" s="1"/>
  <c r="M2519" i="14"/>
  <c r="J2515" i="13" a="1"/>
  <c r="J2515" i="13" s="1"/>
  <c r="N2516" i="13"/>
  <c r="J2514" i="14" a="1"/>
  <c r="J2514" i="14" s="1"/>
  <c r="N2515" i="14"/>
  <c r="M2518" i="13"/>
  <c r="K2330" i="13" l="1"/>
  <c r="L2330" i="13" s="1"/>
  <c r="I2331" i="13" s="1"/>
  <c r="K2352" i="14"/>
  <c r="L2352" i="14" s="1"/>
  <c r="I2353" i="14" s="1"/>
  <c r="J2516" i="13" a="1"/>
  <c r="J2516" i="13" s="1"/>
  <c r="N2517" i="13"/>
  <c r="N2516" i="14"/>
  <c r="J2515" i="14" a="1"/>
  <c r="J2515" i="14" s="1"/>
  <c r="M2519" i="13"/>
  <c r="M2520" i="14"/>
  <c r="K2353" i="14" l="1"/>
  <c r="L2353" i="14" s="1"/>
  <c r="I2354" i="14" s="1"/>
  <c r="K2331" i="13"/>
  <c r="L2331" i="13" s="1"/>
  <c r="I2332" i="13" s="1"/>
  <c r="M2521" i="14"/>
  <c r="J2516" i="14" a="1"/>
  <c r="J2516" i="14" s="1"/>
  <c r="N2517" i="14"/>
  <c r="N2518" i="13"/>
  <c r="J2517" i="13" a="1"/>
  <c r="J2517" i="13" s="1"/>
  <c r="M2520" i="13"/>
  <c r="K2354" i="14" l="1"/>
  <c r="L2354" i="14" s="1"/>
  <c r="I2355" i="14" s="1"/>
  <c r="J2517" i="14" a="1"/>
  <c r="J2517" i="14" s="1"/>
  <c r="N2518" i="14"/>
  <c r="K2332" i="13"/>
  <c r="L2332" i="13" s="1"/>
  <c r="I2333" i="13" s="1"/>
  <c r="M2522" i="14"/>
  <c r="M2521" i="13"/>
  <c r="J2518" i="13" a="1"/>
  <c r="J2518" i="13" s="1"/>
  <c r="N2519" i="13"/>
  <c r="K2333" i="13" l="1"/>
  <c r="L2333" i="13" s="1"/>
  <c r="I2334" i="13" s="1"/>
  <c r="K2355" i="14"/>
  <c r="L2355" i="14" s="1"/>
  <c r="I2356" i="14" s="1"/>
  <c r="J2519" i="13" a="1"/>
  <c r="J2519" i="13" s="1"/>
  <c r="N2520" i="13"/>
  <c r="M2523" i="14"/>
  <c r="N2519" i="14"/>
  <c r="J2518" i="14" a="1"/>
  <c r="J2518" i="14" s="1"/>
  <c r="M2522" i="13"/>
  <c r="K2334" i="13" l="1"/>
  <c r="L2334" i="13" s="1"/>
  <c r="I2335" i="13" s="1"/>
  <c r="K2356" i="14"/>
  <c r="L2356" i="14" s="1"/>
  <c r="I2357" i="14" s="1"/>
  <c r="J2520" i="13" a="1"/>
  <c r="J2520" i="13" s="1"/>
  <c r="N2521" i="13"/>
  <c r="N2520" i="14"/>
  <c r="J2519" i="14" a="1"/>
  <c r="J2519" i="14" s="1"/>
  <c r="M2523" i="13"/>
  <c r="M2524" i="14"/>
  <c r="K2357" i="14" l="1"/>
  <c r="L2357" i="14" s="1"/>
  <c r="I2358" i="14" s="1"/>
  <c r="K2335" i="13"/>
  <c r="L2335" i="13" s="1"/>
  <c r="I2336" i="13" s="1"/>
  <c r="M2525" i="14"/>
  <c r="J2520" i="14" a="1"/>
  <c r="J2520" i="14" s="1"/>
  <c r="N2521" i="14"/>
  <c r="N2522" i="13"/>
  <c r="J2521" i="13" a="1"/>
  <c r="J2521" i="13" s="1"/>
  <c r="M2524" i="13"/>
  <c r="K2336" i="13" l="1"/>
  <c r="L2336" i="13" s="1"/>
  <c r="I2337" i="13" s="1"/>
  <c r="K2358" i="14"/>
  <c r="L2358" i="14" s="1"/>
  <c r="I2359" i="14" s="1"/>
  <c r="J2521" i="14" a="1"/>
  <c r="J2521" i="14" s="1"/>
  <c r="N2522" i="14"/>
  <c r="M2525" i="13"/>
  <c r="J2522" i="13" a="1"/>
  <c r="J2522" i="13" s="1"/>
  <c r="N2523" i="13"/>
  <c r="M2526" i="14"/>
  <c r="M2527" i="14" l="1"/>
  <c r="M2526" i="13"/>
  <c r="K2359" i="14"/>
  <c r="L2359" i="14" s="1"/>
  <c r="I2360" i="14" s="1"/>
  <c r="J2523" i="13" a="1"/>
  <c r="J2523" i="13" s="1"/>
  <c r="N2524" i="13"/>
  <c r="J2522" i="14" a="1"/>
  <c r="J2522" i="14" s="1"/>
  <c r="N2523" i="14"/>
  <c r="K2337" i="13"/>
  <c r="L2337" i="13" s="1"/>
  <c r="I2338" i="13" s="1"/>
  <c r="K2360" i="14" l="1"/>
  <c r="L2360" i="14" s="1"/>
  <c r="I2361" i="14" s="1"/>
  <c r="J2524" i="13" a="1"/>
  <c r="J2524" i="13" s="1"/>
  <c r="N2525" i="13"/>
  <c r="M2527" i="13"/>
  <c r="K2338" i="13"/>
  <c r="L2338" i="13" s="1"/>
  <c r="I2339" i="13" s="1"/>
  <c r="N2524" i="14"/>
  <c r="J2523" i="14" a="1"/>
  <c r="J2523" i="14" s="1"/>
  <c r="M2528" i="14"/>
  <c r="K2339" i="13" l="1"/>
  <c r="L2339" i="13" s="1"/>
  <c r="I2340" i="13" s="1"/>
  <c r="K2361" i="14"/>
  <c r="L2361" i="14" s="1"/>
  <c r="I2362" i="14" s="1"/>
  <c r="N2526" i="13"/>
  <c r="J2525" i="13" a="1"/>
  <c r="J2525" i="13" s="1"/>
  <c r="M2529" i="14"/>
  <c r="J2524" i="14" a="1"/>
  <c r="J2524" i="14" s="1"/>
  <c r="N2525" i="14"/>
  <c r="M2528" i="13"/>
  <c r="K2362" i="14" l="1"/>
  <c r="L2362" i="14" s="1"/>
  <c r="I2363" i="14" s="1"/>
  <c r="K2340" i="13"/>
  <c r="L2340" i="13" s="1"/>
  <c r="I2341" i="13" s="1"/>
  <c r="J2525" i="14" a="1"/>
  <c r="J2525" i="14" s="1"/>
  <c r="N2526" i="14"/>
  <c r="J2526" i="13" a="1"/>
  <c r="J2526" i="13" s="1"/>
  <c r="N2527" i="13"/>
  <c r="M2529" i="13"/>
  <c r="M2530" i="14"/>
  <c r="K2341" i="13" l="1"/>
  <c r="L2341" i="13" s="1"/>
  <c r="I2342" i="13" s="1"/>
  <c r="K2363" i="14"/>
  <c r="L2363" i="14" s="1"/>
  <c r="I2364" i="14" s="1"/>
  <c r="J2527" i="13" a="1"/>
  <c r="J2527" i="13" s="1"/>
  <c r="N2528" i="13"/>
  <c r="M2530" i="13"/>
  <c r="M2531" i="14"/>
  <c r="J2526" i="14" a="1"/>
  <c r="J2526" i="14" s="1"/>
  <c r="N2527" i="14"/>
  <c r="K2364" i="14" l="1"/>
  <c r="L2364" i="14" s="1"/>
  <c r="I2365" i="14" s="1"/>
  <c r="K2342" i="13"/>
  <c r="L2342" i="13" s="1"/>
  <c r="I2343" i="13" s="1"/>
  <c r="M2532" i="14"/>
  <c r="N2528" i="14"/>
  <c r="J2527" i="14" a="1"/>
  <c r="J2527" i="14" s="1"/>
  <c r="M2531" i="13"/>
  <c r="J2528" i="13" a="1"/>
  <c r="J2528" i="13" s="1"/>
  <c r="N2529" i="13"/>
  <c r="K2365" i="14" l="1"/>
  <c r="L2365" i="14" s="1"/>
  <c r="I2366" i="14" s="1"/>
  <c r="K2343" i="13"/>
  <c r="L2343" i="13" s="1"/>
  <c r="I2344" i="13" s="1"/>
  <c r="J2528" i="14" a="1"/>
  <c r="J2528" i="14" s="1"/>
  <c r="N2529" i="14"/>
  <c r="N2530" i="13"/>
  <c r="J2529" i="13" a="1"/>
  <c r="J2529" i="13" s="1"/>
  <c r="M2532" i="13"/>
  <c r="M2533" i="14"/>
  <c r="K2344" i="13" l="1"/>
  <c r="L2344" i="13" s="1"/>
  <c r="I2345" i="13" s="1"/>
  <c r="K2366" i="14"/>
  <c r="L2366" i="14" s="1"/>
  <c r="I2367" i="14" s="1"/>
  <c r="M2533" i="13"/>
  <c r="J2529" i="14" a="1"/>
  <c r="J2529" i="14" s="1"/>
  <c r="N2530" i="14"/>
  <c r="M2534" i="14"/>
  <c r="J2530" i="13" a="1"/>
  <c r="J2530" i="13" s="1"/>
  <c r="N2531" i="13"/>
  <c r="K2367" i="14" l="1"/>
  <c r="L2367" i="14" s="1"/>
  <c r="I2368" i="14" s="1"/>
  <c r="K2345" i="13"/>
  <c r="L2345" i="13" s="1"/>
  <c r="I2346" i="13" s="1"/>
  <c r="J2530" i="14" a="1"/>
  <c r="J2530" i="14" s="1"/>
  <c r="N2531" i="14"/>
  <c r="J2531" i="13" a="1"/>
  <c r="J2531" i="13" s="1"/>
  <c r="N2532" i="13"/>
  <c r="M2535" i="14"/>
  <c r="M2534" i="13"/>
  <c r="K2368" i="14" l="1"/>
  <c r="L2368" i="14" s="1"/>
  <c r="I2369" i="14" s="1"/>
  <c r="M2536" i="14"/>
  <c r="J2532" i="13" a="1"/>
  <c r="J2532" i="13" s="1"/>
  <c r="N2533" i="13"/>
  <c r="K2346" i="13"/>
  <c r="L2346" i="13" s="1"/>
  <c r="I2347" i="13" s="1"/>
  <c r="M2535" i="13"/>
  <c r="N2532" i="14"/>
  <c r="J2531" i="14" a="1"/>
  <c r="J2531" i="14" s="1"/>
  <c r="K2347" i="13" l="1"/>
  <c r="L2347" i="13" s="1"/>
  <c r="I2348" i="13" s="1"/>
  <c r="K2369" i="14"/>
  <c r="L2369" i="14" s="1"/>
  <c r="I2370" i="14" s="1"/>
  <c r="M2536" i="13"/>
  <c r="J2532" i="14" a="1"/>
  <c r="J2532" i="14" s="1"/>
  <c r="N2533" i="14"/>
  <c r="M2537" i="14"/>
  <c r="N2534" i="13"/>
  <c r="J2533" i="13" a="1"/>
  <c r="J2533" i="13" s="1"/>
  <c r="K2348" i="13" l="1"/>
  <c r="L2348" i="13" s="1"/>
  <c r="I2349" i="13" s="1"/>
  <c r="J2533" i="14" a="1"/>
  <c r="J2533" i="14" s="1"/>
  <c r="N2534" i="14"/>
  <c r="K2370" i="14"/>
  <c r="L2370" i="14" s="1"/>
  <c r="I2371" i="14" s="1"/>
  <c r="J2534" i="13" a="1"/>
  <c r="J2534" i="13" s="1"/>
  <c r="N2535" i="13"/>
  <c r="M2537" i="13"/>
  <c r="M2538" i="14"/>
  <c r="K2371" i="14" l="1"/>
  <c r="L2371" i="14" s="1"/>
  <c r="I2372" i="14" s="1"/>
  <c r="K2349" i="13"/>
  <c r="L2349" i="13" s="1"/>
  <c r="I2350" i="13" s="1"/>
  <c r="M2539" i="14"/>
  <c r="J2535" i="13" a="1"/>
  <c r="J2535" i="13" s="1"/>
  <c r="N2536" i="13"/>
  <c r="N2535" i="14"/>
  <c r="J2534" i="14" a="1"/>
  <c r="J2534" i="14" s="1"/>
  <c r="M2538" i="13"/>
  <c r="K2372" i="14" l="1"/>
  <c r="L2372" i="14" s="1"/>
  <c r="I2373" i="14" s="1"/>
  <c r="J2536" i="13" a="1"/>
  <c r="J2536" i="13" s="1"/>
  <c r="N2537" i="13"/>
  <c r="M2539" i="13"/>
  <c r="K2350" i="13"/>
  <c r="L2350" i="13" s="1"/>
  <c r="I2351" i="13" s="1"/>
  <c r="N2536" i="14"/>
  <c r="J2535" i="14" a="1"/>
  <c r="J2535" i="14" s="1"/>
  <c r="M2540" i="14"/>
  <c r="K2373" i="14" l="1"/>
  <c r="L2373" i="14" s="1"/>
  <c r="I2374" i="14" s="1"/>
  <c r="M2541" i="14"/>
  <c r="K2351" i="13"/>
  <c r="L2351" i="13" s="1"/>
  <c r="I2352" i="13" s="1"/>
  <c r="N2538" i="13"/>
  <c r="J2537" i="13" a="1"/>
  <c r="J2537" i="13" s="1"/>
  <c r="J2536" i="14" a="1"/>
  <c r="J2536" i="14" s="1"/>
  <c r="N2537" i="14"/>
  <c r="M2540" i="13"/>
  <c r="K2352" i="13" l="1"/>
  <c r="L2352" i="13" s="1"/>
  <c r="I2353" i="13" s="1"/>
  <c r="K2374" i="14"/>
  <c r="L2374" i="14" s="1"/>
  <c r="I2375" i="14" s="1"/>
  <c r="J2537" i="14" a="1"/>
  <c r="J2537" i="14" s="1"/>
  <c r="N2538" i="14"/>
  <c r="M2541" i="13"/>
  <c r="J2538" i="13" a="1"/>
  <c r="J2538" i="13" s="1"/>
  <c r="N2539" i="13"/>
  <c r="M2542" i="14"/>
  <c r="K2353" i="13" l="1"/>
  <c r="L2353" i="13" s="1"/>
  <c r="I2354" i="13" s="1"/>
  <c r="M2543" i="14"/>
  <c r="M2542" i="13"/>
  <c r="K2375" i="14"/>
  <c r="L2375" i="14" s="1"/>
  <c r="I2376" i="14" s="1"/>
  <c r="J2539" i="13" a="1"/>
  <c r="J2539" i="13" s="1"/>
  <c r="N2540" i="13"/>
  <c r="J2538" i="14" a="1"/>
  <c r="J2538" i="14" s="1"/>
  <c r="N2539" i="14"/>
  <c r="K2354" i="13" l="1"/>
  <c r="L2354" i="13" s="1"/>
  <c r="I2355" i="13" s="1"/>
  <c r="N2540" i="14"/>
  <c r="J2539" i="14" a="1"/>
  <c r="J2539" i="14" s="1"/>
  <c r="K2376" i="14"/>
  <c r="L2376" i="14" s="1"/>
  <c r="I2377" i="14" s="1"/>
  <c r="M2544" i="14"/>
  <c r="J2540" i="13" a="1"/>
  <c r="J2540" i="13" s="1"/>
  <c r="N2541" i="13"/>
  <c r="M2543" i="13"/>
  <c r="K2377" i="14" l="1"/>
  <c r="L2377" i="14" s="1"/>
  <c r="I2378" i="14" s="1"/>
  <c r="K2355" i="13"/>
  <c r="L2355" i="13" s="1"/>
  <c r="I2356" i="13" s="1"/>
  <c r="M2544" i="13"/>
  <c r="M2545" i="14"/>
  <c r="J2540" i="14" a="1"/>
  <c r="J2540" i="14" s="1"/>
  <c r="N2541" i="14"/>
  <c r="N2542" i="13"/>
  <c r="J2541" i="13" a="1"/>
  <c r="J2541" i="13" s="1"/>
  <c r="K2378" i="14" l="1"/>
  <c r="L2378" i="14" s="1"/>
  <c r="I2379" i="14" s="1"/>
  <c r="M2546" i="14"/>
  <c r="J2542" i="13" a="1"/>
  <c r="J2542" i="13" s="1"/>
  <c r="N2543" i="13"/>
  <c r="K2356" i="13"/>
  <c r="L2356" i="13" s="1"/>
  <c r="I2357" i="13" s="1"/>
  <c r="J2541" i="14" a="1"/>
  <c r="J2541" i="14" s="1"/>
  <c r="N2542" i="14"/>
  <c r="M2545" i="13"/>
  <c r="K2357" i="13" l="1"/>
  <c r="L2357" i="13" s="1"/>
  <c r="I2358" i="13" s="1"/>
  <c r="K2379" i="14"/>
  <c r="L2379" i="14" s="1"/>
  <c r="I2380" i="14" s="1"/>
  <c r="N2543" i="14"/>
  <c r="J2542" i="14" a="1"/>
  <c r="J2542" i="14" s="1"/>
  <c r="M2547" i="14"/>
  <c r="J2543" i="13" a="1"/>
  <c r="J2543" i="13" s="1"/>
  <c r="N2544" i="13"/>
  <c r="M2546" i="13"/>
  <c r="K2380" i="14" l="1"/>
  <c r="L2380" i="14" s="1"/>
  <c r="I2381" i="14" s="1"/>
  <c r="K2358" i="13"/>
  <c r="L2358" i="13" s="1"/>
  <c r="I2359" i="13" s="1"/>
  <c r="M2547" i="13"/>
  <c r="M2548" i="14"/>
  <c r="J2544" i="13" a="1"/>
  <c r="J2544" i="13" s="1"/>
  <c r="N2545" i="13"/>
  <c r="N2544" i="14"/>
  <c r="J2543" i="14" a="1"/>
  <c r="J2543" i="14" s="1"/>
  <c r="K2359" i="13" l="1"/>
  <c r="L2359" i="13" s="1"/>
  <c r="I2360" i="13" s="1"/>
  <c r="K2381" i="14"/>
  <c r="L2381" i="14" s="1"/>
  <c r="I2382" i="14" s="1"/>
  <c r="J2544" i="14" a="1"/>
  <c r="J2544" i="14" s="1"/>
  <c r="N2545" i="14"/>
  <c r="M2549" i="14"/>
  <c r="N2546" i="13"/>
  <c r="J2545" i="13" a="1"/>
  <c r="J2545" i="13" s="1"/>
  <c r="M2548" i="13"/>
  <c r="K2360" i="13" l="1"/>
  <c r="L2360" i="13" s="1"/>
  <c r="I2361" i="13" s="1"/>
  <c r="M2550" i="14"/>
  <c r="J2546" i="13" a="1"/>
  <c r="J2546" i="13" s="1"/>
  <c r="N2547" i="13"/>
  <c r="M2549" i="13"/>
  <c r="K2382" i="14"/>
  <c r="L2382" i="14" s="1"/>
  <c r="I2383" i="14" s="1"/>
  <c r="J2545" i="14" a="1"/>
  <c r="J2545" i="14" s="1"/>
  <c r="N2546" i="14"/>
  <c r="K2383" i="14" l="1"/>
  <c r="L2383" i="14" s="1"/>
  <c r="I2384" i="14" s="1"/>
  <c r="K2361" i="13"/>
  <c r="L2361" i="13" s="1"/>
  <c r="I2362" i="13" s="1"/>
  <c r="J2546" i="14" a="1"/>
  <c r="J2546" i="14" s="1"/>
  <c r="N2547" i="14"/>
  <c r="M2551" i="14"/>
  <c r="M2550" i="13"/>
  <c r="J2547" i="13" a="1"/>
  <c r="J2547" i="13" s="1"/>
  <c r="N2548" i="13"/>
  <c r="K2384" i="14" l="1"/>
  <c r="L2384" i="14" s="1"/>
  <c r="I2385" i="14" s="1"/>
  <c r="J2548" i="13" a="1"/>
  <c r="J2548" i="13" s="1"/>
  <c r="N2549" i="13"/>
  <c r="K2362" i="13"/>
  <c r="L2362" i="13" s="1"/>
  <c r="I2363" i="13" s="1"/>
  <c r="N2548" i="14"/>
  <c r="J2547" i="14" a="1"/>
  <c r="J2547" i="14" s="1"/>
  <c r="M2552" i="14"/>
  <c r="M2551" i="13"/>
  <c r="K2363" i="13" l="1"/>
  <c r="L2363" i="13" s="1"/>
  <c r="I2364" i="13" s="1"/>
  <c r="K2385" i="14"/>
  <c r="L2385" i="14" s="1"/>
  <c r="I2386" i="14" s="1"/>
  <c r="N2550" i="13"/>
  <c r="J2549" i="13" a="1"/>
  <c r="J2549" i="13" s="1"/>
  <c r="M2552" i="13"/>
  <c r="J2548" i="14" a="1"/>
  <c r="J2548" i="14" s="1"/>
  <c r="N2549" i="14"/>
  <c r="M2553" i="14"/>
  <c r="K2364" i="13" l="1"/>
  <c r="L2364" i="13" s="1"/>
  <c r="I2365" i="13" s="1"/>
  <c r="J2549" i="14" a="1"/>
  <c r="J2549" i="14" s="1"/>
  <c r="N2550" i="14"/>
  <c r="M2553" i="13"/>
  <c r="M2554" i="14"/>
  <c r="K2386" i="14"/>
  <c r="L2386" i="14" s="1"/>
  <c r="I2387" i="14" s="1"/>
  <c r="J2550" i="13" a="1"/>
  <c r="J2550" i="13" s="1"/>
  <c r="N2551" i="13"/>
  <c r="K2365" i="13" l="1"/>
  <c r="L2365" i="13" s="1"/>
  <c r="I2366" i="13" s="1"/>
  <c r="K2387" i="14"/>
  <c r="L2387" i="14" s="1"/>
  <c r="I2388" i="14" s="1"/>
  <c r="J2551" i="13" a="1"/>
  <c r="J2551" i="13" s="1"/>
  <c r="N2552" i="13"/>
  <c r="M2555" i="14"/>
  <c r="N2551" i="14"/>
  <c r="J2550" i="14" a="1"/>
  <c r="J2550" i="14" s="1"/>
  <c r="M2554" i="13"/>
  <c r="K2388" i="14" l="1"/>
  <c r="L2388" i="14" s="1"/>
  <c r="I2389" i="14" s="1"/>
  <c r="K2366" i="13"/>
  <c r="L2366" i="13" s="1"/>
  <c r="I2367" i="13" s="1"/>
  <c r="J2552" i="13" a="1"/>
  <c r="J2552" i="13" s="1"/>
  <c r="N2553" i="13"/>
  <c r="M2555" i="13"/>
  <c r="M2556" i="14"/>
  <c r="N2552" i="14"/>
  <c r="J2551" i="14" a="1"/>
  <c r="J2551" i="14" s="1"/>
  <c r="K2389" i="14" l="1"/>
  <c r="L2389" i="14" s="1"/>
  <c r="I2390" i="14" s="1"/>
  <c r="J2552" i="14" a="1"/>
  <c r="J2552" i="14" s="1"/>
  <c r="N2553" i="14"/>
  <c r="M2556" i="13"/>
  <c r="K2367" i="13"/>
  <c r="L2367" i="13" s="1"/>
  <c r="I2368" i="13" s="1"/>
  <c r="N2554" i="13"/>
  <c r="J2553" i="13" a="1"/>
  <c r="J2553" i="13" s="1"/>
  <c r="M2557" i="14"/>
  <c r="K2390" i="14" l="1"/>
  <c r="L2390" i="14" s="1"/>
  <c r="I2391" i="14" s="1"/>
  <c r="M2558" i="14"/>
  <c r="J2553" i="14" a="1"/>
  <c r="J2553" i="14" s="1"/>
  <c r="N2554" i="14"/>
  <c r="K2368" i="13"/>
  <c r="L2368" i="13" s="1"/>
  <c r="I2369" i="13" s="1"/>
  <c r="M2557" i="13"/>
  <c r="J2554" i="13" a="1"/>
  <c r="J2554" i="13" s="1"/>
  <c r="N2555" i="13"/>
  <c r="K2391" i="14" l="1"/>
  <c r="L2391" i="14" s="1"/>
  <c r="I2392" i="14" s="1"/>
  <c r="M2558" i="13"/>
  <c r="J2555" i="13" a="1"/>
  <c r="J2555" i="13" s="1"/>
  <c r="N2556" i="13"/>
  <c r="M2559" i="14"/>
  <c r="K2369" i="13"/>
  <c r="L2369" i="13" s="1"/>
  <c r="I2370" i="13" s="1"/>
  <c r="J2554" i="14" a="1"/>
  <c r="J2554" i="14" s="1"/>
  <c r="N2555" i="14"/>
  <c r="K2392" i="14" l="1"/>
  <c r="L2392" i="14" s="1"/>
  <c r="I2393" i="14" s="1"/>
  <c r="K2370" i="13"/>
  <c r="L2370" i="13" s="1"/>
  <c r="I2371" i="13" s="1"/>
  <c r="N2556" i="14"/>
  <c r="J2555" i="14" a="1"/>
  <c r="J2555" i="14" s="1"/>
  <c r="M2560" i="14"/>
  <c r="M2559" i="13"/>
  <c r="J2556" i="13" a="1"/>
  <c r="J2556" i="13" s="1"/>
  <c r="N2557" i="13"/>
  <c r="K2393" i="14" l="1"/>
  <c r="L2393" i="14" s="1"/>
  <c r="I2394" i="14" s="1"/>
  <c r="N2558" i="13"/>
  <c r="J2557" i="13" a="1"/>
  <c r="J2557" i="13" s="1"/>
  <c r="K2371" i="13"/>
  <c r="L2371" i="13" s="1"/>
  <c r="I2372" i="13" s="1"/>
  <c r="M2561" i="14"/>
  <c r="M2560" i="13"/>
  <c r="J2556" i="14" a="1"/>
  <c r="J2556" i="14" s="1"/>
  <c r="N2557" i="14"/>
  <c r="K2372" i="13" l="1"/>
  <c r="L2372" i="13" s="1"/>
  <c r="I2373" i="13" s="1"/>
  <c r="K2394" i="14"/>
  <c r="L2394" i="14" s="1"/>
  <c r="I2395" i="14" s="1"/>
  <c r="J2558" i="13" a="1"/>
  <c r="J2558" i="13" s="1"/>
  <c r="N2559" i="13"/>
  <c r="J2557" i="14" a="1"/>
  <c r="J2557" i="14" s="1"/>
  <c r="N2558" i="14"/>
  <c r="M2562" i="14"/>
  <c r="M2561" i="13"/>
  <c r="K2395" i="14" l="1"/>
  <c r="L2395" i="14" s="1"/>
  <c r="I2396" i="14" s="1"/>
  <c r="K2373" i="13"/>
  <c r="L2373" i="13" s="1"/>
  <c r="I2374" i="13" s="1"/>
  <c r="J2559" i="13" a="1"/>
  <c r="J2559" i="13" s="1"/>
  <c r="N2560" i="13"/>
  <c r="N2559" i="14"/>
  <c r="J2558" i="14" a="1"/>
  <c r="J2558" i="14" s="1"/>
  <c r="M2562" i="13"/>
  <c r="M2563" i="14"/>
  <c r="K2374" i="13" l="1"/>
  <c r="L2374" i="13" s="1"/>
  <c r="I2375" i="13" s="1"/>
  <c r="M2564" i="14"/>
  <c r="N2560" i="14"/>
  <c r="J2559" i="14" a="1"/>
  <c r="J2559" i="14" s="1"/>
  <c r="M2563" i="13"/>
  <c r="J2560" i="13" a="1"/>
  <c r="J2560" i="13" s="1"/>
  <c r="N2561" i="13"/>
  <c r="K2396" i="14"/>
  <c r="L2396" i="14" s="1"/>
  <c r="I2397" i="14" s="1"/>
  <c r="K2397" i="14" l="1"/>
  <c r="L2397" i="14" s="1"/>
  <c r="I2398" i="14" s="1"/>
  <c r="K2375" i="13"/>
  <c r="L2375" i="13" s="1"/>
  <c r="I2376" i="13" s="1"/>
  <c r="M2564" i="13"/>
  <c r="M2565" i="14"/>
  <c r="N2562" i="13"/>
  <c r="J2561" i="13" a="1"/>
  <c r="J2561" i="13" s="1"/>
  <c r="J2560" i="14" a="1"/>
  <c r="J2560" i="14" s="1"/>
  <c r="N2561" i="14"/>
  <c r="K2398" i="14" l="1"/>
  <c r="L2398" i="14" s="1"/>
  <c r="I2399" i="14" s="1"/>
  <c r="J2561" i="14" a="1"/>
  <c r="J2561" i="14" s="1"/>
  <c r="N2562" i="14"/>
  <c r="M2566" i="14"/>
  <c r="K2376" i="13"/>
  <c r="L2376" i="13" s="1"/>
  <c r="I2377" i="13" s="1"/>
  <c r="M2565" i="13"/>
  <c r="J2562" i="13" a="1"/>
  <c r="J2562" i="13" s="1"/>
  <c r="N2563" i="13"/>
  <c r="K2377" i="13" l="1"/>
  <c r="L2377" i="13" s="1"/>
  <c r="I2378" i="13" s="1"/>
  <c r="K2399" i="14"/>
  <c r="L2399" i="14" s="1"/>
  <c r="I2400" i="14" s="1"/>
  <c r="J2562" i="14" a="1"/>
  <c r="J2562" i="14" s="1"/>
  <c r="N2563" i="14"/>
  <c r="J2563" i="13" a="1"/>
  <c r="J2563" i="13" s="1"/>
  <c r="N2564" i="13"/>
  <c r="M2567" i="14"/>
  <c r="M2566" i="13"/>
  <c r="K2378" i="13" l="1"/>
  <c r="L2378" i="13" s="1"/>
  <c r="I2379" i="13" s="1"/>
  <c r="M2567" i="13"/>
  <c r="J2564" i="13" a="1"/>
  <c r="J2564" i="13" s="1"/>
  <c r="N2565" i="13"/>
  <c r="K2400" i="14"/>
  <c r="L2400" i="14" s="1"/>
  <c r="I2401" i="14" s="1"/>
  <c r="N2564" i="14"/>
  <c r="J2563" i="14" a="1"/>
  <c r="J2563" i="14" s="1"/>
  <c r="M2568" i="14"/>
  <c r="K2379" i="13" l="1"/>
  <c r="L2379" i="13" s="1"/>
  <c r="I2380" i="13" s="1"/>
  <c r="J2564" i="14" a="1"/>
  <c r="J2564" i="14" s="1"/>
  <c r="N2565" i="14"/>
  <c r="M2569" i="14"/>
  <c r="K2401" i="14"/>
  <c r="L2401" i="14" s="1"/>
  <c r="I2402" i="14" s="1"/>
  <c r="M2568" i="13"/>
  <c r="N2566" i="13"/>
  <c r="J2565" i="13" a="1"/>
  <c r="J2565" i="13" s="1"/>
  <c r="K2402" i="14" l="1"/>
  <c r="L2402" i="14" s="1"/>
  <c r="I2403" i="14" s="1"/>
  <c r="K2380" i="13"/>
  <c r="L2380" i="13" s="1"/>
  <c r="I2381" i="13" s="1"/>
  <c r="J2565" i="14" a="1"/>
  <c r="J2565" i="14" s="1"/>
  <c r="N2566" i="14"/>
  <c r="J2566" i="13" a="1"/>
  <c r="J2566" i="13" s="1"/>
  <c r="N2567" i="13"/>
  <c r="M2569" i="13"/>
  <c r="M2570" i="14"/>
  <c r="K2381" i="13" l="1"/>
  <c r="L2381" i="13" s="1"/>
  <c r="I2382" i="13" s="1"/>
  <c r="K2403" i="14"/>
  <c r="L2403" i="14" s="1"/>
  <c r="I2404" i="14" s="1"/>
  <c r="M2570" i="13"/>
  <c r="M2571" i="14"/>
  <c r="J2567" i="13" a="1"/>
  <c r="J2567" i="13" s="1"/>
  <c r="N2568" i="13"/>
  <c r="N2567" i="14"/>
  <c r="J2566" i="14" a="1"/>
  <c r="J2566" i="14" s="1"/>
  <c r="K2404" i="14" l="1"/>
  <c r="L2404" i="14" s="1"/>
  <c r="I2405" i="14" s="1"/>
  <c r="K2382" i="13"/>
  <c r="L2382" i="13" s="1"/>
  <c r="I2383" i="13" s="1"/>
  <c r="N2568" i="14"/>
  <c r="J2567" i="14" a="1"/>
  <c r="J2567" i="14" s="1"/>
  <c r="M2572" i="14"/>
  <c r="J2568" i="13" a="1"/>
  <c r="J2568" i="13" s="1"/>
  <c r="N2569" i="13"/>
  <c r="M2571" i="13"/>
  <c r="K2405" i="14" l="1"/>
  <c r="L2405" i="14" s="1"/>
  <c r="I2406" i="14" s="1"/>
  <c r="M2572" i="13"/>
  <c r="M2573" i="14"/>
  <c r="K2383" i="13"/>
  <c r="L2383" i="13" s="1"/>
  <c r="I2384" i="13" s="1"/>
  <c r="N2570" i="13"/>
  <c r="J2569" i="13" a="1"/>
  <c r="J2569" i="13" s="1"/>
  <c r="J2568" i="14" a="1"/>
  <c r="J2568" i="14" s="1"/>
  <c r="N2569" i="14"/>
  <c r="K2406" i="14" l="1"/>
  <c r="L2406" i="14" s="1"/>
  <c r="I2407" i="14" s="1"/>
  <c r="J2569" i="14" a="1"/>
  <c r="J2569" i="14" s="1"/>
  <c r="N2570" i="14"/>
  <c r="M2573" i="13"/>
  <c r="K2384" i="13"/>
  <c r="L2384" i="13" s="1"/>
  <c r="I2385" i="13" s="1"/>
  <c r="J2570" i="13" a="1"/>
  <c r="J2570" i="13" s="1"/>
  <c r="N2571" i="13"/>
  <c r="M2574" i="14"/>
  <c r="K2407" i="14" l="1"/>
  <c r="L2407" i="14" s="1"/>
  <c r="I2408" i="14" s="1"/>
  <c r="J2571" i="13" a="1"/>
  <c r="J2571" i="13" s="1"/>
  <c r="N2572" i="13"/>
  <c r="M2575" i="14"/>
  <c r="J2570" i="14" a="1"/>
  <c r="J2570" i="14" s="1"/>
  <c r="N2571" i="14"/>
  <c r="K2385" i="13"/>
  <c r="L2385" i="13" s="1"/>
  <c r="I2386" i="13" s="1"/>
  <c r="M2574" i="13"/>
  <c r="K2386" i="13" l="1"/>
  <c r="L2386" i="13" s="1"/>
  <c r="I2387" i="13" s="1"/>
  <c r="M2576" i="14"/>
  <c r="K2408" i="14"/>
  <c r="L2408" i="14" s="1"/>
  <c r="I2409" i="14" s="1"/>
  <c r="N2572" i="14"/>
  <c r="J2571" i="14" a="1"/>
  <c r="J2571" i="14" s="1"/>
  <c r="J2572" i="13" a="1"/>
  <c r="J2572" i="13" s="1"/>
  <c r="N2573" i="13"/>
  <c r="M2575" i="13"/>
  <c r="K2409" i="14" l="1"/>
  <c r="L2409" i="14" s="1"/>
  <c r="I2410" i="14" s="1"/>
  <c r="K2387" i="13"/>
  <c r="L2387" i="13" s="1"/>
  <c r="I2388" i="13" s="1"/>
  <c r="M2576" i="13"/>
  <c r="J2572" i="14" a="1"/>
  <c r="J2572" i="14" s="1"/>
  <c r="N2573" i="14"/>
  <c r="M2577" i="14"/>
  <c r="N2574" i="13"/>
  <c r="J2573" i="13" a="1"/>
  <c r="J2573" i="13" s="1"/>
  <c r="K2388" i="13" l="1"/>
  <c r="L2388" i="13" s="1"/>
  <c r="I2389" i="13" s="1"/>
  <c r="K2410" i="14"/>
  <c r="L2410" i="14" s="1"/>
  <c r="I2411" i="14" s="1"/>
  <c r="J2573" i="14" a="1"/>
  <c r="J2573" i="14" s="1"/>
  <c r="N2574" i="14"/>
  <c r="J2574" i="13" a="1"/>
  <c r="J2574" i="13" s="1"/>
  <c r="N2575" i="13"/>
  <c r="M2577" i="13"/>
  <c r="M2578" i="14"/>
  <c r="K2411" i="14" l="1"/>
  <c r="L2411" i="14" s="1"/>
  <c r="I2412" i="14" s="1"/>
  <c r="J2575" i="13" a="1"/>
  <c r="J2575" i="13" s="1"/>
  <c r="N2576" i="13"/>
  <c r="M2578" i="13"/>
  <c r="M2579" i="14"/>
  <c r="N2575" i="14"/>
  <c r="J2574" i="14" a="1"/>
  <c r="J2574" i="14" s="1"/>
  <c r="K2389" i="13"/>
  <c r="L2389" i="13" s="1"/>
  <c r="I2390" i="13" s="1"/>
  <c r="K2390" i="13" l="1"/>
  <c r="L2390" i="13" s="1"/>
  <c r="I2391" i="13" s="1"/>
  <c r="K2412" i="14"/>
  <c r="L2412" i="14" s="1"/>
  <c r="I2413" i="14" s="1"/>
  <c r="J2576" i="13" a="1"/>
  <c r="J2576" i="13" s="1"/>
  <c r="N2577" i="13"/>
  <c r="M2580" i="14"/>
  <c r="N2576" i="14"/>
  <c r="J2575" i="14" a="1"/>
  <c r="J2575" i="14" s="1"/>
  <c r="M2579" i="13"/>
  <c r="K2391" i="13" l="1"/>
  <c r="L2391" i="13" s="1"/>
  <c r="I2392" i="13" s="1"/>
  <c r="J2576" i="14" a="1"/>
  <c r="J2576" i="14" s="1"/>
  <c r="N2577" i="14"/>
  <c r="M2580" i="13"/>
  <c r="M2581" i="14"/>
  <c r="K2413" i="14"/>
  <c r="L2413" i="14" s="1"/>
  <c r="I2414" i="14" s="1"/>
  <c r="N2578" i="13"/>
  <c r="J2577" i="13" a="1"/>
  <c r="J2577" i="13" s="1"/>
  <c r="K2414" i="14" l="1"/>
  <c r="L2414" i="14" s="1"/>
  <c r="I2415" i="14" s="1"/>
  <c r="K2392" i="13"/>
  <c r="L2392" i="13" s="1"/>
  <c r="I2393" i="13" s="1"/>
  <c r="J2577" i="14" a="1"/>
  <c r="J2577" i="14" s="1"/>
  <c r="N2578" i="14"/>
  <c r="N2579" i="13"/>
  <c r="J2578" i="13" a="1"/>
  <c r="J2578" i="13" s="1"/>
  <c r="M2582" i="14"/>
  <c r="M2581" i="13"/>
  <c r="K2415" i="14" l="1"/>
  <c r="L2415" i="14" s="1"/>
  <c r="I2416" i="14" s="1"/>
  <c r="J2579" i="13" a="1"/>
  <c r="J2579" i="13" s="1"/>
  <c r="N2580" i="13"/>
  <c r="K2393" i="13"/>
  <c r="L2393" i="13" s="1"/>
  <c r="I2394" i="13" s="1"/>
  <c r="M2582" i="13"/>
  <c r="M2583" i="14"/>
  <c r="J2578" i="14" a="1"/>
  <c r="J2578" i="14" s="1"/>
  <c r="N2579" i="14"/>
  <c r="K2394" i="13" l="1"/>
  <c r="L2394" i="13" s="1"/>
  <c r="I2395" i="13" s="1"/>
  <c r="K2416" i="14"/>
  <c r="L2416" i="14" s="1"/>
  <c r="I2417" i="14" s="1"/>
  <c r="N2581" i="13"/>
  <c r="J2580" i="13" a="1"/>
  <c r="J2580" i="13" s="1"/>
  <c r="N2580" i="14"/>
  <c r="J2579" i="14" a="1"/>
  <c r="J2579" i="14" s="1"/>
  <c r="M2583" i="13"/>
  <c r="M2584" i="14"/>
  <c r="K2395" i="13" l="1"/>
  <c r="L2395" i="13" s="1"/>
  <c r="I2396" i="13" s="1"/>
  <c r="J2580" i="14" a="1"/>
  <c r="J2580" i="14" s="1"/>
  <c r="N2581" i="14"/>
  <c r="K2417" i="14"/>
  <c r="L2417" i="14" s="1"/>
  <c r="I2418" i="14" s="1"/>
  <c r="M2585" i="14"/>
  <c r="M2584" i="13"/>
  <c r="N2582" i="13"/>
  <c r="J2581" i="13" a="1"/>
  <c r="J2581" i="13" s="1"/>
  <c r="K2418" i="14" l="1"/>
  <c r="L2418" i="14" s="1"/>
  <c r="I2419" i="14" s="1"/>
  <c r="K2396" i="13"/>
  <c r="L2396" i="13" s="1"/>
  <c r="I2397" i="13" s="1"/>
  <c r="M2586" i="14"/>
  <c r="J2581" i="14" a="1"/>
  <c r="J2581" i="14" s="1"/>
  <c r="N2582" i="14"/>
  <c r="N2583" i="13"/>
  <c r="J2582" i="13" a="1"/>
  <c r="J2582" i="13" s="1"/>
  <c r="M2585" i="13"/>
  <c r="K2397" i="13" l="1"/>
  <c r="L2397" i="13" s="1"/>
  <c r="I2398" i="13" s="1"/>
  <c r="N2583" i="14"/>
  <c r="J2582" i="14" a="1"/>
  <c r="J2582" i="14" s="1"/>
  <c r="M2586" i="13"/>
  <c r="M2587" i="14"/>
  <c r="J2583" i="13" a="1"/>
  <c r="J2583" i="13" s="1"/>
  <c r="N2584" i="13"/>
  <c r="K2419" i="14"/>
  <c r="L2419" i="14" s="1"/>
  <c r="I2420" i="14" s="1"/>
  <c r="K2420" i="14" l="1"/>
  <c r="L2420" i="14" s="1"/>
  <c r="I2421" i="14" s="1"/>
  <c r="K2398" i="13"/>
  <c r="L2398" i="13" s="1"/>
  <c r="I2399" i="13" s="1"/>
  <c r="N2584" i="14"/>
  <c r="J2583" i="14" a="1"/>
  <c r="J2583" i="14" s="1"/>
  <c r="M2588" i="14"/>
  <c r="N2585" i="13"/>
  <c r="J2584" i="13" a="1"/>
  <c r="J2584" i="13" s="1"/>
  <c r="M2587" i="13"/>
  <c r="K2421" i="14" l="1"/>
  <c r="L2421" i="14" s="1"/>
  <c r="I2422" i="14" s="1"/>
  <c r="K2399" i="13"/>
  <c r="L2399" i="13" s="1"/>
  <c r="I2400" i="13" s="1"/>
  <c r="M2588" i="13"/>
  <c r="M2589" i="14"/>
  <c r="N2586" i="13"/>
  <c r="J2585" i="13" a="1"/>
  <c r="J2585" i="13" s="1"/>
  <c r="J2584" i="14" a="1"/>
  <c r="J2584" i="14" s="1"/>
  <c r="N2585" i="14"/>
  <c r="K2422" i="14" l="1"/>
  <c r="L2422" i="14" s="1"/>
  <c r="I2423" i="14" s="1"/>
  <c r="J2585" i="14" a="1"/>
  <c r="J2585" i="14" s="1"/>
  <c r="N2586" i="14"/>
  <c r="M2590" i="14"/>
  <c r="K2400" i="13"/>
  <c r="L2400" i="13" s="1"/>
  <c r="I2401" i="13" s="1"/>
  <c r="N2587" i="13"/>
  <c r="J2586" i="13" a="1"/>
  <c r="J2586" i="13" s="1"/>
  <c r="M2589" i="13"/>
  <c r="K2423" i="14" l="1"/>
  <c r="L2423" i="14" s="1"/>
  <c r="I2424" i="14" s="1"/>
  <c r="K2401" i="13"/>
  <c r="L2401" i="13" s="1"/>
  <c r="I2402" i="13" s="1"/>
  <c r="M2591" i="14"/>
  <c r="M2590" i="13"/>
  <c r="J2586" i="14" a="1"/>
  <c r="J2586" i="14" s="1"/>
  <c r="N2587" i="14"/>
  <c r="J2587" i="13" a="1"/>
  <c r="J2587" i="13" s="1"/>
  <c r="N2588" i="13"/>
  <c r="K2424" i="14" l="1"/>
  <c r="L2424" i="14" s="1"/>
  <c r="I2425" i="14" s="1"/>
  <c r="K2402" i="13"/>
  <c r="L2402" i="13" s="1"/>
  <c r="I2403" i="13" s="1"/>
  <c r="N2589" i="13"/>
  <c r="J2588" i="13" a="1"/>
  <c r="J2588" i="13" s="1"/>
  <c r="M2591" i="13"/>
  <c r="N2588" i="14"/>
  <c r="J2587" i="14" a="1"/>
  <c r="J2587" i="14" s="1"/>
  <c r="M2592" i="14"/>
  <c r="K2403" i="13" l="1"/>
  <c r="L2403" i="13" s="1"/>
  <c r="I2404" i="13" s="1"/>
  <c r="J2588" i="14" a="1"/>
  <c r="J2588" i="14" s="1"/>
  <c r="N2589" i="14"/>
  <c r="M2593" i="14"/>
  <c r="M2592" i="13"/>
  <c r="N2590" i="13"/>
  <c r="J2589" i="13" a="1"/>
  <c r="J2589" i="13" s="1"/>
  <c r="K2425" i="14"/>
  <c r="L2425" i="14" s="1"/>
  <c r="I2426" i="14" s="1"/>
  <c r="K2404" i="13" l="1"/>
  <c r="L2404" i="13" s="1"/>
  <c r="I2405" i="13" s="1"/>
  <c r="M2593" i="13"/>
  <c r="J2589" i="14" a="1"/>
  <c r="J2589" i="14" s="1"/>
  <c r="N2590" i="14"/>
  <c r="K2426" i="14"/>
  <c r="L2426" i="14" s="1"/>
  <c r="I2427" i="14" s="1"/>
  <c r="N2591" i="13"/>
  <c r="J2590" i="13" a="1"/>
  <c r="J2590" i="13" s="1"/>
  <c r="M2594" i="14"/>
  <c r="K2405" i="13" l="1"/>
  <c r="L2405" i="13" s="1"/>
  <c r="I2406" i="13" s="1"/>
  <c r="J2591" i="13" a="1"/>
  <c r="J2591" i="13" s="1"/>
  <c r="N2592" i="13"/>
  <c r="M2595" i="14"/>
  <c r="M2594" i="13"/>
  <c r="K2427" i="14"/>
  <c r="L2427" i="14" s="1"/>
  <c r="I2428" i="14" s="1"/>
  <c r="N2591" i="14"/>
  <c r="J2590" i="14" a="1"/>
  <c r="J2590" i="14" s="1"/>
  <c r="K2428" i="14" l="1"/>
  <c r="L2428" i="14" s="1"/>
  <c r="I2429" i="14" s="1"/>
  <c r="K2406" i="13"/>
  <c r="L2406" i="13" s="1"/>
  <c r="I2407" i="13" s="1"/>
  <c r="N2593" i="13"/>
  <c r="J2592" i="13" a="1"/>
  <c r="J2592" i="13" s="1"/>
  <c r="N2592" i="14"/>
  <c r="J2591" i="14" a="1"/>
  <c r="J2591" i="14" s="1"/>
  <c r="M2595" i="13"/>
  <c r="M2596" i="14"/>
  <c r="K2407" i="13" l="1"/>
  <c r="L2407" i="13" s="1"/>
  <c r="I2408" i="13" s="1"/>
  <c r="K2429" i="14"/>
  <c r="L2429" i="14" s="1"/>
  <c r="I2430" i="14" s="1"/>
  <c r="J2592" i="14" a="1"/>
  <c r="J2592" i="14" s="1"/>
  <c r="N2593" i="14"/>
  <c r="M2597" i="14"/>
  <c r="M2596" i="13"/>
  <c r="N2594" i="13"/>
  <c r="J2593" i="13" a="1"/>
  <c r="J2593" i="13" s="1"/>
  <c r="K2408" i="13" l="1"/>
  <c r="L2408" i="13" s="1"/>
  <c r="I2409" i="13" s="1"/>
  <c r="K2430" i="14"/>
  <c r="L2430" i="14" s="1"/>
  <c r="I2431" i="14" s="1"/>
  <c r="M2597" i="13"/>
  <c r="N2595" i="13"/>
  <c r="J2594" i="13" a="1"/>
  <c r="J2594" i="13" s="1"/>
  <c r="M2598" i="14"/>
  <c r="J2593" i="14" a="1"/>
  <c r="J2593" i="14" s="1"/>
  <c r="N2594" i="14"/>
  <c r="K2431" i="14" l="1"/>
  <c r="L2431" i="14" s="1"/>
  <c r="I2432" i="14" s="1"/>
  <c r="K2409" i="13"/>
  <c r="L2409" i="13" s="1"/>
  <c r="I2410" i="13" s="1"/>
  <c r="J2595" i="13" a="1"/>
  <c r="J2595" i="13" s="1"/>
  <c r="N2596" i="13"/>
  <c r="J2594" i="14" a="1"/>
  <c r="J2594" i="14" s="1"/>
  <c r="N2595" i="14"/>
  <c r="M2599" i="14"/>
  <c r="M2598" i="13"/>
  <c r="K2410" i="13" l="1"/>
  <c r="L2410" i="13" s="1"/>
  <c r="I2411" i="13" s="1"/>
  <c r="K2432" i="14"/>
  <c r="L2432" i="14" s="1"/>
  <c r="I2433" i="14" s="1"/>
  <c r="M2599" i="13"/>
  <c r="M2600" i="14"/>
  <c r="N2596" i="14"/>
  <c r="J2595" i="14" a="1"/>
  <c r="J2595" i="14" s="1"/>
  <c r="N2597" i="13"/>
  <c r="J2596" i="13" a="1"/>
  <c r="J2596" i="13" s="1"/>
  <c r="K2433" i="14" l="1"/>
  <c r="L2433" i="14" s="1"/>
  <c r="I2434" i="14" s="1"/>
  <c r="N2598" i="13"/>
  <c r="J2597" i="13" a="1"/>
  <c r="J2597" i="13" s="1"/>
  <c r="M2601" i="14"/>
  <c r="M2600" i="13"/>
  <c r="J2596" i="14" a="1"/>
  <c r="J2596" i="14" s="1"/>
  <c r="N2597" i="14"/>
  <c r="K2411" i="13"/>
  <c r="L2411" i="13" s="1"/>
  <c r="I2412" i="13" s="1"/>
  <c r="K2412" i="13" l="1"/>
  <c r="L2412" i="13" s="1"/>
  <c r="I2413" i="13" s="1"/>
  <c r="K2434" i="14"/>
  <c r="L2434" i="14" s="1"/>
  <c r="I2435" i="14" s="1"/>
  <c r="M2601" i="13"/>
  <c r="N2599" i="13"/>
  <c r="J2598" i="13" a="1"/>
  <c r="J2598" i="13" s="1"/>
  <c r="J2597" i="14" a="1"/>
  <c r="J2597" i="14" s="1"/>
  <c r="N2598" i="14"/>
  <c r="M2602" i="14"/>
  <c r="K2435" i="14" l="1"/>
  <c r="L2435" i="14" s="1"/>
  <c r="I2436" i="14" s="1"/>
  <c r="K2413" i="13"/>
  <c r="L2413" i="13" s="1"/>
  <c r="I2414" i="13" s="1"/>
  <c r="M2603" i="14"/>
  <c r="J2599" i="13" a="1"/>
  <c r="J2599" i="13" s="1"/>
  <c r="N2600" i="13"/>
  <c r="N2599" i="14"/>
  <c r="J2598" i="14" a="1"/>
  <c r="J2598" i="14" s="1"/>
  <c r="M2602" i="13"/>
  <c r="K2436" i="14" l="1"/>
  <c r="L2436" i="14" s="1"/>
  <c r="I2437" i="14" s="1"/>
  <c r="K2414" i="13"/>
  <c r="L2414" i="13" s="1"/>
  <c r="I2415" i="13" s="1"/>
  <c r="N2601" i="13"/>
  <c r="J2600" i="13" a="1"/>
  <c r="J2600" i="13" s="1"/>
  <c r="M2603" i="13"/>
  <c r="N2600" i="14"/>
  <c r="J2599" i="14" a="1"/>
  <c r="J2599" i="14" s="1"/>
  <c r="M2604" i="14"/>
  <c r="K2415" i="13" l="1"/>
  <c r="L2415" i="13" s="1"/>
  <c r="I2416" i="13" s="1"/>
  <c r="K2437" i="14"/>
  <c r="L2437" i="14" s="1"/>
  <c r="I2438" i="14" s="1"/>
  <c r="J2600" i="14" a="1"/>
  <c r="J2600" i="14" s="1"/>
  <c r="N2601" i="14"/>
  <c r="M2604" i="13"/>
  <c r="M2605" i="14"/>
  <c r="N2602" i="13"/>
  <c r="J2601" i="13" a="1"/>
  <c r="J2601" i="13" s="1"/>
  <c r="K2438" i="14" l="1"/>
  <c r="L2438" i="14" s="1"/>
  <c r="I2439" i="14" s="1"/>
  <c r="K2416" i="13"/>
  <c r="L2416" i="13" s="1"/>
  <c r="I2417" i="13" s="1"/>
  <c r="M2606" i="14"/>
  <c r="N2603" i="13"/>
  <c r="J2602" i="13" a="1"/>
  <c r="J2602" i="13" s="1"/>
  <c r="M2605" i="13"/>
  <c r="J2601" i="14" a="1"/>
  <c r="J2601" i="14" s="1"/>
  <c r="N2602" i="14"/>
  <c r="K2417" i="13" l="1"/>
  <c r="L2417" i="13" s="1"/>
  <c r="I2418" i="13" s="1"/>
  <c r="K2439" i="14"/>
  <c r="L2439" i="14" s="1"/>
  <c r="I2440" i="14" s="1"/>
  <c r="J2603" i="13" a="1"/>
  <c r="J2603" i="13" s="1"/>
  <c r="N2604" i="13"/>
  <c r="J2602" i="14" a="1"/>
  <c r="J2602" i="14" s="1"/>
  <c r="N2603" i="14"/>
  <c r="M2606" i="13"/>
  <c r="M2607" i="14"/>
  <c r="K2418" i="13" l="1"/>
  <c r="L2418" i="13" s="1"/>
  <c r="I2419" i="13" s="1"/>
  <c r="N2604" i="14"/>
  <c r="J2603" i="14" a="1"/>
  <c r="J2603" i="14" s="1"/>
  <c r="M2608" i="14"/>
  <c r="K2440" i="14"/>
  <c r="L2440" i="14" s="1"/>
  <c r="I2441" i="14" s="1"/>
  <c r="N2605" i="13"/>
  <c r="J2604" i="13" a="1"/>
  <c r="J2604" i="13" s="1"/>
  <c r="M2607" i="13"/>
  <c r="K2441" i="14" l="1"/>
  <c r="L2441" i="14" s="1"/>
  <c r="I2442" i="14" s="1"/>
  <c r="M2608" i="13"/>
  <c r="N2606" i="13"/>
  <c r="J2605" i="13" a="1"/>
  <c r="J2605" i="13" s="1"/>
  <c r="J2604" i="14" a="1"/>
  <c r="J2604" i="14" s="1"/>
  <c r="N2605" i="14"/>
  <c r="M2609" i="14"/>
  <c r="K2419" i="13"/>
  <c r="L2419" i="13" s="1"/>
  <c r="I2420" i="13" s="1"/>
  <c r="K2420" i="13" l="1"/>
  <c r="L2420" i="13" s="1"/>
  <c r="I2421" i="13" s="1"/>
  <c r="K2442" i="14"/>
  <c r="L2442" i="14" s="1"/>
  <c r="I2443" i="14" s="1"/>
  <c r="M2610" i="14"/>
  <c r="J2605" i="14" a="1"/>
  <c r="J2605" i="14" s="1"/>
  <c r="N2606" i="14"/>
  <c r="M2609" i="13"/>
  <c r="N2607" i="13"/>
  <c r="J2606" i="13" a="1"/>
  <c r="J2606" i="13" s="1"/>
  <c r="K2421" i="13" l="1"/>
  <c r="L2421" i="13" s="1"/>
  <c r="I2422" i="13" s="1"/>
  <c r="K2443" i="14"/>
  <c r="L2443" i="14" s="1"/>
  <c r="I2444" i="14" s="1"/>
  <c r="N2607" i="14"/>
  <c r="J2606" i="14" a="1"/>
  <c r="J2606" i="14" s="1"/>
  <c r="J2607" i="13" a="1"/>
  <c r="J2607" i="13" s="1"/>
  <c r="N2608" i="13"/>
  <c r="M2610" i="13"/>
  <c r="M2611" i="14"/>
  <c r="K2444" i="14" l="1"/>
  <c r="L2444" i="14" s="1"/>
  <c r="I2445" i="14" s="1"/>
  <c r="K2422" i="13"/>
  <c r="L2422" i="13" s="1"/>
  <c r="I2423" i="13" s="1"/>
  <c r="N2609" i="13"/>
  <c r="J2608" i="13" a="1"/>
  <c r="J2608" i="13" s="1"/>
  <c r="M2612" i="14"/>
  <c r="M2611" i="13"/>
  <c r="N2608" i="14"/>
  <c r="J2607" i="14" a="1"/>
  <c r="J2607" i="14" s="1"/>
  <c r="K2423" i="13" l="1"/>
  <c r="L2423" i="13" s="1"/>
  <c r="I2424" i="13" s="1"/>
  <c r="K2445" i="14"/>
  <c r="L2445" i="14" s="1"/>
  <c r="I2446" i="14" s="1"/>
  <c r="J2608" i="14" a="1"/>
  <c r="J2608" i="14" s="1"/>
  <c r="N2609" i="14"/>
  <c r="M2613" i="14"/>
  <c r="M2612" i="13"/>
  <c r="N2610" i="13"/>
  <c r="J2609" i="13" a="1"/>
  <c r="J2609" i="13" s="1"/>
  <c r="K2424" i="13" l="1"/>
  <c r="L2424" i="13" s="1"/>
  <c r="I2425" i="13" s="1"/>
  <c r="N2611" i="13"/>
  <c r="J2610" i="13" a="1"/>
  <c r="J2610" i="13" s="1"/>
  <c r="M2614" i="14"/>
  <c r="K2446" i="14"/>
  <c r="L2446" i="14" s="1"/>
  <c r="I2447" i="14" s="1"/>
  <c r="M2613" i="13"/>
  <c r="J2609" i="14" a="1"/>
  <c r="J2609" i="14" s="1"/>
  <c r="N2610" i="14"/>
  <c r="K2447" i="14" l="1"/>
  <c r="L2447" i="14" s="1"/>
  <c r="I2448" i="14" s="1"/>
  <c r="K2425" i="13"/>
  <c r="L2425" i="13" s="1"/>
  <c r="I2426" i="13" s="1"/>
  <c r="J2610" i="14" a="1"/>
  <c r="J2610" i="14" s="1"/>
  <c r="N2611" i="14"/>
  <c r="J2611" i="13" a="1"/>
  <c r="J2611" i="13" s="1"/>
  <c r="N2612" i="13"/>
  <c r="M2614" i="13"/>
  <c r="M2615" i="14"/>
  <c r="K2448" i="14" l="1"/>
  <c r="L2448" i="14" s="1"/>
  <c r="I2449" i="14" s="1"/>
  <c r="N2613" i="13"/>
  <c r="J2612" i="13" a="1"/>
  <c r="J2612" i="13" s="1"/>
  <c r="K2426" i="13"/>
  <c r="L2426" i="13" s="1"/>
  <c r="I2427" i="13" s="1"/>
  <c r="M2616" i="14"/>
  <c r="N2612" i="14"/>
  <c r="J2611" i="14" a="1"/>
  <c r="J2611" i="14" s="1"/>
  <c r="M2615" i="13"/>
  <c r="K2427" i="13" l="1"/>
  <c r="L2427" i="13" s="1"/>
  <c r="I2428" i="13" s="1"/>
  <c r="K2449" i="14"/>
  <c r="L2449" i="14" s="1"/>
  <c r="I2450" i="14" s="1"/>
  <c r="N2614" i="13"/>
  <c r="J2613" i="13" a="1"/>
  <c r="J2613" i="13" s="1"/>
  <c r="M2616" i="13"/>
  <c r="M2617" i="14"/>
  <c r="J2612" i="14" a="1"/>
  <c r="J2612" i="14" s="1"/>
  <c r="N2613" i="14"/>
  <c r="K2450" i="14" l="1"/>
  <c r="L2450" i="14" s="1"/>
  <c r="I2451" i="14" s="1"/>
  <c r="K2428" i="13"/>
  <c r="L2428" i="13" s="1"/>
  <c r="I2429" i="13" s="1"/>
  <c r="M2617" i="13"/>
  <c r="M2618" i="14"/>
  <c r="J2613" i="14" a="1"/>
  <c r="J2613" i="14" s="1"/>
  <c r="N2614" i="14"/>
  <c r="N2615" i="13"/>
  <c r="J2614" i="13" a="1"/>
  <c r="J2614" i="13" s="1"/>
  <c r="K2429" i="13" l="1"/>
  <c r="L2429" i="13" s="1"/>
  <c r="I2430" i="13" s="1"/>
  <c r="M2619" i="14"/>
  <c r="J2615" i="13" a="1"/>
  <c r="J2615" i="13" s="1"/>
  <c r="N2616" i="13"/>
  <c r="N2615" i="14"/>
  <c r="J2614" i="14" a="1"/>
  <c r="J2614" i="14" s="1"/>
  <c r="M2618" i="13"/>
  <c r="K2451" i="14"/>
  <c r="L2451" i="14" s="1"/>
  <c r="I2452" i="14" s="1"/>
  <c r="K2452" i="14" l="1"/>
  <c r="L2452" i="14" s="1"/>
  <c r="I2453" i="14" s="1"/>
  <c r="K2430" i="13"/>
  <c r="L2430" i="13" s="1"/>
  <c r="I2431" i="13" s="1"/>
  <c r="N2616" i="14"/>
  <c r="J2615" i="14" a="1"/>
  <c r="J2615" i="14" s="1"/>
  <c r="M2620" i="14"/>
  <c r="N2617" i="13"/>
  <c r="J2616" i="13" a="1"/>
  <c r="J2616" i="13" s="1"/>
  <c r="M2619" i="13"/>
  <c r="K2453" i="14" l="1"/>
  <c r="L2453" i="14" s="1"/>
  <c r="I2454" i="14" s="1"/>
  <c r="K2431" i="13"/>
  <c r="L2431" i="13" s="1"/>
  <c r="I2432" i="13" s="1"/>
  <c r="J2617" i="13" a="1"/>
  <c r="J2617" i="13" s="1"/>
  <c r="N2618" i="13"/>
  <c r="M2620" i="13"/>
  <c r="J2616" i="14" a="1"/>
  <c r="J2616" i="14" s="1"/>
  <c r="N2617" i="14"/>
  <c r="M2621" i="14"/>
  <c r="K2454" i="14" l="1"/>
  <c r="L2454" i="14" s="1"/>
  <c r="I2455" i="14" s="1"/>
  <c r="K2432" i="13"/>
  <c r="L2432" i="13" s="1"/>
  <c r="I2433" i="13" s="1"/>
  <c r="M2621" i="13"/>
  <c r="M2622" i="14"/>
  <c r="J2617" i="14" a="1"/>
  <c r="J2617" i="14" s="1"/>
  <c r="N2618" i="14"/>
  <c r="N2619" i="13"/>
  <c r="J2618" i="13" a="1"/>
  <c r="J2618" i="13" s="1"/>
  <c r="K2433" i="13" l="1"/>
  <c r="L2433" i="13" s="1"/>
  <c r="I2434" i="13" s="1"/>
  <c r="K2455" i="14"/>
  <c r="L2455" i="14" s="1"/>
  <c r="I2456" i="14" s="1"/>
  <c r="M2623" i="14"/>
  <c r="J2619" i="13" a="1"/>
  <c r="J2619" i="13" s="1"/>
  <c r="N2620" i="13"/>
  <c r="J2618" i="14" a="1"/>
  <c r="J2618" i="14" s="1"/>
  <c r="N2619" i="14"/>
  <c r="M2622" i="13"/>
  <c r="K2434" i="13" l="1"/>
  <c r="L2434" i="13" s="1"/>
  <c r="I2435" i="13" s="1"/>
  <c r="N2621" i="13"/>
  <c r="J2620" i="13" a="1"/>
  <c r="J2620" i="13" s="1"/>
  <c r="M2623" i="13"/>
  <c r="K2456" i="14"/>
  <c r="L2456" i="14" s="1"/>
  <c r="I2457" i="14" s="1"/>
  <c r="N2620" i="14"/>
  <c r="J2619" i="14" a="1"/>
  <c r="J2619" i="14" s="1"/>
  <c r="M2624" i="14"/>
  <c r="K2457" i="14" l="1"/>
  <c r="L2457" i="14" s="1"/>
  <c r="I2458" i="14" s="1"/>
  <c r="K2435" i="13"/>
  <c r="L2435" i="13" s="1"/>
  <c r="I2436" i="13" s="1"/>
  <c r="J2621" i="13" a="1"/>
  <c r="J2621" i="13" s="1"/>
  <c r="N2622" i="13"/>
  <c r="M2624" i="13"/>
  <c r="M2625" i="14"/>
  <c r="J2620" i="14" a="1"/>
  <c r="J2620" i="14" s="1"/>
  <c r="N2621" i="14"/>
  <c r="K2436" i="13" l="1"/>
  <c r="L2436" i="13" s="1"/>
  <c r="I2437" i="13" s="1"/>
  <c r="K2458" i="14"/>
  <c r="L2458" i="14" s="1"/>
  <c r="I2459" i="14" s="1"/>
  <c r="J2621" i="14" a="1"/>
  <c r="J2621" i="14" s="1"/>
  <c r="N2622" i="14"/>
  <c r="M2626" i="14"/>
  <c r="M2625" i="13"/>
  <c r="N2623" i="13"/>
  <c r="J2622" i="13" a="1"/>
  <c r="J2622" i="13" s="1"/>
  <c r="K2459" i="14" l="1"/>
  <c r="L2459" i="14" s="1"/>
  <c r="I2460" i="14" s="1"/>
  <c r="K2437" i="13"/>
  <c r="L2437" i="13" s="1"/>
  <c r="I2438" i="13" s="1"/>
  <c r="M2626" i="13"/>
  <c r="M2627" i="14"/>
  <c r="J2623" i="13" a="1"/>
  <c r="J2623" i="13" s="1"/>
  <c r="N2624" i="13"/>
  <c r="N2623" i="14"/>
  <c r="J2622" i="14" a="1"/>
  <c r="J2622" i="14" s="1"/>
  <c r="K2438" i="13" l="1"/>
  <c r="L2438" i="13" s="1"/>
  <c r="I2439" i="13" s="1"/>
  <c r="K2460" i="14"/>
  <c r="L2460" i="14" s="1"/>
  <c r="I2461" i="14" s="1"/>
  <c r="N2625" i="13"/>
  <c r="J2624" i="13" a="1"/>
  <c r="J2624" i="13" s="1"/>
  <c r="N2624" i="14"/>
  <c r="J2623" i="14" a="1"/>
  <c r="J2623" i="14" s="1"/>
  <c r="M2628" i="14"/>
  <c r="M2627" i="13"/>
  <c r="K2461" i="14" l="1"/>
  <c r="L2461" i="14" s="1"/>
  <c r="I2462" i="14" s="1"/>
  <c r="K2439" i="13"/>
  <c r="L2439" i="13" s="1"/>
  <c r="I2440" i="13" s="1"/>
  <c r="M2628" i="13"/>
  <c r="J2624" i="14" a="1"/>
  <c r="J2624" i="14" s="1"/>
  <c r="N2625" i="14"/>
  <c r="M2629" i="14"/>
  <c r="J2625" i="13" a="1"/>
  <c r="J2625" i="13" s="1"/>
  <c r="N2626" i="13"/>
  <c r="K2462" i="14" l="1"/>
  <c r="L2462" i="14" s="1"/>
  <c r="I2463" i="14" s="1"/>
  <c r="K2440" i="13"/>
  <c r="L2440" i="13" s="1"/>
  <c r="I2441" i="13" s="1"/>
  <c r="J2625" i="14" a="1"/>
  <c r="J2625" i="14" s="1"/>
  <c r="N2626" i="14"/>
  <c r="N2627" i="13"/>
  <c r="J2626" i="13" a="1"/>
  <c r="J2626" i="13" s="1"/>
  <c r="M2630" i="14"/>
  <c r="M2629" i="13"/>
  <c r="K2463" i="14" l="1"/>
  <c r="L2463" i="14" s="1"/>
  <c r="I2464" i="14" s="1"/>
  <c r="M2630" i="13"/>
  <c r="J2627" i="13" a="1"/>
  <c r="J2627" i="13" s="1"/>
  <c r="N2628" i="13"/>
  <c r="K2441" i="13"/>
  <c r="L2441" i="13" s="1"/>
  <c r="I2442" i="13" s="1"/>
  <c r="J2626" i="14" a="1"/>
  <c r="J2626" i="14" s="1"/>
  <c r="N2627" i="14"/>
  <c r="M2631" i="14"/>
  <c r="K2442" i="13" l="1"/>
  <c r="L2442" i="13" s="1"/>
  <c r="I2443" i="13" s="1"/>
  <c r="K2464" i="14"/>
  <c r="L2464" i="14" s="1"/>
  <c r="I2465" i="14" s="1"/>
  <c r="N2628" i="14"/>
  <c r="J2627" i="14" a="1"/>
  <c r="J2627" i="14" s="1"/>
  <c r="N2629" i="13"/>
  <c r="J2628" i="13" a="1"/>
  <c r="J2628" i="13" s="1"/>
  <c r="M2632" i="14"/>
  <c r="M2631" i="13"/>
  <c r="K2465" i="14" l="1"/>
  <c r="L2465" i="14" s="1"/>
  <c r="I2466" i="14" s="1"/>
  <c r="K2443" i="13"/>
  <c r="L2443" i="13" s="1"/>
  <c r="I2444" i="13" s="1"/>
  <c r="M2632" i="13"/>
  <c r="J2629" i="13" a="1"/>
  <c r="J2629" i="13" s="1"/>
  <c r="N2630" i="13"/>
  <c r="M2633" i="14"/>
  <c r="J2628" i="14" a="1"/>
  <c r="J2628" i="14" s="1"/>
  <c r="N2629" i="14"/>
  <c r="K2444" i="13" l="1"/>
  <c r="L2444" i="13" s="1"/>
  <c r="I2445" i="13" s="1"/>
  <c r="K2466" i="14"/>
  <c r="L2466" i="14" s="1"/>
  <c r="I2467" i="14" s="1"/>
  <c r="J2629" i="14" a="1"/>
  <c r="J2629" i="14" s="1"/>
  <c r="N2630" i="14"/>
  <c r="N2631" i="13"/>
  <c r="J2630" i="13" a="1"/>
  <c r="J2630" i="13" s="1"/>
  <c r="M2634" i="14"/>
  <c r="M2633" i="13"/>
  <c r="K2467" i="14" l="1"/>
  <c r="L2467" i="14" s="1"/>
  <c r="I2468" i="14" s="1"/>
  <c r="K2445" i="13"/>
  <c r="L2445" i="13" s="1"/>
  <c r="I2446" i="13" s="1"/>
  <c r="M2635" i="14"/>
  <c r="M2634" i="13"/>
  <c r="J2631" i="13" a="1"/>
  <c r="J2631" i="13" s="1"/>
  <c r="N2632" i="13"/>
  <c r="N2631" i="14"/>
  <c r="J2630" i="14" a="1"/>
  <c r="J2630" i="14" s="1"/>
  <c r="K2446" i="13" l="1"/>
  <c r="L2446" i="13" s="1"/>
  <c r="I2447" i="13" s="1"/>
  <c r="K2468" i="14"/>
  <c r="L2468" i="14" s="1"/>
  <c r="I2469" i="14" s="1"/>
  <c r="N2633" i="13"/>
  <c r="J2632" i="13" a="1"/>
  <c r="J2632" i="13" s="1"/>
  <c r="N2632" i="14"/>
  <c r="J2631" i="14" a="1"/>
  <c r="J2631" i="14" s="1"/>
  <c r="M2635" i="13"/>
  <c r="M2636" i="14"/>
  <c r="K2469" i="14" l="1"/>
  <c r="L2469" i="14" s="1"/>
  <c r="I2470" i="14" s="1"/>
  <c r="K2447" i="13"/>
  <c r="L2447" i="13" s="1"/>
  <c r="I2448" i="13" s="1"/>
  <c r="M2636" i="13"/>
  <c r="M2637" i="14"/>
  <c r="J2632" i="14" a="1"/>
  <c r="J2632" i="14" s="1"/>
  <c r="N2633" i="14"/>
  <c r="J2633" i="13" a="1"/>
  <c r="J2633" i="13" s="1"/>
  <c r="N2634" i="13"/>
  <c r="K2448" i="13" l="1"/>
  <c r="L2448" i="13" s="1"/>
  <c r="I2449" i="13" s="1"/>
  <c r="K2470" i="14"/>
  <c r="L2470" i="14" s="1"/>
  <c r="I2471" i="14" s="1"/>
  <c r="N2635" i="13"/>
  <c r="J2634" i="13" a="1"/>
  <c r="J2634" i="13" s="1"/>
  <c r="M2638" i="14"/>
  <c r="J2633" i="14" a="1"/>
  <c r="J2633" i="14" s="1"/>
  <c r="N2634" i="14"/>
  <c r="M2637" i="13"/>
  <c r="K2471" i="14" l="1"/>
  <c r="L2471" i="14" s="1"/>
  <c r="I2472" i="14" s="1"/>
  <c r="K2449" i="13"/>
  <c r="L2449" i="13" s="1"/>
  <c r="I2450" i="13" s="1"/>
  <c r="M2638" i="13"/>
  <c r="M2639" i="14"/>
  <c r="J2634" i="14" a="1"/>
  <c r="J2634" i="14" s="1"/>
  <c r="N2635" i="14"/>
  <c r="J2635" i="13" a="1"/>
  <c r="J2635" i="13" s="1"/>
  <c r="N2636" i="13"/>
  <c r="K2472" i="14" l="1"/>
  <c r="L2472" i="14" s="1"/>
  <c r="I2473" i="14" s="1"/>
  <c r="K2450" i="13"/>
  <c r="L2450" i="13" s="1"/>
  <c r="I2451" i="13" s="1"/>
  <c r="M2640" i="14"/>
  <c r="N2636" i="14"/>
  <c r="J2635" i="14" a="1"/>
  <c r="J2635" i="14" s="1"/>
  <c r="N2637" i="13"/>
  <c r="J2636" i="13" a="1"/>
  <c r="J2636" i="13" s="1"/>
  <c r="M2639" i="13"/>
  <c r="K2451" i="13" l="1"/>
  <c r="L2451" i="13" s="1"/>
  <c r="I2452" i="13" s="1"/>
  <c r="K2473" i="14"/>
  <c r="L2473" i="14" s="1"/>
  <c r="I2474" i="14" s="1"/>
  <c r="M2640" i="13"/>
  <c r="J2636" i="14" a="1"/>
  <c r="J2636" i="14" s="1"/>
  <c r="N2637" i="14"/>
  <c r="J2637" i="13" a="1"/>
  <c r="J2637" i="13" s="1"/>
  <c r="N2638" i="13"/>
  <c r="M2641" i="14"/>
  <c r="K2474" i="14" l="1"/>
  <c r="L2474" i="14" s="1"/>
  <c r="I2475" i="14" s="1"/>
  <c r="J2637" i="14" a="1"/>
  <c r="J2637" i="14" s="1"/>
  <c r="N2638" i="14"/>
  <c r="M2641" i="13"/>
  <c r="M2642" i="14"/>
  <c r="N2639" i="13"/>
  <c r="J2638" i="13" a="1"/>
  <c r="J2638" i="13" s="1"/>
  <c r="K2452" i="13"/>
  <c r="L2452" i="13" s="1"/>
  <c r="I2453" i="13" s="1"/>
  <c r="K2453" i="13" l="1"/>
  <c r="L2453" i="13" s="1"/>
  <c r="I2454" i="13" s="1"/>
  <c r="K2475" i="14"/>
  <c r="L2475" i="14" s="1"/>
  <c r="I2476" i="14" s="1"/>
  <c r="M2643" i="14"/>
  <c r="N2639" i="14"/>
  <c r="J2638" i="14" a="1"/>
  <c r="J2638" i="14" s="1"/>
  <c r="M2642" i="13"/>
  <c r="J2639" i="13" a="1"/>
  <c r="J2639" i="13" s="1"/>
  <c r="N2640" i="13"/>
  <c r="K2476" i="14" l="1"/>
  <c r="L2476" i="14" s="1"/>
  <c r="I2477" i="14" s="1"/>
  <c r="K2454" i="13"/>
  <c r="L2454" i="13" s="1"/>
  <c r="I2455" i="13" s="1"/>
  <c r="N2641" i="13"/>
  <c r="J2640" i="13" a="1"/>
  <c r="J2640" i="13" s="1"/>
  <c r="N2640" i="14"/>
  <c r="J2639" i="14" a="1"/>
  <c r="J2639" i="14" s="1"/>
  <c r="M2643" i="13"/>
  <c r="M2644" i="14"/>
  <c r="K2477" i="14" l="1"/>
  <c r="L2477" i="14" s="1"/>
  <c r="I2478" i="14" s="1"/>
  <c r="K2455" i="13"/>
  <c r="L2455" i="13" s="1"/>
  <c r="I2456" i="13" s="1"/>
  <c r="M2644" i="13"/>
  <c r="M2645" i="14"/>
  <c r="J2640" i="14" a="1"/>
  <c r="J2640" i="14" s="1"/>
  <c r="N2641" i="14"/>
  <c r="J2641" i="13" a="1"/>
  <c r="J2641" i="13" s="1"/>
  <c r="N2642" i="13"/>
  <c r="K2478" i="14" l="1"/>
  <c r="L2478" i="14" s="1"/>
  <c r="I2479" i="14" s="1"/>
  <c r="K2456" i="13"/>
  <c r="L2456" i="13" s="1"/>
  <c r="I2457" i="13" s="1"/>
  <c r="N2643" i="13"/>
  <c r="J2642" i="13" a="1"/>
  <c r="J2642" i="13" s="1"/>
  <c r="M2646" i="14"/>
  <c r="J2641" i="14" a="1"/>
  <c r="J2641" i="14" s="1"/>
  <c r="N2642" i="14"/>
  <c r="M2645" i="13"/>
  <c r="K2457" i="13" l="1"/>
  <c r="L2457" i="13" s="1"/>
  <c r="I2458" i="13" s="1"/>
  <c r="J2642" i="14" a="1"/>
  <c r="J2642" i="14" s="1"/>
  <c r="N2643" i="14"/>
  <c r="J2643" i="13" a="1"/>
  <c r="J2643" i="13" s="1"/>
  <c r="N2644" i="13"/>
  <c r="M2646" i="13"/>
  <c r="M2647" i="14"/>
  <c r="K2479" i="14"/>
  <c r="L2479" i="14" s="1"/>
  <c r="I2480" i="14" s="1"/>
  <c r="K2458" i="13" l="1"/>
  <c r="L2458" i="13" s="1"/>
  <c r="I2459" i="13" s="1"/>
  <c r="K2480" i="14"/>
  <c r="L2480" i="14" s="1"/>
  <c r="I2481" i="14" s="1"/>
  <c r="N2644" i="14"/>
  <c r="J2643" i="14" a="1"/>
  <c r="J2643" i="14" s="1"/>
  <c r="M2647" i="13"/>
  <c r="N2645" i="13"/>
  <c r="J2644" i="13" a="1"/>
  <c r="J2644" i="13" s="1"/>
  <c r="M2648" i="14"/>
  <c r="K2481" i="14" l="1"/>
  <c r="L2481" i="14" s="1"/>
  <c r="I2482" i="14" s="1"/>
  <c r="K2459" i="13"/>
  <c r="L2459" i="13" s="1"/>
  <c r="I2460" i="13" s="1"/>
  <c r="M2648" i="13"/>
  <c r="M2649" i="14"/>
  <c r="J2645" i="13" a="1"/>
  <c r="J2645" i="13" s="1"/>
  <c r="N2646" i="13"/>
  <c r="J2644" i="14" a="1"/>
  <c r="J2644" i="14" s="1"/>
  <c r="N2645" i="14"/>
  <c r="K2460" i="13" l="1"/>
  <c r="L2460" i="13" s="1"/>
  <c r="I2461" i="13" s="1"/>
  <c r="K2482" i="14"/>
  <c r="L2482" i="14" s="1"/>
  <c r="I2483" i="14" s="1"/>
  <c r="N2647" i="13"/>
  <c r="J2646" i="13" a="1"/>
  <c r="J2646" i="13" s="1"/>
  <c r="M2650" i="14"/>
  <c r="J2645" i="14" a="1"/>
  <c r="J2645" i="14" s="1"/>
  <c r="N2646" i="14"/>
  <c r="M2649" i="13"/>
  <c r="K2483" i="14" l="1"/>
  <c r="L2483" i="14" s="1"/>
  <c r="I2484" i="14" s="1"/>
  <c r="K2461" i="13"/>
  <c r="L2461" i="13" s="1"/>
  <c r="I2462" i="13" s="1"/>
  <c r="N2647" i="14"/>
  <c r="J2646" i="14" a="1"/>
  <c r="J2646" i="14" s="1"/>
  <c r="M2650" i="13"/>
  <c r="M2651" i="14"/>
  <c r="J2647" i="13" a="1"/>
  <c r="J2647" i="13" s="1"/>
  <c r="N2648" i="13"/>
  <c r="K2462" i="13" l="1"/>
  <c r="L2462" i="13" s="1"/>
  <c r="I2463" i="13" s="1"/>
  <c r="N2648" i="14"/>
  <c r="J2647" i="14" a="1"/>
  <c r="J2647" i="14" s="1"/>
  <c r="N2649" i="13"/>
  <c r="J2648" i="13" a="1"/>
  <c r="J2648" i="13" s="1"/>
  <c r="M2651" i="13"/>
  <c r="M2652" i="14"/>
  <c r="K2484" i="14"/>
  <c r="L2484" i="14" s="1"/>
  <c r="I2485" i="14" s="1"/>
  <c r="K2463" i="13" l="1"/>
  <c r="L2463" i="13" s="1"/>
  <c r="I2464" i="13" s="1"/>
  <c r="K2485" i="14"/>
  <c r="L2485" i="14" s="1"/>
  <c r="I2486" i="14" s="1"/>
  <c r="J2648" i="14" a="1"/>
  <c r="J2648" i="14" s="1"/>
  <c r="N2649" i="14"/>
  <c r="M2652" i="13"/>
  <c r="M2653" i="14"/>
  <c r="J2649" i="13" a="1"/>
  <c r="J2649" i="13" s="1"/>
  <c r="N2650" i="13"/>
  <c r="K2486" i="14" l="1"/>
  <c r="L2486" i="14" s="1"/>
  <c r="I2487" i="14" s="1"/>
  <c r="M2654" i="14"/>
  <c r="M2653" i="13"/>
  <c r="N2651" i="13"/>
  <c r="J2650" i="13" a="1"/>
  <c r="J2650" i="13" s="1"/>
  <c r="J2649" i="14" a="1"/>
  <c r="J2649" i="14" s="1"/>
  <c r="N2650" i="14"/>
  <c r="K2464" i="13"/>
  <c r="L2464" i="13" s="1"/>
  <c r="I2465" i="13" s="1"/>
  <c r="K2465" i="13" l="1"/>
  <c r="L2465" i="13" s="1"/>
  <c r="I2466" i="13" s="1"/>
  <c r="K2487" i="14"/>
  <c r="L2487" i="14" s="1"/>
  <c r="I2488" i="14" s="1"/>
  <c r="M2655" i="14"/>
  <c r="J2651" i="13" a="1"/>
  <c r="J2651" i="13" s="1"/>
  <c r="N2652" i="13"/>
  <c r="J2650" i="14" a="1"/>
  <c r="J2650" i="14" s="1"/>
  <c r="N2651" i="14"/>
  <c r="M2654" i="13"/>
  <c r="K2488" i="14" l="1"/>
  <c r="L2488" i="14" s="1"/>
  <c r="I2489" i="14" s="1"/>
  <c r="N2653" i="13"/>
  <c r="J2652" i="13" a="1"/>
  <c r="J2652" i="13" s="1"/>
  <c r="M2656" i="14"/>
  <c r="M2655" i="13"/>
  <c r="N2652" i="14"/>
  <c r="J2651" i="14" a="1"/>
  <c r="J2651" i="14" s="1"/>
  <c r="K2466" i="13"/>
  <c r="L2466" i="13" s="1"/>
  <c r="I2467" i="13" s="1"/>
  <c r="K2467" i="13" l="1"/>
  <c r="L2467" i="13" s="1"/>
  <c r="I2468" i="13" s="1"/>
  <c r="M2656" i="13"/>
  <c r="J2653" i="13" a="1"/>
  <c r="J2653" i="13" s="1"/>
  <c r="N2654" i="13"/>
  <c r="J2652" i="14" a="1"/>
  <c r="J2652" i="14" s="1"/>
  <c r="N2653" i="14"/>
  <c r="M2657" i="14"/>
  <c r="K2489" i="14"/>
  <c r="L2489" i="14" s="1"/>
  <c r="I2490" i="14" s="1"/>
  <c r="K2468" i="13" l="1"/>
  <c r="L2468" i="13" s="1"/>
  <c r="I2469" i="13" s="1"/>
  <c r="K2490" i="14"/>
  <c r="L2490" i="14" s="1"/>
  <c r="I2491" i="14" s="1"/>
  <c r="J2653" i="14" a="1"/>
  <c r="J2653" i="14" s="1"/>
  <c r="N2654" i="14"/>
  <c r="M2657" i="13"/>
  <c r="M2658" i="14"/>
  <c r="N2655" i="13"/>
  <c r="J2654" i="13" a="1"/>
  <c r="J2654" i="13" s="1"/>
  <c r="K2491" i="14" l="1"/>
  <c r="L2491" i="14" s="1"/>
  <c r="I2492" i="14" s="1"/>
  <c r="K2469" i="13"/>
  <c r="L2469" i="13" s="1"/>
  <c r="I2470" i="13" s="1"/>
  <c r="M2658" i="13"/>
  <c r="J2655" i="13" a="1"/>
  <c r="J2655" i="13" s="1"/>
  <c r="N2656" i="13"/>
  <c r="M2659" i="14"/>
  <c r="N2655" i="14"/>
  <c r="J2654" i="14" a="1"/>
  <c r="J2654" i="14" s="1"/>
  <c r="K2470" i="13" l="1"/>
  <c r="L2470" i="13" s="1"/>
  <c r="I2471" i="13" s="1"/>
  <c r="K2492" i="14"/>
  <c r="L2492" i="14" s="1"/>
  <c r="I2493" i="14" s="1"/>
  <c r="N2657" i="13"/>
  <c r="J2656" i="13" a="1"/>
  <c r="J2656" i="13" s="1"/>
  <c r="N2656" i="14"/>
  <c r="J2655" i="14" a="1"/>
  <c r="J2655" i="14" s="1"/>
  <c r="M2660" i="14"/>
  <c r="M2659" i="13"/>
  <c r="K2493" i="14" l="1"/>
  <c r="L2493" i="14" s="1"/>
  <c r="I2494" i="14" s="1"/>
  <c r="M2661" i="14"/>
  <c r="M2660" i="13"/>
  <c r="J2656" i="14" a="1"/>
  <c r="J2656" i="14" s="1"/>
  <c r="N2657" i="14"/>
  <c r="J2657" i="13" a="1"/>
  <c r="J2657" i="13" s="1"/>
  <c r="N2658" i="13"/>
  <c r="K2471" i="13"/>
  <c r="L2471" i="13" s="1"/>
  <c r="I2472" i="13" s="1"/>
  <c r="K2472" i="13" l="1"/>
  <c r="L2472" i="13" s="1"/>
  <c r="I2473" i="13" s="1"/>
  <c r="K2494" i="14"/>
  <c r="L2494" i="14" s="1"/>
  <c r="I2495" i="14" s="1"/>
  <c r="J2657" i="14" a="1"/>
  <c r="J2657" i="14" s="1"/>
  <c r="N2658" i="14"/>
  <c r="M2662" i="14"/>
  <c r="N2659" i="13"/>
  <c r="J2658" i="13" a="1"/>
  <c r="J2658" i="13" s="1"/>
  <c r="M2661" i="13"/>
  <c r="K2495" i="14" l="1"/>
  <c r="L2495" i="14" s="1"/>
  <c r="I2496" i="14" s="1"/>
  <c r="M2662" i="13"/>
  <c r="M2663" i="14"/>
  <c r="J2659" i="13" a="1"/>
  <c r="J2659" i="13" s="1"/>
  <c r="N2660" i="13"/>
  <c r="J2658" i="14" a="1"/>
  <c r="J2658" i="14" s="1"/>
  <c r="N2659" i="14"/>
  <c r="K2473" i="13"/>
  <c r="L2473" i="13" s="1"/>
  <c r="I2474" i="13" s="1"/>
  <c r="K2474" i="13" l="1"/>
  <c r="L2474" i="13" s="1"/>
  <c r="I2475" i="13" s="1"/>
  <c r="K2496" i="14"/>
  <c r="L2496" i="14" s="1"/>
  <c r="I2497" i="14" s="1"/>
  <c r="N2661" i="13"/>
  <c r="J2660" i="13" a="1"/>
  <c r="J2660" i="13" s="1"/>
  <c r="M2663" i="13"/>
  <c r="N2660" i="14"/>
  <c r="J2659" i="14" a="1"/>
  <c r="J2659" i="14" s="1"/>
  <c r="M2664" i="14"/>
  <c r="K2497" i="14" l="1"/>
  <c r="L2497" i="14" s="1"/>
  <c r="I2498" i="14" s="1"/>
  <c r="J2660" i="14" a="1"/>
  <c r="J2660" i="14" s="1"/>
  <c r="N2661" i="14"/>
  <c r="J2661" i="13" a="1"/>
  <c r="J2661" i="13" s="1"/>
  <c r="N2662" i="13"/>
  <c r="M2664" i="13"/>
  <c r="M2665" i="14"/>
  <c r="K2475" i="13"/>
  <c r="L2475" i="13" s="1"/>
  <c r="I2476" i="13" s="1"/>
  <c r="K2498" i="14" l="1"/>
  <c r="L2498" i="14" s="1"/>
  <c r="I2499" i="14" s="1"/>
  <c r="K2476" i="13"/>
  <c r="L2476" i="13" s="1"/>
  <c r="I2477" i="13" s="1"/>
  <c r="J2661" i="14" a="1"/>
  <c r="J2661" i="14" s="1"/>
  <c r="N2662" i="14"/>
  <c r="M2665" i="13"/>
  <c r="M2666" i="14"/>
  <c r="N2663" i="13"/>
  <c r="J2662" i="13" a="1"/>
  <c r="J2662" i="13" s="1"/>
  <c r="K2477" i="13" l="1"/>
  <c r="L2477" i="13" s="1"/>
  <c r="I2478" i="13" s="1"/>
  <c r="K2499" i="14"/>
  <c r="L2499" i="14" s="1"/>
  <c r="I2500" i="14" s="1"/>
  <c r="J2663" i="13" a="1"/>
  <c r="J2663" i="13" s="1"/>
  <c r="N2664" i="13"/>
  <c r="M2666" i="13"/>
  <c r="M2667" i="14"/>
  <c r="N2663" i="14"/>
  <c r="J2662" i="14" a="1"/>
  <c r="J2662" i="14" s="1"/>
  <c r="K2500" i="14" l="1"/>
  <c r="L2500" i="14" s="1"/>
  <c r="I2501" i="14" s="1"/>
  <c r="M2668" i="14"/>
  <c r="N2664" i="14"/>
  <c r="J2663" i="14" a="1"/>
  <c r="J2663" i="14" s="1"/>
  <c r="M2667" i="13"/>
  <c r="N2665" i="13"/>
  <c r="J2664" i="13" a="1"/>
  <c r="J2664" i="13" s="1"/>
  <c r="K2478" i="13"/>
  <c r="L2478" i="13" s="1"/>
  <c r="I2479" i="13" s="1"/>
  <c r="K2479" i="13" l="1"/>
  <c r="L2479" i="13" s="1"/>
  <c r="I2480" i="13" s="1"/>
  <c r="K2501" i="14"/>
  <c r="L2501" i="14" s="1"/>
  <c r="I2502" i="14" s="1"/>
  <c r="J2665" i="13" a="1"/>
  <c r="J2665" i="13" s="1"/>
  <c r="N2666" i="13"/>
  <c r="M2668" i="13"/>
  <c r="M2669" i="14"/>
  <c r="J2664" i="14" a="1"/>
  <c r="J2664" i="14" s="1"/>
  <c r="N2665" i="14"/>
  <c r="K2502" i="14" l="1"/>
  <c r="L2502" i="14" s="1"/>
  <c r="I2503" i="14" s="1"/>
  <c r="K2480" i="13"/>
  <c r="L2480" i="13" s="1"/>
  <c r="I2481" i="13" s="1"/>
  <c r="J2665" i="14" a="1"/>
  <c r="J2665" i="14" s="1"/>
  <c r="N2666" i="14"/>
  <c r="M2669" i="13"/>
  <c r="N2667" i="13"/>
  <c r="J2666" i="13" a="1"/>
  <c r="J2666" i="13" s="1"/>
  <c r="M2670" i="14"/>
  <c r="K2481" i="13" l="1"/>
  <c r="L2481" i="13" s="1"/>
  <c r="I2482" i="13" s="1"/>
  <c r="K2503" i="14"/>
  <c r="L2503" i="14" s="1"/>
  <c r="I2504" i="14" s="1"/>
  <c r="M2670" i="13"/>
  <c r="M2671" i="14"/>
  <c r="J2666" i="14" a="1"/>
  <c r="J2666" i="14" s="1"/>
  <c r="N2667" i="14"/>
  <c r="J2667" i="13" a="1"/>
  <c r="J2667" i="13" s="1"/>
  <c r="N2668" i="13"/>
  <c r="K2504" i="14" l="1"/>
  <c r="L2504" i="14" s="1"/>
  <c r="I2505" i="14" s="1"/>
  <c r="K2482" i="13"/>
  <c r="L2482" i="13" s="1"/>
  <c r="I2483" i="13" s="1"/>
  <c r="N2669" i="13"/>
  <c r="J2668" i="13" a="1"/>
  <c r="J2668" i="13" s="1"/>
  <c r="M2672" i="14"/>
  <c r="N2668" i="14"/>
  <c r="J2667" i="14" a="1"/>
  <c r="J2667" i="14" s="1"/>
  <c r="M2671" i="13"/>
  <c r="K2483" i="13" l="1"/>
  <c r="L2483" i="13" s="1"/>
  <c r="I2484" i="13" s="1"/>
  <c r="J2669" i="13" a="1"/>
  <c r="J2669" i="13" s="1"/>
  <c r="N2670" i="13"/>
  <c r="M2672" i="13"/>
  <c r="M2673" i="14"/>
  <c r="J2668" i="14" a="1"/>
  <c r="J2668" i="14" s="1"/>
  <c r="N2669" i="14"/>
  <c r="K2505" i="14"/>
  <c r="L2505" i="14" s="1"/>
  <c r="I2506" i="14" s="1"/>
  <c r="K2506" i="14" l="1"/>
  <c r="L2506" i="14" s="1"/>
  <c r="I2507" i="14" s="1"/>
  <c r="K2484" i="13"/>
  <c r="L2484" i="13" s="1"/>
  <c r="I2485" i="13" s="1"/>
  <c r="N2671" i="13"/>
  <c r="J2670" i="13" a="1"/>
  <c r="J2670" i="13" s="1"/>
  <c r="M2674" i="14"/>
  <c r="J2669" i="14" a="1"/>
  <c r="J2669" i="14" s="1"/>
  <c r="N2670" i="14"/>
  <c r="M2673" i="13"/>
  <c r="K2485" i="13" l="1"/>
  <c r="L2485" i="13" s="1"/>
  <c r="I2486" i="13" s="1"/>
  <c r="K2507" i="14"/>
  <c r="L2507" i="14" s="1"/>
  <c r="I2508" i="14" s="1"/>
  <c r="M2674" i="13"/>
  <c r="M2675" i="14"/>
  <c r="N2671" i="14"/>
  <c r="J2670" i="14" a="1"/>
  <c r="J2670" i="14" s="1"/>
  <c r="J2671" i="13" a="1"/>
  <c r="J2671" i="13" s="1"/>
  <c r="N2672" i="13"/>
  <c r="K2508" i="14" l="1"/>
  <c r="L2508" i="14" s="1"/>
  <c r="I2509" i="14" s="1"/>
  <c r="K2486" i="13"/>
  <c r="L2486" i="13" s="1"/>
  <c r="I2487" i="13" s="1"/>
  <c r="N2673" i="13"/>
  <c r="J2672" i="13" a="1"/>
  <c r="J2672" i="13" s="1"/>
  <c r="M2676" i="14"/>
  <c r="N2672" i="14"/>
  <c r="J2671" i="14" a="1"/>
  <c r="J2671" i="14" s="1"/>
  <c r="M2675" i="13"/>
  <c r="K2509" i="14" l="1"/>
  <c r="L2509" i="14" s="1"/>
  <c r="I2510" i="14" s="1"/>
  <c r="K2487" i="13"/>
  <c r="L2487" i="13" s="1"/>
  <c r="I2488" i="13" s="1"/>
  <c r="J2672" i="14" a="1"/>
  <c r="J2672" i="14" s="1"/>
  <c r="N2673" i="14"/>
  <c r="M2676" i="13"/>
  <c r="M2677" i="14"/>
  <c r="J2673" i="13" a="1"/>
  <c r="J2673" i="13" s="1"/>
  <c r="N2674" i="13"/>
  <c r="K2510" i="14" l="1"/>
  <c r="L2510" i="14" s="1"/>
  <c r="I2511" i="14" s="1"/>
  <c r="K2488" i="13"/>
  <c r="L2488" i="13" s="1"/>
  <c r="I2489" i="13" s="1"/>
  <c r="M2677" i="13"/>
  <c r="N2675" i="13"/>
  <c r="J2674" i="13" a="1"/>
  <c r="J2674" i="13" s="1"/>
  <c r="J2673" i="14" a="1"/>
  <c r="J2673" i="14" s="1"/>
  <c r="N2674" i="14"/>
  <c r="M2678" i="14"/>
  <c r="K2489" i="13" l="1"/>
  <c r="L2489" i="13" s="1"/>
  <c r="I2490" i="13" s="1"/>
  <c r="K2511" i="14"/>
  <c r="L2511" i="14" s="1"/>
  <c r="I2512" i="14" s="1"/>
  <c r="M2679" i="14"/>
  <c r="J2675" i="13" a="1"/>
  <c r="J2675" i="13" s="1"/>
  <c r="N2676" i="13"/>
  <c r="J2674" i="14" a="1"/>
  <c r="J2674" i="14" s="1"/>
  <c r="N2675" i="14"/>
  <c r="M2678" i="13"/>
  <c r="K2512" i="14" l="1"/>
  <c r="L2512" i="14" s="1"/>
  <c r="I2513" i="14" s="1"/>
  <c r="K2490" i="13"/>
  <c r="L2490" i="13" s="1"/>
  <c r="I2491" i="13" s="1"/>
  <c r="N2677" i="13"/>
  <c r="J2676" i="13" a="1"/>
  <c r="J2676" i="13" s="1"/>
  <c r="N2676" i="14"/>
  <c r="J2675" i="14" a="1"/>
  <c r="J2675" i="14" s="1"/>
  <c r="M2679" i="13"/>
  <c r="M2680" i="14"/>
  <c r="K2491" i="13" l="1"/>
  <c r="L2491" i="13" s="1"/>
  <c r="I2492" i="13" s="1"/>
  <c r="M2681" i="14"/>
  <c r="J2676" i="14" a="1"/>
  <c r="J2676" i="14" s="1"/>
  <c r="N2677" i="14"/>
  <c r="M2680" i="13"/>
  <c r="J2677" i="13" a="1"/>
  <c r="J2677" i="13" s="1"/>
  <c r="N2678" i="13"/>
  <c r="K2513" i="14"/>
  <c r="L2513" i="14" s="1"/>
  <c r="I2514" i="14" s="1"/>
  <c r="K2492" i="13" l="1"/>
  <c r="L2492" i="13" s="1"/>
  <c r="I2493" i="13" s="1"/>
  <c r="K2514" i="14"/>
  <c r="L2514" i="14" s="1"/>
  <c r="I2515" i="14" s="1"/>
  <c r="M2682" i="14"/>
  <c r="N2679" i="13"/>
  <c r="J2678" i="13" a="1"/>
  <c r="J2678" i="13" s="1"/>
  <c r="M2681" i="13"/>
  <c r="J2677" i="14" a="1"/>
  <c r="J2677" i="14" s="1"/>
  <c r="N2678" i="14"/>
  <c r="K2515" i="14" l="1"/>
  <c r="L2515" i="14" s="1"/>
  <c r="I2516" i="14" s="1"/>
  <c r="K2493" i="13"/>
  <c r="L2493" i="13" s="1"/>
  <c r="I2494" i="13" s="1"/>
  <c r="J2679" i="13" a="1"/>
  <c r="J2679" i="13" s="1"/>
  <c r="N2680" i="13"/>
  <c r="N2679" i="14"/>
  <c r="J2678" i="14" a="1"/>
  <c r="J2678" i="14" s="1"/>
  <c r="M2682" i="13"/>
  <c r="M2683" i="14"/>
  <c r="K2494" i="13" l="1"/>
  <c r="L2494" i="13" s="1"/>
  <c r="I2495" i="13" s="1"/>
  <c r="M2683" i="13"/>
  <c r="N2680" i="14"/>
  <c r="J2679" i="14" a="1"/>
  <c r="J2679" i="14" s="1"/>
  <c r="M2684" i="14"/>
  <c r="N2681" i="13"/>
  <c r="J2680" i="13" a="1"/>
  <c r="J2680" i="13" s="1"/>
  <c r="K2516" i="14"/>
  <c r="L2516" i="14" s="1"/>
  <c r="I2517" i="14" s="1"/>
  <c r="K2517" i="14" l="1"/>
  <c r="L2517" i="14" s="1"/>
  <c r="I2518" i="14" s="1"/>
  <c r="M2684" i="13"/>
  <c r="J2680" i="14" a="1"/>
  <c r="J2680" i="14" s="1"/>
  <c r="N2681" i="14"/>
  <c r="M2685" i="14"/>
  <c r="J2681" i="13" a="1"/>
  <c r="J2681" i="13" s="1"/>
  <c r="N2682" i="13"/>
  <c r="K2495" i="13"/>
  <c r="L2495" i="13" s="1"/>
  <c r="I2496" i="13" s="1"/>
  <c r="K2518" i="14" l="1"/>
  <c r="L2518" i="14" s="1"/>
  <c r="I2519" i="14" s="1"/>
  <c r="K2496" i="13"/>
  <c r="L2496" i="13" s="1"/>
  <c r="I2497" i="13" s="1"/>
  <c r="J2681" i="14" a="1"/>
  <c r="J2681" i="14" s="1"/>
  <c r="N2682" i="14"/>
  <c r="M2686" i="14"/>
  <c r="M2685" i="13"/>
  <c r="N2683" i="13"/>
  <c r="J2682" i="13" a="1"/>
  <c r="J2682" i="13" s="1"/>
  <c r="K2497" i="13" l="1"/>
  <c r="L2497" i="13" s="1"/>
  <c r="I2498" i="13" s="1"/>
  <c r="K2519" i="14"/>
  <c r="L2519" i="14" s="1"/>
  <c r="I2520" i="14" s="1"/>
  <c r="M2687" i="14"/>
  <c r="J2683" i="13" a="1"/>
  <c r="J2683" i="13" s="1"/>
  <c r="N2684" i="13"/>
  <c r="M2686" i="13"/>
  <c r="J2682" i="14" a="1"/>
  <c r="J2682" i="14" s="1"/>
  <c r="N2683" i="14"/>
  <c r="K2520" i="14" l="1"/>
  <c r="L2520" i="14" s="1"/>
  <c r="I2521" i="14" s="1"/>
  <c r="N2684" i="14"/>
  <c r="J2683" i="14" a="1"/>
  <c r="J2683" i="14" s="1"/>
  <c r="N2685" i="13"/>
  <c r="J2684" i="13" a="1"/>
  <c r="J2684" i="13" s="1"/>
  <c r="M2687" i="13"/>
  <c r="M2688" i="14"/>
  <c r="K2498" i="13"/>
  <c r="L2498" i="13" s="1"/>
  <c r="I2499" i="13" s="1"/>
  <c r="K2521" i="14" l="1"/>
  <c r="L2521" i="14" s="1"/>
  <c r="I2522" i="14" s="1"/>
  <c r="M2688" i="13"/>
  <c r="K2499" i="13"/>
  <c r="L2499" i="13" s="1"/>
  <c r="I2500" i="13" s="1"/>
  <c r="J2684" i="14" a="1"/>
  <c r="J2684" i="14" s="1"/>
  <c r="N2685" i="14"/>
  <c r="M2689" i="14"/>
  <c r="J2685" i="13" a="1"/>
  <c r="J2685" i="13" s="1"/>
  <c r="N2686" i="13"/>
  <c r="K2522" i="14" l="1"/>
  <c r="L2522" i="14" s="1"/>
  <c r="I2523" i="14" s="1"/>
  <c r="K2500" i="13"/>
  <c r="L2500" i="13" s="1"/>
  <c r="I2501" i="13" s="1"/>
  <c r="J2685" i="14" a="1"/>
  <c r="J2685" i="14" s="1"/>
  <c r="N2686" i="14"/>
  <c r="N2687" i="13"/>
  <c r="J2686" i="13" a="1"/>
  <c r="J2686" i="13" s="1"/>
  <c r="M2689" i="13"/>
  <c r="M2690" i="14"/>
  <c r="K2501" i="13" l="1"/>
  <c r="L2501" i="13" s="1"/>
  <c r="I2502" i="13" s="1"/>
  <c r="K2523" i="14"/>
  <c r="L2523" i="14" s="1"/>
  <c r="I2524" i="14" s="1"/>
  <c r="J2687" i="13" a="1"/>
  <c r="J2687" i="13" s="1"/>
  <c r="N2688" i="13"/>
  <c r="M2691" i="14"/>
  <c r="M2690" i="13"/>
  <c r="N2687" i="14"/>
  <c r="J2686" i="14" a="1"/>
  <c r="J2686" i="14" s="1"/>
  <c r="K2524" i="14" l="1"/>
  <c r="L2524" i="14" s="1"/>
  <c r="I2525" i="14" s="1"/>
  <c r="K2502" i="13"/>
  <c r="L2502" i="13" s="1"/>
  <c r="I2503" i="13" s="1"/>
  <c r="M2691" i="13"/>
  <c r="N2688" i="14"/>
  <c r="J2687" i="14" a="1"/>
  <c r="J2687" i="14" s="1"/>
  <c r="M2692" i="14"/>
  <c r="N2689" i="13"/>
  <c r="J2688" i="13" a="1"/>
  <c r="J2688" i="13" s="1"/>
  <c r="K2503" i="13" l="1"/>
  <c r="L2503" i="13" s="1"/>
  <c r="I2504" i="13" s="1"/>
  <c r="J2688" i="14" a="1"/>
  <c r="J2688" i="14" s="1"/>
  <c r="N2689" i="14"/>
  <c r="M2693" i="14"/>
  <c r="J2689" i="13" a="1"/>
  <c r="J2689" i="13" s="1"/>
  <c r="N2690" i="13"/>
  <c r="M2692" i="13"/>
  <c r="K2525" i="14"/>
  <c r="L2525" i="14" s="1"/>
  <c r="I2526" i="14" s="1"/>
  <c r="K2526" i="14" l="1"/>
  <c r="L2526" i="14" s="1"/>
  <c r="I2527" i="14" s="1"/>
  <c r="K2504" i="13"/>
  <c r="L2504" i="13" s="1"/>
  <c r="I2505" i="13" s="1"/>
  <c r="J2689" i="14" a="1"/>
  <c r="J2689" i="14" s="1"/>
  <c r="N2690" i="14"/>
  <c r="N2691" i="13"/>
  <c r="J2690" i="13" a="1"/>
  <c r="J2690" i="13" s="1"/>
  <c r="M2693" i="13"/>
  <c r="M2694" i="14"/>
  <c r="K2527" i="14" l="1"/>
  <c r="L2527" i="14" s="1"/>
  <c r="I2528" i="14" s="1"/>
  <c r="K2505" i="13"/>
  <c r="L2505" i="13" s="1"/>
  <c r="I2506" i="13" s="1"/>
  <c r="J2691" i="13" a="1"/>
  <c r="J2691" i="13" s="1"/>
  <c r="N2692" i="13"/>
  <c r="J2690" i="14" a="1"/>
  <c r="J2690" i="14" s="1"/>
  <c r="N2691" i="14"/>
  <c r="M2695" i="14"/>
  <c r="M2694" i="13"/>
  <c r="K2506" i="13" l="1"/>
  <c r="L2506" i="13" s="1"/>
  <c r="I2507" i="13" s="1"/>
  <c r="M2696" i="14"/>
  <c r="N2692" i="14"/>
  <c r="J2691" i="14" a="1"/>
  <c r="J2691" i="14" s="1"/>
  <c r="M2695" i="13"/>
  <c r="N2693" i="13"/>
  <c r="J2692" i="13" a="1"/>
  <c r="J2692" i="13" s="1"/>
  <c r="K2528" i="14"/>
  <c r="L2528" i="14" s="1"/>
  <c r="I2529" i="14" s="1"/>
  <c r="K2507" i="13" l="1"/>
  <c r="L2507" i="13" s="1"/>
  <c r="I2508" i="13" s="1"/>
  <c r="K2529" i="14"/>
  <c r="L2529" i="14" s="1"/>
  <c r="I2530" i="14" s="1"/>
  <c r="M2696" i="13"/>
  <c r="M2697" i="14"/>
  <c r="J2693" i="13" a="1"/>
  <c r="J2693" i="13" s="1"/>
  <c r="N2694" i="13"/>
  <c r="J2692" i="14" a="1"/>
  <c r="J2692" i="14" s="1"/>
  <c r="N2693" i="14"/>
  <c r="K2508" i="13" l="1"/>
  <c r="L2508" i="13" s="1"/>
  <c r="I2509" i="13" s="1"/>
  <c r="K2530" i="14"/>
  <c r="L2530" i="14" s="1"/>
  <c r="I2531" i="14" s="1"/>
  <c r="N2695" i="13"/>
  <c r="J2694" i="13" a="1"/>
  <c r="J2694" i="13" s="1"/>
  <c r="J2693" i="14" a="1"/>
  <c r="J2693" i="14" s="1"/>
  <c r="N2694" i="14"/>
  <c r="M2698" i="14"/>
  <c r="M2697" i="13"/>
  <c r="K2531" i="14" l="1"/>
  <c r="L2531" i="14" s="1"/>
  <c r="I2532" i="14" s="1"/>
  <c r="K2509" i="13"/>
  <c r="L2509" i="13" s="1"/>
  <c r="I2510" i="13" s="1"/>
  <c r="N2695" i="14"/>
  <c r="J2694" i="14" a="1"/>
  <c r="J2694" i="14" s="1"/>
  <c r="M2698" i="13"/>
  <c r="M2699" i="14"/>
  <c r="J2695" i="13" a="1"/>
  <c r="J2695" i="13" s="1"/>
  <c r="N2696" i="13"/>
  <c r="K2532" i="14" l="1"/>
  <c r="L2532" i="14" s="1"/>
  <c r="I2533" i="14" s="1"/>
  <c r="K2510" i="13"/>
  <c r="L2510" i="13" s="1"/>
  <c r="I2511" i="13" s="1"/>
  <c r="N2697" i="13"/>
  <c r="J2696" i="13" a="1"/>
  <c r="J2696" i="13" s="1"/>
  <c r="M2699" i="13"/>
  <c r="M2700" i="14"/>
  <c r="N2696" i="14"/>
  <c r="J2695" i="14" a="1"/>
  <c r="J2695" i="14" s="1"/>
  <c r="K2511" i="13" l="1"/>
  <c r="L2511" i="13" s="1"/>
  <c r="I2512" i="13" s="1"/>
  <c r="K2533" i="14"/>
  <c r="L2533" i="14" s="1"/>
  <c r="I2534" i="14" s="1"/>
  <c r="M2700" i="13"/>
  <c r="J2696" i="14" a="1"/>
  <c r="J2696" i="14" s="1"/>
  <c r="N2697" i="14"/>
  <c r="M2701" i="14"/>
  <c r="J2697" i="13" a="1"/>
  <c r="J2697" i="13" s="1"/>
  <c r="N2698" i="13"/>
  <c r="K2512" i="13" l="1"/>
  <c r="L2512" i="13" s="1"/>
  <c r="I2513" i="13" s="1"/>
  <c r="K2534" i="14"/>
  <c r="L2534" i="14" s="1"/>
  <c r="I2535" i="14" s="1"/>
  <c r="J2697" i="14" a="1"/>
  <c r="J2697" i="14" s="1"/>
  <c r="N2698" i="14"/>
  <c r="N2699" i="13"/>
  <c r="J2698" i="13" a="1"/>
  <c r="J2698" i="13" s="1"/>
  <c r="M2702" i="14"/>
  <c r="M2701" i="13"/>
  <c r="K2535" i="14" l="1"/>
  <c r="L2535" i="14" s="1"/>
  <c r="I2536" i="14" s="1"/>
  <c r="J2699" i="13" a="1"/>
  <c r="J2699" i="13" s="1"/>
  <c r="N2700" i="13"/>
  <c r="M2702" i="13"/>
  <c r="M2703" i="14"/>
  <c r="J2698" i="14" a="1"/>
  <c r="J2698" i="14" s="1"/>
  <c r="N2699" i="14"/>
  <c r="K2513" i="13"/>
  <c r="L2513" i="13" s="1"/>
  <c r="I2514" i="13" s="1"/>
  <c r="K2536" i="14" l="1"/>
  <c r="L2536" i="14" s="1"/>
  <c r="I2537" i="14" s="1"/>
  <c r="K2514" i="13"/>
  <c r="L2514" i="13" s="1"/>
  <c r="I2515" i="13" s="1"/>
  <c r="N2701" i="13"/>
  <c r="J2700" i="13" a="1"/>
  <c r="J2700" i="13" s="1"/>
  <c r="M2704" i="14"/>
  <c r="N2700" i="14"/>
  <c r="J2699" i="14" a="1"/>
  <c r="J2699" i="14" s="1"/>
  <c r="M2703" i="13"/>
  <c r="K2515" i="13" l="1"/>
  <c r="L2515" i="13" s="1"/>
  <c r="I2516" i="13" s="1"/>
  <c r="K2537" i="14"/>
  <c r="L2537" i="14" s="1"/>
  <c r="I2538" i="14" s="1"/>
  <c r="J2701" i="13" a="1"/>
  <c r="J2701" i="13" s="1"/>
  <c r="N2702" i="13"/>
  <c r="M2704" i="13"/>
  <c r="M2705" i="14"/>
  <c r="J2700" i="14" a="1"/>
  <c r="J2700" i="14" s="1"/>
  <c r="N2701" i="14"/>
  <c r="K2538" i="14" l="1"/>
  <c r="L2538" i="14" s="1"/>
  <c r="I2539" i="14" s="1"/>
  <c r="K2516" i="13"/>
  <c r="L2516" i="13" s="1"/>
  <c r="I2517" i="13" s="1"/>
  <c r="M2705" i="13"/>
  <c r="J2701" i="14" a="1"/>
  <c r="J2701" i="14" s="1"/>
  <c r="N2702" i="14"/>
  <c r="N2703" i="13"/>
  <c r="J2702" i="13" a="1"/>
  <c r="J2702" i="13" s="1"/>
  <c r="M2706" i="14"/>
  <c r="K2539" i="14" l="1"/>
  <c r="L2539" i="14" s="1"/>
  <c r="I2540" i="14" s="1"/>
  <c r="K2517" i="13"/>
  <c r="L2517" i="13" s="1"/>
  <c r="I2518" i="13" s="1"/>
  <c r="M2707" i="14"/>
  <c r="N2703" i="14"/>
  <c r="J2702" i="14" a="1"/>
  <c r="J2702" i="14" s="1"/>
  <c r="M2706" i="13"/>
  <c r="J2703" i="13" a="1"/>
  <c r="J2703" i="13" s="1"/>
  <c r="N2704" i="13"/>
  <c r="K2518" i="13" l="1"/>
  <c r="L2518" i="13" s="1"/>
  <c r="I2519" i="13" s="1"/>
  <c r="K2540" i="14"/>
  <c r="L2540" i="14" s="1"/>
  <c r="I2541" i="14" s="1"/>
  <c r="N2704" i="14"/>
  <c r="J2703" i="14" a="1"/>
  <c r="J2703" i="14" s="1"/>
  <c r="N2705" i="13"/>
  <c r="J2704" i="13" a="1"/>
  <c r="J2704" i="13" s="1"/>
  <c r="M2707" i="13"/>
  <c r="M2708" i="14"/>
  <c r="K2541" i="14" l="1"/>
  <c r="L2541" i="14" s="1"/>
  <c r="I2542" i="14" s="1"/>
  <c r="K2519" i="13"/>
  <c r="L2519" i="13" s="1"/>
  <c r="I2520" i="13" s="1"/>
  <c r="M2709" i="14"/>
  <c r="J2705" i="13" a="1"/>
  <c r="J2705" i="13" s="1"/>
  <c r="N2706" i="13"/>
  <c r="M2708" i="13"/>
  <c r="J2704" i="14" a="1"/>
  <c r="J2704" i="14" s="1"/>
  <c r="N2705" i="14"/>
  <c r="K2520" i="13" l="1"/>
  <c r="L2520" i="13" s="1"/>
  <c r="I2521" i="13" s="1"/>
  <c r="J2705" i="14" a="1"/>
  <c r="J2705" i="14" s="1"/>
  <c r="N2706" i="14"/>
  <c r="N2707" i="13"/>
  <c r="J2706" i="13" a="1"/>
  <c r="J2706" i="13" s="1"/>
  <c r="M2709" i="13"/>
  <c r="M2710" i="14"/>
  <c r="K2542" i="14"/>
  <c r="L2542" i="14" s="1"/>
  <c r="I2543" i="14" s="1"/>
  <c r="K2543" i="14" l="1"/>
  <c r="L2543" i="14" s="1"/>
  <c r="I2544" i="14" s="1"/>
  <c r="K2521" i="13"/>
  <c r="L2521" i="13" s="1"/>
  <c r="I2522" i="13" s="1"/>
  <c r="M2710" i="13"/>
  <c r="J2706" i="14" a="1"/>
  <c r="J2706" i="14" s="1"/>
  <c r="N2707" i="14"/>
  <c r="M2711" i="14"/>
  <c r="J2707" i="13" a="1"/>
  <c r="J2707" i="13" s="1"/>
  <c r="N2708" i="13"/>
  <c r="K2544" i="14" l="1"/>
  <c r="L2544" i="14" s="1"/>
  <c r="I2545" i="14" s="1"/>
  <c r="N2709" i="13"/>
  <c r="J2708" i="13" a="1"/>
  <c r="J2708" i="13" s="1"/>
  <c r="N2708" i="14"/>
  <c r="J2707" i="14" a="1"/>
  <c r="J2707" i="14" s="1"/>
  <c r="K2522" i="13"/>
  <c r="L2522" i="13" s="1"/>
  <c r="I2523" i="13" s="1"/>
  <c r="M2712" i="14"/>
  <c r="M2711" i="13"/>
  <c r="K2545" i="14" l="1"/>
  <c r="L2545" i="14" s="1"/>
  <c r="I2546" i="14" s="1"/>
  <c r="M2712" i="13"/>
  <c r="K2523" i="13"/>
  <c r="L2523" i="13" s="1"/>
  <c r="I2524" i="13" s="1"/>
  <c r="J2709" i="13" a="1"/>
  <c r="J2709" i="13" s="1"/>
  <c r="N2710" i="13"/>
  <c r="M2713" i="14"/>
  <c r="J2708" i="14" a="1"/>
  <c r="J2708" i="14" s="1"/>
  <c r="N2709" i="14"/>
  <c r="K2524" i="13" l="1"/>
  <c r="L2524" i="13" s="1"/>
  <c r="I2525" i="13" s="1"/>
  <c r="K2546" i="14"/>
  <c r="L2546" i="14" s="1"/>
  <c r="I2547" i="14" s="1"/>
  <c r="N2711" i="13"/>
  <c r="J2710" i="13" a="1"/>
  <c r="J2710" i="13" s="1"/>
  <c r="M2713" i="13"/>
  <c r="M2714" i="14"/>
  <c r="J2709" i="14" a="1"/>
  <c r="J2709" i="14" s="1"/>
  <c r="N2710" i="14"/>
  <c r="K2525" i="13" l="1"/>
  <c r="L2525" i="13" s="1"/>
  <c r="I2526" i="13" s="1"/>
  <c r="N2711" i="14"/>
  <c r="J2710" i="14" a="1"/>
  <c r="J2710" i="14" s="1"/>
  <c r="M2714" i="13"/>
  <c r="K2547" i="14"/>
  <c r="L2547" i="14" s="1"/>
  <c r="I2548" i="14" s="1"/>
  <c r="M2715" i="14"/>
  <c r="J2711" i="13" a="1"/>
  <c r="J2711" i="13" s="1"/>
  <c r="N2712" i="13"/>
  <c r="K2526" i="13" l="1"/>
  <c r="L2526" i="13" s="1"/>
  <c r="I2527" i="13" s="1"/>
  <c r="K2548" i="14"/>
  <c r="L2548" i="14" s="1"/>
  <c r="I2549" i="14" s="1"/>
  <c r="N2713" i="13"/>
  <c r="J2712" i="13" a="1"/>
  <c r="J2712" i="13" s="1"/>
  <c r="N2712" i="14"/>
  <c r="J2711" i="14" a="1"/>
  <c r="J2711" i="14" s="1"/>
  <c r="M2716" i="14"/>
  <c r="M2715" i="13"/>
  <c r="K2549" i="14" l="1"/>
  <c r="L2549" i="14" s="1"/>
  <c r="I2550" i="14" s="1"/>
  <c r="K2527" i="13"/>
  <c r="L2527" i="13" s="1"/>
  <c r="I2528" i="13" s="1"/>
  <c r="J2712" i="14" a="1"/>
  <c r="J2712" i="14" s="1"/>
  <c r="N2713" i="14"/>
  <c r="M2716" i="13"/>
  <c r="M2717" i="14"/>
  <c r="J2713" i="13" a="1"/>
  <c r="J2713" i="13" s="1"/>
  <c r="N2714" i="13"/>
  <c r="K2550" i="14" l="1"/>
  <c r="L2550" i="14" s="1"/>
  <c r="I2551" i="14" s="1"/>
  <c r="N2715" i="13"/>
  <c r="J2714" i="13" a="1"/>
  <c r="J2714" i="13" s="1"/>
  <c r="M2717" i="13"/>
  <c r="K2528" i="13"/>
  <c r="L2528" i="13" s="1"/>
  <c r="I2529" i="13" s="1"/>
  <c r="J2713" i="14" a="1"/>
  <c r="J2713" i="14" s="1"/>
  <c r="N2714" i="14"/>
  <c r="M2718" i="14"/>
  <c r="K2529" i="13" l="1"/>
  <c r="L2529" i="13" s="1"/>
  <c r="I2530" i="13" s="1"/>
  <c r="K2551" i="14"/>
  <c r="L2551" i="14" s="1"/>
  <c r="I2552" i="14" s="1"/>
  <c r="J2715" i="13" a="1"/>
  <c r="J2715" i="13" s="1"/>
  <c r="N2716" i="13"/>
  <c r="M2719" i="14"/>
  <c r="J2714" i="14" a="1"/>
  <c r="J2714" i="14" s="1"/>
  <c r="N2715" i="14"/>
  <c r="M2718" i="13"/>
  <c r="K2530" i="13" l="1"/>
  <c r="L2530" i="13" s="1"/>
  <c r="I2531" i="13" s="1"/>
  <c r="K2552" i="14"/>
  <c r="L2552" i="14" s="1"/>
  <c r="I2553" i="14" s="1"/>
  <c r="M2719" i="13"/>
  <c r="M2720" i="14"/>
  <c r="N2717" i="13"/>
  <c r="J2716" i="13" a="1"/>
  <c r="J2716" i="13" s="1"/>
  <c r="N2716" i="14"/>
  <c r="J2715" i="14" a="1"/>
  <c r="J2715" i="14" s="1"/>
  <c r="K2531" i="13" l="1"/>
  <c r="L2531" i="13" s="1"/>
  <c r="I2532" i="13" s="1"/>
  <c r="K2553" i="14"/>
  <c r="L2553" i="14" s="1"/>
  <c r="I2554" i="14" s="1"/>
  <c r="J2716" i="14" a="1"/>
  <c r="J2716" i="14" s="1"/>
  <c r="N2717" i="14"/>
  <c r="M2721" i="14"/>
  <c r="M2720" i="13"/>
  <c r="J2717" i="13" a="1"/>
  <c r="J2717" i="13" s="1"/>
  <c r="N2718" i="13"/>
  <c r="K2554" i="14" l="1"/>
  <c r="L2554" i="14" s="1"/>
  <c r="I2555" i="14" s="1"/>
  <c r="K2532" i="13"/>
  <c r="L2532" i="13" s="1"/>
  <c r="I2533" i="13" s="1"/>
  <c r="M2721" i="13"/>
  <c r="N2719" i="13"/>
  <c r="J2718" i="13" a="1"/>
  <c r="J2718" i="13" s="1"/>
  <c r="M2722" i="14"/>
  <c r="J2717" i="14" a="1"/>
  <c r="J2717" i="14" s="1"/>
  <c r="N2718" i="14"/>
  <c r="K2533" i="13" l="1"/>
  <c r="L2533" i="13" s="1"/>
  <c r="I2534" i="13" s="1"/>
  <c r="K2555" i="14"/>
  <c r="L2555" i="14" s="1"/>
  <c r="I2556" i="14" s="1"/>
  <c r="J2719" i="13" a="1"/>
  <c r="J2719" i="13" s="1"/>
  <c r="N2720" i="13"/>
  <c r="N2719" i="14"/>
  <c r="J2718" i="14" a="1"/>
  <c r="J2718" i="14" s="1"/>
  <c r="M2723" i="14"/>
  <c r="M2722" i="13"/>
  <c r="K2556" i="14" l="1"/>
  <c r="L2556" i="14" s="1"/>
  <c r="I2557" i="14" s="1"/>
  <c r="K2534" i="13"/>
  <c r="L2534" i="13" s="1"/>
  <c r="I2535" i="13" s="1"/>
  <c r="M2723" i="13"/>
  <c r="N2720" i="14"/>
  <c r="J2719" i="14" a="1"/>
  <c r="J2719" i="14" s="1"/>
  <c r="N2721" i="13"/>
  <c r="J2720" i="13" a="1"/>
  <c r="J2720" i="13" s="1"/>
  <c r="M2724" i="14"/>
  <c r="K2557" i="14" l="1"/>
  <c r="L2557" i="14" s="1"/>
  <c r="I2558" i="14" s="1"/>
  <c r="J2720" i="14" a="1"/>
  <c r="J2720" i="14" s="1"/>
  <c r="N2721" i="14"/>
  <c r="K2535" i="13"/>
  <c r="L2535" i="13" s="1"/>
  <c r="I2536" i="13" s="1"/>
  <c r="M2724" i="13"/>
  <c r="M2725" i="14"/>
  <c r="J2721" i="13" a="1"/>
  <c r="J2721" i="13" s="1"/>
  <c r="N2722" i="13"/>
  <c r="K2536" i="13" l="1"/>
  <c r="L2536" i="13" s="1"/>
  <c r="I2537" i="13" s="1"/>
  <c r="K2558" i="14"/>
  <c r="L2558" i="14" s="1"/>
  <c r="I2559" i="14" s="1"/>
  <c r="J2721" i="14" a="1"/>
  <c r="J2721" i="14" s="1"/>
  <c r="N2722" i="14"/>
  <c r="N2723" i="13"/>
  <c r="J2722" i="13" a="1"/>
  <c r="J2722" i="13" s="1"/>
  <c r="M2725" i="13"/>
  <c r="M2726" i="14"/>
  <c r="K2559" i="14" l="1"/>
  <c r="L2559" i="14" s="1"/>
  <c r="I2560" i="14" s="1"/>
  <c r="K2537" i="13"/>
  <c r="L2537" i="13" s="1"/>
  <c r="I2538" i="13" s="1"/>
  <c r="J2723" i="13" a="1"/>
  <c r="J2723" i="13" s="1"/>
  <c r="N2724" i="13"/>
  <c r="M2727" i="14"/>
  <c r="M2726" i="13"/>
  <c r="J2722" i="14" a="1"/>
  <c r="J2722" i="14" s="1"/>
  <c r="N2723" i="14"/>
  <c r="K2538" i="13" l="1"/>
  <c r="L2538" i="13" s="1"/>
  <c r="I2539" i="13" s="1"/>
  <c r="K2560" i="14"/>
  <c r="L2560" i="14" s="1"/>
  <c r="I2561" i="14" s="1"/>
  <c r="N2724" i="14"/>
  <c r="J2723" i="14" a="1"/>
  <c r="J2723" i="14" s="1"/>
  <c r="M2727" i="13"/>
  <c r="M2728" i="14"/>
  <c r="N2725" i="13"/>
  <c r="J2724" i="13" a="1"/>
  <c r="J2724" i="13" s="1"/>
  <c r="K2561" i="14" l="1"/>
  <c r="L2561" i="14" s="1"/>
  <c r="I2562" i="14" s="1"/>
  <c r="K2539" i="13"/>
  <c r="L2539" i="13" s="1"/>
  <c r="I2540" i="13" s="1"/>
  <c r="M2728" i="13"/>
  <c r="J2725" i="13" a="1"/>
  <c r="J2725" i="13" s="1"/>
  <c r="N2726" i="13"/>
  <c r="M2729" i="14"/>
  <c r="J2724" i="14" a="1"/>
  <c r="J2724" i="14" s="1"/>
  <c r="N2725" i="14"/>
  <c r="K2562" i="14" l="1"/>
  <c r="L2562" i="14" s="1"/>
  <c r="I2563" i="14" s="1"/>
  <c r="K2540" i="13"/>
  <c r="L2540" i="13" s="1"/>
  <c r="I2541" i="13" s="1"/>
  <c r="J2725" i="14" a="1"/>
  <c r="J2725" i="14" s="1"/>
  <c r="N2726" i="14"/>
  <c r="M2730" i="14"/>
  <c r="N2727" i="13"/>
  <c r="J2726" i="13" a="1"/>
  <c r="J2726" i="13" s="1"/>
  <c r="M2729" i="13"/>
  <c r="K2563" i="14" l="1"/>
  <c r="L2563" i="14" s="1"/>
  <c r="I2564" i="14" s="1"/>
  <c r="J2727" i="13" a="1"/>
  <c r="J2727" i="13" s="1"/>
  <c r="N2728" i="13"/>
  <c r="M2730" i="13"/>
  <c r="M2731" i="14"/>
  <c r="K2541" i="13"/>
  <c r="L2541" i="13" s="1"/>
  <c r="I2542" i="13" s="1"/>
  <c r="N2727" i="14"/>
  <c r="J2726" i="14" a="1"/>
  <c r="J2726" i="14" s="1"/>
  <c r="K2564" i="14" l="1"/>
  <c r="L2564" i="14" s="1"/>
  <c r="I2565" i="14" s="1"/>
  <c r="K2542" i="13"/>
  <c r="L2542" i="13" s="1"/>
  <c r="I2543" i="13" s="1"/>
  <c r="N2729" i="13"/>
  <c r="J2728" i="13" a="1"/>
  <c r="J2728" i="13" s="1"/>
  <c r="N2728" i="14"/>
  <c r="J2727" i="14" a="1"/>
  <c r="J2727" i="14" s="1"/>
  <c r="M2732" i="14"/>
  <c r="M2731" i="13"/>
  <c r="K2565" i="14" l="1"/>
  <c r="L2565" i="14" s="1"/>
  <c r="I2566" i="14" s="1"/>
  <c r="K2543" i="13"/>
  <c r="L2543" i="13" s="1"/>
  <c r="I2544" i="13" s="1"/>
  <c r="J2729" i="13" a="1"/>
  <c r="J2729" i="13" s="1"/>
  <c r="N2730" i="13"/>
  <c r="M2732" i="13"/>
  <c r="J2728" i="14" a="1"/>
  <c r="J2728" i="14" s="1"/>
  <c r="N2729" i="14"/>
  <c r="M2733" i="14"/>
  <c r="K2544" i="13" l="1"/>
  <c r="L2544" i="13" s="1"/>
  <c r="I2545" i="13" s="1"/>
  <c r="K2566" i="14"/>
  <c r="L2566" i="14" s="1"/>
  <c r="I2567" i="14" s="1"/>
  <c r="J2729" i="14" a="1"/>
  <c r="J2729" i="14" s="1"/>
  <c r="N2730" i="14"/>
  <c r="M2734" i="14"/>
  <c r="M2733" i="13"/>
  <c r="N2731" i="13"/>
  <c r="J2730" i="13" a="1"/>
  <c r="J2730" i="13" s="1"/>
  <c r="K2567" i="14" l="1"/>
  <c r="L2567" i="14" s="1"/>
  <c r="I2568" i="14" s="1"/>
  <c r="K2545" i="13"/>
  <c r="L2545" i="13" s="1"/>
  <c r="I2546" i="13" s="1"/>
  <c r="M2735" i="14"/>
  <c r="J2731" i="13" a="1"/>
  <c r="J2731" i="13" s="1"/>
  <c r="N2732" i="13"/>
  <c r="J2730" i="14" a="1"/>
  <c r="J2730" i="14" s="1"/>
  <c r="N2731" i="14"/>
  <c r="M2734" i="13"/>
  <c r="K2546" i="13" l="1"/>
  <c r="L2546" i="13" s="1"/>
  <c r="I2547" i="13" s="1"/>
  <c r="K2568" i="14"/>
  <c r="L2568" i="14" s="1"/>
  <c r="I2569" i="14" s="1"/>
  <c r="N2733" i="13"/>
  <c r="J2732" i="13" a="1"/>
  <c r="J2732" i="13" s="1"/>
  <c r="N2732" i="14"/>
  <c r="J2731" i="14" a="1"/>
  <c r="J2731" i="14" s="1"/>
  <c r="M2735" i="13"/>
  <c r="M2736" i="14"/>
  <c r="K2569" i="14" l="1"/>
  <c r="L2569" i="14" s="1"/>
  <c r="I2570" i="14" s="1"/>
  <c r="K2547" i="13"/>
  <c r="L2547" i="13" s="1"/>
  <c r="I2548" i="13" s="1"/>
  <c r="J2732" i="14" a="1"/>
  <c r="J2732" i="14" s="1"/>
  <c r="N2733" i="14"/>
  <c r="M2737" i="14"/>
  <c r="M2736" i="13"/>
  <c r="J2733" i="13" a="1"/>
  <c r="J2733" i="13" s="1"/>
  <c r="N2734" i="13"/>
  <c r="K2548" i="13" l="1"/>
  <c r="L2548" i="13" s="1"/>
  <c r="I2549" i="13" s="1"/>
  <c r="K2570" i="14"/>
  <c r="L2570" i="14" s="1"/>
  <c r="I2571" i="14" s="1"/>
  <c r="M2737" i="13"/>
  <c r="M2738" i="14"/>
  <c r="N2735" i="13"/>
  <c r="J2734" i="13" a="1"/>
  <c r="J2734" i="13" s="1"/>
  <c r="J2733" i="14" a="1"/>
  <c r="J2733" i="14" s="1"/>
  <c r="N2734" i="14"/>
  <c r="K2571" i="14" l="1"/>
  <c r="L2571" i="14" s="1"/>
  <c r="I2572" i="14" s="1"/>
  <c r="K2549" i="13"/>
  <c r="L2549" i="13" s="1"/>
  <c r="I2550" i="13" s="1"/>
  <c r="N2735" i="14"/>
  <c r="J2734" i="14" a="1"/>
  <c r="J2734" i="14" s="1"/>
  <c r="M2739" i="14"/>
  <c r="M2738" i="13"/>
  <c r="J2735" i="13" a="1"/>
  <c r="J2735" i="13" s="1"/>
  <c r="N2736" i="13"/>
  <c r="K2572" i="14" l="1"/>
  <c r="L2572" i="14" s="1"/>
  <c r="I2573" i="14" s="1"/>
  <c r="K2550" i="13"/>
  <c r="L2550" i="13" s="1"/>
  <c r="I2551" i="13" s="1"/>
  <c r="N2737" i="13"/>
  <c r="J2736" i="13" a="1"/>
  <c r="J2736" i="13" s="1"/>
  <c r="M2740" i="14"/>
  <c r="M2739" i="13"/>
  <c r="N2736" i="14"/>
  <c r="J2735" i="14" a="1"/>
  <c r="J2735" i="14" s="1"/>
  <c r="K2551" i="13" l="1"/>
  <c r="L2551" i="13" s="1"/>
  <c r="I2552" i="13" s="1"/>
  <c r="K2573" i="14"/>
  <c r="L2573" i="14" s="1"/>
  <c r="I2574" i="14" s="1"/>
  <c r="J2736" i="14" a="1"/>
  <c r="J2736" i="14" s="1"/>
  <c r="N2737" i="14"/>
  <c r="M2741" i="14"/>
  <c r="M2740" i="13"/>
  <c r="J2737" i="13" a="1"/>
  <c r="J2737" i="13" s="1"/>
  <c r="N2738" i="13"/>
  <c r="K2574" i="14" l="1"/>
  <c r="L2574" i="14" s="1"/>
  <c r="I2575" i="14" s="1"/>
  <c r="K2552" i="13"/>
  <c r="L2552" i="13" s="1"/>
  <c r="I2553" i="13" s="1"/>
  <c r="M2742" i="14"/>
  <c r="N2739" i="13"/>
  <c r="J2738" i="13" a="1"/>
  <c r="J2738" i="13" s="1"/>
  <c r="J2737" i="14" a="1"/>
  <c r="J2737" i="14" s="1"/>
  <c r="N2738" i="14"/>
  <c r="M2741" i="13"/>
  <c r="K2553" i="13" l="1"/>
  <c r="L2553" i="13" s="1"/>
  <c r="I2554" i="13" s="1"/>
  <c r="M2742" i="13"/>
  <c r="J2739" i="13" a="1"/>
  <c r="J2739" i="13" s="1"/>
  <c r="N2740" i="13"/>
  <c r="J2738" i="14" a="1"/>
  <c r="J2738" i="14" s="1"/>
  <c r="N2739" i="14"/>
  <c r="M2743" i="14"/>
  <c r="K2575" i="14"/>
  <c r="L2575" i="14" s="1"/>
  <c r="I2576" i="14" s="1"/>
  <c r="K2554" i="13" l="1"/>
  <c r="L2554" i="13" s="1"/>
  <c r="I2555" i="13" s="1"/>
  <c r="K2576" i="14"/>
  <c r="L2576" i="14" s="1"/>
  <c r="I2577" i="14" s="1"/>
  <c r="N2740" i="14"/>
  <c r="J2739" i="14" a="1"/>
  <c r="J2739" i="14" s="1"/>
  <c r="M2743" i="13"/>
  <c r="N2741" i="13"/>
  <c r="J2740" i="13" a="1"/>
  <c r="J2740" i="13" s="1"/>
  <c r="M2744" i="14"/>
  <c r="K2577" i="14" l="1"/>
  <c r="L2577" i="14" s="1"/>
  <c r="I2578" i="14" s="1"/>
  <c r="M2744" i="13"/>
  <c r="M2745" i="14"/>
  <c r="J2741" i="13" a="1"/>
  <c r="J2741" i="13" s="1"/>
  <c r="N2742" i="13"/>
  <c r="J2740" i="14" a="1"/>
  <c r="J2740" i="14" s="1"/>
  <c r="N2741" i="14"/>
  <c r="K2555" i="13"/>
  <c r="L2555" i="13" s="1"/>
  <c r="I2556" i="13" s="1"/>
  <c r="K2556" i="13" l="1"/>
  <c r="L2556" i="13" s="1"/>
  <c r="I2557" i="13" s="1"/>
  <c r="K2578" i="14"/>
  <c r="L2578" i="14" s="1"/>
  <c r="I2579" i="14" s="1"/>
  <c r="N2743" i="13"/>
  <c r="J2742" i="13" a="1"/>
  <c r="J2742" i="13" s="1"/>
  <c r="M2745" i="13"/>
  <c r="J2741" i="14" a="1"/>
  <c r="J2741" i="14" s="1"/>
  <c r="N2742" i="14"/>
  <c r="M2746" i="14"/>
  <c r="K2579" i="14" l="1"/>
  <c r="L2579" i="14" s="1"/>
  <c r="I2580" i="14" s="1"/>
  <c r="M2747" i="14"/>
  <c r="M2746" i="13"/>
  <c r="N2743" i="14"/>
  <c r="J2742" i="14" a="1"/>
  <c r="J2742" i="14" s="1"/>
  <c r="J2743" i="13" a="1"/>
  <c r="J2743" i="13" s="1"/>
  <c r="N2744" i="13"/>
  <c r="K2557" i="13"/>
  <c r="L2557" i="13" s="1"/>
  <c r="I2558" i="13" s="1"/>
  <c r="K2580" i="14" l="1"/>
  <c r="L2580" i="14" s="1"/>
  <c r="I2581" i="14" s="1"/>
  <c r="K2558" i="13"/>
  <c r="L2558" i="13" s="1"/>
  <c r="I2559" i="13" s="1"/>
  <c r="N2744" i="14"/>
  <c r="J2743" i="14" a="1"/>
  <c r="J2743" i="14" s="1"/>
  <c r="M2748" i="14"/>
  <c r="N2745" i="13"/>
  <c r="J2744" i="13" a="1"/>
  <c r="J2744" i="13" s="1"/>
  <c r="M2747" i="13"/>
  <c r="K2559" i="13" l="1"/>
  <c r="L2559" i="13" s="1"/>
  <c r="I2560" i="13" s="1"/>
  <c r="K2581" i="14"/>
  <c r="L2581" i="14" s="1"/>
  <c r="I2582" i="14" s="1"/>
  <c r="J2745" i="13" a="1"/>
  <c r="J2745" i="13" s="1"/>
  <c r="N2746" i="13"/>
  <c r="J2744" i="14" a="1"/>
  <c r="J2744" i="14" s="1"/>
  <c r="N2745" i="14"/>
  <c r="M2748" i="13"/>
  <c r="M2749" i="14"/>
  <c r="K2560" i="13" l="1"/>
  <c r="L2560" i="13" s="1"/>
  <c r="I2561" i="13" s="1"/>
  <c r="K2582" i="14"/>
  <c r="L2582" i="14" s="1"/>
  <c r="I2583" i="14" s="1"/>
  <c r="J2745" i="14" a="1"/>
  <c r="J2745" i="14" s="1"/>
  <c r="N2746" i="14"/>
  <c r="M2750" i="14"/>
  <c r="N2747" i="13"/>
  <c r="J2746" i="13" a="1"/>
  <c r="J2746" i="13" s="1"/>
  <c r="M2749" i="13"/>
  <c r="K2561" i="13" l="1"/>
  <c r="L2561" i="13" s="1"/>
  <c r="I2562" i="13" s="1"/>
  <c r="K2583" i="14"/>
  <c r="L2583" i="14" s="1"/>
  <c r="I2584" i="14" s="1"/>
  <c r="M2750" i="13"/>
  <c r="M2751" i="14"/>
  <c r="J2746" i="14" a="1"/>
  <c r="J2746" i="14" s="1"/>
  <c r="N2747" i="14"/>
  <c r="J2747" i="13" a="1"/>
  <c r="J2747" i="13" s="1"/>
  <c r="N2748" i="13"/>
  <c r="K2562" i="13" l="1"/>
  <c r="L2562" i="13" s="1"/>
  <c r="I2563" i="13" s="1"/>
  <c r="K2584" i="14"/>
  <c r="L2584" i="14" s="1"/>
  <c r="I2585" i="14" s="1"/>
  <c r="M2752" i="14"/>
  <c r="N2749" i="13"/>
  <c r="J2748" i="13" a="1"/>
  <c r="J2748" i="13" s="1"/>
  <c r="N2748" i="14"/>
  <c r="J2747" i="14" a="1"/>
  <c r="J2747" i="14" s="1"/>
  <c r="M2751" i="13"/>
  <c r="K2563" i="13" l="1"/>
  <c r="L2563" i="13" s="1"/>
  <c r="I2564" i="13" s="1"/>
  <c r="K2585" i="14"/>
  <c r="L2585" i="14" s="1"/>
  <c r="I2586" i="14" s="1"/>
  <c r="M2752" i="13"/>
  <c r="J2749" i="13" a="1"/>
  <c r="J2749" i="13" s="1"/>
  <c r="N2750" i="13"/>
  <c r="J2748" i="14" a="1"/>
  <c r="J2748" i="14" s="1"/>
  <c r="N2749" i="14"/>
  <c r="M2753" i="14"/>
  <c r="K2586" i="14" l="1"/>
  <c r="L2586" i="14" s="1"/>
  <c r="I2587" i="14" s="1"/>
  <c r="M2754" i="14"/>
  <c r="N2751" i="13"/>
  <c r="J2750" i="13" a="1"/>
  <c r="J2750" i="13" s="1"/>
  <c r="J2749" i="14" a="1"/>
  <c r="J2749" i="14" s="1"/>
  <c r="N2750" i="14"/>
  <c r="M2753" i="13"/>
  <c r="K2564" i="13"/>
  <c r="L2564" i="13" s="1"/>
  <c r="I2565" i="13" s="1"/>
  <c r="K2587" i="14" l="1"/>
  <c r="L2587" i="14" s="1"/>
  <c r="I2588" i="14" s="1"/>
  <c r="K2565" i="13"/>
  <c r="L2565" i="13" s="1"/>
  <c r="I2566" i="13" s="1"/>
  <c r="M2755" i="14"/>
  <c r="N2751" i="14"/>
  <c r="J2750" i="14" a="1"/>
  <c r="J2750" i="14" s="1"/>
  <c r="M2754" i="13"/>
  <c r="J2751" i="13" a="1"/>
  <c r="J2751" i="13" s="1"/>
  <c r="N2752" i="13"/>
  <c r="K2588" i="14" l="1"/>
  <c r="L2588" i="14" s="1"/>
  <c r="I2589" i="14" s="1"/>
  <c r="K2566" i="13"/>
  <c r="L2566" i="13" s="1"/>
  <c r="I2567" i="13" s="1"/>
  <c r="N2752" i="14"/>
  <c r="J2751" i="14" a="1"/>
  <c r="J2751" i="14" s="1"/>
  <c r="N2753" i="13"/>
  <c r="J2752" i="13" a="1"/>
  <c r="J2752" i="13" s="1"/>
  <c r="M2755" i="13"/>
  <c r="M2756" i="14"/>
  <c r="K2589" i="14" l="1"/>
  <c r="L2589" i="14" s="1"/>
  <c r="I2590" i="14" s="1"/>
  <c r="K2567" i="13"/>
  <c r="L2567" i="13" s="1"/>
  <c r="I2568" i="13" s="1"/>
  <c r="M2757" i="14"/>
  <c r="J2753" i="13" a="1"/>
  <c r="J2753" i="13" s="1"/>
  <c r="N2754" i="13"/>
  <c r="M2756" i="13"/>
  <c r="J2752" i="14" a="1"/>
  <c r="J2752" i="14" s="1"/>
  <c r="N2753" i="14"/>
  <c r="K2590" i="14" l="1"/>
  <c r="L2590" i="14" s="1"/>
  <c r="I2591" i="14" s="1"/>
  <c r="K2568" i="13"/>
  <c r="L2568" i="13" s="1"/>
  <c r="I2569" i="13" s="1"/>
  <c r="J2753" i="14" a="1"/>
  <c r="J2753" i="14" s="1"/>
  <c r="N2754" i="14"/>
  <c r="N2755" i="13"/>
  <c r="J2754" i="13" a="1"/>
  <c r="J2754" i="13" s="1"/>
  <c r="M2757" i="13"/>
  <c r="M2758" i="14"/>
  <c r="K2569" i="13" l="1"/>
  <c r="L2569" i="13" s="1"/>
  <c r="I2570" i="13" s="1"/>
  <c r="K2591" i="14"/>
  <c r="L2591" i="14" s="1"/>
  <c r="I2592" i="14" s="1"/>
  <c r="M2759" i="14"/>
  <c r="J2755" i="13" a="1"/>
  <c r="J2755" i="13" s="1"/>
  <c r="N2756" i="13"/>
  <c r="M2758" i="13"/>
  <c r="J2754" i="14" a="1"/>
  <c r="J2754" i="14" s="1"/>
  <c r="N2755" i="14"/>
  <c r="K2592" i="14" l="1"/>
  <c r="L2592" i="14" s="1"/>
  <c r="I2593" i="14" s="1"/>
  <c r="K2570" i="13"/>
  <c r="L2570" i="13" s="1"/>
  <c r="I2571" i="13" s="1"/>
  <c r="N2756" i="14"/>
  <c r="J2755" i="14" a="1"/>
  <c r="J2755" i="14" s="1"/>
  <c r="N2757" i="13"/>
  <c r="J2756" i="13" a="1"/>
  <c r="J2756" i="13" s="1"/>
  <c r="M2759" i="13"/>
  <c r="M2760" i="14"/>
  <c r="K2571" i="13" l="1"/>
  <c r="L2571" i="13" s="1"/>
  <c r="I2572" i="13" s="1"/>
  <c r="K2593" i="14"/>
  <c r="L2593" i="14" s="1"/>
  <c r="I2594" i="14" s="1"/>
  <c r="M2761" i="14"/>
  <c r="J2757" i="13" a="1"/>
  <c r="J2757" i="13" s="1"/>
  <c r="N2758" i="13"/>
  <c r="M2760" i="13"/>
  <c r="J2756" i="14" a="1"/>
  <c r="J2756" i="14" s="1"/>
  <c r="N2757" i="14"/>
  <c r="K2572" i="13" l="1"/>
  <c r="L2572" i="13" s="1"/>
  <c r="I2573" i="13" s="1"/>
  <c r="K2594" i="14"/>
  <c r="L2594" i="14" s="1"/>
  <c r="I2595" i="14" s="1"/>
  <c r="N2759" i="13"/>
  <c r="J2758" i="13" a="1"/>
  <c r="J2758" i="13" s="1"/>
  <c r="J2757" i="14" a="1"/>
  <c r="J2757" i="14" s="1"/>
  <c r="N2758" i="14"/>
  <c r="M2762" i="14"/>
  <c r="M2761" i="13"/>
  <c r="K2573" i="13" l="1"/>
  <c r="L2573" i="13" s="1"/>
  <c r="I2574" i="13" s="1"/>
  <c r="K2595" i="14"/>
  <c r="L2595" i="14" s="1"/>
  <c r="I2596" i="14" s="1"/>
  <c r="M2763" i="14"/>
  <c r="M2762" i="13"/>
  <c r="N2759" i="14"/>
  <c r="J2758" i="14" a="1"/>
  <c r="J2758" i="14" s="1"/>
  <c r="J2759" i="13" a="1"/>
  <c r="J2759" i="13" s="1"/>
  <c r="N2760" i="13"/>
  <c r="K2574" i="13" l="1"/>
  <c r="L2574" i="13" s="1"/>
  <c r="I2575" i="13" s="1"/>
  <c r="N2761" i="13"/>
  <c r="J2760" i="13" a="1"/>
  <c r="J2760" i="13" s="1"/>
  <c r="M2763" i="13"/>
  <c r="K2596" i="14"/>
  <c r="L2596" i="14" s="1"/>
  <c r="I2597" i="14" s="1"/>
  <c r="N2760" i="14"/>
  <c r="J2759" i="14" a="1"/>
  <c r="J2759" i="14" s="1"/>
  <c r="M2764" i="14"/>
  <c r="K2575" i="13" l="1"/>
  <c r="L2575" i="13" s="1"/>
  <c r="I2576" i="13" s="1"/>
  <c r="K2597" i="14"/>
  <c r="L2597" i="14" s="1"/>
  <c r="I2598" i="14" s="1"/>
  <c r="J2761" i="13" a="1"/>
  <c r="J2761" i="13" s="1"/>
  <c r="N2762" i="13"/>
  <c r="M2764" i="13"/>
  <c r="M2765" i="14"/>
  <c r="J2760" i="14" a="1"/>
  <c r="J2760" i="14" s="1"/>
  <c r="N2761" i="14"/>
  <c r="K2576" i="13" l="1"/>
  <c r="L2576" i="13" s="1"/>
  <c r="I2577" i="13" s="1"/>
  <c r="M2766" i="14"/>
  <c r="J2761" i="14" a="1"/>
  <c r="J2761" i="14" s="1"/>
  <c r="N2762" i="14"/>
  <c r="M2765" i="13"/>
  <c r="K2598" i="14"/>
  <c r="L2598" i="14" s="1"/>
  <c r="I2599" i="14" s="1"/>
  <c r="N2763" i="13"/>
  <c r="J2762" i="13" a="1"/>
  <c r="J2762" i="13" s="1"/>
  <c r="K2599" i="14" l="1"/>
  <c r="L2599" i="14" s="1"/>
  <c r="I2600" i="14" s="1"/>
  <c r="K2577" i="13"/>
  <c r="L2577" i="13" s="1"/>
  <c r="I2578" i="13" s="1"/>
  <c r="M2766" i="13"/>
  <c r="M2767" i="14"/>
  <c r="J2763" i="13" a="1"/>
  <c r="J2763" i="13" s="1"/>
  <c r="N2764" i="13"/>
  <c r="N2763" i="14"/>
  <c r="J2762" i="14" a="1"/>
  <c r="J2762" i="14" s="1"/>
  <c r="K2578" i="13" l="1"/>
  <c r="L2578" i="13" s="1"/>
  <c r="I2579" i="13" s="1"/>
  <c r="K2600" i="14"/>
  <c r="L2600" i="14" s="1"/>
  <c r="I2601" i="14" s="1"/>
  <c r="N2764" i="14"/>
  <c r="J2763" i="14" a="1"/>
  <c r="J2763" i="14" s="1"/>
  <c r="M2768" i="14"/>
  <c r="N2765" i="13"/>
  <c r="J2764" i="13" a="1"/>
  <c r="J2764" i="13" s="1"/>
  <c r="M2767" i="13"/>
  <c r="K2601" i="14" l="1"/>
  <c r="L2601" i="14" s="1"/>
  <c r="I2602" i="14" s="1"/>
  <c r="K2579" i="13"/>
  <c r="L2579" i="13" s="1"/>
  <c r="I2580" i="13" s="1"/>
  <c r="M2768" i="13"/>
  <c r="M2769" i="14"/>
  <c r="J2765" i="13" a="1"/>
  <c r="J2765" i="13" s="1"/>
  <c r="N2766" i="13"/>
  <c r="J2764" i="14" a="1"/>
  <c r="J2764" i="14" s="1"/>
  <c r="N2765" i="14"/>
  <c r="K2580" i="13" l="1"/>
  <c r="L2580" i="13" s="1"/>
  <c r="I2581" i="13" s="1"/>
  <c r="K2602" i="14"/>
  <c r="L2602" i="14" s="1"/>
  <c r="I2603" i="14" s="1"/>
  <c r="J2765" i="14" a="1"/>
  <c r="J2765" i="14" s="1"/>
  <c r="N2766" i="14"/>
  <c r="N2767" i="13"/>
  <c r="J2766" i="13" a="1"/>
  <c r="J2766" i="13" s="1"/>
  <c r="M2770" i="14"/>
  <c r="M2769" i="13"/>
  <c r="K2603" i="14" l="1"/>
  <c r="L2603" i="14" s="1"/>
  <c r="I2604" i="14" s="1"/>
  <c r="K2581" i="13"/>
  <c r="L2581" i="13" s="1"/>
  <c r="I2582" i="13" s="1"/>
  <c r="M2771" i="14"/>
  <c r="M2770" i="13"/>
  <c r="J2767" i="13" a="1"/>
  <c r="J2767" i="13" s="1"/>
  <c r="N2768" i="13"/>
  <c r="N2767" i="14"/>
  <c r="J2766" i="14" a="1"/>
  <c r="J2766" i="14" s="1"/>
  <c r="K2604" i="14" l="1"/>
  <c r="L2604" i="14" s="1"/>
  <c r="I2605" i="14" s="1"/>
  <c r="K2582" i="13"/>
  <c r="L2582" i="13" s="1"/>
  <c r="I2583" i="13" s="1"/>
  <c r="N2769" i="13"/>
  <c r="J2768" i="13" a="1"/>
  <c r="J2768" i="13" s="1"/>
  <c r="N2768" i="14"/>
  <c r="J2767" i="14" a="1"/>
  <c r="J2767" i="14" s="1"/>
  <c r="M2771" i="13"/>
  <c r="M2772" i="14"/>
  <c r="K2583" i="13" l="1"/>
  <c r="L2583" i="13" s="1"/>
  <c r="I2584" i="13" s="1"/>
  <c r="K2605" i="14"/>
  <c r="L2605" i="14" s="1"/>
  <c r="I2606" i="14" s="1"/>
  <c r="J2768" i="14" a="1"/>
  <c r="J2768" i="14" s="1"/>
  <c r="N2769" i="14"/>
  <c r="M2773" i="14"/>
  <c r="M2772" i="13"/>
  <c r="J2769" i="13" a="1"/>
  <c r="J2769" i="13" s="1"/>
  <c r="N2770" i="13"/>
  <c r="K2606" i="14" l="1"/>
  <c r="L2606" i="14" s="1"/>
  <c r="I2607" i="14" s="1"/>
  <c r="K2584" i="13"/>
  <c r="L2584" i="13" s="1"/>
  <c r="I2585" i="13" s="1"/>
  <c r="N2771" i="13"/>
  <c r="J2770" i="13" a="1"/>
  <c r="J2770" i="13" s="1"/>
  <c r="M2774" i="14"/>
  <c r="J2769" i="14" a="1"/>
  <c r="J2769" i="14" s="1"/>
  <c r="N2770" i="14"/>
  <c r="M2773" i="13"/>
  <c r="K2607" i="14" l="1"/>
  <c r="L2607" i="14" s="1"/>
  <c r="I2608" i="14" s="1"/>
  <c r="K2585" i="13"/>
  <c r="L2585" i="13" s="1"/>
  <c r="I2586" i="13" s="1"/>
  <c r="N2771" i="14"/>
  <c r="J2770" i="14" a="1"/>
  <c r="J2770" i="14" s="1"/>
  <c r="J2771" i="13" a="1"/>
  <c r="J2771" i="13" s="1"/>
  <c r="N2772" i="13"/>
  <c r="M2774" i="13"/>
  <c r="M2775" i="14"/>
  <c r="K2586" i="13" l="1"/>
  <c r="L2586" i="13" s="1"/>
  <c r="I2587" i="13" s="1"/>
  <c r="N2773" i="13"/>
  <c r="J2772" i="13" a="1"/>
  <c r="J2772" i="13" s="1"/>
  <c r="M2775" i="13"/>
  <c r="M2776" i="14"/>
  <c r="N2772" i="14"/>
  <c r="J2771" i="14" a="1"/>
  <c r="J2771" i="14" s="1"/>
  <c r="K2608" i="14"/>
  <c r="L2608" i="14" s="1"/>
  <c r="I2609" i="14" s="1"/>
  <c r="K2609" i="14" l="1"/>
  <c r="L2609" i="14" s="1"/>
  <c r="I2610" i="14" s="1"/>
  <c r="K2587" i="13"/>
  <c r="L2587" i="13" s="1"/>
  <c r="I2588" i="13" s="1"/>
  <c r="J2773" i="13" a="1"/>
  <c r="J2773" i="13" s="1"/>
  <c r="N2774" i="13"/>
  <c r="M2776" i="13"/>
  <c r="M2777" i="14"/>
  <c r="J2772" i="14" a="1"/>
  <c r="J2772" i="14" s="1"/>
  <c r="N2773" i="14"/>
  <c r="K2610" i="14" l="1"/>
  <c r="L2610" i="14" s="1"/>
  <c r="I2611" i="14" s="1"/>
  <c r="J2773" i="14" a="1"/>
  <c r="J2773" i="14" s="1"/>
  <c r="N2774" i="14"/>
  <c r="M2777" i="13"/>
  <c r="K2588" i="13"/>
  <c r="L2588" i="13" s="1"/>
  <c r="I2589" i="13" s="1"/>
  <c r="M2778" i="14"/>
  <c r="N2775" i="13"/>
  <c r="J2774" i="13" a="1"/>
  <c r="J2774" i="13" s="1"/>
  <c r="K2589" i="13" l="1"/>
  <c r="L2589" i="13" s="1"/>
  <c r="I2590" i="13" s="1"/>
  <c r="K2611" i="14"/>
  <c r="L2611" i="14" s="1"/>
  <c r="I2612" i="14" s="1"/>
  <c r="N2775" i="14"/>
  <c r="J2774" i="14" a="1"/>
  <c r="J2774" i="14" s="1"/>
  <c r="J2775" i="13" a="1"/>
  <c r="J2775" i="13" s="1"/>
  <c r="N2776" i="13"/>
  <c r="M2779" i="14"/>
  <c r="M2778" i="13"/>
  <c r="K2612" i="14" l="1"/>
  <c r="L2612" i="14" s="1"/>
  <c r="I2613" i="14" s="1"/>
  <c r="K2590" i="13"/>
  <c r="L2590" i="13" s="1"/>
  <c r="I2591" i="13" s="1"/>
  <c r="N2777" i="13"/>
  <c r="J2776" i="13" a="1"/>
  <c r="J2776" i="13" s="1"/>
  <c r="M2779" i="13"/>
  <c r="M2780" i="14"/>
  <c r="N2776" i="14"/>
  <c r="J2775" i="14" a="1"/>
  <c r="J2775" i="14" s="1"/>
  <c r="K2591" i="13" l="1"/>
  <c r="L2591" i="13" s="1"/>
  <c r="I2592" i="13" s="1"/>
  <c r="K2613" i="14"/>
  <c r="L2613" i="14" s="1"/>
  <c r="I2614" i="14" s="1"/>
  <c r="M2780" i="13"/>
  <c r="J2776" i="14" a="1"/>
  <c r="J2776" i="14" s="1"/>
  <c r="N2777" i="14"/>
  <c r="M2781" i="14"/>
  <c r="J2777" i="13" a="1"/>
  <c r="J2777" i="13" s="1"/>
  <c r="N2778" i="13"/>
  <c r="K2592" i="13" l="1"/>
  <c r="L2592" i="13" s="1"/>
  <c r="I2593" i="13" s="1"/>
  <c r="J2777" i="14" a="1"/>
  <c r="J2777" i="14" s="1"/>
  <c r="N2778" i="14"/>
  <c r="N2779" i="13"/>
  <c r="J2778" i="13" a="1"/>
  <c r="J2778" i="13" s="1"/>
  <c r="K2614" i="14"/>
  <c r="L2614" i="14" s="1"/>
  <c r="I2615" i="14" s="1"/>
  <c r="M2782" i="14"/>
  <c r="M2781" i="13"/>
  <c r="K2615" i="14" l="1"/>
  <c r="L2615" i="14" s="1"/>
  <c r="I2616" i="14" s="1"/>
  <c r="K2593" i="13"/>
  <c r="L2593" i="13" s="1"/>
  <c r="I2594" i="13" s="1"/>
  <c r="N2779" i="14"/>
  <c r="J2778" i="14" a="1"/>
  <c r="J2778" i="14" s="1"/>
  <c r="M2782" i="13"/>
  <c r="M2783" i="14"/>
  <c r="J2779" i="13" a="1"/>
  <c r="J2779" i="13" s="1"/>
  <c r="N2780" i="13"/>
  <c r="K2616" i="14" l="1"/>
  <c r="L2616" i="14" s="1"/>
  <c r="I2617" i="14" s="1"/>
  <c r="K2594" i="13"/>
  <c r="L2594" i="13" s="1"/>
  <c r="I2595" i="13" s="1"/>
  <c r="N2781" i="13"/>
  <c r="J2780" i="13" a="1"/>
  <c r="J2780" i="13" s="1"/>
  <c r="M2783" i="13"/>
  <c r="M2784" i="14"/>
  <c r="N2780" i="14"/>
  <c r="J2779" i="14" a="1"/>
  <c r="J2779" i="14" s="1"/>
  <c r="J2780" i="14" l="1" a="1"/>
  <c r="J2780" i="14" s="1"/>
  <c r="N2781" i="14"/>
  <c r="M2785" i="14"/>
  <c r="M2784" i="13"/>
  <c r="K2595" i="13"/>
  <c r="L2595" i="13" s="1"/>
  <c r="I2596" i="13" s="1"/>
  <c r="J2781" i="13" a="1"/>
  <c r="J2781" i="13" s="1"/>
  <c r="N2782" i="13"/>
  <c r="K2617" i="14"/>
  <c r="L2617" i="14" s="1"/>
  <c r="I2618" i="14" s="1"/>
  <c r="K2618" i="14" l="1"/>
  <c r="L2618" i="14" s="1"/>
  <c r="I2619" i="14" s="1"/>
  <c r="K2596" i="13"/>
  <c r="L2596" i="13" s="1"/>
  <c r="I2597" i="13" s="1"/>
  <c r="M2785" i="13"/>
  <c r="M2786" i="14"/>
  <c r="N2783" i="13"/>
  <c r="J2782" i="13" a="1"/>
  <c r="J2782" i="13" s="1"/>
  <c r="J2781" i="14" a="1"/>
  <c r="J2781" i="14" s="1"/>
  <c r="N2782" i="14"/>
  <c r="K2597" i="13" l="1"/>
  <c r="L2597" i="13" s="1"/>
  <c r="I2598" i="13" s="1"/>
  <c r="K2619" i="14"/>
  <c r="L2619" i="14" s="1"/>
  <c r="I2620" i="14" s="1"/>
  <c r="N2783" i="14"/>
  <c r="J2782" i="14" a="1"/>
  <c r="J2782" i="14" s="1"/>
  <c r="M2787" i="14"/>
  <c r="M2786" i="13"/>
  <c r="J2783" i="13" a="1"/>
  <c r="J2783" i="13" s="1"/>
  <c r="N2784" i="13"/>
  <c r="K2620" i="14" l="1"/>
  <c r="L2620" i="14" s="1"/>
  <c r="I2621" i="14" s="1"/>
  <c r="K2598" i="13"/>
  <c r="L2598" i="13" s="1"/>
  <c r="I2599" i="13" s="1"/>
  <c r="N2785" i="13"/>
  <c r="J2784" i="13" a="1"/>
  <c r="J2784" i="13" s="1"/>
  <c r="M2788" i="14"/>
  <c r="M2787" i="13"/>
  <c r="N2784" i="14"/>
  <c r="J2783" i="14" a="1"/>
  <c r="J2783" i="14" s="1"/>
  <c r="K2599" i="13" l="1"/>
  <c r="L2599" i="13" s="1"/>
  <c r="I2600" i="13" s="1"/>
  <c r="K2621" i="14"/>
  <c r="L2621" i="14" s="1"/>
  <c r="I2622" i="14" s="1"/>
  <c r="J2784" i="14" a="1"/>
  <c r="J2784" i="14" s="1"/>
  <c r="N2785" i="14"/>
  <c r="M2789" i="14"/>
  <c r="M2788" i="13"/>
  <c r="J2785" i="13" a="1"/>
  <c r="J2785" i="13" s="1"/>
  <c r="N2786" i="13"/>
  <c r="K2600" i="13" l="1"/>
  <c r="L2600" i="13" s="1"/>
  <c r="I2601" i="13" s="1"/>
  <c r="N2787" i="13"/>
  <c r="J2786" i="13" a="1"/>
  <c r="J2786" i="13" s="1"/>
  <c r="J2785" i="14" a="1"/>
  <c r="J2785" i="14" s="1"/>
  <c r="N2786" i="14"/>
  <c r="M2790" i="14"/>
  <c r="K2622" i="14"/>
  <c r="L2622" i="14" s="1"/>
  <c r="I2623" i="14" s="1"/>
  <c r="M2789" i="13"/>
  <c r="K2601" i="13" l="1"/>
  <c r="L2601" i="13" s="1"/>
  <c r="I2602" i="13" s="1"/>
  <c r="K2623" i="14"/>
  <c r="L2623" i="14" s="1"/>
  <c r="I2624" i="14" s="1"/>
  <c r="M2790" i="13"/>
  <c r="M2791" i="14"/>
  <c r="J2787" i="13" a="1"/>
  <c r="J2787" i="13" s="1"/>
  <c r="N2788" i="13"/>
  <c r="N2787" i="14"/>
  <c r="J2786" i="14" a="1"/>
  <c r="J2786" i="14" s="1"/>
  <c r="K2624" i="14" l="1"/>
  <c r="L2624" i="14" s="1"/>
  <c r="I2625" i="14" s="1"/>
  <c r="K2602" i="13"/>
  <c r="L2602" i="13" s="1"/>
  <c r="I2603" i="13" s="1"/>
  <c r="N2788" i="14"/>
  <c r="J2787" i="14" a="1"/>
  <c r="J2787" i="14" s="1"/>
  <c r="M2792" i="14"/>
  <c r="N2789" i="13"/>
  <c r="J2788" i="13" a="1"/>
  <c r="J2788" i="13" s="1"/>
  <c r="M2791" i="13"/>
  <c r="K2603" i="13" l="1"/>
  <c r="L2603" i="13" s="1"/>
  <c r="I2604" i="13" s="1"/>
  <c r="K2625" i="14"/>
  <c r="L2625" i="14" s="1"/>
  <c r="I2626" i="14" s="1"/>
  <c r="J2789" i="13" a="1"/>
  <c r="J2789" i="13" s="1"/>
  <c r="N2790" i="13"/>
  <c r="M2792" i="13"/>
  <c r="M2793" i="14"/>
  <c r="J2788" i="14" a="1"/>
  <c r="J2788" i="14" s="1"/>
  <c r="N2789" i="14"/>
  <c r="K2604" i="13" l="1"/>
  <c r="L2604" i="13" s="1"/>
  <c r="I2605" i="13" s="1"/>
  <c r="J2789" i="14" a="1"/>
  <c r="J2789" i="14" s="1"/>
  <c r="N2790" i="14"/>
  <c r="M2793" i="13"/>
  <c r="K2626" i="14"/>
  <c r="L2626" i="14" s="1"/>
  <c r="I2627" i="14" s="1"/>
  <c r="M2794" i="14"/>
  <c r="N2791" i="13"/>
  <c r="J2790" i="13" a="1"/>
  <c r="J2790" i="13" s="1"/>
  <c r="K2627" i="14" l="1"/>
  <c r="L2627" i="14" s="1"/>
  <c r="I2628" i="14" s="1"/>
  <c r="K2605" i="13"/>
  <c r="L2605" i="13" s="1"/>
  <c r="I2606" i="13" s="1"/>
  <c r="N2791" i="14"/>
  <c r="J2790" i="14" a="1"/>
  <c r="J2790" i="14" s="1"/>
  <c r="J2791" i="13" a="1"/>
  <c r="J2791" i="13" s="1"/>
  <c r="N2792" i="13"/>
  <c r="M2795" i="14"/>
  <c r="M2794" i="13"/>
  <c r="K2628" i="14" l="1"/>
  <c r="L2628" i="14" s="1"/>
  <c r="I2629" i="14" s="1"/>
  <c r="N2793" i="13"/>
  <c r="J2792" i="13" a="1"/>
  <c r="J2792" i="13" s="1"/>
  <c r="K2606" i="13"/>
  <c r="L2606" i="13" s="1"/>
  <c r="I2607" i="13" s="1"/>
  <c r="M2795" i="13"/>
  <c r="M2796" i="14"/>
  <c r="N2792" i="14"/>
  <c r="J2791" i="14" a="1"/>
  <c r="J2791" i="14" s="1"/>
  <c r="K2607" i="13" l="1"/>
  <c r="L2607" i="13" s="1"/>
  <c r="I2608" i="13" s="1"/>
  <c r="K2629" i="14"/>
  <c r="L2629" i="14" s="1"/>
  <c r="I2630" i="14" s="1"/>
  <c r="M2796" i="13"/>
  <c r="J2793" i="13" a="1"/>
  <c r="J2793" i="13" s="1"/>
  <c r="N2794" i="13"/>
  <c r="J2792" i="14" a="1"/>
  <c r="J2792" i="14" s="1"/>
  <c r="N2793" i="14"/>
  <c r="M2797" i="14"/>
  <c r="K2630" i="14" l="1"/>
  <c r="L2630" i="14" s="1"/>
  <c r="I2631" i="14" s="1"/>
  <c r="K2608" i="13"/>
  <c r="L2608" i="13" s="1"/>
  <c r="I2609" i="13" s="1"/>
  <c r="N2795" i="13"/>
  <c r="J2794" i="13" a="1"/>
  <c r="J2794" i="13" s="1"/>
  <c r="J2793" i="14" a="1"/>
  <c r="J2793" i="14" s="1"/>
  <c r="N2794" i="14"/>
  <c r="M2798" i="14"/>
  <c r="M2797" i="13"/>
  <c r="K2631" i="14" l="1"/>
  <c r="L2631" i="14" s="1"/>
  <c r="I2632" i="14" s="1"/>
  <c r="M2798" i="13"/>
  <c r="N2795" i="14"/>
  <c r="J2794" i="14" a="1"/>
  <c r="J2794" i="14" s="1"/>
  <c r="K2609" i="13"/>
  <c r="L2609" i="13" s="1"/>
  <c r="I2610" i="13" s="1"/>
  <c r="M2799" i="14"/>
  <c r="J2795" i="13" a="1"/>
  <c r="J2795" i="13" s="1"/>
  <c r="N2796" i="13"/>
  <c r="K2610" i="13" l="1"/>
  <c r="L2610" i="13" s="1"/>
  <c r="I2611" i="13" s="1"/>
  <c r="K2632" i="14"/>
  <c r="L2632" i="14" s="1"/>
  <c r="I2633" i="14" s="1"/>
  <c r="N2797" i="13"/>
  <c r="J2796" i="13" a="1"/>
  <c r="J2796" i="13" s="1"/>
  <c r="M2799" i="13"/>
  <c r="M2800" i="14"/>
  <c r="N2796" i="14"/>
  <c r="J2795" i="14" a="1"/>
  <c r="J2795" i="14" s="1"/>
  <c r="K2611" i="13" l="1"/>
  <c r="L2611" i="13" s="1"/>
  <c r="I2612" i="13" s="1"/>
  <c r="M2800" i="13"/>
  <c r="J2796" i="14" a="1"/>
  <c r="J2796" i="14" s="1"/>
  <c r="N2797" i="14"/>
  <c r="K2633" i="14"/>
  <c r="L2633" i="14" s="1"/>
  <c r="I2634" i="14" s="1"/>
  <c r="M2801" i="14"/>
  <c r="J2797" i="13" a="1"/>
  <c r="J2797" i="13" s="1"/>
  <c r="N2798" i="13"/>
  <c r="K2634" i="14" l="1"/>
  <c r="L2634" i="14" s="1"/>
  <c r="I2635" i="14" s="1"/>
  <c r="K2612" i="13"/>
  <c r="L2612" i="13" s="1"/>
  <c r="I2613" i="13" s="1"/>
  <c r="N2799" i="13"/>
  <c r="J2798" i="13" a="1"/>
  <c r="J2798" i="13" s="1"/>
  <c r="M2801" i="13"/>
  <c r="M2802" i="14"/>
  <c r="J2797" i="14" a="1"/>
  <c r="J2797" i="14" s="1"/>
  <c r="N2798" i="14"/>
  <c r="K2613" i="13" l="1"/>
  <c r="L2613" i="13" s="1"/>
  <c r="I2614" i="13" s="1"/>
  <c r="K2635" i="14"/>
  <c r="L2635" i="14" s="1"/>
  <c r="I2636" i="14" s="1"/>
  <c r="N2799" i="14"/>
  <c r="J2798" i="14" a="1"/>
  <c r="J2798" i="14" s="1"/>
  <c r="M2802" i="13"/>
  <c r="M2803" i="14"/>
  <c r="J2799" i="13" a="1"/>
  <c r="J2799" i="13" s="1"/>
  <c r="N2800" i="13"/>
  <c r="K2614" i="13" l="1"/>
  <c r="L2614" i="13" s="1"/>
  <c r="I2615" i="13" s="1"/>
  <c r="N2801" i="13"/>
  <c r="J2800" i="13" a="1"/>
  <c r="J2800" i="13" s="1"/>
  <c r="K2636" i="14"/>
  <c r="L2636" i="14" s="1"/>
  <c r="I2637" i="14" s="1"/>
  <c r="M2803" i="13"/>
  <c r="M2804" i="14"/>
  <c r="N2800" i="14"/>
  <c r="J2799" i="14" a="1"/>
  <c r="J2799" i="14" s="1"/>
  <c r="K2615" i="13" l="1"/>
  <c r="L2615" i="13" s="1"/>
  <c r="I2616" i="13" s="1"/>
  <c r="K2637" i="14"/>
  <c r="L2637" i="14" s="1"/>
  <c r="I2638" i="14" s="1"/>
  <c r="J2801" i="13" a="1"/>
  <c r="J2801" i="13" s="1"/>
  <c r="N2802" i="13"/>
  <c r="M2804" i="13"/>
  <c r="J2800" i="14" a="1"/>
  <c r="J2800" i="14" s="1"/>
  <c r="N2801" i="14"/>
  <c r="M2805" i="14"/>
  <c r="K2616" i="13" l="1"/>
  <c r="L2616" i="13" s="1"/>
  <c r="I2617" i="13" s="1"/>
  <c r="K2638" i="14"/>
  <c r="L2638" i="14" s="1"/>
  <c r="I2639" i="14" s="1"/>
  <c r="J2801" i="14" a="1"/>
  <c r="J2801" i="14" s="1"/>
  <c r="N2802" i="14"/>
  <c r="M2806" i="14"/>
  <c r="M2805" i="13"/>
  <c r="N2803" i="13"/>
  <c r="J2802" i="13" a="1"/>
  <c r="J2802" i="13" s="1"/>
  <c r="K2639" i="14" l="1"/>
  <c r="L2639" i="14" s="1"/>
  <c r="I2640" i="14" s="1"/>
  <c r="K2617" i="13"/>
  <c r="L2617" i="13" s="1"/>
  <c r="I2618" i="13" s="1"/>
  <c r="M2807" i="14"/>
  <c r="J2803" i="13" a="1"/>
  <c r="J2803" i="13" s="1"/>
  <c r="N2804" i="13"/>
  <c r="N2803" i="14"/>
  <c r="J2802" i="14" a="1"/>
  <c r="J2802" i="14" s="1"/>
  <c r="M2806" i="13"/>
  <c r="K2618" i="13" l="1"/>
  <c r="L2618" i="13" s="1"/>
  <c r="I2619" i="13" s="1"/>
  <c r="K2640" i="14"/>
  <c r="L2640" i="14" s="1"/>
  <c r="I2641" i="14" s="1"/>
  <c r="N2805" i="13"/>
  <c r="J2804" i="13" a="1"/>
  <c r="J2804" i="13" s="1"/>
  <c r="M2807" i="13"/>
  <c r="N2804" i="14"/>
  <c r="J2803" i="14" a="1"/>
  <c r="J2803" i="14" s="1"/>
  <c r="M2808" i="14"/>
  <c r="K2619" i="13" l="1"/>
  <c r="L2619" i="13" s="1"/>
  <c r="I2620" i="13" s="1"/>
  <c r="M2809" i="14"/>
  <c r="M2808" i="13"/>
  <c r="K2641" i="14"/>
  <c r="L2641" i="14" s="1"/>
  <c r="I2642" i="14" s="1"/>
  <c r="J2804" i="14" a="1"/>
  <c r="J2804" i="14" s="1"/>
  <c r="N2805" i="14"/>
  <c r="J2805" i="13" a="1"/>
  <c r="J2805" i="13" s="1"/>
  <c r="N2806" i="13"/>
  <c r="K2620" i="13" l="1"/>
  <c r="L2620" i="13" s="1"/>
  <c r="I2621" i="13" s="1"/>
  <c r="N2807" i="13"/>
  <c r="J2806" i="13" a="1"/>
  <c r="J2806" i="13" s="1"/>
  <c r="M2810" i="14"/>
  <c r="K2642" i="14"/>
  <c r="L2642" i="14" s="1"/>
  <c r="I2643" i="14" s="1"/>
  <c r="J2805" i="14" a="1"/>
  <c r="J2805" i="14" s="1"/>
  <c r="N2806" i="14"/>
  <c r="M2809" i="13"/>
  <c r="K2621" i="13" l="1"/>
  <c r="L2621" i="13" s="1"/>
  <c r="I2622" i="13" s="1"/>
  <c r="K2643" i="14"/>
  <c r="L2643" i="14" s="1"/>
  <c r="I2644" i="14" s="1"/>
  <c r="J2807" i="13" a="1"/>
  <c r="J2807" i="13" s="1"/>
  <c r="N2808" i="13"/>
  <c r="M2810" i="13"/>
  <c r="N2807" i="14"/>
  <c r="J2806" i="14" a="1"/>
  <c r="J2806" i="14" s="1"/>
  <c r="M2811" i="14"/>
  <c r="K2644" i="14" l="1"/>
  <c r="L2644" i="14" s="1"/>
  <c r="I2645" i="14" s="1"/>
  <c r="N2808" i="14"/>
  <c r="J2807" i="14" a="1"/>
  <c r="J2807" i="14" s="1"/>
  <c r="M2812" i="14"/>
  <c r="M2811" i="13"/>
  <c r="N2809" i="13"/>
  <c r="J2808" i="13" a="1"/>
  <c r="J2808" i="13" s="1"/>
  <c r="K2622" i="13"/>
  <c r="L2622" i="13" s="1"/>
  <c r="I2623" i="13" s="1"/>
  <c r="K2623" i="13" l="1"/>
  <c r="L2623" i="13" s="1"/>
  <c r="I2624" i="13" s="1"/>
  <c r="K2645" i="14"/>
  <c r="L2645" i="14" s="1"/>
  <c r="I2646" i="14" s="1"/>
  <c r="M2812" i="13"/>
  <c r="J2808" i="14" a="1"/>
  <c r="J2808" i="14" s="1"/>
  <c r="N2809" i="14"/>
  <c r="J2809" i="13" a="1"/>
  <c r="J2809" i="13" s="1"/>
  <c r="N2810" i="13"/>
  <c r="M2813" i="14"/>
  <c r="K2646" i="14" l="1"/>
  <c r="L2646" i="14" s="1"/>
  <c r="I2647" i="14" s="1"/>
  <c r="K2624" i="13"/>
  <c r="L2624" i="13" s="1"/>
  <c r="I2625" i="13" s="1"/>
  <c r="J2809" i="14" a="1"/>
  <c r="J2809" i="14" s="1"/>
  <c r="N2810" i="14"/>
  <c r="M2814" i="14"/>
  <c r="N2811" i="13"/>
  <c r="J2810" i="13" a="1"/>
  <c r="J2810" i="13" s="1"/>
  <c r="M2813" i="13"/>
  <c r="K2647" i="14" l="1"/>
  <c r="L2647" i="14" s="1"/>
  <c r="I2648" i="14" s="1"/>
  <c r="M2814" i="13"/>
  <c r="M2815" i="14"/>
  <c r="K2625" i="13"/>
  <c r="L2625" i="13" s="1"/>
  <c r="I2626" i="13" s="1"/>
  <c r="N2811" i="14"/>
  <c r="J2810" i="14" a="1"/>
  <c r="J2810" i="14" s="1"/>
  <c r="J2811" i="13" a="1"/>
  <c r="J2811" i="13" s="1"/>
  <c r="N2812" i="13"/>
  <c r="K2648" i="14" l="1"/>
  <c r="L2648" i="14" s="1"/>
  <c r="I2649" i="14" s="1"/>
  <c r="N2813" i="13"/>
  <c r="J2812" i="13" a="1"/>
  <c r="J2812" i="13" s="1"/>
  <c r="K2626" i="13"/>
  <c r="L2626" i="13" s="1"/>
  <c r="I2627" i="13" s="1"/>
  <c r="M2815" i="13"/>
  <c r="N2812" i="14"/>
  <c r="J2811" i="14" a="1"/>
  <c r="J2811" i="14" s="1"/>
  <c r="M2816" i="14"/>
  <c r="K2627" i="13" l="1"/>
  <c r="L2627" i="13" s="1"/>
  <c r="I2628" i="13" s="1"/>
  <c r="K2649" i="14"/>
  <c r="L2649" i="14" s="1"/>
  <c r="I2650" i="14" s="1"/>
  <c r="M2817" i="14"/>
  <c r="J2813" i="13" a="1"/>
  <c r="J2813" i="13" s="1"/>
  <c r="N2814" i="13"/>
  <c r="M2816" i="13"/>
  <c r="J2812" i="14" a="1"/>
  <c r="J2812" i="14" s="1"/>
  <c r="N2813" i="14"/>
  <c r="K2650" i="14" l="1"/>
  <c r="L2650" i="14" s="1"/>
  <c r="I2651" i="14" s="1"/>
  <c r="K2628" i="13"/>
  <c r="L2628" i="13" s="1"/>
  <c r="I2629" i="13" s="1"/>
  <c r="N2815" i="13"/>
  <c r="J2814" i="13" a="1"/>
  <c r="J2814" i="13" s="1"/>
  <c r="J2813" i="14" a="1"/>
  <c r="J2813" i="14" s="1"/>
  <c r="N2814" i="14"/>
  <c r="M2818" i="14"/>
  <c r="M2817" i="13"/>
  <c r="K2629" i="13" l="1"/>
  <c r="L2629" i="13" s="1"/>
  <c r="I2630" i="13" s="1"/>
  <c r="K2651" i="14"/>
  <c r="L2651" i="14" s="1"/>
  <c r="I2652" i="14" s="1"/>
  <c r="N2815" i="14"/>
  <c r="J2814" i="14" a="1"/>
  <c r="J2814" i="14" s="1"/>
  <c r="M2818" i="13"/>
  <c r="M2819" i="14"/>
  <c r="J2815" i="13" a="1"/>
  <c r="J2815" i="13" s="1"/>
  <c r="N2816" i="13"/>
  <c r="K2630" i="13" l="1"/>
  <c r="L2630" i="13" s="1"/>
  <c r="I2631" i="13" s="1"/>
  <c r="N2817" i="13"/>
  <c r="J2816" i="13" a="1"/>
  <c r="J2816" i="13" s="1"/>
  <c r="M2819" i="13"/>
  <c r="K2652" i="14"/>
  <c r="L2652" i="14" s="1"/>
  <c r="I2653" i="14" s="1"/>
  <c r="M2820" i="14"/>
  <c r="N2816" i="14"/>
  <c r="J2815" i="14" a="1"/>
  <c r="J2815" i="14" s="1"/>
  <c r="K2631" i="13" l="1"/>
  <c r="L2631" i="13" s="1"/>
  <c r="I2632" i="13" s="1"/>
  <c r="K2653" i="14"/>
  <c r="L2653" i="14" s="1"/>
  <c r="I2654" i="14" s="1"/>
  <c r="J2817" i="13" a="1"/>
  <c r="J2817" i="13" s="1"/>
  <c r="N2818" i="13"/>
  <c r="J2816" i="14" a="1"/>
  <c r="J2816" i="14" s="1"/>
  <c r="N2817" i="14"/>
  <c r="M2820" i="13"/>
  <c r="M2821" i="14"/>
  <c r="K2654" i="14" l="1"/>
  <c r="L2654" i="14" s="1"/>
  <c r="I2655" i="14" s="1"/>
  <c r="K2632" i="13"/>
  <c r="L2632" i="13" s="1"/>
  <c r="I2633" i="13" s="1"/>
  <c r="J2817" i="14" a="1"/>
  <c r="J2817" i="14" s="1"/>
  <c r="N2818" i="14"/>
  <c r="N2819" i="13"/>
  <c r="J2818" i="13" a="1"/>
  <c r="J2818" i="13" s="1"/>
  <c r="M2822" i="14"/>
  <c r="M2821" i="13"/>
  <c r="K2633" i="13" l="1"/>
  <c r="L2633" i="13" s="1"/>
  <c r="I2634" i="13" s="1"/>
  <c r="K2655" i="14"/>
  <c r="L2655" i="14" s="1"/>
  <c r="I2656" i="14" s="1"/>
  <c r="M2823" i="14"/>
  <c r="M2822" i="13"/>
  <c r="J2819" i="13" a="1"/>
  <c r="J2819" i="13" s="1"/>
  <c r="N2820" i="13"/>
  <c r="N2819" i="14"/>
  <c r="J2818" i="14" a="1"/>
  <c r="J2818" i="14" s="1"/>
  <c r="K2656" i="14" l="1"/>
  <c r="L2656" i="14" s="1"/>
  <c r="I2657" i="14" s="1"/>
  <c r="K2634" i="13"/>
  <c r="L2634" i="13" s="1"/>
  <c r="I2635" i="13" s="1"/>
  <c r="M2823" i="13"/>
  <c r="N2820" i="14"/>
  <c r="J2819" i="14" a="1"/>
  <c r="J2819" i="14" s="1"/>
  <c r="N2821" i="13"/>
  <c r="J2820" i="13" a="1"/>
  <c r="J2820" i="13" s="1"/>
  <c r="M2824" i="14"/>
  <c r="K2635" i="13" l="1"/>
  <c r="L2635" i="13" s="1"/>
  <c r="I2636" i="13" s="1"/>
  <c r="K2657" i="14"/>
  <c r="L2657" i="14" s="1"/>
  <c r="I2658" i="14" s="1"/>
  <c r="J2820" i="14" a="1"/>
  <c r="J2820" i="14" s="1"/>
  <c r="N2821" i="14"/>
  <c r="M2825" i="14"/>
  <c r="J2821" i="13" a="1"/>
  <c r="J2821" i="13" s="1"/>
  <c r="N2822" i="13"/>
  <c r="M2824" i="13"/>
  <c r="K2658" i="14" l="1"/>
  <c r="L2658" i="14" s="1"/>
  <c r="I2659" i="14" s="1"/>
  <c r="K2636" i="13"/>
  <c r="L2636" i="13" s="1"/>
  <c r="I2637" i="13" s="1"/>
  <c r="N2823" i="13"/>
  <c r="J2822" i="13" a="1"/>
  <c r="J2822" i="13" s="1"/>
  <c r="M2826" i="14"/>
  <c r="M2825" i="13"/>
  <c r="J2821" i="14" a="1"/>
  <c r="J2821" i="14" s="1"/>
  <c r="N2822" i="14"/>
  <c r="K2637" i="13" l="1"/>
  <c r="L2637" i="13" s="1"/>
  <c r="I2638" i="13" s="1"/>
  <c r="K2659" i="14"/>
  <c r="L2659" i="14" s="1"/>
  <c r="I2660" i="14" s="1"/>
  <c r="N2823" i="14"/>
  <c r="J2822" i="14" a="1"/>
  <c r="J2822" i="14" s="1"/>
  <c r="M2827" i="14"/>
  <c r="M2826" i="13"/>
  <c r="J2823" i="13" a="1"/>
  <c r="J2823" i="13" s="1"/>
  <c r="N2824" i="13"/>
  <c r="K2638" i="13" l="1"/>
  <c r="L2638" i="13" s="1"/>
  <c r="I2639" i="13" s="1"/>
  <c r="J2824" i="13" a="1"/>
  <c r="J2824" i="13" s="1"/>
  <c r="N2825" i="13"/>
  <c r="K2660" i="14"/>
  <c r="L2660" i="14" s="1"/>
  <c r="I2661" i="14" s="1"/>
  <c r="M2828" i="14"/>
  <c r="M2827" i="13"/>
  <c r="N2824" i="14"/>
  <c r="J2823" i="14" a="1"/>
  <c r="J2823" i="14" s="1"/>
  <c r="K2661" i="14" l="1"/>
  <c r="L2661" i="14" s="1"/>
  <c r="I2662" i="14" s="1"/>
  <c r="K2639" i="13"/>
  <c r="L2639" i="13" s="1"/>
  <c r="I2640" i="13" s="1"/>
  <c r="J2825" i="13" a="1"/>
  <c r="J2825" i="13" s="1"/>
  <c r="N2826" i="13"/>
  <c r="J2824" i="14" a="1"/>
  <c r="J2824" i="14" s="1"/>
  <c r="N2825" i="14"/>
  <c r="M2829" i="14"/>
  <c r="M2828" i="13"/>
  <c r="K2662" i="14" l="1"/>
  <c r="L2662" i="14" s="1"/>
  <c r="I2663" i="14" s="1"/>
  <c r="K2640" i="13"/>
  <c r="L2640" i="13" s="1"/>
  <c r="I2641" i="13" s="1"/>
  <c r="J2825" i="14" a="1"/>
  <c r="J2825" i="14" s="1"/>
  <c r="N2826" i="14"/>
  <c r="N2827" i="13"/>
  <c r="J2826" i="13" a="1"/>
  <c r="J2826" i="13" s="1"/>
  <c r="M2829" i="13"/>
  <c r="M2830" i="14"/>
  <c r="K2663" i="14" l="1"/>
  <c r="L2663" i="14" s="1"/>
  <c r="I2664" i="14" s="1"/>
  <c r="K2641" i="13"/>
  <c r="L2641" i="13" s="1"/>
  <c r="I2642" i="13" s="1"/>
  <c r="J2827" i="13" a="1"/>
  <c r="J2827" i="13" s="1"/>
  <c r="N2828" i="13"/>
  <c r="M2831" i="14"/>
  <c r="M2830" i="13"/>
  <c r="N2827" i="14"/>
  <c r="J2826" i="14" a="1"/>
  <c r="J2826" i="14" s="1"/>
  <c r="K2642" i="13" l="1"/>
  <c r="L2642" i="13" s="1"/>
  <c r="I2643" i="13" s="1"/>
  <c r="K2664" i="14"/>
  <c r="L2664" i="14" s="1"/>
  <c r="I2665" i="14" s="1"/>
  <c r="N2828" i="14"/>
  <c r="J2827" i="14" a="1"/>
  <c r="J2827" i="14" s="1"/>
  <c r="M2832" i="14"/>
  <c r="J2828" i="13" a="1"/>
  <c r="J2828" i="13" s="1"/>
  <c r="N2829" i="13"/>
  <c r="M2831" i="13"/>
  <c r="K2643" i="13" l="1"/>
  <c r="L2643" i="13" s="1"/>
  <c r="I2644" i="13" s="1"/>
  <c r="J2829" i="13" a="1"/>
  <c r="J2829" i="13" s="1"/>
  <c r="N2830" i="13"/>
  <c r="M2832" i="13"/>
  <c r="M2833" i="14"/>
  <c r="K2665" i="14"/>
  <c r="L2665" i="14" s="1"/>
  <c r="I2666" i="14" s="1"/>
  <c r="J2828" i="14" a="1"/>
  <c r="J2828" i="14" s="1"/>
  <c r="N2829" i="14"/>
  <c r="K2666" i="14" l="1"/>
  <c r="L2666" i="14" s="1"/>
  <c r="I2667" i="14" s="1"/>
  <c r="K2644" i="13"/>
  <c r="L2644" i="13" s="1"/>
  <c r="I2645" i="13" s="1"/>
  <c r="J2829" i="14" a="1"/>
  <c r="J2829" i="14" s="1"/>
  <c r="N2830" i="14"/>
  <c r="M2834" i="14"/>
  <c r="N2831" i="13"/>
  <c r="J2830" i="13" a="1"/>
  <c r="J2830" i="13" s="1"/>
  <c r="M2833" i="13"/>
  <c r="K2667" i="14" l="1"/>
  <c r="L2667" i="14" s="1"/>
  <c r="I2668" i="14" s="1"/>
  <c r="K2645" i="13"/>
  <c r="L2645" i="13" s="1"/>
  <c r="I2646" i="13" s="1"/>
  <c r="M2834" i="13"/>
  <c r="M2835" i="14"/>
  <c r="N2831" i="14"/>
  <c r="J2830" i="14" a="1"/>
  <c r="J2830" i="14" s="1"/>
  <c r="J2831" i="13" a="1"/>
  <c r="J2831" i="13" s="1"/>
  <c r="N2832" i="13"/>
  <c r="K2668" i="14" l="1"/>
  <c r="L2668" i="14" s="1"/>
  <c r="I2669" i="14" s="1"/>
  <c r="J2832" i="13" a="1"/>
  <c r="J2832" i="13" s="1"/>
  <c r="N2833" i="13"/>
  <c r="K2646" i="13"/>
  <c r="L2646" i="13" s="1"/>
  <c r="I2647" i="13" s="1"/>
  <c r="M2836" i="14"/>
  <c r="N2832" i="14"/>
  <c r="J2831" i="14" a="1"/>
  <c r="J2831" i="14" s="1"/>
  <c r="M2835" i="13"/>
  <c r="K2647" i="13" l="1"/>
  <c r="L2647" i="13" s="1"/>
  <c r="I2648" i="13" s="1"/>
  <c r="K2669" i="14"/>
  <c r="L2669" i="14" s="1"/>
  <c r="I2670" i="14" s="1"/>
  <c r="J2833" i="13" a="1"/>
  <c r="J2833" i="13" s="1"/>
  <c r="N2834" i="13"/>
  <c r="M2836" i="13"/>
  <c r="M2837" i="14"/>
  <c r="J2832" i="14" a="1"/>
  <c r="J2832" i="14" s="1"/>
  <c r="N2833" i="14"/>
  <c r="K2648" i="13" l="1"/>
  <c r="L2648" i="13" s="1"/>
  <c r="I2649" i="13" s="1"/>
  <c r="J2833" i="14" a="1"/>
  <c r="J2833" i="14" s="1"/>
  <c r="N2834" i="14"/>
  <c r="K2670" i="14"/>
  <c r="L2670" i="14" s="1"/>
  <c r="I2671" i="14" s="1"/>
  <c r="N2835" i="13"/>
  <c r="J2834" i="13" a="1"/>
  <c r="J2834" i="13" s="1"/>
  <c r="M2837" i="13"/>
  <c r="M2838" i="14"/>
  <c r="N2835" i="14" l="1"/>
  <c r="J2834" i="14" a="1"/>
  <c r="J2834" i="14" s="1"/>
  <c r="M2839" i="14"/>
  <c r="M2838" i="13"/>
  <c r="J2835" i="13" a="1"/>
  <c r="J2835" i="13" s="1"/>
  <c r="N2836" i="13"/>
  <c r="K2671" i="14"/>
  <c r="L2671" i="14" s="1"/>
  <c r="I2672" i="14" s="1"/>
  <c r="K2649" i="13"/>
  <c r="L2649" i="13" s="1"/>
  <c r="I2650" i="13" s="1"/>
  <c r="K2672" i="14" l="1"/>
  <c r="L2672" i="14" s="1"/>
  <c r="I2673" i="14" s="1"/>
  <c r="J2836" i="13" a="1"/>
  <c r="J2836" i="13" s="1"/>
  <c r="N2837" i="13"/>
  <c r="M2840" i="14"/>
  <c r="K2650" i="13"/>
  <c r="L2650" i="13" s="1"/>
  <c r="I2651" i="13" s="1"/>
  <c r="M2839" i="13"/>
  <c r="N2836" i="14"/>
  <c r="J2835" i="14" a="1"/>
  <c r="J2835" i="14" s="1"/>
  <c r="K2651" i="13" l="1"/>
  <c r="L2651" i="13" s="1"/>
  <c r="I2652" i="13" s="1"/>
  <c r="K2673" i="14"/>
  <c r="L2673" i="14" s="1"/>
  <c r="I2674" i="14" s="1"/>
  <c r="J2837" i="13" a="1"/>
  <c r="J2837" i="13" s="1"/>
  <c r="N2838" i="13"/>
  <c r="J2836" i="14" a="1"/>
  <c r="J2836" i="14" s="1"/>
  <c r="N2837" i="14"/>
  <c r="M2840" i="13"/>
  <c r="M2841" i="14"/>
  <c r="K2674" i="14" l="1"/>
  <c r="L2674" i="14" s="1"/>
  <c r="I2675" i="14" s="1"/>
  <c r="K2652" i="13"/>
  <c r="L2652" i="13" s="1"/>
  <c r="I2653" i="13" s="1"/>
  <c r="M2842" i="14"/>
  <c r="J2837" i="14" a="1"/>
  <c r="J2837" i="14" s="1"/>
  <c r="N2838" i="14"/>
  <c r="N2839" i="13"/>
  <c r="J2838" i="13" a="1"/>
  <c r="J2838" i="13" s="1"/>
  <c r="M2841" i="13"/>
  <c r="K2675" i="14" l="1"/>
  <c r="L2675" i="14" s="1"/>
  <c r="I2676" i="14" s="1"/>
  <c r="M2842" i="13"/>
  <c r="N2839" i="14"/>
  <c r="J2838" i="14" a="1"/>
  <c r="J2838" i="14" s="1"/>
  <c r="K2653" i="13"/>
  <c r="L2653" i="13" s="1"/>
  <c r="I2654" i="13" s="1"/>
  <c r="M2843" i="14"/>
  <c r="J2839" i="13" a="1"/>
  <c r="J2839" i="13" s="1"/>
  <c r="N2840" i="13"/>
  <c r="K2676" i="14" l="1"/>
  <c r="L2676" i="14" s="1"/>
  <c r="I2677" i="14" s="1"/>
  <c r="K2654" i="13"/>
  <c r="L2654" i="13" s="1"/>
  <c r="I2655" i="13" s="1"/>
  <c r="J2840" i="13" a="1"/>
  <c r="J2840" i="13" s="1"/>
  <c r="N2841" i="13"/>
  <c r="M2843" i="13"/>
  <c r="M2844" i="14"/>
  <c r="N2840" i="14"/>
  <c r="J2839" i="14" a="1"/>
  <c r="J2839" i="14" s="1"/>
  <c r="K2655" i="13" l="1"/>
  <c r="L2655" i="13" s="1"/>
  <c r="I2656" i="13" s="1"/>
  <c r="K2677" i="14"/>
  <c r="L2677" i="14" s="1"/>
  <c r="I2678" i="14" s="1"/>
  <c r="M2845" i="14"/>
  <c r="J2840" i="14" a="1"/>
  <c r="J2840" i="14" s="1"/>
  <c r="N2841" i="14"/>
  <c r="M2844" i="13"/>
  <c r="J2841" i="13" a="1"/>
  <c r="J2841" i="13" s="1"/>
  <c r="N2842" i="13"/>
  <c r="K2678" i="14" l="1"/>
  <c r="L2678" i="14" s="1"/>
  <c r="I2679" i="14" s="1"/>
  <c r="K2656" i="13"/>
  <c r="L2656" i="13" s="1"/>
  <c r="I2657" i="13" s="1"/>
  <c r="J2841" i="14" a="1"/>
  <c r="J2841" i="14" s="1"/>
  <c r="N2842" i="14"/>
  <c r="N2843" i="13"/>
  <c r="J2842" i="13" a="1"/>
  <c r="J2842" i="13" s="1"/>
  <c r="M2845" i="13"/>
  <c r="M2846" i="14"/>
  <c r="K2657" i="13" l="1"/>
  <c r="L2657" i="13" s="1"/>
  <c r="I2658" i="13" s="1"/>
  <c r="K2679" i="14"/>
  <c r="L2679" i="14" s="1"/>
  <c r="I2680" i="14" s="1"/>
  <c r="M2846" i="13"/>
  <c r="M2847" i="14"/>
  <c r="J2843" i="13" a="1"/>
  <c r="J2843" i="13" s="1"/>
  <c r="N2844" i="13"/>
  <c r="N2843" i="14"/>
  <c r="J2842" i="14" a="1"/>
  <c r="J2842" i="14" s="1"/>
  <c r="K2658" i="13" l="1"/>
  <c r="L2658" i="13" s="1"/>
  <c r="I2659" i="13" s="1"/>
  <c r="N2844" i="14"/>
  <c r="J2843" i="14" a="1"/>
  <c r="J2843" i="14" s="1"/>
  <c r="M2848" i="14"/>
  <c r="K2680" i="14"/>
  <c r="L2680" i="14" s="1"/>
  <c r="I2681" i="14" s="1"/>
  <c r="J2844" i="13" a="1"/>
  <c r="J2844" i="13" s="1"/>
  <c r="N2845" i="13"/>
  <c r="M2847" i="13"/>
  <c r="K2659" i="13" l="1"/>
  <c r="L2659" i="13" s="1"/>
  <c r="I2660" i="13" s="1"/>
  <c r="M2848" i="13"/>
  <c r="J2844" i="14" a="1"/>
  <c r="J2844" i="14" s="1"/>
  <c r="N2845" i="14"/>
  <c r="J2845" i="13" a="1"/>
  <c r="J2845" i="13" s="1"/>
  <c r="N2846" i="13"/>
  <c r="K2681" i="14"/>
  <c r="L2681" i="14" s="1"/>
  <c r="I2682" i="14" s="1"/>
  <c r="M2849" i="14"/>
  <c r="K2682" i="14" l="1"/>
  <c r="L2682" i="14" s="1"/>
  <c r="I2683" i="14" s="1"/>
  <c r="K2660" i="13"/>
  <c r="L2660" i="13" s="1"/>
  <c r="I2661" i="13" s="1"/>
  <c r="M2850" i="14"/>
  <c r="N2847" i="13"/>
  <c r="J2846" i="13" a="1"/>
  <c r="J2846" i="13" s="1"/>
  <c r="M2849" i="13"/>
  <c r="J2845" i="14" a="1"/>
  <c r="J2845" i="14" s="1"/>
  <c r="N2846" i="14"/>
  <c r="K2661" i="13" l="1"/>
  <c r="L2661" i="13" s="1"/>
  <c r="I2662" i="13" s="1"/>
  <c r="K2683" i="14"/>
  <c r="L2683" i="14" s="1"/>
  <c r="I2684" i="14" s="1"/>
  <c r="J2847" i="13" a="1"/>
  <c r="J2847" i="13" s="1"/>
  <c r="N2848" i="13"/>
  <c r="N2847" i="14"/>
  <c r="J2846" i="14" a="1"/>
  <c r="J2846" i="14" s="1"/>
  <c r="M2850" i="13"/>
  <c r="M2851" i="14"/>
  <c r="K2684" i="14" l="1"/>
  <c r="L2684" i="14" s="1"/>
  <c r="I2685" i="14" s="1"/>
  <c r="K2662" i="13"/>
  <c r="L2662" i="13" s="1"/>
  <c r="I2663" i="13" s="1"/>
  <c r="N2848" i="14"/>
  <c r="J2847" i="14" a="1"/>
  <c r="J2847" i="14" s="1"/>
  <c r="J2848" i="13" a="1"/>
  <c r="J2848" i="13" s="1"/>
  <c r="N2849" i="13"/>
  <c r="M2852" i="14"/>
  <c r="M2851" i="13"/>
  <c r="K2663" i="13" l="1"/>
  <c r="L2663" i="13" s="1"/>
  <c r="I2664" i="13" s="1"/>
  <c r="K2685" i="14"/>
  <c r="L2685" i="14" s="1"/>
  <c r="I2686" i="14" s="1"/>
  <c r="J2849" i="13" a="1"/>
  <c r="J2849" i="13" s="1"/>
  <c r="N2850" i="13"/>
  <c r="M2852" i="13"/>
  <c r="M2853" i="14"/>
  <c r="J2848" i="14" a="1"/>
  <c r="J2848" i="14" s="1"/>
  <c r="N2849" i="14"/>
  <c r="K2664" i="13" l="1"/>
  <c r="L2664" i="13" s="1"/>
  <c r="I2665" i="13" s="1"/>
  <c r="J2849" i="14" a="1"/>
  <c r="J2849" i="14" s="1"/>
  <c r="N2850" i="14"/>
  <c r="M2854" i="14"/>
  <c r="K2686" i="14"/>
  <c r="L2686" i="14" s="1"/>
  <c r="I2687" i="14" s="1"/>
  <c r="M2853" i="13"/>
  <c r="N2851" i="13"/>
  <c r="J2850" i="13" a="1"/>
  <c r="J2850" i="13" s="1"/>
  <c r="K2687" i="14" l="1"/>
  <c r="L2687" i="14" s="1"/>
  <c r="I2688" i="14" s="1"/>
  <c r="K2665" i="13"/>
  <c r="L2665" i="13" s="1"/>
  <c r="I2666" i="13" s="1"/>
  <c r="N2851" i="14"/>
  <c r="J2850" i="14" a="1"/>
  <c r="J2850" i="14" s="1"/>
  <c r="J2851" i="13" a="1"/>
  <c r="J2851" i="13" s="1"/>
  <c r="N2852" i="13"/>
  <c r="M2854" i="13"/>
  <c r="M2855" i="14"/>
  <c r="K2666" i="13" l="1"/>
  <c r="L2666" i="13" s="1"/>
  <c r="I2667" i="13" s="1"/>
  <c r="K2688" i="14"/>
  <c r="L2688" i="14" s="1"/>
  <c r="I2689" i="14" s="1"/>
  <c r="J2852" i="13" a="1"/>
  <c r="J2852" i="13" s="1"/>
  <c r="N2853" i="13"/>
  <c r="M2856" i="14"/>
  <c r="M2855" i="13"/>
  <c r="N2852" i="14"/>
  <c r="J2851" i="14" a="1"/>
  <c r="J2851" i="14" s="1"/>
  <c r="K2689" i="14" l="1"/>
  <c r="L2689" i="14" s="1"/>
  <c r="I2690" i="14" s="1"/>
  <c r="K2667" i="13"/>
  <c r="L2667" i="13" s="1"/>
  <c r="I2668" i="13" s="1"/>
  <c r="J2852" i="14" a="1"/>
  <c r="J2852" i="14" s="1"/>
  <c r="N2853" i="14"/>
  <c r="M2857" i="14"/>
  <c r="J2853" i="13" a="1"/>
  <c r="J2853" i="13" s="1"/>
  <c r="N2854" i="13"/>
  <c r="M2856" i="13"/>
  <c r="K2690" i="14" l="1"/>
  <c r="L2690" i="14" s="1"/>
  <c r="I2691" i="14" s="1"/>
  <c r="M2857" i="13"/>
  <c r="M2858" i="14"/>
  <c r="K2668" i="13"/>
  <c r="L2668" i="13" s="1"/>
  <c r="I2669" i="13" s="1"/>
  <c r="J2853" i="14" a="1"/>
  <c r="J2853" i="14" s="1"/>
  <c r="N2854" i="14"/>
  <c r="N2855" i="13"/>
  <c r="J2854" i="13" a="1"/>
  <c r="J2854" i="13" s="1"/>
  <c r="K2669" i="13" l="1"/>
  <c r="L2669" i="13" s="1"/>
  <c r="I2670" i="13" s="1"/>
  <c r="K2691" i="14"/>
  <c r="L2691" i="14" s="1"/>
  <c r="I2692" i="14" s="1"/>
  <c r="M2858" i="13"/>
  <c r="N2855" i="14"/>
  <c r="J2854" i="14" a="1"/>
  <c r="J2854" i="14" s="1"/>
  <c r="M2859" i="14"/>
  <c r="J2855" i="13" a="1"/>
  <c r="J2855" i="13" s="1"/>
  <c r="N2856" i="13"/>
  <c r="K2692" i="14" l="1"/>
  <c r="L2692" i="14" s="1"/>
  <c r="I2693" i="14" s="1"/>
  <c r="K2670" i="13"/>
  <c r="L2670" i="13" s="1"/>
  <c r="I2671" i="13" s="1"/>
  <c r="J2856" i="13" a="1"/>
  <c r="J2856" i="13" s="1"/>
  <c r="N2857" i="13"/>
  <c r="N2856" i="14"/>
  <c r="J2855" i="14" a="1"/>
  <c r="J2855" i="14" s="1"/>
  <c r="M2860" i="14"/>
  <c r="M2859" i="13"/>
  <c r="K2671" i="13" l="1"/>
  <c r="L2671" i="13" s="1"/>
  <c r="I2672" i="13" s="1"/>
  <c r="K2693" i="14"/>
  <c r="L2693" i="14" s="1"/>
  <c r="I2694" i="14" s="1"/>
  <c r="M2861" i="14"/>
  <c r="M2860" i="13"/>
  <c r="J2856" i="14" a="1"/>
  <c r="J2856" i="14" s="1"/>
  <c r="N2857" i="14"/>
  <c r="J2857" i="13" a="1"/>
  <c r="J2857" i="13" s="1"/>
  <c r="N2858" i="13"/>
  <c r="K2672" i="13" l="1"/>
  <c r="L2672" i="13" s="1"/>
  <c r="I2673" i="13" s="1"/>
  <c r="N2859" i="13"/>
  <c r="J2858" i="13" a="1"/>
  <c r="J2858" i="13" s="1"/>
  <c r="M2861" i="13"/>
  <c r="K2694" i="14"/>
  <c r="L2694" i="14" s="1"/>
  <c r="I2695" i="14" s="1"/>
  <c r="J2857" i="14" a="1"/>
  <c r="J2857" i="14" s="1"/>
  <c r="N2858" i="14"/>
  <c r="M2862" i="14"/>
  <c r="K2695" i="14" l="1"/>
  <c r="L2695" i="14" s="1"/>
  <c r="I2696" i="14" s="1"/>
  <c r="K2673" i="13"/>
  <c r="L2673" i="13" s="1"/>
  <c r="I2674" i="13" s="1"/>
  <c r="M2863" i="14"/>
  <c r="J2859" i="13" a="1"/>
  <c r="J2859" i="13" s="1"/>
  <c r="N2860" i="13"/>
  <c r="N2859" i="14"/>
  <c r="J2858" i="14" a="1"/>
  <c r="J2858" i="14" s="1"/>
  <c r="M2862" i="13"/>
  <c r="K2674" i="13" l="1"/>
  <c r="L2674" i="13" s="1"/>
  <c r="I2675" i="13" s="1"/>
  <c r="K2696" i="14"/>
  <c r="L2696" i="14" s="1"/>
  <c r="I2697" i="14" s="1"/>
  <c r="J2860" i="13" a="1"/>
  <c r="J2860" i="13" s="1"/>
  <c r="N2861" i="13"/>
  <c r="M2863" i="13"/>
  <c r="N2860" i="14"/>
  <c r="J2859" i="14" a="1"/>
  <c r="J2859" i="14" s="1"/>
  <c r="M2864" i="14"/>
  <c r="K2697" i="14" l="1"/>
  <c r="L2697" i="14" s="1"/>
  <c r="I2698" i="14" s="1"/>
  <c r="K2675" i="13"/>
  <c r="L2675" i="13" s="1"/>
  <c r="I2676" i="13" s="1"/>
  <c r="M2865" i="14"/>
  <c r="M2864" i="13"/>
  <c r="J2861" i="13" a="1"/>
  <c r="J2861" i="13" s="1"/>
  <c r="N2862" i="13"/>
  <c r="J2860" i="14" a="1"/>
  <c r="J2860" i="14" s="1"/>
  <c r="N2861" i="14"/>
  <c r="K2698" i="14" l="1"/>
  <c r="L2698" i="14" s="1"/>
  <c r="I2699" i="14" s="1"/>
  <c r="M2865" i="13"/>
  <c r="J2861" i="14" a="1"/>
  <c r="J2861" i="14" s="1"/>
  <c r="N2862" i="14"/>
  <c r="K2676" i="13"/>
  <c r="L2676" i="13" s="1"/>
  <c r="I2677" i="13" s="1"/>
  <c r="N2863" i="13"/>
  <c r="J2862" i="13" a="1"/>
  <c r="J2862" i="13" s="1"/>
  <c r="M2866" i="14"/>
  <c r="K2699" i="14" l="1"/>
  <c r="L2699" i="14" s="1"/>
  <c r="I2700" i="14" s="1"/>
  <c r="K2677" i="13"/>
  <c r="L2677" i="13" s="1"/>
  <c r="I2678" i="13" s="1"/>
  <c r="N2863" i="14"/>
  <c r="J2862" i="14" a="1"/>
  <c r="J2862" i="14" s="1"/>
  <c r="M2866" i="13"/>
  <c r="J2863" i="13" a="1"/>
  <c r="J2863" i="13" s="1"/>
  <c r="N2864" i="13"/>
  <c r="M2867" i="14"/>
  <c r="K2678" i="13" l="1"/>
  <c r="L2678" i="13" s="1"/>
  <c r="I2679" i="13" s="1"/>
  <c r="K2700" i="14"/>
  <c r="L2700" i="14" s="1"/>
  <c r="I2701" i="14" s="1"/>
  <c r="J2864" i="13" a="1"/>
  <c r="J2864" i="13" s="1"/>
  <c r="N2865" i="13"/>
  <c r="M2868" i="14"/>
  <c r="M2867" i="13"/>
  <c r="N2864" i="14"/>
  <c r="J2863" i="14" a="1"/>
  <c r="J2863" i="14" s="1"/>
  <c r="K2679" i="13" l="1"/>
  <c r="L2679" i="13" s="1"/>
  <c r="I2680" i="13" s="1"/>
  <c r="J2864" i="14" a="1"/>
  <c r="J2864" i="14" s="1"/>
  <c r="N2865" i="14"/>
  <c r="K2701" i="14"/>
  <c r="L2701" i="14" s="1"/>
  <c r="I2702" i="14" s="1"/>
  <c r="J2865" i="13" a="1"/>
  <c r="J2865" i="13" s="1"/>
  <c r="N2866" i="13"/>
  <c r="M2869" i="14"/>
  <c r="M2868" i="13"/>
  <c r="K2702" i="14" l="1"/>
  <c r="L2702" i="14" s="1"/>
  <c r="I2703" i="14" s="1"/>
  <c r="K2680" i="13"/>
  <c r="L2680" i="13" s="1"/>
  <c r="I2681" i="13" s="1"/>
  <c r="N2867" i="13"/>
  <c r="J2866" i="13" a="1"/>
  <c r="J2866" i="13" s="1"/>
  <c r="J2865" i="14" a="1"/>
  <c r="J2865" i="14" s="1"/>
  <c r="N2866" i="14"/>
  <c r="M2869" i="13"/>
  <c r="M2870" i="14"/>
  <c r="K2703" i="14" l="1"/>
  <c r="L2703" i="14" s="1"/>
  <c r="I2704" i="14" s="1"/>
  <c r="N2867" i="14"/>
  <c r="J2866" i="14" a="1"/>
  <c r="J2866" i="14" s="1"/>
  <c r="K2681" i="13"/>
  <c r="L2681" i="13" s="1"/>
  <c r="I2682" i="13" s="1"/>
  <c r="M2870" i="13"/>
  <c r="M2871" i="14"/>
  <c r="J2867" i="13" a="1"/>
  <c r="J2867" i="13" s="1"/>
  <c r="N2868" i="13"/>
  <c r="K2682" i="13" l="1"/>
  <c r="L2682" i="13" s="1"/>
  <c r="I2683" i="13" s="1"/>
  <c r="K2704" i="14"/>
  <c r="L2704" i="14" s="1"/>
  <c r="I2705" i="14" s="1"/>
  <c r="J2868" i="13" a="1"/>
  <c r="J2868" i="13" s="1"/>
  <c r="N2869" i="13"/>
  <c r="N2868" i="14"/>
  <c r="J2867" i="14" a="1"/>
  <c r="J2867" i="14" s="1"/>
  <c r="M2871" i="13"/>
  <c r="M2872" i="14"/>
  <c r="K2705" i="14" l="1"/>
  <c r="L2705" i="14" s="1"/>
  <c r="I2706" i="14" s="1"/>
  <c r="K2683" i="13"/>
  <c r="L2683" i="13" s="1"/>
  <c r="I2684" i="13" s="1"/>
  <c r="J2868" i="14" a="1"/>
  <c r="J2868" i="14" s="1"/>
  <c r="N2869" i="14"/>
  <c r="J2869" i="13" a="1"/>
  <c r="J2869" i="13" s="1"/>
  <c r="N2870" i="13"/>
  <c r="M2873" i="14"/>
  <c r="M2872" i="13"/>
  <c r="K2684" i="13" l="1"/>
  <c r="L2684" i="13" s="1"/>
  <c r="I2685" i="13" s="1"/>
  <c r="K2706" i="14"/>
  <c r="L2706" i="14" s="1"/>
  <c r="I2707" i="14" s="1"/>
  <c r="N2871" i="13"/>
  <c r="J2870" i="13" a="1"/>
  <c r="J2870" i="13" s="1"/>
  <c r="J2869" i="14" a="1"/>
  <c r="J2869" i="14" s="1"/>
  <c r="N2870" i="14"/>
  <c r="M2873" i="13"/>
  <c r="M2874" i="14"/>
  <c r="K2707" i="14" l="1"/>
  <c r="L2707" i="14" s="1"/>
  <c r="I2708" i="14" s="1"/>
  <c r="K2685" i="13"/>
  <c r="L2685" i="13" s="1"/>
  <c r="I2686" i="13" s="1"/>
  <c r="N2871" i="14"/>
  <c r="J2870" i="14" a="1"/>
  <c r="J2870" i="14" s="1"/>
  <c r="M2875" i="14"/>
  <c r="M2874" i="13"/>
  <c r="J2871" i="13" a="1"/>
  <c r="J2871" i="13" s="1"/>
  <c r="N2872" i="13"/>
  <c r="K2708" i="14" l="1"/>
  <c r="L2708" i="14" s="1"/>
  <c r="I2709" i="14" s="1"/>
  <c r="J2872" i="13" a="1"/>
  <c r="J2872" i="13" s="1"/>
  <c r="N2873" i="13"/>
  <c r="M2876" i="14"/>
  <c r="K2686" i="13"/>
  <c r="L2686" i="13" s="1"/>
  <c r="I2687" i="13" s="1"/>
  <c r="M2875" i="13"/>
  <c r="N2872" i="14"/>
  <c r="J2871" i="14" a="1"/>
  <c r="J2871" i="14" s="1"/>
  <c r="K2687" i="13" l="1"/>
  <c r="L2687" i="13" s="1"/>
  <c r="I2688" i="13" s="1"/>
  <c r="K2709" i="14"/>
  <c r="L2709" i="14" s="1"/>
  <c r="I2710" i="14" s="1"/>
  <c r="J2873" i="13" a="1"/>
  <c r="J2873" i="13" s="1"/>
  <c r="N2874" i="13"/>
  <c r="J2872" i="14" a="1"/>
  <c r="J2872" i="14" s="1"/>
  <c r="N2873" i="14"/>
  <c r="M2876" i="13"/>
  <c r="M2877" i="14"/>
  <c r="K2710" i="14" l="1"/>
  <c r="L2710" i="14" s="1"/>
  <c r="I2711" i="14" s="1"/>
  <c r="K2688" i="13"/>
  <c r="L2688" i="13" s="1"/>
  <c r="I2689" i="13" s="1"/>
  <c r="J2873" i="14" a="1"/>
  <c r="J2873" i="14" s="1"/>
  <c r="N2874" i="14"/>
  <c r="N2875" i="13"/>
  <c r="J2874" i="13" a="1"/>
  <c r="J2874" i="13" s="1"/>
  <c r="M2878" i="14"/>
  <c r="M2877" i="13"/>
  <c r="K2711" i="14" l="1"/>
  <c r="L2711" i="14" s="1"/>
  <c r="I2712" i="14" s="1"/>
  <c r="K2689" i="13"/>
  <c r="L2689" i="13" s="1"/>
  <c r="I2690" i="13" s="1"/>
  <c r="M2879" i="14"/>
  <c r="M2878" i="13"/>
  <c r="J2875" i="13" a="1"/>
  <c r="J2875" i="13" s="1"/>
  <c r="N2876" i="13"/>
  <c r="N2875" i="14"/>
  <c r="J2874" i="14" a="1"/>
  <c r="J2874" i="14" s="1"/>
  <c r="K2712" i="14" l="1"/>
  <c r="L2712" i="14" s="1"/>
  <c r="I2713" i="14" s="1"/>
  <c r="N2876" i="14"/>
  <c r="J2875" i="14" a="1"/>
  <c r="J2875" i="14" s="1"/>
  <c r="M2879" i="13"/>
  <c r="K2690" i="13"/>
  <c r="L2690" i="13" s="1"/>
  <c r="I2691" i="13" s="1"/>
  <c r="J2876" i="13" a="1"/>
  <c r="J2876" i="13" s="1"/>
  <c r="N2877" i="13"/>
  <c r="M2880" i="14"/>
  <c r="K2691" i="13" l="1"/>
  <c r="L2691" i="13" s="1"/>
  <c r="I2692" i="13" s="1"/>
  <c r="K2713" i="14"/>
  <c r="L2713" i="14" s="1"/>
  <c r="I2714" i="14" s="1"/>
  <c r="J2876" i="14" a="1"/>
  <c r="J2876" i="14" s="1"/>
  <c r="N2877" i="14"/>
  <c r="J2877" i="13" a="1"/>
  <c r="J2877" i="13" s="1"/>
  <c r="N2878" i="13"/>
  <c r="M2881" i="14"/>
  <c r="M2880" i="13"/>
  <c r="K2692" i="13" l="1"/>
  <c r="L2692" i="13" s="1"/>
  <c r="I2693" i="13" s="1"/>
  <c r="M2881" i="13"/>
  <c r="M2882" i="14"/>
  <c r="N2879" i="13"/>
  <c r="J2878" i="13" a="1"/>
  <c r="J2878" i="13" s="1"/>
  <c r="K2714" i="14"/>
  <c r="L2714" i="14" s="1"/>
  <c r="I2715" i="14" s="1"/>
  <c r="J2877" i="14" a="1"/>
  <c r="J2877" i="14" s="1"/>
  <c r="N2878" i="14"/>
  <c r="K2715" i="14" l="1"/>
  <c r="L2715" i="14" s="1"/>
  <c r="I2716" i="14" s="1"/>
  <c r="K2693" i="13"/>
  <c r="L2693" i="13" s="1"/>
  <c r="I2694" i="13" s="1"/>
  <c r="M2882" i="13"/>
  <c r="N2879" i="14"/>
  <c r="J2878" i="14" a="1"/>
  <c r="J2878" i="14" s="1"/>
  <c r="M2883" i="14"/>
  <c r="J2879" i="13" a="1"/>
  <c r="J2879" i="13" s="1"/>
  <c r="N2880" i="13"/>
  <c r="K2694" i="13" l="1"/>
  <c r="L2694" i="13" s="1"/>
  <c r="I2695" i="13" s="1"/>
  <c r="K2716" i="14"/>
  <c r="L2716" i="14" s="1"/>
  <c r="I2717" i="14" s="1"/>
  <c r="N2880" i="14"/>
  <c r="J2879" i="14" a="1"/>
  <c r="J2879" i="14" s="1"/>
  <c r="J2880" i="13" a="1"/>
  <c r="J2880" i="13" s="1"/>
  <c r="N2881" i="13"/>
  <c r="M2884" i="14"/>
  <c r="M2883" i="13"/>
  <c r="K2695" i="13" l="1"/>
  <c r="L2695" i="13" s="1"/>
  <c r="I2696" i="13" s="1"/>
  <c r="M2884" i="13"/>
  <c r="J2881" i="13" a="1"/>
  <c r="J2881" i="13" s="1"/>
  <c r="N2882" i="13"/>
  <c r="K2717" i="14"/>
  <c r="L2717" i="14" s="1"/>
  <c r="I2718" i="14" s="1"/>
  <c r="M2885" i="14"/>
  <c r="J2880" i="14" a="1"/>
  <c r="J2880" i="14" s="1"/>
  <c r="N2881" i="14"/>
  <c r="K2696" i="13" l="1"/>
  <c r="L2696" i="13" s="1"/>
  <c r="I2697" i="13" s="1"/>
  <c r="J2881" i="14" a="1"/>
  <c r="J2881" i="14" s="1"/>
  <c r="N2882" i="14"/>
  <c r="K2718" i="14"/>
  <c r="L2718" i="14" s="1"/>
  <c r="I2719" i="14" s="1"/>
  <c r="M2885" i="13"/>
  <c r="N2883" i="13"/>
  <c r="J2882" i="13" a="1"/>
  <c r="J2882" i="13" s="1"/>
  <c r="M2886" i="14"/>
  <c r="K2719" i="14" l="1"/>
  <c r="L2719" i="14" s="1"/>
  <c r="I2720" i="14" s="1"/>
  <c r="K2697" i="13"/>
  <c r="L2697" i="13" s="1"/>
  <c r="I2698" i="13" s="1"/>
  <c r="M2887" i="14"/>
  <c r="M2886" i="13"/>
  <c r="N2883" i="14"/>
  <c r="J2882" i="14" a="1"/>
  <c r="J2882" i="14" s="1"/>
  <c r="J2883" i="13" a="1"/>
  <c r="J2883" i="13" s="1"/>
  <c r="N2884" i="13"/>
  <c r="K2720" i="14" l="1"/>
  <c r="L2720" i="14" s="1"/>
  <c r="I2721" i="14" s="1"/>
  <c r="J2884" i="13" a="1"/>
  <c r="J2884" i="13" s="1"/>
  <c r="N2885" i="13"/>
  <c r="M2887" i="13"/>
  <c r="K2698" i="13"/>
  <c r="L2698" i="13" s="1"/>
  <c r="I2699" i="13" s="1"/>
  <c r="N2884" i="14"/>
  <c r="J2883" i="14" a="1"/>
  <c r="J2883" i="14" s="1"/>
  <c r="M2888" i="14"/>
  <c r="K2699" i="13" l="1"/>
  <c r="L2699" i="13" s="1"/>
  <c r="I2700" i="13" s="1"/>
  <c r="K2721" i="14"/>
  <c r="L2721" i="14" s="1"/>
  <c r="I2722" i="14" s="1"/>
  <c r="J2885" i="13" a="1"/>
  <c r="J2885" i="13" s="1"/>
  <c r="N2886" i="13"/>
  <c r="M2889" i="14"/>
  <c r="J2884" i="14" a="1"/>
  <c r="J2884" i="14" s="1"/>
  <c r="N2885" i="14"/>
  <c r="M2888" i="13"/>
  <c r="K2722" i="14" l="1"/>
  <c r="L2722" i="14" s="1"/>
  <c r="I2723" i="14" s="1"/>
  <c r="K2700" i="13"/>
  <c r="L2700" i="13" s="1"/>
  <c r="I2701" i="13" s="1"/>
  <c r="J2885" i="14" a="1"/>
  <c r="J2885" i="14" s="1"/>
  <c r="N2886" i="14"/>
  <c r="M2890" i="14"/>
  <c r="M2889" i="13"/>
  <c r="N2887" i="13"/>
  <c r="J2886" i="13" a="1"/>
  <c r="J2886" i="13" s="1"/>
  <c r="K2701" i="13" l="1"/>
  <c r="L2701" i="13" s="1"/>
  <c r="I2702" i="13" s="1"/>
  <c r="M2890" i="13"/>
  <c r="M2891" i="14"/>
  <c r="J2887" i="13" a="1"/>
  <c r="J2887" i="13" s="1"/>
  <c r="N2888" i="13"/>
  <c r="N2887" i="14"/>
  <c r="J2886" i="14" a="1"/>
  <c r="J2886" i="14" s="1"/>
  <c r="K2723" i="14"/>
  <c r="L2723" i="14" s="1"/>
  <c r="I2724" i="14" s="1"/>
  <c r="K2724" i="14" l="1"/>
  <c r="L2724" i="14" s="1"/>
  <c r="I2725" i="14" s="1"/>
  <c r="K2702" i="13"/>
  <c r="L2702" i="13" s="1"/>
  <c r="I2703" i="13" s="1"/>
  <c r="J2888" i="13" a="1"/>
  <c r="J2888" i="13" s="1"/>
  <c r="N2889" i="13"/>
  <c r="M2891" i="13"/>
  <c r="N2888" i="14"/>
  <c r="J2887" i="14" a="1"/>
  <c r="J2887" i="14" s="1"/>
  <c r="M2892" i="14"/>
  <c r="K2703" i="13" l="1"/>
  <c r="L2703" i="13" s="1"/>
  <c r="I2704" i="13" s="1"/>
  <c r="K2725" i="14"/>
  <c r="L2725" i="14" s="1"/>
  <c r="I2726" i="14" s="1"/>
  <c r="J2888" i="14" a="1"/>
  <c r="J2888" i="14" s="1"/>
  <c r="N2889" i="14"/>
  <c r="M2893" i="14"/>
  <c r="M2892" i="13"/>
  <c r="J2889" i="13" a="1"/>
  <c r="J2889" i="13" s="1"/>
  <c r="N2890" i="13"/>
  <c r="K2726" i="14" l="1"/>
  <c r="L2726" i="14" s="1"/>
  <c r="I2727" i="14" s="1"/>
  <c r="K2704" i="13"/>
  <c r="L2704" i="13" s="1"/>
  <c r="I2705" i="13" s="1"/>
  <c r="N2891" i="13"/>
  <c r="J2890" i="13" a="1"/>
  <c r="J2890" i="13" s="1"/>
  <c r="M2894" i="14"/>
  <c r="J2889" i="14" a="1"/>
  <c r="J2889" i="14" s="1"/>
  <c r="N2890" i="14"/>
  <c r="M2893" i="13"/>
  <c r="K2705" i="13" l="1"/>
  <c r="L2705" i="13" s="1"/>
  <c r="I2706" i="13" s="1"/>
  <c r="K2727" i="14"/>
  <c r="L2727" i="14" s="1"/>
  <c r="I2728" i="14" s="1"/>
  <c r="M2894" i="13"/>
  <c r="M2895" i="14"/>
  <c r="N2891" i="14"/>
  <c r="J2890" i="14" a="1"/>
  <c r="J2890" i="14" s="1"/>
  <c r="J2891" i="13" a="1"/>
  <c r="J2891" i="13" s="1"/>
  <c r="N2892" i="13"/>
  <c r="K2728" i="14" l="1"/>
  <c r="L2728" i="14" s="1"/>
  <c r="I2729" i="14" s="1"/>
  <c r="K2706" i="13"/>
  <c r="L2706" i="13" s="1"/>
  <c r="I2707" i="13" s="1"/>
  <c r="J2892" i="13" a="1"/>
  <c r="J2892" i="13" s="1"/>
  <c r="N2893" i="13"/>
  <c r="M2896" i="14"/>
  <c r="N2892" i="14"/>
  <c r="J2891" i="14" a="1"/>
  <c r="J2891" i="14" s="1"/>
  <c r="M2895" i="13"/>
  <c r="K2707" i="13" l="1"/>
  <c r="L2707" i="13" s="1"/>
  <c r="I2708" i="13" s="1"/>
  <c r="K2729" i="14"/>
  <c r="L2729" i="14" s="1"/>
  <c r="I2730" i="14" s="1"/>
  <c r="J2892" i="14" a="1"/>
  <c r="J2892" i="14" s="1"/>
  <c r="N2893" i="14"/>
  <c r="M2896" i="13"/>
  <c r="M2897" i="14"/>
  <c r="J2893" i="13" a="1"/>
  <c r="J2893" i="13" s="1"/>
  <c r="N2894" i="13"/>
  <c r="K2730" i="14" l="1"/>
  <c r="L2730" i="14" s="1"/>
  <c r="I2731" i="14" s="1"/>
  <c r="K2708" i="13"/>
  <c r="L2708" i="13" s="1"/>
  <c r="I2709" i="13" s="1"/>
  <c r="N2895" i="13"/>
  <c r="J2894" i="13" a="1"/>
  <c r="J2894" i="13" s="1"/>
  <c r="M2897" i="13"/>
  <c r="J2893" i="14" a="1"/>
  <c r="J2893" i="14" s="1"/>
  <c r="N2894" i="14"/>
  <c r="M2898" i="14"/>
  <c r="K2709" i="13" l="1"/>
  <c r="L2709" i="13" s="1"/>
  <c r="I2710" i="13" s="1"/>
  <c r="K2731" i="14"/>
  <c r="L2731" i="14" s="1"/>
  <c r="I2732" i="14" s="1"/>
  <c r="M2899" i="14"/>
  <c r="M2898" i="13"/>
  <c r="N2895" i="14"/>
  <c r="J2894" i="14" a="1"/>
  <c r="J2894" i="14" s="1"/>
  <c r="J2895" i="13" a="1"/>
  <c r="J2895" i="13" s="1"/>
  <c r="N2896" i="13"/>
  <c r="K2710" i="13" l="1"/>
  <c r="L2710" i="13" s="1"/>
  <c r="I2711" i="13" s="1"/>
  <c r="J2896" i="13" a="1"/>
  <c r="J2896" i="13" s="1"/>
  <c r="N2897" i="13"/>
  <c r="M2899" i="13"/>
  <c r="K2732" i="14"/>
  <c r="L2732" i="14" s="1"/>
  <c r="I2733" i="14" s="1"/>
  <c r="N2896" i="14"/>
  <c r="J2895" i="14" a="1"/>
  <c r="J2895" i="14" s="1"/>
  <c r="M2900" i="14"/>
  <c r="K2733" i="14" l="1"/>
  <c r="L2733" i="14" s="1"/>
  <c r="I2734" i="14" s="1"/>
  <c r="K2711" i="13"/>
  <c r="L2711" i="13" s="1"/>
  <c r="I2712" i="13" s="1"/>
  <c r="J2897" i="13" a="1"/>
  <c r="J2897" i="13" s="1"/>
  <c r="N2898" i="13"/>
  <c r="M2901" i="14"/>
  <c r="J2896" i="14" a="1"/>
  <c r="J2896" i="14" s="1"/>
  <c r="N2897" i="14"/>
  <c r="M2900" i="13"/>
  <c r="K2712" i="13" l="1"/>
  <c r="L2712" i="13" s="1"/>
  <c r="I2713" i="13" s="1"/>
  <c r="M2901" i="13"/>
  <c r="M2902" i="14"/>
  <c r="J2897" i="14" a="1"/>
  <c r="J2897" i="14" s="1"/>
  <c r="N2898" i="14"/>
  <c r="N2899" i="13"/>
  <c r="J2898" i="13" a="1"/>
  <c r="J2898" i="13" s="1"/>
  <c r="K2734" i="14"/>
  <c r="L2734" i="14" s="1"/>
  <c r="I2735" i="14" s="1"/>
  <c r="K2735" i="14" l="1"/>
  <c r="L2735" i="14" s="1"/>
  <c r="I2736" i="14" s="1"/>
  <c r="K2713" i="13"/>
  <c r="L2713" i="13" s="1"/>
  <c r="I2714" i="13" s="1"/>
  <c r="N2899" i="14"/>
  <c r="J2898" i="14" a="1"/>
  <c r="J2898" i="14" s="1"/>
  <c r="M2902" i="13"/>
  <c r="M2903" i="14"/>
  <c r="J2899" i="13" a="1"/>
  <c r="J2899" i="13" s="1"/>
  <c r="N2900" i="13"/>
  <c r="K2736" i="14" l="1"/>
  <c r="L2736" i="14" s="1"/>
  <c r="I2737" i="14" s="1"/>
  <c r="J2900" i="13" a="1"/>
  <c r="J2900" i="13" s="1"/>
  <c r="N2901" i="13"/>
  <c r="M2903" i="13"/>
  <c r="K2714" i="13"/>
  <c r="L2714" i="13" s="1"/>
  <c r="I2715" i="13" s="1"/>
  <c r="M2904" i="14"/>
  <c r="N2900" i="14"/>
  <c r="J2899" i="14" a="1"/>
  <c r="J2899" i="14" s="1"/>
  <c r="K2737" i="14" l="1"/>
  <c r="L2737" i="14" s="1"/>
  <c r="I2738" i="14" s="1"/>
  <c r="K2715" i="13"/>
  <c r="L2715" i="13" s="1"/>
  <c r="I2716" i="13" s="1"/>
  <c r="J2901" i="13" a="1"/>
  <c r="J2901" i="13" s="1"/>
  <c r="N2902" i="13"/>
  <c r="J2900" i="14" a="1"/>
  <c r="J2900" i="14" s="1"/>
  <c r="N2901" i="14"/>
  <c r="M2905" i="14"/>
  <c r="M2904" i="13"/>
  <c r="K2716" i="13" l="1"/>
  <c r="L2716" i="13" s="1"/>
  <c r="I2717" i="13" s="1"/>
  <c r="K2738" i="14"/>
  <c r="L2738" i="14" s="1"/>
  <c r="I2739" i="14" s="1"/>
  <c r="J2901" i="14" a="1"/>
  <c r="J2901" i="14" s="1"/>
  <c r="N2902" i="14"/>
  <c r="N2903" i="13"/>
  <c r="J2902" i="13" a="1"/>
  <c r="J2902" i="13" s="1"/>
  <c r="M2905" i="13"/>
  <c r="M2906" i="14"/>
  <c r="K2739" i="14" l="1"/>
  <c r="L2739" i="14" s="1"/>
  <c r="I2740" i="14" s="1"/>
  <c r="K2717" i="13"/>
  <c r="L2717" i="13" s="1"/>
  <c r="I2718" i="13" s="1"/>
  <c r="J2903" i="13" a="1"/>
  <c r="J2903" i="13" s="1"/>
  <c r="N2904" i="13"/>
  <c r="M2907" i="14"/>
  <c r="M2906" i="13"/>
  <c r="N2903" i="14"/>
  <c r="J2902" i="14" a="1"/>
  <c r="J2902" i="14" s="1"/>
  <c r="K2740" i="14" l="1"/>
  <c r="L2740" i="14" s="1"/>
  <c r="I2741" i="14" s="1"/>
  <c r="K2718" i="13"/>
  <c r="L2718" i="13" s="1"/>
  <c r="I2719" i="13" s="1"/>
  <c r="M2907" i="13"/>
  <c r="N2904" i="14"/>
  <c r="J2903" i="14" a="1"/>
  <c r="J2903" i="14" s="1"/>
  <c r="M2908" i="14"/>
  <c r="J2904" i="13" a="1"/>
  <c r="J2904" i="13" s="1"/>
  <c r="N2905" i="13"/>
  <c r="K2719" i="13" l="1"/>
  <c r="L2719" i="13" s="1"/>
  <c r="I2720" i="13" s="1"/>
  <c r="K2741" i="14"/>
  <c r="L2741" i="14" s="1"/>
  <c r="I2742" i="14" s="1"/>
  <c r="J2905" i="13" a="1"/>
  <c r="J2905" i="13" s="1"/>
  <c r="N2906" i="13"/>
  <c r="J2904" i="14" a="1"/>
  <c r="J2904" i="14" s="1"/>
  <c r="N2905" i="14"/>
  <c r="M2909" i="14"/>
  <c r="M2908" i="13"/>
  <c r="K2720" i="13" l="1"/>
  <c r="L2720" i="13" s="1"/>
  <c r="I2721" i="13" s="1"/>
  <c r="J2905" i="14" a="1"/>
  <c r="J2905" i="14" s="1"/>
  <c r="N2906" i="14"/>
  <c r="K2742" i="14"/>
  <c r="L2742" i="14" s="1"/>
  <c r="I2743" i="14" s="1"/>
  <c r="N2907" i="13"/>
  <c r="J2906" i="13" a="1"/>
  <c r="J2906" i="13" s="1"/>
  <c r="M2909" i="13"/>
  <c r="M2910" i="14"/>
  <c r="K2743" i="14" l="1"/>
  <c r="L2743" i="14" s="1"/>
  <c r="I2744" i="14" s="1"/>
  <c r="K2721" i="13"/>
  <c r="L2721" i="13" s="1"/>
  <c r="I2722" i="13" s="1"/>
  <c r="N2907" i="14"/>
  <c r="J2906" i="14" a="1"/>
  <c r="J2906" i="14" s="1"/>
  <c r="M2911" i="14"/>
  <c r="J2907" i="13" a="1"/>
  <c r="J2907" i="13" s="1"/>
  <c r="N2908" i="13"/>
  <c r="M2910" i="13"/>
  <c r="K2722" i="13" l="1"/>
  <c r="L2722" i="13" s="1"/>
  <c r="I2723" i="13" s="1"/>
  <c r="K2744" i="14"/>
  <c r="L2744" i="14" s="1"/>
  <c r="I2745" i="14" s="1"/>
  <c r="J2908" i="13" a="1"/>
  <c r="J2908" i="13" s="1"/>
  <c r="N2909" i="13"/>
  <c r="M2911" i="13"/>
  <c r="M2912" i="14"/>
  <c r="N2908" i="14"/>
  <c r="J2907" i="14" a="1"/>
  <c r="J2907" i="14" s="1"/>
  <c r="K2723" i="13" l="1"/>
  <c r="L2723" i="13" s="1"/>
  <c r="I2724" i="13" s="1"/>
  <c r="J2908" i="14" a="1"/>
  <c r="J2908" i="14" s="1"/>
  <c r="N2909" i="14"/>
  <c r="M2912" i="13"/>
  <c r="K2745" i="14"/>
  <c r="L2745" i="14" s="1"/>
  <c r="I2746" i="14" s="1"/>
  <c r="M2913" i="14"/>
  <c r="J2909" i="13" a="1"/>
  <c r="J2909" i="13" s="1"/>
  <c r="N2910" i="13"/>
  <c r="K2746" i="14" l="1"/>
  <c r="L2746" i="14" s="1"/>
  <c r="I2747" i="14" s="1"/>
  <c r="K2724" i="13"/>
  <c r="L2724" i="13" s="1"/>
  <c r="I2725" i="13" s="1"/>
  <c r="J2909" i="14" a="1"/>
  <c r="J2909" i="14" s="1"/>
  <c r="N2910" i="14"/>
  <c r="N2911" i="13"/>
  <c r="J2910" i="13" a="1"/>
  <c r="J2910" i="13" s="1"/>
  <c r="M2914" i="14"/>
  <c r="M2913" i="13"/>
  <c r="K2725" i="13" l="1"/>
  <c r="L2725" i="13" s="1"/>
  <c r="I2726" i="13" s="1"/>
  <c r="K2747" i="14"/>
  <c r="L2747" i="14" s="1"/>
  <c r="I2748" i="14" s="1"/>
  <c r="M2915" i="14"/>
  <c r="M2914" i="13"/>
  <c r="J2911" i="13" a="1"/>
  <c r="J2911" i="13" s="1"/>
  <c r="N2912" i="13"/>
  <c r="N2911" i="14"/>
  <c r="J2910" i="14" a="1"/>
  <c r="J2910" i="14" s="1"/>
  <c r="K2748" i="14" l="1"/>
  <c r="L2748" i="14" s="1"/>
  <c r="I2749" i="14" s="1"/>
  <c r="M2916" i="14"/>
  <c r="N2912" i="14"/>
  <c r="J2911" i="14" a="1"/>
  <c r="J2911" i="14" s="1"/>
  <c r="M2915" i="13"/>
  <c r="J2912" i="13" a="1"/>
  <c r="J2912" i="13" s="1"/>
  <c r="N2913" i="13"/>
  <c r="K2726" i="13"/>
  <c r="L2726" i="13" s="1"/>
  <c r="I2727" i="13" s="1"/>
  <c r="K2727" i="13" l="1"/>
  <c r="L2727" i="13" s="1"/>
  <c r="I2728" i="13" s="1"/>
  <c r="K2749" i="14"/>
  <c r="L2749" i="14" s="1"/>
  <c r="I2750" i="14" s="1"/>
  <c r="J2913" i="13" a="1"/>
  <c r="J2913" i="13" s="1"/>
  <c r="N2914" i="13"/>
  <c r="M2916" i="13"/>
  <c r="M2917" i="14"/>
  <c r="J2912" i="14" a="1"/>
  <c r="J2912" i="14" s="1"/>
  <c r="N2913" i="14"/>
  <c r="K2750" i="14" l="1"/>
  <c r="L2750" i="14" s="1"/>
  <c r="I2751" i="14" s="1"/>
  <c r="K2728" i="13"/>
  <c r="L2728" i="13" s="1"/>
  <c r="I2729" i="13" s="1"/>
  <c r="M2917" i="13"/>
  <c r="N2915" i="13"/>
  <c r="J2914" i="13" a="1"/>
  <c r="J2914" i="13" s="1"/>
  <c r="J2913" i="14" a="1"/>
  <c r="J2913" i="14" s="1"/>
  <c r="N2914" i="14"/>
  <c r="M2918" i="14"/>
  <c r="K2751" i="14" l="1"/>
  <c r="L2751" i="14" s="1"/>
  <c r="I2752" i="14" s="1"/>
  <c r="K2729" i="13"/>
  <c r="L2729" i="13" s="1"/>
  <c r="I2730" i="13" s="1"/>
  <c r="J2915" i="13" a="1"/>
  <c r="J2915" i="13" s="1"/>
  <c r="N2916" i="13"/>
  <c r="N2915" i="14"/>
  <c r="J2914" i="14" a="1"/>
  <c r="J2914" i="14" s="1"/>
  <c r="M2918" i="13"/>
  <c r="M2919" i="14"/>
  <c r="K2752" i="14" l="1"/>
  <c r="L2752" i="14" s="1"/>
  <c r="I2753" i="14" s="1"/>
  <c r="K2730" i="13"/>
  <c r="L2730" i="13" s="1"/>
  <c r="I2731" i="13" s="1"/>
  <c r="J2916" i="13" a="1"/>
  <c r="J2916" i="13" s="1"/>
  <c r="N2917" i="13"/>
  <c r="M2919" i="13"/>
  <c r="M2920" i="14"/>
  <c r="N2916" i="14"/>
  <c r="J2915" i="14" a="1"/>
  <c r="J2915" i="14" s="1"/>
  <c r="K2753" i="14" l="1"/>
  <c r="L2753" i="14" s="1"/>
  <c r="I2754" i="14" s="1"/>
  <c r="J2916" i="14" a="1"/>
  <c r="J2916" i="14" s="1"/>
  <c r="N2917" i="14"/>
  <c r="M2920" i="13"/>
  <c r="K2731" i="13"/>
  <c r="L2731" i="13" s="1"/>
  <c r="I2732" i="13" s="1"/>
  <c r="J2917" i="13" a="1"/>
  <c r="J2917" i="13" s="1"/>
  <c r="N2918" i="13"/>
  <c r="M2921" i="14"/>
  <c r="K2732" i="13" l="1"/>
  <c r="L2732" i="13" s="1"/>
  <c r="I2733" i="13" s="1"/>
  <c r="K2754" i="14"/>
  <c r="L2754" i="14" s="1"/>
  <c r="I2755" i="14" s="1"/>
  <c r="J2917" i="14" a="1"/>
  <c r="J2917" i="14" s="1"/>
  <c r="N2918" i="14"/>
  <c r="N2919" i="13"/>
  <c r="J2918" i="13" a="1"/>
  <c r="J2918" i="13" s="1"/>
  <c r="M2922" i="14"/>
  <c r="M2921" i="13"/>
  <c r="K2733" i="13" l="1"/>
  <c r="L2733" i="13" s="1"/>
  <c r="I2734" i="13" s="1"/>
  <c r="K2755" i="14"/>
  <c r="L2755" i="14" s="1"/>
  <c r="I2756" i="14" s="1"/>
  <c r="M2922" i="13"/>
  <c r="N2919" i="14"/>
  <c r="J2918" i="14" a="1"/>
  <c r="J2918" i="14" s="1"/>
  <c r="J2919" i="13" a="1"/>
  <c r="J2919" i="13" s="1"/>
  <c r="N2920" i="13"/>
  <c r="M2923" i="14"/>
  <c r="K2734" i="13" l="1"/>
  <c r="L2734" i="13" s="1"/>
  <c r="I2735" i="13" s="1"/>
  <c r="M2924" i="14"/>
  <c r="N2920" i="14"/>
  <c r="J2919" i="14" a="1"/>
  <c r="J2919" i="14" s="1"/>
  <c r="K2756" i="14"/>
  <c r="L2756" i="14" s="1"/>
  <c r="I2757" i="14" s="1"/>
  <c r="J2920" i="13" a="1"/>
  <c r="J2920" i="13" s="1"/>
  <c r="N2921" i="13"/>
  <c r="M2923" i="13"/>
  <c r="K2735" i="13" l="1"/>
  <c r="L2735" i="13" s="1"/>
  <c r="I2736" i="13" s="1"/>
  <c r="M2924" i="13"/>
  <c r="K2757" i="14"/>
  <c r="L2757" i="14" s="1"/>
  <c r="I2758" i="14" s="1"/>
  <c r="M2925" i="14"/>
  <c r="J2921" i="13" a="1"/>
  <c r="J2921" i="13" s="1"/>
  <c r="N2922" i="13"/>
  <c r="J2920" i="14" a="1"/>
  <c r="J2920" i="14" s="1"/>
  <c r="N2921" i="14"/>
  <c r="K2736" i="13" l="1"/>
  <c r="L2736" i="13" s="1"/>
  <c r="I2737" i="13" s="1"/>
  <c r="K2758" i="14"/>
  <c r="L2758" i="14" s="1"/>
  <c r="I2759" i="14" s="1"/>
  <c r="N2923" i="13"/>
  <c r="J2922" i="13" a="1"/>
  <c r="J2922" i="13" s="1"/>
  <c r="J2921" i="14" a="1"/>
  <c r="J2921" i="14" s="1"/>
  <c r="N2922" i="14"/>
  <c r="M2926" i="14"/>
  <c r="M2925" i="13"/>
  <c r="K2759" i="14" l="1"/>
  <c r="L2759" i="14" s="1"/>
  <c r="I2760" i="14" s="1"/>
  <c r="K2737" i="13"/>
  <c r="L2737" i="13" s="1"/>
  <c r="I2738" i="13" s="1"/>
  <c r="N2923" i="14"/>
  <c r="J2922" i="14" a="1"/>
  <c r="J2922" i="14" s="1"/>
  <c r="M2926" i="13"/>
  <c r="M2927" i="14"/>
  <c r="J2923" i="13" a="1"/>
  <c r="J2923" i="13" s="1"/>
  <c r="N2924" i="13"/>
  <c r="K2760" i="14" l="1"/>
  <c r="L2760" i="14" s="1"/>
  <c r="I2761" i="14" s="1"/>
  <c r="J2924" i="13" a="1"/>
  <c r="J2924" i="13" s="1"/>
  <c r="N2925" i="13"/>
  <c r="K2738" i="13"/>
  <c r="L2738" i="13" s="1"/>
  <c r="I2739" i="13" s="1"/>
  <c r="M2927" i="13"/>
  <c r="M2928" i="14"/>
  <c r="N2924" i="14"/>
  <c r="J2923" i="14" a="1"/>
  <c r="J2923" i="14" s="1"/>
  <c r="K2761" i="14" l="1"/>
  <c r="L2761" i="14" s="1"/>
  <c r="I2762" i="14" s="1"/>
  <c r="J2925" i="13" a="1"/>
  <c r="J2925" i="13" s="1"/>
  <c r="N2926" i="13"/>
  <c r="J2924" i="14" a="1"/>
  <c r="J2924" i="14" s="1"/>
  <c r="N2925" i="14"/>
  <c r="M2928" i="13"/>
  <c r="M2929" i="14"/>
  <c r="K2739" i="13"/>
  <c r="L2739" i="13" s="1"/>
  <c r="I2740" i="13" s="1"/>
  <c r="K2740" i="13" l="1"/>
  <c r="L2740" i="13" s="1"/>
  <c r="I2741" i="13" s="1"/>
  <c r="K2762" i="14"/>
  <c r="L2762" i="14" s="1"/>
  <c r="I2763" i="14" s="1"/>
  <c r="N2927" i="13"/>
  <c r="J2926" i="13" a="1"/>
  <c r="J2926" i="13" s="1"/>
  <c r="M2929" i="13"/>
  <c r="M2930" i="14"/>
  <c r="J2925" i="14" a="1"/>
  <c r="J2925" i="14" s="1"/>
  <c r="N2926" i="14"/>
  <c r="K2763" i="14" l="1"/>
  <c r="L2763" i="14" s="1"/>
  <c r="I2764" i="14" s="1"/>
  <c r="K2741" i="13"/>
  <c r="L2741" i="13" s="1"/>
  <c r="I2742" i="13" s="1"/>
  <c r="N2927" i="14"/>
  <c r="J2926" i="14" a="1"/>
  <c r="J2926" i="14" s="1"/>
  <c r="M2931" i="14"/>
  <c r="M2930" i="13"/>
  <c r="J2927" i="13" a="1"/>
  <c r="J2927" i="13" s="1"/>
  <c r="N2928" i="13"/>
  <c r="K2742" i="13" l="1"/>
  <c r="L2742" i="13" s="1"/>
  <c r="I2743" i="13" s="1"/>
  <c r="K2764" i="14"/>
  <c r="L2764" i="14" s="1"/>
  <c r="I2765" i="14" s="1"/>
  <c r="J2928" i="13" a="1"/>
  <c r="J2928" i="13" s="1"/>
  <c r="N2929" i="13"/>
  <c r="M2932" i="14"/>
  <c r="M2931" i="13"/>
  <c r="N2928" i="14"/>
  <c r="J2927" i="14" a="1"/>
  <c r="J2927" i="14" s="1"/>
  <c r="K2743" i="13" l="1"/>
  <c r="L2743" i="13" s="1"/>
  <c r="I2744" i="13" s="1"/>
  <c r="K2765" i="14"/>
  <c r="L2765" i="14" s="1"/>
  <c r="I2766" i="14" s="1"/>
  <c r="J2928" i="14" a="1"/>
  <c r="J2928" i="14" s="1"/>
  <c r="N2929" i="14"/>
  <c r="M2933" i="14"/>
  <c r="J2929" i="13" a="1"/>
  <c r="J2929" i="13" s="1"/>
  <c r="N2930" i="13"/>
  <c r="M2932" i="13"/>
  <c r="K2766" i="14" l="1"/>
  <c r="L2766" i="14" s="1"/>
  <c r="I2767" i="14" s="1"/>
  <c r="M2933" i="13"/>
  <c r="M2934" i="14"/>
  <c r="N2931" i="13"/>
  <c r="J2930" i="13" a="1"/>
  <c r="J2930" i="13" s="1"/>
  <c r="J2929" i="14" a="1"/>
  <c r="J2929" i="14" s="1"/>
  <c r="N2930" i="14"/>
  <c r="K2744" i="13"/>
  <c r="L2744" i="13" s="1"/>
  <c r="I2745" i="13" s="1"/>
  <c r="K2767" i="14" l="1"/>
  <c r="L2767" i="14" s="1"/>
  <c r="I2768" i="14" s="1"/>
  <c r="K2745" i="13"/>
  <c r="L2745" i="13" s="1"/>
  <c r="I2746" i="13" s="1"/>
  <c r="M2934" i="13"/>
  <c r="J2931" i="13" a="1"/>
  <c r="J2931" i="13" s="1"/>
  <c r="N2932" i="13"/>
  <c r="N2931" i="14"/>
  <c r="J2930" i="14" a="1"/>
  <c r="J2930" i="14" s="1"/>
  <c r="M2935" i="14"/>
  <c r="K2746" i="13" l="1"/>
  <c r="L2746" i="13" s="1"/>
  <c r="I2747" i="13" s="1"/>
  <c r="K2768" i="14"/>
  <c r="L2768" i="14" s="1"/>
  <c r="I2769" i="14" s="1"/>
  <c r="M2936" i="14"/>
  <c r="J2932" i="13" a="1"/>
  <c r="J2932" i="13" s="1"/>
  <c r="N2933" i="13"/>
  <c r="N2932" i="14"/>
  <c r="J2931" i="14" a="1"/>
  <c r="J2931" i="14" s="1"/>
  <c r="M2935" i="13"/>
  <c r="K2769" i="14" l="1"/>
  <c r="L2769" i="14" s="1"/>
  <c r="I2770" i="14" s="1"/>
  <c r="K2747" i="13"/>
  <c r="L2747" i="13" s="1"/>
  <c r="I2748" i="13" s="1"/>
  <c r="J2933" i="13" a="1"/>
  <c r="J2933" i="13" s="1"/>
  <c r="N2934" i="13"/>
  <c r="M2936" i="13"/>
  <c r="J2932" i="14" a="1"/>
  <c r="J2932" i="14" s="1"/>
  <c r="N2933" i="14"/>
  <c r="M2937" i="14"/>
  <c r="K2770" i="14" l="1"/>
  <c r="L2770" i="14" s="1"/>
  <c r="I2771" i="14" s="1"/>
  <c r="M2938" i="14"/>
  <c r="M2937" i="13"/>
  <c r="K2748" i="13"/>
  <c r="L2748" i="13" s="1"/>
  <c r="I2749" i="13" s="1"/>
  <c r="N2935" i="13"/>
  <c r="J2934" i="13" a="1"/>
  <c r="J2934" i="13" s="1"/>
  <c r="J2933" i="14" a="1"/>
  <c r="J2933" i="14" s="1"/>
  <c r="N2934" i="14"/>
  <c r="K2771" i="14" l="1"/>
  <c r="L2771" i="14" s="1"/>
  <c r="I2772" i="14" s="1"/>
  <c r="N2935" i="14"/>
  <c r="J2934" i="14" a="1"/>
  <c r="J2934" i="14" s="1"/>
  <c r="M2939" i="14"/>
  <c r="K2749" i="13"/>
  <c r="L2749" i="13" s="1"/>
  <c r="I2750" i="13" s="1"/>
  <c r="M2938" i="13"/>
  <c r="J2935" i="13" a="1"/>
  <c r="J2935" i="13" s="1"/>
  <c r="N2936" i="13"/>
  <c r="K2750" i="13" l="1"/>
  <c r="L2750" i="13" s="1"/>
  <c r="I2751" i="13" s="1"/>
  <c r="K2772" i="14"/>
  <c r="L2772" i="14" s="1"/>
  <c r="I2773" i="14" s="1"/>
  <c r="J2936" i="13" a="1"/>
  <c r="J2936" i="13" s="1"/>
  <c r="N2937" i="13"/>
  <c r="N2936" i="14"/>
  <c r="J2935" i="14" a="1"/>
  <c r="J2935" i="14" s="1"/>
  <c r="M2939" i="13"/>
  <c r="M2940" i="14"/>
  <c r="K2751" i="13" l="1"/>
  <c r="L2751" i="13" s="1"/>
  <c r="I2752" i="13" s="1"/>
  <c r="K2773" i="14"/>
  <c r="L2773" i="14" s="1"/>
  <c r="I2774" i="14" s="1"/>
  <c r="J2936" i="14" a="1"/>
  <c r="J2936" i="14" s="1"/>
  <c r="N2937" i="14"/>
  <c r="M2941" i="14"/>
  <c r="J2937" i="13" a="1"/>
  <c r="J2937" i="13" s="1"/>
  <c r="N2938" i="13"/>
  <c r="M2940" i="13"/>
  <c r="K2774" i="14" l="1"/>
  <c r="L2774" i="14" s="1"/>
  <c r="I2775" i="14" s="1"/>
  <c r="K2752" i="13"/>
  <c r="L2752" i="13" s="1"/>
  <c r="I2753" i="13" s="1"/>
  <c r="M2941" i="13"/>
  <c r="M2942" i="14"/>
  <c r="J2937" i="14" a="1"/>
  <c r="J2937" i="14" s="1"/>
  <c r="N2938" i="14"/>
  <c r="N2939" i="13"/>
  <c r="J2938" i="13" a="1"/>
  <c r="J2938" i="13" s="1"/>
  <c r="K2753" i="13" l="1"/>
  <c r="L2753" i="13" s="1"/>
  <c r="I2754" i="13" s="1"/>
  <c r="M2943" i="14"/>
  <c r="J2939" i="13" a="1"/>
  <c r="J2939" i="13" s="1"/>
  <c r="N2940" i="13"/>
  <c r="N2939" i="14"/>
  <c r="J2938" i="14" a="1"/>
  <c r="J2938" i="14" s="1"/>
  <c r="M2942" i="13"/>
  <c r="K2775" i="14"/>
  <c r="L2775" i="14" s="1"/>
  <c r="I2776" i="14" s="1"/>
  <c r="K2776" i="14" l="1"/>
  <c r="L2776" i="14" s="1"/>
  <c r="I2777" i="14" s="1"/>
  <c r="K2754" i="13"/>
  <c r="L2754" i="13" s="1"/>
  <c r="I2755" i="13" s="1"/>
  <c r="N2940" i="14"/>
  <c r="J2939" i="14" a="1"/>
  <c r="J2939" i="14" s="1"/>
  <c r="M2944" i="14"/>
  <c r="J2940" i="13" a="1"/>
  <c r="J2940" i="13" s="1"/>
  <c r="N2941" i="13"/>
  <c r="M2943" i="13"/>
  <c r="K2777" i="14" l="1"/>
  <c r="L2777" i="14" s="1"/>
  <c r="I2778" i="14" s="1"/>
  <c r="J2941" i="13" a="1"/>
  <c r="J2941" i="13" s="1"/>
  <c r="N2942" i="13"/>
  <c r="M2944" i="13"/>
  <c r="M2945" i="14"/>
  <c r="K2755" i="13"/>
  <c r="L2755" i="13" s="1"/>
  <c r="I2756" i="13" s="1"/>
  <c r="J2940" i="14" a="1"/>
  <c r="J2940" i="14" s="1"/>
  <c r="N2941" i="14"/>
  <c r="K2756" i="13" l="1"/>
  <c r="L2756" i="13" s="1"/>
  <c r="I2757" i="13" s="1"/>
  <c r="K2778" i="14"/>
  <c r="L2778" i="14" s="1"/>
  <c r="I2779" i="14" s="1"/>
  <c r="J2941" i="14" a="1"/>
  <c r="J2941" i="14" s="1"/>
  <c r="N2942" i="14"/>
  <c r="M2946" i="14"/>
  <c r="N2943" i="13"/>
  <c r="J2942" i="13" a="1"/>
  <c r="J2942" i="13" s="1"/>
  <c r="M2945" i="13"/>
  <c r="K2779" i="14" l="1"/>
  <c r="L2779" i="14" s="1"/>
  <c r="I2780" i="14" s="1"/>
  <c r="J2943" i="13" a="1"/>
  <c r="J2943" i="13" s="1"/>
  <c r="N2944" i="13"/>
  <c r="M2946" i="13"/>
  <c r="M2947" i="14"/>
  <c r="N2943" i="14"/>
  <c r="J2942" i="14" a="1"/>
  <c r="J2942" i="14" s="1"/>
  <c r="K2757" i="13"/>
  <c r="L2757" i="13" s="1"/>
  <c r="I2758" i="13" s="1"/>
  <c r="K2758" i="13" l="1"/>
  <c r="L2758" i="13" s="1"/>
  <c r="I2759" i="13" s="1"/>
  <c r="J2944" i="13" a="1"/>
  <c r="J2944" i="13" s="1"/>
  <c r="N2945" i="13"/>
  <c r="M2948" i="14"/>
  <c r="N2944" i="14"/>
  <c r="J2943" i="14" a="1"/>
  <c r="J2943" i="14" s="1"/>
  <c r="M2947" i="13"/>
  <c r="K2780" i="14"/>
  <c r="L2780" i="14" s="1"/>
  <c r="I2781" i="14" s="1"/>
  <c r="K2781" i="14" l="1"/>
  <c r="L2781" i="14" s="1"/>
  <c r="I2782" i="14" s="1"/>
  <c r="K2759" i="13"/>
  <c r="L2759" i="13" s="1"/>
  <c r="I2760" i="13" s="1"/>
  <c r="J2945" i="13" a="1"/>
  <c r="J2945" i="13" s="1"/>
  <c r="N2946" i="13"/>
  <c r="J2944" i="14" a="1"/>
  <c r="J2944" i="14" s="1"/>
  <c r="N2945" i="14"/>
  <c r="M2948" i="13"/>
  <c r="M2949" i="14"/>
  <c r="K2782" i="14" l="1"/>
  <c r="L2782" i="14" s="1"/>
  <c r="I2783" i="14" s="1"/>
  <c r="J2945" i="14" a="1"/>
  <c r="J2945" i="14" s="1"/>
  <c r="N2946" i="14"/>
  <c r="K2760" i="13"/>
  <c r="L2760" i="13" s="1"/>
  <c r="I2761" i="13" s="1"/>
  <c r="N2947" i="13"/>
  <c r="J2946" i="13" a="1"/>
  <c r="J2946" i="13" s="1"/>
  <c r="M2950" i="14"/>
  <c r="M2949" i="13"/>
  <c r="K2761" i="13" l="1"/>
  <c r="L2761" i="13" s="1"/>
  <c r="I2762" i="13" s="1"/>
  <c r="K2783" i="14"/>
  <c r="L2783" i="14" s="1"/>
  <c r="I2784" i="14" s="1"/>
  <c r="N2947" i="14"/>
  <c r="J2946" i="14" a="1"/>
  <c r="J2946" i="14" s="1"/>
  <c r="J2947" i="13" a="1"/>
  <c r="J2947" i="13" s="1"/>
  <c r="N2948" i="13"/>
  <c r="M2951" i="14"/>
  <c r="M2950" i="13"/>
  <c r="K2762" i="13" l="1"/>
  <c r="L2762" i="13" s="1"/>
  <c r="I2763" i="13" s="1"/>
  <c r="K2784" i="14"/>
  <c r="L2784" i="14" s="1"/>
  <c r="I2785" i="14" s="1"/>
  <c r="J2948" i="13" a="1"/>
  <c r="J2948" i="13" s="1"/>
  <c r="N2949" i="13"/>
  <c r="M2951" i="13"/>
  <c r="M2952" i="14"/>
  <c r="N2948" i="14"/>
  <c r="J2947" i="14" a="1"/>
  <c r="J2947" i="14" s="1"/>
  <c r="K2785" i="14" l="1"/>
  <c r="L2785" i="14" s="1"/>
  <c r="I2786" i="14" s="1"/>
  <c r="K2763" i="13"/>
  <c r="L2763" i="13" s="1"/>
  <c r="I2764" i="13" s="1"/>
  <c r="J2948" i="14" a="1"/>
  <c r="J2948" i="14" s="1"/>
  <c r="N2949" i="14"/>
  <c r="M2952" i="13"/>
  <c r="J2949" i="13" a="1"/>
  <c r="J2949" i="13" s="1"/>
  <c r="N2950" i="13"/>
  <c r="M2953" i="14"/>
  <c r="M2954" i="14" l="1"/>
  <c r="M2953" i="13"/>
  <c r="K2764" i="13"/>
  <c r="L2764" i="13" s="1"/>
  <c r="I2765" i="13" s="1"/>
  <c r="N2951" i="13"/>
  <c r="J2950" i="13" a="1"/>
  <c r="J2950" i="13" s="1"/>
  <c r="J2949" i="14" a="1"/>
  <c r="J2949" i="14" s="1"/>
  <c r="N2950" i="14"/>
  <c r="K2786" i="14"/>
  <c r="L2786" i="14" s="1"/>
  <c r="I2787" i="14" s="1"/>
  <c r="K2765" i="13" l="1"/>
  <c r="L2765" i="13" s="1"/>
  <c r="I2766" i="13" s="1"/>
  <c r="K2787" i="14"/>
  <c r="L2787" i="14" s="1"/>
  <c r="I2788" i="14" s="1"/>
  <c r="M2954" i="13"/>
  <c r="J2951" i="13" a="1"/>
  <c r="J2951" i="13" s="1"/>
  <c r="N2952" i="13"/>
  <c r="M2955" i="14"/>
  <c r="N2951" i="14"/>
  <c r="J2950" i="14" a="1"/>
  <c r="J2950" i="14" s="1"/>
  <c r="K2788" i="14" l="1"/>
  <c r="L2788" i="14" s="1"/>
  <c r="I2789" i="14" s="1"/>
  <c r="K2766" i="13"/>
  <c r="L2766" i="13" s="1"/>
  <c r="I2767" i="13" s="1"/>
  <c r="J2952" i="13" a="1"/>
  <c r="J2952" i="13" s="1"/>
  <c r="N2953" i="13"/>
  <c r="N2952" i="14"/>
  <c r="J2951" i="14" a="1"/>
  <c r="J2951" i="14" s="1"/>
  <c r="M2956" i="14"/>
  <c r="M2955" i="13"/>
  <c r="K2789" i="14" l="1"/>
  <c r="L2789" i="14" s="1"/>
  <c r="I2790" i="14" s="1"/>
  <c r="M2957" i="14"/>
  <c r="M2956" i="13"/>
  <c r="K2767" i="13"/>
  <c r="L2767" i="13" s="1"/>
  <c r="I2768" i="13" s="1"/>
  <c r="J2952" i="14" a="1"/>
  <c r="J2952" i="14" s="1"/>
  <c r="N2953" i="14"/>
  <c r="J2953" i="13" a="1"/>
  <c r="J2953" i="13" s="1"/>
  <c r="N2954" i="13"/>
  <c r="K2790" i="14" l="1"/>
  <c r="L2790" i="14" s="1"/>
  <c r="I2791" i="14" s="1"/>
  <c r="N2955" i="13"/>
  <c r="J2954" i="13" a="1"/>
  <c r="J2954" i="13" s="1"/>
  <c r="K2768" i="13"/>
  <c r="L2768" i="13" s="1"/>
  <c r="I2769" i="13" s="1"/>
  <c r="M2958" i="14"/>
  <c r="J2953" i="14" a="1"/>
  <c r="J2953" i="14" s="1"/>
  <c r="N2954" i="14"/>
  <c r="M2957" i="13"/>
  <c r="K2769" i="13" l="1"/>
  <c r="L2769" i="13" s="1"/>
  <c r="I2770" i="13" s="1"/>
  <c r="K2791" i="14"/>
  <c r="L2791" i="14" s="1"/>
  <c r="I2792" i="14" s="1"/>
  <c r="M2958" i="13"/>
  <c r="M2959" i="14"/>
  <c r="J2955" i="13" a="1"/>
  <c r="J2955" i="13" s="1"/>
  <c r="N2956" i="13"/>
  <c r="N2955" i="14"/>
  <c r="J2954" i="14" a="1"/>
  <c r="J2954" i="14" s="1"/>
  <c r="K2792" i="14" l="1"/>
  <c r="L2792" i="14" s="1"/>
  <c r="I2793" i="14" s="1"/>
  <c r="K2770" i="13"/>
  <c r="L2770" i="13" s="1"/>
  <c r="I2771" i="13" s="1"/>
  <c r="N2956" i="14"/>
  <c r="J2955" i="14" a="1"/>
  <c r="J2955" i="14" s="1"/>
  <c r="M2960" i="14"/>
  <c r="J2956" i="13" a="1"/>
  <c r="J2956" i="13" s="1"/>
  <c r="N2957" i="13"/>
  <c r="M2959" i="13"/>
  <c r="K2793" i="14" l="1"/>
  <c r="L2793" i="14" s="1"/>
  <c r="I2794" i="14" s="1"/>
  <c r="K2771" i="13"/>
  <c r="L2771" i="13" s="1"/>
  <c r="I2772" i="13" s="1"/>
  <c r="J2957" i="13" a="1"/>
  <c r="J2957" i="13" s="1"/>
  <c r="N2958" i="13"/>
  <c r="M2960" i="13"/>
  <c r="M2961" i="14"/>
  <c r="J2956" i="14" a="1"/>
  <c r="J2956" i="14" s="1"/>
  <c r="N2957" i="14"/>
  <c r="K2772" i="13" l="1"/>
  <c r="L2772" i="13" s="1"/>
  <c r="I2773" i="13" s="1"/>
  <c r="J2957" i="14" a="1"/>
  <c r="J2957" i="14" s="1"/>
  <c r="N2958" i="14"/>
  <c r="M2961" i="13"/>
  <c r="M2962" i="14"/>
  <c r="N2959" i="13"/>
  <c r="J2958" i="13" a="1"/>
  <c r="J2958" i="13" s="1"/>
  <c r="K2794" i="14"/>
  <c r="L2794" i="14" s="1"/>
  <c r="I2795" i="14" s="1"/>
  <c r="K2795" i="14" l="1"/>
  <c r="L2795" i="14" s="1"/>
  <c r="I2796" i="14" s="1"/>
  <c r="K2773" i="13"/>
  <c r="L2773" i="13" s="1"/>
  <c r="I2774" i="13" s="1"/>
  <c r="M2963" i="14"/>
  <c r="N2959" i="14"/>
  <c r="J2958" i="14" a="1"/>
  <c r="J2958" i="14" s="1"/>
  <c r="M2962" i="13"/>
  <c r="J2959" i="13" a="1"/>
  <c r="J2959" i="13" s="1"/>
  <c r="N2960" i="13"/>
  <c r="K2796" i="14" l="1"/>
  <c r="L2796" i="14" s="1"/>
  <c r="I2797" i="14" s="1"/>
  <c r="J2960" i="13" a="1"/>
  <c r="J2960" i="13" s="1"/>
  <c r="N2961" i="13"/>
  <c r="K2774" i="13"/>
  <c r="L2774" i="13" s="1"/>
  <c r="I2775" i="13" s="1"/>
  <c r="N2960" i="14"/>
  <c r="J2959" i="14" a="1"/>
  <c r="J2959" i="14" s="1"/>
  <c r="M2963" i="13"/>
  <c r="M2964" i="14"/>
  <c r="K2775" i="13" l="1"/>
  <c r="L2775" i="13" s="1"/>
  <c r="I2776" i="13" s="1"/>
  <c r="K2797" i="14"/>
  <c r="L2797" i="14" s="1"/>
  <c r="I2798" i="14" s="1"/>
  <c r="J2961" i="13" a="1"/>
  <c r="J2961" i="13" s="1"/>
  <c r="N2962" i="13"/>
  <c r="J2960" i="14" a="1"/>
  <c r="J2960" i="14" s="1"/>
  <c r="N2961" i="14"/>
  <c r="M2965" i="14"/>
  <c r="M2964" i="13"/>
  <c r="K2776" i="13" l="1"/>
  <c r="L2776" i="13" s="1"/>
  <c r="I2777" i="13" s="1"/>
  <c r="M2966" i="14"/>
  <c r="J2961" i="14" a="1"/>
  <c r="J2961" i="14" s="1"/>
  <c r="N2962" i="14"/>
  <c r="K2798" i="14"/>
  <c r="L2798" i="14" s="1"/>
  <c r="I2799" i="14" s="1"/>
  <c r="N2963" i="13"/>
  <c r="J2962" i="13" a="1"/>
  <c r="J2962" i="13" s="1"/>
  <c r="M2965" i="13"/>
  <c r="K2777" i="13" l="1"/>
  <c r="L2777" i="13" s="1"/>
  <c r="I2778" i="13" s="1"/>
  <c r="J2963" i="13" a="1"/>
  <c r="J2963" i="13" s="1"/>
  <c r="N2964" i="13"/>
  <c r="M2966" i="13"/>
  <c r="M2967" i="14"/>
  <c r="K2799" i="14"/>
  <c r="L2799" i="14" s="1"/>
  <c r="I2800" i="14" s="1"/>
  <c r="N2963" i="14"/>
  <c r="J2962" i="14" a="1"/>
  <c r="J2962" i="14" s="1"/>
  <c r="K2800" i="14" l="1"/>
  <c r="L2800" i="14" s="1"/>
  <c r="I2801" i="14" s="1"/>
  <c r="K2778" i="13"/>
  <c r="L2778" i="13" s="1"/>
  <c r="I2779" i="13" s="1"/>
  <c r="J2964" i="13" a="1"/>
  <c r="J2964" i="13" s="1"/>
  <c r="N2965" i="13"/>
  <c r="N2964" i="14"/>
  <c r="J2963" i="14" a="1"/>
  <c r="J2963" i="14" s="1"/>
  <c r="M2968" i="14"/>
  <c r="M2967" i="13"/>
  <c r="K2801" i="14" l="1"/>
  <c r="L2801" i="14" s="1"/>
  <c r="I2802" i="14" s="1"/>
  <c r="K2779" i="13"/>
  <c r="L2779" i="13" s="1"/>
  <c r="I2780" i="13" s="1"/>
  <c r="J2964" i="14" a="1"/>
  <c r="J2964" i="14" s="1"/>
  <c r="N2965" i="14"/>
  <c r="M2968" i="13"/>
  <c r="J2965" i="13" a="1"/>
  <c r="J2965" i="13" s="1"/>
  <c r="N2966" i="13"/>
  <c r="M2969" i="14"/>
  <c r="K2802" i="14" l="1"/>
  <c r="L2802" i="14" s="1"/>
  <c r="I2803" i="14" s="1"/>
  <c r="M2970" i="14"/>
  <c r="M2969" i="13"/>
  <c r="K2780" i="13"/>
  <c r="L2780" i="13" s="1"/>
  <c r="I2781" i="13" s="1"/>
  <c r="J2965" i="14" a="1"/>
  <c r="J2965" i="14" s="1"/>
  <c r="N2966" i="14"/>
  <c r="N2967" i="13"/>
  <c r="J2966" i="13" a="1"/>
  <c r="J2966" i="13" s="1"/>
  <c r="K2803" i="14" l="1"/>
  <c r="L2803" i="14" s="1"/>
  <c r="I2804" i="14" s="1"/>
  <c r="K2781" i="13"/>
  <c r="L2781" i="13" s="1"/>
  <c r="I2782" i="13" s="1"/>
  <c r="M2971" i="14"/>
  <c r="N2967" i="14"/>
  <c r="J2966" i="14" a="1"/>
  <c r="J2966" i="14" s="1"/>
  <c r="J2967" i="13" a="1"/>
  <c r="J2967" i="13" s="1"/>
  <c r="N2968" i="13"/>
  <c r="M2970" i="13"/>
  <c r="K2782" i="13" l="1"/>
  <c r="L2782" i="13" s="1"/>
  <c r="I2783" i="13" s="1"/>
  <c r="K2804" i="14"/>
  <c r="L2804" i="14" s="1"/>
  <c r="I2805" i="14" s="1"/>
  <c r="M2971" i="13"/>
  <c r="N2968" i="14"/>
  <c r="J2967" i="14" a="1"/>
  <c r="J2967" i="14" s="1"/>
  <c r="J2968" i="13" a="1"/>
  <c r="J2968" i="13" s="1"/>
  <c r="N2969" i="13"/>
  <c r="M2972" i="14"/>
  <c r="K2805" i="14" l="1"/>
  <c r="L2805" i="14" s="1"/>
  <c r="I2806" i="14" s="1"/>
  <c r="K2783" i="13"/>
  <c r="L2783" i="13" s="1"/>
  <c r="I2784" i="13" s="1"/>
  <c r="J2968" i="14" a="1"/>
  <c r="J2968" i="14" s="1"/>
  <c r="N2969" i="14"/>
  <c r="J2969" i="13" a="1"/>
  <c r="J2969" i="13" s="1"/>
  <c r="N2970" i="13"/>
  <c r="M2973" i="14"/>
  <c r="M2972" i="13"/>
  <c r="K2784" i="13" l="1"/>
  <c r="L2784" i="13" s="1"/>
  <c r="I2785" i="13" s="1"/>
  <c r="K2806" i="14"/>
  <c r="L2806" i="14" s="1"/>
  <c r="I2807" i="14" s="1"/>
  <c r="N2971" i="13"/>
  <c r="J2970" i="13" a="1"/>
  <c r="J2970" i="13" s="1"/>
  <c r="J2969" i="14" a="1"/>
  <c r="J2969" i="14" s="1"/>
  <c r="N2970" i="14"/>
  <c r="M2973" i="13"/>
  <c r="M2974" i="14"/>
  <c r="K2807" i="14" l="1"/>
  <c r="L2807" i="14" s="1"/>
  <c r="I2808" i="14" s="1"/>
  <c r="K2785" i="13"/>
  <c r="L2785" i="13" s="1"/>
  <c r="I2786" i="13" s="1"/>
  <c r="N2971" i="14"/>
  <c r="J2970" i="14" a="1"/>
  <c r="J2970" i="14" s="1"/>
  <c r="M2975" i="14"/>
  <c r="M2974" i="13"/>
  <c r="J2971" i="13" a="1"/>
  <c r="J2971" i="13" s="1"/>
  <c r="N2972" i="13"/>
  <c r="K2786" i="13" l="1"/>
  <c r="L2786" i="13" s="1"/>
  <c r="I2787" i="13" s="1"/>
  <c r="J2972" i="13" a="1"/>
  <c r="J2972" i="13" s="1"/>
  <c r="N2973" i="13"/>
  <c r="M2976" i="14"/>
  <c r="M2975" i="13"/>
  <c r="N2972" i="14"/>
  <c r="J2971" i="14" a="1"/>
  <c r="J2971" i="14" s="1"/>
  <c r="K2808" i="14"/>
  <c r="L2808" i="14" s="1"/>
  <c r="I2809" i="14" s="1"/>
  <c r="K2809" i="14" l="1"/>
  <c r="L2809" i="14" s="1"/>
  <c r="I2810" i="14" s="1"/>
  <c r="K2787" i="13"/>
  <c r="L2787" i="13" s="1"/>
  <c r="I2788" i="13" s="1"/>
  <c r="J2973" i="13" a="1"/>
  <c r="J2973" i="13" s="1"/>
  <c r="N2974" i="13"/>
  <c r="M2976" i="13"/>
  <c r="J2972" i="14" a="1"/>
  <c r="J2972" i="14" s="1"/>
  <c r="N2973" i="14"/>
  <c r="M2977" i="14"/>
  <c r="K2810" i="14" l="1"/>
  <c r="L2810" i="14" s="1"/>
  <c r="I2811" i="14" s="1"/>
  <c r="M2978" i="14"/>
  <c r="N2975" i="13"/>
  <c r="J2974" i="13" a="1"/>
  <c r="J2974" i="13" s="1"/>
  <c r="M2977" i="13"/>
  <c r="K2788" i="13"/>
  <c r="L2788" i="13" s="1"/>
  <c r="I2789" i="13" s="1"/>
  <c r="J2973" i="14" a="1"/>
  <c r="J2973" i="14" s="1"/>
  <c r="N2974" i="14"/>
  <c r="K2789" i="13" l="1"/>
  <c r="L2789" i="13" s="1"/>
  <c r="I2790" i="13" s="1"/>
  <c r="K2811" i="14"/>
  <c r="L2811" i="14" s="1"/>
  <c r="I2812" i="14" s="1"/>
  <c r="N2975" i="14"/>
  <c r="J2974" i="14" a="1"/>
  <c r="J2974" i="14" s="1"/>
  <c r="M2978" i="13"/>
  <c r="M2979" i="14"/>
  <c r="J2975" i="13" a="1"/>
  <c r="J2975" i="13" s="1"/>
  <c r="N2976" i="13"/>
  <c r="K2790" i="13" l="1"/>
  <c r="L2790" i="13" s="1"/>
  <c r="I2791" i="13" s="1"/>
  <c r="J2976" i="13" a="1"/>
  <c r="J2976" i="13" s="1"/>
  <c r="N2977" i="13"/>
  <c r="M2979" i="13"/>
  <c r="K2812" i="14"/>
  <c r="L2812" i="14" s="1"/>
  <c r="I2813" i="14" s="1"/>
  <c r="M2980" i="14"/>
  <c r="N2976" i="14"/>
  <c r="J2975" i="14" a="1"/>
  <c r="J2975" i="14" s="1"/>
  <c r="K2813" i="14" l="1"/>
  <c r="L2813" i="14" s="1"/>
  <c r="I2814" i="14" s="1"/>
  <c r="K2791" i="13"/>
  <c r="L2791" i="13" s="1"/>
  <c r="I2792" i="13" s="1"/>
  <c r="J2977" i="13" a="1"/>
  <c r="J2977" i="13" s="1"/>
  <c r="N2978" i="13"/>
  <c r="J2976" i="14" a="1"/>
  <c r="J2976" i="14" s="1"/>
  <c r="N2977" i="14"/>
  <c r="M2981" i="14"/>
  <c r="M2980" i="13"/>
  <c r="K2792" i="13" l="1"/>
  <c r="L2792" i="13" s="1"/>
  <c r="I2793" i="13" s="1"/>
  <c r="K2814" i="14"/>
  <c r="L2814" i="14" s="1"/>
  <c r="I2815" i="14" s="1"/>
  <c r="J2977" i="14" a="1"/>
  <c r="J2977" i="14" s="1"/>
  <c r="N2978" i="14"/>
  <c r="N2979" i="13"/>
  <c r="J2978" i="13" a="1"/>
  <c r="J2978" i="13" s="1"/>
  <c r="M2981" i="13"/>
  <c r="M2982" i="14"/>
  <c r="K2793" i="13" l="1"/>
  <c r="L2793" i="13" s="1"/>
  <c r="I2794" i="13" s="1"/>
  <c r="M2983" i="14"/>
  <c r="J2979" i="13" a="1"/>
  <c r="J2979" i="13" s="1"/>
  <c r="N2980" i="13"/>
  <c r="K2815" i="14"/>
  <c r="L2815" i="14" s="1"/>
  <c r="I2816" i="14" s="1"/>
  <c r="M2982" i="13"/>
  <c r="N2979" i="14"/>
  <c r="J2978" i="14" a="1"/>
  <c r="J2978" i="14" s="1"/>
  <c r="K2794" i="13" l="1"/>
  <c r="L2794" i="13" s="1"/>
  <c r="I2795" i="13" s="1"/>
  <c r="K2816" i="14"/>
  <c r="L2816" i="14" s="1"/>
  <c r="I2817" i="14" s="1"/>
  <c r="M2984" i="14"/>
  <c r="N2980" i="14"/>
  <c r="J2979" i="14" a="1"/>
  <c r="J2979" i="14" s="1"/>
  <c r="J2980" i="13" a="1"/>
  <c r="J2980" i="13" s="1"/>
  <c r="N2981" i="13"/>
  <c r="M2983" i="13"/>
  <c r="K2795" i="13" l="1"/>
  <c r="L2795" i="13" s="1"/>
  <c r="I2796" i="13" s="1"/>
  <c r="M2984" i="13"/>
  <c r="K2817" i="14"/>
  <c r="L2817" i="14" s="1"/>
  <c r="I2818" i="14" s="1"/>
  <c r="J2980" i="14" a="1"/>
  <c r="J2980" i="14" s="1"/>
  <c r="N2981" i="14"/>
  <c r="J2981" i="13" a="1"/>
  <c r="J2981" i="13" s="1"/>
  <c r="N2982" i="13"/>
  <c r="M2985" i="14"/>
  <c r="K2818" i="14" l="1"/>
  <c r="L2818" i="14" s="1"/>
  <c r="I2819" i="14" s="1"/>
  <c r="K2796" i="13"/>
  <c r="L2796" i="13" s="1"/>
  <c r="I2797" i="13" s="1"/>
  <c r="M2986" i="14"/>
  <c r="J2981" i="14" a="1"/>
  <c r="J2981" i="14" s="1"/>
  <c r="N2982" i="14"/>
  <c r="M2985" i="13"/>
  <c r="N2983" i="13"/>
  <c r="J2982" i="13" a="1"/>
  <c r="J2982" i="13" s="1"/>
  <c r="K2819" i="14" l="1"/>
  <c r="L2819" i="14" s="1"/>
  <c r="I2820" i="14" s="1"/>
  <c r="N2983" i="14"/>
  <c r="J2982" i="14" a="1"/>
  <c r="J2982" i="14" s="1"/>
  <c r="J2983" i="13" a="1"/>
  <c r="J2983" i="13" s="1"/>
  <c r="N2984" i="13"/>
  <c r="K2797" i="13"/>
  <c r="L2797" i="13" s="1"/>
  <c r="I2798" i="13" s="1"/>
  <c r="M2986" i="13"/>
  <c r="M2987" i="14"/>
  <c r="K2798" i="13" l="1"/>
  <c r="L2798" i="13" s="1"/>
  <c r="I2799" i="13" s="1"/>
  <c r="K2820" i="14"/>
  <c r="L2820" i="14" s="1"/>
  <c r="I2821" i="14" s="1"/>
  <c r="N2984" i="14"/>
  <c r="J2983" i="14" a="1"/>
  <c r="J2983" i="14" s="1"/>
  <c r="M2987" i="13"/>
  <c r="M2988" i="14"/>
  <c r="J2984" i="13" a="1"/>
  <c r="J2984" i="13" s="1"/>
  <c r="N2985" i="13"/>
  <c r="K2821" i="14" l="1"/>
  <c r="L2821" i="14" s="1"/>
  <c r="I2822" i="14" s="1"/>
  <c r="K2799" i="13"/>
  <c r="L2799" i="13" s="1"/>
  <c r="I2800" i="13" s="1"/>
  <c r="J2985" i="13" a="1"/>
  <c r="J2985" i="13" s="1"/>
  <c r="N2986" i="13"/>
  <c r="M2988" i="13"/>
  <c r="M2989" i="14"/>
  <c r="J2984" i="14" a="1"/>
  <c r="J2984" i="14" s="1"/>
  <c r="N2985" i="14"/>
  <c r="K2800" i="13" l="1"/>
  <c r="L2800" i="13" s="1"/>
  <c r="I2801" i="13" s="1"/>
  <c r="K2822" i="14"/>
  <c r="L2822" i="14" s="1"/>
  <c r="I2823" i="14" s="1"/>
  <c r="J2985" i="14" a="1"/>
  <c r="J2985" i="14" s="1"/>
  <c r="N2986" i="14"/>
  <c r="M2990" i="14"/>
  <c r="M2989" i="13"/>
  <c r="N2987" i="13"/>
  <c r="J2986" i="13" a="1"/>
  <c r="J2986" i="13" s="1"/>
  <c r="K2823" i="14" l="1"/>
  <c r="L2823" i="14" s="1"/>
  <c r="I2824" i="14" s="1"/>
  <c r="K2801" i="13"/>
  <c r="L2801" i="13" s="1"/>
  <c r="I2802" i="13" s="1"/>
  <c r="M2991" i="14"/>
  <c r="J2987" i="13" a="1"/>
  <c r="J2987" i="13" s="1"/>
  <c r="N2988" i="13"/>
  <c r="M2990" i="13"/>
  <c r="N2987" i="14"/>
  <c r="J2986" i="14" a="1"/>
  <c r="J2986" i="14" s="1"/>
  <c r="K2802" i="13" l="1"/>
  <c r="L2802" i="13" s="1"/>
  <c r="I2803" i="13" s="1"/>
  <c r="K2824" i="14"/>
  <c r="L2824" i="14" s="1"/>
  <c r="I2825" i="14" s="1"/>
  <c r="J2988" i="13" a="1"/>
  <c r="J2988" i="13" s="1"/>
  <c r="N2989" i="13"/>
  <c r="N2988" i="14"/>
  <c r="J2987" i="14" a="1"/>
  <c r="J2987" i="14" s="1"/>
  <c r="M2991" i="13"/>
  <c r="M2992" i="14"/>
  <c r="K2825" i="14" l="1"/>
  <c r="L2825" i="14" s="1"/>
  <c r="I2826" i="14" s="1"/>
  <c r="M2992" i="13"/>
  <c r="K2803" i="13"/>
  <c r="L2803" i="13" s="1"/>
  <c r="I2804" i="13" s="1"/>
  <c r="M2993" i="14"/>
  <c r="J2988" i="14" a="1"/>
  <c r="J2988" i="14" s="1"/>
  <c r="N2989" i="14"/>
  <c r="J2989" i="13" a="1"/>
  <c r="J2989" i="13" s="1"/>
  <c r="N2990" i="13"/>
  <c r="K2804" i="13" l="1"/>
  <c r="L2804" i="13" s="1"/>
  <c r="I2805" i="13" s="1"/>
  <c r="K2826" i="14"/>
  <c r="L2826" i="14" s="1"/>
  <c r="I2827" i="14" s="1"/>
  <c r="N2991" i="13"/>
  <c r="J2990" i="13" a="1"/>
  <c r="J2990" i="13" s="1"/>
  <c r="M2994" i="14"/>
  <c r="M2993" i="13"/>
  <c r="J2989" i="14" a="1"/>
  <c r="J2989" i="14" s="1"/>
  <c r="N2990" i="14"/>
  <c r="K2827" i="14" l="1"/>
  <c r="L2827" i="14" s="1"/>
  <c r="I2828" i="14" s="1"/>
  <c r="K2805" i="13"/>
  <c r="L2805" i="13" s="1"/>
  <c r="I2806" i="13" s="1"/>
  <c r="M2994" i="13"/>
  <c r="N2991" i="14"/>
  <c r="J2990" i="14" a="1"/>
  <c r="J2990" i="14" s="1"/>
  <c r="M2995" i="14"/>
  <c r="J2991" i="13" a="1"/>
  <c r="J2991" i="13" s="1"/>
  <c r="N2992" i="13"/>
  <c r="K2828" i="14" l="1"/>
  <c r="L2828" i="14" s="1"/>
  <c r="I2829" i="14" s="1"/>
  <c r="K2806" i="13"/>
  <c r="L2806" i="13" s="1"/>
  <c r="I2807" i="13" s="1"/>
  <c r="J2992" i="13" a="1"/>
  <c r="J2992" i="13" s="1"/>
  <c r="N2993" i="13"/>
  <c r="N2992" i="14"/>
  <c r="J2991" i="14" a="1"/>
  <c r="J2991" i="14" s="1"/>
  <c r="M2996" i="14"/>
  <c r="M2995" i="13"/>
  <c r="K2807" i="13" l="1"/>
  <c r="L2807" i="13" s="1"/>
  <c r="I2808" i="13" s="1"/>
  <c r="K2829" i="14"/>
  <c r="L2829" i="14" s="1"/>
  <c r="I2830" i="14" s="1"/>
  <c r="J2992" i="14" a="1"/>
  <c r="J2992" i="14" s="1"/>
  <c r="N2993" i="14"/>
  <c r="M2996" i="13"/>
  <c r="J2993" i="13" a="1"/>
  <c r="J2993" i="13" s="1"/>
  <c r="N2994" i="13"/>
  <c r="M2997" i="14"/>
  <c r="K2808" i="13" l="1"/>
  <c r="L2808" i="13" s="1"/>
  <c r="I2809" i="13" s="1"/>
  <c r="N2995" i="13"/>
  <c r="J2994" i="13" a="1"/>
  <c r="J2994" i="13" s="1"/>
  <c r="M2998" i="14"/>
  <c r="M2997" i="13"/>
  <c r="K2830" i="14"/>
  <c r="L2830" i="14" s="1"/>
  <c r="I2831" i="14" s="1"/>
  <c r="J2993" i="14" a="1"/>
  <c r="J2993" i="14" s="1"/>
  <c r="N2994" i="14"/>
  <c r="K2831" i="14" l="1"/>
  <c r="L2831" i="14" s="1"/>
  <c r="I2832" i="14" s="1"/>
  <c r="K2809" i="13"/>
  <c r="L2809" i="13" s="1"/>
  <c r="I2810" i="13" s="1"/>
  <c r="J2995" i="13" a="1"/>
  <c r="J2995" i="13" s="1"/>
  <c r="N2996" i="13"/>
  <c r="N2995" i="14"/>
  <c r="J2994" i="14" a="1"/>
  <c r="J2994" i="14" s="1"/>
  <c r="M2998" i="13"/>
  <c r="M2999" i="14"/>
  <c r="K2810" i="13" l="1"/>
  <c r="L2810" i="13" s="1"/>
  <c r="I2811" i="13" s="1"/>
  <c r="K2832" i="14"/>
  <c r="L2832" i="14" s="1"/>
  <c r="I2833" i="14" s="1"/>
  <c r="M2999" i="13"/>
  <c r="M3000" i="14"/>
  <c r="N2996" i="14"/>
  <c r="J2995" i="14" a="1"/>
  <c r="J2995" i="14" s="1"/>
  <c r="J2996" i="13" a="1"/>
  <c r="J2996" i="13" s="1"/>
  <c r="N2997" i="13"/>
  <c r="K2811" i="13" l="1"/>
  <c r="L2811" i="13" s="1"/>
  <c r="I2812" i="13" s="1"/>
  <c r="J2997" i="13" a="1"/>
  <c r="J2997" i="13" s="1"/>
  <c r="N2998" i="13"/>
  <c r="K2833" i="14"/>
  <c r="L2833" i="14" s="1"/>
  <c r="I2834" i="14" s="1"/>
  <c r="M3001" i="14"/>
  <c r="J2996" i="14" a="1"/>
  <c r="J2996" i="14" s="1"/>
  <c r="N2997" i="14"/>
  <c r="M3000" i="13"/>
  <c r="K2834" i="14" l="1"/>
  <c r="L2834" i="14" s="1"/>
  <c r="I2835" i="14" s="1"/>
  <c r="K2812" i="13"/>
  <c r="L2812" i="13" s="1"/>
  <c r="I2813" i="13" s="1"/>
  <c r="M3001" i="13"/>
  <c r="M3002" i="14"/>
  <c r="N2999" i="13"/>
  <c r="J2998" i="13" a="1"/>
  <c r="J2998" i="13" s="1"/>
  <c r="J2997" i="14" a="1"/>
  <c r="J2997" i="14" s="1"/>
  <c r="N2998" i="14"/>
  <c r="K2835" i="14" l="1"/>
  <c r="L2835" i="14" s="1"/>
  <c r="I2836" i="14" s="1"/>
  <c r="K2813" i="13"/>
  <c r="L2813" i="13" s="1"/>
  <c r="I2814" i="13" s="1"/>
  <c r="N2999" i="14"/>
  <c r="J2998" i="14" a="1"/>
  <c r="J2998" i="14" s="1"/>
  <c r="M3003" i="14"/>
  <c r="M3002" i="13"/>
  <c r="J2999" i="13" a="1"/>
  <c r="J2999" i="13" s="1"/>
  <c r="N3000" i="13"/>
  <c r="K2814" i="13" l="1"/>
  <c r="L2814" i="13" s="1"/>
  <c r="I2815" i="13" s="1"/>
  <c r="K2836" i="14"/>
  <c r="L2836" i="14" s="1"/>
  <c r="I2837" i="14" s="1"/>
  <c r="J3000" i="13" a="1"/>
  <c r="J3000" i="13" s="1"/>
  <c r="N3001" i="13"/>
  <c r="M3003" i="13"/>
  <c r="M3004" i="14"/>
  <c r="N3000" i="14"/>
  <c r="J2999" i="14" a="1"/>
  <c r="J2999" i="14" s="1"/>
  <c r="K2837" i="14" l="1"/>
  <c r="L2837" i="14" s="1"/>
  <c r="I2838" i="14" s="1"/>
  <c r="K2815" i="13"/>
  <c r="L2815" i="13" s="1"/>
  <c r="I2816" i="13" s="1"/>
  <c r="J3000" i="14" a="1"/>
  <c r="J3000" i="14" s="1"/>
  <c r="N3001" i="14"/>
  <c r="M3004" i="13"/>
  <c r="J3001" i="13" a="1"/>
  <c r="J3001" i="13" s="1"/>
  <c r="N3002" i="13"/>
  <c r="M3005" i="14"/>
  <c r="K2816" i="13" l="1"/>
  <c r="L2816" i="13" s="1"/>
  <c r="I2817" i="13" s="1"/>
  <c r="K2838" i="14"/>
  <c r="L2838" i="14" s="1"/>
  <c r="I2839" i="14" s="1"/>
  <c r="M3006" i="14"/>
  <c r="M3005" i="13"/>
  <c r="N3003" i="13"/>
  <c r="J3002" i="13" a="1"/>
  <c r="J3002" i="13" s="1"/>
  <c r="J3001" i="14" a="1"/>
  <c r="J3001" i="14" s="1"/>
  <c r="N3002" i="14"/>
  <c r="K2839" i="14" l="1"/>
  <c r="L2839" i="14" s="1"/>
  <c r="I2840" i="14" s="1"/>
  <c r="K2817" i="13"/>
  <c r="L2817" i="13" s="1"/>
  <c r="I2818" i="13" s="1"/>
  <c r="N3003" i="14"/>
  <c r="J3002" i="14" a="1"/>
  <c r="J3002" i="14" s="1"/>
  <c r="M3006" i="13"/>
  <c r="M3007" i="14"/>
  <c r="J3003" i="13" a="1"/>
  <c r="J3003" i="13" s="1"/>
  <c r="N3004" i="13"/>
  <c r="K2818" i="13" l="1"/>
  <c r="L2818" i="13" s="1"/>
  <c r="I2819" i="13" s="1"/>
  <c r="K2840" i="14"/>
  <c r="L2840" i="14" s="1"/>
  <c r="I2841" i="14" s="1"/>
  <c r="J3004" i="13" a="1"/>
  <c r="J3004" i="13" s="1"/>
  <c r="N3005" i="13"/>
  <c r="M3007" i="13"/>
  <c r="M3008" i="14"/>
  <c r="N3004" i="14"/>
  <c r="J3003" i="14" a="1"/>
  <c r="J3003" i="14" s="1"/>
  <c r="K2841" i="14" l="1"/>
  <c r="L2841" i="14" s="1"/>
  <c r="I2842" i="14" s="1"/>
  <c r="K2819" i="13"/>
  <c r="L2819" i="13" s="1"/>
  <c r="I2820" i="13" s="1"/>
  <c r="J3004" i="14" a="1"/>
  <c r="J3004" i="14" s="1"/>
  <c r="N3005" i="14"/>
  <c r="M3008" i="13"/>
  <c r="J3005" i="13" a="1"/>
  <c r="J3005" i="13" s="1"/>
  <c r="N3006" i="13"/>
  <c r="M3009" i="14"/>
  <c r="K2820" i="13" l="1"/>
  <c r="L2820" i="13" s="1"/>
  <c r="I2821" i="13" s="1"/>
  <c r="K2842" i="14"/>
  <c r="L2842" i="14" s="1"/>
  <c r="I2843" i="14" s="1"/>
  <c r="N3007" i="13"/>
  <c r="J3006" i="13" a="1"/>
  <c r="J3006" i="13" s="1"/>
  <c r="M3010" i="14"/>
  <c r="M3009" i="13"/>
  <c r="J3005" i="14" a="1"/>
  <c r="J3005" i="14" s="1"/>
  <c r="N3006" i="14"/>
  <c r="K2821" i="13" l="1"/>
  <c r="L2821" i="13" s="1"/>
  <c r="I2822" i="13" s="1"/>
  <c r="N3007" i="14"/>
  <c r="J3006" i="14" a="1"/>
  <c r="J3006" i="14" s="1"/>
  <c r="M3011" i="14"/>
  <c r="K2843" i="14"/>
  <c r="L2843" i="14" s="1"/>
  <c r="I2844" i="14" s="1"/>
  <c r="M3010" i="13"/>
  <c r="J3007" i="13" a="1"/>
  <c r="J3007" i="13" s="1"/>
  <c r="N3008" i="13"/>
  <c r="K2844" i="14" l="1"/>
  <c r="L2844" i="14" s="1"/>
  <c r="I2845" i="14" s="1"/>
  <c r="K2822" i="13"/>
  <c r="L2822" i="13" s="1"/>
  <c r="I2823" i="13" s="1"/>
  <c r="J3008" i="13" a="1"/>
  <c r="J3008" i="13" s="1"/>
  <c r="N3009" i="13"/>
  <c r="N3008" i="14"/>
  <c r="J3007" i="14" a="1"/>
  <c r="J3007" i="14" s="1"/>
  <c r="M3011" i="13"/>
  <c r="M3012" i="14"/>
  <c r="K2823" i="13" l="1"/>
  <c r="L2823" i="13" s="1"/>
  <c r="I2824" i="13" s="1"/>
  <c r="K2845" i="14"/>
  <c r="L2845" i="14" s="1"/>
  <c r="I2846" i="14" s="1"/>
  <c r="J3008" i="14" a="1"/>
  <c r="J3008" i="14" s="1"/>
  <c r="N3009" i="14"/>
  <c r="J3009" i="13" a="1"/>
  <c r="J3009" i="13" s="1"/>
  <c r="N3010" i="13"/>
  <c r="M3013" i="14"/>
  <c r="M3012" i="13"/>
  <c r="K2846" i="14" l="1"/>
  <c r="L2846" i="14" s="1"/>
  <c r="I2847" i="14" s="1"/>
  <c r="K2824" i="13"/>
  <c r="L2824" i="13" s="1"/>
  <c r="I2825" i="13" s="1"/>
  <c r="N3011" i="13"/>
  <c r="J3010" i="13" a="1"/>
  <c r="J3010" i="13" s="1"/>
  <c r="J3009" i="14" a="1"/>
  <c r="J3009" i="14" s="1"/>
  <c r="N3010" i="14"/>
  <c r="M3013" i="13"/>
  <c r="M3014" i="14"/>
  <c r="K2825" i="13" l="1"/>
  <c r="L2825" i="13" s="1"/>
  <c r="I2826" i="13" s="1"/>
  <c r="K2847" i="14"/>
  <c r="L2847" i="14" s="1"/>
  <c r="I2848" i="14" s="1"/>
  <c r="N3011" i="14"/>
  <c r="J3010" i="14" a="1"/>
  <c r="J3010" i="14" s="1"/>
  <c r="M3015" i="14"/>
  <c r="M3014" i="13"/>
  <c r="J3011" i="13" a="1"/>
  <c r="J3011" i="13" s="1"/>
  <c r="N3012" i="13"/>
  <c r="K2848" i="14" l="1"/>
  <c r="L2848" i="14" s="1"/>
  <c r="I2849" i="14" s="1"/>
  <c r="K2826" i="13"/>
  <c r="L2826" i="13" s="1"/>
  <c r="I2827" i="13" s="1"/>
  <c r="J3012" i="13" a="1"/>
  <c r="J3012" i="13" s="1"/>
  <c r="N3013" i="13"/>
  <c r="M3016" i="14"/>
  <c r="M3015" i="13"/>
  <c r="N3012" i="14"/>
  <c r="J3011" i="14" a="1"/>
  <c r="J3011" i="14" s="1"/>
  <c r="K2827" i="13" l="1"/>
  <c r="L2827" i="13" s="1"/>
  <c r="I2828" i="13" s="1"/>
  <c r="K2849" i="14"/>
  <c r="L2849" i="14" s="1"/>
  <c r="I2850" i="14" s="1"/>
  <c r="J3012" i="14" a="1"/>
  <c r="J3012" i="14" s="1"/>
  <c r="N3013" i="14"/>
  <c r="M3017" i="14"/>
  <c r="J3013" i="13" a="1"/>
  <c r="J3013" i="13" s="1"/>
  <c r="N3014" i="13"/>
  <c r="M3016" i="13"/>
  <c r="K2850" i="14" l="1"/>
  <c r="L2850" i="14" s="1"/>
  <c r="I2851" i="14" s="1"/>
  <c r="K2828" i="13"/>
  <c r="L2828" i="13" s="1"/>
  <c r="I2829" i="13" s="1"/>
  <c r="N3015" i="13"/>
  <c r="J3014" i="13" a="1"/>
  <c r="J3014" i="13" s="1"/>
  <c r="M3018" i="14"/>
  <c r="M3017" i="13"/>
  <c r="J3013" i="14" a="1"/>
  <c r="J3013" i="14" s="1"/>
  <c r="N3014" i="14"/>
  <c r="K2829" i="13" l="1"/>
  <c r="L2829" i="13" s="1"/>
  <c r="I2830" i="13" s="1"/>
  <c r="K2851" i="14"/>
  <c r="L2851" i="14" s="1"/>
  <c r="I2852" i="14" s="1"/>
  <c r="N3015" i="14"/>
  <c r="J3014" i="14" a="1"/>
  <c r="J3014" i="14" s="1"/>
  <c r="M3019" i="14"/>
  <c r="M3018" i="13"/>
  <c r="J3015" i="13" a="1"/>
  <c r="J3015" i="13" s="1"/>
  <c r="N3016" i="13"/>
  <c r="K2852" i="14" l="1"/>
  <c r="L2852" i="14" s="1"/>
  <c r="I2853" i="14" s="1"/>
  <c r="K2830" i="13"/>
  <c r="L2830" i="13" s="1"/>
  <c r="I2831" i="13" s="1"/>
  <c r="J3016" i="13" a="1"/>
  <c r="J3016" i="13" s="1"/>
  <c r="N3017" i="13"/>
  <c r="M3020" i="14"/>
  <c r="M3019" i="13"/>
  <c r="N3016" i="14"/>
  <c r="J3015" i="14" a="1"/>
  <c r="J3015" i="14" s="1"/>
  <c r="K2831" i="13" l="1"/>
  <c r="L2831" i="13" s="1"/>
  <c r="I2832" i="13" s="1"/>
  <c r="K2853" i="14"/>
  <c r="L2853" i="14" s="1"/>
  <c r="I2854" i="14" s="1"/>
  <c r="J3016" i="14" a="1"/>
  <c r="J3016" i="14" s="1"/>
  <c r="N3017" i="14"/>
  <c r="M3021" i="14"/>
  <c r="J3017" i="13" a="1"/>
  <c r="J3017" i="13" s="1"/>
  <c r="N3018" i="13"/>
  <c r="M3020" i="13"/>
  <c r="K2854" i="14" l="1"/>
  <c r="L2854" i="14" s="1"/>
  <c r="I2855" i="14" s="1"/>
  <c r="K2832" i="13"/>
  <c r="L2832" i="13" s="1"/>
  <c r="I2833" i="13" s="1"/>
  <c r="N3019" i="13"/>
  <c r="J3018" i="13" a="1"/>
  <c r="J3018" i="13" s="1"/>
  <c r="M3021" i="13"/>
  <c r="M3022" i="14"/>
  <c r="J3017" i="14" a="1"/>
  <c r="J3017" i="14" s="1"/>
  <c r="N3018" i="14"/>
  <c r="K2833" i="13" l="1"/>
  <c r="L2833" i="13" s="1"/>
  <c r="I2834" i="13" s="1"/>
  <c r="N3019" i="14"/>
  <c r="J3018" i="14" a="1"/>
  <c r="J3018" i="14" s="1"/>
  <c r="M3022" i="13"/>
  <c r="M3023" i="14"/>
  <c r="J3019" i="13" a="1"/>
  <c r="J3019" i="13" s="1"/>
  <c r="N3020" i="13"/>
  <c r="K2855" i="14"/>
  <c r="L2855" i="14" s="1"/>
  <c r="I2856" i="14" s="1"/>
  <c r="K2856" i="14" l="1"/>
  <c r="L2856" i="14" s="1"/>
  <c r="I2857" i="14" s="1"/>
  <c r="K2834" i="13"/>
  <c r="L2834" i="13" s="1"/>
  <c r="I2835" i="13" s="1"/>
  <c r="M3024" i="14"/>
  <c r="N3020" i="14"/>
  <c r="J3019" i="14" a="1"/>
  <c r="J3019" i="14" s="1"/>
  <c r="J3020" i="13" a="1"/>
  <c r="J3020" i="13" s="1"/>
  <c r="N3021" i="13"/>
  <c r="M3023" i="13"/>
  <c r="K2835" i="13" l="1"/>
  <c r="L2835" i="13" s="1"/>
  <c r="I2836" i="13" s="1"/>
  <c r="K2857" i="14"/>
  <c r="L2857" i="14" s="1"/>
  <c r="I2858" i="14" s="1"/>
  <c r="J3020" i="14" a="1"/>
  <c r="J3020" i="14" s="1"/>
  <c r="N3021" i="14"/>
  <c r="M3024" i="13"/>
  <c r="J3021" i="13" a="1"/>
  <c r="J3021" i="13" s="1"/>
  <c r="N3022" i="13"/>
  <c r="M3025" i="14"/>
  <c r="K2858" i="14" l="1"/>
  <c r="L2858" i="14" s="1"/>
  <c r="I2859" i="14" s="1"/>
  <c r="K2836" i="13"/>
  <c r="L2836" i="13" s="1"/>
  <c r="I2837" i="13" s="1"/>
  <c r="M3026" i="14"/>
  <c r="M3025" i="13"/>
  <c r="N3023" i="13"/>
  <c r="J3022" i="13" a="1"/>
  <c r="J3022" i="13" s="1"/>
  <c r="J3021" i="14" a="1"/>
  <c r="J3021" i="14" s="1"/>
  <c r="N3022" i="14"/>
  <c r="K2837" i="13" l="1"/>
  <c r="L2837" i="13" s="1"/>
  <c r="I2838" i="13" s="1"/>
  <c r="K2859" i="14"/>
  <c r="L2859" i="14" s="1"/>
  <c r="I2860" i="14" s="1"/>
  <c r="N3023" i="14"/>
  <c r="J3022" i="14" a="1"/>
  <c r="J3022" i="14" s="1"/>
  <c r="M3026" i="13"/>
  <c r="M3027" i="14"/>
  <c r="J3023" i="13" a="1"/>
  <c r="J3023" i="13" s="1"/>
  <c r="N3024" i="13"/>
  <c r="K2860" i="14" l="1"/>
  <c r="L2860" i="14" s="1"/>
  <c r="I2861" i="14" s="1"/>
  <c r="K2838" i="13"/>
  <c r="L2838" i="13" s="1"/>
  <c r="I2839" i="13" s="1"/>
  <c r="J3024" i="13" a="1"/>
  <c r="J3024" i="13" s="1"/>
  <c r="N3025" i="13"/>
  <c r="M3027" i="13"/>
  <c r="M3028" i="14"/>
  <c r="N3024" i="14"/>
  <c r="J3023" i="14" a="1"/>
  <c r="J3023" i="14" s="1"/>
  <c r="K2839" i="13" l="1"/>
  <c r="L2839" i="13" s="1"/>
  <c r="I2840" i="13" s="1"/>
  <c r="K2861" i="14"/>
  <c r="L2861" i="14" s="1"/>
  <c r="I2862" i="14" s="1"/>
  <c r="J3024" i="14" a="1"/>
  <c r="J3024" i="14" s="1"/>
  <c r="N3025" i="14"/>
  <c r="M3028" i="13"/>
  <c r="J3025" i="13" a="1"/>
  <c r="J3025" i="13" s="1"/>
  <c r="N3026" i="13"/>
  <c r="M3029" i="14"/>
  <c r="K2862" i="14" l="1"/>
  <c r="L2862" i="14" s="1"/>
  <c r="I2863" i="14" s="1"/>
  <c r="K2840" i="13"/>
  <c r="L2840" i="13" s="1"/>
  <c r="I2841" i="13" s="1"/>
  <c r="M3030" i="14"/>
  <c r="M3029" i="13"/>
  <c r="J3025" i="14" a="1"/>
  <c r="J3025" i="14" s="1"/>
  <c r="N3026" i="14"/>
  <c r="N3027" i="13"/>
  <c r="J3026" i="13" a="1"/>
  <c r="J3026" i="13" s="1"/>
  <c r="K2841" i="13" l="1"/>
  <c r="L2841" i="13" s="1"/>
  <c r="I2842" i="13" s="1"/>
  <c r="K2863" i="14"/>
  <c r="L2863" i="14" s="1"/>
  <c r="I2864" i="14" s="1"/>
  <c r="N3027" i="14"/>
  <c r="J3026" i="14" a="1"/>
  <c r="J3026" i="14" s="1"/>
  <c r="M3030" i="13"/>
  <c r="M3031" i="14"/>
  <c r="J3027" i="13" a="1"/>
  <c r="J3027" i="13" s="1"/>
  <c r="N3028" i="13"/>
  <c r="K2864" i="14" l="1"/>
  <c r="L2864" i="14" s="1"/>
  <c r="I2865" i="14" s="1"/>
  <c r="K2842" i="13"/>
  <c r="L2842" i="13" s="1"/>
  <c r="I2843" i="13" s="1"/>
  <c r="M3031" i="13"/>
  <c r="J3028" i="13" a="1"/>
  <c r="J3028" i="13" s="1"/>
  <c r="N3029" i="13"/>
  <c r="M3032" i="14"/>
  <c r="N3028" i="14"/>
  <c r="J3027" i="14" a="1"/>
  <c r="J3027" i="14" s="1"/>
  <c r="K2843" i="13" l="1"/>
  <c r="L2843" i="13" s="1"/>
  <c r="I2844" i="13" s="1"/>
  <c r="K2865" i="14"/>
  <c r="L2865" i="14" s="1"/>
  <c r="I2866" i="14" s="1"/>
  <c r="M3033" i="14"/>
  <c r="J3029" i="13" a="1"/>
  <c r="J3029" i="13" s="1"/>
  <c r="N3030" i="13"/>
  <c r="J3028" i="14" a="1"/>
  <c r="J3028" i="14" s="1"/>
  <c r="N3029" i="14"/>
  <c r="M3032" i="13"/>
  <c r="K2866" i="14" l="1"/>
  <c r="L2866" i="14" s="1"/>
  <c r="I2867" i="14" s="1"/>
  <c r="K2844" i="13"/>
  <c r="L2844" i="13" s="1"/>
  <c r="I2845" i="13" s="1"/>
  <c r="N3031" i="13"/>
  <c r="J3030" i="13" a="1"/>
  <c r="J3030" i="13" s="1"/>
  <c r="J3029" i="14" a="1"/>
  <c r="J3029" i="14" s="1"/>
  <c r="N3030" i="14"/>
  <c r="M3034" i="14"/>
  <c r="M3033" i="13"/>
  <c r="K2845" i="13" l="1"/>
  <c r="L2845" i="13" s="1"/>
  <c r="I2846" i="13" s="1"/>
  <c r="K2867" i="14"/>
  <c r="L2867" i="14" s="1"/>
  <c r="I2868" i="14" s="1"/>
  <c r="N3031" i="14"/>
  <c r="J3030" i="14" a="1"/>
  <c r="J3030" i="14" s="1"/>
  <c r="M3034" i="13"/>
  <c r="M3035" i="14"/>
  <c r="J3031" i="13" a="1"/>
  <c r="J3031" i="13" s="1"/>
  <c r="N3032" i="13"/>
  <c r="K2868" i="14" l="1"/>
  <c r="L2868" i="14" s="1"/>
  <c r="I2869" i="14" s="1"/>
  <c r="K2846" i="13"/>
  <c r="L2846" i="13" s="1"/>
  <c r="I2847" i="13" s="1"/>
  <c r="J3032" i="13" a="1"/>
  <c r="J3032" i="13" s="1"/>
  <c r="N3033" i="13"/>
  <c r="M3035" i="13"/>
  <c r="M3036" i="14"/>
  <c r="N3032" i="14"/>
  <c r="J3031" i="14" a="1"/>
  <c r="J3031" i="14" s="1"/>
  <c r="K2847" i="13" l="1"/>
  <c r="L2847" i="13" s="1"/>
  <c r="I2848" i="13" s="1"/>
  <c r="K2869" i="14"/>
  <c r="L2869" i="14" s="1"/>
  <c r="I2870" i="14" s="1"/>
  <c r="J3032" i="14" a="1"/>
  <c r="J3032" i="14" s="1"/>
  <c r="N3033" i="14"/>
  <c r="M3036" i="13"/>
  <c r="J3033" i="13" a="1"/>
  <c r="J3033" i="13" s="1"/>
  <c r="N3034" i="13"/>
  <c r="M3037" i="14"/>
  <c r="K2870" i="14" l="1"/>
  <c r="L2870" i="14" s="1"/>
  <c r="I2871" i="14" s="1"/>
  <c r="K2848" i="13"/>
  <c r="L2848" i="13" s="1"/>
  <c r="I2849" i="13" s="1"/>
  <c r="N3035" i="13"/>
  <c r="J3034" i="13" a="1"/>
  <c r="J3034" i="13" s="1"/>
  <c r="M3038" i="14"/>
  <c r="M3037" i="13"/>
  <c r="J3033" i="14" a="1"/>
  <c r="J3033" i="14" s="1"/>
  <c r="N3034" i="14"/>
  <c r="K2849" i="13" l="1"/>
  <c r="L2849" i="13" s="1"/>
  <c r="I2850" i="13" s="1"/>
  <c r="K2871" i="14"/>
  <c r="L2871" i="14" s="1"/>
  <c r="I2872" i="14" s="1"/>
  <c r="N3035" i="14"/>
  <c r="J3034" i="14" a="1"/>
  <c r="J3034" i="14" s="1"/>
  <c r="M3039" i="14"/>
  <c r="M3038" i="13"/>
  <c r="J3035" i="13" a="1"/>
  <c r="J3035" i="13" s="1"/>
  <c r="N3036" i="13"/>
  <c r="K2872" i="14" l="1"/>
  <c r="L2872" i="14" s="1"/>
  <c r="I2873" i="14" s="1"/>
  <c r="K2850" i="13"/>
  <c r="L2850" i="13" s="1"/>
  <c r="I2851" i="13" s="1"/>
  <c r="M3040" i="14"/>
  <c r="J3036" i="13" a="1"/>
  <c r="J3036" i="13" s="1"/>
  <c r="N3037" i="13"/>
  <c r="M3039" i="13"/>
  <c r="N3036" i="14"/>
  <c r="J3035" i="14" a="1"/>
  <c r="J3035" i="14" s="1"/>
  <c r="K2851" i="13" l="1"/>
  <c r="L2851" i="13" s="1"/>
  <c r="I2852" i="13" s="1"/>
  <c r="K2873" i="14"/>
  <c r="L2873" i="14" s="1"/>
  <c r="I2874" i="14" s="1"/>
  <c r="J3037" i="13" a="1"/>
  <c r="J3037" i="13" s="1"/>
  <c r="N3038" i="13"/>
  <c r="J3036" i="14" a="1"/>
  <c r="J3036" i="14" s="1"/>
  <c r="N3037" i="14"/>
  <c r="M3040" i="13"/>
  <c r="M3041" i="14"/>
  <c r="K2874" i="14" l="1"/>
  <c r="L2874" i="14" s="1"/>
  <c r="I2875" i="14" s="1"/>
  <c r="K2852" i="13"/>
  <c r="L2852" i="13" s="1"/>
  <c r="I2853" i="13" s="1"/>
  <c r="J3037" i="14" a="1"/>
  <c r="J3037" i="14" s="1"/>
  <c r="N3038" i="14"/>
  <c r="M3042" i="14"/>
  <c r="N3039" i="13"/>
  <c r="J3038" i="13" a="1"/>
  <c r="J3038" i="13" s="1"/>
  <c r="M3041" i="13"/>
  <c r="K2853" i="13" l="1"/>
  <c r="L2853" i="13" s="1"/>
  <c r="I2854" i="13" s="1"/>
  <c r="K2875" i="14"/>
  <c r="L2875" i="14" s="1"/>
  <c r="I2876" i="14" s="1"/>
  <c r="M3042" i="13"/>
  <c r="M3043" i="14"/>
  <c r="N3039" i="14"/>
  <c r="J3038" i="14" a="1"/>
  <c r="J3038" i="14" s="1"/>
  <c r="J3039" i="13" a="1"/>
  <c r="J3039" i="13" s="1"/>
  <c r="N3040" i="13"/>
  <c r="K2876" i="14" l="1"/>
  <c r="L2876" i="14" s="1"/>
  <c r="I2877" i="14" s="1"/>
  <c r="K2854" i="13"/>
  <c r="L2854" i="13" s="1"/>
  <c r="I2855" i="13" s="1"/>
  <c r="M3044" i="14"/>
  <c r="J3040" i="13" a="1"/>
  <c r="J3040" i="13" s="1"/>
  <c r="N3041" i="13"/>
  <c r="N3040" i="14"/>
  <c r="J3039" i="14" a="1"/>
  <c r="J3039" i="14" s="1"/>
  <c r="M3043" i="13"/>
  <c r="K2855" i="13" l="1"/>
  <c r="L2855" i="13" s="1"/>
  <c r="I2856" i="13" s="1"/>
  <c r="K2877" i="14"/>
  <c r="L2877" i="14" s="1"/>
  <c r="I2878" i="14" s="1"/>
  <c r="J3041" i="13" a="1"/>
  <c r="J3041" i="13" s="1"/>
  <c r="N3042" i="13"/>
  <c r="M3044" i="13"/>
  <c r="J3040" i="14" a="1"/>
  <c r="J3040" i="14" s="1"/>
  <c r="N3041" i="14"/>
  <c r="M3045" i="14"/>
  <c r="K2878" i="14" l="1"/>
  <c r="L2878" i="14" s="1"/>
  <c r="I2879" i="14" s="1"/>
  <c r="K2856" i="13"/>
  <c r="L2856" i="13" s="1"/>
  <c r="I2857" i="13" s="1"/>
  <c r="M3046" i="14"/>
  <c r="M3045" i="13"/>
  <c r="J3041" i="14" a="1"/>
  <c r="J3041" i="14" s="1"/>
  <c r="N3042" i="14"/>
  <c r="N3043" i="13"/>
  <c r="J3042" i="13" a="1"/>
  <c r="J3042" i="13" s="1"/>
  <c r="K2857" i="13" l="1"/>
  <c r="L2857" i="13" s="1"/>
  <c r="I2858" i="13" s="1"/>
  <c r="K2879" i="14"/>
  <c r="L2879" i="14" s="1"/>
  <c r="I2880" i="14" s="1"/>
  <c r="J3043" i="13" a="1"/>
  <c r="J3043" i="13" s="1"/>
  <c r="N3044" i="13"/>
  <c r="M3046" i="13"/>
  <c r="M3047" i="14"/>
  <c r="N3043" i="14"/>
  <c r="J3042" i="14" a="1"/>
  <c r="J3042" i="14" s="1"/>
  <c r="K2880" i="14" l="1"/>
  <c r="L2880" i="14" s="1"/>
  <c r="I2881" i="14" s="1"/>
  <c r="K2858" i="13"/>
  <c r="L2858" i="13" s="1"/>
  <c r="I2859" i="13" s="1"/>
  <c r="N3044" i="14"/>
  <c r="J3043" i="14" a="1"/>
  <c r="J3043" i="14" s="1"/>
  <c r="M3047" i="13"/>
  <c r="J3044" i="13" a="1"/>
  <c r="J3044" i="13" s="1"/>
  <c r="N3045" i="13"/>
  <c r="M3048" i="14"/>
  <c r="K2859" i="13" l="1"/>
  <c r="L2859" i="13" s="1"/>
  <c r="I2860" i="13" s="1"/>
  <c r="K2881" i="14"/>
  <c r="L2881" i="14" s="1"/>
  <c r="I2882" i="14" s="1"/>
  <c r="M3049" i="14"/>
  <c r="M3048" i="13"/>
  <c r="J3045" i="13" a="1"/>
  <c r="J3045" i="13" s="1"/>
  <c r="N3046" i="13"/>
  <c r="J3044" i="14" a="1"/>
  <c r="J3044" i="14" s="1"/>
  <c r="N3045" i="14"/>
  <c r="K2882" i="14" l="1"/>
  <c r="L2882" i="14" s="1"/>
  <c r="I2883" i="14" s="1"/>
  <c r="K2860" i="13"/>
  <c r="L2860" i="13" s="1"/>
  <c r="I2861" i="13" s="1"/>
  <c r="J3045" i="14" a="1"/>
  <c r="J3045" i="14" s="1"/>
  <c r="N3046" i="14"/>
  <c r="M3049" i="13"/>
  <c r="N3047" i="13"/>
  <c r="J3046" i="13" a="1"/>
  <c r="J3046" i="13" s="1"/>
  <c r="M3050" i="14"/>
  <c r="K2861" i="13" l="1"/>
  <c r="L2861" i="13" s="1"/>
  <c r="I2862" i="13" s="1"/>
  <c r="K2883" i="14"/>
  <c r="L2883" i="14" s="1"/>
  <c r="I2884" i="14" s="1"/>
  <c r="M3051" i="14"/>
  <c r="M3050" i="13"/>
  <c r="N3047" i="14"/>
  <c r="J3046" i="14" a="1"/>
  <c r="J3046" i="14" s="1"/>
  <c r="J3047" i="13" a="1"/>
  <c r="J3047" i="13" s="1"/>
  <c r="N3048" i="13"/>
  <c r="K2884" i="14" l="1"/>
  <c r="L2884" i="14" s="1"/>
  <c r="I2885" i="14" s="1"/>
  <c r="K2862" i="13"/>
  <c r="L2862" i="13" s="1"/>
  <c r="I2863" i="13" s="1"/>
  <c r="J3048" i="13" a="1"/>
  <c r="J3048" i="13" s="1"/>
  <c r="N3049" i="13"/>
  <c r="M3051" i="13"/>
  <c r="N3048" i="14"/>
  <c r="J3047" i="14" a="1"/>
  <c r="J3047" i="14" s="1"/>
  <c r="M3052" i="14"/>
  <c r="K2863" i="13" l="1"/>
  <c r="L2863" i="13" s="1"/>
  <c r="I2864" i="13" s="1"/>
  <c r="K2885" i="14"/>
  <c r="L2885" i="14" s="1"/>
  <c r="I2886" i="14" s="1"/>
  <c r="M3053" i="14"/>
  <c r="M3052" i="13"/>
  <c r="J3049" i="13" a="1"/>
  <c r="J3049" i="13" s="1"/>
  <c r="N3050" i="13"/>
  <c r="J3048" i="14" a="1"/>
  <c r="J3048" i="14" s="1"/>
  <c r="N3049" i="14"/>
  <c r="K2886" i="14" l="1"/>
  <c r="L2886" i="14" s="1"/>
  <c r="I2887" i="14" s="1"/>
  <c r="K2864" i="13"/>
  <c r="L2864" i="13" s="1"/>
  <c r="I2865" i="13" s="1"/>
  <c r="J3049" i="14" a="1"/>
  <c r="J3049" i="14" s="1"/>
  <c r="N3050" i="14"/>
  <c r="M3053" i="13"/>
  <c r="N3051" i="13"/>
  <c r="J3050" i="13" a="1"/>
  <c r="J3050" i="13" s="1"/>
  <c r="M3054" i="14"/>
  <c r="K2865" i="13" l="1"/>
  <c r="L2865" i="13" s="1"/>
  <c r="I2866" i="13" s="1"/>
  <c r="K2887" i="14"/>
  <c r="L2887" i="14" s="1"/>
  <c r="I2888" i="14" s="1"/>
  <c r="M3055" i="14"/>
  <c r="M3054" i="13"/>
  <c r="J3051" i="13" a="1"/>
  <c r="J3051" i="13" s="1"/>
  <c r="N3052" i="13"/>
  <c r="N3051" i="14"/>
  <c r="J3050" i="14" a="1"/>
  <c r="J3050" i="14" s="1"/>
  <c r="K2866" i="13" l="1"/>
  <c r="L2866" i="13" s="1"/>
  <c r="I2867" i="13" s="1"/>
  <c r="N3052" i="14"/>
  <c r="J3051" i="14" a="1"/>
  <c r="J3051" i="14" s="1"/>
  <c r="M3055" i="13"/>
  <c r="K2888" i="14"/>
  <c r="L2888" i="14" s="1"/>
  <c r="I2889" i="14" s="1"/>
  <c r="J3052" i="13" a="1"/>
  <c r="J3052" i="13" s="1"/>
  <c r="N3053" i="13"/>
  <c r="M3056" i="14"/>
  <c r="K2889" i="14" l="1"/>
  <c r="L2889" i="14" s="1"/>
  <c r="I2890" i="14" s="1"/>
  <c r="K2867" i="13"/>
  <c r="L2867" i="13" s="1"/>
  <c r="I2868" i="13" s="1"/>
  <c r="J3053" i="13" a="1"/>
  <c r="J3053" i="13" s="1"/>
  <c r="N3054" i="13"/>
  <c r="M3057" i="14"/>
  <c r="J3052" i="14" a="1"/>
  <c r="J3052" i="14" s="1"/>
  <c r="N3053" i="14"/>
  <c r="M3056" i="13"/>
  <c r="K2868" i="13" l="1"/>
  <c r="L2868" i="13" s="1"/>
  <c r="I2869" i="13" s="1"/>
  <c r="K2890" i="14"/>
  <c r="L2890" i="14" s="1"/>
  <c r="I2891" i="14" s="1"/>
  <c r="J3053" i="14" a="1"/>
  <c r="J3053" i="14" s="1"/>
  <c r="N3054" i="14"/>
  <c r="M3058" i="14"/>
  <c r="M3057" i="13"/>
  <c r="N3055" i="13"/>
  <c r="J3054" i="13" a="1"/>
  <c r="J3054" i="13" s="1"/>
  <c r="K2891" i="14" l="1"/>
  <c r="L2891" i="14" s="1"/>
  <c r="I2892" i="14" s="1"/>
  <c r="K2869" i="13"/>
  <c r="L2869" i="13" s="1"/>
  <c r="I2870" i="13" s="1"/>
  <c r="M3059" i="14"/>
  <c r="J3055" i="13" a="1"/>
  <c r="J3055" i="13" s="1"/>
  <c r="N3056" i="13"/>
  <c r="N3055" i="14"/>
  <c r="J3054" i="14" a="1"/>
  <c r="J3054" i="14" s="1"/>
  <c r="M3058" i="13"/>
  <c r="K2870" i="13" l="1"/>
  <c r="L2870" i="13" s="1"/>
  <c r="I2871" i="13" s="1"/>
  <c r="K2892" i="14"/>
  <c r="L2892" i="14" s="1"/>
  <c r="I2893" i="14" s="1"/>
  <c r="J3056" i="13" a="1"/>
  <c r="J3056" i="13" s="1"/>
  <c r="N3057" i="13"/>
  <c r="M3059" i="13"/>
  <c r="N3056" i="14"/>
  <c r="J3055" i="14" a="1"/>
  <c r="J3055" i="14" s="1"/>
  <c r="M3060" i="14"/>
  <c r="K2893" i="14" l="1"/>
  <c r="L2893" i="14" s="1"/>
  <c r="I2894" i="14" s="1"/>
  <c r="K2871" i="13"/>
  <c r="L2871" i="13" s="1"/>
  <c r="I2872" i="13" s="1"/>
  <c r="M3061" i="14"/>
  <c r="M3060" i="13"/>
  <c r="J3057" i="13" a="1"/>
  <c r="J3057" i="13" s="1"/>
  <c r="N3058" i="13"/>
  <c r="J3056" i="14" a="1"/>
  <c r="J3056" i="14" s="1"/>
  <c r="N3057" i="14"/>
  <c r="K2872" i="13" l="1"/>
  <c r="L2872" i="13" s="1"/>
  <c r="I2873" i="13" s="1"/>
  <c r="K2894" i="14"/>
  <c r="L2894" i="14" s="1"/>
  <c r="I2895" i="14" s="1"/>
  <c r="M3061" i="13"/>
  <c r="N3059" i="13"/>
  <c r="J3058" i="13" a="1"/>
  <c r="J3058" i="13" s="1"/>
  <c r="J3057" i="14" a="1"/>
  <c r="J3057" i="14" s="1"/>
  <c r="N3058" i="14"/>
  <c r="M3062" i="14"/>
  <c r="K2895" i="14" l="1"/>
  <c r="L2895" i="14" s="1"/>
  <c r="I2896" i="14" s="1"/>
  <c r="K2873" i="13"/>
  <c r="L2873" i="13" s="1"/>
  <c r="I2874" i="13" s="1"/>
  <c r="J3059" i="13" a="1"/>
  <c r="J3059" i="13" s="1"/>
  <c r="N3060" i="13"/>
  <c r="N3059" i="14"/>
  <c r="J3058" i="14" a="1"/>
  <c r="J3058" i="14" s="1"/>
  <c r="M3062" i="13"/>
  <c r="M3063" i="14"/>
  <c r="K2874" i="13" l="1"/>
  <c r="L2874" i="13" s="1"/>
  <c r="I2875" i="13" s="1"/>
  <c r="K2896" i="14"/>
  <c r="L2896" i="14" s="1"/>
  <c r="I2897" i="14" s="1"/>
  <c r="N3060" i="14"/>
  <c r="J3059" i="14" a="1"/>
  <c r="J3059" i="14" s="1"/>
  <c r="J3060" i="13" a="1"/>
  <c r="J3060" i="13" s="1"/>
  <c r="N3061" i="13"/>
  <c r="M3064" i="14"/>
  <c r="M3063" i="13"/>
  <c r="K2897" i="14" l="1"/>
  <c r="L2897" i="14" s="1"/>
  <c r="I2898" i="14" s="1"/>
  <c r="K2875" i="13"/>
  <c r="L2875" i="13" s="1"/>
  <c r="I2876" i="13" s="1"/>
  <c r="J3061" i="13" a="1"/>
  <c r="J3061" i="13" s="1"/>
  <c r="N3062" i="13"/>
  <c r="M3064" i="13"/>
  <c r="M3065" i="14"/>
  <c r="J3060" i="14" a="1"/>
  <c r="J3060" i="14" s="1"/>
  <c r="N3061" i="14"/>
  <c r="K2876" i="13" l="1"/>
  <c r="L2876" i="13" s="1"/>
  <c r="I2877" i="13" s="1"/>
  <c r="K2898" i="14"/>
  <c r="L2898" i="14" s="1"/>
  <c r="I2899" i="14" s="1"/>
  <c r="M3065" i="13"/>
  <c r="N3063" i="13"/>
  <c r="J3062" i="13" a="1"/>
  <c r="J3062" i="13" s="1"/>
  <c r="J3061" i="14" a="1"/>
  <c r="J3061" i="14" s="1"/>
  <c r="N3062" i="14"/>
  <c r="M3066" i="14"/>
  <c r="K2899" i="14" l="1"/>
  <c r="L2899" i="14" s="1"/>
  <c r="I2900" i="14" s="1"/>
  <c r="K2877" i="13"/>
  <c r="L2877" i="13" s="1"/>
  <c r="I2878" i="13" s="1"/>
  <c r="M3067" i="14"/>
  <c r="J3063" i="13" a="1"/>
  <c r="J3063" i="13" s="1"/>
  <c r="N3064" i="13"/>
  <c r="N3063" i="14"/>
  <c r="J3062" i="14" a="1"/>
  <c r="J3062" i="14" s="1"/>
  <c r="M3066" i="13"/>
  <c r="K2878" i="13" l="1"/>
  <c r="L2878" i="13" s="1"/>
  <c r="I2879" i="13" s="1"/>
  <c r="K2900" i="14"/>
  <c r="L2900" i="14" s="1"/>
  <c r="I2901" i="14" s="1"/>
  <c r="J3064" i="13" a="1"/>
  <c r="J3064" i="13" s="1"/>
  <c r="N3065" i="13"/>
  <c r="M3067" i="13"/>
  <c r="N3064" i="14"/>
  <c r="J3063" i="14" a="1"/>
  <c r="J3063" i="14" s="1"/>
  <c r="M3068" i="14"/>
  <c r="K2901" i="14" l="1"/>
  <c r="L2901" i="14" s="1"/>
  <c r="I2902" i="14" s="1"/>
  <c r="K2879" i="13"/>
  <c r="L2879" i="13" s="1"/>
  <c r="I2880" i="13" s="1"/>
  <c r="M3069" i="14"/>
  <c r="M3068" i="13"/>
  <c r="J3065" i="13" a="1"/>
  <c r="J3065" i="13" s="1"/>
  <c r="N3066" i="13"/>
  <c r="J3064" i="14" a="1"/>
  <c r="J3064" i="14" s="1"/>
  <c r="N3065" i="14"/>
  <c r="K2880" i="13" l="1"/>
  <c r="L2880" i="13" s="1"/>
  <c r="I2881" i="13" s="1"/>
  <c r="K2902" i="14"/>
  <c r="L2902" i="14" s="1"/>
  <c r="I2903" i="14" s="1"/>
  <c r="M3069" i="13"/>
  <c r="N3067" i="13"/>
  <c r="J3066" i="13" a="1"/>
  <c r="J3066" i="13" s="1"/>
  <c r="J3065" i="14" a="1"/>
  <c r="J3065" i="14" s="1"/>
  <c r="N3066" i="14"/>
  <c r="M3070" i="14"/>
  <c r="K2903" i="14" l="1"/>
  <c r="L2903" i="14" s="1"/>
  <c r="I2904" i="14" s="1"/>
  <c r="K2881" i="13"/>
  <c r="L2881" i="13" s="1"/>
  <c r="I2882" i="13" s="1"/>
  <c r="J3067" i="13" a="1"/>
  <c r="J3067" i="13" s="1"/>
  <c r="N3068" i="13"/>
  <c r="N3067" i="14"/>
  <c r="J3066" i="14" a="1"/>
  <c r="J3066" i="14" s="1"/>
  <c r="M3070" i="13"/>
  <c r="M3071" i="14"/>
  <c r="K2882" i="13" l="1"/>
  <c r="L2882" i="13" s="1"/>
  <c r="I2883" i="13" s="1"/>
  <c r="K2904" i="14"/>
  <c r="L2904" i="14" s="1"/>
  <c r="I2905" i="14" s="1"/>
  <c r="M3072" i="14"/>
  <c r="N3068" i="14"/>
  <c r="J3067" i="14" a="1"/>
  <c r="J3067" i="14" s="1"/>
  <c r="J3068" i="13" a="1"/>
  <c r="J3068" i="13" s="1"/>
  <c r="N3069" i="13"/>
  <c r="M3071" i="13"/>
  <c r="K2905" i="14" l="1"/>
  <c r="L2905" i="14" s="1"/>
  <c r="I2906" i="14" s="1"/>
  <c r="K2883" i="13"/>
  <c r="L2883" i="13" s="1"/>
  <c r="I2884" i="13" s="1"/>
  <c r="M3072" i="13"/>
  <c r="J3068" i="14" a="1"/>
  <c r="J3068" i="14" s="1"/>
  <c r="N3069" i="14"/>
  <c r="J3069" i="13" a="1"/>
  <c r="J3069" i="13" s="1"/>
  <c r="N3070" i="13"/>
  <c r="M3073" i="14"/>
  <c r="K2884" i="13" l="1"/>
  <c r="L2884" i="13" s="1"/>
  <c r="I2885" i="13" s="1"/>
  <c r="K2906" i="14"/>
  <c r="L2906" i="14" s="1"/>
  <c r="I2907" i="14" s="1"/>
  <c r="J3069" i="14" a="1"/>
  <c r="J3069" i="14" s="1"/>
  <c r="N3070" i="14"/>
  <c r="M3074" i="14"/>
  <c r="N3071" i="13"/>
  <c r="J3070" i="13" a="1"/>
  <c r="J3070" i="13" s="1"/>
  <c r="M3073" i="13"/>
  <c r="K2907" i="14" l="1"/>
  <c r="L2907" i="14" s="1"/>
  <c r="I2908" i="14" s="1"/>
  <c r="K2885" i="13"/>
  <c r="L2885" i="13" s="1"/>
  <c r="I2886" i="13" s="1"/>
  <c r="M3074" i="13"/>
  <c r="J3071" i="13" a="1"/>
  <c r="J3071" i="13" s="1"/>
  <c r="N3072" i="13"/>
  <c r="M3075" i="14"/>
  <c r="N3071" i="14"/>
  <c r="J3070" i="14" a="1"/>
  <c r="J3070" i="14" s="1"/>
  <c r="K2886" i="13" l="1"/>
  <c r="L2886" i="13" s="1"/>
  <c r="I2887" i="13" s="1"/>
  <c r="K2908" i="14"/>
  <c r="L2908" i="14" s="1"/>
  <c r="I2909" i="14" s="1"/>
  <c r="J3072" i="13" a="1"/>
  <c r="J3072" i="13" s="1"/>
  <c r="N3073" i="13"/>
  <c r="N3072" i="14"/>
  <c r="J3071" i="14" a="1"/>
  <c r="J3071" i="14" s="1"/>
  <c r="M3076" i="14"/>
  <c r="M3075" i="13"/>
  <c r="K2909" i="14" l="1"/>
  <c r="L2909" i="14" s="1"/>
  <c r="I2910" i="14" s="1"/>
  <c r="K2887" i="13"/>
  <c r="L2887" i="13" s="1"/>
  <c r="I2888" i="13" s="1"/>
  <c r="J3072" i="14" a="1"/>
  <c r="J3072" i="14" s="1"/>
  <c r="N3073" i="14"/>
  <c r="J3073" i="13" a="1"/>
  <c r="J3073" i="13" s="1"/>
  <c r="N3074" i="13"/>
  <c r="M3076" i="13"/>
  <c r="M3077" i="14"/>
  <c r="K2888" i="13" l="1"/>
  <c r="L2888" i="13" s="1"/>
  <c r="I2889" i="13" s="1"/>
  <c r="K2910" i="14"/>
  <c r="L2910" i="14" s="1"/>
  <c r="I2911" i="14" s="1"/>
  <c r="N3075" i="13"/>
  <c r="J3074" i="13" a="1"/>
  <c r="J3074" i="13" s="1"/>
  <c r="J3073" i="14" a="1"/>
  <c r="J3073" i="14" s="1"/>
  <c r="N3074" i="14"/>
  <c r="M3078" i="14"/>
  <c r="M3077" i="13"/>
  <c r="K2911" i="14" l="1"/>
  <c r="L2911" i="14" s="1"/>
  <c r="I2912" i="14" s="1"/>
  <c r="K2889" i="13"/>
  <c r="L2889" i="13" s="1"/>
  <c r="I2890" i="13" s="1"/>
  <c r="N3075" i="14"/>
  <c r="J3074" i="14" a="1"/>
  <c r="J3074" i="14" s="1"/>
  <c r="M3078" i="13"/>
  <c r="M3079" i="14"/>
  <c r="J3075" i="13" a="1"/>
  <c r="J3075" i="13" s="1"/>
  <c r="N3076" i="13"/>
  <c r="K2890" i="13" l="1"/>
  <c r="L2890" i="13" s="1"/>
  <c r="I2891" i="13" s="1"/>
  <c r="K2912" i="14"/>
  <c r="L2912" i="14" s="1"/>
  <c r="I2913" i="14" s="1"/>
  <c r="J3076" i="13" a="1"/>
  <c r="J3076" i="13" s="1"/>
  <c r="N3077" i="13"/>
  <c r="M3079" i="13"/>
  <c r="M3080" i="14"/>
  <c r="N3076" i="14"/>
  <c r="J3075" i="14" a="1"/>
  <c r="J3075" i="14" s="1"/>
  <c r="K2913" i="14" l="1"/>
  <c r="L2913" i="14" s="1"/>
  <c r="I2914" i="14" s="1"/>
  <c r="K2891" i="13"/>
  <c r="L2891" i="13" s="1"/>
  <c r="I2892" i="13" s="1"/>
  <c r="J3076" i="14" a="1"/>
  <c r="J3076" i="14" s="1"/>
  <c r="N3077" i="14"/>
  <c r="M3080" i="13"/>
  <c r="J3077" i="13" a="1"/>
  <c r="J3077" i="13" s="1"/>
  <c r="N3078" i="13"/>
  <c r="M3081" i="14"/>
  <c r="K2892" i="13" l="1"/>
  <c r="L2892" i="13" s="1"/>
  <c r="I2893" i="13" s="1"/>
  <c r="K2914" i="14"/>
  <c r="L2914" i="14" s="1"/>
  <c r="I2915" i="14" s="1"/>
  <c r="N3079" i="13"/>
  <c r="J3078" i="13" a="1"/>
  <c r="J3078" i="13" s="1"/>
  <c r="M3082" i="14"/>
  <c r="M3081" i="13"/>
  <c r="J3077" i="14" a="1"/>
  <c r="J3077" i="14" s="1"/>
  <c r="N3078" i="14"/>
  <c r="K2915" i="14" l="1"/>
  <c r="L2915" i="14" s="1"/>
  <c r="I2916" i="14" s="1"/>
  <c r="K2893" i="13"/>
  <c r="L2893" i="13" s="1"/>
  <c r="I2894" i="13" s="1"/>
  <c r="N3079" i="14"/>
  <c r="J3078" i="14" a="1"/>
  <c r="J3078" i="14" s="1"/>
  <c r="M3083" i="14"/>
  <c r="M3082" i="13"/>
  <c r="J3079" i="13" a="1"/>
  <c r="J3079" i="13" s="1"/>
  <c r="N3080" i="13"/>
  <c r="K2916" i="14" l="1"/>
  <c r="L2916" i="14" s="1"/>
  <c r="I2917" i="14" s="1"/>
  <c r="K2894" i="13"/>
  <c r="L2894" i="13" s="1"/>
  <c r="I2895" i="13" s="1"/>
  <c r="J3080" i="13" a="1"/>
  <c r="J3080" i="13" s="1"/>
  <c r="N3081" i="13"/>
  <c r="M3084" i="14"/>
  <c r="M3083" i="13"/>
  <c r="N3080" i="14"/>
  <c r="J3079" i="14" a="1"/>
  <c r="J3079" i="14" s="1"/>
  <c r="K2895" i="13" l="1"/>
  <c r="L2895" i="13" s="1"/>
  <c r="I2896" i="13" s="1"/>
  <c r="K2917" i="14"/>
  <c r="L2917" i="14" s="1"/>
  <c r="I2918" i="14" s="1"/>
  <c r="M3084" i="13"/>
  <c r="J3080" i="14" a="1"/>
  <c r="J3080" i="14" s="1"/>
  <c r="N3081" i="14"/>
  <c r="M3085" i="14"/>
  <c r="J3081" i="13" a="1"/>
  <c r="J3081" i="13" s="1"/>
  <c r="N3082" i="13"/>
  <c r="K2918" i="14" l="1"/>
  <c r="L2918" i="14" s="1"/>
  <c r="I2919" i="14" s="1"/>
  <c r="J3081" i="14" a="1"/>
  <c r="J3081" i="14" s="1"/>
  <c r="N3082" i="14"/>
  <c r="M3086" i="14"/>
  <c r="M3085" i="13"/>
  <c r="N3083" i="13"/>
  <c r="J3082" i="13" a="1"/>
  <c r="J3082" i="13" s="1"/>
  <c r="K2896" i="13"/>
  <c r="L2896" i="13" s="1"/>
  <c r="I2897" i="13" s="1"/>
  <c r="K2897" i="13" l="1"/>
  <c r="L2897" i="13" s="1"/>
  <c r="I2898" i="13" s="1"/>
  <c r="K2919" i="14"/>
  <c r="L2919" i="14" s="1"/>
  <c r="I2920" i="14" s="1"/>
  <c r="M3086" i="13"/>
  <c r="M3087" i="14"/>
  <c r="N3083" i="14"/>
  <c r="J3082" i="14" a="1"/>
  <c r="J3082" i="14" s="1"/>
  <c r="J3083" i="13" a="1"/>
  <c r="J3083" i="13" s="1"/>
  <c r="N3084" i="13"/>
  <c r="K2920" i="14" l="1"/>
  <c r="L2920" i="14" s="1"/>
  <c r="I2921" i="14" s="1"/>
  <c r="K2898" i="13"/>
  <c r="L2898" i="13" s="1"/>
  <c r="I2899" i="13" s="1"/>
  <c r="M3088" i="14"/>
  <c r="J3084" i="13" a="1"/>
  <c r="J3084" i="13" s="1"/>
  <c r="N3085" i="13"/>
  <c r="N3084" i="14"/>
  <c r="J3083" i="14" a="1"/>
  <c r="J3083" i="14" s="1"/>
  <c r="M3087" i="13"/>
  <c r="K2899" i="13" l="1"/>
  <c r="L2899" i="13" s="1"/>
  <c r="I2900" i="13" s="1"/>
  <c r="K2921" i="14"/>
  <c r="L2921" i="14" s="1"/>
  <c r="I2922" i="14" s="1"/>
  <c r="J3085" i="13" a="1"/>
  <c r="J3085" i="13" s="1"/>
  <c r="N3086" i="13"/>
  <c r="M3088" i="13"/>
  <c r="J3084" i="14" a="1"/>
  <c r="J3084" i="14" s="1"/>
  <c r="N3085" i="14"/>
  <c r="M3089" i="14"/>
  <c r="K2922" i="14" l="1"/>
  <c r="L2922" i="14" s="1"/>
  <c r="I2923" i="14" s="1"/>
  <c r="K2900" i="13"/>
  <c r="L2900" i="13" s="1"/>
  <c r="I2901" i="13" s="1"/>
  <c r="M3090" i="14"/>
  <c r="M3089" i="13"/>
  <c r="N3087" i="13"/>
  <c r="J3086" i="13" a="1"/>
  <c r="J3086" i="13" s="1"/>
  <c r="J3085" i="14" a="1"/>
  <c r="J3085" i="14" s="1"/>
  <c r="N3086" i="14"/>
  <c r="K2923" i="14" l="1"/>
  <c r="L2923" i="14" s="1"/>
  <c r="I2924" i="14" s="1"/>
  <c r="N3087" i="14"/>
  <c r="J3086" i="14" a="1"/>
  <c r="J3086" i="14" s="1"/>
  <c r="M3090" i="13"/>
  <c r="K2901" i="13"/>
  <c r="L2901" i="13" s="1"/>
  <c r="I2902" i="13" s="1"/>
  <c r="M3091" i="14"/>
  <c r="J3087" i="13" a="1"/>
  <c r="J3087" i="13" s="1"/>
  <c r="N3088" i="13"/>
  <c r="K2902" i="13" l="1"/>
  <c r="L2902" i="13" s="1"/>
  <c r="I2903" i="13" s="1"/>
  <c r="K2924" i="14"/>
  <c r="L2924" i="14" s="1"/>
  <c r="I2925" i="14" s="1"/>
  <c r="J3088" i="13" a="1"/>
  <c r="J3088" i="13" s="1"/>
  <c r="N3089" i="13"/>
  <c r="N3088" i="14"/>
  <c r="J3087" i="14" a="1"/>
  <c r="J3087" i="14" s="1"/>
  <c r="M3092" i="14"/>
  <c r="M3091" i="13"/>
  <c r="K2903" i="13" l="1"/>
  <c r="L2903" i="13" s="1"/>
  <c r="I2904" i="13" s="1"/>
  <c r="J3088" i="14" a="1"/>
  <c r="J3088" i="14" s="1"/>
  <c r="N3089" i="14"/>
  <c r="K2925" i="14"/>
  <c r="L2925" i="14" s="1"/>
  <c r="I2926" i="14" s="1"/>
  <c r="M3092" i="13"/>
  <c r="J3089" i="13" a="1"/>
  <c r="J3089" i="13" s="1"/>
  <c r="N3090" i="13"/>
  <c r="M3093" i="14"/>
  <c r="K2926" i="14" l="1"/>
  <c r="L2926" i="14" s="1"/>
  <c r="I2927" i="14" s="1"/>
  <c r="K2904" i="13"/>
  <c r="L2904" i="13" s="1"/>
  <c r="I2905" i="13" s="1"/>
  <c r="M3094" i="14"/>
  <c r="M3093" i="13"/>
  <c r="J3089" i="14" a="1"/>
  <c r="J3089" i="14" s="1"/>
  <c r="N3090" i="14"/>
  <c r="N3091" i="13"/>
  <c r="J3090" i="13" a="1"/>
  <c r="J3090" i="13" s="1"/>
  <c r="K2927" i="14" l="1"/>
  <c r="L2927" i="14" s="1"/>
  <c r="I2928" i="14" s="1"/>
  <c r="M3094" i="13"/>
  <c r="K2905" i="13"/>
  <c r="L2905" i="13" s="1"/>
  <c r="I2906" i="13" s="1"/>
  <c r="N3091" i="14"/>
  <c r="J3090" i="14" a="1"/>
  <c r="J3090" i="14" s="1"/>
  <c r="J3091" i="13" a="1"/>
  <c r="J3091" i="13" s="1"/>
  <c r="N3092" i="13"/>
  <c r="M3095" i="14"/>
  <c r="K2906" i="13" l="1"/>
  <c r="L2906" i="13" s="1"/>
  <c r="I2907" i="13" s="1"/>
  <c r="K2928" i="14"/>
  <c r="L2928" i="14" s="1"/>
  <c r="I2929" i="14" s="1"/>
  <c r="N3092" i="14"/>
  <c r="J3091" i="14" a="1"/>
  <c r="J3091" i="14" s="1"/>
  <c r="M3095" i="13"/>
  <c r="M3096" i="14"/>
  <c r="J3092" i="13" a="1"/>
  <c r="J3092" i="13" s="1"/>
  <c r="N3093" i="13"/>
  <c r="K2929" i="14" l="1"/>
  <c r="L2929" i="14" s="1"/>
  <c r="I2930" i="14" s="1"/>
  <c r="K2907" i="13"/>
  <c r="L2907" i="13" s="1"/>
  <c r="I2908" i="13" s="1"/>
  <c r="J3093" i="13" a="1"/>
  <c r="J3093" i="13" s="1"/>
  <c r="N3094" i="13"/>
  <c r="M3096" i="13"/>
  <c r="M3097" i="14"/>
  <c r="J3092" i="14" a="1"/>
  <c r="J3092" i="14" s="1"/>
  <c r="N3093" i="14"/>
  <c r="K2930" i="14" l="1"/>
  <c r="L2930" i="14" s="1"/>
  <c r="I2931" i="14" s="1"/>
  <c r="J3093" i="14" a="1"/>
  <c r="J3093" i="14" s="1"/>
  <c r="N3094" i="14"/>
  <c r="M3097" i="13"/>
  <c r="K2908" i="13"/>
  <c r="L2908" i="13" s="1"/>
  <c r="I2909" i="13" s="1"/>
  <c r="M3098" i="14"/>
  <c r="N3095" i="13"/>
  <c r="J3094" i="13" a="1"/>
  <c r="J3094" i="13" s="1"/>
  <c r="K2909" i="13" l="1"/>
  <c r="L2909" i="13" s="1"/>
  <c r="I2910" i="13" s="1"/>
  <c r="K2931" i="14"/>
  <c r="L2931" i="14" s="1"/>
  <c r="I2932" i="14" s="1"/>
  <c r="N3095" i="14"/>
  <c r="J3094" i="14" a="1"/>
  <c r="J3094" i="14" s="1"/>
  <c r="J3095" i="13" a="1"/>
  <c r="J3095" i="13" s="1"/>
  <c r="N3096" i="13"/>
  <c r="M3099" i="14"/>
  <c r="M3098" i="13"/>
  <c r="K2932" i="14" l="1"/>
  <c r="L2932" i="14" s="1"/>
  <c r="I2933" i="14" s="1"/>
  <c r="K2910" i="13"/>
  <c r="L2910" i="13" s="1"/>
  <c r="I2911" i="13" s="1"/>
  <c r="M3100" i="14"/>
  <c r="J3096" i="13" a="1"/>
  <c r="J3096" i="13" s="1"/>
  <c r="N3097" i="13"/>
  <c r="M3099" i="13"/>
  <c r="N3096" i="14"/>
  <c r="J3095" i="14" a="1"/>
  <c r="J3095" i="14" s="1"/>
  <c r="K2911" i="13" l="1"/>
  <c r="L2911" i="13" s="1"/>
  <c r="I2912" i="13" s="1"/>
  <c r="K2933" i="14"/>
  <c r="L2933" i="14" s="1"/>
  <c r="I2934" i="14" s="1"/>
  <c r="J3097" i="13" a="1"/>
  <c r="J3097" i="13" s="1"/>
  <c r="N3098" i="13"/>
  <c r="J3096" i="14" a="1"/>
  <c r="J3096" i="14" s="1"/>
  <c r="N3097" i="14"/>
  <c r="M3100" i="13"/>
  <c r="M3101" i="14"/>
  <c r="K2934" i="14" l="1"/>
  <c r="L2934" i="14" s="1"/>
  <c r="I2935" i="14" s="1"/>
  <c r="K2912" i="13"/>
  <c r="L2912" i="13" s="1"/>
  <c r="I2913" i="13" s="1"/>
  <c r="J3097" i="14" a="1"/>
  <c r="J3097" i="14" s="1"/>
  <c r="N3098" i="14"/>
  <c r="N3099" i="13"/>
  <c r="J3098" i="13" a="1"/>
  <c r="J3098" i="13" s="1"/>
  <c r="M3102" i="14"/>
  <c r="M3101" i="13"/>
  <c r="K2913" i="13" l="1"/>
  <c r="L2913" i="13" s="1"/>
  <c r="I2914" i="13" s="1"/>
  <c r="K2935" i="14"/>
  <c r="L2935" i="14" s="1"/>
  <c r="I2936" i="14" s="1"/>
  <c r="J3099" i="13" a="1"/>
  <c r="J3099" i="13" s="1"/>
  <c r="N3100" i="13"/>
  <c r="M3103" i="14"/>
  <c r="M3102" i="13"/>
  <c r="N3099" i="14"/>
  <c r="J3098" i="14" a="1"/>
  <c r="J3098" i="14" s="1"/>
  <c r="K2914" i="13" l="1"/>
  <c r="L2914" i="13" s="1"/>
  <c r="I2915" i="13" s="1"/>
  <c r="K2936" i="14"/>
  <c r="L2936" i="14" s="1"/>
  <c r="I2937" i="14" s="1"/>
  <c r="N3100" i="14"/>
  <c r="J3099" i="14" a="1"/>
  <c r="J3099" i="14" s="1"/>
  <c r="M3104" i="14"/>
  <c r="J3100" i="13" a="1"/>
  <c r="J3100" i="13" s="1"/>
  <c r="N3101" i="13"/>
  <c r="M3103" i="13"/>
  <c r="K2915" i="13" l="1"/>
  <c r="L2915" i="13" s="1"/>
  <c r="I2916" i="13" s="1"/>
  <c r="M3104" i="13"/>
  <c r="M3105" i="14"/>
  <c r="K2937" i="14"/>
  <c r="L2937" i="14" s="1"/>
  <c r="I2938" i="14" s="1"/>
  <c r="J3101" i="13" a="1"/>
  <c r="J3101" i="13" s="1"/>
  <c r="N3102" i="13"/>
  <c r="J3100" i="14" a="1"/>
  <c r="J3100" i="14" s="1"/>
  <c r="N3101" i="14"/>
  <c r="K2916" i="13" l="1"/>
  <c r="L2916" i="13" s="1"/>
  <c r="I2917" i="13" s="1"/>
  <c r="K2938" i="14"/>
  <c r="L2938" i="14" s="1"/>
  <c r="I2939" i="14" s="1"/>
  <c r="J3101" i="14" a="1"/>
  <c r="J3101" i="14" s="1"/>
  <c r="N3102" i="14"/>
  <c r="M3105" i="13"/>
  <c r="N3103" i="13"/>
  <c r="J3102" i="13" a="1"/>
  <c r="J3102" i="13" s="1"/>
  <c r="M3106" i="14"/>
  <c r="K2917" i="13" l="1"/>
  <c r="L2917" i="13" s="1"/>
  <c r="I2918" i="13" s="1"/>
  <c r="M3106" i="13"/>
  <c r="K2939" i="14"/>
  <c r="L2939" i="14" s="1"/>
  <c r="I2940" i="14" s="1"/>
  <c r="N3103" i="14"/>
  <c r="J3102" i="14" a="1"/>
  <c r="J3102" i="14" s="1"/>
  <c r="M3107" i="14"/>
  <c r="J3103" i="13" a="1"/>
  <c r="J3103" i="13" s="1"/>
  <c r="N3104" i="13"/>
  <c r="K2940" i="14" l="1"/>
  <c r="L2940" i="14" s="1"/>
  <c r="I2941" i="14" s="1"/>
  <c r="K2918" i="13"/>
  <c r="L2918" i="13" s="1"/>
  <c r="I2919" i="13" s="1"/>
  <c r="N3104" i="14"/>
  <c r="J3103" i="14" a="1"/>
  <c r="J3103" i="14" s="1"/>
  <c r="M3107" i="13"/>
  <c r="J3104" i="13" a="1"/>
  <c r="J3104" i="13" s="1"/>
  <c r="N3105" i="13"/>
  <c r="M3108" i="14"/>
  <c r="K2919" i="13" l="1"/>
  <c r="L2919" i="13" s="1"/>
  <c r="I2920" i="13" s="1"/>
  <c r="K2941" i="14"/>
  <c r="L2941" i="14" s="1"/>
  <c r="I2942" i="14" s="1"/>
  <c r="M3109" i="14"/>
  <c r="M3108" i="13"/>
  <c r="J3105" i="13" a="1"/>
  <c r="J3105" i="13" s="1"/>
  <c r="N3106" i="13"/>
  <c r="J3104" i="14" a="1"/>
  <c r="J3104" i="14" s="1"/>
  <c r="N3105" i="14"/>
  <c r="K2942" i="14" l="1"/>
  <c r="L2942" i="14" s="1"/>
  <c r="I2943" i="14" s="1"/>
  <c r="K2920" i="13"/>
  <c r="L2920" i="13" s="1"/>
  <c r="I2921" i="13" s="1"/>
  <c r="N3107" i="13"/>
  <c r="J3106" i="13" a="1"/>
  <c r="J3106" i="13" s="1"/>
  <c r="J3105" i="14" a="1"/>
  <c r="J3105" i="14" s="1"/>
  <c r="N3106" i="14"/>
  <c r="M3109" i="13"/>
  <c r="M3110" i="14"/>
  <c r="K2943" i="14" l="1"/>
  <c r="L2943" i="14" s="1"/>
  <c r="I2944" i="14" s="1"/>
  <c r="N3107" i="14"/>
  <c r="J3106" i="14" a="1"/>
  <c r="J3106" i="14" s="1"/>
  <c r="K2921" i="13"/>
  <c r="L2921" i="13" s="1"/>
  <c r="I2922" i="13" s="1"/>
  <c r="M3111" i="14"/>
  <c r="M3110" i="13"/>
  <c r="J3107" i="13" a="1"/>
  <c r="J3107" i="13" s="1"/>
  <c r="N3108" i="13"/>
  <c r="K2922" i="13" l="1"/>
  <c r="L2922" i="13" s="1"/>
  <c r="I2923" i="13" s="1"/>
  <c r="K2944" i="14"/>
  <c r="L2944" i="14" s="1"/>
  <c r="I2945" i="14" s="1"/>
  <c r="J3108" i="13" a="1"/>
  <c r="J3108" i="13" s="1"/>
  <c r="N3109" i="13"/>
  <c r="M3112" i="14"/>
  <c r="N3108" i="14"/>
  <c r="J3107" i="14" a="1"/>
  <c r="J3107" i="14" s="1"/>
  <c r="M3111" i="13"/>
  <c r="K2923" i="13" l="1"/>
  <c r="L2923" i="13" s="1"/>
  <c r="I2924" i="13" s="1"/>
  <c r="K2945" i="14"/>
  <c r="L2945" i="14" s="1"/>
  <c r="I2946" i="14" s="1"/>
  <c r="J3109" i="13" a="1"/>
  <c r="J3109" i="13" s="1"/>
  <c r="N3110" i="13"/>
  <c r="M3112" i="13"/>
  <c r="M3113" i="14"/>
  <c r="J3108" i="14" a="1"/>
  <c r="J3108" i="14" s="1"/>
  <c r="N3109" i="14"/>
  <c r="K2946" i="14" l="1"/>
  <c r="L2946" i="14" s="1"/>
  <c r="I2947" i="14" s="1"/>
  <c r="K2924" i="13"/>
  <c r="L2924" i="13" s="1"/>
  <c r="I2925" i="13" s="1"/>
  <c r="N3111" i="13"/>
  <c r="J3110" i="13" a="1"/>
  <c r="J3110" i="13" s="1"/>
  <c r="J3109" i="14" a="1"/>
  <c r="J3109" i="14" s="1"/>
  <c r="N3110" i="14"/>
  <c r="M3113" i="13"/>
  <c r="M3114" i="14"/>
  <c r="K2947" i="14" l="1"/>
  <c r="L2947" i="14" s="1"/>
  <c r="I2948" i="14" s="1"/>
  <c r="N3111" i="14"/>
  <c r="J3110" i="14" a="1"/>
  <c r="J3110" i="14" s="1"/>
  <c r="K2925" i="13"/>
  <c r="L2925" i="13" s="1"/>
  <c r="I2926" i="13" s="1"/>
  <c r="M3115" i="14"/>
  <c r="M3114" i="13"/>
  <c r="J3111" i="13" a="1"/>
  <c r="J3111" i="13" s="1"/>
  <c r="N3112" i="13"/>
  <c r="K2926" i="13" l="1"/>
  <c r="L2926" i="13" s="1"/>
  <c r="I2927" i="13" s="1"/>
  <c r="K2948" i="14"/>
  <c r="L2948" i="14" s="1"/>
  <c r="I2949" i="14" s="1"/>
  <c r="N3112" i="14"/>
  <c r="J3111" i="14" a="1"/>
  <c r="J3111" i="14" s="1"/>
  <c r="J3112" i="13" a="1"/>
  <c r="J3112" i="13" s="1"/>
  <c r="N3113" i="13"/>
  <c r="M3116" i="14"/>
  <c r="M3115" i="13"/>
  <c r="K2949" i="14" l="1"/>
  <c r="L2949" i="14" s="1"/>
  <c r="I2950" i="14" s="1"/>
  <c r="K2927" i="13"/>
  <c r="L2927" i="13" s="1"/>
  <c r="I2928" i="13" s="1"/>
  <c r="J3113" i="13" a="1"/>
  <c r="J3113" i="13" s="1"/>
  <c r="N3114" i="13"/>
  <c r="M3116" i="13"/>
  <c r="M3117" i="14"/>
  <c r="J3112" i="14" a="1"/>
  <c r="J3112" i="14" s="1"/>
  <c r="N3113" i="14"/>
  <c r="K2928" i="13" l="1"/>
  <c r="L2928" i="13" s="1"/>
  <c r="I2929" i="13" s="1"/>
  <c r="K2950" i="14"/>
  <c r="L2950" i="14" s="1"/>
  <c r="I2951" i="14" s="1"/>
  <c r="J3113" i="14" a="1"/>
  <c r="J3113" i="14" s="1"/>
  <c r="N3114" i="14"/>
  <c r="M3117" i="13"/>
  <c r="N3115" i="13"/>
  <c r="J3114" i="13" a="1"/>
  <c r="J3114" i="13" s="1"/>
  <c r="M3118" i="14"/>
  <c r="K2951" i="14" l="1"/>
  <c r="L2951" i="14" s="1"/>
  <c r="I2952" i="14" s="1"/>
  <c r="K2929" i="13"/>
  <c r="L2929" i="13" s="1"/>
  <c r="I2930" i="13" s="1"/>
  <c r="M3119" i="14"/>
  <c r="M3118" i="13"/>
  <c r="N3115" i="14"/>
  <c r="J3114" i="14" a="1"/>
  <c r="J3114" i="14" s="1"/>
  <c r="J3115" i="13" a="1"/>
  <c r="J3115" i="13" s="1"/>
  <c r="N3116" i="13"/>
  <c r="K2930" i="13" l="1"/>
  <c r="L2930" i="13" s="1"/>
  <c r="I2931" i="13" s="1"/>
  <c r="K2952" i="14"/>
  <c r="L2952" i="14" s="1"/>
  <c r="I2953" i="14" s="1"/>
  <c r="J3116" i="13" a="1"/>
  <c r="J3116" i="13" s="1"/>
  <c r="N3117" i="13"/>
  <c r="M3119" i="13"/>
  <c r="N3116" i="14"/>
  <c r="J3115" i="14" a="1"/>
  <c r="J3115" i="14" s="1"/>
  <c r="M3120" i="14"/>
  <c r="K2953" i="14" l="1"/>
  <c r="L2953" i="14" s="1"/>
  <c r="I2954" i="14" s="1"/>
  <c r="K2931" i="13"/>
  <c r="L2931" i="13" s="1"/>
  <c r="I2932" i="13" s="1"/>
  <c r="M3121" i="14"/>
  <c r="M3120" i="13"/>
  <c r="J3117" i="13" a="1"/>
  <c r="J3117" i="13" s="1"/>
  <c r="N3118" i="13"/>
  <c r="J3116" i="14" a="1"/>
  <c r="J3116" i="14" s="1"/>
  <c r="N3117" i="14"/>
  <c r="K2932" i="13" l="1"/>
  <c r="L2932" i="13" s="1"/>
  <c r="I2933" i="13" s="1"/>
  <c r="M3121" i="13"/>
  <c r="J3117" i="14" a="1"/>
  <c r="J3117" i="14" s="1"/>
  <c r="N3118" i="14"/>
  <c r="N3119" i="13"/>
  <c r="J3118" i="13" a="1"/>
  <c r="J3118" i="13" s="1"/>
  <c r="M3122" i="14"/>
  <c r="K2954" i="14"/>
  <c r="L2954" i="14" s="1"/>
  <c r="I2955" i="14" s="1"/>
  <c r="K2955" i="14" l="1"/>
  <c r="L2955" i="14" s="1"/>
  <c r="I2956" i="14" s="1"/>
  <c r="K2933" i="13"/>
  <c r="L2933" i="13" s="1"/>
  <c r="I2934" i="13" s="1"/>
  <c r="M3122" i="13"/>
  <c r="J3119" i="13" a="1"/>
  <c r="J3119" i="13" s="1"/>
  <c r="N3120" i="13"/>
  <c r="N3119" i="14"/>
  <c r="J3118" i="14" a="1"/>
  <c r="J3118" i="14" s="1"/>
  <c r="M3123" i="14"/>
  <c r="K2956" i="14" l="1"/>
  <c r="L2956" i="14" s="1"/>
  <c r="I2957" i="14" s="1"/>
  <c r="J3120" i="13" a="1"/>
  <c r="J3120" i="13" s="1"/>
  <c r="N3121" i="13"/>
  <c r="M3124" i="14"/>
  <c r="K2934" i="13"/>
  <c r="L2934" i="13" s="1"/>
  <c r="I2935" i="13" s="1"/>
  <c r="N3120" i="14"/>
  <c r="J3119" i="14" a="1"/>
  <c r="J3119" i="14" s="1"/>
  <c r="M3123" i="13"/>
  <c r="K2935" i="13" l="1"/>
  <c r="L2935" i="13" s="1"/>
  <c r="I2936" i="13" s="1"/>
  <c r="K2957" i="14"/>
  <c r="L2957" i="14" s="1"/>
  <c r="I2958" i="14" s="1"/>
  <c r="J3121" i="13" a="1"/>
  <c r="J3121" i="13" s="1"/>
  <c r="N3122" i="13"/>
  <c r="M3124" i="13"/>
  <c r="J3120" i="14" a="1"/>
  <c r="J3120" i="14" s="1"/>
  <c r="N3121" i="14"/>
  <c r="M3125" i="14"/>
  <c r="K2958" i="14" l="1"/>
  <c r="L2958" i="14" s="1"/>
  <c r="I2959" i="14" s="1"/>
  <c r="K2936" i="13"/>
  <c r="L2936" i="13" s="1"/>
  <c r="I2937" i="13" s="1"/>
  <c r="M3126" i="14"/>
  <c r="M3125" i="13"/>
  <c r="N3123" i="13"/>
  <c r="J3122" i="13" a="1"/>
  <c r="J3122" i="13" s="1"/>
  <c r="J3121" i="14" a="1"/>
  <c r="J3121" i="14" s="1"/>
  <c r="N3122" i="14"/>
  <c r="K2937" i="13" l="1"/>
  <c r="L2937" i="13" s="1"/>
  <c r="I2938" i="13" s="1"/>
  <c r="K2959" i="14"/>
  <c r="L2959" i="14" s="1"/>
  <c r="I2960" i="14" s="1"/>
  <c r="M3126" i="13"/>
  <c r="M3127" i="14"/>
  <c r="N3123" i="14"/>
  <c r="J3122" i="14" a="1"/>
  <c r="J3122" i="14" s="1"/>
  <c r="J3123" i="13" a="1"/>
  <c r="J3123" i="13" s="1"/>
  <c r="N3124" i="13"/>
  <c r="K2960" i="14" l="1"/>
  <c r="L2960" i="14" s="1"/>
  <c r="I2961" i="14" s="1"/>
  <c r="K2938" i="13"/>
  <c r="L2938" i="13" s="1"/>
  <c r="I2939" i="13" s="1"/>
  <c r="M3128" i="14"/>
  <c r="J3124" i="13" a="1"/>
  <c r="J3124" i="13" s="1"/>
  <c r="N3125" i="13"/>
  <c r="N3124" i="14"/>
  <c r="J3123" i="14" a="1"/>
  <c r="J3123" i="14" s="1"/>
  <c r="M3127" i="13"/>
  <c r="K2939" i="13" l="1"/>
  <c r="L2939" i="13" s="1"/>
  <c r="I2940" i="13" s="1"/>
  <c r="K2961" i="14"/>
  <c r="L2961" i="14" s="1"/>
  <c r="I2962" i="14" s="1"/>
  <c r="J3125" i="13" a="1"/>
  <c r="J3125" i="13" s="1"/>
  <c r="N3126" i="13"/>
  <c r="M3128" i="13"/>
  <c r="J3124" i="14" a="1"/>
  <c r="J3124" i="14" s="1"/>
  <c r="N3125" i="14"/>
  <c r="M3129" i="14"/>
  <c r="K2962" i="14" l="1"/>
  <c r="L2962" i="14" s="1"/>
  <c r="I2963" i="14" s="1"/>
  <c r="K2940" i="13"/>
  <c r="L2940" i="13" s="1"/>
  <c r="I2941" i="13" s="1"/>
  <c r="J3125" i="14" a="1"/>
  <c r="J3125" i="14" s="1"/>
  <c r="N3126" i="14"/>
  <c r="M3130" i="14"/>
  <c r="M3129" i="13"/>
  <c r="N3127" i="13"/>
  <c r="J3126" i="13" a="1"/>
  <c r="J3126" i="13" s="1"/>
  <c r="K2941" i="13" l="1"/>
  <c r="L2941" i="13" s="1"/>
  <c r="I2942" i="13" s="1"/>
  <c r="K2963" i="14"/>
  <c r="L2963" i="14" s="1"/>
  <c r="I2964" i="14" s="1"/>
  <c r="M3131" i="14"/>
  <c r="J3127" i="13" a="1"/>
  <c r="J3127" i="13" s="1"/>
  <c r="N3128" i="13"/>
  <c r="M3130" i="13"/>
  <c r="N3127" i="14"/>
  <c r="J3126" i="14" a="1"/>
  <c r="J3126" i="14" s="1"/>
  <c r="K2964" i="14" l="1"/>
  <c r="L2964" i="14" s="1"/>
  <c r="I2965" i="14" s="1"/>
  <c r="K2942" i="13"/>
  <c r="L2942" i="13" s="1"/>
  <c r="I2943" i="13" s="1"/>
  <c r="J3128" i="13" a="1"/>
  <c r="J3128" i="13" s="1"/>
  <c r="N3129" i="13"/>
  <c r="N3128" i="14"/>
  <c r="J3127" i="14" a="1"/>
  <c r="J3127" i="14" s="1"/>
  <c r="M3131" i="13"/>
  <c r="M3132" i="14"/>
  <c r="K2943" i="13" l="1"/>
  <c r="L2943" i="13" s="1"/>
  <c r="I2944" i="13" s="1"/>
  <c r="K2965" i="14"/>
  <c r="L2965" i="14" s="1"/>
  <c r="I2966" i="14" s="1"/>
  <c r="J3128" i="14" a="1"/>
  <c r="J3128" i="14" s="1"/>
  <c r="N3129" i="14"/>
  <c r="J3129" i="13" a="1"/>
  <c r="J3129" i="13" s="1"/>
  <c r="N3130" i="13"/>
  <c r="M3133" i="14"/>
  <c r="M3132" i="13"/>
  <c r="K2966" i="14" l="1"/>
  <c r="L2966" i="14" s="1"/>
  <c r="I2967" i="14" s="1"/>
  <c r="K2944" i="13"/>
  <c r="L2944" i="13" s="1"/>
  <c r="I2945" i="13" s="1"/>
  <c r="M3133" i="13"/>
  <c r="N3131" i="13"/>
  <c r="J3130" i="13" a="1"/>
  <c r="J3130" i="13" s="1"/>
  <c r="J3129" i="14" a="1"/>
  <c r="J3129" i="14" s="1"/>
  <c r="N3130" i="14"/>
  <c r="M3134" i="14"/>
  <c r="K2945" i="13" l="1"/>
  <c r="L2945" i="13" s="1"/>
  <c r="I2946" i="13" s="1"/>
  <c r="K2967" i="14"/>
  <c r="L2967" i="14" s="1"/>
  <c r="I2968" i="14" s="1"/>
  <c r="J3131" i="13" a="1"/>
  <c r="J3131" i="13" s="1"/>
  <c r="N3132" i="13"/>
  <c r="N3131" i="14"/>
  <c r="J3130" i="14" a="1"/>
  <c r="J3130" i="14" s="1"/>
  <c r="M3134" i="13"/>
  <c r="M3135" i="14"/>
  <c r="K2968" i="14" l="1"/>
  <c r="L2968" i="14" s="1"/>
  <c r="I2969" i="14" s="1"/>
  <c r="K2946" i="13"/>
  <c r="L2946" i="13" s="1"/>
  <c r="I2947" i="13" s="1"/>
  <c r="N3132" i="14"/>
  <c r="J3131" i="14" a="1"/>
  <c r="J3131" i="14" s="1"/>
  <c r="J3132" i="13" a="1"/>
  <c r="J3132" i="13" s="1"/>
  <c r="N3133" i="13"/>
  <c r="M3136" i="14"/>
  <c r="M3135" i="13"/>
  <c r="K2947" i="13" l="1"/>
  <c r="L2947" i="13" s="1"/>
  <c r="I2948" i="13" s="1"/>
  <c r="K2969" i="14"/>
  <c r="L2969" i="14" s="1"/>
  <c r="I2970" i="14" s="1"/>
  <c r="J3133" i="13" a="1"/>
  <c r="J3133" i="13" s="1"/>
  <c r="N3134" i="13"/>
  <c r="M3136" i="13"/>
  <c r="M3137" i="14"/>
  <c r="J3132" i="14" a="1"/>
  <c r="J3132" i="14" s="1"/>
  <c r="N3133" i="14"/>
  <c r="K2970" i="14" l="1"/>
  <c r="L2970" i="14" s="1"/>
  <c r="I2971" i="14" s="1"/>
  <c r="K2948" i="13"/>
  <c r="L2948" i="13" s="1"/>
  <c r="I2949" i="13" s="1"/>
  <c r="J3133" i="14" a="1"/>
  <c r="J3133" i="14" s="1"/>
  <c r="N3134" i="14"/>
  <c r="M3137" i="13"/>
  <c r="M3138" i="14"/>
  <c r="N3135" i="13"/>
  <c r="J3134" i="13" a="1"/>
  <c r="J3134" i="13" s="1"/>
  <c r="K2949" i="13" l="1"/>
  <c r="L2949" i="13" s="1"/>
  <c r="I2950" i="13" s="1"/>
  <c r="K2971" i="14"/>
  <c r="L2971" i="14" s="1"/>
  <c r="I2972" i="14" s="1"/>
  <c r="M3138" i="13"/>
  <c r="M3139" i="14"/>
  <c r="J3135" i="13" a="1"/>
  <c r="J3135" i="13" s="1"/>
  <c r="N3136" i="13"/>
  <c r="N3135" i="14"/>
  <c r="J3134" i="14" a="1"/>
  <c r="J3134" i="14" s="1"/>
  <c r="K2972" i="14" l="1"/>
  <c r="L2972" i="14" s="1"/>
  <c r="I2973" i="14" s="1"/>
  <c r="K2950" i="13"/>
  <c r="L2950" i="13" s="1"/>
  <c r="I2951" i="13" s="1"/>
  <c r="N3136" i="14"/>
  <c r="J3135" i="14" a="1"/>
  <c r="J3135" i="14" s="1"/>
  <c r="M3140" i="14"/>
  <c r="J3136" i="13" a="1"/>
  <c r="J3136" i="13" s="1"/>
  <c r="N3137" i="13"/>
  <c r="M3139" i="13"/>
  <c r="K2951" i="13" l="1"/>
  <c r="L2951" i="13" s="1"/>
  <c r="I2952" i="13" s="1"/>
  <c r="K2973" i="14"/>
  <c r="L2973" i="14" s="1"/>
  <c r="I2974" i="14" s="1"/>
  <c r="J3137" i="13" a="1"/>
  <c r="J3137" i="13" s="1"/>
  <c r="N3138" i="13"/>
  <c r="M3140" i="13"/>
  <c r="M3141" i="14"/>
  <c r="J3136" i="14" a="1"/>
  <c r="J3136" i="14" s="1"/>
  <c r="N3137" i="14"/>
  <c r="K2974" i="14" l="1"/>
  <c r="L2974" i="14" s="1"/>
  <c r="I2975" i="14" s="1"/>
  <c r="K2952" i="13"/>
  <c r="L2952" i="13" s="1"/>
  <c r="I2953" i="13" s="1"/>
  <c r="M3141" i="13"/>
  <c r="N3139" i="13"/>
  <c r="J3138" i="13" a="1"/>
  <c r="J3138" i="13" s="1"/>
  <c r="J3137" i="14" a="1"/>
  <c r="J3137" i="14" s="1"/>
  <c r="N3138" i="14"/>
  <c r="M3142" i="14"/>
  <c r="K2953" i="13" l="1"/>
  <c r="L2953" i="13" s="1"/>
  <c r="I2954" i="13" s="1"/>
  <c r="K2975" i="14"/>
  <c r="L2975" i="14" s="1"/>
  <c r="I2976" i="14" s="1"/>
  <c r="J3139" i="13" a="1"/>
  <c r="J3139" i="13" s="1"/>
  <c r="N3140" i="13"/>
  <c r="N3139" i="14"/>
  <c r="J3138" i="14" a="1"/>
  <c r="J3138" i="14" s="1"/>
  <c r="M3142" i="13"/>
  <c r="M3143" i="14"/>
  <c r="K2976" i="14" l="1"/>
  <c r="L2976" i="14" s="1"/>
  <c r="I2977" i="14" s="1"/>
  <c r="K2954" i="13"/>
  <c r="L2954" i="13" s="1"/>
  <c r="I2955" i="13" s="1"/>
  <c r="N3140" i="14"/>
  <c r="J3139" i="14" a="1"/>
  <c r="J3139" i="14" s="1"/>
  <c r="J3140" i="13" a="1"/>
  <c r="J3140" i="13" s="1"/>
  <c r="N3141" i="13"/>
  <c r="M3144" i="14"/>
  <c r="M3143" i="13"/>
  <c r="K2955" i="13" l="1"/>
  <c r="L2955" i="13" s="1"/>
  <c r="I2956" i="13" s="1"/>
  <c r="K2977" i="14"/>
  <c r="L2977" i="14" s="1"/>
  <c r="I2978" i="14" s="1"/>
  <c r="J3141" i="13" a="1"/>
  <c r="J3141" i="13" s="1"/>
  <c r="N3142" i="13"/>
  <c r="M3144" i="13"/>
  <c r="M3145" i="14"/>
  <c r="J3140" i="14" a="1"/>
  <c r="J3140" i="14" s="1"/>
  <c r="N3141" i="14"/>
  <c r="K2956" i="13" l="1"/>
  <c r="L2956" i="13" s="1"/>
  <c r="I2957" i="13" s="1"/>
  <c r="J3141" i="14" a="1"/>
  <c r="J3141" i="14" s="1"/>
  <c r="N3142" i="14"/>
  <c r="K2978" i="14"/>
  <c r="L2978" i="14" s="1"/>
  <c r="I2979" i="14" s="1"/>
  <c r="M3145" i="13"/>
  <c r="N3143" i="13"/>
  <c r="J3142" i="13" a="1"/>
  <c r="J3142" i="13" s="1"/>
  <c r="M3146" i="14"/>
  <c r="K2979" i="14" l="1"/>
  <c r="L2979" i="14" s="1"/>
  <c r="I2980" i="14" s="1"/>
  <c r="K2957" i="13"/>
  <c r="L2957" i="13" s="1"/>
  <c r="I2958" i="13" s="1"/>
  <c r="M3147" i="14"/>
  <c r="M3146" i="13"/>
  <c r="N3143" i="14"/>
  <c r="J3142" i="14" a="1"/>
  <c r="J3142" i="14" s="1"/>
  <c r="J3143" i="13" a="1"/>
  <c r="J3143" i="13" s="1"/>
  <c r="N3144" i="13"/>
  <c r="K2958" i="13" l="1"/>
  <c r="L2958" i="13" s="1"/>
  <c r="I2959" i="13" s="1"/>
  <c r="K2980" i="14"/>
  <c r="L2980" i="14" s="1"/>
  <c r="I2981" i="14" s="1"/>
  <c r="M3147" i="13"/>
  <c r="J3144" i="13" a="1"/>
  <c r="J3144" i="13" s="1"/>
  <c r="N3145" i="13"/>
  <c r="N3144" i="14"/>
  <c r="J3143" i="14" a="1"/>
  <c r="J3143" i="14" s="1"/>
  <c r="M3148" i="14"/>
  <c r="K2959" i="13" l="1"/>
  <c r="L2959" i="13" s="1"/>
  <c r="I2960" i="13" s="1"/>
  <c r="J3145" i="13" a="1"/>
  <c r="J3145" i="13" s="1"/>
  <c r="N3146" i="13"/>
  <c r="M3149" i="14"/>
  <c r="K2981" i="14"/>
  <c r="L2981" i="14" s="1"/>
  <c r="I2982" i="14" s="1"/>
  <c r="J3144" i="14" a="1"/>
  <c r="J3144" i="14" s="1"/>
  <c r="N3145" i="14"/>
  <c r="M3148" i="13"/>
  <c r="K2982" i="14" l="1"/>
  <c r="L2982" i="14" s="1"/>
  <c r="I2983" i="14" s="1"/>
  <c r="K2960" i="13"/>
  <c r="L2960" i="13" s="1"/>
  <c r="I2961" i="13" s="1"/>
  <c r="N3147" i="13"/>
  <c r="J3146" i="13" a="1"/>
  <c r="J3146" i="13" s="1"/>
  <c r="M3149" i="13"/>
  <c r="J3145" i="14" a="1"/>
  <c r="J3145" i="14" s="1"/>
  <c r="N3146" i="14"/>
  <c r="M3150" i="14"/>
  <c r="K2961" i="13" l="1"/>
  <c r="L2961" i="13" s="1"/>
  <c r="I2962" i="13" s="1"/>
  <c r="K2983" i="14"/>
  <c r="L2983" i="14" s="1"/>
  <c r="I2984" i="14" s="1"/>
  <c r="N3147" i="14"/>
  <c r="J3146" i="14" a="1"/>
  <c r="J3146" i="14" s="1"/>
  <c r="M3150" i="13"/>
  <c r="M3151" i="14"/>
  <c r="J3147" i="13" a="1"/>
  <c r="J3147" i="13" s="1"/>
  <c r="N3148" i="13"/>
  <c r="K2984" i="14" l="1"/>
  <c r="L2984" i="14" s="1"/>
  <c r="I2985" i="14" s="1"/>
  <c r="K2962" i="13"/>
  <c r="L2962" i="13" s="1"/>
  <c r="I2963" i="13" s="1"/>
  <c r="J3148" i="13" a="1"/>
  <c r="J3148" i="13" s="1"/>
  <c r="N3149" i="13"/>
  <c r="M3151" i="13"/>
  <c r="M3152" i="14"/>
  <c r="N3148" i="14"/>
  <c r="J3147" i="14" a="1"/>
  <c r="J3147" i="14" s="1"/>
  <c r="K2963" i="13" l="1"/>
  <c r="L2963" i="13" s="1"/>
  <c r="I2964" i="13" s="1"/>
  <c r="K2985" i="14"/>
  <c r="L2985" i="14" s="1"/>
  <c r="I2986" i="14" s="1"/>
  <c r="J3148" i="14" a="1"/>
  <c r="J3148" i="14" s="1"/>
  <c r="N3149" i="14"/>
  <c r="M3152" i="13"/>
  <c r="J3149" i="13" a="1"/>
  <c r="J3149" i="13" s="1"/>
  <c r="N3150" i="13"/>
  <c r="M3153" i="14"/>
  <c r="K2986" i="14" l="1"/>
  <c r="L2986" i="14" s="1"/>
  <c r="I2987" i="14" s="1"/>
  <c r="K2964" i="13"/>
  <c r="L2964" i="13" s="1"/>
  <c r="I2965" i="13" s="1"/>
  <c r="M3154" i="14"/>
  <c r="M3153" i="13"/>
  <c r="N3151" i="13"/>
  <c r="J3150" i="13" a="1"/>
  <c r="J3150" i="13" s="1"/>
  <c r="J3149" i="14" a="1"/>
  <c r="J3149" i="14" s="1"/>
  <c r="N3150" i="14"/>
  <c r="K2965" i="13" l="1"/>
  <c r="L2965" i="13" s="1"/>
  <c r="I2966" i="13" s="1"/>
  <c r="K2987" i="14"/>
  <c r="L2987" i="14" s="1"/>
  <c r="I2988" i="14" s="1"/>
  <c r="N3151" i="14"/>
  <c r="J3150" i="14" a="1"/>
  <c r="J3150" i="14" s="1"/>
  <c r="M3154" i="13"/>
  <c r="M3155" i="14"/>
  <c r="J3151" i="13" a="1"/>
  <c r="J3151" i="13" s="1"/>
  <c r="N3152" i="13"/>
  <c r="K2988" i="14" l="1"/>
  <c r="L2988" i="14" s="1"/>
  <c r="I2989" i="14" s="1"/>
  <c r="K2966" i="13"/>
  <c r="L2966" i="13" s="1"/>
  <c r="I2967" i="13" s="1"/>
  <c r="J3152" i="13" a="1"/>
  <c r="J3152" i="13" s="1"/>
  <c r="N3153" i="13"/>
  <c r="M3155" i="13"/>
  <c r="M3156" i="14"/>
  <c r="N3152" i="14"/>
  <c r="J3151" i="14" a="1"/>
  <c r="J3151" i="14" s="1"/>
  <c r="K2967" i="13" l="1"/>
  <c r="L2967" i="13" s="1"/>
  <c r="I2968" i="13" s="1"/>
  <c r="K2989" i="14"/>
  <c r="L2989" i="14" s="1"/>
  <c r="I2990" i="14" s="1"/>
  <c r="J3153" i="13" a="1"/>
  <c r="J3153" i="13" s="1"/>
  <c r="N3154" i="13"/>
  <c r="J3152" i="14" a="1"/>
  <c r="J3152" i="14" s="1"/>
  <c r="N3153" i="14"/>
  <c r="M3156" i="13"/>
  <c r="M3157" i="14"/>
  <c r="K2990" i="14" l="1"/>
  <c r="L2990" i="14" s="1"/>
  <c r="I2991" i="14" s="1"/>
  <c r="K2968" i="13"/>
  <c r="L2968" i="13" s="1"/>
  <c r="I2969" i="13" s="1"/>
  <c r="M3158" i="14"/>
  <c r="J3153" i="14" a="1"/>
  <c r="J3153" i="14" s="1"/>
  <c r="N3154" i="14"/>
  <c r="N3155" i="13"/>
  <c r="J3154" i="13" a="1"/>
  <c r="J3154" i="13" s="1"/>
  <c r="M3157" i="13"/>
  <c r="K2969" i="13" l="1"/>
  <c r="L2969" i="13" s="1"/>
  <c r="I2970" i="13" s="1"/>
  <c r="K2991" i="14"/>
  <c r="L2991" i="14" s="1"/>
  <c r="I2992" i="14" s="1"/>
  <c r="M3158" i="13"/>
  <c r="M3159" i="14"/>
  <c r="N3155" i="14"/>
  <c r="J3154" i="14" a="1"/>
  <c r="J3154" i="14" s="1"/>
  <c r="J3155" i="13" a="1"/>
  <c r="J3155" i="13" s="1"/>
  <c r="N3156" i="13"/>
  <c r="K2992" i="14" l="1"/>
  <c r="L2992" i="14" s="1"/>
  <c r="I2993" i="14" s="1"/>
  <c r="K2970" i="13"/>
  <c r="L2970" i="13" s="1"/>
  <c r="I2971" i="13" s="1"/>
  <c r="J3156" i="13" a="1"/>
  <c r="J3156" i="13" s="1"/>
  <c r="N3157" i="13"/>
  <c r="M3160" i="14"/>
  <c r="N3156" i="14"/>
  <c r="J3155" i="14" a="1"/>
  <c r="J3155" i="14" s="1"/>
  <c r="M3159" i="13"/>
  <c r="K2971" i="13" l="1"/>
  <c r="L2971" i="13" s="1"/>
  <c r="I2972" i="13" s="1"/>
  <c r="K2993" i="14"/>
  <c r="L2993" i="14" s="1"/>
  <c r="I2994" i="14" s="1"/>
  <c r="M3160" i="13"/>
  <c r="M3161" i="14"/>
  <c r="J3157" i="13" a="1"/>
  <c r="J3157" i="13" s="1"/>
  <c r="N3158" i="13"/>
  <c r="J3156" i="14" a="1"/>
  <c r="J3156" i="14" s="1"/>
  <c r="N3157" i="14"/>
  <c r="K2994" i="14" l="1"/>
  <c r="L2994" i="14" s="1"/>
  <c r="I2995" i="14" s="1"/>
  <c r="K2972" i="13"/>
  <c r="L2972" i="13" s="1"/>
  <c r="I2973" i="13" s="1"/>
  <c r="J3157" i="14" a="1"/>
  <c r="J3157" i="14" s="1"/>
  <c r="N3158" i="14"/>
  <c r="M3162" i="14"/>
  <c r="N3159" i="13"/>
  <c r="J3158" i="13" a="1"/>
  <c r="J3158" i="13" s="1"/>
  <c r="M3161" i="13"/>
  <c r="K2973" i="13" l="1"/>
  <c r="L2973" i="13" s="1"/>
  <c r="I2974" i="13" s="1"/>
  <c r="K2995" i="14"/>
  <c r="L2995" i="14" s="1"/>
  <c r="I2996" i="14" s="1"/>
  <c r="M3162" i="13"/>
  <c r="M3163" i="14"/>
  <c r="N3159" i="14"/>
  <c r="J3158" i="14" a="1"/>
  <c r="J3158" i="14" s="1"/>
  <c r="J3159" i="13" a="1"/>
  <c r="J3159" i="13" s="1"/>
  <c r="N3160" i="13"/>
  <c r="K2996" i="14" l="1"/>
  <c r="L2996" i="14" s="1"/>
  <c r="I2997" i="14" s="1"/>
  <c r="K2974" i="13"/>
  <c r="L2974" i="13" s="1"/>
  <c r="I2975" i="13" s="1"/>
  <c r="J3160" i="13" a="1"/>
  <c r="J3160" i="13" s="1"/>
  <c r="N3161" i="13"/>
  <c r="M3164" i="14"/>
  <c r="N3160" i="14"/>
  <c r="J3159" i="14" a="1"/>
  <c r="J3159" i="14" s="1"/>
  <c r="M3163" i="13"/>
  <c r="K2997" i="14" l="1"/>
  <c r="L2997" i="14" s="1"/>
  <c r="I2998" i="14" s="1"/>
  <c r="J3160" i="14" a="1"/>
  <c r="J3160" i="14" s="1"/>
  <c r="N3161" i="14"/>
  <c r="M3164" i="13"/>
  <c r="M3165" i="14"/>
  <c r="K2975" i="13"/>
  <c r="L2975" i="13" s="1"/>
  <c r="I2976" i="13" s="1"/>
  <c r="J3161" i="13" a="1"/>
  <c r="J3161" i="13" s="1"/>
  <c r="N3162" i="13"/>
  <c r="K2976" i="13" l="1"/>
  <c r="L2976" i="13" s="1"/>
  <c r="I2977" i="13" s="1"/>
  <c r="K2998" i="14"/>
  <c r="L2998" i="14" s="1"/>
  <c r="I2999" i="14" s="1"/>
  <c r="N3163" i="13"/>
  <c r="J3162" i="13" a="1"/>
  <c r="J3162" i="13" s="1"/>
  <c r="J3161" i="14" a="1"/>
  <c r="J3161" i="14" s="1"/>
  <c r="N3162" i="14"/>
  <c r="M3166" i="14"/>
  <c r="M3165" i="13"/>
  <c r="K2999" i="14" l="1"/>
  <c r="L2999" i="14" s="1"/>
  <c r="I3000" i="14" s="1"/>
  <c r="K2977" i="13"/>
  <c r="L2977" i="13" s="1"/>
  <c r="I2978" i="13" s="1"/>
  <c r="N3163" i="14"/>
  <c r="J3162" i="14" a="1"/>
  <c r="J3162" i="14" s="1"/>
  <c r="M3166" i="13"/>
  <c r="M3167" i="14"/>
  <c r="J3163" i="13" a="1"/>
  <c r="J3163" i="13" s="1"/>
  <c r="N3164" i="13"/>
  <c r="K2978" i="13" l="1"/>
  <c r="L2978" i="13" s="1"/>
  <c r="I2979" i="13" s="1"/>
  <c r="K3000" i="14"/>
  <c r="L3000" i="14" s="1"/>
  <c r="I3001" i="14" s="1"/>
  <c r="J3164" i="13" a="1"/>
  <c r="J3164" i="13" s="1"/>
  <c r="N3165" i="13"/>
  <c r="M3167" i="13"/>
  <c r="M3168" i="14"/>
  <c r="N3164" i="14"/>
  <c r="J3163" i="14" a="1"/>
  <c r="J3163" i="14" s="1"/>
  <c r="K3001" i="14" l="1"/>
  <c r="L3001" i="14" s="1"/>
  <c r="I3002" i="14" s="1"/>
  <c r="K2979" i="13"/>
  <c r="L2979" i="13" s="1"/>
  <c r="I2980" i="13" s="1"/>
  <c r="J3164" i="14" a="1"/>
  <c r="J3164" i="14" s="1"/>
  <c r="N3165" i="14"/>
  <c r="M3168" i="13"/>
  <c r="J3165" i="13" a="1"/>
  <c r="J3165" i="13" s="1"/>
  <c r="N3166" i="13"/>
  <c r="M3169" i="14"/>
  <c r="K2980" i="13" l="1"/>
  <c r="L2980" i="13" s="1"/>
  <c r="I2981" i="13" s="1"/>
  <c r="K3002" i="14"/>
  <c r="L3002" i="14" s="1"/>
  <c r="I3003" i="14" s="1"/>
  <c r="M3170" i="14"/>
  <c r="M3169" i="13"/>
  <c r="N3167" i="13"/>
  <c r="J3166" i="13" a="1"/>
  <c r="J3166" i="13" s="1"/>
  <c r="J3165" i="14" a="1"/>
  <c r="J3165" i="14" s="1"/>
  <c r="N3166" i="14"/>
  <c r="K3003" i="14" l="1"/>
  <c r="L3003" i="14" s="1"/>
  <c r="I3004" i="14" s="1"/>
  <c r="K2981" i="13"/>
  <c r="L2981" i="13" s="1"/>
  <c r="I2982" i="13" s="1"/>
  <c r="M3170" i="13"/>
  <c r="M3171" i="14"/>
  <c r="N3167" i="14"/>
  <c r="J3166" i="14" a="1"/>
  <c r="J3166" i="14" s="1"/>
  <c r="J3167" i="13" a="1"/>
  <c r="J3167" i="13" s="1"/>
  <c r="N3168" i="13"/>
  <c r="K2982" i="13" l="1"/>
  <c r="L2982" i="13" s="1"/>
  <c r="I2983" i="13" s="1"/>
  <c r="K3004" i="14"/>
  <c r="L3004" i="14" s="1"/>
  <c r="I3005" i="14" s="1"/>
  <c r="J3168" i="13" a="1"/>
  <c r="J3168" i="13" s="1"/>
  <c r="N3169" i="13"/>
  <c r="M3172" i="14"/>
  <c r="N3168" i="14"/>
  <c r="J3167" i="14" a="1"/>
  <c r="J3167" i="14" s="1"/>
  <c r="M3171" i="13"/>
  <c r="K3005" i="14" l="1"/>
  <c r="L3005" i="14" s="1"/>
  <c r="I3006" i="14" s="1"/>
  <c r="K2983" i="13"/>
  <c r="L2983" i="13" s="1"/>
  <c r="I2984" i="13" s="1"/>
  <c r="J3168" i="14" a="1"/>
  <c r="J3168" i="14" s="1"/>
  <c r="N3169" i="14"/>
  <c r="M3172" i="13"/>
  <c r="M3173" i="14"/>
  <c r="J3169" i="13" a="1"/>
  <c r="J3169" i="13" s="1"/>
  <c r="N3170" i="13"/>
  <c r="K2984" i="13" l="1"/>
  <c r="L2984" i="13" s="1"/>
  <c r="I2985" i="13" s="1"/>
  <c r="K3006" i="14"/>
  <c r="L3006" i="14" s="1"/>
  <c r="I3007" i="14" s="1"/>
  <c r="M3173" i="13"/>
  <c r="J3169" i="14" a="1"/>
  <c r="J3169" i="14" s="1"/>
  <c r="N3170" i="14"/>
  <c r="N3171" i="13"/>
  <c r="J3170" i="13" a="1"/>
  <c r="J3170" i="13" s="1"/>
  <c r="M3174" i="14"/>
  <c r="K3007" i="14" l="1"/>
  <c r="L3007" i="14" s="1"/>
  <c r="I3008" i="14" s="1"/>
  <c r="K2985" i="13"/>
  <c r="L2985" i="13" s="1"/>
  <c r="I2986" i="13" s="1"/>
  <c r="N3171" i="14"/>
  <c r="J3170" i="14" a="1"/>
  <c r="J3170" i="14" s="1"/>
  <c r="M3175" i="14"/>
  <c r="M3174" i="13"/>
  <c r="J3171" i="13" a="1"/>
  <c r="J3171" i="13" s="1"/>
  <c r="N3172" i="13"/>
  <c r="K2986" i="13" l="1"/>
  <c r="L2986" i="13" s="1"/>
  <c r="I2987" i="13" s="1"/>
  <c r="K3008" i="14"/>
  <c r="L3008" i="14" s="1"/>
  <c r="I3009" i="14" s="1"/>
  <c r="M3176" i="14"/>
  <c r="J3172" i="13" a="1"/>
  <c r="J3172" i="13" s="1"/>
  <c r="N3173" i="13"/>
  <c r="M3175" i="13"/>
  <c r="N3172" i="14"/>
  <c r="J3171" i="14" a="1"/>
  <c r="J3171" i="14" s="1"/>
  <c r="K3009" i="14" l="1"/>
  <c r="L3009" i="14" s="1"/>
  <c r="I3010" i="14" s="1"/>
  <c r="K2987" i="13"/>
  <c r="L2987" i="13" s="1"/>
  <c r="I2988" i="13" s="1"/>
  <c r="J3173" i="13" a="1"/>
  <c r="J3173" i="13" s="1"/>
  <c r="N3174" i="13"/>
  <c r="J3172" i="14" a="1"/>
  <c r="J3172" i="14" s="1"/>
  <c r="N3173" i="14"/>
  <c r="M3176" i="13"/>
  <c r="M3177" i="14"/>
  <c r="K2988" i="13" l="1"/>
  <c r="L2988" i="13" s="1"/>
  <c r="I2989" i="13" s="1"/>
  <c r="K3010" i="14"/>
  <c r="L3010" i="14" s="1"/>
  <c r="I3011" i="14" s="1"/>
  <c r="J3173" i="14" a="1"/>
  <c r="J3173" i="14" s="1"/>
  <c r="N3174" i="14"/>
  <c r="N3175" i="13"/>
  <c r="J3174" i="13" a="1"/>
  <c r="J3174" i="13" s="1"/>
  <c r="M3178" i="14"/>
  <c r="M3177" i="13"/>
  <c r="K3011" i="14" l="1"/>
  <c r="L3011" i="14" s="1"/>
  <c r="I3012" i="14" s="1"/>
  <c r="K2989" i="13"/>
  <c r="L2989" i="13" s="1"/>
  <c r="I2990" i="13" s="1"/>
  <c r="J3175" i="13" a="1"/>
  <c r="J3175" i="13" s="1"/>
  <c r="N3176" i="13"/>
  <c r="M3178" i="13"/>
  <c r="N3175" i="14"/>
  <c r="J3174" i="14" a="1"/>
  <c r="J3174" i="14" s="1"/>
  <c r="M3179" i="14"/>
  <c r="K2990" i="13" l="1"/>
  <c r="L2990" i="13" s="1"/>
  <c r="I2991" i="13" s="1"/>
  <c r="K3012" i="14"/>
  <c r="L3012" i="14" s="1"/>
  <c r="I3013" i="14" s="1"/>
  <c r="M3180" i="14"/>
  <c r="N3176" i="14"/>
  <c r="J3175" i="14" a="1"/>
  <c r="J3175" i="14" s="1"/>
  <c r="M3179" i="13"/>
  <c r="J3176" i="13" a="1"/>
  <c r="J3176" i="13" s="1"/>
  <c r="N3177" i="13"/>
  <c r="K3013" i="14" l="1"/>
  <c r="L3013" i="14" s="1"/>
  <c r="I3014" i="14" s="1"/>
  <c r="K2991" i="13"/>
  <c r="L2991" i="13" s="1"/>
  <c r="I2992" i="13" s="1"/>
  <c r="N3177" i="14"/>
  <c r="J3176" i="14" a="1"/>
  <c r="J3176" i="14" s="1"/>
  <c r="J3177" i="13" a="1"/>
  <c r="J3177" i="13" s="1"/>
  <c r="N3178" i="13"/>
  <c r="M3181" i="14"/>
  <c r="M3180" i="13"/>
  <c r="K2992" i="13" l="1"/>
  <c r="L2992" i="13" s="1"/>
  <c r="I2993" i="13" s="1"/>
  <c r="K3014" i="14"/>
  <c r="L3014" i="14" s="1"/>
  <c r="I3015" i="14" s="1"/>
  <c r="N3179" i="13"/>
  <c r="J3178" i="13" a="1"/>
  <c r="J3178" i="13" s="1"/>
  <c r="M3181" i="13"/>
  <c r="M3182" i="14"/>
  <c r="N3178" i="14"/>
  <c r="J3177" i="14" a="1"/>
  <c r="J3177" i="14" s="1"/>
  <c r="K3015" i="14" l="1"/>
  <c r="L3015" i="14" s="1"/>
  <c r="I3016" i="14" s="1"/>
  <c r="K2993" i="13"/>
  <c r="L2993" i="13" s="1"/>
  <c r="I2994" i="13" s="1"/>
  <c r="M3182" i="13"/>
  <c r="J3178" i="14" a="1"/>
  <c r="J3178" i="14" s="1"/>
  <c r="N3179" i="14"/>
  <c r="M3183" i="14"/>
  <c r="J3179" i="13" a="1"/>
  <c r="J3179" i="13" s="1"/>
  <c r="N3180" i="13"/>
  <c r="K2994" i="13" l="1"/>
  <c r="L2994" i="13" s="1"/>
  <c r="I2995" i="13" s="1"/>
  <c r="K3016" i="14"/>
  <c r="L3016" i="14" s="1"/>
  <c r="I3017" i="14" s="1"/>
  <c r="J3180" i="13" a="1"/>
  <c r="J3180" i="13" s="1"/>
  <c r="N3181" i="13"/>
  <c r="N3180" i="14"/>
  <c r="J3179" i="14" a="1"/>
  <c r="J3179" i="14" s="1"/>
  <c r="M3184" i="14"/>
  <c r="M3183" i="13"/>
  <c r="K3017" i="14" l="1"/>
  <c r="L3017" i="14" s="1"/>
  <c r="I3018" i="14" s="1"/>
  <c r="K2995" i="13"/>
  <c r="L2995" i="13" s="1"/>
  <c r="I2996" i="13" s="1"/>
  <c r="M3184" i="13"/>
  <c r="N3181" i="14"/>
  <c r="J3180" i="14" a="1"/>
  <c r="J3180" i="14" s="1"/>
  <c r="J3181" i="13" a="1"/>
  <c r="J3181" i="13" s="1"/>
  <c r="N3182" i="13"/>
  <c r="M3185" i="14"/>
  <c r="K2996" i="13" l="1"/>
  <c r="L2996" i="13" s="1"/>
  <c r="I2997" i="13" s="1"/>
  <c r="K3018" i="14"/>
  <c r="L3018" i="14" s="1"/>
  <c r="I3019" i="14" s="1"/>
  <c r="N3182" i="14"/>
  <c r="J3181" i="14" a="1"/>
  <c r="J3181" i="14" s="1"/>
  <c r="N3183" i="13"/>
  <c r="J3182" i="13" a="1"/>
  <c r="J3182" i="13" s="1"/>
  <c r="M3186" i="14"/>
  <c r="M3185" i="13"/>
  <c r="K3019" i="14" l="1"/>
  <c r="L3019" i="14" s="1"/>
  <c r="I3020" i="14" s="1"/>
  <c r="K2997" i="13"/>
  <c r="L2997" i="13" s="1"/>
  <c r="I2998" i="13" s="1"/>
  <c r="J3183" i="13" a="1"/>
  <c r="J3183" i="13" s="1"/>
  <c r="N3184" i="13"/>
  <c r="M3186" i="13"/>
  <c r="M3187" i="14"/>
  <c r="J3182" i="14" a="1"/>
  <c r="J3182" i="14" s="1"/>
  <c r="N3183" i="14"/>
  <c r="K2998" i="13" l="1"/>
  <c r="L2998" i="13" s="1"/>
  <c r="I2999" i="13" s="1"/>
  <c r="K3020" i="14"/>
  <c r="L3020" i="14" s="1"/>
  <c r="I3021" i="14" s="1"/>
  <c r="N3184" i="14"/>
  <c r="J3183" i="14" a="1"/>
  <c r="J3183" i="14" s="1"/>
  <c r="M3187" i="13"/>
  <c r="J3184" i="13" a="1"/>
  <c r="J3184" i="13" s="1"/>
  <c r="N3185" i="13"/>
  <c r="M3188" i="14"/>
  <c r="K3021" i="14" l="1"/>
  <c r="L3021" i="14" s="1"/>
  <c r="I3022" i="14" s="1"/>
  <c r="K2999" i="13"/>
  <c r="L2999" i="13" s="1"/>
  <c r="I3000" i="13" s="1"/>
  <c r="M3189" i="14"/>
  <c r="J3185" i="13" a="1"/>
  <c r="J3185" i="13" s="1"/>
  <c r="N3186" i="13"/>
  <c r="M3188" i="13"/>
  <c r="N3185" i="14"/>
  <c r="J3184" i="14" a="1"/>
  <c r="J3184" i="14" s="1"/>
  <c r="K3000" i="13" l="1"/>
  <c r="L3000" i="13" s="1"/>
  <c r="I3001" i="13" s="1"/>
  <c r="K3022" i="14"/>
  <c r="L3022" i="14" s="1"/>
  <c r="I3023" i="14" s="1"/>
  <c r="N3187" i="13"/>
  <c r="J3186" i="13" a="1"/>
  <c r="J3186" i="13" s="1"/>
  <c r="N3186" i="14"/>
  <c r="J3185" i="14" a="1"/>
  <c r="J3185" i="14" s="1"/>
  <c r="M3189" i="13"/>
  <c r="M3190" i="14"/>
  <c r="K3023" i="14" l="1"/>
  <c r="L3023" i="14" s="1"/>
  <c r="I3024" i="14" s="1"/>
  <c r="K3001" i="13"/>
  <c r="L3001" i="13" s="1"/>
  <c r="I3002" i="13" s="1"/>
  <c r="M3191" i="14"/>
  <c r="J3186" i="14" a="1"/>
  <c r="J3186" i="14" s="1"/>
  <c r="N3187" i="14"/>
  <c r="M3190" i="13"/>
  <c r="J3187" i="13" a="1"/>
  <c r="J3187" i="13" s="1"/>
  <c r="N3188" i="13"/>
  <c r="K3002" i="13" l="1"/>
  <c r="L3002" i="13" s="1"/>
  <c r="I3003" i="13" s="1"/>
  <c r="K3024" i="14"/>
  <c r="L3024" i="14" s="1"/>
  <c r="I3025" i="14" s="1"/>
  <c r="N3188" i="14"/>
  <c r="J3187" i="14" a="1"/>
  <c r="J3187" i="14" s="1"/>
  <c r="J3188" i="13" a="1"/>
  <c r="J3188" i="13" s="1"/>
  <c r="N3189" i="13"/>
  <c r="M3191" i="13"/>
  <c r="M3192" i="14"/>
  <c r="K3025" i="14" l="1"/>
  <c r="L3025" i="14" s="1"/>
  <c r="I3026" i="14" s="1"/>
  <c r="K3003" i="13"/>
  <c r="L3003" i="13" s="1"/>
  <c r="I3004" i="13" s="1"/>
  <c r="J3189" i="13" a="1"/>
  <c r="J3189" i="13" s="1"/>
  <c r="N3190" i="13"/>
  <c r="M3193" i="14"/>
  <c r="M3192" i="13"/>
  <c r="N3189" i="14"/>
  <c r="J3188" i="14" a="1"/>
  <c r="J3188" i="14" s="1"/>
  <c r="K3004" i="13" l="1"/>
  <c r="L3004" i="13" s="1"/>
  <c r="I3005" i="13" s="1"/>
  <c r="K3026" i="14"/>
  <c r="L3026" i="14" s="1"/>
  <c r="I3027" i="14" s="1"/>
  <c r="N3190" i="14"/>
  <c r="J3189" i="14" a="1"/>
  <c r="J3189" i="14" s="1"/>
  <c r="M3194" i="14"/>
  <c r="N3191" i="13"/>
  <c r="J3190" i="13" a="1"/>
  <c r="J3190" i="13" s="1"/>
  <c r="M3193" i="13"/>
  <c r="K3027" i="14" l="1"/>
  <c r="L3027" i="14" s="1"/>
  <c r="I3028" i="14" s="1"/>
  <c r="K3005" i="13"/>
  <c r="L3005" i="13" s="1"/>
  <c r="I3006" i="13" s="1"/>
  <c r="M3194" i="13"/>
  <c r="J3191" i="13" a="1"/>
  <c r="J3191" i="13" s="1"/>
  <c r="N3192" i="13"/>
  <c r="M3195" i="14"/>
  <c r="J3190" i="14" a="1"/>
  <c r="J3190" i="14" s="1"/>
  <c r="N3191" i="14"/>
  <c r="K3006" i="13" l="1"/>
  <c r="L3006" i="13" s="1"/>
  <c r="I3007" i="13" s="1"/>
  <c r="K3028" i="14"/>
  <c r="L3028" i="14" s="1"/>
  <c r="I3029" i="14" s="1"/>
  <c r="J3192" i="13" a="1"/>
  <c r="J3192" i="13" s="1"/>
  <c r="N3193" i="13"/>
  <c r="N3192" i="14"/>
  <c r="J3191" i="14" a="1"/>
  <c r="J3191" i="14" s="1"/>
  <c r="M3196" i="14"/>
  <c r="M3195" i="13"/>
  <c r="K3029" i="14" l="1"/>
  <c r="L3029" i="14" s="1"/>
  <c r="I3030" i="14" s="1"/>
  <c r="K3007" i="13"/>
  <c r="L3007" i="13" s="1"/>
  <c r="I3008" i="13" s="1"/>
  <c r="N3193" i="14"/>
  <c r="J3192" i="14" a="1"/>
  <c r="J3192" i="14" s="1"/>
  <c r="M3196" i="13"/>
  <c r="J3193" i="13" a="1"/>
  <c r="J3193" i="13" s="1"/>
  <c r="N3194" i="13"/>
  <c r="M3197" i="14"/>
  <c r="K3008" i="13" l="1"/>
  <c r="L3008" i="13" s="1"/>
  <c r="I3009" i="13" s="1"/>
  <c r="K3030" i="14"/>
  <c r="L3030" i="14" s="1"/>
  <c r="I3031" i="14" s="1"/>
  <c r="N3195" i="13"/>
  <c r="J3194" i="13" a="1"/>
  <c r="J3194" i="13" s="1"/>
  <c r="M3198" i="14"/>
  <c r="M3197" i="13"/>
  <c r="N3194" i="14"/>
  <c r="J3193" i="14" a="1"/>
  <c r="J3193" i="14" s="1"/>
  <c r="K3009" i="13" l="1"/>
  <c r="L3009" i="13" s="1"/>
  <c r="I3010" i="13" s="1"/>
  <c r="M3199" i="14"/>
  <c r="K3031" i="14"/>
  <c r="L3031" i="14" s="1"/>
  <c r="I3032" i="14" s="1"/>
  <c r="J3194" i="14" a="1"/>
  <c r="J3194" i="14" s="1"/>
  <c r="N3195" i="14"/>
  <c r="M3198" i="13"/>
  <c r="J3195" i="13" a="1"/>
  <c r="J3195" i="13" s="1"/>
  <c r="N3196" i="13"/>
  <c r="K3032" i="14" l="1"/>
  <c r="L3032" i="14" s="1"/>
  <c r="I3033" i="14" s="1"/>
  <c r="K3010" i="13"/>
  <c r="L3010" i="13" s="1"/>
  <c r="I3011" i="13" s="1"/>
  <c r="J3196" i="13" a="1"/>
  <c r="J3196" i="13" s="1"/>
  <c r="N3197" i="13"/>
  <c r="N3196" i="14"/>
  <c r="J3195" i="14" a="1"/>
  <c r="J3195" i="14" s="1"/>
  <c r="M3200" i="14"/>
  <c r="M3199" i="13"/>
  <c r="K3011" i="13" l="1"/>
  <c r="L3011" i="13" s="1"/>
  <c r="I3012" i="13" s="1"/>
  <c r="K3033" i="14"/>
  <c r="L3033" i="14" s="1"/>
  <c r="I3034" i="14" s="1"/>
  <c r="N3197" i="14"/>
  <c r="J3196" i="14" a="1"/>
  <c r="J3196" i="14" s="1"/>
  <c r="M3201" i="14"/>
  <c r="J3197" i="13" a="1"/>
  <c r="J3197" i="13" s="1"/>
  <c r="N3198" i="13"/>
  <c r="M3200" i="13"/>
  <c r="K3034" i="14" l="1"/>
  <c r="L3034" i="14" s="1"/>
  <c r="I3035" i="14" s="1"/>
  <c r="K3012" i="13"/>
  <c r="L3012" i="13" s="1"/>
  <c r="I3013" i="13" s="1"/>
  <c r="M3201" i="13"/>
  <c r="M3202" i="14"/>
  <c r="N3199" i="13"/>
  <c r="J3198" i="13" a="1"/>
  <c r="J3198" i="13" s="1"/>
  <c r="N3198" i="14"/>
  <c r="J3197" i="14" a="1"/>
  <c r="J3197" i="14" s="1"/>
  <c r="K3013" i="13" l="1"/>
  <c r="L3013" i="13" s="1"/>
  <c r="I3014" i="13" s="1"/>
  <c r="K3035" i="14"/>
  <c r="L3035" i="14" s="1"/>
  <c r="I3036" i="14" s="1"/>
  <c r="M3203" i="14"/>
  <c r="J3198" i="14" a="1"/>
  <c r="J3198" i="14" s="1"/>
  <c r="N3199" i="14"/>
  <c r="M3202" i="13"/>
  <c r="J3199" i="13" a="1"/>
  <c r="J3199" i="13" s="1"/>
  <c r="N3200" i="13"/>
  <c r="K3036" i="14" l="1"/>
  <c r="L3036" i="14" s="1"/>
  <c r="I3037" i="14" s="1"/>
  <c r="K3014" i="13"/>
  <c r="L3014" i="13" s="1"/>
  <c r="I3015" i="13" s="1"/>
  <c r="N3200" i="14"/>
  <c r="J3199" i="14" a="1"/>
  <c r="J3199" i="14" s="1"/>
  <c r="J3200" i="13" a="1"/>
  <c r="J3200" i="13" s="1"/>
  <c r="N3201" i="13"/>
  <c r="M3203" i="13"/>
  <c r="M3204" i="14"/>
  <c r="K3015" i="13" l="1"/>
  <c r="L3015" i="13" s="1"/>
  <c r="I3016" i="13" s="1"/>
  <c r="K3037" i="14"/>
  <c r="L3037" i="14" s="1"/>
  <c r="I3038" i="14" s="1"/>
  <c r="J3201" i="13" a="1"/>
  <c r="J3201" i="13" s="1"/>
  <c r="N3202" i="13"/>
  <c r="M3205" i="14"/>
  <c r="M3204" i="13"/>
  <c r="N3201" i="14"/>
  <c r="J3200" i="14" a="1"/>
  <c r="J3200" i="14" s="1"/>
  <c r="K3038" i="14" l="1"/>
  <c r="L3038" i="14" s="1"/>
  <c r="I3039" i="14" s="1"/>
  <c r="K3016" i="13"/>
  <c r="L3016" i="13" s="1"/>
  <c r="I3017" i="13" s="1"/>
  <c r="N3202" i="14"/>
  <c r="J3201" i="14" a="1"/>
  <c r="J3201" i="14" s="1"/>
  <c r="M3206" i="14"/>
  <c r="N3203" i="13"/>
  <c r="J3202" i="13" a="1"/>
  <c r="J3202" i="13" s="1"/>
  <c r="M3205" i="13"/>
  <c r="K3017" i="13" l="1"/>
  <c r="L3017" i="13" s="1"/>
  <c r="I3018" i="13" s="1"/>
  <c r="K3039" i="14"/>
  <c r="L3039" i="14" s="1"/>
  <c r="I3040" i="14" s="1"/>
  <c r="M3206" i="13"/>
  <c r="M3207" i="14"/>
  <c r="J3203" i="13" a="1"/>
  <c r="J3203" i="13" s="1"/>
  <c r="N3204" i="13"/>
  <c r="J3202" i="14" a="1"/>
  <c r="J3202" i="14" s="1"/>
  <c r="N3203" i="14"/>
  <c r="K3040" i="14" l="1"/>
  <c r="L3040" i="14" s="1"/>
  <c r="I3041" i="14" s="1"/>
  <c r="K3018" i="13"/>
  <c r="L3018" i="13" s="1"/>
  <c r="I3019" i="13" s="1"/>
  <c r="J3204" i="13" a="1"/>
  <c r="J3204" i="13" s="1"/>
  <c r="N3205" i="13"/>
  <c r="N3204" i="14"/>
  <c r="J3203" i="14" a="1"/>
  <c r="J3203" i="14" s="1"/>
  <c r="M3208" i="14"/>
  <c r="M3207" i="13"/>
  <c r="K3019" i="13" l="1"/>
  <c r="L3019" i="13" s="1"/>
  <c r="I3020" i="13" s="1"/>
  <c r="K3041" i="14"/>
  <c r="L3041" i="14" s="1"/>
  <c r="I3042" i="14" s="1"/>
  <c r="N3205" i="14"/>
  <c r="J3204" i="14" a="1"/>
  <c r="J3204" i="14" s="1"/>
  <c r="J3205" i="13" a="1"/>
  <c r="J3205" i="13" s="1"/>
  <c r="N3206" i="13"/>
  <c r="M3208" i="13"/>
  <c r="M3209" i="14"/>
  <c r="K3042" i="14" l="1"/>
  <c r="L3042" i="14" s="1"/>
  <c r="I3043" i="14" s="1"/>
  <c r="K3020" i="13"/>
  <c r="L3020" i="13" s="1"/>
  <c r="I3021" i="13" s="1"/>
  <c r="N3207" i="13"/>
  <c r="J3206" i="13" a="1"/>
  <c r="J3206" i="13" s="1"/>
  <c r="M3210" i="14"/>
  <c r="M3209" i="13"/>
  <c r="N3206" i="14"/>
  <c r="J3205" i="14" a="1"/>
  <c r="J3205" i="14" s="1"/>
  <c r="K3021" i="13" l="1"/>
  <c r="L3021" i="13" s="1"/>
  <c r="I3022" i="13" s="1"/>
  <c r="K3043" i="14"/>
  <c r="L3043" i="14" s="1"/>
  <c r="I3044" i="14" s="1"/>
  <c r="M3211" i="14"/>
  <c r="J3206" i="14" a="1"/>
  <c r="J3206" i="14" s="1"/>
  <c r="N3207" i="14"/>
  <c r="M3210" i="13"/>
  <c r="J3207" i="13" a="1"/>
  <c r="J3207" i="13" s="1"/>
  <c r="N3208" i="13"/>
  <c r="K3044" i="14" l="1"/>
  <c r="L3044" i="14" s="1"/>
  <c r="I3045" i="14" s="1"/>
  <c r="K3022" i="13"/>
  <c r="L3022" i="13" s="1"/>
  <c r="I3023" i="13" s="1"/>
  <c r="J3208" i="13" a="1"/>
  <c r="J3208" i="13" s="1"/>
  <c r="N3209" i="13"/>
  <c r="N3208" i="14"/>
  <c r="J3207" i="14" a="1"/>
  <c r="J3207" i="14" s="1"/>
  <c r="M3212" i="14"/>
  <c r="M3211" i="13"/>
  <c r="K3023" i="13" l="1"/>
  <c r="L3023" i="13" s="1"/>
  <c r="I3024" i="13" s="1"/>
  <c r="K3045" i="14"/>
  <c r="L3045" i="14" s="1"/>
  <c r="I3046" i="14" s="1"/>
  <c r="N3209" i="14"/>
  <c r="J3208" i="14" a="1"/>
  <c r="J3208" i="14" s="1"/>
  <c r="M3213" i="14"/>
  <c r="J3209" i="13" a="1"/>
  <c r="J3209" i="13" s="1"/>
  <c r="N3210" i="13"/>
  <c r="M3212" i="13"/>
  <c r="K3046" i="14" l="1"/>
  <c r="L3046" i="14" s="1"/>
  <c r="I3047" i="14" s="1"/>
  <c r="K3024" i="13"/>
  <c r="L3024" i="13" s="1"/>
  <c r="I3025" i="13" s="1"/>
  <c r="N3211" i="13"/>
  <c r="J3210" i="13" a="1"/>
  <c r="J3210" i="13" s="1"/>
  <c r="M3213" i="13"/>
  <c r="M3214" i="14"/>
  <c r="N3210" i="14"/>
  <c r="J3209" i="14" a="1"/>
  <c r="J3209" i="14" s="1"/>
  <c r="K3025" i="13" l="1"/>
  <c r="L3025" i="13" s="1"/>
  <c r="I3026" i="13" s="1"/>
  <c r="K3047" i="14"/>
  <c r="L3047" i="14" s="1"/>
  <c r="I3048" i="14" s="1"/>
  <c r="M3214" i="13"/>
  <c r="J3210" i="14" a="1"/>
  <c r="J3210" i="14" s="1"/>
  <c r="N3211" i="14"/>
  <c r="M3215" i="14"/>
  <c r="J3211" i="13" a="1"/>
  <c r="J3211" i="13" s="1"/>
  <c r="N3212" i="13"/>
  <c r="K3048" i="14" l="1"/>
  <c r="L3048" i="14" s="1"/>
  <c r="I3049" i="14" s="1"/>
  <c r="K3026" i="13"/>
  <c r="L3026" i="13" s="1"/>
  <c r="I3027" i="13" s="1"/>
  <c r="J3212" i="13" a="1"/>
  <c r="J3212" i="13" s="1"/>
  <c r="N3213" i="13"/>
  <c r="N3212" i="14"/>
  <c r="J3211" i="14" a="1"/>
  <c r="J3211" i="14" s="1"/>
  <c r="M3216" i="14"/>
  <c r="M3215" i="13"/>
  <c r="K3027" i="13" l="1"/>
  <c r="L3027" i="13" s="1"/>
  <c r="I3028" i="13" s="1"/>
  <c r="K3049" i="14"/>
  <c r="L3049" i="14" s="1"/>
  <c r="I3050" i="14" s="1"/>
  <c r="N3213" i="14"/>
  <c r="J3212" i="14" a="1"/>
  <c r="J3212" i="14" s="1"/>
  <c r="J3213" i="13" a="1"/>
  <c r="J3213" i="13" s="1"/>
  <c r="N3214" i="13"/>
  <c r="M3216" i="13"/>
  <c r="M3217" i="14"/>
  <c r="K3050" i="14" l="1"/>
  <c r="L3050" i="14" s="1"/>
  <c r="I3051" i="14" s="1"/>
  <c r="K3028" i="13"/>
  <c r="L3028" i="13" s="1"/>
  <c r="I3029" i="13" s="1"/>
  <c r="N3215" i="13"/>
  <c r="J3214" i="13" a="1"/>
  <c r="J3214" i="13" s="1"/>
  <c r="M3218" i="14"/>
  <c r="M3217" i="13"/>
  <c r="N3214" i="14"/>
  <c r="J3213" i="14" a="1"/>
  <c r="J3213" i="14" s="1"/>
  <c r="K3029" i="13" l="1"/>
  <c r="L3029" i="13" s="1"/>
  <c r="I3030" i="13" s="1"/>
  <c r="K3051" i="14"/>
  <c r="L3051" i="14" s="1"/>
  <c r="I3052" i="14" s="1"/>
  <c r="M3219" i="14"/>
  <c r="J3214" i="14" a="1"/>
  <c r="J3214" i="14" s="1"/>
  <c r="N3215" i="14"/>
  <c r="M3218" i="13"/>
  <c r="J3215" i="13" a="1"/>
  <c r="J3215" i="13" s="1"/>
  <c r="N3216" i="13"/>
  <c r="K3052" i="14" l="1"/>
  <c r="L3052" i="14" s="1"/>
  <c r="I3053" i="14" s="1"/>
  <c r="K3030" i="13"/>
  <c r="L3030" i="13" s="1"/>
  <c r="I3031" i="13" s="1"/>
  <c r="J3216" i="13" a="1"/>
  <c r="J3216" i="13" s="1"/>
  <c r="N3217" i="13"/>
  <c r="N3216" i="14"/>
  <c r="J3215" i="14" a="1"/>
  <c r="J3215" i="14" s="1"/>
  <c r="M3219" i="13"/>
  <c r="M3220" i="14"/>
  <c r="K3031" i="13" l="1"/>
  <c r="L3031" i="13" s="1"/>
  <c r="I3032" i="13" s="1"/>
  <c r="K3053" i="14"/>
  <c r="L3053" i="14" s="1"/>
  <c r="I3054" i="14" s="1"/>
  <c r="J3216" i="14" a="1"/>
  <c r="J3216" i="14" s="1"/>
  <c r="N3217" i="14"/>
  <c r="J3217" i="13" a="1"/>
  <c r="J3217" i="13" s="1"/>
  <c r="N3218" i="13"/>
  <c r="M3221" i="14"/>
  <c r="M3220" i="13"/>
  <c r="K3054" i="14" l="1"/>
  <c r="L3054" i="14" s="1"/>
  <c r="I3055" i="14" s="1"/>
  <c r="K3032" i="13"/>
  <c r="L3032" i="13" s="1"/>
  <c r="I3033" i="13" s="1"/>
  <c r="N3219" i="13"/>
  <c r="J3218" i="13" a="1"/>
  <c r="J3218" i="13" s="1"/>
  <c r="N3218" i="14"/>
  <c r="J3217" i="14" a="1"/>
  <c r="J3217" i="14" s="1"/>
  <c r="M3221" i="13"/>
  <c r="M3222" i="14"/>
  <c r="K3033" i="13" l="1"/>
  <c r="L3033" i="13" s="1"/>
  <c r="I3034" i="13" s="1"/>
  <c r="K3055" i="14"/>
  <c r="L3055" i="14" s="1"/>
  <c r="I3056" i="14" s="1"/>
  <c r="M3223" i="14"/>
  <c r="J3218" i="14" a="1"/>
  <c r="J3218" i="14" s="1"/>
  <c r="N3219" i="14"/>
  <c r="M3222" i="13"/>
  <c r="J3219" i="13" a="1"/>
  <c r="J3219" i="13" s="1"/>
  <c r="N3220" i="13"/>
  <c r="K3056" i="14" l="1"/>
  <c r="L3056" i="14" s="1"/>
  <c r="I3057" i="14" s="1"/>
  <c r="K3034" i="13"/>
  <c r="L3034" i="13" s="1"/>
  <c r="I3035" i="13" s="1"/>
  <c r="J3220" i="13" a="1"/>
  <c r="J3220" i="13" s="1"/>
  <c r="N3221" i="13"/>
  <c r="N3220" i="14"/>
  <c r="J3219" i="14" a="1"/>
  <c r="J3219" i="14" s="1"/>
  <c r="M3223" i="13"/>
  <c r="M3224" i="14"/>
  <c r="K3035" i="13" l="1"/>
  <c r="L3035" i="13" s="1"/>
  <c r="I3036" i="13" s="1"/>
  <c r="K3057" i="14"/>
  <c r="L3057" i="14" s="1"/>
  <c r="I3058" i="14" s="1"/>
  <c r="N3221" i="14"/>
  <c r="J3220" i="14" a="1"/>
  <c r="J3220" i="14" s="1"/>
  <c r="M3225" i="14"/>
  <c r="J3221" i="13" a="1"/>
  <c r="J3221" i="13" s="1"/>
  <c r="N3222" i="13"/>
  <c r="M3224" i="13"/>
  <c r="K3058" i="14" l="1"/>
  <c r="L3058" i="14" s="1"/>
  <c r="I3059" i="14" s="1"/>
  <c r="K3036" i="13"/>
  <c r="L3036" i="13" s="1"/>
  <c r="I3037" i="13" s="1"/>
  <c r="N3223" i="13"/>
  <c r="J3222" i="13" a="1"/>
  <c r="J3222" i="13" s="1"/>
  <c r="M3225" i="13"/>
  <c r="M3226" i="14"/>
  <c r="N3222" i="14"/>
  <c r="J3221" i="14" a="1"/>
  <c r="J3221" i="14" s="1"/>
  <c r="K3037" i="13" l="1"/>
  <c r="L3037" i="13" s="1"/>
  <c r="I3038" i="13" s="1"/>
  <c r="K3059" i="14"/>
  <c r="L3059" i="14" s="1"/>
  <c r="I3060" i="14" s="1"/>
  <c r="M3226" i="13"/>
  <c r="J3222" i="14" a="1"/>
  <c r="J3222" i="14" s="1"/>
  <c r="N3223" i="14"/>
  <c r="M3227" i="14"/>
  <c r="J3223" i="13" a="1"/>
  <c r="J3223" i="13" s="1"/>
  <c r="N3224" i="13"/>
  <c r="K3060" i="14" l="1"/>
  <c r="L3060" i="14" s="1"/>
  <c r="I3061" i="14" s="1"/>
  <c r="K3038" i="13"/>
  <c r="L3038" i="13" s="1"/>
  <c r="I3039" i="13" s="1"/>
  <c r="J3224" i="13" a="1"/>
  <c r="J3224" i="13" s="1"/>
  <c r="N3225" i="13"/>
  <c r="N3224" i="14"/>
  <c r="J3223" i="14" a="1"/>
  <c r="J3223" i="14" s="1"/>
  <c r="M3228" i="14"/>
  <c r="M3227" i="13"/>
  <c r="K3039" i="13" l="1"/>
  <c r="L3039" i="13" s="1"/>
  <c r="I3040" i="13" s="1"/>
  <c r="K3061" i="14"/>
  <c r="L3061" i="14" s="1"/>
  <c r="I3062" i="14" s="1"/>
  <c r="N3225" i="14"/>
  <c r="J3224" i="14" a="1"/>
  <c r="J3224" i="14" s="1"/>
  <c r="M3229" i="14"/>
  <c r="J3225" i="13" a="1"/>
  <c r="J3225" i="13" s="1"/>
  <c r="N3226" i="13"/>
  <c r="M3228" i="13"/>
  <c r="K3062" i="14" l="1"/>
  <c r="L3062" i="14" s="1"/>
  <c r="I3063" i="14" s="1"/>
  <c r="K3040" i="13"/>
  <c r="L3040" i="13" s="1"/>
  <c r="I3041" i="13" s="1"/>
  <c r="N3227" i="13"/>
  <c r="J3226" i="13" a="1"/>
  <c r="J3226" i="13" s="1"/>
  <c r="M3229" i="13"/>
  <c r="M3230" i="14"/>
  <c r="N3226" i="14"/>
  <c r="J3225" i="14" a="1"/>
  <c r="J3225" i="14" s="1"/>
  <c r="K3041" i="13" l="1"/>
  <c r="L3041" i="13" s="1"/>
  <c r="I3042" i="13" s="1"/>
  <c r="K3063" i="14"/>
  <c r="L3063" i="14" s="1"/>
  <c r="I3064" i="14" s="1"/>
  <c r="J3226" i="14" a="1"/>
  <c r="J3226" i="14" s="1"/>
  <c r="N3227" i="14"/>
  <c r="M3231" i="14"/>
  <c r="M3230" i="13"/>
  <c r="J3227" i="13" a="1"/>
  <c r="J3227" i="13" s="1"/>
  <c r="N3228" i="13"/>
  <c r="K3064" i="14" l="1"/>
  <c r="L3064" i="14" s="1"/>
  <c r="I3065" i="14" s="1"/>
  <c r="K3042" i="13"/>
  <c r="L3042" i="13" s="1"/>
  <c r="I3043" i="13" s="1"/>
  <c r="J3228" i="13" a="1"/>
  <c r="J3228" i="13" s="1"/>
  <c r="N3229" i="13"/>
  <c r="M3232" i="14"/>
  <c r="N3228" i="14"/>
  <c r="J3227" i="14" a="1"/>
  <c r="J3227" i="14" s="1"/>
  <c r="M3231" i="13"/>
  <c r="K3065" i="14" l="1"/>
  <c r="L3065" i="14" s="1"/>
  <c r="I3066" i="14" s="1"/>
  <c r="K3043" i="13"/>
  <c r="L3043" i="13" s="1"/>
  <c r="I3044" i="13" s="1"/>
  <c r="M3233" i="14"/>
  <c r="M3232" i="13"/>
  <c r="J3229" i="13" a="1"/>
  <c r="J3229" i="13" s="1"/>
  <c r="N3230" i="13"/>
  <c r="N3229" i="14"/>
  <c r="J3228" i="14" a="1"/>
  <c r="J3228" i="14" s="1"/>
  <c r="K3044" i="13" l="1"/>
  <c r="L3044" i="13" s="1"/>
  <c r="I3045" i="13" s="1"/>
  <c r="K3066" i="14"/>
  <c r="L3066" i="14" s="1"/>
  <c r="I3067" i="14" s="1"/>
  <c r="N3230" i="14"/>
  <c r="J3229" i="14" a="1"/>
  <c r="J3229" i="14" s="1"/>
  <c r="M3233" i="13"/>
  <c r="N3231" i="13"/>
  <c r="J3230" i="13" a="1"/>
  <c r="J3230" i="13" s="1"/>
  <c r="M3234" i="14"/>
  <c r="K3067" i="14" l="1"/>
  <c r="L3067" i="14" s="1"/>
  <c r="I3068" i="14" s="1"/>
  <c r="K3045" i="13"/>
  <c r="L3045" i="13" s="1"/>
  <c r="I3046" i="13" s="1"/>
  <c r="M3235" i="14"/>
  <c r="M3234" i="13"/>
  <c r="J3231" i="13" a="1"/>
  <c r="J3231" i="13" s="1"/>
  <c r="N3232" i="13"/>
  <c r="J3230" i="14" a="1"/>
  <c r="J3230" i="14" s="1"/>
  <c r="N3231" i="14"/>
  <c r="K3046" i="13" l="1"/>
  <c r="L3046" i="13" s="1"/>
  <c r="I3047" i="13" s="1"/>
  <c r="K3068" i="14"/>
  <c r="L3068" i="14" s="1"/>
  <c r="I3069" i="14" s="1"/>
  <c r="N3232" i="14"/>
  <c r="J3231" i="14" a="1"/>
  <c r="J3231" i="14" s="1"/>
  <c r="M3235" i="13"/>
  <c r="J3232" i="13" a="1"/>
  <c r="J3232" i="13" s="1"/>
  <c r="N3233" i="13"/>
  <c r="M3236" i="14"/>
  <c r="K3069" i="14" l="1"/>
  <c r="L3069" i="14" s="1"/>
  <c r="I3070" i="14" s="1"/>
  <c r="K3047" i="13"/>
  <c r="L3047" i="13" s="1"/>
  <c r="I3048" i="13" s="1"/>
  <c r="J3233" i="13" a="1"/>
  <c r="J3233" i="13" s="1"/>
  <c r="N3234" i="13"/>
  <c r="M3237" i="14"/>
  <c r="M3236" i="13"/>
  <c r="N3233" i="14"/>
  <c r="J3232" i="14" a="1"/>
  <c r="J3232" i="14" s="1"/>
  <c r="K3048" i="13" l="1"/>
  <c r="L3048" i="13" s="1"/>
  <c r="I3049" i="13" s="1"/>
  <c r="K3070" i="14"/>
  <c r="L3070" i="14" s="1"/>
  <c r="I3071" i="14" s="1"/>
  <c r="N3234" i="14"/>
  <c r="J3233" i="14" a="1"/>
  <c r="J3233" i="14" s="1"/>
  <c r="M3238" i="14"/>
  <c r="N3235" i="13"/>
  <c r="J3234" i="13" a="1"/>
  <c r="J3234" i="13" s="1"/>
  <c r="M3237" i="13"/>
  <c r="K3071" i="14" l="1"/>
  <c r="L3071" i="14" s="1"/>
  <c r="I3072" i="14" s="1"/>
  <c r="K3049" i="13"/>
  <c r="L3049" i="13" s="1"/>
  <c r="I3050" i="13" s="1"/>
  <c r="J3235" i="13" a="1"/>
  <c r="J3235" i="13" s="1"/>
  <c r="N3236" i="13"/>
  <c r="M3238" i="13"/>
  <c r="M3239" i="14"/>
  <c r="J3234" i="14" a="1"/>
  <c r="J3234" i="14" s="1"/>
  <c r="N3235" i="14"/>
  <c r="K3050" i="13" l="1"/>
  <c r="L3050" i="13" s="1"/>
  <c r="I3051" i="13" s="1"/>
  <c r="K3072" i="14"/>
  <c r="L3072" i="14" s="1"/>
  <c r="I3073" i="14" s="1"/>
  <c r="N3236" i="14"/>
  <c r="J3235" i="14" a="1"/>
  <c r="J3235" i="14" s="1"/>
  <c r="M3239" i="13"/>
  <c r="J3236" i="13" a="1"/>
  <c r="J3236" i="13" s="1"/>
  <c r="N3237" i="13"/>
  <c r="M3240" i="14"/>
  <c r="K3073" i="14" l="1"/>
  <c r="L3073" i="14" s="1"/>
  <c r="I3074" i="14" s="1"/>
  <c r="K3051" i="13"/>
  <c r="L3051" i="13" s="1"/>
  <c r="I3052" i="13" s="1"/>
  <c r="M3241" i="14"/>
  <c r="M3240" i="13"/>
  <c r="J3237" i="13" a="1"/>
  <c r="J3237" i="13" s="1"/>
  <c r="N3238" i="13"/>
  <c r="N3237" i="14"/>
  <c r="J3236" i="14" a="1"/>
  <c r="J3236" i="14" s="1"/>
  <c r="K3052" i="13" l="1"/>
  <c r="L3052" i="13" s="1"/>
  <c r="I3053" i="13" s="1"/>
  <c r="K3074" i="14"/>
  <c r="L3074" i="14" s="1"/>
  <c r="I3075" i="14" s="1"/>
  <c r="N3238" i="14"/>
  <c r="J3237" i="14" a="1"/>
  <c r="J3237" i="14" s="1"/>
  <c r="M3241" i="13"/>
  <c r="N3239" i="13"/>
  <c r="J3238" i="13" a="1"/>
  <c r="J3238" i="13" s="1"/>
  <c r="M3242" i="14"/>
  <c r="K3075" i="14" l="1"/>
  <c r="L3075" i="14" s="1"/>
  <c r="I3076" i="14" s="1"/>
  <c r="K3053" i="13"/>
  <c r="L3053" i="13" s="1"/>
  <c r="I3054" i="13" s="1"/>
  <c r="M3243" i="14"/>
  <c r="J3239" i="13" a="1"/>
  <c r="J3239" i="13" s="1"/>
  <c r="N3240" i="13"/>
  <c r="M3242" i="13"/>
  <c r="J3238" i="14" a="1"/>
  <c r="J3238" i="14" s="1"/>
  <c r="N3239" i="14"/>
  <c r="K3054" i="13" l="1"/>
  <c r="L3054" i="13" s="1"/>
  <c r="I3055" i="13" s="1"/>
  <c r="K3076" i="14"/>
  <c r="L3076" i="14" s="1"/>
  <c r="I3077" i="14" s="1"/>
  <c r="N3240" i="14"/>
  <c r="J3239" i="14" a="1"/>
  <c r="J3239" i="14" s="1"/>
  <c r="J3240" i="13" a="1"/>
  <c r="J3240" i="13" s="1"/>
  <c r="N3241" i="13"/>
  <c r="M3244" i="14"/>
  <c r="M3243" i="13"/>
  <c r="K3055" i="13" l="1"/>
  <c r="L3055" i="13" s="1"/>
  <c r="I3056" i="13" s="1"/>
  <c r="J3241" i="13" a="1"/>
  <c r="J3241" i="13" s="1"/>
  <c r="N3242" i="13"/>
  <c r="K3077" i="14"/>
  <c r="L3077" i="14" s="1"/>
  <c r="I3078" i="14" s="1"/>
  <c r="M3244" i="13"/>
  <c r="M3245" i="14"/>
  <c r="N3241" i="14"/>
  <c r="J3240" i="14" a="1"/>
  <c r="J3240" i="14" s="1"/>
  <c r="K3078" i="14" l="1"/>
  <c r="L3078" i="14" s="1"/>
  <c r="I3079" i="14" s="1"/>
  <c r="K3056" i="13"/>
  <c r="L3056" i="13" s="1"/>
  <c r="I3057" i="13" s="1"/>
  <c r="N3243" i="13"/>
  <c r="J3242" i="13" a="1"/>
  <c r="J3242" i="13" s="1"/>
  <c r="M3245" i="13"/>
  <c r="N3242" i="14"/>
  <c r="J3241" i="14" a="1"/>
  <c r="J3241" i="14" s="1"/>
  <c r="M3246" i="14"/>
  <c r="K3057" i="13" l="1"/>
  <c r="L3057" i="13" s="1"/>
  <c r="I3058" i="13" s="1"/>
  <c r="K3079" i="14"/>
  <c r="L3079" i="14" s="1"/>
  <c r="I3080" i="14" s="1"/>
  <c r="M3246" i="13"/>
  <c r="M3247" i="14"/>
  <c r="J3242" i="14" a="1"/>
  <c r="J3242" i="14" s="1"/>
  <c r="N3243" i="14"/>
  <c r="J3243" i="13" a="1"/>
  <c r="J3243" i="13" s="1"/>
  <c r="N3244" i="13"/>
  <c r="K3080" i="14" l="1"/>
  <c r="L3080" i="14" s="1"/>
  <c r="I3081" i="14" s="1"/>
  <c r="K3058" i="13"/>
  <c r="L3058" i="13" s="1"/>
  <c r="I3059" i="13" s="1"/>
  <c r="J3244" i="13" a="1"/>
  <c r="J3244" i="13" s="1"/>
  <c r="N3245" i="13"/>
  <c r="M3248" i="14"/>
  <c r="N3244" i="14"/>
  <c r="J3243" i="14" a="1"/>
  <c r="J3243" i="14" s="1"/>
  <c r="M3247" i="13"/>
  <c r="K3059" i="13" l="1"/>
  <c r="L3059" i="13" s="1"/>
  <c r="I3060" i="13" s="1"/>
  <c r="K3081" i="14"/>
  <c r="L3081" i="14" s="1"/>
  <c r="I3082" i="14" s="1"/>
  <c r="M3249" i="14"/>
  <c r="M3248" i="13"/>
  <c r="J3245" i="13" a="1"/>
  <c r="J3245" i="13" s="1"/>
  <c r="N3246" i="13"/>
  <c r="N3245" i="14"/>
  <c r="J3244" i="14" a="1"/>
  <c r="J3244" i="14" s="1"/>
  <c r="K3060" i="13" l="1"/>
  <c r="L3060" i="13" s="1"/>
  <c r="I3061" i="13" s="1"/>
  <c r="K3082" i="14"/>
  <c r="L3082" i="14" s="1"/>
  <c r="I3083" i="14" s="1"/>
  <c r="N3246" i="14"/>
  <c r="J3245" i="14" a="1"/>
  <c r="J3245" i="14" s="1"/>
  <c r="N3247" i="13"/>
  <c r="J3246" i="13" a="1"/>
  <c r="J3246" i="13" s="1"/>
  <c r="M3249" i="13"/>
  <c r="M3250" i="14"/>
  <c r="K3083" i="14" l="1"/>
  <c r="L3083" i="14" s="1"/>
  <c r="I3084" i="14" s="1"/>
  <c r="K3061" i="13"/>
  <c r="L3061" i="13" s="1"/>
  <c r="I3062" i="13" s="1"/>
  <c r="J3247" i="13" a="1"/>
  <c r="J3247" i="13" s="1"/>
  <c r="N3248" i="13"/>
  <c r="M3251" i="14"/>
  <c r="M3250" i="13"/>
  <c r="J3246" i="14" a="1"/>
  <c r="J3246" i="14" s="1"/>
  <c r="N3247" i="14"/>
  <c r="K3062" i="13" l="1"/>
  <c r="L3062" i="13" s="1"/>
  <c r="I3063" i="13" s="1"/>
  <c r="K3084" i="14"/>
  <c r="L3084" i="14" s="1"/>
  <c r="I3085" i="14" s="1"/>
  <c r="N3248" i="14"/>
  <c r="J3247" i="14" a="1"/>
  <c r="J3247" i="14" s="1"/>
  <c r="M3252" i="14"/>
  <c r="J3248" i="13" a="1"/>
  <c r="J3248" i="13" s="1"/>
  <c r="N3249" i="13"/>
  <c r="M3251" i="13"/>
  <c r="K3063" i="13" l="1"/>
  <c r="L3063" i="13" s="1"/>
  <c r="I3064" i="13" s="1"/>
  <c r="K3085" i="14"/>
  <c r="L3085" i="14" s="1"/>
  <c r="I3086" i="14" s="1"/>
  <c r="J3249" i="13" a="1"/>
  <c r="J3249" i="13" s="1"/>
  <c r="N3250" i="13"/>
  <c r="M3253" i="14"/>
  <c r="M3252" i="13"/>
  <c r="N3249" i="14"/>
  <c r="J3248" i="14" a="1"/>
  <c r="J3248" i="14" s="1"/>
  <c r="K3064" i="13" l="1"/>
  <c r="L3064" i="13" s="1"/>
  <c r="I3065" i="13" s="1"/>
  <c r="K3086" i="14"/>
  <c r="L3086" i="14" s="1"/>
  <c r="I3087" i="14" s="1"/>
  <c r="N3250" i="14"/>
  <c r="J3249" i="14" a="1"/>
  <c r="J3249" i="14" s="1"/>
  <c r="M3254" i="14"/>
  <c r="N3251" i="13"/>
  <c r="J3250" i="13" a="1"/>
  <c r="J3250" i="13" s="1"/>
  <c r="M3253" i="13"/>
  <c r="K3087" i="14" l="1"/>
  <c r="L3087" i="14" s="1"/>
  <c r="I3088" i="14" s="1"/>
  <c r="K3065" i="13"/>
  <c r="L3065" i="13" s="1"/>
  <c r="I3066" i="13" s="1"/>
  <c r="M3254" i="13"/>
  <c r="M3255" i="14"/>
  <c r="J3251" i="13" a="1"/>
  <c r="J3251" i="13" s="1"/>
  <c r="N3252" i="13"/>
  <c r="J3250" i="14" a="1"/>
  <c r="J3250" i="14" s="1"/>
  <c r="N3251" i="14"/>
  <c r="K3066" i="13" l="1"/>
  <c r="L3066" i="13" s="1"/>
  <c r="I3067" i="13" s="1"/>
  <c r="K3088" i="14"/>
  <c r="L3088" i="14" s="1"/>
  <c r="I3089" i="14" s="1"/>
  <c r="N3252" i="14"/>
  <c r="J3251" i="14" a="1"/>
  <c r="J3251" i="14" s="1"/>
  <c r="M3256" i="14"/>
  <c r="J3252" i="13" a="1"/>
  <c r="J3252" i="13" s="1"/>
  <c r="N3253" i="13"/>
  <c r="M3255" i="13"/>
  <c r="K3089" i="14" l="1"/>
  <c r="L3089" i="14" s="1"/>
  <c r="I3090" i="14" s="1"/>
  <c r="K3067" i="13"/>
  <c r="L3067" i="13" s="1"/>
  <c r="I3068" i="13" s="1"/>
  <c r="J3253" i="13" a="1"/>
  <c r="J3253" i="13" s="1"/>
  <c r="N3254" i="13"/>
  <c r="M3257" i="14"/>
  <c r="M3256" i="13"/>
  <c r="N3253" i="14"/>
  <c r="J3252" i="14" a="1"/>
  <c r="J3252" i="14" s="1"/>
  <c r="K3068" i="13" l="1"/>
  <c r="L3068" i="13" s="1"/>
  <c r="I3069" i="13" s="1"/>
  <c r="K3090" i="14"/>
  <c r="L3090" i="14" s="1"/>
  <c r="I3091" i="14" s="1"/>
  <c r="N3254" i="14"/>
  <c r="J3253" i="14" a="1"/>
  <c r="J3253" i="14" s="1"/>
  <c r="M3258" i="14"/>
  <c r="N3255" i="13"/>
  <c r="J3254" i="13" a="1"/>
  <c r="J3254" i="13" s="1"/>
  <c r="M3257" i="13"/>
  <c r="K3091" i="14" l="1"/>
  <c r="L3091" i="14" s="1"/>
  <c r="I3092" i="14" s="1"/>
  <c r="K3069" i="13"/>
  <c r="L3069" i="13" s="1"/>
  <c r="I3070" i="13" s="1"/>
  <c r="J3255" i="13" a="1"/>
  <c r="J3255" i="13" s="1"/>
  <c r="N3256" i="13"/>
  <c r="M3258" i="13"/>
  <c r="M3259" i="14"/>
  <c r="J3254" i="14" a="1"/>
  <c r="J3254" i="14" s="1"/>
  <c r="N3255" i="14"/>
  <c r="K3070" i="13" l="1"/>
  <c r="L3070" i="13" s="1"/>
  <c r="I3071" i="13" s="1"/>
  <c r="K3092" i="14"/>
  <c r="L3092" i="14" s="1"/>
  <c r="I3093" i="14" s="1"/>
  <c r="N3256" i="14"/>
  <c r="J3255" i="14" a="1"/>
  <c r="J3255" i="14" s="1"/>
  <c r="M3260" i="14"/>
  <c r="M3259" i="13"/>
  <c r="J3256" i="13" a="1"/>
  <c r="J3256" i="13" s="1"/>
  <c r="N3257" i="13"/>
  <c r="K3093" i="14" l="1"/>
  <c r="L3093" i="14" s="1"/>
  <c r="I3094" i="14" s="1"/>
  <c r="K3071" i="13"/>
  <c r="L3071" i="13" s="1"/>
  <c r="I3072" i="13" s="1"/>
  <c r="J3257" i="13" a="1"/>
  <c r="J3257" i="13" s="1"/>
  <c r="N3258" i="13"/>
  <c r="M3261" i="14"/>
  <c r="M3260" i="13"/>
  <c r="N3257" i="14"/>
  <c r="J3256" i="14" a="1"/>
  <c r="J3256" i="14" s="1"/>
  <c r="K3072" i="13" l="1"/>
  <c r="L3072" i="13" s="1"/>
  <c r="I3073" i="13" s="1"/>
  <c r="K3094" i="14"/>
  <c r="L3094" i="14" s="1"/>
  <c r="I3095" i="14" s="1"/>
  <c r="N3258" i="14"/>
  <c r="J3257" i="14" a="1"/>
  <c r="J3257" i="14" s="1"/>
  <c r="M3262" i="14"/>
  <c r="N3259" i="13"/>
  <c r="J3258" i="13" a="1"/>
  <c r="J3258" i="13" s="1"/>
  <c r="M3261" i="13"/>
  <c r="K3095" i="14" l="1"/>
  <c r="L3095" i="14" s="1"/>
  <c r="I3096" i="14" s="1"/>
  <c r="K3073" i="13"/>
  <c r="L3073" i="13" s="1"/>
  <c r="I3074" i="13" s="1"/>
  <c r="M3262" i="13"/>
  <c r="M3263" i="14"/>
  <c r="J3259" i="13" a="1"/>
  <c r="J3259" i="13" s="1"/>
  <c r="N3260" i="13"/>
  <c r="J3258" i="14" a="1"/>
  <c r="J3258" i="14" s="1"/>
  <c r="N3259" i="14"/>
  <c r="K3074" i="13" l="1"/>
  <c r="L3074" i="13" s="1"/>
  <c r="I3075" i="13" s="1"/>
  <c r="K3096" i="14"/>
  <c r="L3096" i="14" s="1"/>
  <c r="I3097" i="14" s="1"/>
  <c r="N3260" i="14"/>
  <c r="J3259" i="14" a="1"/>
  <c r="J3259" i="14" s="1"/>
  <c r="M3264" i="14"/>
  <c r="J3260" i="13" a="1"/>
  <c r="J3260" i="13" s="1"/>
  <c r="N3261" i="13"/>
  <c r="M3263" i="13"/>
  <c r="K3097" i="14" l="1"/>
  <c r="L3097" i="14" s="1"/>
  <c r="I3098" i="14" s="1"/>
  <c r="K3075" i="13"/>
  <c r="L3075" i="13" s="1"/>
  <c r="I3076" i="13" s="1"/>
  <c r="M3265" i="14"/>
  <c r="M3264" i="13"/>
  <c r="J3261" i="13" a="1"/>
  <c r="J3261" i="13" s="1"/>
  <c r="N3262" i="13"/>
  <c r="N3261" i="14"/>
  <c r="J3260" i="14" a="1"/>
  <c r="J3260" i="14" s="1"/>
  <c r="K3076" i="13" l="1"/>
  <c r="L3076" i="13" s="1"/>
  <c r="I3077" i="13" s="1"/>
  <c r="K3098" i="14"/>
  <c r="L3098" i="14" s="1"/>
  <c r="I3099" i="14" s="1"/>
  <c r="N3262" i="14"/>
  <c r="J3261" i="14" a="1"/>
  <c r="J3261" i="14" s="1"/>
  <c r="M3265" i="13"/>
  <c r="N3263" i="13"/>
  <c r="J3262" i="13" a="1"/>
  <c r="J3262" i="13" s="1"/>
  <c r="M3266" i="14"/>
  <c r="K3099" i="14" l="1"/>
  <c r="L3099" i="14" s="1"/>
  <c r="I3100" i="14" s="1"/>
  <c r="K3077" i="13"/>
  <c r="L3077" i="13" s="1"/>
  <c r="I3078" i="13" s="1"/>
  <c r="M3266" i="13"/>
  <c r="M3267" i="14"/>
  <c r="J3263" i="13" a="1"/>
  <c r="J3263" i="13" s="1"/>
  <c r="N3264" i="13"/>
  <c r="J3262" i="14" a="1"/>
  <c r="J3262" i="14" s="1"/>
  <c r="N3263" i="14"/>
  <c r="K3078" i="13" l="1"/>
  <c r="L3078" i="13" s="1"/>
  <c r="I3079" i="13" s="1"/>
  <c r="K3100" i="14"/>
  <c r="L3100" i="14" s="1"/>
  <c r="I3101" i="14" s="1"/>
  <c r="N3264" i="14"/>
  <c r="J3263" i="14" a="1"/>
  <c r="J3263" i="14" s="1"/>
  <c r="M3268" i="14"/>
  <c r="J3264" i="13" a="1"/>
  <c r="J3264" i="13" s="1"/>
  <c r="N3265" i="13"/>
  <c r="M3267" i="13"/>
  <c r="K3079" i="13" l="1"/>
  <c r="L3079" i="13" s="1"/>
  <c r="I3080" i="13" s="1"/>
  <c r="M3268" i="13"/>
  <c r="M3269" i="14"/>
  <c r="K3101" i="14"/>
  <c r="L3101" i="14" s="1"/>
  <c r="I3102" i="14" s="1"/>
  <c r="J3265" i="13" a="1"/>
  <c r="J3265" i="13" s="1"/>
  <c r="N3266" i="13"/>
  <c r="N3265" i="14"/>
  <c r="J3264" i="14" a="1"/>
  <c r="J3264" i="14" s="1"/>
  <c r="K3102" i="14" l="1"/>
  <c r="L3102" i="14" s="1"/>
  <c r="I3103" i="14" s="1"/>
  <c r="K3080" i="13"/>
  <c r="L3080" i="13" s="1"/>
  <c r="I3081" i="13" s="1"/>
  <c r="M3269" i="13"/>
  <c r="N3267" i="13"/>
  <c r="J3266" i="13" a="1"/>
  <c r="J3266" i="13" s="1"/>
  <c r="N3266" i="14"/>
  <c r="J3265" i="14" a="1"/>
  <c r="J3265" i="14" s="1"/>
  <c r="M3270" i="14"/>
  <c r="K3081" i="13" l="1"/>
  <c r="L3081" i="13" s="1"/>
  <c r="I3082" i="13" s="1"/>
  <c r="K3103" i="14"/>
  <c r="L3103" i="14" s="1"/>
  <c r="I3104" i="14" s="1"/>
  <c r="J3267" i="13" a="1"/>
  <c r="J3267" i="13" s="1"/>
  <c r="N3268" i="13"/>
  <c r="M3270" i="13"/>
  <c r="M3271" i="14"/>
  <c r="J3266" i="14" a="1"/>
  <c r="J3266" i="14" s="1"/>
  <c r="N3267" i="14"/>
  <c r="K3104" i="14" l="1"/>
  <c r="L3104" i="14" s="1"/>
  <c r="I3105" i="14" s="1"/>
  <c r="K3082" i="13"/>
  <c r="L3082" i="13" s="1"/>
  <c r="I3083" i="13" s="1"/>
  <c r="N3268" i="14"/>
  <c r="J3267" i="14" a="1"/>
  <c r="J3267" i="14" s="1"/>
  <c r="M3271" i="13"/>
  <c r="M3272" i="14"/>
  <c r="J3268" i="13" a="1"/>
  <c r="J3268" i="13" s="1"/>
  <c r="N3269" i="13"/>
  <c r="K3083" i="13" l="1"/>
  <c r="L3083" i="13" s="1"/>
  <c r="I3084" i="13" s="1"/>
  <c r="K3105" i="14"/>
  <c r="L3105" i="14" s="1"/>
  <c r="I3106" i="14" s="1"/>
  <c r="J3269" i="13" a="1"/>
  <c r="J3269" i="13" s="1"/>
  <c r="N3270" i="13"/>
  <c r="M3272" i="13"/>
  <c r="M3273" i="14"/>
  <c r="N3269" i="14"/>
  <c r="J3268" i="14" a="1"/>
  <c r="J3268" i="14" s="1"/>
  <c r="K3106" i="14" l="1"/>
  <c r="L3106" i="14" s="1"/>
  <c r="I3107" i="14" s="1"/>
  <c r="K3084" i="13"/>
  <c r="L3084" i="13" s="1"/>
  <c r="I3085" i="13" s="1"/>
  <c r="N3270" i="14"/>
  <c r="J3269" i="14" a="1"/>
  <c r="J3269" i="14" s="1"/>
  <c r="M3273" i="13"/>
  <c r="N3271" i="13"/>
  <c r="J3270" i="13" a="1"/>
  <c r="J3270" i="13" s="1"/>
  <c r="M3274" i="14"/>
  <c r="K3085" i="13" l="1"/>
  <c r="L3085" i="13" s="1"/>
  <c r="I3086" i="13" s="1"/>
  <c r="K3107" i="14"/>
  <c r="L3107" i="14" s="1"/>
  <c r="I3108" i="14" s="1"/>
  <c r="M3275" i="14"/>
  <c r="M3274" i="13"/>
  <c r="J3271" i="13" a="1"/>
  <c r="J3271" i="13" s="1"/>
  <c r="N3272" i="13"/>
  <c r="J3270" i="14" a="1"/>
  <c r="J3270" i="14" s="1"/>
  <c r="N3271" i="14"/>
  <c r="K3108" i="14" l="1"/>
  <c r="L3108" i="14" s="1"/>
  <c r="I3109" i="14" s="1"/>
  <c r="K3086" i="13"/>
  <c r="L3086" i="13" s="1"/>
  <c r="I3087" i="13" s="1"/>
  <c r="N3272" i="14"/>
  <c r="J3271" i="14" a="1"/>
  <c r="J3271" i="14" s="1"/>
  <c r="M3275" i="13"/>
  <c r="J3272" i="13" a="1"/>
  <c r="J3272" i="13" s="1"/>
  <c r="N3273" i="13"/>
  <c r="M3276" i="14"/>
  <c r="K3087" i="13" l="1"/>
  <c r="L3087" i="13" s="1"/>
  <c r="I3088" i="13" s="1"/>
  <c r="K3109" i="14"/>
  <c r="L3109" i="14" s="1"/>
  <c r="I3110" i="14" s="1"/>
  <c r="M3277" i="14"/>
  <c r="J3273" i="13" a="1"/>
  <c r="J3273" i="13" s="1"/>
  <c r="N3274" i="13"/>
  <c r="M3276" i="13"/>
  <c r="N3273" i="14"/>
  <c r="J3272" i="14" a="1"/>
  <c r="J3272" i="14" s="1"/>
  <c r="K3110" i="14" l="1"/>
  <c r="L3110" i="14" s="1"/>
  <c r="I3111" i="14" s="1"/>
  <c r="K3088" i="13"/>
  <c r="L3088" i="13" s="1"/>
  <c r="I3089" i="13" s="1"/>
  <c r="N3275" i="13"/>
  <c r="J3274" i="13" a="1"/>
  <c r="J3274" i="13" s="1"/>
  <c r="N3274" i="14"/>
  <c r="J3273" i="14" a="1"/>
  <c r="J3273" i="14" s="1"/>
  <c r="M3277" i="13"/>
  <c r="M3278" i="14"/>
  <c r="K3089" i="13" l="1"/>
  <c r="L3089" i="13" s="1"/>
  <c r="I3090" i="13" s="1"/>
  <c r="K3111" i="14"/>
  <c r="L3111" i="14" s="1"/>
  <c r="I3112" i="14" s="1"/>
  <c r="J3274" i="14" a="1"/>
  <c r="J3274" i="14" s="1"/>
  <c r="N3275" i="14"/>
  <c r="M3279" i="14"/>
  <c r="M3278" i="13"/>
  <c r="J3275" i="13" a="1"/>
  <c r="J3275" i="13" s="1"/>
  <c r="N3276" i="13"/>
  <c r="K3112" i="14" l="1"/>
  <c r="L3112" i="14" s="1"/>
  <c r="I3113" i="14" s="1"/>
  <c r="K3090" i="13"/>
  <c r="L3090" i="13" s="1"/>
  <c r="I3091" i="13" s="1"/>
  <c r="J3276" i="13" a="1"/>
  <c r="J3276" i="13" s="1"/>
  <c r="N3277" i="13"/>
  <c r="M3280" i="14"/>
  <c r="N3276" i="14"/>
  <c r="J3275" i="14" a="1"/>
  <c r="J3275" i="14" s="1"/>
  <c r="M3279" i="13"/>
  <c r="K3091" i="13" l="1"/>
  <c r="L3091" i="13" s="1"/>
  <c r="I3092" i="13" s="1"/>
  <c r="K3113" i="14"/>
  <c r="L3113" i="14" s="1"/>
  <c r="I3114" i="14" s="1"/>
  <c r="M3281" i="14"/>
  <c r="N3277" i="14"/>
  <c r="J3276" i="14" a="1"/>
  <c r="J3276" i="14" s="1"/>
  <c r="M3280" i="13"/>
  <c r="J3277" i="13" a="1"/>
  <c r="J3277" i="13" s="1"/>
  <c r="N3278" i="13"/>
  <c r="K3114" i="14" l="1"/>
  <c r="L3114" i="14" s="1"/>
  <c r="I3115" i="14" s="1"/>
  <c r="K3092" i="13"/>
  <c r="L3092" i="13" s="1"/>
  <c r="I3093" i="13" s="1"/>
  <c r="N3279" i="13"/>
  <c r="J3278" i="13" a="1"/>
  <c r="J3278" i="13" s="1"/>
  <c r="N3278" i="14"/>
  <c r="J3277" i="14" a="1"/>
  <c r="J3277" i="14" s="1"/>
  <c r="M3281" i="13"/>
  <c r="M3282" i="14"/>
  <c r="K3093" i="13" l="1"/>
  <c r="L3093" i="13" s="1"/>
  <c r="I3094" i="13" s="1"/>
  <c r="K3115" i="14"/>
  <c r="L3115" i="14" s="1"/>
  <c r="I3116" i="14" s="1"/>
  <c r="M3283" i="14"/>
  <c r="J3278" i="14" a="1"/>
  <c r="J3278" i="14" s="1"/>
  <c r="N3279" i="14"/>
  <c r="M3282" i="13"/>
  <c r="J3279" i="13" a="1"/>
  <c r="J3279" i="13" s="1"/>
  <c r="N3280" i="13"/>
  <c r="K3116" i="14" l="1"/>
  <c r="L3116" i="14" s="1"/>
  <c r="I3117" i="14" s="1"/>
  <c r="K3094" i="13"/>
  <c r="L3094" i="13" s="1"/>
  <c r="I3095" i="13" s="1"/>
  <c r="N3280" i="14"/>
  <c r="J3279" i="14" a="1"/>
  <c r="J3279" i="14" s="1"/>
  <c r="J3280" i="13" a="1"/>
  <c r="J3280" i="13" s="1"/>
  <c r="N3281" i="13"/>
  <c r="M3283" i="13"/>
  <c r="M3284" i="14"/>
  <c r="K3095" i="13" l="1"/>
  <c r="L3095" i="13" s="1"/>
  <c r="I3096" i="13" s="1"/>
  <c r="K3117" i="14"/>
  <c r="L3117" i="14" s="1"/>
  <c r="I3118" i="14" s="1"/>
  <c r="M3285" i="14"/>
  <c r="J3281" i="13" a="1"/>
  <c r="J3281" i="13" s="1"/>
  <c r="N3282" i="13"/>
  <c r="M3284" i="13"/>
  <c r="J3280" i="14" a="1"/>
  <c r="J3280" i="14" s="1"/>
  <c r="N3281" i="14"/>
  <c r="K3118" i="14" l="1"/>
  <c r="L3118" i="14" s="1"/>
  <c r="I3119" i="14" s="1"/>
  <c r="K3096" i="13"/>
  <c r="L3096" i="13" s="1"/>
  <c r="I3097" i="13" s="1"/>
  <c r="N3283" i="13"/>
  <c r="J3282" i="13" a="1"/>
  <c r="J3282" i="13" s="1"/>
  <c r="N3282" i="14"/>
  <c r="J3281" i="14" a="1"/>
  <c r="J3281" i="14" s="1"/>
  <c r="M3285" i="13"/>
  <c r="M3286" i="14"/>
  <c r="K3097" i="13" l="1"/>
  <c r="L3097" i="13" s="1"/>
  <c r="I3098" i="13" s="1"/>
  <c r="K3119" i="14"/>
  <c r="L3119" i="14" s="1"/>
  <c r="I3120" i="14" s="1"/>
  <c r="J3282" i="14" a="1"/>
  <c r="J3282" i="14" s="1"/>
  <c r="N3283" i="14"/>
  <c r="M3287" i="14"/>
  <c r="M3286" i="13"/>
  <c r="J3283" i="13" a="1"/>
  <c r="J3283" i="13" s="1"/>
  <c r="N3284" i="13"/>
  <c r="K3120" i="14" l="1"/>
  <c r="L3120" i="14" s="1"/>
  <c r="I3121" i="14" s="1"/>
  <c r="K3098" i="13"/>
  <c r="L3098" i="13" s="1"/>
  <c r="I3099" i="13" s="1"/>
  <c r="J3284" i="13" a="1"/>
  <c r="J3284" i="13" s="1"/>
  <c r="N3285" i="13"/>
  <c r="M3288" i="14"/>
  <c r="N3284" i="14"/>
  <c r="J3283" i="14" a="1"/>
  <c r="J3283" i="14" s="1"/>
  <c r="M3287" i="13"/>
  <c r="K3121" i="14" l="1"/>
  <c r="L3121" i="14" s="1"/>
  <c r="I3122" i="14" s="1"/>
  <c r="M3289" i="14"/>
  <c r="M3288" i="13"/>
  <c r="K3099" i="13"/>
  <c r="L3099" i="13" s="1"/>
  <c r="I3100" i="13" s="1"/>
  <c r="J3285" i="13" a="1"/>
  <c r="J3285" i="13" s="1"/>
  <c r="N3286" i="13"/>
  <c r="N3285" i="14"/>
  <c r="J3284" i="14" a="1"/>
  <c r="J3284" i="14" s="1"/>
  <c r="K3122" i="14" l="1"/>
  <c r="L3122" i="14" s="1"/>
  <c r="I3123" i="14" s="1"/>
  <c r="N3286" i="14"/>
  <c r="J3285" i="14" a="1"/>
  <c r="J3285" i="14" s="1"/>
  <c r="M3290" i="14"/>
  <c r="N3287" i="13"/>
  <c r="J3286" i="13" a="1"/>
  <c r="J3286" i="13" s="1"/>
  <c r="K3100" i="13"/>
  <c r="L3100" i="13" s="1"/>
  <c r="I3101" i="13" s="1"/>
  <c r="M3289" i="13"/>
  <c r="K3101" i="13" l="1"/>
  <c r="L3101" i="13" s="1"/>
  <c r="I3102" i="13" s="1"/>
  <c r="K3123" i="14"/>
  <c r="L3123" i="14" s="1"/>
  <c r="I3124" i="14" s="1"/>
  <c r="J3287" i="13" a="1"/>
  <c r="J3287" i="13" s="1"/>
  <c r="N3288" i="13"/>
  <c r="J3286" i="14" a="1"/>
  <c r="J3286" i="14" s="1"/>
  <c r="N3287" i="14"/>
  <c r="M3290" i="13"/>
  <c r="M3291" i="14"/>
  <c r="K3124" i="14" l="1"/>
  <c r="L3124" i="14" s="1"/>
  <c r="I3125" i="14" s="1"/>
  <c r="K3102" i="13"/>
  <c r="L3102" i="13" s="1"/>
  <c r="I3103" i="13" s="1"/>
  <c r="N3288" i="14"/>
  <c r="J3287" i="14" a="1"/>
  <c r="J3287" i="14" s="1"/>
  <c r="M3292" i="14"/>
  <c r="J3288" i="13" a="1"/>
  <c r="J3288" i="13" s="1"/>
  <c r="N3289" i="13"/>
  <c r="M3291" i="13"/>
  <c r="K3103" i="13" l="1"/>
  <c r="L3103" i="13" s="1"/>
  <c r="I3104" i="13" s="1"/>
  <c r="K3125" i="14"/>
  <c r="L3125" i="14" s="1"/>
  <c r="I3126" i="14" s="1"/>
  <c r="J3289" i="13" a="1"/>
  <c r="J3289" i="13" s="1"/>
  <c r="N3290" i="13"/>
  <c r="M3293" i="14"/>
  <c r="M3292" i="13"/>
  <c r="N3289" i="14"/>
  <c r="J3288" i="14" a="1"/>
  <c r="J3288" i="14" s="1"/>
  <c r="K3126" i="14" l="1"/>
  <c r="L3126" i="14" s="1"/>
  <c r="I3127" i="14" s="1"/>
  <c r="K3104" i="13"/>
  <c r="L3104" i="13" s="1"/>
  <c r="I3105" i="13" s="1"/>
  <c r="N3290" i="14"/>
  <c r="J3289" i="14" a="1"/>
  <c r="J3289" i="14" s="1"/>
  <c r="M3294" i="14"/>
  <c r="N3291" i="13"/>
  <c r="J3290" i="13" a="1"/>
  <c r="J3290" i="13" s="1"/>
  <c r="M3293" i="13"/>
  <c r="K3105" i="13" l="1"/>
  <c r="L3105" i="13" s="1"/>
  <c r="I3106" i="13" s="1"/>
  <c r="K3127" i="14"/>
  <c r="L3127" i="14" s="1"/>
  <c r="I3128" i="14" s="1"/>
  <c r="M3294" i="13"/>
  <c r="M3295" i="14"/>
  <c r="J3291" i="13" a="1"/>
  <c r="J3291" i="13" s="1"/>
  <c r="N3292" i="13"/>
  <c r="J3290" i="14" a="1"/>
  <c r="J3290" i="14" s="1"/>
  <c r="N3291" i="14"/>
  <c r="K3128" i="14" l="1"/>
  <c r="L3128" i="14" s="1"/>
  <c r="I3129" i="14" s="1"/>
  <c r="K3106" i="13"/>
  <c r="L3106" i="13" s="1"/>
  <c r="I3107" i="13" s="1"/>
  <c r="N3292" i="14"/>
  <c r="J3291" i="14" a="1"/>
  <c r="J3291" i="14" s="1"/>
  <c r="M3296" i="14"/>
  <c r="J3292" i="13" a="1"/>
  <c r="J3292" i="13" s="1"/>
  <c r="N3293" i="13"/>
  <c r="M3295" i="13"/>
  <c r="K3107" i="13" l="1"/>
  <c r="L3107" i="13" s="1"/>
  <c r="I3108" i="13" s="1"/>
  <c r="M3297" i="14"/>
  <c r="N3293" i="14"/>
  <c r="J3292" i="14" a="1"/>
  <c r="J3292" i="14" s="1"/>
  <c r="M3296" i="13"/>
  <c r="J3293" i="13" a="1"/>
  <c r="J3293" i="13" s="1"/>
  <c r="N3294" i="13"/>
  <c r="K3129" i="14"/>
  <c r="L3129" i="14" s="1"/>
  <c r="I3130" i="14" s="1"/>
  <c r="K3130" i="14" l="1"/>
  <c r="L3130" i="14" s="1"/>
  <c r="I3131" i="14" s="1"/>
  <c r="K3108" i="13"/>
  <c r="L3108" i="13" s="1"/>
  <c r="I3109" i="13" s="1"/>
  <c r="N3295" i="13"/>
  <c r="J3294" i="13" a="1"/>
  <c r="J3294" i="13" s="1"/>
  <c r="M3297" i="13"/>
  <c r="M3298" i="14"/>
  <c r="N3294" i="14"/>
  <c r="J3293" i="14" a="1"/>
  <c r="J3293" i="14" s="1"/>
  <c r="K3109" i="13" l="1"/>
  <c r="L3109" i="13" s="1"/>
  <c r="I3110" i="13" s="1"/>
  <c r="K3131" i="14"/>
  <c r="L3131" i="14" s="1"/>
  <c r="I3132" i="14" s="1"/>
  <c r="M3298" i="13"/>
  <c r="J3294" i="14" a="1"/>
  <c r="J3294" i="14" s="1"/>
  <c r="N3295" i="14"/>
  <c r="M3299" i="14"/>
  <c r="J3295" i="13" a="1"/>
  <c r="J3295" i="13" s="1"/>
  <c r="N3296" i="13"/>
  <c r="K3132" i="14" l="1"/>
  <c r="L3132" i="14" s="1"/>
  <c r="I3133" i="14" s="1"/>
  <c r="K3110" i="13"/>
  <c r="L3110" i="13" s="1"/>
  <c r="I3111" i="13" s="1"/>
  <c r="J3296" i="13" a="1"/>
  <c r="J3296" i="13" s="1"/>
  <c r="N3297" i="13"/>
  <c r="N3296" i="14"/>
  <c r="J3295" i="14" a="1"/>
  <c r="J3295" i="14" s="1"/>
  <c r="M3300" i="14"/>
  <c r="M3299" i="13"/>
  <c r="K3111" i="13" l="1"/>
  <c r="L3111" i="13" s="1"/>
  <c r="I3112" i="13" s="1"/>
  <c r="K3133" i="14"/>
  <c r="L3133" i="14" s="1"/>
  <c r="I3134" i="14" s="1"/>
  <c r="N3297" i="14"/>
  <c r="J3296" i="14" a="1"/>
  <c r="J3296" i="14" s="1"/>
  <c r="J3297" i="13" a="1"/>
  <c r="J3297" i="13" s="1"/>
  <c r="N3298" i="13"/>
  <c r="M3300" i="13"/>
  <c r="M3301" i="14"/>
  <c r="K3134" i="14" l="1"/>
  <c r="L3134" i="14" s="1"/>
  <c r="I3135" i="14" s="1"/>
  <c r="K3112" i="13"/>
  <c r="L3112" i="13" s="1"/>
  <c r="I3113" i="13" s="1"/>
  <c r="N3299" i="13"/>
  <c r="J3298" i="13" a="1"/>
  <c r="J3298" i="13" s="1"/>
  <c r="M3302" i="14"/>
  <c r="M3301" i="13"/>
  <c r="N3298" i="14"/>
  <c r="J3297" i="14" a="1"/>
  <c r="J3297" i="14" s="1"/>
  <c r="K3113" i="13" l="1"/>
  <c r="L3113" i="13" s="1"/>
  <c r="I3114" i="13" s="1"/>
  <c r="K3135" i="14"/>
  <c r="L3135" i="14" s="1"/>
  <c r="I3136" i="14" s="1"/>
  <c r="J3298" i="14" a="1"/>
  <c r="J3298" i="14" s="1"/>
  <c r="N3299" i="14"/>
  <c r="M3303" i="14"/>
  <c r="M3302" i="13"/>
  <c r="J3299" i="13" a="1"/>
  <c r="J3299" i="13" s="1"/>
  <c r="N3300" i="13"/>
  <c r="K3136" i="14" l="1"/>
  <c r="L3136" i="14" s="1"/>
  <c r="I3137" i="14" s="1"/>
  <c r="K3114" i="13"/>
  <c r="L3114" i="13" s="1"/>
  <c r="I3115" i="13" s="1"/>
  <c r="J3300" i="13" a="1"/>
  <c r="J3300" i="13" s="1"/>
  <c r="N3301" i="13"/>
  <c r="M3304" i="14"/>
  <c r="N3300" i="14"/>
  <c r="J3299" i="14" a="1"/>
  <c r="J3299" i="14" s="1"/>
  <c r="M3303" i="13"/>
  <c r="K3115" i="13" l="1"/>
  <c r="L3115" i="13" s="1"/>
  <c r="I3116" i="13" s="1"/>
  <c r="K3137" i="14"/>
  <c r="L3137" i="14" s="1"/>
  <c r="I3138" i="14" s="1"/>
  <c r="M3305" i="14"/>
  <c r="N3301" i="14"/>
  <c r="J3300" i="14" a="1"/>
  <c r="J3300" i="14" s="1"/>
  <c r="M3304" i="13"/>
  <c r="J3301" i="13" a="1"/>
  <c r="J3301" i="13" s="1"/>
  <c r="N3302" i="13"/>
  <c r="K3138" i="14" l="1"/>
  <c r="L3138" i="14" s="1"/>
  <c r="I3139" i="14" s="1"/>
  <c r="K3116" i="13"/>
  <c r="L3116" i="13" s="1"/>
  <c r="I3117" i="13" s="1"/>
  <c r="N3303" i="13"/>
  <c r="J3302" i="13" a="1"/>
  <c r="J3302" i="13" s="1"/>
  <c r="N3302" i="14"/>
  <c r="J3301" i="14" a="1"/>
  <c r="J3301" i="14" s="1"/>
  <c r="M3305" i="13"/>
  <c r="M3306" i="14"/>
  <c r="K3139" i="14" l="1"/>
  <c r="L3139" i="14" s="1"/>
  <c r="I3140" i="14" s="1"/>
  <c r="J3302" i="14" a="1"/>
  <c r="J3302" i="14" s="1"/>
  <c r="N3303" i="14"/>
  <c r="K3117" i="13"/>
  <c r="L3117" i="13" s="1"/>
  <c r="I3118" i="13" s="1"/>
  <c r="M3307" i="14"/>
  <c r="M3306" i="13"/>
  <c r="J3303" i="13" a="1"/>
  <c r="J3303" i="13" s="1"/>
  <c r="N3304" i="13"/>
  <c r="K3118" i="13" l="1"/>
  <c r="L3118" i="13" s="1"/>
  <c r="I3119" i="13" s="1"/>
  <c r="K3140" i="14"/>
  <c r="L3140" i="14" s="1"/>
  <c r="I3141" i="14" s="1"/>
  <c r="M3308" i="14"/>
  <c r="N3304" i="14"/>
  <c r="J3303" i="14" a="1"/>
  <c r="J3303" i="14" s="1"/>
  <c r="J3304" i="13" a="1"/>
  <c r="J3304" i="13" s="1"/>
  <c r="N3305" i="13"/>
  <c r="M3307" i="13"/>
  <c r="K3141" i="14" l="1"/>
  <c r="L3141" i="14" s="1"/>
  <c r="I3142" i="14" s="1"/>
  <c r="K3119" i="13"/>
  <c r="L3119" i="13" s="1"/>
  <c r="I3120" i="13" s="1"/>
  <c r="N3305" i="14"/>
  <c r="J3304" i="14" a="1"/>
  <c r="J3304" i="14" s="1"/>
  <c r="M3308" i="13"/>
  <c r="J3305" i="13" a="1"/>
  <c r="J3305" i="13" s="1"/>
  <c r="N3306" i="13"/>
  <c r="M3309" i="14"/>
  <c r="K3120" i="13" l="1"/>
  <c r="L3120" i="13" s="1"/>
  <c r="I3121" i="13" s="1"/>
  <c r="K3142" i="14"/>
  <c r="L3142" i="14" s="1"/>
  <c r="I3143" i="14" s="1"/>
  <c r="N3307" i="13"/>
  <c r="J3306" i="13" a="1"/>
  <c r="J3306" i="13" s="1"/>
  <c r="M3310" i="14"/>
  <c r="M3309" i="13"/>
  <c r="N3306" i="14"/>
  <c r="J3305" i="14" a="1"/>
  <c r="J3305" i="14" s="1"/>
  <c r="K3143" i="14" l="1"/>
  <c r="L3143" i="14" s="1"/>
  <c r="I3144" i="14" s="1"/>
  <c r="K3121" i="13"/>
  <c r="L3121" i="13" s="1"/>
  <c r="I3122" i="13" s="1"/>
  <c r="J3306" i="14" a="1"/>
  <c r="J3306" i="14" s="1"/>
  <c r="N3307" i="14"/>
  <c r="M3311" i="14"/>
  <c r="M3310" i="13"/>
  <c r="J3307" i="13" a="1"/>
  <c r="J3307" i="13" s="1"/>
  <c r="N3308" i="13"/>
  <c r="K3122" i="13" l="1"/>
  <c r="L3122" i="13" s="1"/>
  <c r="I3123" i="13" s="1"/>
  <c r="K3144" i="14"/>
  <c r="L3144" i="14" s="1"/>
  <c r="I3145" i="14" s="1"/>
  <c r="M3312" i="14"/>
  <c r="N3308" i="14"/>
  <c r="J3307" i="14" a="1"/>
  <c r="J3307" i="14" s="1"/>
  <c r="J3308" i="13" a="1"/>
  <c r="J3308" i="13" s="1"/>
  <c r="N3309" i="13"/>
  <c r="M3311" i="13"/>
  <c r="K3145" i="14" l="1"/>
  <c r="L3145" i="14" s="1"/>
  <c r="I3146" i="14" s="1"/>
  <c r="K3123" i="13"/>
  <c r="L3123" i="13" s="1"/>
  <c r="I3124" i="13" s="1"/>
  <c r="M3312" i="13"/>
  <c r="N3309" i="14"/>
  <c r="J3308" i="14" a="1"/>
  <c r="J3308" i="14" s="1"/>
  <c r="J3309" i="13" a="1"/>
  <c r="J3309" i="13" s="1"/>
  <c r="N3310" i="13"/>
  <c r="M3313" i="14"/>
  <c r="K3124" i="13" l="1"/>
  <c r="L3124" i="13" s="1"/>
  <c r="I3125" i="13" s="1"/>
  <c r="K3146" i="14"/>
  <c r="L3146" i="14" s="1"/>
  <c r="I3147" i="14" s="1"/>
  <c r="N3310" i="14"/>
  <c r="J3309" i="14" a="1"/>
  <c r="J3309" i="14" s="1"/>
  <c r="N3311" i="13"/>
  <c r="J3310" i="13" a="1"/>
  <c r="J3310" i="13" s="1"/>
  <c r="M3314" i="14"/>
  <c r="M3313" i="13"/>
  <c r="K3147" i="14" l="1"/>
  <c r="L3147" i="14" s="1"/>
  <c r="I3148" i="14" s="1"/>
  <c r="J3310" i="14" a="1"/>
  <c r="J3310" i="14" s="1"/>
  <c r="N3311" i="14"/>
  <c r="M3314" i="13"/>
  <c r="K3125" i="13"/>
  <c r="L3125" i="13" s="1"/>
  <c r="I3126" i="13" s="1"/>
  <c r="J3311" i="13" a="1"/>
  <c r="J3311" i="13" s="1"/>
  <c r="N3312" i="13"/>
  <c r="M3315" i="14"/>
  <c r="K3126" i="13" l="1"/>
  <c r="L3126" i="13" s="1"/>
  <c r="I3127" i="13" s="1"/>
  <c r="K3148" i="14"/>
  <c r="L3148" i="14" s="1"/>
  <c r="I3149" i="14" s="1"/>
  <c r="N3312" i="14"/>
  <c r="J3311" i="14" a="1"/>
  <c r="J3311" i="14" s="1"/>
  <c r="M3316" i="14"/>
  <c r="J3312" i="13" a="1"/>
  <c r="J3312" i="13" s="1"/>
  <c r="N3313" i="13"/>
  <c r="M3315" i="13"/>
  <c r="K3149" i="14" l="1"/>
  <c r="L3149" i="14" s="1"/>
  <c r="I3150" i="14" s="1"/>
  <c r="K3127" i="13"/>
  <c r="L3127" i="13" s="1"/>
  <c r="I3128" i="13" s="1"/>
  <c r="M3317" i="14"/>
  <c r="J3313" i="13" a="1"/>
  <c r="J3313" i="13" s="1"/>
  <c r="N3314" i="13"/>
  <c r="M3316" i="13"/>
  <c r="N3313" i="14"/>
  <c r="J3312" i="14" a="1"/>
  <c r="J3312" i="14" s="1"/>
  <c r="K3128" i="13" l="1"/>
  <c r="L3128" i="13" s="1"/>
  <c r="I3129" i="13" s="1"/>
  <c r="K3150" i="14"/>
  <c r="L3150" i="14" s="1"/>
  <c r="I3151" i="14" s="1"/>
  <c r="N3315" i="13"/>
  <c r="J3314" i="13" a="1"/>
  <c r="J3314" i="13" s="1"/>
  <c r="N3314" i="14"/>
  <c r="J3313" i="14" a="1"/>
  <c r="J3313" i="14" s="1"/>
  <c r="M3317" i="13"/>
  <c r="M3318" i="14"/>
  <c r="K3151" i="14" l="1"/>
  <c r="L3151" i="14" s="1"/>
  <c r="I3152" i="14" s="1"/>
  <c r="K3129" i="13"/>
  <c r="L3129" i="13" s="1"/>
  <c r="I3130" i="13" s="1"/>
  <c r="J3314" i="14" a="1"/>
  <c r="J3314" i="14" s="1"/>
  <c r="N3315" i="14"/>
  <c r="M3319" i="14"/>
  <c r="M3318" i="13"/>
  <c r="J3315" i="13" a="1"/>
  <c r="J3315" i="13" s="1"/>
  <c r="N3316" i="13"/>
  <c r="K3130" i="13" l="1"/>
  <c r="L3130" i="13" s="1"/>
  <c r="I3131" i="13" s="1"/>
  <c r="K3152" i="14"/>
  <c r="L3152" i="14" s="1"/>
  <c r="I3153" i="14" s="1"/>
  <c r="J3316" i="13" a="1"/>
  <c r="J3316" i="13" s="1"/>
  <c r="N3317" i="13"/>
  <c r="M3320" i="14"/>
  <c r="N3316" i="14"/>
  <c r="J3315" i="14" a="1"/>
  <c r="J3315" i="14" s="1"/>
  <c r="M3319" i="13"/>
  <c r="K3153" i="14" l="1"/>
  <c r="L3153" i="14" s="1"/>
  <c r="I3154" i="14" s="1"/>
  <c r="K3131" i="13"/>
  <c r="L3131" i="13" s="1"/>
  <c r="I3132" i="13" s="1"/>
  <c r="M3321" i="14"/>
  <c r="N3317" i="14"/>
  <c r="J3316" i="14" a="1"/>
  <c r="J3316" i="14" s="1"/>
  <c r="M3320" i="13"/>
  <c r="J3317" i="13" a="1"/>
  <c r="J3317" i="13" s="1"/>
  <c r="N3318" i="13"/>
  <c r="K3132" i="13" l="1"/>
  <c r="L3132" i="13" s="1"/>
  <c r="I3133" i="13" s="1"/>
  <c r="K3154" i="14"/>
  <c r="L3154" i="14" s="1"/>
  <c r="I3155" i="14" s="1"/>
  <c r="N3319" i="13"/>
  <c r="J3318" i="13" a="1"/>
  <c r="J3318" i="13" s="1"/>
  <c r="N3318" i="14"/>
  <c r="J3317" i="14" a="1"/>
  <c r="J3317" i="14" s="1"/>
  <c r="M3321" i="13"/>
  <c r="M3322" i="14"/>
  <c r="K3155" i="14" l="1"/>
  <c r="L3155" i="14" s="1"/>
  <c r="I3156" i="14" s="1"/>
  <c r="K3133" i="13"/>
  <c r="L3133" i="13" s="1"/>
  <c r="I3134" i="13" s="1"/>
  <c r="J3318" i="14" a="1"/>
  <c r="J3318" i="14" s="1"/>
  <c r="N3319" i="14"/>
  <c r="M3323" i="14"/>
  <c r="M3322" i="13"/>
  <c r="J3319" i="13" a="1"/>
  <c r="J3319" i="13" s="1"/>
  <c r="N3320" i="13"/>
  <c r="K3134" i="13" l="1"/>
  <c r="L3134" i="13" s="1"/>
  <c r="I3135" i="13" s="1"/>
  <c r="K3156" i="14"/>
  <c r="L3156" i="14" s="1"/>
  <c r="I3157" i="14" s="1"/>
  <c r="J3320" i="13" a="1"/>
  <c r="J3320" i="13" s="1"/>
  <c r="N3321" i="13"/>
  <c r="M3324" i="14"/>
  <c r="M3323" i="13"/>
  <c r="N3320" i="14"/>
  <c r="J3319" i="14" a="1"/>
  <c r="J3319" i="14" s="1"/>
  <c r="K3157" i="14" l="1"/>
  <c r="L3157" i="14" s="1"/>
  <c r="I3158" i="14" s="1"/>
  <c r="K3135" i="13"/>
  <c r="L3135" i="13" s="1"/>
  <c r="I3136" i="13" s="1"/>
  <c r="M3325" i="14"/>
  <c r="N3321" i="14"/>
  <c r="J3320" i="14" a="1"/>
  <c r="J3320" i="14" s="1"/>
  <c r="J3321" i="13" a="1"/>
  <c r="J3321" i="13" s="1"/>
  <c r="N3322" i="13"/>
  <c r="M3324" i="13"/>
  <c r="K3136" i="13" l="1"/>
  <c r="L3136" i="13" s="1"/>
  <c r="I3137" i="13" s="1"/>
  <c r="K3158" i="14"/>
  <c r="L3158" i="14" s="1"/>
  <c r="I3159" i="14" s="1"/>
  <c r="N3322" i="14"/>
  <c r="J3321" i="14" a="1"/>
  <c r="J3321" i="14" s="1"/>
  <c r="M3325" i="13"/>
  <c r="N3323" i="13"/>
  <c r="J3322" i="13" a="1"/>
  <c r="J3322" i="13" s="1"/>
  <c r="M3326" i="14"/>
  <c r="K3159" i="14" l="1"/>
  <c r="L3159" i="14" s="1"/>
  <c r="I3160" i="14" s="1"/>
  <c r="K3137" i="13"/>
  <c r="L3137" i="13" s="1"/>
  <c r="I3138" i="13" s="1"/>
  <c r="M3326" i="13"/>
  <c r="M3327" i="14"/>
  <c r="J3323" i="13" a="1"/>
  <c r="J3323" i="13" s="1"/>
  <c r="N3324" i="13"/>
  <c r="J3322" i="14" a="1"/>
  <c r="J3322" i="14" s="1"/>
  <c r="N3323" i="14"/>
  <c r="K3138" i="13" l="1"/>
  <c r="L3138" i="13" s="1"/>
  <c r="I3139" i="13" s="1"/>
  <c r="K3160" i="14"/>
  <c r="L3160" i="14" s="1"/>
  <c r="I3161" i="14" s="1"/>
  <c r="N3324" i="14"/>
  <c r="J3323" i="14" a="1"/>
  <c r="J3323" i="14" s="1"/>
  <c r="M3328" i="14"/>
  <c r="J3324" i="13" a="1"/>
  <c r="J3324" i="13" s="1"/>
  <c r="N3325" i="13"/>
  <c r="M3327" i="13"/>
  <c r="K3161" i="14" l="1"/>
  <c r="L3161" i="14" s="1"/>
  <c r="I3162" i="14" s="1"/>
  <c r="K3139" i="13"/>
  <c r="L3139" i="13" s="1"/>
  <c r="I3140" i="13" s="1"/>
  <c r="J3325" i="13" a="1"/>
  <c r="J3325" i="13" s="1"/>
  <c r="N3326" i="13"/>
  <c r="M3329" i="14"/>
  <c r="M3328" i="13"/>
  <c r="N3325" i="14"/>
  <c r="J3324" i="14" a="1"/>
  <c r="J3324" i="14" s="1"/>
  <c r="K3140" i="13" l="1"/>
  <c r="L3140" i="13" s="1"/>
  <c r="I3141" i="13" s="1"/>
  <c r="K3162" i="14"/>
  <c r="L3162" i="14" s="1"/>
  <c r="I3163" i="14" s="1"/>
  <c r="N3326" i="14"/>
  <c r="J3325" i="14" a="1"/>
  <c r="J3325" i="14" s="1"/>
  <c r="M3330" i="14"/>
  <c r="N3327" i="13"/>
  <c r="J3326" i="13" a="1"/>
  <c r="J3326" i="13" s="1"/>
  <c r="M3329" i="13"/>
  <c r="K3163" i="14" l="1"/>
  <c r="L3163" i="14" s="1"/>
  <c r="I3164" i="14" s="1"/>
  <c r="K3141" i="13"/>
  <c r="L3141" i="13" s="1"/>
  <c r="I3142" i="13" s="1"/>
  <c r="M3330" i="13"/>
  <c r="M3331" i="14"/>
  <c r="J3327" i="13" a="1"/>
  <c r="J3327" i="13" s="1"/>
  <c r="N3328" i="13"/>
  <c r="J3326" i="14" a="1"/>
  <c r="J3326" i="14" s="1"/>
  <c r="N3327" i="14"/>
  <c r="K3142" i="13" l="1"/>
  <c r="L3142" i="13" s="1"/>
  <c r="I3143" i="13" s="1"/>
  <c r="K3164" i="14"/>
  <c r="L3164" i="14" s="1"/>
  <c r="I3165" i="14" s="1"/>
  <c r="N3328" i="14"/>
  <c r="J3327" i="14" a="1"/>
  <c r="J3327" i="14" s="1"/>
  <c r="M3332" i="14"/>
  <c r="J3328" i="13" a="1"/>
  <c r="J3328" i="13" s="1"/>
  <c r="N3329" i="13"/>
  <c r="M3331" i="13"/>
  <c r="K3165" i="14" l="1"/>
  <c r="L3165" i="14" s="1"/>
  <c r="I3166" i="14" s="1"/>
  <c r="K3143" i="13"/>
  <c r="L3143" i="13" s="1"/>
  <c r="I3144" i="13" s="1"/>
  <c r="J3329" i="13" a="1"/>
  <c r="J3329" i="13" s="1"/>
  <c r="N3330" i="13"/>
  <c r="M3333" i="14"/>
  <c r="M3332" i="13"/>
  <c r="N3329" i="14"/>
  <c r="J3328" i="14" a="1"/>
  <c r="J3328" i="14" s="1"/>
  <c r="K3144" i="13" l="1"/>
  <c r="L3144" i="13" s="1"/>
  <c r="I3145" i="13" s="1"/>
  <c r="K3166" i="14"/>
  <c r="L3166" i="14" s="1"/>
  <c r="I3167" i="14" s="1"/>
  <c r="N3330" i="14"/>
  <c r="J3329" i="14" a="1"/>
  <c r="J3329" i="14" s="1"/>
  <c r="M3334" i="14"/>
  <c r="N3331" i="13"/>
  <c r="J3330" i="13" a="1"/>
  <c r="J3330" i="13" s="1"/>
  <c r="M3333" i="13"/>
  <c r="K3167" i="14" l="1"/>
  <c r="L3167" i="14" s="1"/>
  <c r="I3168" i="14" s="1"/>
  <c r="K3145" i="13"/>
  <c r="L3145" i="13" s="1"/>
  <c r="I3146" i="13" s="1"/>
  <c r="M3334" i="13"/>
  <c r="J3331" i="13" a="1"/>
  <c r="J3331" i="13" s="1"/>
  <c r="N3332" i="13"/>
  <c r="M3335" i="14"/>
  <c r="J3330" i="14" a="1"/>
  <c r="J3330" i="14" s="1"/>
  <c r="N3331" i="14"/>
  <c r="K3146" i="13" l="1"/>
  <c r="L3146" i="13" s="1"/>
  <c r="I3147" i="13" s="1"/>
  <c r="K3168" i="14"/>
  <c r="L3168" i="14" s="1"/>
  <c r="I3169" i="14" s="1"/>
  <c r="J3332" i="13" a="1"/>
  <c r="J3332" i="13" s="1"/>
  <c r="N3333" i="13"/>
  <c r="N3332" i="14"/>
  <c r="J3331" i="14" a="1"/>
  <c r="J3331" i="14" s="1"/>
  <c r="M3336" i="14"/>
  <c r="M3335" i="13"/>
  <c r="K3169" i="14" l="1"/>
  <c r="L3169" i="14" s="1"/>
  <c r="I3170" i="14" s="1"/>
  <c r="K3147" i="13"/>
  <c r="L3147" i="13" s="1"/>
  <c r="I3148" i="13" s="1"/>
  <c r="N3333" i="14"/>
  <c r="J3332" i="14" a="1"/>
  <c r="J3332" i="14" s="1"/>
  <c r="M3337" i="14"/>
  <c r="J3333" i="13" a="1"/>
  <c r="J3333" i="13" s="1"/>
  <c r="N3334" i="13"/>
  <c r="M3336" i="13"/>
  <c r="K3148" i="13" l="1"/>
  <c r="L3148" i="13" s="1"/>
  <c r="I3149" i="13" s="1"/>
  <c r="K3170" i="14"/>
  <c r="L3170" i="14" s="1"/>
  <c r="I3171" i="14" s="1"/>
  <c r="N3335" i="13"/>
  <c r="J3334" i="13" a="1"/>
  <c r="J3334" i="13" s="1"/>
  <c r="M3337" i="13"/>
  <c r="M3338" i="14"/>
  <c r="N3334" i="14"/>
  <c r="J3333" i="14" a="1"/>
  <c r="J3333" i="14" s="1"/>
  <c r="K3171" i="14" l="1"/>
  <c r="L3171" i="14" s="1"/>
  <c r="I3172" i="14" s="1"/>
  <c r="K3149" i="13"/>
  <c r="L3149" i="13" s="1"/>
  <c r="I3150" i="13" s="1"/>
  <c r="M3338" i="13"/>
  <c r="J3334" i="14" a="1"/>
  <c r="J3334" i="14" s="1"/>
  <c r="N3335" i="14"/>
  <c r="M3339" i="14"/>
  <c r="J3335" i="13" a="1"/>
  <c r="J3335" i="13" s="1"/>
  <c r="N3336" i="13"/>
  <c r="K3150" i="13" l="1"/>
  <c r="L3150" i="13" s="1"/>
  <c r="I3151" i="13" s="1"/>
  <c r="K3172" i="14"/>
  <c r="L3172" i="14" s="1"/>
  <c r="I3173" i="14" s="1"/>
  <c r="J3336" i="13" a="1"/>
  <c r="J3336" i="13" s="1"/>
  <c r="N3337" i="13"/>
  <c r="N3336" i="14"/>
  <c r="J3335" i="14" a="1"/>
  <c r="J3335" i="14" s="1"/>
  <c r="M3340" i="14"/>
  <c r="M3339" i="13"/>
  <c r="K3173" i="14" l="1"/>
  <c r="L3173" i="14" s="1"/>
  <c r="I3174" i="14" s="1"/>
  <c r="K3151" i="13"/>
  <c r="L3151" i="13" s="1"/>
  <c r="I3152" i="13" s="1"/>
  <c r="N3337" i="14"/>
  <c r="J3336" i="14" a="1"/>
  <c r="J3336" i="14" s="1"/>
  <c r="J3337" i="13" a="1"/>
  <c r="J3337" i="13" s="1"/>
  <c r="N3338" i="13"/>
  <c r="M3340" i="13"/>
  <c r="M3341" i="14"/>
  <c r="K3152" i="13" l="1"/>
  <c r="L3152" i="13" s="1"/>
  <c r="I3153" i="13" s="1"/>
  <c r="K3174" i="14"/>
  <c r="L3174" i="14" s="1"/>
  <c r="I3175" i="14" s="1"/>
  <c r="N3339" i="13"/>
  <c r="J3338" i="13" a="1"/>
  <c r="J3338" i="13" s="1"/>
  <c r="M3342" i="14"/>
  <c r="M3341" i="13"/>
  <c r="N3338" i="14"/>
  <c r="J3337" i="14" a="1"/>
  <c r="J3337" i="14" s="1"/>
  <c r="K3175" i="14" l="1"/>
  <c r="L3175" i="14" s="1"/>
  <c r="I3176" i="14" s="1"/>
  <c r="K3153" i="13"/>
  <c r="L3153" i="13" s="1"/>
  <c r="I3154" i="13" s="1"/>
  <c r="J3338" i="14" a="1"/>
  <c r="J3338" i="14" s="1"/>
  <c r="N3339" i="14"/>
  <c r="M3343" i="14"/>
  <c r="M3342" i="13"/>
  <c r="J3339" i="13" a="1"/>
  <c r="J3339" i="13" s="1"/>
  <c r="N3340" i="13"/>
  <c r="K3154" i="13" l="1"/>
  <c r="L3154" i="13" s="1"/>
  <c r="I3155" i="13" s="1"/>
  <c r="K3176" i="14"/>
  <c r="L3176" i="14" s="1"/>
  <c r="I3177" i="14" s="1"/>
  <c r="J3340" i="13" a="1"/>
  <c r="J3340" i="13" s="1"/>
  <c r="N3341" i="13"/>
  <c r="N3340" i="14"/>
  <c r="J3339" i="14" a="1"/>
  <c r="J3339" i="14" s="1"/>
  <c r="M3344" i="14"/>
  <c r="M3343" i="13"/>
  <c r="K3177" i="14" l="1"/>
  <c r="L3177" i="14" s="1"/>
  <c r="I3178" i="14" s="1"/>
  <c r="K3155" i="13"/>
  <c r="L3155" i="13" s="1"/>
  <c r="I3156" i="13" s="1"/>
  <c r="M3344" i="13"/>
  <c r="N3341" i="14"/>
  <c r="J3340" i="14" a="1"/>
  <c r="J3340" i="14" s="1"/>
  <c r="M3345" i="14"/>
  <c r="J3341" i="13" a="1"/>
  <c r="J3341" i="13" s="1"/>
  <c r="N3342" i="13"/>
  <c r="K3156" i="13" l="1"/>
  <c r="L3156" i="13" s="1"/>
  <c r="I3157" i="13" s="1"/>
  <c r="K3178" i="14"/>
  <c r="L3178" i="14" s="1"/>
  <c r="I3179" i="14" s="1"/>
  <c r="N3343" i="13"/>
  <c r="J3342" i="13" a="1"/>
  <c r="J3342" i="13" s="1"/>
  <c r="N3342" i="14"/>
  <c r="J3341" i="14" a="1"/>
  <c r="J3341" i="14" s="1"/>
  <c r="M3346" i="14"/>
  <c r="M3345" i="13"/>
  <c r="K3179" i="14" l="1"/>
  <c r="L3179" i="14" s="1"/>
  <c r="I3180" i="14" s="1"/>
  <c r="K3157" i="13"/>
  <c r="L3157" i="13" s="1"/>
  <c r="I3158" i="13" s="1"/>
  <c r="J3342" i="14" a="1"/>
  <c r="J3342" i="14" s="1"/>
  <c r="N3343" i="14"/>
  <c r="M3346" i="13"/>
  <c r="M3347" i="14"/>
  <c r="J3343" i="13" a="1"/>
  <c r="J3343" i="13" s="1"/>
  <c r="N3344" i="13"/>
  <c r="K3158" i="13" l="1"/>
  <c r="L3158" i="13" s="1"/>
  <c r="I3159" i="13" s="1"/>
  <c r="K3180" i="14"/>
  <c r="L3180" i="14" s="1"/>
  <c r="I3181" i="14" s="1"/>
  <c r="M3347" i="13"/>
  <c r="N3344" i="14"/>
  <c r="J3343" i="14" a="1"/>
  <c r="J3343" i="14" s="1"/>
  <c r="J3344" i="13" a="1"/>
  <c r="J3344" i="13" s="1"/>
  <c r="N3345" i="13"/>
  <c r="M3348" i="14"/>
  <c r="K3181" i="14" l="1"/>
  <c r="L3181" i="14" s="1"/>
  <c r="I3182" i="14" s="1"/>
  <c r="K3159" i="13"/>
  <c r="L3159" i="13" s="1"/>
  <c r="I3160" i="13" s="1"/>
  <c r="N3345" i="14"/>
  <c r="J3344" i="14" a="1"/>
  <c r="J3344" i="14" s="1"/>
  <c r="J3345" i="13" a="1"/>
  <c r="J3345" i="13" s="1"/>
  <c r="N3346" i="13"/>
  <c r="M3349" i="14"/>
  <c r="M3348" i="13"/>
  <c r="K3160" i="13" l="1"/>
  <c r="L3160" i="13" s="1"/>
  <c r="I3161" i="13" s="1"/>
  <c r="K3182" i="14"/>
  <c r="L3182" i="14" s="1"/>
  <c r="I3183" i="14" s="1"/>
  <c r="N3347" i="13"/>
  <c r="J3346" i="13" a="1"/>
  <c r="J3346" i="13" s="1"/>
  <c r="M3349" i="13"/>
  <c r="M3350" i="14"/>
  <c r="N3346" i="14"/>
  <c r="J3345" i="14" a="1"/>
  <c r="J3345" i="14" s="1"/>
  <c r="K3183" i="14" l="1"/>
  <c r="L3183" i="14" s="1"/>
  <c r="I3184" i="14" s="1"/>
  <c r="K3161" i="13"/>
  <c r="L3161" i="13" s="1"/>
  <c r="I3162" i="13" s="1"/>
  <c r="M3350" i="13"/>
  <c r="J3346" i="14" a="1"/>
  <c r="J3346" i="14" s="1"/>
  <c r="N3347" i="14"/>
  <c r="M3351" i="14"/>
  <c r="J3347" i="13" a="1"/>
  <c r="J3347" i="13" s="1"/>
  <c r="N3348" i="13"/>
  <c r="K3162" i="13" l="1"/>
  <c r="L3162" i="13" s="1"/>
  <c r="I3163" i="13" s="1"/>
  <c r="K3184" i="14"/>
  <c r="L3184" i="14" s="1"/>
  <c r="I3185" i="14" s="1"/>
  <c r="J3347" i="14" a="1"/>
  <c r="J3347" i="14" s="1"/>
  <c r="N3348" i="14"/>
  <c r="J3348" i="13" a="1"/>
  <c r="J3348" i="13" s="1"/>
  <c r="N3349" i="13"/>
  <c r="M3352" i="14"/>
  <c r="M3351" i="13"/>
  <c r="K3185" i="14" l="1"/>
  <c r="L3185" i="14" s="1"/>
  <c r="I3186" i="14" s="1"/>
  <c r="K3163" i="13"/>
  <c r="L3163" i="13" s="1"/>
  <c r="I3164" i="13" s="1"/>
  <c r="J3349" i="13" a="1"/>
  <c r="J3349" i="13" s="1"/>
  <c r="N3350" i="13"/>
  <c r="N3349" i="14"/>
  <c r="J3348" i="14" a="1"/>
  <c r="J3348" i="14" s="1"/>
  <c r="M3352" i="13"/>
  <c r="M3353" i="14"/>
  <c r="K3164" i="13" l="1"/>
  <c r="L3164" i="13" s="1"/>
  <c r="I3165" i="13" s="1"/>
  <c r="K3186" i="14"/>
  <c r="L3186" i="14" s="1"/>
  <c r="I3187" i="14" s="1"/>
  <c r="N3350" i="14"/>
  <c r="J3349" i="14" a="1"/>
  <c r="J3349" i="14" s="1"/>
  <c r="N3351" i="13"/>
  <c r="J3350" i="13" a="1"/>
  <c r="J3350" i="13" s="1"/>
  <c r="M3354" i="14"/>
  <c r="M3353" i="13"/>
  <c r="K3187" i="14" l="1"/>
  <c r="L3187" i="14" s="1"/>
  <c r="I3188" i="14" s="1"/>
  <c r="K3165" i="13"/>
  <c r="L3165" i="13" s="1"/>
  <c r="I3166" i="13" s="1"/>
  <c r="M3354" i="13"/>
  <c r="J3351" i="13" a="1"/>
  <c r="J3351" i="13" s="1"/>
  <c r="N3352" i="13"/>
  <c r="M3355" i="14"/>
  <c r="J3350" i="14" a="1"/>
  <c r="J3350" i="14" s="1"/>
  <c r="N3351" i="14"/>
  <c r="K3166" i="13" l="1"/>
  <c r="L3166" i="13" s="1"/>
  <c r="I3167" i="13" s="1"/>
  <c r="K3188" i="14"/>
  <c r="L3188" i="14" s="1"/>
  <c r="I3189" i="14" s="1"/>
  <c r="J3352" i="13" a="1"/>
  <c r="J3352" i="13" s="1"/>
  <c r="N3353" i="13"/>
  <c r="N3352" i="14"/>
  <c r="J3351" i="14" a="1"/>
  <c r="J3351" i="14" s="1"/>
  <c r="M3356" i="14"/>
  <c r="M3355" i="13"/>
  <c r="K3189" i="14" l="1"/>
  <c r="L3189" i="14" s="1"/>
  <c r="I3190" i="14" s="1"/>
  <c r="K3167" i="13"/>
  <c r="L3167" i="13" s="1"/>
  <c r="I3168" i="13" s="1"/>
  <c r="N3353" i="14"/>
  <c r="J3352" i="14" a="1"/>
  <c r="J3352" i="14" s="1"/>
  <c r="M3357" i="14"/>
  <c r="J3353" i="13" a="1"/>
  <c r="J3353" i="13" s="1"/>
  <c r="N3354" i="13"/>
  <c r="M3356" i="13"/>
  <c r="K3168" i="13" l="1"/>
  <c r="L3168" i="13" s="1"/>
  <c r="I3169" i="13" s="1"/>
  <c r="K3190" i="14"/>
  <c r="L3190" i="14" s="1"/>
  <c r="I3191" i="14" s="1"/>
  <c r="N3355" i="13"/>
  <c r="J3354" i="13" a="1"/>
  <c r="J3354" i="13" s="1"/>
  <c r="M3357" i="13"/>
  <c r="M3358" i="14"/>
  <c r="N3354" i="14"/>
  <c r="J3353" i="14" a="1"/>
  <c r="J3353" i="14" s="1"/>
  <c r="K3191" i="14" l="1"/>
  <c r="L3191" i="14" s="1"/>
  <c r="I3192" i="14" s="1"/>
  <c r="K3169" i="13"/>
  <c r="L3169" i="13" s="1"/>
  <c r="I3170" i="13" s="1"/>
  <c r="J3354" i="14" a="1"/>
  <c r="J3354" i="14" s="1"/>
  <c r="N3355" i="14"/>
  <c r="M3358" i="13"/>
  <c r="M3359" i="14"/>
  <c r="J3355" i="13" a="1"/>
  <c r="J3355" i="13" s="1"/>
  <c r="N3356" i="13"/>
  <c r="K3170" i="13" l="1"/>
  <c r="L3170" i="13" s="1"/>
  <c r="I3171" i="13" s="1"/>
  <c r="K3192" i="14"/>
  <c r="L3192" i="14" s="1"/>
  <c r="I3193" i="14" s="1"/>
  <c r="M3359" i="13"/>
  <c r="N3356" i="14"/>
  <c r="J3355" i="14" a="1"/>
  <c r="J3355" i="14" s="1"/>
  <c r="J3356" i="13" a="1"/>
  <c r="J3356" i="13" s="1"/>
  <c r="N3357" i="13"/>
  <c r="M3360" i="14"/>
  <c r="K3193" i="14" l="1"/>
  <c r="L3193" i="14" s="1"/>
  <c r="I3194" i="14" s="1"/>
  <c r="K3171" i="13"/>
  <c r="L3171" i="13" s="1"/>
  <c r="I3172" i="13" s="1"/>
  <c r="N3357" i="14"/>
  <c r="J3356" i="14" a="1"/>
  <c r="J3356" i="14" s="1"/>
  <c r="M3361" i="14"/>
  <c r="J3357" i="13" a="1"/>
  <c r="J3357" i="13" s="1"/>
  <c r="N3358" i="13"/>
  <c r="M3360" i="13"/>
  <c r="K3172" i="13" l="1"/>
  <c r="L3172" i="13" s="1"/>
  <c r="I3173" i="13" s="1"/>
  <c r="K3194" i="14"/>
  <c r="L3194" i="14" s="1"/>
  <c r="I3195" i="14" s="1"/>
  <c r="M3361" i="13"/>
  <c r="M3362" i="14"/>
  <c r="N3359" i="13"/>
  <c r="J3358" i="13" a="1"/>
  <c r="J3358" i="13" s="1"/>
  <c r="N3358" i="14"/>
  <c r="J3357" i="14" a="1"/>
  <c r="J3357" i="14" s="1"/>
  <c r="K3195" i="14" l="1"/>
  <c r="L3195" i="14" s="1"/>
  <c r="I3196" i="14" s="1"/>
  <c r="K3173" i="13"/>
  <c r="L3173" i="13" s="1"/>
  <c r="I3174" i="13" s="1"/>
  <c r="J3358" i="14" a="1"/>
  <c r="J3358" i="14" s="1"/>
  <c r="N3359" i="14"/>
  <c r="M3362" i="13"/>
  <c r="M3363" i="14"/>
  <c r="J3359" i="13" a="1"/>
  <c r="J3359" i="13" s="1"/>
  <c r="N3360" i="13"/>
  <c r="K3174" i="13" l="1"/>
  <c r="L3174" i="13" s="1"/>
  <c r="I3175" i="13" s="1"/>
  <c r="K3196" i="14"/>
  <c r="L3196" i="14" s="1"/>
  <c r="I3197" i="14" s="1"/>
  <c r="J3360" i="13" a="1"/>
  <c r="J3360" i="13" s="1"/>
  <c r="N3361" i="13"/>
  <c r="M3363" i="13"/>
  <c r="N3360" i="14"/>
  <c r="J3359" i="14" a="1"/>
  <c r="J3359" i="14" s="1"/>
  <c r="M3364" i="14"/>
  <c r="K3197" i="14" l="1"/>
  <c r="L3197" i="14" s="1"/>
  <c r="I3198" i="14" s="1"/>
  <c r="K3175" i="13"/>
  <c r="L3175" i="13" s="1"/>
  <c r="I3176" i="13" s="1"/>
  <c r="M3365" i="14"/>
  <c r="N3361" i="14"/>
  <c r="J3360" i="14" a="1"/>
  <c r="J3360" i="14" s="1"/>
  <c r="M3364" i="13"/>
  <c r="J3361" i="13" a="1"/>
  <c r="J3361" i="13" s="1"/>
  <c r="N3362" i="13"/>
  <c r="K3176" i="13" l="1"/>
  <c r="L3176" i="13" s="1"/>
  <c r="I3177" i="13" s="1"/>
  <c r="K3198" i="14"/>
  <c r="L3198" i="14" s="1"/>
  <c r="I3199" i="14" s="1"/>
  <c r="N3363" i="13"/>
  <c r="J3362" i="13" a="1"/>
  <c r="J3362" i="13" s="1"/>
  <c r="N3362" i="14"/>
  <c r="J3361" i="14" a="1"/>
  <c r="J3361" i="14" s="1"/>
  <c r="M3365" i="13"/>
  <c r="M3366" i="14"/>
  <c r="K3199" i="14" l="1"/>
  <c r="L3199" i="14" s="1"/>
  <c r="I3200" i="14" s="1"/>
  <c r="K3177" i="13"/>
  <c r="L3177" i="13" s="1"/>
  <c r="I3178" i="13" s="1"/>
  <c r="J3362" i="14" a="1"/>
  <c r="J3362" i="14" s="1"/>
  <c r="N3363" i="14"/>
  <c r="M3367" i="14"/>
  <c r="M3366" i="13"/>
  <c r="J3363" i="13" a="1"/>
  <c r="J3363" i="13" s="1"/>
  <c r="N3364" i="13"/>
  <c r="K3178" i="13" l="1"/>
  <c r="L3178" i="13" s="1"/>
  <c r="I3179" i="13" s="1"/>
  <c r="K3200" i="14"/>
  <c r="L3200" i="14" s="1"/>
  <c r="I3201" i="14" s="1"/>
  <c r="J3364" i="13" a="1"/>
  <c r="J3364" i="13" s="1"/>
  <c r="N3365" i="13"/>
  <c r="M3368" i="14"/>
  <c r="N3364" i="14"/>
  <c r="J3363" i="14" a="1"/>
  <c r="J3363" i="14" s="1"/>
  <c r="M3367" i="13"/>
  <c r="K3201" i="14" l="1"/>
  <c r="L3201" i="14" s="1"/>
  <c r="I3202" i="14" s="1"/>
  <c r="K3179" i="13"/>
  <c r="L3179" i="13" s="1"/>
  <c r="I3180" i="13" s="1"/>
  <c r="M3369" i="14"/>
  <c r="M3368" i="13"/>
  <c r="J3365" i="13" a="1"/>
  <c r="J3365" i="13" s="1"/>
  <c r="N3366" i="13"/>
  <c r="N3365" i="14"/>
  <c r="J3364" i="14" a="1"/>
  <c r="J3364" i="14" s="1"/>
  <c r="K3180" i="13" l="1"/>
  <c r="L3180" i="13" s="1"/>
  <c r="I3181" i="13" s="1"/>
  <c r="K3202" i="14"/>
  <c r="L3202" i="14" s="1"/>
  <c r="I3203" i="14" s="1"/>
  <c r="N3366" i="14"/>
  <c r="J3365" i="14" a="1"/>
  <c r="J3365" i="14" s="1"/>
  <c r="M3369" i="13"/>
  <c r="N3367" i="13"/>
  <c r="J3366" i="13" a="1"/>
  <c r="J3366" i="13" s="1"/>
  <c r="M3370" i="14"/>
  <c r="K3203" i="14" l="1"/>
  <c r="L3203" i="14" s="1"/>
  <c r="I3204" i="14" s="1"/>
  <c r="K3181" i="13"/>
  <c r="L3181" i="13" s="1"/>
  <c r="I3182" i="13" s="1"/>
  <c r="M3370" i="13"/>
  <c r="M3371" i="14"/>
  <c r="J3367" i="13" a="1"/>
  <c r="J3367" i="13" s="1"/>
  <c r="N3368" i="13"/>
  <c r="J3366" i="14" a="1"/>
  <c r="J3366" i="14" s="1"/>
  <c r="N3367" i="14"/>
  <c r="K3182" i="13" l="1"/>
  <c r="L3182" i="13" s="1"/>
  <c r="I3183" i="13" s="1"/>
  <c r="K3204" i="14"/>
  <c r="L3204" i="14" s="1"/>
  <c r="I3205" i="14" s="1"/>
  <c r="N3368" i="14"/>
  <c r="J3367" i="14" a="1"/>
  <c r="J3367" i="14" s="1"/>
  <c r="J3368" i="13" a="1"/>
  <c r="J3368" i="13" s="1"/>
  <c r="N3369" i="13"/>
  <c r="M3372" i="14"/>
  <c r="M3371" i="13"/>
  <c r="K3205" i="14" l="1"/>
  <c r="L3205" i="14" s="1"/>
  <c r="I3206" i="14" s="1"/>
  <c r="K3183" i="13"/>
  <c r="L3183" i="13" s="1"/>
  <c r="I3184" i="13" s="1"/>
  <c r="J3369" i="13" a="1"/>
  <c r="J3369" i="13" s="1"/>
  <c r="N3370" i="13"/>
  <c r="M3372" i="13"/>
  <c r="M3373" i="14"/>
  <c r="N3369" i="14"/>
  <c r="J3368" i="14" a="1"/>
  <c r="J3368" i="14" s="1"/>
  <c r="K3184" i="13" l="1"/>
  <c r="L3184" i="13" s="1"/>
  <c r="I3185" i="13" s="1"/>
  <c r="K3206" i="14"/>
  <c r="L3206" i="14" s="1"/>
  <c r="I3207" i="14" s="1"/>
  <c r="N3370" i="14"/>
  <c r="J3369" i="14" a="1"/>
  <c r="J3369" i="14" s="1"/>
  <c r="M3373" i="13"/>
  <c r="N3371" i="13"/>
  <c r="J3370" i="13" a="1"/>
  <c r="J3370" i="13" s="1"/>
  <c r="M3374" i="14"/>
  <c r="K3207" i="14" l="1"/>
  <c r="L3207" i="14" s="1"/>
  <c r="I3208" i="14" s="1"/>
  <c r="K3185" i="13"/>
  <c r="L3185" i="13" s="1"/>
  <c r="I3186" i="13" s="1"/>
  <c r="M3375" i="14"/>
  <c r="M3374" i="13"/>
  <c r="J3371" i="13" a="1"/>
  <c r="J3371" i="13" s="1"/>
  <c r="N3372" i="13"/>
  <c r="J3370" i="14" a="1"/>
  <c r="J3370" i="14" s="1"/>
  <c r="N3371" i="14"/>
  <c r="K3186" i="13" l="1"/>
  <c r="L3186" i="13" s="1"/>
  <c r="I3187" i="13" s="1"/>
  <c r="K3208" i="14"/>
  <c r="L3208" i="14" s="1"/>
  <c r="I3209" i="14" s="1"/>
  <c r="N3372" i="14"/>
  <c r="J3371" i="14" a="1"/>
  <c r="J3371" i="14" s="1"/>
  <c r="M3375" i="13"/>
  <c r="J3372" i="13" a="1"/>
  <c r="J3372" i="13" s="1"/>
  <c r="N3373" i="13"/>
  <c r="M3376" i="14"/>
  <c r="K3209" i="14" l="1"/>
  <c r="L3209" i="14" s="1"/>
  <c r="I3210" i="14" s="1"/>
  <c r="K3187" i="13"/>
  <c r="L3187" i="13" s="1"/>
  <c r="I3188" i="13" s="1"/>
  <c r="J3373" i="13" a="1"/>
  <c r="J3373" i="13" s="1"/>
  <c r="N3374" i="13"/>
  <c r="M3377" i="14"/>
  <c r="M3376" i="13"/>
  <c r="N3373" i="14"/>
  <c r="J3372" i="14" a="1"/>
  <c r="J3372" i="14" s="1"/>
  <c r="K3188" i="13" l="1"/>
  <c r="L3188" i="13" s="1"/>
  <c r="I3189" i="13" s="1"/>
  <c r="K3210" i="14"/>
  <c r="L3210" i="14" s="1"/>
  <c r="I3211" i="14" s="1"/>
  <c r="N3374" i="14"/>
  <c r="J3373" i="14" a="1"/>
  <c r="J3373" i="14" s="1"/>
  <c r="M3378" i="14"/>
  <c r="N3375" i="13"/>
  <c r="J3374" i="13" a="1"/>
  <c r="J3374" i="13" s="1"/>
  <c r="M3377" i="13"/>
  <c r="K3189" i="13" l="1"/>
  <c r="L3189" i="13" s="1"/>
  <c r="I3190" i="13" s="1"/>
  <c r="J3375" i="13" a="1"/>
  <c r="J3375" i="13" s="1"/>
  <c r="N3376" i="13"/>
  <c r="M3378" i="13"/>
  <c r="M3379" i="14"/>
  <c r="K3211" i="14"/>
  <c r="L3211" i="14" s="1"/>
  <c r="I3212" i="14" s="1"/>
  <c r="J3374" i="14" a="1"/>
  <c r="J3374" i="14" s="1"/>
  <c r="N3375" i="14"/>
  <c r="K3212" i="14" l="1"/>
  <c r="L3212" i="14" s="1"/>
  <c r="I3213" i="14" s="1"/>
  <c r="K3190" i="13"/>
  <c r="L3190" i="13" s="1"/>
  <c r="I3191" i="13" s="1"/>
  <c r="J3376" i="13" a="1"/>
  <c r="J3376" i="13" s="1"/>
  <c r="N3377" i="13"/>
  <c r="N3376" i="14"/>
  <c r="J3375" i="14" a="1"/>
  <c r="J3375" i="14" s="1"/>
  <c r="M3380" i="14"/>
  <c r="M3379" i="13"/>
  <c r="K3191" i="13" l="1"/>
  <c r="L3191" i="13" s="1"/>
  <c r="I3192" i="13" s="1"/>
  <c r="K3213" i="14"/>
  <c r="L3213" i="14" s="1"/>
  <c r="I3214" i="14" s="1"/>
  <c r="M3380" i="13"/>
  <c r="N3377" i="14"/>
  <c r="J3376" i="14" a="1"/>
  <c r="J3376" i="14" s="1"/>
  <c r="M3381" i="14"/>
  <c r="J3377" i="13" a="1"/>
  <c r="J3377" i="13" s="1"/>
  <c r="N3378" i="13"/>
  <c r="K3214" i="14" l="1"/>
  <c r="L3214" i="14" s="1"/>
  <c r="I3215" i="14" s="1"/>
  <c r="K3192" i="13"/>
  <c r="L3192" i="13" s="1"/>
  <c r="I3193" i="13" s="1"/>
  <c r="N3378" i="14"/>
  <c r="J3377" i="14" a="1"/>
  <c r="J3377" i="14" s="1"/>
  <c r="N3379" i="13"/>
  <c r="J3378" i="13" a="1"/>
  <c r="J3378" i="13" s="1"/>
  <c r="M3382" i="14"/>
  <c r="M3381" i="13"/>
  <c r="K3193" i="13" l="1"/>
  <c r="L3193" i="13" s="1"/>
  <c r="I3194" i="13" s="1"/>
  <c r="K3215" i="14"/>
  <c r="L3215" i="14" s="1"/>
  <c r="I3216" i="14" s="1"/>
  <c r="J3379" i="13" a="1"/>
  <c r="J3379" i="13" s="1"/>
  <c r="N3380" i="13"/>
  <c r="M3382" i="13"/>
  <c r="M3383" i="14"/>
  <c r="J3378" i="14" a="1"/>
  <c r="J3378" i="14" s="1"/>
  <c r="N3379" i="14"/>
  <c r="K3216" i="14" l="1"/>
  <c r="L3216" i="14" s="1"/>
  <c r="I3217" i="14" s="1"/>
  <c r="K3194" i="13"/>
  <c r="L3194" i="13" s="1"/>
  <c r="I3195" i="13" s="1"/>
  <c r="N3380" i="14"/>
  <c r="J3379" i="14" a="1"/>
  <c r="J3379" i="14" s="1"/>
  <c r="M3383" i="13"/>
  <c r="J3380" i="13" a="1"/>
  <c r="J3380" i="13" s="1"/>
  <c r="N3381" i="13"/>
  <c r="M3384" i="14"/>
  <c r="K3195" i="13" l="1"/>
  <c r="L3195" i="13" s="1"/>
  <c r="I3196" i="13" s="1"/>
  <c r="K3217" i="14"/>
  <c r="L3217" i="14" s="1"/>
  <c r="I3218" i="14" s="1"/>
  <c r="M3385" i="14"/>
  <c r="J3381" i="13" a="1"/>
  <c r="J3381" i="13" s="1"/>
  <c r="N3382" i="13"/>
  <c r="M3384" i="13"/>
  <c r="N3381" i="14"/>
  <c r="J3380" i="14" a="1"/>
  <c r="J3380" i="14" s="1"/>
  <c r="K3218" i="14" l="1"/>
  <c r="L3218" i="14" s="1"/>
  <c r="I3219" i="14" s="1"/>
  <c r="N3383" i="13"/>
  <c r="J3382" i="13" a="1"/>
  <c r="J3382" i="13" s="1"/>
  <c r="M3386" i="14"/>
  <c r="N3382" i="14"/>
  <c r="J3381" i="14" a="1"/>
  <c r="J3381" i="14" s="1"/>
  <c r="M3385" i="13"/>
  <c r="K3196" i="13"/>
  <c r="L3196" i="13" s="1"/>
  <c r="I3197" i="13" s="1"/>
  <c r="K3197" i="13" l="1"/>
  <c r="L3197" i="13" s="1"/>
  <c r="I3198" i="13" s="1"/>
  <c r="K3219" i="14"/>
  <c r="L3219" i="14" s="1"/>
  <c r="I3220" i="14" s="1"/>
  <c r="J3383" i="13" a="1"/>
  <c r="J3383" i="13" s="1"/>
  <c r="N3384" i="13"/>
  <c r="M3386" i="13"/>
  <c r="J3382" i="14" a="1"/>
  <c r="J3382" i="14" s="1"/>
  <c r="N3383" i="14"/>
  <c r="M3387" i="14"/>
  <c r="K3220" i="14" l="1"/>
  <c r="L3220" i="14" s="1"/>
  <c r="I3221" i="14" s="1"/>
  <c r="K3198" i="13"/>
  <c r="L3198" i="13" s="1"/>
  <c r="I3199" i="13" s="1"/>
  <c r="N3384" i="14"/>
  <c r="J3383" i="14" a="1"/>
  <c r="J3383" i="14" s="1"/>
  <c r="M3388" i="14"/>
  <c r="M3387" i="13"/>
  <c r="J3384" i="13" a="1"/>
  <c r="J3384" i="13" s="1"/>
  <c r="N3385" i="13"/>
  <c r="K3199" i="13" l="1"/>
  <c r="L3199" i="13" s="1"/>
  <c r="I3200" i="13" s="1"/>
  <c r="K3221" i="14"/>
  <c r="L3221" i="14" s="1"/>
  <c r="I3222" i="14" s="1"/>
  <c r="M3389" i="14"/>
  <c r="J3385" i="13" a="1"/>
  <c r="J3385" i="13" s="1"/>
  <c r="N3386" i="13"/>
  <c r="M3388" i="13"/>
  <c r="N3385" i="14"/>
  <c r="J3384" i="14" a="1"/>
  <c r="J3384" i="14" s="1"/>
  <c r="K3222" i="14" l="1"/>
  <c r="L3222" i="14" s="1"/>
  <c r="I3223" i="14" s="1"/>
  <c r="K3200" i="13"/>
  <c r="L3200" i="13" s="1"/>
  <c r="I3201" i="13" s="1"/>
  <c r="N3387" i="13"/>
  <c r="J3386" i="13" a="1"/>
  <c r="J3386" i="13" s="1"/>
  <c r="N3386" i="14"/>
  <c r="J3385" i="14" a="1"/>
  <c r="J3385" i="14" s="1"/>
  <c r="M3389" i="13"/>
  <c r="M3390" i="14"/>
  <c r="K3201" i="13" l="1"/>
  <c r="L3201" i="13" s="1"/>
  <c r="I3202" i="13" s="1"/>
  <c r="K3223" i="14"/>
  <c r="L3223" i="14" s="1"/>
  <c r="I3224" i="14" s="1"/>
  <c r="J3386" i="14" a="1"/>
  <c r="J3386" i="14" s="1"/>
  <c r="N3387" i="14"/>
  <c r="M3391" i="14"/>
  <c r="M3390" i="13"/>
  <c r="J3387" i="13" a="1"/>
  <c r="J3387" i="13" s="1"/>
  <c r="N3388" i="13"/>
  <c r="K3224" i="14" l="1"/>
  <c r="L3224" i="14" s="1"/>
  <c r="I3225" i="14" s="1"/>
  <c r="K3202" i="13"/>
  <c r="L3202" i="13" s="1"/>
  <c r="I3203" i="13" s="1"/>
  <c r="J3388" i="13" a="1"/>
  <c r="J3388" i="13" s="1"/>
  <c r="N3389" i="13"/>
  <c r="M3392" i="14"/>
  <c r="N3388" i="14"/>
  <c r="J3387" i="14" a="1"/>
  <c r="J3387" i="14" s="1"/>
  <c r="M3391" i="13"/>
  <c r="K3203" i="13" l="1"/>
  <c r="L3203" i="13" s="1"/>
  <c r="I3204" i="13" s="1"/>
  <c r="K3225" i="14"/>
  <c r="L3225" i="14" s="1"/>
  <c r="I3226" i="14" s="1"/>
  <c r="J3389" i="13" a="1"/>
  <c r="J3389" i="13" s="1"/>
  <c r="N3390" i="13"/>
  <c r="M3393" i="14"/>
  <c r="M3392" i="13"/>
  <c r="N3389" i="14"/>
  <c r="J3388" i="14" a="1"/>
  <c r="J3388" i="14" s="1"/>
  <c r="K3204" i="13" l="1"/>
  <c r="L3204" i="13" s="1"/>
  <c r="I3205" i="13" s="1"/>
  <c r="N3390" i="14"/>
  <c r="J3389" i="14" a="1"/>
  <c r="J3389" i="14" s="1"/>
  <c r="N3391" i="13"/>
  <c r="J3390" i="13" a="1"/>
  <c r="J3390" i="13" s="1"/>
  <c r="M3394" i="14"/>
  <c r="K3226" i="14"/>
  <c r="L3226" i="14" s="1"/>
  <c r="I3227" i="14" s="1"/>
  <c r="M3393" i="13"/>
  <c r="K3227" i="14" l="1"/>
  <c r="L3227" i="14" s="1"/>
  <c r="I3228" i="14" s="1"/>
  <c r="K3205" i="13"/>
  <c r="L3205" i="13" s="1"/>
  <c r="I3206" i="13" s="1"/>
  <c r="J3390" i="14" a="1"/>
  <c r="J3390" i="14" s="1"/>
  <c r="N3391" i="14"/>
  <c r="M3395" i="14"/>
  <c r="M3394" i="13"/>
  <c r="J3391" i="13" a="1"/>
  <c r="J3391" i="13" s="1"/>
  <c r="N3392" i="13"/>
  <c r="K3206" i="13" l="1"/>
  <c r="L3206" i="13" s="1"/>
  <c r="I3207" i="13" s="1"/>
  <c r="K3228" i="14"/>
  <c r="L3228" i="14" s="1"/>
  <c r="I3229" i="14" s="1"/>
  <c r="M3396" i="14"/>
  <c r="N3392" i="14"/>
  <c r="J3391" i="14" a="1"/>
  <c r="J3391" i="14" s="1"/>
  <c r="J3392" i="13" a="1"/>
  <c r="J3392" i="13" s="1"/>
  <c r="N3393" i="13"/>
  <c r="M3395" i="13"/>
  <c r="K3229" i="14" l="1"/>
  <c r="L3229" i="14" s="1"/>
  <c r="I3230" i="14" s="1"/>
  <c r="K3207" i="13"/>
  <c r="L3207" i="13" s="1"/>
  <c r="I3208" i="13" s="1"/>
  <c r="N3393" i="14"/>
  <c r="J3392" i="14" a="1"/>
  <c r="J3392" i="14" s="1"/>
  <c r="J3393" i="13" a="1"/>
  <c r="J3393" i="13" s="1"/>
  <c r="N3394" i="13"/>
  <c r="M3397" i="14"/>
  <c r="M3396" i="13"/>
  <c r="K3208" i="13" l="1"/>
  <c r="L3208" i="13" s="1"/>
  <c r="I3209" i="13" s="1"/>
  <c r="K3230" i="14"/>
  <c r="L3230" i="14" s="1"/>
  <c r="I3231" i="14" s="1"/>
  <c r="N3395" i="13"/>
  <c r="J3394" i="13" a="1"/>
  <c r="J3394" i="13" s="1"/>
  <c r="M3397" i="13"/>
  <c r="M3398" i="14"/>
  <c r="N3394" i="14"/>
  <c r="J3393" i="14" a="1"/>
  <c r="J3393" i="14" s="1"/>
  <c r="K3231" i="14" l="1"/>
  <c r="L3231" i="14" s="1"/>
  <c r="I3232" i="14" s="1"/>
  <c r="K3209" i="13"/>
  <c r="L3209" i="13" s="1"/>
  <c r="I3210" i="13" s="1"/>
  <c r="M3398" i="13"/>
  <c r="J3394" i="14" a="1"/>
  <c r="J3394" i="14" s="1"/>
  <c r="N3395" i="14"/>
  <c r="M3399" i="14"/>
  <c r="J3395" i="13" a="1"/>
  <c r="J3395" i="13" s="1"/>
  <c r="N3396" i="13"/>
  <c r="K3210" i="13" l="1"/>
  <c r="L3210" i="13" s="1"/>
  <c r="I3211" i="13" s="1"/>
  <c r="K3232" i="14"/>
  <c r="L3232" i="14" s="1"/>
  <c r="I3233" i="14" s="1"/>
  <c r="J3396" i="13" a="1"/>
  <c r="J3396" i="13" s="1"/>
  <c r="N3397" i="13"/>
  <c r="N3396" i="14"/>
  <c r="J3395" i="14" a="1"/>
  <c r="J3395" i="14" s="1"/>
  <c r="M3400" i="14"/>
  <c r="M3399" i="13"/>
  <c r="K3233" i="14" l="1"/>
  <c r="L3233" i="14" s="1"/>
  <c r="I3234" i="14" s="1"/>
  <c r="K3211" i="13"/>
  <c r="L3211" i="13" s="1"/>
  <c r="I3212" i="13" s="1"/>
  <c r="N3397" i="14"/>
  <c r="J3396" i="14" a="1"/>
  <c r="J3396" i="14" s="1"/>
  <c r="M3400" i="13"/>
  <c r="M3401" i="14"/>
  <c r="J3397" i="13" a="1"/>
  <c r="J3397" i="13" s="1"/>
  <c r="N3398" i="13"/>
  <c r="K3212" i="13" l="1"/>
  <c r="L3212" i="13" s="1"/>
  <c r="I3213" i="13" s="1"/>
  <c r="K3234" i="14"/>
  <c r="L3234" i="14" s="1"/>
  <c r="I3235" i="14" s="1"/>
  <c r="N3399" i="13"/>
  <c r="J3398" i="13" a="1"/>
  <c r="J3398" i="13" s="1"/>
  <c r="M3401" i="13"/>
  <c r="M3402" i="14"/>
  <c r="N3398" i="14"/>
  <c r="J3397" i="14" a="1"/>
  <c r="J3397" i="14" s="1"/>
  <c r="K3235" i="14" l="1"/>
  <c r="L3235" i="14" s="1"/>
  <c r="I3236" i="14" s="1"/>
  <c r="K3213" i="13"/>
  <c r="L3213" i="13" s="1"/>
  <c r="I3214" i="13" s="1"/>
  <c r="M3402" i="13"/>
  <c r="J3398" i="14" a="1"/>
  <c r="J3398" i="14" s="1"/>
  <c r="N3399" i="14"/>
  <c r="M3403" i="14"/>
  <c r="J3399" i="13" a="1"/>
  <c r="J3399" i="13" s="1"/>
  <c r="N3400" i="13"/>
  <c r="K3214" i="13" l="1"/>
  <c r="L3214" i="13" s="1"/>
  <c r="I3215" i="13" s="1"/>
  <c r="K3236" i="14"/>
  <c r="L3236" i="14" s="1"/>
  <c r="I3237" i="14" s="1"/>
  <c r="J3400" i="13" a="1"/>
  <c r="J3400" i="13" s="1"/>
  <c r="N3401" i="13"/>
  <c r="N3400" i="14"/>
  <c r="J3399" i="14" a="1"/>
  <c r="J3399" i="14" s="1"/>
  <c r="M3404" i="14"/>
  <c r="M3403" i="13"/>
  <c r="K3237" i="14" l="1"/>
  <c r="L3237" i="14" s="1"/>
  <c r="I3238" i="14" s="1"/>
  <c r="K3215" i="13"/>
  <c r="L3215" i="13" s="1"/>
  <c r="I3216" i="13" s="1"/>
  <c r="N3401" i="14"/>
  <c r="J3400" i="14" a="1"/>
  <c r="J3400" i="14" s="1"/>
  <c r="J3401" i="13" a="1"/>
  <c r="J3401" i="13" s="1"/>
  <c r="N3402" i="13"/>
  <c r="M3404" i="13"/>
  <c r="M3405" i="14"/>
  <c r="K3216" i="13" l="1"/>
  <c r="L3216" i="13" s="1"/>
  <c r="I3217" i="13" s="1"/>
  <c r="K3238" i="14"/>
  <c r="L3238" i="14" s="1"/>
  <c r="I3239" i="14" s="1"/>
  <c r="N3403" i="13"/>
  <c r="J3402" i="13" a="1"/>
  <c r="J3402" i="13" s="1"/>
  <c r="M3406" i="14"/>
  <c r="M3405" i="13"/>
  <c r="N3402" i="14"/>
  <c r="J3401" i="14" a="1"/>
  <c r="J3401" i="14" s="1"/>
  <c r="K3239" i="14" l="1"/>
  <c r="L3239" i="14" s="1"/>
  <c r="I3240" i="14" s="1"/>
  <c r="K3217" i="13"/>
  <c r="L3217" i="13" s="1"/>
  <c r="I3218" i="13" s="1"/>
  <c r="M3407" i="14"/>
  <c r="J3402" i="14" a="1"/>
  <c r="J3402" i="14" s="1"/>
  <c r="N3403" i="14"/>
  <c r="M3406" i="13"/>
  <c r="J3403" i="13" a="1"/>
  <c r="J3403" i="13" s="1"/>
  <c r="N3404" i="13"/>
  <c r="K3218" i="13" l="1"/>
  <c r="L3218" i="13" s="1"/>
  <c r="I3219" i="13" s="1"/>
  <c r="K3240" i="14"/>
  <c r="L3240" i="14" s="1"/>
  <c r="I3241" i="14" s="1"/>
  <c r="N3404" i="14"/>
  <c r="J3403" i="14" a="1"/>
  <c r="J3403" i="14" s="1"/>
  <c r="J3404" i="13" a="1"/>
  <c r="J3404" i="13" s="1"/>
  <c r="N3405" i="13"/>
  <c r="M3408" i="14"/>
  <c r="M3407" i="13"/>
  <c r="K3241" i="14" l="1"/>
  <c r="L3241" i="14" s="1"/>
  <c r="I3242" i="14" s="1"/>
  <c r="K3219" i="13"/>
  <c r="L3219" i="13" s="1"/>
  <c r="I3220" i="13" s="1"/>
  <c r="J3405" i="13" a="1"/>
  <c r="J3405" i="13" s="1"/>
  <c r="N3406" i="13"/>
  <c r="M3408" i="13"/>
  <c r="M3409" i="14"/>
  <c r="N3405" i="14"/>
  <c r="J3404" i="14" a="1"/>
  <c r="J3404" i="14" s="1"/>
  <c r="K3220" i="13" l="1"/>
  <c r="L3220" i="13" s="1"/>
  <c r="I3221" i="13" s="1"/>
  <c r="K3242" i="14"/>
  <c r="L3242" i="14" s="1"/>
  <c r="I3243" i="14" s="1"/>
  <c r="N3406" i="14"/>
  <c r="J3405" i="14" a="1"/>
  <c r="J3405" i="14" s="1"/>
  <c r="M3409" i="13"/>
  <c r="N3407" i="13"/>
  <c r="J3406" i="13" a="1"/>
  <c r="J3406" i="13" s="1"/>
  <c r="M3410" i="14"/>
  <c r="K3243" i="14" l="1"/>
  <c r="L3243" i="14" s="1"/>
  <c r="I3244" i="14" s="1"/>
  <c r="K3221" i="13"/>
  <c r="L3221" i="13" s="1"/>
  <c r="I3222" i="13" s="1"/>
  <c r="J3407" i="13" a="1"/>
  <c r="J3407" i="13" s="1"/>
  <c r="N3408" i="13"/>
  <c r="M3411" i="14"/>
  <c r="M3410" i="13"/>
  <c r="J3406" i="14" a="1"/>
  <c r="J3406" i="14" s="1"/>
  <c r="N3407" i="14"/>
  <c r="K3222" i="13" l="1"/>
  <c r="L3222" i="13" s="1"/>
  <c r="I3223" i="13" s="1"/>
  <c r="K3244" i="14"/>
  <c r="L3244" i="14" s="1"/>
  <c r="I3245" i="14" s="1"/>
  <c r="N3408" i="14"/>
  <c r="J3407" i="14" a="1"/>
  <c r="J3407" i="14" s="1"/>
  <c r="M3412" i="14"/>
  <c r="J3408" i="13" a="1"/>
  <c r="J3408" i="13" s="1"/>
  <c r="N3409" i="13"/>
  <c r="M3411" i="13"/>
  <c r="K3245" i="14" l="1"/>
  <c r="L3245" i="14" s="1"/>
  <c r="I3246" i="14" s="1"/>
  <c r="K3223" i="13"/>
  <c r="L3223" i="13" s="1"/>
  <c r="I3224" i="13" s="1"/>
  <c r="J3409" i="13" a="1"/>
  <c r="J3409" i="13" s="1"/>
  <c r="N3410" i="13"/>
  <c r="M3413" i="14"/>
  <c r="M3412" i="13"/>
  <c r="J3408" i="14" a="1"/>
  <c r="J3408" i="14" s="1"/>
  <c r="N3409" i="14"/>
  <c r="K3224" i="13" l="1"/>
  <c r="L3224" i="13" s="1"/>
  <c r="I3225" i="13" s="1"/>
  <c r="K3246" i="14"/>
  <c r="L3246" i="14" s="1"/>
  <c r="I3247" i="14" s="1"/>
  <c r="M3414" i="14"/>
  <c r="N3411" i="13"/>
  <c r="J3410" i="13" a="1"/>
  <c r="J3410" i="13" s="1"/>
  <c r="N3410" i="14"/>
  <c r="J3409" i="14" a="1"/>
  <c r="J3409" i="14" s="1"/>
  <c r="M3413" i="13"/>
  <c r="K3247" i="14" l="1"/>
  <c r="L3247" i="14" s="1"/>
  <c r="I3248" i="14" s="1"/>
  <c r="K3225" i="13"/>
  <c r="L3225" i="13" s="1"/>
  <c r="I3226" i="13" s="1"/>
  <c r="M3414" i="13"/>
  <c r="J3411" i="13" a="1"/>
  <c r="J3411" i="13" s="1"/>
  <c r="N3412" i="13"/>
  <c r="J3410" i="14" a="1"/>
  <c r="J3410" i="14" s="1"/>
  <c r="N3411" i="14"/>
  <c r="M3415" i="14"/>
  <c r="K3226" i="13" l="1"/>
  <c r="L3226" i="13" s="1"/>
  <c r="I3227" i="13" s="1"/>
  <c r="K3248" i="14"/>
  <c r="L3248" i="14" s="1"/>
  <c r="I3249" i="14" s="1"/>
  <c r="J3412" i="13" a="1"/>
  <c r="J3412" i="13" s="1"/>
  <c r="N3413" i="13"/>
  <c r="N3412" i="14"/>
  <c r="J3411" i="14" a="1"/>
  <c r="J3411" i="14" s="1"/>
  <c r="M3416" i="14"/>
  <c r="M3415" i="13"/>
  <c r="K3249" i="14" l="1"/>
  <c r="L3249" i="14" s="1"/>
  <c r="I3250" i="14" s="1"/>
  <c r="K3227" i="13"/>
  <c r="L3227" i="13" s="1"/>
  <c r="I3228" i="13" s="1"/>
  <c r="N3413" i="14"/>
  <c r="J3412" i="14" a="1"/>
  <c r="J3412" i="14" s="1"/>
  <c r="J3413" i="13" a="1"/>
  <c r="J3413" i="13" s="1"/>
  <c r="N3414" i="13"/>
  <c r="M3416" i="13"/>
  <c r="M3417" i="14"/>
  <c r="K3228" i="13" l="1"/>
  <c r="L3228" i="13" s="1"/>
  <c r="I3229" i="13" s="1"/>
  <c r="K3250" i="14"/>
  <c r="L3250" i="14" s="1"/>
  <c r="I3251" i="14" s="1"/>
  <c r="N3415" i="13"/>
  <c r="J3414" i="13" a="1"/>
  <c r="J3414" i="13" s="1"/>
  <c r="M3418" i="14"/>
  <c r="M3417" i="13"/>
  <c r="N3414" i="14"/>
  <c r="J3413" i="14" a="1"/>
  <c r="J3413" i="14" s="1"/>
  <c r="K3251" i="14" l="1"/>
  <c r="L3251" i="14" s="1"/>
  <c r="I3252" i="14" s="1"/>
  <c r="K3229" i="13"/>
  <c r="L3229" i="13" s="1"/>
  <c r="I3230" i="13" s="1"/>
  <c r="M3419" i="14"/>
  <c r="J3414" i="14" a="1"/>
  <c r="J3414" i="14" s="1"/>
  <c r="N3415" i="14"/>
  <c r="M3418" i="13"/>
  <c r="J3415" i="13" a="1"/>
  <c r="J3415" i="13" s="1"/>
  <c r="N3416" i="13"/>
  <c r="K3230" i="13" l="1"/>
  <c r="L3230" i="13" s="1"/>
  <c r="I3231" i="13" s="1"/>
  <c r="K3252" i="14"/>
  <c r="L3252" i="14" s="1"/>
  <c r="I3253" i="14" s="1"/>
  <c r="J3416" i="13" a="1"/>
  <c r="J3416" i="13" s="1"/>
  <c r="N3417" i="13"/>
  <c r="N3416" i="14"/>
  <c r="J3415" i="14" a="1"/>
  <c r="J3415" i="14" s="1"/>
  <c r="M3420" i="14"/>
  <c r="M3419" i="13"/>
  <c r="K3253" i="14" l="1"/>
  <c r="L3253" i="14" s="1"/>
  <c r="I3254" i="14" s="1"/>
  <c r="K3231" i="13"/>
  <c r="L3231" i="13" s="1"/>
  <c r="I3232" i="13" s="1"/>
  <c r="N3417" i="14"/>
  <c r="J3416" i="14" a="1"/>
  <c r="J3416" i="14" s="1"/>
  <c r="J3417" i="13" a="1"/>
  <c r="J3417" i="13" s="1"/>
  <c r="N3418" i="13"/>
  <c r="M3420" i="13"/>
  <c r="M3421" i="14"/>
  <c r="K3232" i="13" l="1"/>
  <c r="L3232" i="13" s="1"/>
  <c r="I3233" i="13" s="1"/>
  <c r="K3254" i="14"/>
  <c r="L3254" i="14" s="1"/>
  <c r="I3255" i="14" s="1"/>
  <c r="N3419" i="13"/>
  <c r="J3418" i="13" a="1"/>
  <c r="J3418" i="13" s="1"/>
  <c r="M3422" i="14"/>
  <c r="M3421" i="13"/>
  <c r="N3418" i="14"/>
  <c r="J3417" i="14" a="1"/>
  <c r="J3417" i="14" s="1"/>
  <c r="K3255" i="14" l="1"/>
  <c r="L3255" i="14" s="1"/>
  <c r="I3256" i="14" s="1"/>
  <c r="K3233" i="13"/>
  <c r="L3233" i="13" s="1"/>
  <c r="I3234" i="13" s="1"/>
  <c r="J3418" i="14" a="1"/>
  <c r="J3418" i="14" s="1"/>
  <c r="N3419" i="14"/>
  <c r="M3423" i="14"/>
  <c r="M3422" i="13"/>
  <c r="J3419" i="13" a="1"/>
  <c r="J3419" i="13" s="1"/>
  <c r="N3420" i="13"/>
  <c r="K3234" i="13" l="1"/>
  <c r="L3234" i="13" s="1"/>
  <c r="I3235" i="13" s="1"/>
  <c r="K3256" i="14"/>
  <c r="L3256" i="14" s="1"/>
  <c r="I3257" i="14" s="1"/>
  <c r="J3420" i="13" a="1"/>
  <c r="J3420" i="13" s="1"/>
  <c r="N3421" i="13"/>
  <c r="M3424" i="14"/>
  <c r="N3420" i="14"/>
  <c r="J3419" i="14" a="1"/>
  <c r="J3419" i="14" s="1"/>
  <c r="M3423" i="13"/>
  <c r="K3257" i="14" l="1"/>
  <c r="L3257" i="14" s="1"/>
  <c r="I3258" i="14" s="1"/>
  <c r="K3235" i="13"/>
  <c r="L3235" i="13" s="1"/>
  <c r="I3236" i="13" s="1"/>
  <c r="N3421" i="14"/>
  <c r="J3420" i="14" a="1"/>
  <c r="J3420" i="14" s="1"/>
  <c r="M3425" i="14"/>
  <c r="M3424" i="13"/>
  <c r="J3421" i="13" a="1"/>
  <c r="J3421" i="13" s="1"/>
  <c r="N3422" i="13"/>
  <c r="K3236" i="13" l="1"/>
  <c r="L3236" i="13" s="1"/>
  <c r="I3237" i="13" s="1"/>
  <c r="K3258" i="14"/>
  <c r="L3258" i="14" s="1"/>
  <c r="I3259" i="14" s="1"/>
  <c r="M3426" i="14"/>
  <c r="N3423" i="13"/>
  <c r="J3422" i="13" a="1"/>
  <c r="J3422" i="13" s="1"/>
  <c r="M3425" i="13"/>
  <c r="N3422" i="14"/>
  <c r="J3421" i="14" a="1"/>
  <c r="J3421" i="14" s="1"/>
  <c r="K3259" i="14" l="1"/>
  <c r="L3259" i="14" s="1"/>
  <c r="I3260" i="14" s="1"/>
  <c r="K3237" i="13"/>
  <c r="L3237" i="13" s="1"/>
  <c r="I3238" i="13" s="1"/>
  <c r="J3423" i="13" a="1"/>
  <c r="J3423" i="13" s="1"/>
  <c r="N3424" i="13"/>
  <c r="M3427" i="14"/>
  <c r="J3422" i="14" a="1"/>
  <c r="J3422" i="14" s="1"/>
  <c r="N3423" i="14"/>
  <c r="M3426" i="13"/>
  <c r="K3238" i="13" l="1"/>
  <c r="L3238" i="13" s="1"/>
  <c r="I3239" i="13" s="1"/>
  <c r="K3260" i="14"/>
  <c r="L3260" i="14" s="1"/>
  <c r="I3261" i="14" s="1"/>
  <c r="N3424" i="14"/>
  <c r="J3423" i="14" a="1"/>
  <c r="J3423" i="14" s="1"/>
  <c r="M3427" i="13"/>
  <c r="M3428" i="14"/>
  <c r="J3424" i="13" a="1"/>
  <c r="J3424" i="13" s="1"/>
  <c r="N3425" i="13"/>
  <c r="K3261" i="14" l="1"/>
  <c r="L3261" i="14" s="1"/>
  <c r="I3262" i="14" s="1"/>
  <c r="K3239" i="13"/>
  <c r="L3239" i="13" s="1"/>
  <c r="I3240" i="13" s="1"/>
  <c r="J3425" i="13" a="1"/>
  <c r="J3425" i="13" s="1"/>
  <c r="N3426" i="13"/>
  <c r="M3428" i="13"/>
  <c r="M3429" i="14"/>
  <c r="N3425" i="14"/>
  <c r="J3424" i="14" a="1"/>
  <c r="J3424" i="14" s="1"/>
  <c r="K3240" i="13" l="1"/>
  <c r="L3240" i="13" s="1"/>
  <c r="I3241" i="13" s="1"/>
  <c r="K3262" i="14"/>
  <c r="L3262" i="14" s="1"/>
  <c r="I3263" i="14" s="1"/>
  <c r="N3426" i="14"/>
  <c r="J3425" i="14" a="1"/>
  <c r="J3425" i="14" s="1"/>
  <c r="M3429" i="13"/>
  <c r="N3427" i="13"/>
  <c r="J3426" i="13" a="1"/>
  <c r="J3426" i="13" s="1"/>
  <c r="M3430" i="14"/>
  <c r="K3263" i="14" l="1"/>
  <c r="L3263" i="14" s="1"/>
  <c r="I3264" i="14" s="1"/>
  <c r="K3241" i="13"/>
  <c r="L3241" i="13" s="1"/>
  <c r="I3242" i="13" s="1"/>
  <c r="M3430" i="13"/>
  <c r="M3431" i="14"/>
  <c r="J3427" i="13" a="1"/>
  <c r="J3427" i="13" s="1"/>
  <c r="N3428" i="13"/>
  <c r="J3426" i="14" a="1"/>
  <c r="J3426" i="14" s="1"/>
  <c r="N3427" i="14"/>
  <c r="K3242" i="13" l="1"/>
  <c r="L3242" i="13" s="1"/>
  <c r="I3243" i="13" s="1"/>
  <c r="K3264" i="14"/>
  <c r="L3264" i="14" s="1"/>
  <c r="I3265" i="14" s="1"/>
  <c r="M3432" i="14"/>
  <c r="N3428" i="14"/>
  <c r="J3427" i="14" a="1"/>
  <c r="J3427" i="14" s="1"/>
  <c r="J3428" i="13" a="1"/>
  <c r="J3428" i="13" s="1"/>
  <c r="N3429" i="13"/>
  <c r="M3431" i="13"/>
  <c r="K3265" i="14" l="1"/>
  <c r="L3265" i="14" s="1"/>
  <c r="I3266" i="14" s="1"/>
  <c r="K3243" i="13"/>
  <c r="L3243" i="13" s="1"/>
  <c r="I3244" i="13" s="1"/>
  <c r="N3429" i="14"/>
  <c r="J3428" i="14" a="1"/>
  <c r="J3428" i="14" s="1"/>
  <c r="J3429" i="13" a="1"/>
  <c r="J3429" i="13" s="1"/>
  <c r="N3430" i="13"/>
  <c r="M3433" i="14"/>
  <c r="M3432" i="13"/>
  <c r="K3244" i="13" l="1"/>
  <c r="L3244" i="13" s="1"/>
  <c r="I3245" i="13" s="1"/>
  <c r="K3266" i="14"/>
  <c r="L3266" i="14" s="1"/>
  <c r="I3267" i="14" s="1"/>
  <c r="N3431" i="13"/>
  <c r="J3430" i="13" a="1"/>
  <c r="J3430" i="13" s="1"/>
  <c r="M3433" i="13"/>
  <c r="M3434" i="14"/>
  <c r="N3430" i="14"/>
  <c r="J3429" i="14" a="1"/>
  <c r="J3429" i="14" s="1"/>
  <c r="K3267" i="14" l="1"/>
  <c r="L3267" i="14" s="1"/>
  <c r="I3268" i="14" s="1"/>
  <c r="K3245" i="13"/>
  <c r="L3245" i="13" s="1"/>
  <c r="I3246" i="13" s="1"/>
  <c r="M3434" i="13"/>
  <c r="J3430" i="14" a="1"/>
  <c r="J3430" i="14" s="1"/>
  <c r="N3431" i="14"/>
  <c r="M3435" i="14"/>
  <c r="J3431" i="13" a="1"/>
  <c r="J3431" i="13" s="1"/>
  <c r="N3432" i="13"/>
  <c r="K3246" i="13" l="1"/>
  <c r="L3246" i="13" s="1"/>
  <c r="I3247" i="13" s="1"/>
  <c r="K3268" i="14"/>
  <c r="L3268" i="14" s="1"/>
  <c r="I3269" i="14" s="1"/>
  <c r="N3432" i="14"/>
  <c r="J3431" i="14" a="1"/>
  <c r="J3431" i="14" s="1"/>
  <c r="J3432" i="13" a="1"/>
  <c r="J3432" i="13" s="1"/>
  <c r="N3433" i="13"/>
  <c r="M3436" i="14"/>
  <c r="M3435" i="13"/>
  <c r="K3269" i="14" l="1"/>
  <c r="L3269" i="14" s="1"/>
  <c r="I3270" i="14" s="1"/>
  <c r="K3247" i="13"/>
  <c r="L3247" i="13" s="1"/>
  <c r="I3248" i="13" s="1"/>
  <c r="J3433" i="13" a="1"/>
  <c r="J3433" i="13" s="1"/>
  <c r="N3434" i="13"/>
  <c r="M3436" i="13"/>
  <c r="M3437" i="14"/>
  <c r="N3433" i="14"/>
  <c r="J3432" i="14" a="1"/>
  <c r="J3432" i="14" s="1"/>
  <c r="K3248" i="13" l="1"/>
  <c r="L3248" i="13" s="1"/>
  <c r="I3249" i="13" s="1"/>
  <c r="K3270" i="14"/>
  <c r="L3270" i="14" s="1"/>
  <c r="I3271" i="14" s="1"/>
  <c r="N3434" i="14"/>
  <c r="J3433" i="14" a="1"/>
  <c r="J3433" i="14" s="1"/>
  <c r="M3437" i="13"/>
  <c r="N3435" i="13"/>
  <c r="J3434" i="13" a="1"/>
  <c r="J3434" i="13" s="1"/>
  <c r="M3438" i="14"/>
  <c r="K3271" i="14" l="1"/>
  <c r="L3271" i="14" s="1"/>
  <c r="I3272" i="14" s="1"/>
  <c r="K3249" i="13"/>
  <c r="L3249" i="13" s="1"/>
  <c r="I3250" i="13" s="1"/>
  <c r="M3438" i="13"/>
  <c r="M3439" i="14"/>
  <c r="J3435" i="13" a="1"/>
  <c r="J3435" i="13" s="1"/>
  <c r="N3436" i="13"/>
  <c r="J3434" i="14" a="1"/>
  <c r="J3434" i="14" s="1"/>
  <c r="N3435" i="14"/>
  <c r="K3250" i="13" l="1"/>
  <c r="L3250" i="13" s="1"/>
  <c r="I3251" i="13" s="1"/>
  <c r="K3272" i="14"/>
  <c r="L3272" i="14" s="1"/>
  <c r="I3273" i="14" s="1"/>
  <c r="N3436" i="14"/>
  <c r="J3435" i="14" a="1"/>
  <c r="J3435" i="14" s="1"/>
  <c r="M3440" i="14"/>
  <c r="J3436" i="13" a="1"/>
  <c r="J3436" i="13" s="1"/>
  <c r="N3437" i="13"/>
  <c r="M3439" i="13"/>
  <c r="K3273" i="14" l="1"/>
  <c r="L3273" i="14" s="1"/>
  <c r="I3274" i="14" s="1"/>
  <c r="K3251" i="13"/>
  <c r="L3251" i="13" s="1"/>
  <c r="I3252" i="13" s="1"/>
  <c r="J3437" i="13" a="1"/>
  <c r="J3437" i="13" s="1"/>
  <c r="N3438" i="13"/>
  <c r="M3441" i="14"/>
  <c r="M3440" i="13"/>
  <c r="N3437" i="14"/>
  <c r="J3436" i="14" a="1"/>
  <c r="J3436" i="14" s="1"/>
  <c r="K3252" i="13" l="1"/>
  <c r="L3252" i="13" s="1"/>
  <c r="I3253" i="13" s="1"/>
  <c r="K3274" i="14"/>
  <c r="L3274" i="14" s="1"/>
  <c r="I3275" i="14" s="1"/>
  <c r="N3438" i="14"/>
  <c r="J3437" i="14" a="1"/>
  <c r="J3437" i="14" s="1"/>
  <c r="M3442" i="14"/>
  <c r="N3439" i="13"/>
  <c r="J3438" i="13" a="1"/>
  <c r="J3438" i="13" s="1"/>
  <c r="M3441" i="13"/>
  <c r="K3275" i="14" l="1"/>
  <c r="L3275" i="14" s="1"/>
  <c r="I3276" i="14" s="1"/>
  <c r="K3253" i="13"/>
  <c r="L3253" i="13" s="1"/>
  <c r="I3254" i="13" s="1"/>
  <c r="M3442" i="13"/>
  <c r="M3443" i="14"/>
  <c r="J3439" i="13" a="1"/>
  <c r="J3439" i="13" s="1"/>
  <c r="N3440" i="13"/>
  <c r="J3438" i="14" a="1"/>
  <c r="J3438" i="14" s="1"/>
  <c r="N3439" i="14"/>
  <c r="K3254" i="13" l="1"/>
  <c r="L3254" i="13" s="1"/>
  <c r="I3255" i="13" s="1"/>
  <c r="K3276" i="14"/>
  <c r="L3276" i="14" s="1"/>
  <c r="I3277" i="14" s="1"/>
  <c r="M3444" i="14"/>
  <c r="J3440" i="13" a="1"/>
  <c r="J3440" i="13" s="1"/>
  <c r="N3441" i="13"/>
  <c r="J3439" i="14" a="1"/>
  <c r="J3439" i="14" s="1"/>
  <c r="N3440" i="14"/>
  <c r="M3443" i="13"/>
  <c r="K3277" i="14" l="1"/>
  <c r="L3277" i="14" s="1"/>
  <c r="I3278" i="14" s="1"/>
  <c r="K3255" i="13"/>
  <c r="L3255" i="13" s="1"/>
  <c r="I3256" i="13" s="1"/>
  <c r="J3441" i="13" a="1"/>
  <c r="J3441" i="13" s="1"/>
  <c r="N3442" i="13"/>
  <c r="J3440" i="14" a="1"/>
  <c r="J3440" i="14" s="1"/>
  <c r="N3441" i="14"/>
  <c r="M3445" i="14"/>
  <c r="M3444" i="13"/>
  <c r="K3256" i="13" l="1"/>
  <c r="L3256" i="13" s="1"/>
  <c r="I3257" i="13" s="1"/>
  <c r="K3278" i="14"/>
  <c r="L3278" i="14" s="1"/>
  <c r="I3279" i="14" s="1"/>
  <c r="N3442" i="14"/>
  <c r="J3441" i="14" a="1"/>
  <c r="J3441" i="14" s="1"/>
  <c r="N3443" i="13"/>
  <c r="J3442" i="13" a="1"/>
  <c r="J3442" i="13" s="1"/>
  <c r="M3445" i="13"/>
  <c r="M3446" i="14"/>
  <c r="K3279" i="14" l="1"/>
  <c r="L3279" i="14" s="1"/>
  <c r="I3280" i="14" s="1"/>
  <c r="K3257" i="13"/>
  <c r="L3257" i="13" s="1"/>
  <c r="I3258" i="13" s="1"/>
  <c r="J3443" i="13" a="1"/>
  <c r="J3443" i="13" s="1"/>
  <c r="N3444" i="13"/>
  <c r="M3447" i="14"/>
  <c r="M3446" i="13"/>
  <c r="J3442" i="14" a="1"/>
  <c r="J3442" i="14" s="1"/>
  <c r="N3443" i="14"/>
  <c r="K3258" i="13" l="1"/>
  <c r="L3258" i="13" s="1"/>
  <c r="I3259" i="13" s="1"/>
  <c r="K3280" i="14"/>
  <c r="L3280" i="14" s="1"/>
  <c r="I3281" i="14" s="1"/>
  <c r="J3443" i="14" a="1"/>
  <c r="J3443" i="14" s="1"/>
  <c r="N3444" i="14"/>
  <c r="M3448" i="14"/>
  <c r="J3444" i="13" a="1"/>
  <c r="J3444" i="13" s="1"/>
  <c r="N3445" i="13"/>
  <c r="M3447" i="13"/>
  <c r="K3281" i="14" l="1"/>
  <c r="L3281" i="14" s="1"/>
  <c r="I3282" i="14" s="1"/>
  <c r="K3259" i="13"/>
  <c r="L3259" i="13" s="1"/>
  <c r="I3260" i="13" s="1"/>
  <c r="J3445" i="13" a="1"/>
  <c r="J3445" i="13" s="1"/>
  <c r="N3446" i="13"/>
  <c r="M3449" i="14"/>
  <c r="M3448" i="13"/>
  <c r="N3445" i="14"/>
  <c r="J3444" i="14" a="1"/>
  <c r="J3444" i="14" s="1"/>
  <c r="K3260" i="13" l="1"/>
  <c r="L3260" i="13" s="1"/>
  <c r="I3261" i="13" s="1"/>
  <c r="K3282" i="14"/>
  <c r="L3282" i="14" s="1"/>
  <c r="I3283" i="14" s="1"/>
  <c r="N3446" i="14"/>
  <c r="J3445" i="14" a="1"/>
  <c r="J3445" i="14" s="1"/>
  <c r="M3450" i="14"/>
  <c r="N3447" i="13"/>
  <c r="J3446" i="13" a="1"/>
  <c r="J3446" i="13" s="1"/>
  <c r="M3449" i="13"/>
  <c r="K3283" i="14" l="1"/>
  <c r="L3283" i="14" s="1"/>
  <c r="I3284" i="14" s="1"/>
  <c r="K3261" i="13"/>
  <c r="L3261" i="13" s="1"/>
  <c r="I3262" i="13" s="1"/>
  <c r="M3450" i="13"/>
  <c r="J3447" i="13" a="1"/>
  <c r="J3447" i="13" s="1"/>
  <c r="N3448" i="13"/>
  <c r="M3451" i="14"/>
  <c r="J3446" i="14" a="1"/>
  <c r="J3446" i="14" s="1"/>
  <c r="N3447" i="14"/>
  <c r="K3262" i="13" l="1"/>
  <c r="L3262" i="13" s="1"/>
  <c r="I3263" i="13" s="1"/>
  <c r="K3284" i="14"/>
  <c r="L3284" i="14" s="1"/>
  <c r="I3285" i="14" s="1"/>
  <c r="J3447" i="14" a="1"/>
  <c r="J3447" i="14" s="1"/>
  <c r="N3448" i="14"/>
  <c r="J3448" i="13" a="1"/>
  <c r="J3448" i="13" s="1"/>
  <c r="N3449" i="13"/>
  <c r="M3452" i="14"/>
  <c r="M3451" i="13"/>
  <c r="K3285" i="14" l="1"/>
  <c r="L3285" i="14" s="1"/>
  <c r="I3286" i="14" s="1"/>
  <c r="K3263" i="13"/>
  <c r="L3263" i="13" s="1"/>
  <c r="I3264" i="13" s="1"/>
  <c r="J3449" i="13" a="1"/>
  <c r="J3449" i="13" s="1"/>
  <c r="N3450" i="13"/>
  <c r="J3448" i="14" a="1"/>
  <c r="J3448" i="14" s="1"/>
  <c r="N3449" i="14"/>
  <c r="M3452" i="13"/>
  <c r="M3453" i="14"/>
  <c r="K3264" i="13" l="1"/>
  <c r="L3264" i="13" s="1"/>
  <c r="I3265" i="13" s="1"/>
  <c r="K3286" i="14"/>
  <c r="L3286" i="14" s="1"/>
  <c r="I3287" i="14" s="1"/>
  <c r="N3450" i="14"/>
  <c r="J3449" i="14" a="1"/>
  <c r="J3449" i="14" s="1"/>
  <c r="N3451" i="13"/>
  <c r="J3450" i="13" a="1"/>
  <c r="J3450" i="13" s="1"/>
  <c r="M3454" i="14"/>
  <c r="M3453" i="13"/>
  <c r="K3287" i="14" l="1"/>
  <c r="L3287" i="14" s="1"/>
  <c r="I3288" i="14" s="1"/>
  <c r="K3265" i="13"/>
  <c r="L3265" i="13" s="1"/>
  <c r="I3266" i="13" s="1"/>
  <c r="J3451" i="13" a="1"/>
  <c r="J3451" i="13" s="1"/>
  <c r="N3452" i="13"/>
  <c r="M3454" i="13"/>
  <c r="M3455" i="14"/>
  <c r="J3450" i="14" a="1"/>
  <c r="J3450" i="14" s="1"/>
  <c r="N3451" i="14"/>
  <c r="K3266" i="13" l="1"/>
  <c r="L3266" i="13" s="1"/>
  <c r="I3267" i="13" s="1"/>
  <c r="K3288" i="14"/>
  <c r="L3288" i="14" s="1"/>
  <c r="I3289" i="14" s="1"/>
  <c r="J3451" i="14" a="1"/>
  <c r="J3451" i="14" s="1"/>
  <c r="N3452" i="14"/>
  <c r="M3455" i="13"/>
  <c r="J3452" i="13" a="1"/>
  <c r="J3452" i="13" s="1"/>
  <c r="N3453" i="13"/>
  <c r="M3456" i="14"/>
  <c r="K3267" i="13" l="1"/>
  <c r="L3267" i="13" s="1"/>
  <c r="I3268" i="13" s="1"/>
  <c r="M3457" i="14"/>
  <c r="M3456" i="13"/>
  <c r="K3289" i="14"/>
  <c r="L3289" i="14" s="1"/>
  <c r="I3290" i="14" s="1"/>
  <c r="J3453" i="13" a="1"/>
  <c r="J3453" i="13" s="1"/>
  <c r="N3454" i="13"/>
  <c r="N3453" i="14"/>
  <c r="J3452" i="14" a="1"/>
  <c r="J3452" i="14" s="1"/>
  <c r="K3290" i="14" l="1"/>
  <c r="L3290" i="14" s="1"/>
  <c r="I3291" i="14" s="1"/>
  <c r="K3268" i="13"/>
  <c r="L3268" i="13" s="1"/>
  <c r="I3269" i="13" s="1"/>
  <c r="N3454" i="14"/>
  <c r="J3453" i="14" a="1"/>
  <c r="J3453" i="14" s="1"/>
  <c r="M3458" i="14"/>
  <c r="N3455" i="13"/>
  <c r="J3454" i="13" a="1"/>
  <c r="J3454" i="13" s="1"/>
  <c r="M3457" i="13"/>
  <c r="K3269" i="13" l="1"/>
  <c r="L3269" i="13" s="1"/>
  <c r="I3270" i="13" s="1"/>
  <c r="K3291" i="14"/>
  <c r="L3291" i="14" s="1"/>
  <c r="I3292" i="14" s="1"/>
  <c r="J3455" i="13" a="1"/>
  <c r="J3455" i="13" s="1"/>
  <c r="N3456" i="13"/>
  <c r="M3458" i="13"/>
  <c r="M3459" i="14"/>
  <c r="J3454" i="14" a="1"/>
  <c r="J3454" i="14" s="1"/>
  <c r="N3455" i="14"/>
  <c r="K3270" i="13" l="1"/>
  <c r="L3270" i="13" s="1"/>
  <c r="I3271" i="13" s="1"/>
  <c r="K3292" i="14"/>
  <c r="L3292" i="14" s="1"/>
  <c r="I3293" i="14" s="1"/>
  <c r="M3460" i="14"/>
  <c r="M3459" i="13"/>
  <c r="J3455" i="14" a="1"/>
  <c r="J3455" i="14" s="1"/>
  <c r="N3456" i="14"/>
  <c r="J3456" i="13" a="1"/>
  <c r="J3456" i="13" s="1"/>
  <c r="N3457" i="13"/>
  <c r="K3271" i="13" l="1"/>
  <c r="L3271" i="13" s="1"/>
  <c r="I3272" i="13" s="1"/>
  <c r="K3293" i="14"/>
  <c r="L3293" i="14" s="1"/>
  <c r="I3294" i="14" s="1"/>
  <c r="J3457" i="13" a="1"/>
  <c r="J3457" i="13" s="1"/>
  <c r="N3458" i="13"/>
  <c r="M3460" i="13"/>
  <c r="J3456" i="14" a="1"/>
  <c r="J3456" i="14" s="1"/>
  <c r="N3457" i="14"/>
  <c r="M3461" i="14"/>
  <c r="K3272" i="13" l="1"/>
  <c r="L3272" i="13" s="1"/>
  <c r="I3273" i="13" s="1"/>
  <c r="K3294" i="14"/>
  <c r="L3294" i="14" s="1"/>
  <c r="I3295" i="14" s="1"/>
  <c r="N3458" i="14"/>
  <c r="J3457" i="14" a="1"/>
  <c r="J3457" i="14" s="1"/>
  <c r="N3459" i="13"/>
  <c r="J3458" i="13" a="1"/>
  <c r="J3458" i="13" s="1"/>
  <c r="M3462" i="14"/>
  <c r="M3461" i="13"/>
  <c r="J3459" i="13" l="1" a="1"/>
  <c r="J3459" i="13" s="1"/>
  <c r="N3460" i="13"/>
  <c r="K3295" i="14"/>
  <c r="L3295" i="14" s="1"/>
  <c r="I3296" i="14" s="1"/>
  <c r="M3462" i="13"/>
  <c r="M3463" i="14"/>
  <c r="J3458" i="14" a="1"/>
  <c r="J3458" i="14" s="1"/>
  <c r="N3459" i="14"/>
  <c r="K3273" i="13"/>
  <c r="L3273" i="13" s="1"/>
  <c r="I3274" i="13" s="1"/>
  <c r="K3274" i="13" l="1"/>
  <c r="L3274" i="13" s="1"/>
  <c r="I3275" i="13" s="1"/>
  <c r="K3296" i="14"/>
  <c r="L3296" i="14" s="1"/>
  <c r="I3297" i="14" s="1"/>
  <c r="M3464" i="14"/>
  <c r="J3459" i="14" a="1"/>
  <c r="J3459" i="14" s="1"/>
  <c r="N3460" i="14"/>
  <c r="J3460" i="13" a="1"/>
  <c r="J3460" i="13" s="1"/>
  <c r="N3461" i="13"/>
  <c r="M3463" i="13"/>
  <c r="K3297" i="14" l="1"/>
  <c r="L3297" i="14" s="1"/>
  <c r="I3298" i="14" s="1"/>
  <c r="K3275" i="13"/>
  <c r="L3275" i="13" s="1"/>
  <c r="I3276" i="13" s="1"/>
  <c r="N3461" i="14"/>
  <c r="J3460" i="14" a="1"/>
  <c r="J3460" i="14" s="1"/>
  <c r="M3464" i="13"/>
  <c r="J3461" i="13" a="1"/>
  <c r="J3461" i="13" s="1"/>
  <c r="N3462" i="13"/>
  <c r="M3465" i="14"/>
  <c r="K3276" i="13" l="1"/>
  <c r="L3276" i="13" s="1"/>
  <c r="I3277" i="13" s="1"/>
  <c r="K3298" i="14"/>
  <c r="L3298" i="14" s="1"/>
  <c r="I3299" i="14" s="1"/>
  <c r="N3463" i="13"/>
  <c r="J3462" i="13" a="1"/>
  <c r="J3462" i="13" s="1"/>
  <c r="M3466" i="14"/>
  <c r="M3465" i="13"/>
  <c r="N3462" i="14"/>
  <c r="J3461" i="14" a="1"/>
  <c r="J3461" i="14" s="1"/>
  <c r="K3299" i="14" l="1"/>
  <c r="L3299" i="14" s="1"/>
  <c r="I3300" i="14" s="1"/>
  <c r="K3277" i="13"/>
  <c r="L3277" i="13" s="1"/>
  <c r="I3278" i="13" s="1"/>
  <c r="J3462" i="14" a="1"/>
  <c r="J3462" i="14" s="1"/>
  <c r="N3463" i="14"/>
  <c r="M3467" i="14"/>
  <c r="M3466" i="13"/>
  <c r="J3463" i="13" a="1"/>
  <c r="J3463" i="13" s="1"/>
  <c r="N3464" i="13"/>
  <c r="J3464" i="13" l="1" a="1"/>
  <c r="J3464" i="13" s="1"/>
  <c r="N3465" i="13"/>
  <c r="M3467" i="13"/>
  <c r="M3468" i="14"/>
  <c r="K3278" i="13"/>
  <c r="L3278" i="13" s="1"/>
  <c r="I3279" i="13" s="1"/>
  <c r="K3300" i="14"/>
  <c r="L3300" i="14" s="1"/>
  <c r="I3301" i="14" s="1"/>
  <c r="J3463" i="14" a="1"/>
  <c r="J3463" i="14" s="1"/>
  <c r="N3464" i="14"/>
  <c r="K3301" i="14" l="1"/>
  <c r="L3301" i="14" s="1"/>
  <c r="I3302" i="14" s="1"/>
  <c r="K3279" i="13"/>
  <c r="L3279" i="13" s="1"/>
  <c r="I3280" i="13" s="1"/>
  <c r="M3468" i="13"/>
  <c r="J3464" i="14" a="1"/>
  <c r="J3464" i="14" s="1"/>
  <c r="N3465" i="14"/>
  <c r="M3469" i="14"/>
  <c r="J3465" i="13" a="1"/>
  <c r="J3465" i="13" s="1"/>
  <c r="N3466" i="13"/>
  <c r="K3280" i="13" l="1"/>
  <c r="L3280" i="13" s="1"/>
  <c r="I3281" i="13" s="1"/>
  <c r="K3302" i="14"/>
  <c r="L3302" i="14" s="1"/>
  <c r="I3303" i="14" s="1"/>
  <c r="N3467" i="13"/>
  <c r="J3466" i="13" a="1"/>
  <c r="J3466" i="13" s="1"/>
  <c r="N3466" i="14"/>
  <c r="J3465" i="14" a="1"/>
  <c r="J3465" i="14" s="1"/>
  <c r="M3470" i="14"/>
  <c r="M3469" i="13"/>
  <c r="K3303" i="14" l="1"/>
  <c r="L3303" i="14" s="1"/>
  <c r="I3304" i="14" s="1"/>
  <c r="K3281" i="13"/>
  <c r="L3281" i="13" s="1"/>
  <c r="I3282" i="13" s="1"/>
  <c r="J3466" i="14" a="1"/>
  <c r="J3466" i="14" s="1"/>
  <c r="N3467" i="14"/>
  <c r="M3470" i="13"/>
  <c r="M3471" i="14"/>
  <c r="J3467" i="13" a="1"/>
  <c r="J3467" i="13" s="1"/>
  <c r="N3468" i="13"/>
  <c r="K3282" i="13" l="1"/>
  <c r="L3282" i="13" s="1"/>
  <c r="I3283" i="13" s="1"/>
  <c r="K3304" i="14"/>
  <c r="L3304" i="14" s="1"/>
  <c r="I3305" i="14" s="1"/>
  <c r="M3471" i="13"/>
  <c r="J3468" i="13" a="1"/>
  <c r="J3468" i="13" s="1"/>
  <c r="N3469" i="13"/>
  <c r="J3467" i="14" a="1"/>
  <c r="J3467" i="14" s="1"/>
  <c r="N3468" i="14"/>
  <c r="M3472" i="14"/>
  <c r="K3305" i="14" l="1"/>
  <c r="L3305" i="14" s="1"/>
  <c r="I3306" i="14" s="1"/>
  <c r="K3283" i="13"/>
  <c r="L3283" i="13" s="1"/>
  <c r="I3284" i="13" s="1"/>
  <c r="M3473" i="14"/>
  <c r="N3469" i="14"/>
  <c r="J3468" i="14" a="1"/>
  <c r="J3468" i="14" s="1"/>
  <c r="J3469" i="13" a="1"/>
  <c r="J3469" i="13" s="1"/>
  <c r="N3470" i="13"/>
  <c r="M3472" i="13"/>
  <c r="K3284" i="13" l="1"/>
  <c r="L3284" i="13" s="1"/>
  <c r="I3285" i="13" s="1"/>
  <c r="K3306" i="14"/>
  <c r="L3306" i="14" s="1"/>
  <c r="I3307" i="14" s="1"/>
  <c r="M3473" i="13"/>
  <c r="N3470" i="14"/>
  <c r="J3469" i="14" a="1"/>
  <c r="J3469" i="14" s="1"/>
  <c r="N3471" i="13"/>
  <c r="J3470" i="13" a="1"/>
  <c r="J3470" i="13" s="1"/>
  <c r="M3474" i="14"/>
  <c r="K3307" i="14" l="1"/>
  <c r="L3307" i="14" s="1"/>
  <c r="I3308" i="14" s="1"/>
  <c r="K3285" i="13"/>
  <c r="L3285" i="13" s="1"/>
  <c r="I3286" i="13" s="1"/>
  <c r="M3475" i="14"/>
  <c r="J3470" i="14" a="1"/>
  <c r="J3470" i="14" s="1"/>
  <c r="N3471" i="14"/>
  <c r="M3474" i="13"/>
  <c r="J3471" i="13" a="1"/>
  <c r="J3471" i="13" s="1"/>
  <c r="N3472" i="13"/>
  <c r="K3286" i="13" l="1"/>
  <c r="L3286" i="13" s="1"/>
  <c r="I3287" i="13" s="1"/>
  <c r="K3308" i="14"/>
  <c r="L3308" i="14" s="1"/>
  <c r="I3309" i="14" s="1"/>
  <c r="J3471" i="14" a="1"/>
  <c r="J3471" i="14" s="1"/>
  <c r="N3472" i="14"/>
  <c r="J3472" i="13" a="1"/>
  <c r="J3472" i="13" s="1"/>
  <c r="N3473" i="13"/>
  <c r="M3475" i="13"/>
  <c r="M3476" i="14"/>
  <c r="K3309" i="14" l="1"/>
  <c r="L3309" i="14" s="1"/>
  <c r="I3310" i="14" s="1"/>
  <c r="K3287" i="13"/>
  <c r="L3287" i="13" s="1"/>
  <c r="I3288" i="13" s="1"/>
  <c r="J3473" i="13" a="1"/>
  <c r="J3473" i="13" s="1"/>
  <c r="N3474" i="13"/>
  <c r="J3472" i="14" a="1"/>
  <c r="J3472" i="14" s="1"/>
  <c r="N3473" i="14"/>
  <c r="M3477" i="14"/>
  <c r="M3476" i="13"/>
  <c r="K3288" i="13" l="1"/>
  <c r="L3288" i="13" s="1"/>
  <c r="I3289" i="13" s="1"/>
  <c r="K3310" i="14"/>
  <c r="L3310" i="14" s="1"/>
  <c r="I3311" i="14" s="1"/>
  <c r="N3475" i="13"/>
  <c r="J3474" i="13" a="1"/>
  <c r="J3474" i="13" s="1"/>
  <c r="N3474" i="14"/>
  <c r="J3473" i="14" a="1"/>
  <c r="J3473" i="14" s="1"/>
  <c r="M3477" i="13"/>
  <c r="M3478" i="14"/>
  <c r="K3311" i="14" l="1"/>
  <c r="L3311" i="14" s="1"/>
  <c r="I3312" i="14" s="1"/>
  <c r="K3289" i="13"/>
  <c r="L3289" i="13" s="1"/>
  <c r="I3290" i="13" s="1"/>
  <c r="J3474" i="14" a="1"/>
  <c r="J3474" i="14" s="1"/>
  <c r="N3475" i="14"/>
  <c r="M3479" i="14"/>
  <c r="M3478" i="13"/>
  <c r="J3475" i="13" a="1"/>
  <c r="J3475" i="13" s="1"/>
  <c r="N3476" i="13"/>
  <c r="K3290" i="13" l="1"/>
  <c r="L3290" i="13" s="1"/>
  <c r="I3291" i="13" s="1"/>
  <c r="K3312" i="14"/>
  <c r="L3312" i="14" s="1"/>
  <c r="I3313" i="14" s="1"/>
  <c r="J3476" i="13" a="1"/>
  <c r="J3476" i="13" s="1"/>
  <c r="N3477" i="13"/>
  <c r="M3480" i="14"/>
  <c r="J3475" i="14" a="1"/>
  <c r="J3475" i="14" s="1"/>
  <c r="N3476" i="14"/>
  <c r="M3479" i="13"/>
  <c r="K3313" i="14" l="1"/>
  <c r="L3313" i="14" s="1"/>
  <c r="I3314" i="14" s="1"/>
  <c r="K3291" i="13"/>
  <c r="L3291" i="13" s="1"/>
  <c r="I3292" i="13" s="1"/>
  <c r="M3481" i="14"/>
  <c r="M3480" i="13"/>
  <c r="J3477" i="13" a="1"/>
  <c r="J3477" i="13" s="1"/>
  <c r="N3478" i="13"/>
  <c r="N3477" i="14"/>
  <c r="J3476" i="14" a="1"/>
  <c r="J3476" i="14" s="1"/>
  <c r="K3292" i="13" l="1"/>
  <c r="L3292" i="13" s="1"/>
  <c r="I3293" i="13" s="1"/>
  <c r="K3314" i="14"/>
  <c r="L3314" i="14" s="1"/>
  <c r="I3315" i="14" s="1"/>
  <c r="N3478" i="14"/>
  <c r="J3477" i="14" a="1"/>
  <c r="J3477" i="14" s="1"/>
  <c r="M3481" i="13"/>
  <c r="N3479" i="13"/>
  <c r="J3478" i="13" a="1"/>
  <c r="J3478" i="13" s="1"/>
  <c r="M3482" i="14"/>
  <c r="K3315" i="14" l="1"/>
  <c r="L3315" i="14" s="1"/>
  <c r="I3316" i="14" s="1"/>
  <c r="J3479" i="13" a="1"/>
  <c r="J3479" i="13" s="1"/>
  <c r="N3480" i="13"/>
  <c r="M3482" i="13"/>
  <c r="M3483" i="14"/>
  <c r="J3478" i="14" a="1"/>
  <c r="J3478" i="14" s="1"/>
  <c r="N3479" i="14"/>
  <c r="K3293" i="13"/>
  <c r="L3293" i="13" s="1"/>
  <c r="I3294" i="13" s="1"/>
  <c r="K3294" i="13" l="1"/>
  <c r="L3294" i="13" s="1"/>
  <c r="I3295" i="13" s="1"/>
  <c r="M3484" i="14"/>
  <c r="J3480" i="13" a="1"/>
  <c r="J3480" i="13" s="1"/>
  <c r="N3481" i="13"/>
  <c r="J3479" i="14" a="1"/>
  <c r="J3479" i="14" s="1"/>
  <c r="N3480" i="14"/>
  <c r="M3483" i="13"/>
  <c r="K3316" i="14"/>
  <c r="L3316" i="14" s="1"/>
  <c r="I3317" i="14" s="1"/>
  <c r="K3317" i="14" l="1"/>
  <c r="L3317" i="14" s="1"/>
  <c r="I3318" i="14" s="1"/>
  <c r="K3295" i="13"/>
  <c r="L3295" i="13" s="1"/>
  <c r="I3296" i="13" s="1"/>
  <c r="J3480" i="14" a="1"/>
  <c r="J3480" i="14" s="1"/>
  <c r="N3481" i="14"/>
  <c r="M3485" i="14"/>
  <c r="J3481" i="13" a="1"/>
  <c r="J3481" i="13" s="1"/>
  <c r="N3482" i="13"/>
  <c r="M3484" i="13"/>
  <c r="K3296" i="13" l="1"/>
  <c r="L3296" i="13" s="1"/>
  <c r="I3297" i="13" s="1"/>
  <c r="K3318" i="14"/>
  <c r="L3318" i="14" s="1"/>
  <c r="I3319" i="14" s="1"/>
  <c r="N3483" i="13"/>
  <c r="J3482" i="13" a="1"/>
  <c r="J3482" i="13" s="1"/>
  <c r="M3485" i="13"/>
  <c r="M3486" i="14"/>
  <c r="N3482" i="14"/>
  <c r="J3481" i="14" a="1"/>
  <c r="J3481" i="14" s="1"/>
  <c r="K3319" i="14" l="1"/>
  <c r="L3319" i="14" s="1"/>
  <c r="I3320" i="14" s="1"/>
  <c r="K3297" i="13"/>
  <c r="L3297" i="13" s="1"/>
  <c r="I3298" i="13" s="1"/>
  <c r="M3486" i="13"/>
  <c r="J3482" i="14" a="1"/>
  <c r="J3482" i="14" s="1"/>
  <c r="N3483" i="14"/>
  <c r="M3487" i="14"/>
  <c r="J3483" i="13" a="1"/>
  <c r="J3483" i="13" s="1"/>
  <c r="N3484" i="13"/>
  <c r="K3320" i="14" l="1"/>
  <c r="L3320" i="14" s="1"/>
  <c r="I3321" i="14" s="1"/>
  <c r="K3298" i="13"/>
  <c r="L3298" i="13" s="1"/>
  <c r="I3299" i="13" s="1"/>
  <c r="J3484" i="13" a="1"/>
  <c r="J3484" i="13" s="1"/>
  <c r="N3485" i="13"/>
  <c r="J3483" i="14" a="1"/>
  <c r="J3483" i="14" s="1"/>
  <c r="N3484" i="14"/>
  <c r="M3488" i="14"/>
  <c r="M3487" i="13"/>
  <c r="K3299" i="13" l="1"/>
  <c r="L3299" i="13" s="1"/>
  <c r="I3300" i="13" s="1"/>
  <c r="K3321" i="14"/>
  <c r="L3321" i="14" s="1"/>
  <c r="I3322" i="14" s="1"/>
  <c r="N3485" i="14"/>
  <c r="J3484" i="14" a="1"/>
  <c r="J3484" i="14" s="1"/>
  <c r="M3488" i="13"/>
  <c r="M3489" i="14"/>
  <c r="J3485" i="13" a="1"/>
  <c r="J3485" i="13" s="1"/>
  <c r="N3486" i="13"/>
  <c r="K3322" i="14" l="1"/>
  <c r="L3322" i="14" s="1"/>
  <c r="I3323" i="14" s="1"/>
  <c r="K3300" i="13"/>
  <c r="L3300" i="13" s="1"/>
  <c r="I3301" i="13" s="1"/>
  <c r="M3489" i="13"/>
  <c r="N3487" i="13"/>
  <c r="J3486" i="13" a="1"/>
  <c r="J3486" i="13" s="1"/>
  <c r="M3490" i="14"/>
  <c r="N3486" i="14"/>
  <c r="J3485" i="14" a="1"/>
  <c r="J3485" i="14" s="1"/>
  <c r="K3301" i="13" l="1"/>
  <c r="L3301" i="13" s="1"/>
  <c r="I3302" i="13" s="1"/>
  <c r="K3323" i="14"/>
  <c r="L3323" i="14" s="1"/>
  <c r="I3324" i="14" s="1"/>
  <c r="J3487" i="13" a="1"/>
  <c r="J3487" i="13" s="1"/>
  <c r="N3488" i="13"/>
  <c r="J3486" i="14" a="1"/>
  <c r="J3486" i="14" s="1"/>
  <c r="N3487" i="14"/>
  <c r="M3490" i="13"/>
  <c r="M3491" i="14"/>
  <c r="K3324" i="14" l="1"/>
  <c r="L3324" i="14" s="1"/>
  <c r="I3325" i="14" s="1"/>
  <c r="K3302" i="13"/>
  <c r="L3302" i="13" s="1"/>
  <c r="I3303" i="13" s="1"/>
  <c r="J3487" i="14" a="1"/>
  <c r="J3487" i="14" s="1"/>
  <c r="N3488" i="14"/>
  <c r="J3488" i="13" a="1"/>
  <c r="J3488" i="13" s="1"/>
  <c r="N3489" i="13"/>
  <c r="M3492" i="14"/>
  <c r="M3491" i="13"/>
  <c r="K3303" i="13" l="1"/>
  <c r="L3303" i="13" s="1"/>
  <c r="I3304" i="13" s="1"/>
  <c r="K3325" i="14"/>
  <c r="L3325" i="14" s="1"/>
  <c r="I3326" i="14" s="1"/>
  <c r="J3488" i="14" a="1"/>
  <c r="J3488" i="14" s="1"/>
  <c r="N3489" i="14"/>
  <c r="J3489" i="13" a="1"/>
  <c r="J3489" i="13" s="1"/>
  <c r="N3490" i="13"/>
  <c r="M3492" i="13"/>
  <c r="M3493" i="14"/>
  <c r="K3326" i="14" l="1"/>
  <c r="L3326" i="14" s="1"/>
  <c r="I3327" i="14" s="1"/>
  <c r="K3304" i="13"/>
  <c r="L3304" i="13" s="1"/>
  <c r="I3305" i="13" s="1"/>
  <c r="N3491" i="13"/>
  <c r="J3490" i="13" a="1"/>
  <c r="J3490" i="13" s="1"/>
  <c r="N3490" i="14"/>
  <c r="J3489" i="14" a="1"/>
  <c r="J3489" i="14" s="1"/>
  <c r="M3494" i="14"/>
  <c r="M3493" i="13"/>
  <c r="K3305" i="13" l="1"/>
  <c r="L3305" i="13" s="1"/>
  <c r="I3306" i="13" s="1"/>
  <c r="K3327" i="14"/>
  <c r="L3327" i="14" s="1"/>
  <c r="I3328" i="14" s="1"/>
  <c r="M3494" i="13"/>
  <c r="J3490" i="14" a="1"/>
  <c r="J3490" i="14" s="1"/>
  <c r="N3491" i="14"/>
  <c r="M3495" i="14"/>
  <c r="J3491" i="13" a="1"/>
  <c r="J3491" i="13" s="1"/>
  <c r="N3492" i="13"/>
  <c r="K3328" i="14" l="1"/>
  <c r="L3328" i="14" s="1"/>
  <c r="I3329" i="14" s="1"/>
  <c r="K3306" i="13"/>
  <c r="L3306" i="13" s="1"/>
  <c r="I3307" i="13" s="1"/>
  <c r="J3491" i="14" a="1"/>
  <c r="J3491" i="14" s="1"/>
  <c r="N3492" i="14"/>
  <c r="J3492" i="13" a="1"/>
  <c r="J3492" i="13" s="1"/>
  <c r="N3493" i="13"/>
  <c r="M3496" i="14"/>
  <c r="M3495" i="13"/>
  <c r="K3329" i="14" l="1"/>
  <c r="L3329" i="14" s="1"/>
  <c r="I3330" i="14" s="1"/>
  <c r="J3493" i="13" a="1"/>
  <c r="J3493" i="13" s="1"/>
  <c r="N3494" i="13"/>
  <c r="K3307" i="13"/>
  <c r="L3307" i="13" s="1"/>
  <c r="I3308" i="13" s="1"/>
  <c r="M3496" i="13"/>
  <c r="N3493" i="14"/>
  <c r="J3492" i="14" a="1"/>
  <c r="J3492" i="14" s="1"/>
  <c r="M3497" i="14"/>
  <c r="K3308" i="13" l="1"/>
  <c r="L3308" i="13" s="1"/>
  <c r="I3309" i="13" s="1"/>
  <c r="K3330" i="14"/>
  <c r="L3330" i="14" s="1"/>
  <c r="I3331" i="14" s="1"/>
  <c r="N3495" i="13"/>
  <c r="J3494" i="13" a="1"/>
  <c r="J3494" i="13" s="1"/>
  <c r="M3498" i="14"/>
  <c r="M3497" i="13"/>
  <c r="N3494" i="14"/>
  <c r="J3493" i="14" a="1"/>
  <c r="J3493" i="14" s="1"/>
  <c r="K3331" i="14" l="1"/>
  <c r="L3331" i="14" s="1"/>
  <c r="I3332" i="14" s="1"/>
  <c r="K3309" i="13"/>
  <c r="L3309" i="13" s="1"/>
  <c r="I3310" i="13" s="1"/>
  <c r="J3494" i="14" a="1"/>
  <c r="J3494" i="14" s="1"/>
  <c r="N3495" i="14"/>
  <c r="M3499" i="14"/>
  <c r="M3498" i="13"/>
  <c r="J3495" i="13" a="1"/>
  <c r="J3495" i="13" s="1"/>
  <c r="N3496" i="13"/>
  <c r="K3310" i="13" l="1"/>
  <c r="L3310" i="13" s="1"/>
  <c r="I3311" i="13" s="1"/>
  <c r="K3332" i="14"/>
  <c r="L3332" i="14" s="1"/>
  <c r="I3333" i="14" s="1"/>
  <c r="J3496" i="13" a="1"/>
  <c r="J3496" i="13" s="1"/>
  <c r="N3497" i="13"/>
  <c r="M3500" i="14"/>
  <c r="J3495" i="14" a="1"/>
  <c r="J3495" i="14" s="1"/>
  <c r="N3496" i="14"/>
  <c r="M3499" i="13"/>
  <c r="K3333" i="14" l="1"/>
  <c r="L3333" i="14" s="1"/>
  <c r="I3334" i="14" s="1"/>
  <c r="K3311" i="13"/>
  <c r="L3311" i="13" s="1"/>
  <c r="I3312" i="13" s="1"/>
  <c r="M3501" i="14"/>
  <c r="J3496" i="14" a="1"/>
  <c r="J3496" i="14" s="1"/>
  <c r="N3497" i="14"/>
  <c r="M3500" i="13"/>
  <c r="J3497" i="13" a="1"/>
  <c r="J3497" i="13" s="1"/>
  <c r="N3498" i="13"/>
  <c r="K3312" i="13" l="1"/>
  <c r="L3312" i="13" s="1"/>
  <c r="I3313" i="13" s="1"/>
  <c r="K3334" i="14"/>
  <c r="L3334" i="14" s="1"/>
  <c r="I3335" i="14" s="1"/>
  <c r="N3498" i="14"/>
  <c r="J3497" i="14" a="1"/>
  <c r="J3497" i="14" s="1"/>
  <c r="N3499" i="13"/>
  <c r="J3498" i="13" a="1"/>
  <c r="J3498" i="13" s="1"/>
  <c r="M3501" i="13"/>
  <c r="M3502" i="14"/>
  <c r="K3335" i="14" l="1"/>
  <c r="L3335" i="14" s="1"/>
  <c r="I3336" i="14" s="1"/>
  <c r="K3313" i="13"/>
  <c r="L3313" i="13" s="1"/>
  <c r="I3314" i="13" s="1"/>
  <c r="J3499" i="13" a="1"/>
  <c r="J3499" i="13" s="1"/>
  <c r="N3500" i="13"/>
  <c r="M3503" i="14"/>
  <c r="M3502" i="13"/>
  <c r="J3498" i="14" a="1"/>
  <c r="J3498" i="14" s="1"/>
  <c r="N3499" i="14"/>
  <c r="K3314" i="13" l="1"/>
  <c r="L3314" i="13" s="1"/>
  <c r="I3315" i="13" s="1"/>
  <c r="K3336" i="14"/>
  <c r="L3336" i="14" s="1"/>
  <c r="I3337" i="14" s="1"/>
  <c r="J3499" i="14" a="1"/>
  <c r="J3499" i="14" s="1"/>
  <c r="N3500" i="14"/>
  <c r="M3504" i="14"/>
  <c r="J3500" i="13" a="1"/>
  <c r="J3500" i="13" s="1"/>
  <c r="N3501" i="13"/>
  <c r="M3503" i="13"/>
  <c r="K3337" i="14" l="1"/>
  <c r="L3337" i="14" s="1"/>
  <c r="I3338" i="14" s="1"/>
  <c r="K3315" i="13"/>
  <c r="L3315" i="13" s="1"/>
  <c r="I3316" i="13" s="1"/>
  <c r="J3501" i="13" a="1"/>
  <c r="J3501" i="13" s="1"/>
  <c r="N3502" i="13"/>
  <c r="M3505" i="14"/>
  <c r="M3504" i="13"/>
  <c r="N3501" i="14"/>
  <c r="J3500" i="14" a="1"/>
  <c r="J3500" i="14" s="1"/>
  <c r="K3316" i="13" l="1"/>
  <c r="L3316" i="13" s="1"/>
  <c r="I3317" i="13" s="1"/>
  <c r="K3338" i="14"/>
  <c r="L3338" i="14" s="1"/>
  <c r="I3339" i="14" s="1"/>
  <c r="N3502" i="14"/>
  <c r="J3501" i="14" a="1"/>
  <c r="J3501" i="14" s="1"/>
  <c r="M3506" i="14"/>
  <c r="N3503" i="13"/>
  <c r="J3502" i="13" a="1"/>
  <c r="J3502" i="13" s="1"/>
  <c r="M3505" i="13"/>
  <c r="K3339" i="14" l="1"/>
  <c r="L3339" i="14" s="1"/>
  <c r="I3340" i="14" s="1"/>
  <c r="K3317" i="13"/>
  <c r="L3317" i="13" s="1"/>
  <c r="I3318" i="13" s="1"/>
  <c r="M3506" i="13"/>
  <c r="M3507" i="14"/>
  <c r="J3503" i="13" a="1"/>
  <c r="J3503" i="13" s="1"/>
  <c r="N3504" i="13"/>
  <c r="J3502" i="14" a="1"/>
  <c r="J3502" i="14" s="1"/>
  <c r="N3503" i="14"/>
  <c r="K3318" i="13" l="1"/>
  <c r="L3318" i="13" s="1"/>
  <c r="I3319" i="13" s="1"/>
  <c r="K3340" i="14"/>
  <c r="L3340" i="14" s="1"/>
  <c r="I3341" i="14" s="1"/>
  <c r="M3508" i="14"/>
  <c r="J3503" i="14" a="1"/>
  <c r="J3503" i="14" s="1"/>
  <c r="N3504" i="14"/>
  <c r="J3504" i="13" a="1"/>
  <c r="J3504" i="13" s="1"/>
  <c r="N3505" i="13"/>
  <c r="M3507" i="13"/>
  <c r="K3341" i="14" l="1"/>
  <c r="L3341" i="14" s="1"/>
  <c r="I3342" i="14" s="1"/>
  <c r="K3319" i="13"/>
  <c r="L3319" i="13" s="1"/>
  <c r="I3320" i="13" s="1"/>
  <c r="J3505" i="13" a="1"/>
  <c r="J3505" i="13" s="1"/>
  <c r="N3506" i="13"/>
  <c r="M3509" i="14"/>
  <c r="J3504" i="14" a="1"/>
  <c r="J3504" i="14" s="1"/>
  <c r="N3505" i="14"/>
  <c r="M3508" i="13"/>
  <c r="K3320" i="13" l="1"/>
  <c r="L3320" i="13" s="1"/>
  <c r="I3321" i="13" s="1"/>
  <c r="K3342" i="14"/>
  <c r="L3342" i="14" s="1"/>
  <c r="I3343" i="14" s="1"/>
  <c r="N3506" i="14"/>
  <c r="J3505" i="14" a="1"/>
  <c r="J3505" i="14" s="1"/>
  <c r="M3509" i="13"/>
  <c r="M3510" i="14"/>
  <c r="N3507" i="13"/>
  <c r="J3506" i="13" a="1"/>
  <c r="J3506" i="13" s="1"/>
  <c r="K3343" i="14" l="1"/>
  <c r="L3343" i="14" s="1"/>
  <c r="I3344" i="14" s="1"/>
  <c r="K3321" i="13"/>
  <c r="L3321" i="13" s="1"/>
  <c r="I3322" i="13" s="1"/>
  <c r="M3510" i="13"/>
  <c r="J3507" i="13" a="1"/>
  <c r="J3507" i="13" s="1"/>
  <c r="N3508" i="13"/>
  <c r="M3511" i="14"/>
  <c r="J3506" i="14" a="1"/>
  <c r="J3506" i="14" s="1"/>
  <c r="N3507" i="14"/>
  <c r="K3322" i="13" l="1"/>
  <c r="L3322" i="13" s="1"/>
  <c r="I3323" i="13" s="1"/>
  <c r="K3344" i="14"/>
  <c r="L3344" i="14" s="1"/>
  <c r="I3345" i="14" s="1"/>
  <c r="J3507" i="14" a="1"/>
  <c r="J3507" i="14" s="1"/>
  <c r="N3508" i="14"/>
  <c r="J3508" i="13" a="1"/>
  <c r="J3508" i="13" s="1"/>
  <c r="N3509" i="13"/>
  <c r="M3512" i="14"/>
  <c r="M3511" i="13"/>
  <c r="K3345" i="14" l="1"/>
  <c r="L3345" i="14" s="1"/>
  <c r="I3346" i="14" s="1"/>
  <c r="K3323" i="13"/>
  <c r="L3323" i="13" s="1"/>
  <c r="I3324" i="13" s="1"/>
  <c r="J3509" i="13" a="1"/>
  <c r="J3509" i="13" s="1"/>
  <c r="N3510" i="13"/>
  <c r="N3509" i="14"/>
  <c r="J3508" i="14" a="1"/>
  <c r="J3508" i="14" s="1"/>
  <c r="M3512" i="13"/>
  <c r="M3513" i="14"/>
  <c r="K3324" i="13" l="1"/>
  <c r="L3324" i="13" s="1"/>
  <c r="I3325" i="13" s="1"/>
  <c r="K3346" i="14"/>
  <c r="L3346" i="14" s="1"/>
  <c r="I3347" i="14" s="1"/>
  <c r="N3510" i="14"/>
  <c r="J3509" i="14" a="1"/>
  <c r="J3509" i="14" s="1"/>
  <c r="N3511" i="13"/>
  <c r="J3510" i="13" a="1"/>
  <c r="J3510" i="13" s="1"/>
  <c r="M3514" i="14"/>
  <c r="M3513" i="13"/>
  <c r="K3347" i="14" l="1"/>
  <c r="L3347" i="14" s="1"/>
  <c r="I3348" i="14" s="1"/>
  <c r="K3325" i="13"/>
  <c r="L3325" i="13" s="1"/>
  <c r="I3326" i="13" s="1"/>
  <c r="J3511" i="13" a="1"/>
  <c r="J3511" i="13" s="1"/>
  <c r="N3512" i="13"/>
  <c r="M3514" i="13"/>
  <c r="M3515" i="14"/>
  <c r="J3510" i="14" a="1"/>
  <c r="J3510" i="14" s="1"/>
  <c r="N3511" i="14"/>
  <c r="K3326" i="13" l="1"/>
  <c r="L3326" i="13" s="1"/>
  <c r="I3327" i="13" s="1"/>
  <c r="K3348" i="14"/>
  <c r="L3348" i="14" s="1"/>
  <c r="I3349" i="14" s="1"/>
  <c r="J3511" i="14" a="1"/>
  <c r="J3511" i="14" s="1"/>
  <c r="N3512" i="14"/>
  <c r="M3515" i="13"/>
  <c r="J3512" i="13" a="1"/>
  <c r="J3512" i="13" s="1"/>
  <c r="N3513" i="13"/>
  <c r="M3516" i="14"/>
  <c r="K3349" i="14" l="1"/>
  <c r="L3349" i="14" s="1"/>
  <c r="I3350" i="14" s="1"/>
  <c r="K3327" i="13"/>
  <c r="L3327" i="13" s="1"/>
  <c r="I3328" i="13" s="1"/>
  <c r="M3517" i="14"/>
  <c r="M3516" i="13"/>
  <c r="J3512" i="14" a="1"/>
  <c r="J3512" i="14" s="1"/>
  <c r="N3513" i="14"/>
  <c r="J3513" i="13" a="1"/>
  <c r="J3513" i="13" s="1"/>
  <c r="N3514" i="13"/>
  <c r="K3328" i="13" l="1"/>
  <c r="L3328" i="13" s="1"/>
  <c r="I3329" i="13" s="1"/>
  <c r="K3350" i="14"/>
  <c r="L3350" i="14" s="1"/>
  <c r="I3351" i="14" s="1"/>
  <c r="N3515" i="13"/>
  <c r="J3514" i="13" a="1"/>
  <c r="J3514" i="13" s="1"/>
  <c r="M3517" i="13"/>
  <c r="N3514" i="14"/>
  <c r="J3513" i="14" a="1"/>
  <c r="J3513" i="14" s="1"/>
  <c r="M3518" i="14"/>
  <c r="K3351" i="14" l="1"/>
  <c r="L3351" i="14" s="1"/>
  <c r="I3352" i="14" s="1"/>
  <c r="K3329" i="13"/>
  <c r="L3329" i="13" s="1"/>
  <c r="I3330" i="13" s="1"/>
  <c r="M3518" i="13"/>
  <c r="M3519" i="14"/>
  <c r="J3514" i="14" a="1"/>
  <c r="J3514" i="14" s="1"/>
  <c r="N3515" i="14"/>
  <c r="J3515" i="13" a="1"/>
  <c r="J3515" i="13" s="1"/>
  <c r="N3516" i="13"/>
  <c r="K3330" i="13" l="1"/>
  <c r="L3330" i="13" s="1"/>
  <c r="I3331" i="13" s="1"/>
  <c r="K3352" i="14"/>
  <c r="L3352" i="14" s="1"/>
  <c r="I3353" i="14" s="1"/>
  <c r="J3516" i="13" a="1"/>
  <c r="J3516" i="13" s="1"/>
  <c r="N3517" i="13"/>
  <c r="M3520" i="14"/>
  <c r="J3515" i="14" a="1"/>
  <c r="J3515" i="14" s="1"/>
  <c r="N3516" i="14"/>
  <c r="M3519" i="13"/>
  <c r="K3353" i="14" l="1"/>
  <c r="L3353" i="14" s="1"/>
  <c r="I3354" i="14" s="1"/>
  <c r="K3331" i="13"/>
  <c r="L3331" i="13" s="1"/>
  <c r="I3332" i="13" s="1"/>
  <c r="N3517" i="14"/>
  <c r="J3516" i="14" a="1"/>
  <c r="J3516" i="14" s="1"/>
  <c r="M3521" i="14"/>
  <c r="M3520" i="13"/>
  <c r="J3517" i="13" a="1"/>
  <c r="J3517" i="13" s="1"/>
  <c r="N3518" i="13"/>
  <c r="K3332" i="13" l="1"/>
  <c r="L3332" i="13" s="1"/>
  <c r="I3333" i="13" s="1"/>
  <c r="M3521" i="13"/>
  <c r="K3354" i="14"/>
  <c r="L3354" i="14" s="1"/>
  <c r="I3355" i="14" s="1"/>
  <c r="N3519" i="13"/>
  <c r="J3518" i="13" a="1"/>
  <c r="J3518" i="13" s="1"/>
  <c r="N3518" i="14"/>
  <c r="J3517" i="14" a="1"/>
  <c r="J3517" i="14" s="1"/>
  <c r="M3522" i="14"/>
  <c r="K3355" i="14" l="1"/>
  <c r="L3355" i="14" s="1"/>
  <c r="I3356" i="14" s="1"/>
  <c r="K3333" i="13"/>
  <c r="L3333" i="13" s="1"/>
  <c r="I3334" i="13" s="1"/>
  <c r="M3522" i="13"/>
  <c r="J3519" i="13" a="1"/>
  <c r="J3519" i="13" s="1"/>
  <c r="N3520" i="13"/>
  <c r="M3523" i="14"/>
  <c r="J3518" i="14" a="1"/>
  <c r="J3518" i="14" s="1"/>
  <c r="N3519" i="14"/>
  <c r="K3334" i="13" l="1"/>
  <c r="L3334" i="13" s="1"/>
  <c r="I3335" i="13" s="1"/>
  <c r="K3356" i="14"/>
  <c r="L3356" i="14" s="1"/>
  <c r="I3357" i="14" s="1"/>
  <c r="J3520" i="13" a="1"/>
  <c r="J3520" i="13" s="1"/>
  <c r="N3521" i="13"/>
  <c r="J3519" i="14" a="1"/>
  <c r="J3519" i="14" s="1"/>
  <c r="N3520" i="14"/>
  <c r="M3524" i="14"/>
  <c r="M3523" i="13"/>
  <c r="K3357" i="14" l="1"/>
  <c r="L3357" i="14" s="1"/>
  <c r="I3358" i="14" s="1"/>
  <c r="K3335" i="13"/>
  <c r="L3335" i="13" s="1"/>
  <c r="I3336" i="13" s="1"/>
  <c r="J3521" i="13" a="1"/>
  <c r="J3521" i="13" s="1"/>
  <c r="N3522" i="13"/>
  <c r="J3520" i="14" a="1"/>
  <c r="J3520" i="14" s="1"/>
  <c r="N3521" i="14"/>
  <c r="M3524" i="13"/>
  <c r="M3525" i="14"/>
  <c r="K3336" i="13" l="1"/>
  <c r="L3336" i="13" s="1"/>
  <c r="I3337" i="13" s="1"/>
  <c r="K3358" i="14"/>
  <c r="L3358" i="14" s="1"/>
  <c r="I3359" i="14" s="1"/>
  <c r="N3522" i="14"/>
  <c r="J3521" i="14" a="1"/>
  <c r="J3521" i="14" s="1"/>
  <c r="N3523" i="13"/>
  <c r="J3522" i="13" a="1"/>
  <c r="J3522" i="13" s="1"/>
  <c r="M3526" i="14"/>
  <c r="M3525" i="13"/>
  <c r="K3359" i="14" l="1"/>
  <c r="L3359" i="14" s="1"/>
  <c r="I3360" i="14" s="1"/>
  <c r="K3337" i="13"/>
  <c r="L3337" i="13" s="1"/>
  <c r="I3338" i="13" s="1"/>
  <c r="J3523" i="13" a="1"/>
  <c r="J3523" i="13" s="1"/>
  <c r="N3524" i="13"/>
  <c r="M3526" i="13"/>
  <c r="M3527" i="14"/>
  <c r="J3522" i="14" a="1"/>
  <c r="J3522" i="14" s="1"/>
  <c r="N3523" i="14"/>
  <c r="K3338" i="13" l="1"/>
  <c r="L3338" i="13" s="1"/>
  <c r="I3339" i="13" s="1"/>
  <c r="K3360" i="14"/>
  <c r="L3360" i="14" s="1"/>
  <c r="I3361" i="14" s="1"/>
  <c r="J3523" i="14" a="1"/>
  <c r="J3523" i="14" s="1"/>
  <c r="N3524" i="14"/>
  <c r="M3527" i="13"/>
  <c r="M3528" i="14"/>
  <c r="J3524" i="13" a="1"/>
  <c r="J3524" i="13" s="1"/>
  <c r="N3525" i="13"/>
  <c r="K3361" i="14" l="1"/>
  <c r="L3361" i="14" s="1"/>
  <c r="I3362" i="14" s="1"/>
  <c r="K3339" i="13"/>
  <c r="L3339" i="13" s="1"/>
  <c r="I3340" i="13" s="1"/>
  <c r="J3525" i="13" a="1"/>
  <c r="J3525" i="13" s="1"/>
  <c r="N3526" i="13"/>
  <c r="M3528" i="13"/>
  <c r="M3529" i="14"/>
  <c r="N3525" i="14"/>
  <c r="J3524" i="14" a="1"/>
  <c r="J3524" i="14" s="1"/>
  <c r="K3340" i="13" l="1"/>
  <c r="L3340" i="13" s="1"/>
  <c r="I3341" i="13" s="1"/>
  <c r="K3362" i="14"/>
  <c r="L3362" i="14" s="1"/>
  <c r="I3363" i="14" s="1"/>
  <c r="N3526" i="14"/>
  <c r="J3525" i="14" a="1"/>
  <c r="J3525" i="14" s="1"/>
  <c r="M3529" i="13"/>
  <c r="N3527" i="13"/>
  <c r="J3526" i="13" a="1"/>
  <c r="J3526" i="13" s="1"/>
  <c r="M3530" i="14"/>
  <c r="K3363" i="14" l="1"/>
  <c r="L3363" i="14" s="1"/>
  <c r="I3364" i="14" s="1"/>
  <c r="K3341" i="13"/>
  <c r="L3341" i="13" s="1"/>
  <c r="I3342" i="13" s="1"/>
  <c r="M3530" i="13"/>
  <c r="J3527" i="13" a="1"/>
  <c r="J3527" i="13" s="1"/>
  <c r="N3528" i="13"/>
  <c r="M3531" i="14"/>
  <c r="J3526" i="14" a="1"/>
  <c r="J3526" i="14" s="1"/>
  <c r="N3527" i="14"/>
  <c r="K3342" i="13" l="1"/>
  <c r="L3342" i="13" s="1"/>
  <c r="I3343" i="13" s="1"/>
  <c r="K3364" i="14"/>
  <c r="L3364" i="14" s="1"/>
  <c r="I3365" i="14" s="1"/>
  <c r="J3527" i="14" a="1"/>
  <c r="J3527" i="14" s="1"/>
  <c r="N3528" i="14"/>
  <c r="J3528" i="13" a="1"/>
  <c r="J3528" i="13" s="1"/>
  <c r="N3529" i="13"/>
  <c r="M3532" i="14"/>
  <c r="M3531" i="13"/>
  <c r="K3365" i="14" l="1"/>
  <c r="L3365" i="14" s="1"/>
  <c r="I3366" i="14" s="1"/>
  <c r="K3343" i="13"/>
  <c r="L3343" i="13" s="1"/>
  <c r="I3344" i="13" s="1"/>
  <c r="J3529" i="13" a="1"/>
  <c r="J3529" i="13" s="1"/>
  <c r="N3530" i="13"/>
  <c r="J3528" i="14" a="1"/>
  <c r="J3528" i="14" s="1"/>
  <c r="N3529" i="14"/>
  <c r="M3532" i="13"/>
  <c r="M3533" i="14"/>
  <c r="K3344" i="13" l="1"/>
  <c r="L3344" i="13" s="1"/>
  <c r="I3345" i="13" s="1"/>
  <c r="K3366" i="14"/>
  <c r="L3366" i="14" s="1"/>
  <c r="I3367" i="14" s="1"/>
  <c r="N3530" i="14"/>
  <c r="J3529" i="14" a="1"/>
  <c r="J3529" i="14" s="1"/>
  <c r="N3531" i="13"/>
  <c r="J3530" i="13" a="1"/>
  <c r="J3530" i="13" s="1"/>
  <c r="M3534" i="14"/>
  <c r="M3533" i="13"/>
  <c r="K3367" i="14" l="1"/>
  <c r="L3367" i="14" s="1"/>
  <c r="I3368" i="14" s="1"/>
  <c r="K3345" i="13"/>
  <c r="L3345" i="13" s="1"/>
  <c r="I3346" i="13" s="1"/>
  <c r="M3534" i="13"/>
  <c r="J3531" i="13" a="1"/>
  <c r="J3531" i="13" s="1"/>
  <c r="N3532" i="13"/>
  <c r="M3535" i="14"/>
  <c r="J3530" i="14" a="1"/>
  <c r="J3530" i="14" s="1"/>
  <c r="N3531" i="14"/>
  <c r="K3346" i="13" l="1"/>
  <c r="L3346" i="13" s="1"/>
  <c r="I3347" i="13" s="1"/>
  <c r="K3368" i="14"/>
  <c r="L3368" i="14" s="1"/>
  <c r="I3369" i="14" s="1"/>
  <c r="J3532" i="13" a="1"/>
  <c r="J3532" i="13" s="1"/>
  <c r="N3533" i="13"/>
  <c r="J3531" i="14" a="1"/>
  <c r="J3531" i="14" s="1"/>
  <c r="N3532" i="14"/>
  <c r="M3536" i="14"/>
  <c r="M3535" i="13"/>
  <c r="K3369" i="14" l="1"/>
  <c r="L3369" i="14" s="1"/>
  <c r="I3370" i="14" s="1"/>
  <c r="K3347" i="13"/>
  <c r="L3347" i="13" s="1"/>
  <c r="I3348" i="13" s="1"/>
  <c r="N3533" i="14"/>
  <c r="J3532" i="14" a="1"/>
  <c r="J3532" i="14" s="1"/>
  <c r="M3537" i="14"/>
  <c r="J3533" i="13" a="1"/>
  <c r="J3533" i="13" s="1"/>
  <c r="N3534" i="13"/>
  <c r="M3536" i="13"/>
  <c r="K3348" i="13" l="1"/>
  <c r="L3348" i="13" s="1"/>
  <c r="I3349" i="13" s="1"/>
  <c r="K3370" i="14"/>
  <c r="L3370" i="14" s="1"/>
  <c r="I3371" i="14" s="1"/>
  <c r="N3535" i="13"/>
  <c r="J3534" i="13" a="1"/>
  <c r="J3534" i="13" s="1"/>
  <c r="M3537" i="13"/>
  <c r="M3538" i="14"/>
  <c r="N3534" i="14"/>
  <c r="J3533" i="14" a="1"/>
  <c r="J3533" i="14" s="1"/>
  <c r="K3371" i="14" l="1"/>
  <c r="L3371" i="14" s="1"/>
  <c r="I3372" i="14" s="1"/>
  <c r="K3349" i="13"/>
  <c r="L3349" i="13" s="1"/>
  <c r="I3350" i="13" s="1"/>
  <c r="M3538" i="13"/>
  <c r="J3534" i="14" a="1"/>
  <c r="J3534" i="14" s="1"/>
  <c r="N3535" i="14"/>
  <c r="M3539" i="14"/>
  <c r="J3535" i="13" a="1"/>
  <c r="J3535" i="13" s="1"/>
  <c r="N3536" i="13"/>
  <c r="K3350" i="13" l="1"/>
  <c r="L3350" i="13" s="1"/>
  <c r="I3351" i="13" s="1"/>
  <c r="K3372" i="14"/>
  <c r="L3372" i="14" s="1"/>
  <c r="I3373" i="14" s="1"/>
  <c r="J3536" i="13" a="1"/>
  <c r="J3536" i="13" s="1"/>
  <c r="N3537" i="13"/>
  <c r="J3535" i="14" a="1"/>
  <c r="J3535" i="14" s="1"/>
  <c r="N3536" i="14"/>
  <c r="M3540" i="14"/>
  <c r="M3539" i="13"/>
  <c r="K3373" i="14" l="1"/>
  <c r="L3373" i="14" s="1"/>
  <c r="I3374" i="14" s="1"/>
  <c r="K3351" i="13"/>
  <c r="L3351" i="13" s="1"/>
  <c r="I3352" i="13" s="1"/>
  <c r="J3536" i="14" a="1"/>
  <c r="J3536" i="14" s="1"/>
  <c r="N3537" i="14"/>
  <c r="M3540" i="13"/>
  <c r="M3541" i="14"/>
  <c r="J3537" i="13" a="1"/>
  <c r="J3537" i="13" s="1"/>
  <c r="N3538" i="13"/>
  <c r="K3352" i="13" l="1"/>
  <c r="L3352" i="13" s="1"/>
  <c r="I3353" i="13" s="1"/>
  <c r="K3374" i="14"/>
  <c r="L3374" i="14" s="1"/>
  <c r="I3375" i="14" s="1"/>
  <c r="N3539" i="13"/>
  <c r="J3538" i="13" a="1"/>
  <c r="J3538" i="13" s="1"/>
  <c r="M3541" i="13"/>
  <c r="N3538" i="14"/>
  <c r="J3537" i="14" a="1"/>
  <c r="J3537" i="14" s="1"/>
  <c r="M3542" i="14"/>
  <c r="K3375" i="14" l="1"/>
  <c r="L3375" i="14" s="1"/>
  <c r="I3376" i="14" s="1"/>
  <c r="K3353" i="13"/>
  <c r="L3353" i="13" s="1"/>
  <c r="I3354" i="13" s="1"/>
  <c r="M3542" i="13"/>
  <c r="J3538" i="14" a="1"/>
  <c r="J3538" i="14" s="1"/>
  <c r="N3539" i="14"/>
  <c r="M3543" i="14"/>
  <c r="J3539" i="13" a="1"/>
  <c r="J3539" i="13" s="1"/>
  <c r="N3540" i="13"/>
  <c r="K3354" i="13" l="1"/>
  <c r="L3354" i="13" s="1"/>
  <c r="I3355" i="13" s="1"/>
  <c r="K3376" i="14"/>
  <c r="L3376" i="14" s="1"/>
  <c r="I3377" i="14" s="1"/>
  <c r="J3540" i="13" a="1"/>
  <c r="J3540" i="13" s="1"/>
  <c r="N3541" i="13"/>
  <c r="J3539" i="14" a="1"/>
  <c r="J3539" i="14" s="1"/>
  <c r="N3540" i="14"/>
  <c r="M3544" i="14"/>
  <c r="M3543" i="13"/>
  <c r="K3377" i="14" l="1"/>
  <c r="L3377" i="14" s="1"/>
  <c r="I3378" i="14" s="1"/>
  <c r="K3355" i="13"/>
  <c r="L3355" i="13" s="1"/>
  <c r="I3356" i="13" s="1"/>
  <c r="N3541" i="14"/>
  <c r="J3540" i="14" a="1"/>
  <c r="J3540" i="14" s="1"/>
  <c r="J3541" i="13" a="1"/>
  <c r="J3541" i="13" s="1"/>
  <c r="N3542" i="13"/>
  <c r="M3544" i="13"/>
  <c r="M3545" i="14"/>
  <c r="K3356" i="13" l="1"/>
  <c r="L3356" i="13" s="1"/>
  <c r="I3357" i="13" s="1"/>
  <c r="K3378" i="14"/>
  <c r="L3378" i="14" s="1"/>
  <c r="I3379" i="14" s="1"/>
  <c r="N3543" i="13"/>
  <c r="J3542" i="13" a="1"/>
  <c r="J3542" i="13" s="1"/>
  <c r="M3546" i="14"/>
  <c r="M3545" i="13"/>
  <c r="N3542" i="14"/>
  <c r="J3541" i="14" a="1"/>
  <c r="J3541" i="14" s="1"/>
  <c r="K3379" i="14" l="1"/>
  <c r="L3379" i="14" s="1"/>
  <c r="I3380" i="14" s="1"/>
  <c r="K3357" i="13"/>
  <c r="L3357" i="13" s="1"/>
  <c r="I3358" i="13" s="1"/>
  <c r="J3542" i="14" a="1"/>
  <c r="J3542" i="14" s="1"/>
  <c r="N3543" i="14"/>
  <c r="M3547" i="14"/>
  <c r="M3546" i="13"/>
  <c r="J3543" i="13" a="1"/>
  <c r="J3543" i="13" s="1"/>
  <c r="N3544" i="13"/>
  <c r="K3358" i="13" l="1"/>
  <c r="L3358" i="13" s="1"/>
  <c r="I3359" i="13" s="1"/>
  <c r="K3380" i="14"/>
  <c r="L3380" i="14" s="1"/>
  <c r="I3381" i="14" s="1"/>
  <c r="J3544" i="13" a="1"/>
  <c r="J3544" i="13" s="1"/>
  <c r="N3545" i="13"/>
  <c r="M3548" i="14"/>
  <c r="J3543" i="14" a="1"/>
  <c r="J3543" i="14" s="1"/>
  <c r="N3544" i="14"/>
  <c r="M3547" i="13"/>
  <c r="K3381" i="14" l="1"/>
  <c r="L3381" i="14" s="1"/>
  <c r="I3382" i="14" s="1"/>
  <c r="K3359" i="13"/>
  <c r="L3359" i="13" s="1"/>
  <c r="I3360" i="13" s="1"/>
  <c r="M3549" i="14"/>
  <c r="J3544" i="14" a="1"/>
  <c r="J3544" i="14" s="1"/>
  <c r="N3545" i="14"/>
  <c r="M3548" i="13"/>
  <c r="J3545" i="13" a="1"/>
  <c r="J3545" i="13" s="1"/>
  <c r="N3546" i="13"/>
  <c r="K3360" i="13" l="1"/>
  <c r="L3360" i="13" s="1"/>
  <c r="I3361" i="13" s="1"/>
  <c r="K3382" i="14"/>
  <c r="L3382" i="14" s="1"/>
  <c r="I3383" i="14" s="1"/>
  <c r="N3546" i="14"/>
  <c r="J3545" i="14" a="1"/>
  <c r="J3545" i="14" s="1"/>
  <c r="N3547" i="13"/>
  <c r="J3546" i="13" a="1"/>
  <c r="J3546" i="13" s="1"/>
  <c r="M3549" i="13"/>
  <c r="M3550" i="14"/>
  <c r="K3383" i="14" l="1"/>
  <c r="L3383" i="14" s="1"/>
  <c r="I3384" i="14" s="1"/>
  <c r="J3547" i="13" a="1"/>
  <c r="J3547" i="13" s="1"/>
  <c r="N3548" i="13"/>
  <c r="M3551" i="14"/>
  <c r="M3550" i="13"/>
  <c r="J3546" i="14" a="1"/>
  <c r="J3546" i="14" s="1"/>
  <c r="N3547" i="14"/>
  <c r="K3361" i="13"/>
  <c r="L3361" i="13" s="1"/>
  <c r="I3362" i="13" s="1"/>
  <c r="K3362" i="13" l="1"/>
  <c r="L3362" i="13" s="1"/>
  <c r="I3363" i="13" s="1"/>
  <c r="K3384" i="14"/>
  <c r="L3384" i="14" s="1"/>
  <c r="I3385" i="14" s="1"/>
  <c r="J3548" i="13" a="1"/>
  <c r="J3548" i="13" s="1"/>
  <c r="N3549" i="13"/>
  <c r="M3551" i="13"/>
  <c r="M3552" i="14"/>
  <c r="J3547" i="14" a="1"/>
  <c r="J3547" i="14" s="1"/>
  <c r="N3548" i="14"/>
  <c r="K3385" i="14" l="1"/>
  <c r="L3385" i="14" s="1"/>
  <c r="I3386" i="14" s="1"/>
  <c r="K3363" i="13"/>
  <c r="L3363" i="13" s="1"/>
  <c r="I3364" i="13" s="1"/>
  <c r="N3549" i="14"/>
  <c r="J3548" i="14" a="1"/>
  <c r="J3548" i="14" s="1"/>
  <c r="M3552" i="13"/>
  <c r="J3549" i="13" a="1"/>
  <c r="J3549" i="13" s="1"/>
  <c r="N3550" i="13"/>
  <c r="M3553" i="14"/>
  <c r="K3364" i="13" l="1"/>
  <c r="L3364" i="13" s="1"/>
  <c r="I3365" i="13" s="1"/>
  <c r="K3386" i="14"/>
  <c r="L3386" i="14" s="1"/>
  <c r="I3387" i="14" s="1"/>
  <c r="N3551" i="13"/>
  <c r="J3550" i="13" a="1"/>
  <c r="J3550" i="13" s="1"/>
  <c r="M3554" i="14"/>
  <c r="M3553" i="13"/>
  <c r="N3550" i="14"/>
  <c r="J3549" i="14" a="1"/>
  <c r="J3549" i="14" s="1"/>
  <c r="K3387" i="14" l="1"/>
  <c r="L3387" i="14" s="1"/>
  <c r="I3388" i="14" s="1"/>
  <c r="K3365" i="13"/>
  <c r="L3365" i="13" s="1"/>
  <c r="I3366" i="13" s="1"/>
  <c r="J3550" i="14" a="1"/>
  <c r="J3550" i="14" s="1"/>
  <c r="N3551" i="14"/>
  <c r="M3555" i="14"/>
  <c r="M3554" i="13"/>
  <c r="J3551" i="13" a="1"/>
  <c r="J3551" i="13" s="1"/>
  <c r="N3552" i="13"/>
  <c r="K3366" i="13" l="1"/>
  <c r="L3366" i="13" s="1"/>
  <c r="I3367" i="13" s="1"/>
  <c r="K3388" i="14"/>
  <c r="L3388" i="14" s="1"/>
  <c r="I3389" i="14" s="1"/>
  <c r="J3552" i="13" a="1"/>
  <c r="J3552" i="13" s="1"/>
  <c r="N3553" i="13"/>
  <c r="M3556" i="14"/>
  <c r="J3551" i="14" a="1"/>
  <c r="J3551" i="14" s="1"/>
  <c r="N3552" i="14"/>
  <c r="M3555" i="13"/>
  <c r="K3389" i="14" l="1"/>
  <c r="L3389" i="14" s="1"/>
  <c r="I3390" i="14" s="1"/>
  <c r="K3367" i="13"/>
  <c r="L3367" i="13" s="1"/>
  <c r="I3368" i="13" s="1"/>
  <c r="J3552" i="14" a="1"/>
  <c r="J3552" i="14" s="1"/>
  <c r="N3553" i="14"/>
  <c r="M3557" i="14"/>
  <c r="M3556" i="13"/>
  <c r="J3553" i="13" a="1"/>
  <c r="J3553" i="13" s="1"/>
  <c r="N3554" i="13"/>
  <c r="K3368" i="13" l="1"/>
  <c r="L3368" i="13" s="1"/>
  <c r="I3369" i="13" s="1"/>
  <c r="K3390" i="14"/>
  <c r="L3390" i="14" s="1"/>
  <c r="I3391" i="14" s="1"/>
  <c r="N3555" i="13"/>
  <c r="J3554" i="13" a="1"/>
  <c r="J3554" i="13" s="1"/>
  <c r="M3558" i="14"/>
  <c r="N3554" i="14"/>
  <c r="J3553" i="14" a="1"/>
  <c r="J3553" i="14" s="1"/>
  <c r="M3557" i="13"/>
  <c r="K3391" i="14" l="1"/>
  <c r="L3391" i="14" s="1"/>
  <c r="I3392" i="14" s="1"/>
  <c r="K3369" i="13"/>
  <c r="L3369" i="13" s="1"/>
  <c r="I3370" i="13" s="1"/>
  <c r="M3558" i="13"/>
  <c r="M3559" i="14"/>
  <c r="J3554" i="14" a="1"/>
  <c r="J3554" i="14" s="1"/>
  <c r="N3555" i="14"/>
  <c r="J3555" i="13" a="1"/>
  <c r="J3555" i="13" s="1"/>
  <c r="N3556" i="13"/>
  <c r="K3370" i="13" l="1"/>
  <c r="L3370" i="13" s="1"/>
  <c r="I3371" i="13" s="1"/>
  <c r="K3392" i="14"/>
  <c r="L3392" i="14" s="1"/>
  <c r="I3393" i="14" s="1"/>
  <c r="J3556" i="13" a="1"/>
  <c r="J3556" i="13" s="1"/>
  <c r="N3557" i="13"/>
  <c r="M3560" i="14"/>
  <c r="J3555" i="14" a="1"/>
  <c r="J3555" i="14" s="1"/>
  <c r="N3556" i="14"/>
  <c r="M3559" i="13"/>
  <c r="K3393" i="14" l="1"/>
  <c r="L3393" i="14" s="1"/>
  <c r="I3394" i="14" s="1"/>
  <c r="K3371" i="13"/>
  <c r="L3371" i="13" s="1"/>
  <c r="I3372" i="13" s="1"/>
  <c r="M3561" i="14"/>
  <c r="N3557" i="14"/>
  <c r="J3556" i="14" a="1"/>
  <c r="J3556" i="14" s="1"/>
  <c r="M3560" i="13"/>
  <c r="J3557" i="13" a="1"/>
  <c r="J3557" i="13" s="1"/>
  <c r="N3558" i="13"/>
  <c r="K3372" i="13" l="1"/>
  <c r="L3372" i="13" s="1"/>
  <c r="I3373" i="13" s="1"/>
  <c r="K3394" i="14"/>
  <c r="L3394" i="14" s="1"/>
  <c r="I3395" i="14" s="1"/>
  <c r="N3559" i="13"/>
  <c r="J3558" i="13" a="1"/>
  <c r="J3558" i="13" s="1"/>
  <c r="N3558" i="14"/>
  <c r="J3557" i="14" a="1"/>
  <c r="J3557" i="14" s="1"/>
  <c r="M3561" i="13"/>
  <c r="M3562" i="14"/>
  <c r="K3395" i="14" l="1"/>
  <c r="L3395" i="14" s="1"/>
  <c r="I3396" i="14" s="1"/>
  <c r="K3373" i="13"/>
  <c r="L3373" i="13" s="1"/>
  <c r="I3374" i="13" s="1"/>
  <c r="J3558" i="14" a="1"/>
  <c r="J3558" i="14" s="1"/>
  <c r="N3559" i="14"/>
  <c r="M3563" i="14"/>
  <c r="M3562" i="13"/>
  <c r="J3559" i="13" a="1"/>
  <c r="J3559" i="13" s="1"/>
  <c r="N3560" i="13"/>
  <c r="K3374" i="13" l="1"/>
  <c r="L3374" i="13" s="1"/>
  <c r="I3375" i="13" s="1"/>
  <c r="K3396" i="14"/>
  <c r="L3396" i="14" s="1"/>
  <c r="I3397" i="14" s="1"/>
  <c r="M3564" i="14"/>
  <c r="J3559" i="14" a="1"/>
  <c r="J3559" i="14" s="1"/>
  <c r="N3560" i="14"/>
  <c r="J3560" i="13" a="1"/>
  <c r="J3560" i="13" s="1"/>
  <c r="N3561" i="13"/>
  <c r="M3563" i="13"/>
  <c r="K3397" i="14" l="1"/>
  <c r="L3397" i="14" s="1"/>
  <c r="I3398" i="14" s="1"/>
  <c r="J3560" i="14" a="1"/>
  <c r="J3560" i="14" s="1"/>
  <c r="N3561" i="14"/>
  <c r="K3375" i="13"/>
  <c r="L3375" i="13" s="1"/>
  <c r="I3376" i="13" s="1"/>
  <c r="M3564" i="13"/>
  <c r="J3561" i="13" a="1"/>
  <c r="J3561" i="13" s="1"/>
  <c r="N3562" i="13"/>
  <c r="M3565" i="14"/>
  <c r="K3376" i="13" l="1"/>
  <c r="L3376" i="13" s="1"/>
  <c r="I3377" i="13" s="1"/>
  <c r="K3398" i="14"/>
  <c r="L3398" i="14" s="1"/>
  <c r="I3399" i="14" s="1"/>
  <c r="N3562" i="14"/>
  <c r="J3561" i="14" a="1"/>
  <c r="J3561" i="14" s="1"/>
  <c r="M3566" i="14"/>
  <c r="M3565" i="13"/>
  <c r="N3563" i="13"/>
  <c r="J3562" i="13" a="1"/>
  <c r="J3562" i="13" s="1"/>
  <c r="K3399" i="14" l="1"/>
  <c r="L3399" i="14" s="1"/>
  <c r="I3400" i="14" s="1"/>
  <c r="K3377" i="13"/>
  <c r="L3377" i="13" s="1"/>
  <c r="I3378" i="13" s="1"/>
  <c r="J3563" i="13" a="1"/>
  <c r="J3563" i="13" s="1"/>
  <c r="N3564" i="13"/>
  <c r="M3567" i="14"/>
  <c r="M3566" i="13"/>
  <c r="J3562" i="14" a="1"/>
  <c r="J3562" i="14" s="1"/>
  <c r="N3563" i="14"/>
  <c r="K3378" i="13" l="1"/>
  <c r="L3378" i="13" s="1"/>
  <c r="I3379" i="13" s="1"/>
  <c r="K3400" i="14"/>
  <c r="L3400" i="14" s="1"/>
  <c r="I3401" i="14" s="1"/>
  <c r="J3563" i="14" a="1"/>
  <c r="J3563" i="14" s="1"/>
  <c r="N3564" i="14"/>
  <c r="M3568" i="14"/>
  <c r="J3564" i="13" a="1"/>
  <c r="J3564" i="13" s="1"/>
  <c r="N3565" i="13"/>
  <c r="M3567" i="13"/>
  <c r="K3401" i="14" l="1"/>
  <c r="L3401" i="14" s="1"/>
  <c r="I3402" i="14" s="1"/>
  <c r="K3379" i="13"/>
  <c r="L3379" i="13" s="1"/>
  <c r="I3380" i="13" s="1"/>
  <c r="J3565" i="13" a="1"/>
  <c r="J3565" i="13" s="1"/>
  <c r="N3566" i="13"/>
  <c r="M3569" i="14"/>
  <c r="M3568" i="13"/>
  <c r="N3565" i="14"/>
  <c r="J3564" i="14" a="1"/>
  <c r="J3564" i="14" s="1"/>
  <c r="K3380" i="13" l="1"/>
  <c r="L3380" i="13" s="1"/>
  <c r="I3381" i="13" s="1"/>
  <c r="K3402" i="14"/>
  <c r="L3402" i="14" s="1"/>
  <c r="I3403" i="14" s="1"/>
  <c r="N3566" i="14"/>
  <c r="J3565" i="14" a="1"/>
  <c r="J3565" i="14" s="1"/>
  <c r="M3570" i="14"/>
  <c r="N3567" i="13"/>
  <c r="J3566" i="13" a="1"/>
  <c r="J3566" i="13" s="1"/>
  <c r="M3569" i="13"/>
  <c r="K3403" i="14" l="1"/>
  <c r="L3403" i="14" s="1"/>
  <c r="I3404" i="14" s="1"/>
  <c r="K3381" i="13"/>
  <c r="L3381" i="13" s="1"/>
  <c r="I3382" i="13" s="1"/>
  <c r="M3570" i="13"/>
  <c r="M3571" i="14"/>
  <c r="J3567" i="13" a="1"/>
  <c r="J3567" i="13" s="1"/>
  <c r="N3568" i="13"/>
  <c r="J3566" i="14" a="1"/>
  <c r="J3566" i="14" s="1"/>
  <c r="N3567" i="14"/>
  <c r="K3382" i="13" l="1"/>
  <c r="L3382" i="13" s="1"/>
  <c r="I3383" i="13" s="1"/>
  <c r="K3404" i="14"/>
  <c r="L3404" i="14" s="1"/>
  <c r="I3405" i="14" s="1"/>
  <c r="J3567" i="14" a="1"/>
  <c r="J3567" i="14" s="1"/>
  <c r="N3568" i="14"/>
  <c r="M3572" i="14"/>
  <c r="J3568" i="13" a="1"/>
  <c r="J3568" i="13" s="1"/>
  <c r="N3569" i="13"/>
  <c r="M3571" i="13"/>
  <c r="K3405" i="14" l="1"/>
  <c r="L3405" i="14" s="1"/>
  <c r="I3406" i="14" s="1"/>
  <c r="K3383" i="13"/>
  <c r="L3383" i="13" s="1"/>
  <c r="I3384" i="13" s="1"/>
  <c r="M3573" i="14"/>
  <c r="J3569" i="13" a="1"/>
  <c r="J3569" i="13" s="1"/>
  <c r="N3570" i="13"/>
  <c r="M3572" i="13"/>
  <c r="J3568" i="14" a="1"/>
  <c r="J3568" i="14" s="1"/>
  <c r="N3569" i="14"/>
  <c r="K3384" i="13" l="1"/>
  <c r="L3384" i="13" s="1"/>
  <c r="I3385" i="13" s="1"/>
  <c r="K3406" i="14"/>
  <c r="L3406" i="14" s="1"/>
  <c r="I3407" i="14" s="1"/>
  <c r="N3570" i="14"/>
  <c r="J3569" i="14" a="1"/>
  <c r="J3569" i="14" s="1"/>
  <c r="N3571" i="13"/>
  <c r="J3570" i="13" a="1"/>
  <c r="J3570" i="13" s="1"/>
  <c r="M3573" i="13"/>
  <c r="M3574" i="14"/>
  <c r="K3407" i="14" l="1"/>
  <c r="L3407" i="14" s="1"/>
  <c r="I3408" i="14" s="1"/>
  <c r="K3385" i="13"/>
  <c r="L3385" i="13" s="1"/>
  <c r="I3386" i="13" s="1"/>
  <c r="J3571" i="13" a="1"/>
  <c r="J3571" i="13" s="1"/>
  <c r="N3572" i="13"/>
  <c r="M3575" i="14"/>
  <c r="M3574" i="13"/>
  <c r="J3570" i="14" a="1"/>
  <c r="J3570" i="14" s="1"/>
  <c r="N3571" i="14"/>
  <c r="K3386" i="13" l="1"/>
  <c r="L3386" i="13" s="1"/>
  <c r="I3387" i="13" s="1"/>
  <c r="K3408" i="14"/>
  <c r="L3408" i="14" s="1"/>
  <c r="I3409" i="14" s="1"/>
  <c r="J3571" i="14" a="1"/>
  <c r="J3571" i="14" s="1"/>
  <c r="N3572" i="14"/>
  <c r="M3576" i="14"/>
  <c r="J3572" i="13" a="1"/>
  <c r="J3572" i="13" s="1"/>
  <c r="N3573" i="13"/>
  <c r="M3575" i="13"/>
  <c r="K3409" i="14" l="1"/>
  <c r="L3409" i="14" s="1"/>
  <c r="I3410" i="14" s="1"/>
  <c r="K3387" i="13"/>
  <c r="L3387" i="13" s="1"/>
  <c r="I3388" i="13" s="1"/>
  <c r="M3577" i="14"/>
  <c r="J3573" i="13" a="1"/>
  <c r="J3573" i="13" s="1"/>
  <c r="N3574" i="13"/>
  <c r="M3576" i="13"/>
  <c r="N3573" i="14"/>
  <c r="J3572" i="14" a="1"/>
  <c r="J3572" i="14" s="1"/>
  <c r="K3388" i="13" l="1"/>
  <c r="L3388" i="13" s="1"/>
  <c r="I3389" i="13" s="1"/>
  <c r="K3410" i="14"/>
  <c r="L3410" i="14" s="1"/>
  <c r="I3411" i="14" s="1"/>
  <c r="N3575" i="13"/>
  <c r="J3574" i="13" a="1"/>
  <c r="J3574" i="13" s="1"/>
  <c r="N3574" i="14"/>
  <c r="J3573" i="14" a="1"/>
  <c r="J3573" i="14" s="1"/>
  <c r="M3577" i="13"/>
  <c r="M3578" i="14"/>
  <c r="K3411" i="14" l="1"/>
  <c r="L3411" i="14" s="1"/>
  <c r="I3412" i="14" s="1"/>
  <c r="K3389" i="13"/>
  <c r="L3389" i="13" s="1"/>
  <c r="I3390" i="13" s="1"/>
  <c r="J3574" i="14" a="1"/>
  <c r="J3574" i="14" s="1"/>
  <c r="N3575" i="14"/>
  <c r="M3579" i="14"/>
  <c r="M3578" i="13"/>
  <c r="J3575" i="13" a="1"/>
  <c r="J3575" i="13" s="1"/>
  <c r="N3576" i="13"/>
  <c r="K3390" i="13" l="1"/>
  <c r="L3390" i="13" s="1"/>
  <c r="I3391" i="13" s="1"/>
  <c r="K3412" i="14"/>
  <c r="L3412" i="14" s="1"/>
  <c r="I3413" i="14" s="1"/>
  <c r="J3576" i="13" a="1"/>
  <c r="J3576" i="13" s="1"/>
  <c r="N3577" i="13"/>
  <c r="M3580" i="14"/>
  <c r="J3575" i="14" a="1"/>
  <c r="J3575" i="14" s="1"/>
  <c r="N3576" i="14"/>
  <c r="M3579" i="13"/>
  <c r="K3413" i="14" l="1"/>
  <c r="L3413" i="14" s="1"/>
  <c r="I3414" i="14" s="1"/>
  <c r="K3391" i="13"/>
  <c r="L3391" i="13" s="1"/>
  <c r="I3392" i="13" s="1"/>
  <c r="M3581" i="14"/>
  <c r="M3580" i="13"/>
  <c r="J3576" i="14" a="1"/>
  <c r="J3576" i="14" s="1"/>
  <c r="N3577" i="14"/>
  <c r="J3577" i="13" a="1"/>
  <c r="J3577" i="13" s="1"/>
  <c r="N3578" i="13"/>
  <c r="K3392" i="13" l="1"/>
  <c r="L3392" i="13" s="1"/>
  <c r="I3393" i="13" s="1"/>
  <c r="K3414" i="14"/>
  <c r="L3414" i="14" s="1"/>
  <c r="I3415" i="14" s="1"/>
  <c r="N3579" i="13"/>
  <c r="J3578" i="13" a="1"/>
  <c r="J3578" i="13" s="1"/>
  <c r="M3581" i="13"/>
  <c r="N3578" i="14"/>
  <c r="J3577" i="14" a="1"/>
  <c r="J3577" i="14" s="1"/>
  <c r="M3582" i="14"/>
  <c r="K3415" i="14" l="1"/>
  <c r="L3415" i="14" s="1"/>
  <c r="I3416" i="14" s="1"/>
  <c r="K3393" i="13"/>
  <c r="L3393" i="13" s="1"/>
  <c r="I3394" i="13" s="1"/>
  <c r="M3582" i="13"/>
  <c r="M3583" i="14"/>
  <c r="J3578" i="14" a="1"/>
  <c r="J3578" i="14" s="1"/>
  <c r="N3579" i="14"/>
  <c r="J3579" i="13" a="1"/>
  <c r="J3579" i="13" s="1"/>
  <c r="N3580" i="13"/>
  <c r="K3394" i="13" l="1"/>
  <c r="L3394" i="13" s="1"/>
  <c r="I3395" i="13" s="1"/>
  <c r="K3416" i="14"/>
  <c r="L3416" i="14" s="1"/>
  <c r="I3417" i="14" s="1"/>
  <c r="J3580" i="13" a="1"/>
  <c r="J3580" i="13" s="1"/>
  <c r="N3581" i="13"/>
  <c r="M3584" i="14"/>
  <c r="J3579" i="14" a="1"/>
  <c r="J3579" i="14" s="1"/>
  <c r="N3580" i="14"/>
  <c r="M3583" i="13"/>
  <c r="K3417" i="14" l="1"/>
  <c r="L3417" i="14" s="1"/>
  <c r="I3418" i="14" s="1"/>
  <c r="K3395" i="13"/>
  <c r="L3395" i="13" s="1"/>
  <c r="I3396" i="13" s="1"/>
  <c r="N3581" i="14"/>
  <c r="J3580" i="14" a="1"/>
  <c r="J3580" i="14" s="1"/>
  <c r="M3585" i="14"/>
  <c r="M3584" i="13"/>
  <c r="J3581" i="13" a="1"/>
  <c r="J3581" i="13" s="1"/>
  <c r="N3582" i="13"/>
  <c r="K3396" i="13" l="1"/>
  <c r="L3396" i="13" s="1"/>
  <c r="I3397" i="13" s="1"/>
  <c r="K3418" i="14"/>
  <c r="L3418" i="14" s="1"/>
  <c r="I3419" i="14" s="1"/>
  <c r="M3586" i="14"/>
  <c r="N3583" i="13"/>
  <c r="J3582" i="13" a="1"/>
  <c r="J3582" i="13" s="1"/>
  <c r="M3585" i="13"/>
  <c r="N3582" i="14"/>
  <c r="J3581" i="14" a="1"/>
  <c r="J3581" i="14" s="1"/>
  <c r="K3419" i="14" l="1"/>
  <c r="L3419" i="14" s="1"/>
  <c r="I3420" i="14" s="1"/>
  <c r="K3397" i="13"/>
  <c r="L3397" i="13" s="1"/>
  <c r="I3398" i="13" s="1"/>
  <c r="J3582" i="14" a="1"/>
  <c r="J3582" i="14" s="1"/>
  <c r="N3583" i="14"/>
  <c r="J3583" i="13" a="1"/>
  <c r="J3583" i="13" s="1"/>
  <c r="N3584" i="13"/>
  <c r="M3586" i="13"/>
  <c r="M3587" i="14"/>
  <c r="K3398" i="13" l="1"/>
  <c r="L3398" i="13" s="1"/>
  <c r="I3399" i="13" s="1"/>
  <c r="J3584" i="13" a="1"/>
  <c r="J3584" i="13" s="1"/>
  <c r="N3585" i="13"/>
  <c r="M3587" i="13"/>
  <c r="M3588" i="14"/>
  <c r="J3583" i="14" a="1"/>
  <c r="J3583" i="14" s="1"/>
  <c r="N3584" i="14"/>
  <c r="K3420" i="14"/>
  <c r="L3420" i="14" s="1"/>
  <c r="I3421" i="14" s="1"/>
  <c r="K3399" i="13" l="1"/>
  <c r="L3399" i="13" s="1"/>
  <c r="I3400" i="13" s="1"/>
  <c r="M3589" i="14"/>
  <c r="J3585" i="13" a="1"/>
  <c r="J3585" i="13" s="1"/>
  <c r="N3586" i="13"/>
  <c r="K3421" i="14"/>
  <c r="L3421" i="14" s="1"/>
  <c r="I3422" i="14" s="1"/>
  <c r="J3584" i="14" a="1"/>
  <c r="J3584" i="14" s="1"/>
  <c r="N3585" i="14"/>
  <c r="M3588" i="13"/>
  <c r="K3422" i="14" l="1"/>
  <c r="L3422" i="14" s="1"/>
  <c r="I3423" i="14" s="1"/>
  <c r="K3400" i="13"/>
  <c r="L3400" i="13" s="1"/>
  <c r="I3401" i="13" s="1"/>
  <c r="N3586" i="14"/>
  <c r="J3585" i="14" a="1"/>
  <c r="J3585" i="14" s="1"/>
  <c r="M3589" i="13"/>
  <c r="M3590" i="14"/>
  <c r="N3587" i="13"/>
  <c r="J3586" i="13" a="1"/>
  <c r="J3586" i="13" s="1"/>
  <c r="K3423" i="14" l="1"/>
  <c r="L3423" i="14" s="1"/>
  <c r="I3424" i="14" s="1"/>
  <c r="M3590" i="13"/>
  <c r="K3401" i="13"/>
  <c r="L3401" i="13" s="1"/>
  <c r="I3402" i="13" s="1"/>
  <c r="J3587" i="13" a="1"/>
  <c r="J3587" i="13" s="1"/>
  <c r="N3588" i="13"/>
  <c r="M3591" i="14"/>
  <c r="J3586" i="14" a="1"/>
  <c r="J3586" i="14" s="1"/>
  <c r="N3587" i="14"/>
  <c r="K3402" i="13" l="1"/>
  <c r="L3402" i="13" s="1"/>
  <c r="I3403" i="13" s="1"/>
  <c r="K3424" i="14"/>
  <c r="L3424" i="14" s="1"/>
  <c r="I3425" i="14" s="1"/>
  <c r="J3587" i="14" a="1"/>
  <c r="J3587" i="14" s="1"/>
  <c r="N3588" i="14"/>
  <c r="J3588" i="13" a="1"/>
  <c r="J3588" i="13" s="1"/>
  <c r="N3589" i="13"/>
  <c r="M3591" i="13"/>
  <c r="M3592" i="14"/>
  <c r="K3403" i="13" l="1"/>
  <c r="L3403" i="13" s="1"/>
  <c r="I3404" i="13" s="1"/>
  <c r="M3592" i="13"/>
  <c r="M3593" i="14"/>
  <c r="J3589" i="13" a="1"/>
  <c r="J3589" i="13" s="1"/>
  <c r="N3590" i="13"/>
  <c r="K3425" i="14"/>
  <c r="L3425" i="14" s="1"/>
  <c r="I3426" i="14" s="1"/>
  <c r="N3589" i="14"/>
  <c r="J3588" i="14" a="1"/>
  <c r="J3588" i="14" s="1"/>
  <c r="K3426" i="14" l="1"/>
  <c r="L3426" i="14" s="1"/>
  <c r="I3427" i="14" s="1"/>
  <c r="K3404" i="13"/>
  <c r="L3404" i="13" s="1"/>
  <c r="I3405" i="13" s="1"/>
  <c r="N3591" i="13"/>
  <c r="J3590" i="13" a="1"/>
  <c r="J3590" i="13" s="1"/>
  <c r="M3593" i="13"/>
  <c r="N3590" i="14"/>
  <c r="J3589" i="14" a="1"/>
  <c r="J3589" i="14" s="1"/>
  <c r="M3594" i="14"/>
  <c r="K3405" i="13" l="1"/>
  <c r="L3405" i="13" s="1"/>
  <c r="I3406" i="13" s="1"/>
  <c r="K3427" i="14"/>
  <c r="L3427" i="14" s="1"/>
  <c r="I3428" i="14" s="1"/>
  <c r="M3594" i="13"/>
  <c r="J3590" i="14" a="1"/>
  <c r="J3590" i="14" s="1"/>
  <c r="N3591" i="14"/>
  <c r="M3595" i="14"/>
  <c r="J3591" i="13" a="1"/>
  <c r="J3591" i="13" s="1"/>
  <c r="N3592" i="13"/>
  <c r="K3428" i="14" l="1"/>
  <c r="L3428" i="14" s="1"/>
  <c r="I3429" i="14" s="1"/>
  <c r="K3406" i="13"/>
  <c r="L3406" i="13" s="1"/>
  <c r="I3407" i="13" s="1"/>
  <c r="J3591" i="14" a="1"/>
  <c r="J3591" i="14" s="1"/>
  <c r="N3592" i="14"/>
  <c r="J3592" i="13" a="1"/>
  <c r="J3592" i="13" s="1"/>
  <c r="N3593" i="13"/>
  <c r="M3596" i="14"/>
  <c r="M3595" i="13"/>
  <c r="K3407" i="13" l="1"/>
  <c r="L3407" i="13" s="1"/>
  <c r="I3408" i="13" s="1"/>
  <c r="K3429" i="14"/>
  <c r="L3429" i="14" s="1"/>
  <c r="I3430" i="14" s="1"/>
  <c r="J3593" i="13" a="1"/>
  <c r="J3593" i="13" s="1"/>
  <c r="N3594" i="13"/>
  <c r="J3592" i="14" a="1"/>
  <c r="J3592" i="14" s="1"/>
  <c r="N3593" i="14"/>
  <c r="M3596" i="13"/>
  <c r="M3597" i="14"/>
  <c r="K3430" i="14" l="1"/>
  <c r="L3430" i="14" s="1"/>
  <c r="I3431" i="14" s="1"/>
  <c r="K3408" i="13"/>
  <c r="L3408" i="13" s="1"/>
  <c r="I3409" i="13" s="1"/>
  <c r="M3598" i="14"/>
  <c r="N3594" i="14"/>
  <c r="J3593" i="14" a="1"/>
  <c r="J3593" i="14" s="1"/>
  <c r="N3595" i="13"/>
  <c r="J3594" i="13" a="1"/>
  <c r="J3594" i="13" s="1"/>
  <c r="M3597" i="13"/>
  <c r="K3409" i="13" l="1"/>
  <c r="L3409" i="13" s="1"/>
  <c r="I3410" i="13" s="1"/>
  <c r="K3431" i="14"/>
  <c r="L3431" i="14" s="1"/>
  <c r="I3432" i="14" s="1"/>
  <c r="J3594" i="14" a="1"/>
  <c r="J3594" i="14" s="1"/>
  <c r="N3595" i="14"/>
  <c r="M3598" i="13"/>
  <c r="J3595" i="13" a="1"/>
  <c r="J3595" i="13" s="1"/>
  <c r="N3596" i="13"/>
  <c r="M3599" i="14"/>
  <c r="K3432" i="14" l="1"/>
  <c r="L3432" i="14" s="1"/>
  <c r="I3433" i="14" s="1"/>
  <c r="K3410" i="13"/>
  <c r="L3410" i="13" s="1"/>
  <c r="I3411" i="13" s="1"/>
  <c r="M3600" i="14"/>
  <c r="M3599" i="13"/>
  <c r="J3595" i="14" a="1"/>
  <c r="J3595" i="14" s="1"/>
  <c r="N3596" i="14"/>
  <c r="J3596" i="13" a="1"/>
  <c r="J3596" i="13" s="1"/>
  <c r="N3597" i="13"/>
  <c r="K3411" i="13" l="1"/>
  <c r="L3411" i="13" s="1"/>
  <c r="I3412" i="13" s="1"/>
  <c r="K3433" i="14"/>
  <c r="L3433" i="14" s="1"/>
  <c r="I3434" i="14" s="1"/>
  <c r="J3597" i="13" a="1"/>
  <c r="J3597" i="13" s="1"/>
  <c r="N3598" i="13"/>
  <c r="N3597" i="14"/>
  <c r="J3596" i="14" a="1"/>
  <c r="J3596" i="14" s="1"/>
  <c r="M3601" i="14"/>
  <c r="M3600" i="13"/>
  <c r="K3434" i="14" l="1"/>
  <c r="L3434" i="14" s="1"/>
  <c r="I3435" i="14" s="1"/>
  <c r="K3412" i="13"/>
  <c r="L3412" i="13" s="1"/>
  <c r="I3413" i="13" s="1"/>
  <c r="M3602" i="14"/>
  <c r="M3601" i="13"/>
  <c r="N3598" i="14"/>
  <c r="J3597" i="14" a="1"/>
  <c r="J3597" i="14" s="1"/>
  <c r="N3599" i="13"/>
  <c r="J3598" i="13" a="1"/>
  <c r="J3598" i="13" s="1"/>
  <c r="K3413" i="13" l="1"/>
  <c r="L3413" i="13" s="1"/>
  <c r="I3414" i="13" s="1"/>
  <c r="K3435" i="14"/>
  <c r="L3435" i="14" s="1"/>
  <c r="I3436" i="14" s="1"/>
  <c r="M3602" i="13"/>
  <c r="J3599" i="13" a="1"/>
  <c r="J3599" i="13" s="1"/>
  <c r="N3600" i="13"/>
  <c r="J3598" i="14" a="1"/>
  <c r="J3598" i="14" s="1"/>
  <c r="N3599" i="14"/>
  <c r="M3603" i="14"/>
  <c r="K3414" i="13" l="1"/>
  <c r="L3414" i="13" s="1"/>
  <c r="I3415" i="13" s="1"/>
  <c r="J3600" i="13" a="1"/>
  <c r="J3600" i="13" s="1"/>
  <c r="N3601" i="13"/>
  <c r="K3436" i="14"/>
  <c r="L3436" i="14" s="1"/>
  <c r="I3437" i="14" s="1"/>
  <c r="M3604" i="14"/>
  <c r="J3599" i="14" a="1"/>
  <c r="J3599" i="14" s="1"/>
  <c r="N3600" i="14"/>
  <c r="M3603" i="13"/>
  <c r="K3437" i="14" l="1"/>
  <c r="L3437" i="14" s="1"/>
  <c r="I3438" i="14" s="1"/>
  <c r="K3415" i="13"/>
  <c r="L3415" i="13" s="1"/>
  <c r="I3416" i="13" s="1"/>
  <c r="J3600" i="14" a="1"/>
  <c r="J3600" i="14" s="1"/>
  <c r="N3601" i="14"/>
  <c r="M3605" i="14"/>
  <c r="J3601" i="13" a="1"/>
  <c r="J3601" i="13" s="1"/>
  <c r="N3602" i="13"/>
  <c r="M3604" i="13"/>
  <c r="K3438" i="14" l="1"/>
  <c r="L3438" i="14" s="1"/>
  <c r="I3439" i="14" s="1"/>
  <c r="K3416" i="13"/>
  <c r="L3416" i="13" s="1"/>
  <c r="I3417" i="13" s="1"/>
  <c r="M3605" i="13"/>
  <c r="M3606" i="14"/>
  <c r="N3603" i="13"/>
  <c r="J3602" i="13" a="1"/>
  <c r="J3602" i="13" s="1"/>
  <c r="N3602" i="14"/>
  <c r="J3601" i="14" a="1"/>
  <c r="J3601" i="14" s="1"/>
  <c r="K3417" i="13" l="1"/>
  <c r="L3417" i="13" s="1"/>
  <c r="I3418" i="13" s="1"/>
  <c r="K3439" i="14"/>
  <c r="L3439" i="14" s="1"/>
  <c r="I3440" i="14" s="1"/>
  <c r="J3602" i="14" a="1"/>
  <c r="J3602" i="14" s="1"/>
  <c r="N3603" i="14"/>
  <c r="M3607" i="14"/>
  <c r="M3606" i="13"/>
  <c r="J3603" i="13" a="1"/>
  <c r="J3603" i="13" s="1"/>
  <c r="N3604" i="13"/>
  <c r="K3440" i="14" l="1"/>
  <c r="L3440" i="14" s="1"/>
  <c r="I3441" i="14" s="1"/>
  <c r="J3604" i="13" a="1"/>
  <c r="J3604" i="13" s="1"/>
  <c r="N3605" i="13"/>
  <c r="M3608" i="14"/>
  <c r="M3607" i="13"/>
  <c r="J3603" i="14" a="1"/>
  <c r="J3603" i="14" s="1"/>
  <c r="N3604" i="14"/>
  <c r="K3418" i="13"/>
  <c r="L3418" i="13" s="1"/>
  <c r="I3419" i="13" s="1"/>
  <c r="K3441" i="14" l="1"/>
  <c r="L3441" i="14" s="1"/>
  <c r="I3442" i="14" s="1"/>
  <c r="K3419" i="13"/>
  <c r="L3419" i="13" s="1"/>
  <c r="I3420" i="13" s="1"/>
  <c r="J3605" i="13" a="1"/>
  <c r="J3605" i="13" s="1"/>
  <c r="N3606" i="13"/>
  <c r="N3605" i="14"/>
  <c r="J3604" i="14" a="1"/>
  <c r="J3604" i="14" s="1"/>
  <c r="M3608" i="13"/>
  <c r="M3609" i="14"/>
  <c r="K3420" i="13" l="1"/>
  <c r="L3420" i="13" s="1"/>
  <c r="I3421" i="13" s="1"/>
  <c r="K3442" i="14"/>
  <c r="L3442" i="14" s="1"/>
  <c r="I3443" i="14" s="1"/>
  <c r="M3609" i="13"/>
  <c r="M3610" i="14"/>
  <c r="N3606" i="14"/>
  <c r="J3605" i="14" a="1"/>
  <c r="J3605" i="14" s="1"/>
  <c r="N3607" i="13"/>
  <c r="J3606" i="13" a="1"/>
  <c r="J3606" i="13" s="1"/>
  <c r="K3421" i="13" l="1"/>
  <c r="L3421" i="13" s="1"/>
  <c r="I3422" i="13" s="1"/>
  <c r="K3443" i="14"/>
  <c r="L3443" i="14" s="1"/>
  <c r="I3444" i="14" s="1"/>
  <c r="J3607" i="13" a="1"/>
  <c r="J3607" i="13" s="1"/>
  <c r="N3608" i="13"/>
  <c r="M3611" i="14"/>
  <c r="M3610" i="13"/>
  <c r="J3606" i="14" a="1"/>
  <c r="J3606" i="14" s="1"/>
  <c r="N3607" i="14"/>
  <c r="K3444" i="14" l="1"/>
  <c r="L3444" i="14" s="1"/>
  <c r="I3445" i="14" s="1"/>
  <c r="K3422" i="13"/>
  <c r="L3422" i="13" s="1"/>
  <c r="I3423" i="13" s="1"/>
  <c r="J3607" i="14" a="1"/>
  <c r="J3607" i="14" s="1"/>
  <c r="N3608" i="14"/>
  <c r="M3612" i="14"/>
  <c r="J3608" i="13" a="1"/>
  <c r="J3608" i="13" s="1"/>
  <c r="N3609" i="13"/>
  <c r="M3611" i="13"/>
  <c r="K3445" i="14" l="1"/>
  <c r="L3445" i="14" s="1"/>
  <c r="I3446" i="14" s="1"/>
  <c r="M3612" i="13"/>
  <c r="M3613" i="14"/>
  <c r="K3423" i="13"/>
  <c r="L3423" i="13" s="1"/>
  <c r="I3424" i="13" s="1"/>
  <c r="J3609" i="13" a="1"/>
  <c r="J3609" i="13" s="1"/>
  <c r="N3610" i="13"/>
  <c r="J3608" i="14" a="1"/>
  <c r="J3608" i="14" s="1"/>
  <c r="N3609" i="14"/>
  <c r="K3424" i="13" l="1"/>
  <c r="L3424" i="13" s="1"/>
  <c r="I3425" i="13" s="1"/>
  <c r="K3446" i="14"/>
  <c r="L3446" i="14" s="1"/>
  <c r="I3447" i="14" s="1"/>
  <c r="N3610" i="14"/>
  <c r="J3609" i="14" a="1"/>
  <c r="J3609" i="14" s="1"/>
  <c r="M3613" i="13"/>
  <c r="N3611" i="13"/>
  <c r="J3610" i="13" a="1"/>
  <c r="J3610" i="13" s="1"/>
  <c r="M3614" i="14"/>
  <c r="K3425" i="13" l="1"/>
  <c r="L3425" i="13" s="1"/>
  <c r="I3426" i="13" s="1"/>
  <c r="M3614" i="13"/>
  <c r="K3447" i="14"/>
  <c r="L3447" i="14" s="1"/>
  <c r="I3448" i="14" s="1"/>
  <c r="M3615" i="14"/>
  <c r="J3611" i="13" a="1"/>
  <c r="J3611" i="13" s="1"/>
  <c r="N3612" i="13"/>
  <c r="J3610" i="14" a="1"/>
  <c r="J3610" i="14" s="1"/>
  <c r="N3611" i="14"/>
  <c r="K3426" i="13" l="1"/>
  <c r="L3426" i="13" s="1"/>
  <c r="I3427" i="13" s="1"/>
  <c r="J3611" i="14" a="1"/>
  <c r="J3611" i="14" s="1"/>
  <c r="N3612" i="14"/>
  <c r="M3616" i="14"/>
  <c r="M3615" i="13"/>
  <c r="J3612" i="13" a="1"/>
  <c r="J3612" i="13" s="1"/>
  <c r="N3613" i="13"/>
  <c r="K3448" i="14"/>
  <c r="L3448" i="14" s="1"/>
  <c r="I3449" i="14" s="1"/>
  <c r="K3449" i="14" l="1"/>
  <c r="L3449" i="14" s="1"/>
  <c r="I3450" i="14" s="1"/>
  <c r="K3427" i="13"/>
  <c r="L3427" i="13" s="1"/>
  <c r="I3428" i="13" s="1"/>
  <c r="N3613" i="14"/>
  <c r="J3612" i="14" a="1"/>
  <c r="J3612" i="14" s="1"/>
  <c r="M3616" i="13"/>
  <c r="J3613" i="13" a="1"/>
  <c r="J3613" i="13" s="1"/>
  <c r="N3614" i="13"/>
  <c r="M3617" i="14"/>
  <c r="K3428" i="13" l="1"/>
  <c r="L3428" i="13" s="1"/>
  <c r="I3429" i="13" s="1"/>
  <c r="K3450" i="14"/>
  <c r="L3450" i="14" s="1"/>
  <c r="I3451" i="14" s="1"/>
  <c r="M3618" i="14"/>
  <c r="M3617" i="13"/>
  <c r="N3615" i="13"/>
  <c r="J3614" i="13" a="1"/>
  <c r="J3614" i="13" s="1"/>
  <c r="N3614" i="14"/>
  <c r="J3613" i="14" a="1"/>
  <c r="J3613" i="14" s="1"/>
  <c r="M3618" i="13" l="1"/>
  <c r="K3451" i="14"/>
  <c r="L3451" i="14" s="1"/>
  <c r="I3452" i="14" s="1"/>
  <c r="J3614" i="14" a="1"/>
  <c r="J3614" i="14" s="1"/>
  <c r="N3615" i="14"/>
  <c r="J3615" i="13" a="1"/>
  <c r="J3615" i="13" s="1"/>
  <c r="N3616" i="13"/>
  <c r="M3619" i="14"/>
  <c r="K3429" i="13"/>
  <c r="L3429" i="13" s="1"/>
  <c r="I3430" i="13" s="1"/>
  <c r="K3430" i="13" l="1"/>
  <c r="L3430" i="13" s="1"/>
  <c r="I3431" i="13" s="1"/>
  <c r="K3452" i="14"/>
  <c r="L3452" i="14" s="1"/>
  <c r="I3453" i="14" s="1"/>
  <c r="M3620" i="14"/>
  <c r="J3616" i="13" a="1"/>
  <c r="J3616" i="13" s="1"/>
  <c r="N3617" i="13"/>
  <c r="J3615" i="14" a="1"/>
  <c r="J3615" i="14" s="1"/>
  <c r="N3616" i="14"/>
  <c r="M3619" i="13"/>
  <c r="K3453" i="14" l="1"/>
  <c r="L3453" i="14" s="1"/>
  <c r="I3454" i="14" s="1"/>
  <c r="K3431" i="13"/>
  <c r="L3431" i="13" s="1"/>
  <c r="I3432" i="13" s="1"/>
  <c r="M3620" i="13"/>
  <c r="J3617" i="13" a="1"/>
  <c r="J3617" i="13" s="1"/>
  <c r="N3618" i="13"/>
  <c r="J3616" i="14" a="1"/>
  <c r="J3616" i="14" s="1"/>
  <c r="N3617" i="14"/>
  <c r="M3621" i="14"/>
  <c r="K3432" i="13" l="1"/>
  <c r="L3432" i="13" s="1"/>
  <c r="I3433" i="13" s="1"/>
  <c r="K3454" i="14"/>
  <c r="L3454" i="14" s="1"/>
  <c r="I3455" i="14" s="1"/>
  <c r="N3619" i="13"/>
  <c r="J3618" i="13" a="1"/>
  <c r="J3618" i="13" s="1"/>
  <c r="M3622" i="14"/>
  <c r="N3618" i="14"/>
  <c r="J3617" i="14" a="1"/>
  <c r="J3617" i="14" s="1"/>
  <c r="M3621" i="13"/>
  <c r="K3455" i="14" l="1"/>
  <c r="L3455" i="14" s="1"/>
  <c r="I3456" i="14" s="1"/>
  <c r="K3433" i="13"/>
  <c r="L3433" i="13" s="1"/>
  <c r="I3434" i="13" s="1"/>
  <c r="M3622" i="13"/>
  <c r="M3623" i="14"/>
  <c r="J3618" i="14" a="1"/>
  <c r="J3618" i="14" s="1"/>
  <c r="N3619" i="14"/>
  <c r="J3619" i="13" a="1"/>
  <c r="J3619" i="13" s="1"/>
  <c r="N3620" i="13"/>
  <c r="K3434" i="13" l="1"/>
  <c r="L3434" i="13" s="1"/>
  <c r="I3435" i="13" s="1"/>
  <c r="K3456" i="14"/>
  <c r="L3456" i="14" s="1"/>
  <c r="I3457" i="14" s="1"/>
  <c r="J3620" i="13" a="1"/>
  <c r="J3620" i="13" s="1"/>
  <c r="N3621" i="13"/>
  <c r="M3624" i="14"/>
  <c r="J3619" i="14" a="1"/>
  <c r="J3619" i="14" s="1"/>
  <c r="N3620" i="14"/>
  <c r="M3623" i="13"/>
  <c r="K3435" i="13" l="1"/>
  <c r="L3435" i="13" s="1"/>
  <c r="I3436" i="13" s="1"/>
  <c r="M3625" i="14"/>
  <c r="J3621" i="13" a="1"/>
  <c r="J3621" i="13" s="1"/>
  <c r="N3622" i="13"/>
  <c r="M3624" i="13"/>
  <c r="K3457" i="14"/>
  <c r="L3457" i="14" s="1"/>
  <c r="I3458" i="14" s="1"/>
  <c r="N3621" i="14"/>
  <c r="J3620" i="14" a="1"/>
  <c r="J3620" i="14" s="1"/>
  <c r="K3436" i="13" l="1"/>
  <c r="L3436" i="13" s="1"/>
  <c r="I3437" i="13" s="1"/>
  <c r="K3458" i="14"/>
  <c r="L3458" i="14" s="1"/>
  <c r="I3459" i="14" s="1"/>
  <c r="N3622" i="14"/>
  <c r="J3621" i="14" a="1"/>
  <c r="J3621" i="14" s="1"/>
  <c r="M3625" i="13"/>
  <c r="M3626" i="14"/>
  <c r="N3623" i="13"/>
  <c r="J3622" i="13" a="1"/>
  <c r="J3622" i="13" s="1"/>
  <c r="K3459" i="14" l="1"/>
  <c r="L3459" i="14" s="1"/>
  <c r="I3460" i="14" s="1"/>
  <c r="K3437" i="13"/>
  <c r="L3437" i="13" s="1"/>
  <c r="I3438" i="13" s="1"/>
  <c r="M3626" i="13"/>
  <c r="J3623" i="13" a="1"/>
  <c r="J3623" i="13" s="1"/>
  <c r="N3624" i="13"/>
  <c r="M3627" i="14"/>
  <c r="J3622" i="14" a="1"/>
  <c r="J3622" i="14" s="1"/>
  <c r="N3623" i="14"/>
  <c r="K3460" i="14" l="1"/>
  <c r="L3460" i="14" s="1"/>
  <c r="I3461" i="14" s="1"/>
  <c r="J3623" i="14" a="1"/>
  <c r="J3623" i="14" s="1"/>
  <c r="N3624" i="14"/>
  <c r="J3624" i="13" a="1"/>
  <c r="J3624" i="13" s="1"/>
  <c r="N3625" i="13"/>
  <c r="K3438" i="13"/>
  <c r="L3438" i="13" s="1"/>
  <c r="I3439" i="13" s="1"/>
  <c r="M3628" i="14"/>
  <c r="M3627" i="13"/>
  <c r="K3461" i="14" l="1"/>
  <c r="L3461" i="14" s="1"/>
  <c r="I3462" i="14" s="1"/>
  <c r="J3624" i="14" a="1"/>
  <c r="J3624" i="14" s="1"/>
  <c r="N3625" i="14"/>
  <c r="M3628" i="13"/>
  <c r="K3439" i="13"/>
  <c r="L3439" i="13" s="1"/>
  <c r="I3440" i="13" s="1"/>
  <c r="M3629" i="14"/>
  <c r="J3625" i="13" a="1"/>
  <c r="J3625" i="13" s="1"/>
  <c r="N3626" i="13"/>
  <c r="K3440" i="13" l="1"/>
  <c r="L3440" i="13" s="1"/>
  <c r="I3441" i="13" s="1"/>
  <c r="K3462" i="14"/>
  <c r="L3462" i="14" s="1"/>
  <c r="I3463" i="14" s="1"/>
  <c r="N3626" i="14"/>
  <c r="J3625" i="14" a="1"/>
  <c r="J3625" i="14" s="1"/>
  <c r="N3627" i="13"/>
  <c r="J3626" i="13" a="1"/>
  <c r="J3626" i="13" s="1"/>
  <c r="M3630" i="14"/>
  <c r="M3629" i="13"/>
  <c r="K3463" i="14" l="1"/>
  <c r="L3463" i="14" s="1"/>
  <c r="I3464" i="14" s="1"/>
  <c r="K3441" i="13"/>
  <c r="L3441" i="13" s="1"/>
  <c r="I3442" i="13" s="1"/>
  <c r="J3627" i="13" a="1"/>
  <c r="J3627" i="13" s="1"/>
  <c r="N3628" i="13"/>
  <c r="M3630" i="13"/>
  <c r="M3631" i="14"/>
  <c r="J3626" i="14" a="1"/>
  <c r="J3626" i="14" s="1"/>
  <c r="N3627" i="14"/>
  <c r="K3464" i="14" l="1"/>
  <c r="L3464" i="14" s="1"/>
  <c r="I3465" i="14" s="1"/>
  <c r="K3442" i="13"/>
  <c r="L3442" i="13" s="1"/>
  <c r="I3443" i="13" s="1"/>
  <c r="J3627" i="14" a="1"/>
  <c r="J3627" i="14" s="1"/>
  <c r="N3628" i="14"/>
  <c r="M3631" i="13"/>
  <c r="M3632" i="14"/>
  <c r="J3628" i="13" a="1"/>
  <c r="J3628" i="13" s="1"/>
  <c r="N3629" i="13"/>
  <c r="K3465" i="14" l="1"/>
  <c r="L3465" i="14" s="1"/>
  <c r="I3466" i="14" s="1"/>
  <c r="M3633" i="14"/>
  <c r="J3629" i="13" a="1"/>
  <c r="J3629" i="13" s="1"/>
  <c r="N3630" i="13"/>
  <c r="M3632" i="13"/>
  <c r="K3443" i="13"/>
  <c r="L3443" i="13" s="1"/>
  <c r="I3444" i="13" s="1"/>
  <c r="N3629" i="14"/>
  <c r="J3628" i="14" a="1"/>
  <c r="J3628" i="14" s="1"/>
  <c r="K3444" i="13" l="1"/>
  <c r="L3444" i="13" s="1"/>
  <c r="I3445" i="13" s="1"/>
  <c r="K3466" i="14"/>
  <c r="L3466" i="14" s="1"/>
  <c r="I3467" i="14" s="1"/>
  <c r="N3630" i="14"/>
  <c r="J3629" i="14" a="1"/>
  <c r="J3629" i="14" s="1"/>
  <c r="M3633" i="13"/>
  <c r="M3634" i="14"/>
  <c r="N3631" i="13"/>
  <c r="J3630" i="13" a="1"/>
  <c r="J3630" i="13" s="1"/>
  <c r="K3467" i="14" l="1"/>
  <c r="L3467" i="14" s="1"/>
  <c r="I3468" i="14" s="1"/>
  <c r="K3445" i="13"/>
  <c r="L3445" i="13" s="1"/>
  <c r="I3446" i="13" s="1"/>
  <c r="M3634" i="13"/>
  <c r="J3631" i="13" a="1"/>
  <c r="J3631" i="13" s="1"/>
  <c r="N3632" i="13"/>
  <c r="M3635" i="14"/>
  <c r="J3630" i="14" a="1"/>
  <c r="J3630" i="14" s="1"/>
  <c r="N3631" i="14"/>
  <c r="K3446" i="13" l="1"/>
  <c r="L3446" i="13" s="1"/>
  <c r="I3447" i="13" s="1"/>
  <c r="K3468" i="14"/>
  <c r="L3468" i="14" s="1"/>
  <c r="I3469" i="14" s="1"/>
  <c r="J3631" i="14" a="1"/>
  <c r="J3631" i="14" s="1"/>
  <c r="N3632" i="14"/>
  <c r="J3632" i="13" a="1"/>
  <c r="J3632" i="13" s="1"/>
  <c r="N3633" i="13"/>
  <c r="M3636" i="14"/>
  <c r="M3635" i="13"/>
  <c r="K3469" i="14" l="1"/>
  <c r="L3469" i="14" s="1"/>
  <c r="I3470" i="14" s="1"/>
  <c r="K3447" i="13"/>
  <c r="L3447" i="13" s="1"/>
  <c r="I3448" i="13" s="1"/>
  <c r="J3633" i="13" a="1"/>
  <c r="J3633" i="13" s="1"/>
  <c r="N3634" i="13"/>
  <c r="M3637" i="14"/>
  <c r="J3632" i="14" a="1"/>
  <c r="J3632" i="14" s="1"/>
  <c r="N3633" i="14"/>
  <c r="M3636" i="13"/>
  <c r="K3448" i="13" l="1"/>
  <c r="L3448" i="13" s="1"/>
  <c r="I3449" i="13" s="1"/>
  <c r="K3470" i="14"/>
  <c r="L3470" i="14" s="1"/>
  <c r="I3471" i="14" s="1"/>
  <c r="N3634" i="14"/>
  <c r="J3633" i="14" a="1"/>
  <c r="J3633" i="14" s="1"/>
  <c r="M3637" i="13"/>
  <c r="M3638" i="14"/>
  <c r="N3635" i="13"/>
  <c r="J3634" i="13" a="1"/>
  <c r="J3634" i="13" s="1"/>
  <c r="K3471" i="14" l="1"/>
  <c r="L3471" i="14" s="1"/>
  <c r="I3472" i="14" s="1"/>
  <c r="K3449" i="13"/>
  <c r="L3449" i="13" s="1"/>
  <c r="I3450" i="13" s="1"/>
  <c r="M3638" i="13"/>
  <c r="J3635" i="13" a="1"/>
  <c r="J3635" i="13" s="1"/>
  <c r="N3636" i="13"/>
  <c r="M3639" i="14"/>
  <c r="J3634" i="14" a="1"/>
  <c r="J3634" i="14" s="1"/>
  <c r="N3635" i="14"/>
  <c r="K3450" i="13" l="1"/>
  <c r="L3450" i="13" s="1"/>
  <c r="I3451" i="13" s="1"/>
  <c r="K3472" i="14"/>
  <c r="L3472" i="14" s="1"/>
  <c r="I3473" i="14" s="1"/>
  <c r="J3635" i="14" a="1"/>
  <c r="J3635" i="14" s="1"/>
  <c r="N3636" i="14"/>
  <c r="J3636" i="13" a="1"/>
  <c r="J3636" i="13" s="1"/>
  <c r="N3637" i="13"/>
  <c r="M3640" i="14"/>
  <c r="M3639" i="13"/>
  <c r="K3473" i="14" l="1"/>
  <c r="L3473" i="14" s="1"/>
  <c r="I3474" i="14" s="1"/>
  <c r="K3451" i="13"/>
  <c r="L3451" i="13" s="1"/>
  <c r="I3452" i="13" s="1"/>
  <c r="J3637" i="13" a="1"/>
  <c r="J3637" i="13" s="1"/>
  <c r="N3638" i="13"/>
  <c r="M3640" i="13"/>
  <c r="M3641" i="14"/>
  <c r="N3637" i="14"/>
  <c r="J3636" i="14" a="1"/>
  <c r="J3636" i="14" s="1"/>
  <c r="K3452" i="13" l="1"/>
  <c r="L3452" i="13" s="1"/>
  <c r="I3453" i="13" s="1"/>
  <c r="K3474" i="14"/>
  <c r="L3474" i="14" s="1"/>
  <c r="I3475" i="14" s="1"/>
  <c r="N3638" i="14"/>
  <c r="J3637" i="14" a="1"/>
  <c r="J3637" i="14" s="1"/>
  <c r="M3641" i="13"/>
  <c r="N3639" i="13"/>
  <c r="J3638" i="13" a="1"/>
  <c r="J3638" i="13" s="1"/>
  <c r="M3642" i="14"/>
  <c r="K3475" i="14" l="1"/>
  <c r="L3475" i="14" s="1"/>
  <c r="I3476" i="14" s="1"/>
  <c r="K3453" i="13"/>
  <c r="L3453" i="13" s="1"/>
  <c r="I3454" i="13" s="1"/>
  <c r="M3642" i="13"/>
  <c r="M3643" i="14"/>
  <c r="J3639" i="13" a="1"/>
  <c r="J3639" i="13" s="1"/>
  <c r="N3640" i="13"/>
  <c r="J3638" i="14" a="1"/>
  <c r="J3638" i="14" s="1"/>
  <c r="N3639" i="14"/>
  <c r="K3454" i="13" l="1"/>
  <c r="L3454" i="13" s="1"/>
  <c r="I3455" i="13" s="1"/>
  <c r="K3476" i="14"/>
  <c r="L3476" i="14" s="1"/>
  <c r="I3477" i="14" s="1"/>
  <c r="J3639" i="14" a="1"/>
  <c r="J3639" i="14" s="1"/>
  <c r="N3640" i="14"/>
  <c r="M3644" i="14"/>
  <c r="J3640" i="13" a="1"/>
  <c r="J3640" i="13" s="1"/>
  <c r="N3641" i="13"/>
  <c r="M3643" i="13"/>
  <c r="K3477" i="14" l="1"/>
  <c r="L3477" i="14" s="1"/>
  <c r="I3478" i="14" s="1"/>
  <c r="K3455" i="13"/>
  <c r="L3455" i="13" s="1"/>
  <c r="I3456" i="13" s="1"/>
  <c r="J3641" i="13" a="1"/>
  <c r="J3641" i="13" s="1"/>
  <c r="N3642" i="13"/>
  <c r="M3645" i="14"/>
  <c r="M3644" i="13"/>
  <c r="J3640" i="14" a="1"/>
  <c r="J3640" i="14" s="1"/>
  <c r="N3641" i="14"/>
  <c r="K3456" i="13" l="1"/>
  <c r="L3456" i="13" s="1"/>
  <c r="I3457" i="13" s="1"/>
  <c r="K3478" i="14"/>
  <c r="L3478" i="14" s="1"/>
  <c r="I3479" i="14" s="1"/>
  <c r="N3642" i="14"/>
  <c r="J3641" i="14" a="1"/>
  <c r="J3641" i="14" s="1"/>
  <c r="M3646" i="14"/>
  <c r="N3643" i="13"/>
  <c r="J3642" i="13" a="1"/>
  <c r="J3642" i="13" s="1"/>
  <c r="M3645" i="13"/>
  <c r="K3479" i="14" l="1"/>
  <c r="L3479" i="14" s="1"/>
  <c r="I3480" i="14" s="1"/>
  <c r="K3457" i="13"/>
  <c r="L3457" i="13" s="1"/>
  <c r="I3458" i="13" s="1"/>
  <c r="M3646" i="13"/>
  <c r="M3647" i="14"/>
  <c r="J3643" i="13" a="1"/>
  <c r="J3643" i="13" s="1"/>
  <c r="N3644" i="13"/>
  <c r="J3642" i="14" a="1"/>
  <c r="J3642" i="14" s="1"/>
  <c r="N3643" i="14"/>
  <c r="K3458" i="13" l="1"/>
  <c r="L3458" i="13" s="1"/>
  <c r="I3459" i="13" s="1"/>
  <c r="K3480" i="14"/>
  <c r="L3480" i="14" s="1"/>
  <c r="I3481" i="14" s="1"/>
  <c r="M3648" i="14"/>
  <c r="J3643" i="14" a="1"/>
  <c r="J3643" i="14" s="1"/>
  <c r="N3644" i="14"/>
  <c r="J3644" i="13" a="1"/>
  <c r="J3644" i="13" s="1"/>
  <c r="N3645" i="13"/>
  <c r="M3647" i="13"/>
  <c r="K3481" i="14" l="1"/>
  <c r="L3481" i="14" s="1"/>
  <c r="I3482" i="14" s="1"/>
  <c r="K3459" i="13"/>
  <c r="L3459" i="13" s="1"/>
  <c r="I3460" i="13" s="1"/>
  <c r="N3645" i="14"/>
  <c r="J3644" i="14" a="1"/>
  <c r="J3644" i="14" s="1"/>
  <c r="J3645" i="13" a="1"/>
  <c r="J3645" i="13" s="1"/>
  <c r="N3646" i="13"/>
  <c r="M3649" i="14"/>
  <c r="M3648" i="13"/>
  <c r="K3460" i="13" l="1"/>
  <c r="L3460" i="13" s="1"/>
  <c r="I3461" i="13" s="1"/>
  <c r="K3482" i="14"/>
  <c r="L3482" i="14" s="1"/>
  <c r="I3483" i="14" s="1"/>
  <c r="N3647" i="13"/>
  <c r="J3646" i="13" a="1"/>
  <c r="J3646" i="13" s="1"/>
  <c r="M3649" i="13"/>
  <c r="M3650" i="14"/>
  <c r="N3646" i="14"/>
  <c r="J3645" i="14" a="1"/>
  <c r="J3645" i="14" s="1"/>
  <c r="K3483" i="14" l="1"/>
  <c r="L3483" i="14" s="1"/>
  <c r="I3484" i="14" s="1"/>
  <c r="K3461" i="13"/>
  <c r="L3461" i="13" s="1"/>
  <c r="I3462" i="13" s="1"/>
  <c r="M3650" i="13"/>
  <c r="J3646" i="14" a="1"/>
  <c r="J3646" i="14" s="1"/>
  <c r="N3647" i="14"/>
  <c r="M3651" i="14"/>
  <c r="J3647" i="13" a="1"/>
  <c r="J3647" i="13" s="1"/>
  <c r="N3648" i="13"/>
  <c r="K3484" i="14" l="1"/>
  <c r="L3484" i="14" s="1"/>
  <c r="I3485" i="14" s="1"/>
  <c r="J3647" i="14" a="1"/>
  <c r="J3647" i="14" s="1"/>
  <c r="N3648" i="14"/>
  <c r="J3648" i="13" a="1"/>
  <c r="J3648" i="13" s="1"/>
  <c r="N3649" i="13"/>
  <c r="K3462" i="13"/>
  <c r="L3462" i="13" s="1"/>
  <c r="I3463" i="13" s="1"/>
  <c r="M3652" i="14"/>
  <c r="M3651" i="13"/>
  <c r="K3463" i="13" l="1"/>
  <c r="L3463" i="13" s="1"/>
  <c r="I3464" i="13" s="1"/>
  <c r="K3485" i="14"/>
  <c r="L3485" i="14" s="1"/>
  <c r="I3486" i="14" s="1"/>
  <c r="J3648" i="14" a="1"/>
  <c r="J3648" i="14" s="1"/>
  <c r="N3649" i="14"/>
  <c r="M3652" i="13"/>
  <c r="J3649" i="13" a="1"/>
  <c r="J3649" i="13" s="1"/>
  <c r="N3650" i="13"/>
  <c r="M3653" i="14"/>
  <c r="K3486" i="14" l="1"/>
  <c r="L3486" i="14" s="1"/>
  <c r="I3487" i="14" s="1"/>
  <c r="K3464" i="13"/>
  <c r="L3464" i="13" s="1"/>
  <c r="I3465" i="13" s="1"/>
  <c r="M3654" i="14"/>
  <c r="M3653" i="13"/>
  <c r="N3651" i="13"/>
  <c r="J3650" i="13" a="1"/>
  <c r="J3650" i="13" s="1"/>
  <c r="N3650" i="14"/>
  <c r="J3649" i="14" a="1"/>
  <c r="J3649" i="14" s="1"/>
  <c r="K3487" i="14" l="1"/>
  <c r="L3487" i="14" s="1"/>
  <c r="I3488" i="14" s="1"/>
  <c r="M3654" i="13"/>
  <c r="K3465" i="13"/>
  <c r="L3465" i="13" s="1"/>
  <c r="I3466" i="13" s="1"/>
  <c r="J3650" i="14" a="1"/>
  <c r="J3650" i="14" s="1"/>
  <c r="N3651" i="14"/>
  <c r="J3651" i="13" a="1"/>
  <c r="J3651" i="13" s="1"/>
  <c r="N3652" i="13"/>
  <c r="M3655" i="14"/>
  <c r="K3466" i="13" l="1"/>
  <c r="L3466" i="13" s="1"/>
  <c r="I3467" i="13" s="1"/>
  <c r="K3488" i="14"/>
  <c r="L3488" i="14" s="1"/>
  <c r="I3489" i="14" s="1"/>
  <c r="J3651" i="14" a="1"/>
  <c r="J3651" i="14" s="1"/>
  <c r="N3652" i="14"/>
  <c r="M3655" i="13"/>
  <c r="J3652" i="13" a="1"/>
  <c r="J3652" i="13" s="1"/>
  <c r="N3653" i="13"/>
  <c r="M3656" i="14"/>
  <c r="K3489" i="14" l="1"/>
  <c r="L3489" i="14" s="1"/>
  <c r="I3490" i="14" s="1"/>
  <c r="K3467" i="13"/>
  <c r="L3467" i="13" s="1"/>
  <c r="I3468" i="13" s="1"/>
  <c r="M3657" i="14"/>
  <c r="M3656" i="13"/>
  <c r="J3653" i="13" a="1"/>
  <c r="J3653" i="13" s="1"/>
  <c r="N3654" i="13"/>
  <c r="N3653" i="14"/>
  <c r="J3652" i="14" a="1"/>
  <c r="J3652" i="14" s="1"/>
  <c r="K3468" i="13" l="1"/>
  <c r="L3468" i="13" s="1"/>
  <c r="I3469" i="13" s="1"/>
  <c r="K3490" i="14"/>
  <c r="L3490" i="14" s="1"/>
  <c r="I3491" i="14" s="1"/>
  <c r="N3654" i="14"/>
  <c r="J3653" i="14" a="1"/>
  <c r="J3653" i="14" s="1"/>
  <c r="M3657" i="13"/>
  <c r="N3655" i="13"/>
  <c r="J3654" i="13" a="1"/>
  <c r="J3654" i="13" s="1"/>
  <c r="M3658" i="14"/>
  <c r="K3491" i="14" l="1"/>
  <c r="L3491" i="14" s="1"/>
  <c r="I3492" i="14" s="1"/>
  <c r="K3469" i="13"/>
  <c r="L3469" i="13" s="1"/>
  <c r="I3470" i="13" s="1"/>
  <c r="J3655" i="13" a="1"/>
  <c r="J3655" i="13" s="1"/>
  <c r="N3656" i="13"/>
  <c r="M3658" i="13"/>
  <c r="M3659" i="14"/>
  <c r="J3654" i="14" a="1"/>
  <c r="J3654" i="14" s="1"/>
  <c r="N3655" i="14"/>
  <c r="K3492" i="14" l="1"/>
  <c r="L3492" i="14" s="1"/>
  <c r="I3493" i="14" s="1"/>
  <c r="J3656" i="13" a="1"/>
  <c r="J3656" i="13" s="1"/>
  <c r="N3657" i="13"/>
  <c r="M3660" i="14"/>
  <c r="J3655" i="14" a="1"/>
  <c r="J3655" i="14" s="1"/>
  <c r="N3656" i="14"/>
  <c r="M3659" i="13"/>
  <c r="K3470" i="13"/>
  <c r="L3470" i="13" s="1"/>
  <c r="I3471" i="13" s="1"/>
  <c r="K3471" i="13" l="1"/>
  <c r="L3471" i="13" s="1"/>
  <c r="I3472" i="13" s="1"/>
  <c r="K3493" i="14"/>
  <c r="L3493" i="14" s="1"/>
  <c r="I3494" i="14" s="1"/>
  <c r="J3657" i="13" a="1"/>
  <c r="J3657" i="13" s="1"/>
  <c r="N3658" i="13"/>
  <c r="J3656" i="14" a="1"/>
  <c r="J3656" i="14" s="1"/>
  <c r="N3657" i="14"/>
  <c r="M3661" i="14"/>
  <c r="M3660" i="13"/>
  <c r="K3494" i="14" l="1"/>
  <c r="L3494" i="14" s="1"/>
  <c r="I3495" i="14" s="1"/>
  <c r="K3472" i="13"/>
  <c r="L3472" i="13" s="1"/>
  <c r="I3473" i="13" s="1"/>
  <c r="N3658" i="14"/>
  <c r="J3657" i="14" a="1"/>
  <c r="J3657" i="14" s="1"/>
  <c r="N3659" i="13"/>
  <c r="J3658" i="13" a="1"/>
  <c r="J3658" i="13" s="1"/>
  <c r="M3661" i="13"/>
  <c r="M3662" i="14"/>
  <c r="K3473" i="13" l="1"/>
  <c r="L3473" i="13" s="1"/>
  <c r="I3474" i="13" s="1"/>
  <c r="K3495" i="14"/>
  <c r="L3495" i="14" s="1"/>
  <c r="I3496" i="14" s="1"/>
  <c r="J3659" i="13" a="1"/>
  <c r="J3659" i="13" s="1"/>
  <c r="N3660" i="13"/>
  <c r="M3663" i="14"/>
  <c r="M3662" i="13"/>
  <c r="J3658" i="14" a="1"/>
  <c r="J3658" i="14" s="1"/>
  <c r="N3659" i="14"/>
  <c r="K3496" i="14" l="1"/>
  <c r="L3496" i="14" s="1"/>
  <c r="I3497" i="14" s="1"/>
  <c r="K3474" i="13"/>
  <c r="L3474" i="13" s="1"/>
  <c r="I3475" i="13" s="1"/>
  <c r="M3664" i="14"/>
  <c r="J3660" i="13" a="1"/>
  <c r="J3660" i="13" s="1"/>
  <c r="N3661" i="13"/>
  <c r="J3659" i="14" a="1"/>
  <c r="J3659" i="14" s="1"/>
  <c r="N3660" i="14"/>
  <c r="M3663" i="13"/>
  <c r="K3475" i="13" l="1"/>
  <c r="L3475" i="13" s="1"/>
  <c r="I3476" i="13" s="1"/>
  <c r="J3661" i="13" a="1"/>
  <c r="J3661" i="13" s="1"/>
  <c r="N3662" i="13"/>
  <c r="M3664" i="13"/>
  <c r="N3661" i="14"/>
  <c r="J3660" i="14" a="1"/>
  <c r="J3660" i="14" s="1"/>
  <c r="M3665" i="14"/>
  <c r="K3497" i="14"/>
  <c r="L3497" i="14" s="1"/>
  <c r="I3498" i="14" s="1"/>
  <c r="K3498" i="14" l="1"/>
  <c r="L3498" i="14" s="1"/>
  <c r="I3499" i="14" s="1"/>
  <c r="K3476" i="13"/>
  <c r="L3476" i="13" s="1"/>
  <c r="I3477" i="13" s="1"/>
  <c r="N3663" i="13"/>
  <c r="J3662" i="13" a="1"/>
  <c r="J3662" i="13" s="1"/>
  <c r="N3662" i="14"/>
  <c r="J3661" i="14" a="1"/>
  <c r="J3661" i="14" s="1"/>
  <c r="M3666" i="14"/>
  <c r="M3665" i="13"/>
  <c r="K3477" i="13" l="1"/>
  <c r="L3477" i="13" s="1"/>
  <c r="I3478" i="13" s="1"/>
  <c r="J3663" i="13" a="1"/>
  <c r="J3663" i="13" s="1"/>
  <c r="N3664" i="13"/>
  <c r="M3666" i="13"/>
  <c r="J3662" i="14" a="1"/>
  <c r="J3662" i="14" s="1"/>
  <c r="N3663" i="14"/>
  <c r="M3667" i="14"/>
  <c r="K3499" i="14"/>
  <c r="L3499" i="14" s="1"/>
  <c r="I3500" i="14" s="1"/>
  <c r="K3500" i="14" l="1"/>
  <c r="L3500" i="14" s="1"/>
  <c r="I3501" i="14" s="1"/>
  <c r="K3478" i="13"/>
  <c r="L3478" i="13" s="1"/>
  <c r="I3479" i="13" s="1"/>
  <c r="J3664" i="13" a="1"/>
  <c r="J3664" i="13" s="1"/>
  <c r="N3665" i="13"/>
  <c r="J3663" i="14" a="1"/>
  <c r="J3663" i="14" s="1"/>
  <c r="N3664" i="14"/>
  <c r="M3668" i="14"/>
  <c r="M3667" i="13"/>
  <c r="K3479" i="13" l="1"/>
  <c r="L3479" i="13" s="1"/>
  <c r="I3480" i="13" s="1"/>
  <c r="K3501" i="14"/>
  <c r="L3501" i="14" s="1"/>
  <c r="I3502" i="14" s="1"/>
  <c r="J3664" i="14" a="1"/>
  <c r="J3664" i="14" s="1"/>
  <c r="N3665" i="14"/>
  <c r="J3665" i="13" a="1"/>
  <c r="J3665" i="13" s="1"/>
  <c r="N3666" i="13"/>
  <c r="M3668" i="13"/>
  <c r="M3669" i="14"/>
  <c r="K3502" i="14" l="1"/>
  <c r="L3502" i="14" s="1"/>
  <c r="I3503" i="14" s="1"/>
  <c r="K3480" i="13"/>
  <c r="L3480" i="13" s="1"/>
  <c r="I3481" i="13" s="1"/>
  <c r="N3667" i="13"/>
  <c r="J3666" i="13" a="1"/>
  <c r="J3666" i="13" s="1"/>
  <c r="N3666" i="14"/>
  <c r="J3665" i="14" a="1"/>
  <c r="J3665" i="14" s="1"/>
  <c r="M3670" i="14"/>
  <c r="M3669" i="13"/>
  <c r="K3481" i="13" l="1"/>
  <c r="L3481" i="13" s="1"/>
  <c r="I3482" i="13" s="1"/>
  <c r="K3503" i="14"/>
  <c r="L3503" i="14" s="1"/>
  <c r="I3504" i="14" s="1"/>
  <c r="J3666" i="14" a="1"/>
  <c r="J3666" i="14" s="1"/>
  <c r="N3667" i="14"/>
  <c r="M3670" i="13"/>
  <c r="M3671" i="14"/>
  <c r="J3667" i="13" a="1"/>
  <c r="J3667" i="13" s="1"/>
  <c r="N3668" i="13"/>
  <c r="K3504" i="14" l="1"/>
  <c r="L3504" i="14" s="1"/>
  <c r="I3505" i="14" s="1"/>
  <c r="K3482" i="13"/>
  <c r="L3482" i="13" s="1"/>
  <c r="I3483" i="13" s="1"/>
  <c r="J3668" i="13" a="1"/>
  <c r="J3668" i="13" s="1"/>
  <c r="N3669" i="13"/>
  <c r="M3671" i="13"/>
  <c r="M3672" i="14"/>
  <c r="J3667" i="14" a="1"/>
  <c r="J3667" i="14" s="1"/>
  <c r="N3668" i="14"/>
  <c r="K3483" i="13" l="1"/>
  <c r="L3483" i="13" s="1"/>
  <c r="I3484" i="13" s="1"/>
  <c r="K3505" i="14"/>
  <c r="L3505" i="14" s="1"/>
  <c r="I3506" i="14" s="1"/>
  <c r="N3669" i="14"/>
  <c r="J3668" i="14" a="1"/>
  <c r="J3668" i="14" s="1"/>
  <c r="M3672" i="13"/>
  <c r="M3673" i="14"/>
  <c r="J3669" i="13" a="1"/>
  <c r="J3669" i="13" s="1"/>
  <c r="N3670" i="13"/>
  <c r="K3506" i="14" l="1"/>
  <c r="L3506" i="14" s="1"/>
  <c r="I3507" i="14" s="1"/>
  <c r="K3484" i="13"/>
  <c r="L3484" i="13" s="1"/>
  <c r="I3485" i="13" s="1"/>
  <c r="N3671" i="13"/>
  <c r="J3670" i="13" a="1"/>
  <c r="J3670" i="13" s="1"/>
  <c r="M3673" i="13"/>
  <c r="M3674" i="14"/>
  <c r="N3670" i="14"/>
  <c r="J3669" i="14" a="1"/>
  <c r="J3669" i="14" s="1"/>
  <c r="K3485" i="13" l="1"/>
  <c r="L3485" i="13" s="1"/>
  <c r="I3486" i="13" s="1"/>
  <c r="K3507" i="14"/>
  <c r="L3507" i="14" s="1"/>
  <c r="I3508" i="14" s="1"/>
  <c r="M3674" i="13"/>
  <c r="J3670" i="14" a="1"/>
  <c r="J3670" i="14" s="1"/>
  <c r="N3671" i="14"/>
  <c r="M3675" i="14"/>
  <c r="J3671" i="13" a="1"/>
  <c r="J3671" i="13" s="1"/>
  <c r="N3672" i="13"/>
  <c r="K3508" i="14" l="1"/>
  <c r="L3508" i="14" s="1"/>
  <c r="I3509" i="14" s="1"/>
  <c r="K3486" i="13"/>
  <c r="L3486" i="13" s="1"/>
  <c r="I3487" i="13" s="1"/>
  <c r="J3672" i="13" a="1"/>
  <c r="J3672" i="13" s="1"/>
  <c r="N3673" i="13"/>
  <c r="J3671" i="14" a="1"/>
  <c r="J3671" i="14" s="1"/>
  <c r="N3672" i="14"/>
  <c r="M3676" i="14"/>
  <c r="M3675" i="13"/>
  <c r="K3487" i="13" l="1"/>
  <c r="L3487" i="13" s="1"/>
  <c r="I3488" i="13" s="1"/>
  <c r="K3509" i="14"/>
  <c r="L3509" i="14" s="1"/>
  <c r="I3510" i="14" s="1"/>
  <c r="J3672" i="14" a="1"/>
  <c r="J3672" i="14" s="1"/>
  <c r="N3673" i="14"/>
  <c r="M3676" i="13"/>
  <c r="M3677" i="14"/>
  <c r="J3673" i="13" a="1"/>
  <c r="J3673" i="13" s="1"/>
  <c r="N3674" i="13"/>
  <c r="K3510" i="14" l="1"/>
  <c r="L3510" i="14" s="1"/>
  <c r="I3511" i="14" s="1"/>
  <c r="K3488" i="13"/>
  <c r="L3488" i="13" s="1"/>
  <c r="I3489" i="13" s="1"/>
  <c r="N3675" i="13"/>
  <c r="J3674" i="13" a="1"/>
  <c r="J3674" i="13" s="1"/>
  <c r="M3677" i="13"/>
  <c r="N3674" i="14"/>
  <c r="J3673" i="14" a="1"/>
  <c r="J3673" i="14" s="1"/>
  <c r="M3678" i="14"/>
  <c r="K3489" i="13" l="1"/>
  <c r="L3489" i="13" s="1"/>
  <c r="I3490" i="13" s="1"/>
  <c r="K3511" i="14"/>
  <c r="L3511" i="14" s="1"/>
  <c r="I3512" i="14" s="1"/>
  <c r="M3678" i="13"/>
  <c r="M3679" i="14"/>
  <c r="J3674" i="14" a="1"/>
  <c r="J3674" i="14" s="1"/>
  <c r="N3675" i="14"/>
  <c r="J3675" i="13" a="1"/>
  <c r="J3675" i="13" s="1"/>
  <c r="N3676" i="13"/>
  <c r="K3512" i="14" l="1"/>
  <c r="L3512" i="14" s="1"/>
  <c r="I3513" i="14" s="1"/>
  <c r="K3490" i="13"/>
  <c r="L3490" i="13" s="1"/>
  <c r="I3491" i="13" s="1"/>
  <c r="J3676" i="13" a="1"/>
  <c r="J3676" i="13" s="1"/>
  <c r="N3677" i="13"/>
  <c r="M3680" i="14"/>
  <c r="J3675" i="14" a="1"/>
  <c r="J3675" i="14" s="1"/>
  <c r="N3676" i="14"/>
  <c r="M3679" i="13"/>
  <c r="K3491" i="13" l="1"/>
  <c r="L3491" i="13" s="1"/>
  <c r="I3492" i="13" s="1"/>
  <c r="K3513" i="14"/>
  <c r="L3513" i="14" s="1"/>
  <c r="I3514" i="14" s="1"/>
  <c r="M3681" i="14"/>
  <c r="M3680" i="13"/>
  <c r="N3677" i="14"/>
  <c r="J3676" i="14" a="1"/>
  <c r="J3676" i="14" s="1"/>
  <c r="J3677" i="13" a="1"/>
  <c r="J3677" i="13" s="1"/>
  <c r="N3678" i="13"/>
  <c r="K3514" i="14" l="1"/>
  <c r="L3514" i="14" s="1"/>
  <c r="I3515" i="14" s="1"/>
  <c r="K3492" i="13"/>
  <c r="L3492" i="13" s="1"/>
  <c r="I3493" i="13" s="1"/>
  <c r="M3681" i="13"/>
  <c r="N3679" i="13"/>
  <c r="J3678" i="13" a="1"/>
  <c r="J3678" i="13" s="1"/>
  <c r="N3678" i="14"/>
  <c r="J3677" i="14" a="1"/>
  <c r="J3677" i="14" s="1"/>
  <c r="M3682" i="14"/>
  <c r="K3493" i="13" l="1"/>
  <c r="L3493" i="13" s="1"/>
  <c r="I3494" i="13" s="1"/>
  <c r="K3515" i="14"/>
  <c r="L3515" i="14" s="1"/>
  <c r="I3516" i="14" s="1"/>
  <c r="J3679" i="13" a="1"/>
  <c r="J3679" i="13" s="1"/>
  <c r="N3680" i="13"/>
  <c r="M3682" i="13"/>
  <c r="M3683" i="14"/>
  <c r="J3678" i="14" a="1"/>
  <c r="J3678" i="14" s="1"/>
  <c r="N3679" i="14"/>
  <c r="K3516" i="14" l="1"/>
  <c r="L3516" i="14" s="1"/>
  <c r="I3517" i="14" s="1"/>
  <c r="K3494" i="13"/>
  <c r="L3494" i="13" s="1"/>
  <c r="I3495" i="13" s="1"/>
  <c r="M3683" i="13"/>
  <c r="J3680" i="13" a="1"/>
  <c r="J3680" i="13" s="1"/>
  <c r="N3681" i="13"/>
  <c r="J3679" i="14" a="1"/>
  <c r="J3679" i="14" s="1"/>
  <c r="N3680" i="14"/>
  <c r="M3684" i="14"/>
  <c r="K3495" i="13" l="1"/>
  <c r="L3495" i="13" s="1"/>
  <c r="I3496" i="13" s="1"/>
  <c r="K3517" i="14"/>
  <c r="L3517" i="14" s="1"/>
  <c r="I3518" i="14" s="1"/>
  <c r="J3681" i="13" a="1"/>
  <c r="J3681" i="13" s="1"/>
  <c r="N3682" i="13"/>
  <c r="J3680" i="14" a="1"/>
  <c r="J3680" i="14" s="1"/>
  <c r="N3681" i="14"/>
  <c r="M3685" i="14"/>
  <c r="M3684" i="13"/>
  <c r="K3518" i="14" l="1"/>
  <c r="L3518" i="14" s="1"/>
  <c r="I3519" i="14" s="1"/>
  <c r="K3496" i="13"/>
  <c r="L3496" i="13" s="1"/>
  <c r="I3497" i="13" s="1"/>
  <c r="N3682" i="14"/>
  <c r="J3681" i="14" a="1"/>
  <c r="J3681" i="14" s="1"/>
  <c r="N3683" i="13"/>
  <c r="J3682" i="13" a="1"/>
  <c r="J3682" i="13" s="1"/>
  <c r="M3685" i="13"/>
  <c r="M3686" i="14"/>
  <c r="K3497" i="13" l="1"/>
  <c r="L3497" i="13" s="1"/>
  <c r="I3498" i="13" s="1"/>
  <c r="K3519" i="14"/>
  <c r="L3519" i="14" s="1"/>
  <c r="I3520" i="14" s="1"/>
  <c r="J3683" i="13" a="1"/>
  <c r="J3683" i="13" s="1"/>
  <c r="N3684" i="13"/>
  <c r="M3687" i="14"/>
  <c r="M3686" i="13"/>
  <c r="J3682" i="14" a="1"/>
  <c r="J3682" i="14" s="1"/>
  <c r="N3683" i="14"/>
  <c r="K3520" i="14" l="1"/>
  <c r="L3520" i="14" s="1"/>
  <c r="I3521" i="14" s="1"/>
  <c r="K3498" i="13"/>
  <c r="L3498" i="13" s="1"/>
  <c r="I3499" i="13" s="1"/>
  <c r="J3683" i="14" a="1"/>
  <c r="J3683" i="14" s="1"/>
  <c r="N3684" i="14"/>
  <c r="J3684" i="13" a="1"/>
  <c r="J3684" i="13" s="1"/>
  <c r="N3685" i="13"/>
  <c r="M3688" i="14"/>
  <c r="M3687" i="13"/>
  <c r="K3499" i="13" l="1"/>
  <c r="L3499" i="13" s="1"/>
  <c r="I3500" i="13" s="1"/>
  <c r="K3521" i="14"/>
  <c r="L3521" i="14" s="1"/>
  <c r="I3522" i="14" s="1"/>
  <c r="J3685" i="13" a="1"/>
  <c r="J3685" i="13" s="1"/>
  <c r="N3686" i="13"/>
  <c r="N3685" i="14"/>
  <c r="J3684" i="14" a="1"/>
  <c r="J3684" i="14" s="1"/>
  <c r="M3688" i="13"/>
  <c r="M3689" i="14"/>
  <c r="K3522" i="14" l="1"/>
  <c r="L3522" i="14" s="1"/>
  <c r="I3523" i="14" s="1"/>
  <c r="K3500" i="13"/>
  <c r="L3500" i="13" s="1"/>
  <c r="I3501" i="13" s="1"/>
  <c r="J3685" i="14" a="1"/>
  <c r="J3685" i="14" s="1"/>
  <c r="N3686" i="14"/>
  <c r="M3690" i="14"/>
  <c r="N3687" i="13"/>
  <c r="J3686" i="13" a="1"/>
  <c r="J3686" i="13" s="1"/>
  <c r="M3689" i="13"/>
  <c r="K3501" i="13" l="1"/>
  <c r="L3501" i="13" s="1"/>
  <c r="I3502" i="13" s="1"/>
  <c r="K3523" i="14"/>
  <c r="L3523" i="14" s="1"/>
  <c r="I3524" i="14" s="1"/>
  <c r="M3690" i="13"/>
  <c r="M3691" i="14"/>
  <c r="N3687" i="14"/>
  <c r="J3686" i="14" a="1"/>
  <c r="J3686" i="14" s="1"/>
  <c r="J3687" i="13" a="1"/>
  <c r="J3687" i="13" s="1"/>
  <c r="N3688" i="13"/>
  <c r="K3524" i="14" l="1"/>
  <c r="L3524" i="14" s="1"/>
  <c r="I3525" i="14" s="1"/>
  <c r="K3502" i="13"/>
  <c r="L3502" i="13" s="1"/>
  <c r="I3503" i="13" s="1"/>
  <c r="J3688" i="13" a="1"/>
  <c r="J3688" i="13" s="1"/>
  <c r="N3689" i="13"/>
  <c r="M3692" i="14"/>
  <c r="N3688" i="14"/>
  <c r="J3687" i="14" a="1"/>
  <c r="J3687" i="14" s="1"/>
  <c r="M3691" i="13"/>
  <c r="K3503" i="13" l="1"/>
  <c r="L3503" i="13" s="1"/>
  <c r="I3504" i="13" s="1"/>
  <c r="K3525" i="14"/>
  <c r="L3525" i="14" s="1"/>
  <c r="I3526" i="14" s="1"/>
  <c r="N3689" i="14"/>
  <c r="J3688" i="14" a="1"/>
  <c r="J3688" i="14" s="1"/>
  <c r="M3692" i="13"/>
  <c r="M3693" i="14"/>
  <c r="J3689" i="13" a="1"/>
  <c r="J3689" i="13" s="1"/>
  <c r="N3690" i="13"/>
  <c r="K3526" i="14" l="1"/>
  <c r="L3526" i="14" s="1"/>
  <c r="I3527" i="14" s="1"/>
  <c r="K3504" i="13"/>
  <c r="L3504" i="13" s="1"/>
  <c r="I3505" i="13" s="1"/>
  <c r="M3693" i="13"/>
  <c r="N3691" i="13"/>
  <c r="J3690" i="13" a="1"/>
  <c r="J3690" i="13" s="1"/>
  <c r="M3694" i="14"/>
  <c r="J3689" i="14" a="1"/>
  <c r="J3689" i="14" s="1"/>
  <c r="N3690" i="14"/>
  <c r="K3505" i="13" l="1"/>
  <c r="L3505" i="13" s="1"/>
  <c r="I3506" i="13" s="1"/>
  <c r="K3527" i="14"/>
  <c r="L3527" i="14" s="1"/>
  <c r="I3528" i="14" s="1"/>
  <c r="N3691" i="14"/>
  <c r="J3690" i="14" a="1"/>
  <c r="J3690" i="14" s="1"/>
  <c r="J3691" i="13" a="1"/>
  <c r="J3691" i="13" s="1"/>
  <c r="N3692" i="13"/>
  <c r="M3695" i="14"/>
  <c r="M3694" i="13"/>
  <c r="K3506" i="13" l="1"/>
  <c r="L3506" i="13" s="1"/>
  <c r="I3507" i="13" s="1"/>
  <c r="K3528" i="14"/>
  <c r="L3528" i="14" s="1"/>
  <c r="I3529" i="14" s="1"/>
  <c r="J3692" i="13" a="1"/>
  <c r="J3692" i="13" s="1"/>
  <c r="N3693" i="13"/>
  <c r="M3695" i="13"/>
  <c r="M3696" i="14"/>
  <c r="J3691" i="14" a="1"/>
  <c r="J3691" i="14" s="1"/>
  <c r="N3692" i="14"/>
  <c r="K3529" i="14" l="1"/>
  <c r="L3529" i="14" s="1"/>
  <c r="I3530" i="14" s="1"/>
  <c r="K3507" i="13"/>
  <c r="L3507" i="13" s="1"/>
  <c r="I3508" i="13" s="1"/>
  <c r="N3693" i="14"/>
  <c r="J3692" i="14" a="1"/>
  <c r="J3692" i="14" s="1"/>
  <c r="M3696" i="13"/>
  <c r="J3693" i="13" a="1"/>
  <c r="J3693" i="13" s="1"/>
  <c r="N3694" i="13"/>
  <c r="M3697" i="14"/>
  <c r="K3508" i="13" l="1"/>
  <c r="L3508" i="13" s="1"/>
  <c r="I3509" i="13" s="1"/>
  <c r="K3530" i="14"/>
  <c r="L3530" i="14" s="1"/>
  <c r="I3531" i="14" s="1"/>
  <c r="M3698" i="14"/>
  <c r="N3695" i="13"/>
  <c r="J3694" i="13" a="1"/>
  <c r="J3694" i="13" s="1"/>
  <c r="M3697" i="13"/>
  <c r="J3693" i="14" a="1"/>
  <c r="J3693" i="14" s="1"/>
  <c r="N3694" i="14"/>
  <c r="K3531" i="14" l="1"/>
  <c r="L3531" i="14" s="1"/>
  <c r="I3532" i="14" s="1"/>
  <c r="K3509" i="13"/>
  <c r="L3509" i="13" s="1"/>
  <c r="I3510" i="13" s="1"/>
  <c r="J3694" i="14" a="1"/>
  <c r="J3694" i="14" s="1"/>
  <c r="N3695" i="14"/>
  <c r="J3695" i="13" a="1"/>
  <c r="J3695" i="13" s="1"/>
  <c r="N3696" i="13"/>
  <c r="M3698" i="13"/>
  <c r="M3699" i="14"/>
  <c r="K3510" i="13" l="1"/>
  <c r="L3510" i="13" s="1"/>
  <c r="I3511" i="13" s="1"/>
  <c r="K3532" i="14"/>
  <c r="L3532" i="14" s="1"/>
  <c r="I3533" i="14" s="1"/>
  <c r="M3700" i="14"/>
  <c r="J3696" i="13" a="1"/>
  <c r="J3696" i="13" s="1"/>
  <c r="N3697" i="13"/>
  <c r="N3696" i="14"/>
  <c r="J3695" i="14" a="1"/>
  <c r="J3695" i="14" s="1"/>
  <c r="M3699" i="13"/>
  <c r="K3533" i="14" l="1"/>
  <c r="L3533" i="14" s="1"/>
  <c r="I3534" i="14" s="1"/>
  <c r="K3511" i="13"/>
  <c r="L3511" i="13" s="1"/>
  <c r="I3512" i="13" s="1"/>
  <c r="J3697" i="13" a="1"/>
  <c r="J3697" i="13" s="1"/>
  <c r="N3698" i="13"/>
  <c r="M3700" i="13"/>
  <c r="N3697" i="14"/>
  <c r="J3696" i="14" a="1"/>
  <c r="J3696" i="14" s="1"/>
  <c r="M3701" i="14"/>
  <c r="K3512" i="13" l="1"/>
  <c r="L3512" i="13" s="1"/>
  <c r="I3513" i="13" s="1"/>
  <c r="K3534" i="14"/>
  <c r="L3534" i="14" s="1"/>
  <c r="I3535" i="14" s="1"/>
  <c r="J3697" i="14" a="1"/>
  <c r="J3697" i="14" s="1"/>
  <c r="N3698" i="14"/>
  <c r="M3702" i="14"/>
  <c r="M3701" i="13"/>
  <c r="N3699" i="13"/>
  <c r="J3698" i="13" a="1"/>
  <c r="J3698" i="13" s="1"/>
  <c r="K3535" i="14" l="1"/>
  <c r="L3535" i="14" s="1"/>
  <c r="I3536" i="14" s="1"/>
  <c r="K3513" i="13"/>
  <c r="L3513" i="13" s="1"/>
  <c r="I3514" i="13" s="1"/>
  <c r="M3703" i="14"/>
  <c r="J3699" i="13" a="1"/>
  <c r="J3699" i="13" s="1"/>
  <c r="N3700" i="13"/>
  <c r="M3702" i="13"/>
  <c r="N3699" i="14"/>
  <c r="J3698" i="14" a="1"/>
  <c r="J3698" i="14" s="1"/>
  <c r="K3514" i="13" l="1"/>
  <c r="L3514" i="13" s="1"/>
  <c r="I3515" i="13" s="1"/>
  <c r="K3536" i="14"/>
  <c r="L3536" i="14" s="1"/>
  <c r="I3537" i="14" s="1"/>
  <c r="J3700" i="13" a="1"/>
  <c r="J3700" i="13" s="1"/>
  <c r="N3701" i="13"/>
  <c r="N3700" i="14"/>
  <c r="J3699" i="14" a="1"/>
  <c r="J3699" i="14" s="1"/>
  <c r="M3704" i="14"/>
  <c r="M3703" i="13"/>
  <c r="K3537" i="14" l="1"/>
  <c r="L3537" i="14" s="1"/>
  <c r="I3538" i="14" s="1"/>
  <c r="K3515" i="13"/>
  <c r="L3515" i="13" s="1"/>
  <c r="I3516" i="13" s="1"/>
  <c r="N3701" i="14"/>
  <c r="J3700" i="14" a="1"/>
  <c r="J3700" i="14" s="1"/>
  <c r="J3701" i="13" a="1"/>
  <c r="J3701" i="13" s="1"/>
  <c r="N3702" i="13"/>
  <c r="M3704" i="13"/>
  <c r="M3705" i="14"/>
  <c r="K3538" i="14" l="1"/>
  <c r="L3538" i="14" s="1"/>
  <c r="I3539" i="14" s="1"/>
  <c r="M3706" i="14"/>
  <c r="N3703" i="13"/>
  <c r="J3702" i="13" a="1"/>
  <c r="J3702" i="13" s="1"/>
  <c r="K3516" i="13"/>
  <c r="L3516" i="13" s="1"/>
  <c r="I3517" i="13" s="1"/>
  <c r="M3705" i="13"/>
  <c r="J3701" i="14" a="1"/>
  <c r="J3701" i="14" s="1"/>
  <c r="N3702" i="14"/>
  <c r="K3539" i="14" l="1"/>
  <c r="L3539" i="14" s="1"/>
  <c r="I3540" i="14" s="1"/>
  <c r="N3703" i="14"/>
  <c r="J3702" i="14" a="1"/>
  <c r="J3702" i="14" s="1"/>
  <c r="M3707" i="14"/>
  <c r="K3517" i="13"/>
  <c r="L3517" i="13" s="1"/>
  <c r="I3518" i="13" s="1"/>
  <c r="M3706" i="13"/>
  <c r="J3703" i="13" a="1"/>
  <c r="J3703" i="13" s="1"/>
  <c r="N3704" i="13"/>
  <c r="K3518" i="13" l="1"/>
  <c r="L3518" i="13" s="1"/>
  <c r="I3519" i="13" s="1"/>
  <c r="K3540" i="14"/>
  <c r="L3540" i="14" s="1"/>
  <c r="I3541" i="14" s="1"/>
  <c r="J3704" i="13" a="1"/>
  <c r="J3704" i="13" s="1"/>
  <c r="N3705" i="13"/>
  <c r="N3704" i="14"/>
  <c r="J3703" i="14" a="1"/>
  <c r="J3703" i="14" s="1"/>
  <c r="M3708" i="14"/>
  <c r="M3707" i="13"/>
  <c r="K3541" i="14" l="1"/>
  <c r="L3541" i="14" s="1"/>
  <c r="I3542" i="14" s="1"/>
  <c r="K3519" i="13"/>
  <c r="L3519" i="13" s="1"/>
  <c r="I3520" i="13" s="1"/>
  <c r="N3705" i="14"/>
  <c r="J3704" i="14" a="1"/>
  <c r="J3704" i="14" s="1"/>
  <c r="J3705" i="13" a="1"/>
  <c r="J3705" i="13" s="1"/>
  <c r="N3706" i="13"/>
  <c r="M3708" i="13"/>
  <c r="M3709" i="14"/>
  <c r="K3542" i="14" l="1"/>
  <c r="L3542" i="14" s="1"/>
  <c r="I3543" i="14" s="1"/>
  <c r="N3707" i="13"/>
  <c r="J3706" i="13" a="1"/>
  <c r="J3706" i="13" s="1"/>
  <c r="K3520" i="13"/>
  <c r="L3520" i="13" s="1"/>
  <c r="I3521" i="13" s="1"/>
  <c r="M3710" i="14"/>
  <c r="M3709" i="13"/>
  <c r="J3705" i="14" a="1"/>
  <c r="J3705" i="14" s="1"/>
  <c r="N3706" i="14"/>
  <c r="K3521" i="13" l="1"/>
  <c r="L3521" i="13" s="1"/>
  <c r="I3522" i="13" s="1"/>
  <c r="K3543" i="14"/>
  <c r="L3543" i="14" s="1"/>
  <c r="I3544" i="14" s="1"/>
  <c r="M3711" i="14"/>
  <c r="J3707" i="13" a="1"/>
  <c r="J3707" i="13" s="1"/>
  <c r="N3708" i="13"/>
  <c r="M3710" i="13"/>
  <c r="N3707" i="14"/>
  <c r="J3706" i="14" a="1"/>
  <c r="J3706" i="14" s="1"/>
  <c r="K3544" i="14" l="1"/>
  <c r="L3544" i="14" s="1"/>
  <c r="I3545" i="14" s="1"/>
  <c r="K3522" i="13"/>
  <c r="L3522" i="13" s="1"/>
  <c r="I3523" i="13" s="1"/>
  <c r="N3708" i="14"/>
  <c r="J3707" i="14" a="1"/>
  <c r="J3707" i="14" s="1"/>
  <c r="J3708" i="13" a="1"/>
  <c r="J3708" i="13" s="1"/>
  <c r="N3709" i="13"/>
  <c r="M3712" i="14"/>
  <c r="M3711" i="13"/>
  <c r="K3523" i="13" l="1"/>
  <c r="L3523" i="13" s="1"/>
  <c r="I3524" i="13" s="1"/>
  <c r="K3545" i="14"/>
  <c r="L3545" i="14" s="1"/>
  <c r="I3546" i="14" s="1"/>
  <c r="J3709" i="13" a="1"/>
  <c r="J3709" i="13" s="1"/>
  <c r="N3710" i="13"/>
  <c r="M3712" i="13"/>
  <c r="M3713" i="14"/>
  <c r="N3709" i="14"/>
  <c r="J3708" i="14" a="1"/>
  <c r="J3708" i="14" s="1"/>
  <c r="K3546" i="14" l="1"/>
  <c r="L3546" i="14" s="1"/>
  <c r="I3547" i="14" s="1"/>
  <c r="K3524" i="13"/>
  <c r="L3524" i="13" s="1"/>
  <c r="I3525" i="13" s="1"/>
  <c r="J3709" i="14" a="1"/>
  <c r="J3709" i="14" s="1"/>
  <c r="N3710" i="14"/>
  <c r="M3713" i="13"/>
  <c r="N3711" i="13"/>
  <c r="J3710" i="13" a="1"/>
  <c r="J3710" i="13" s="1"/>
  <c r="M3714" i="14"/>
  <c r="K3547" i="14" l="1"/>
  <c r="L3547" i="14" s="1"/>
  <c r="I3548" i="14" s="1"/>
  <c r="M3714" i="13"/>
  <c r="K3525" i="13"/>
  <c r="L3525" i="13" s="1"/>
  <c r="I3526" i="13" s="1"/>
  <c r="N3711" i="14"/>
  <c r="J3710" i="14" a="1"/>
  <c r="J3710" i="14" s="1"/>
  <c r="M3715" i="14"/>
  <c r="J3711" i="13" a="1"/>
  <c r="J3711" i="13" s="1"/>
  <c r="N3712" i="13"/>
  <c r="K3526" i="13" l="1"/>
  <c r="L3526" i="13" s="1"/>
  <c r="I3527" i="13" s="1"/>
  <c r="K3548" i="14"/>
  <c r="L3548" i="14" s="1"/>
  <c r="I3549" i="14" s="1"/>
  <c r="J3711" i="14" a="1"/>
  <c r="J3711" i="14" s="1"/>
  <c r="N3712" i="14"/>
  <c r="M3715" i="13"/>
  <c r="J3712" i="13" a="1"/>
  <c r="J3712" i="13" s="1"/>
  <c r="N3713" i="13"/>
  <c r="M3716" i="14"/>
  <c r="K3549" i="14" l="1"/>
  <c r="L3549" i="14" s="1"/>
  <c r="I3550" i="14" s="1"/>
  <c r="K3527" i="13"/>
  <c r="L3527" i="13" s="1"/>
  <c r="I3528" i="13" s="1"/>
  <c r="M3717" i="14"/>
  <c r="M3716" i="13"/>
  <c r="J3713" i="13" a="1"/>
  <c r="J3713" i="13" s="1"/>
  <c r="N3714" i="13"/>
  <c r="N3713" i="14"/>
  <c r="J3712" i="14" a="1"/>
  <c r="J3712" i="14" s="1"/>
  <c r="K3528" i="13" l="1"/>
  <c r="L3528" i="13" s="1"/>
  <c r="I3529" i="13" s="1"/>
  <c r="K3550" i="14"/>
  <c r="L3550" i="14" s="1"/>
  <c r="I3551" i="14" s="1"/>
  <c r="J3713" i="14" a="1"/>
  <c r="J3713" i="14" s="1"/>
  <c r="N3714" i="14"/>
  <c r="M3717" i="13"/>
  <c r="N3715" i="13"/>
  <c r="J3714" i="13" a="1"/>
  <c r="J3714" i="13" s="1"/>
  <c r="M3718" i="14"/>
  <c r="K3551" i="14" l="1"/>
  <c r="L3551" i="14" s="1"/>
  <c r="I3552" i="14" s="1"/>
  <c r="K3529" i="13"/>
  <c r="L3529" i="13" s="1"/>
  <c r="I3530" i="13" s="1"/>
  <c r="M3718" i="13"/>
  <c r="J3715" i="13" a="1"/>
  <c r="J3715" i="13" s="1"/>
  <c r="N3716" i="13"/>
  <c r="M3719" i="14"/>
  <c r="J3714" i="14" a="1"/>
  <c r="J3714" i="14" s="1"/>
  <c r="N3715" i="14"/>
  <c r="K3552" i="14" l="1"/>
  <c r="L3552" i="14" s="1"/>
  <c r="I3553" i="14" s="1"/>
  <c r="N3716" i="14"/>
  <c r="J3715" i="14" a="1"/>
  <c r="J3715" i="14" s="1"/>
  <c r="J3716" i="13" a="1"/>
  <c r="J3716" i="13" s="1"/>
  <c r="N3717" i="13"/>
  <c r="M3720" i="14"/>
  <c r="K3530" i="13"/>
  <c r="L3530" i="13" s="1"/>
  <c r="I3531" i="13" s="1"/>
  <c r="M3719" i="13"/>
  <c r="K3531" i="13" l="1"/>
  <c r="L3531" i="13" s="1"/>
  <c r="I3532" i="13" s="1"/>
  <c r="K3553" i="14"/>
  <c r="L3553" i="14" s="1"/>
  <c r="I3554" i="14" s="1"/>
  <c r="N3717" i="14"/>
  <c r="J3716" i="14" a="1"/>
  <c r="J3716" i="14" s="1"/>
  <c r="J3717" i="13" a="1"/>
  <c r="J3717" i="13" s="1"/>
  <c r="N3718" i="13"/>
  <c r="M3720" i="13"/>
  <c r="M3721" i="14"/>
  <c r="K3554" i="14" l="1"/>
  <c r="L3554" i="14" s="1"/>
  <c r="I3555" i="14" s="1"/>
  <c r="K3532" i="13"/>
  <c r="L3532" i="13" s="1"/>
  <c r="I3533" i="13" s="1"/>
  <c r="N3719" i="13"/>
  <c r="J3718" i="13" a="1"/>
  <c r="J3718" i="13" s="1"/>
  <c r="M3722" i="14"/>
  <c r="M3721" i="13"/>
  <c r="J3717" i="14" a="1"/>
  <c r="J3717" i="14" s="1"/>
  <c r="N3718" i="14"/>
  <c r="K3533" i="13" l="1"/>
  <c r="L3533" i="13" s="1"/>
  <c r="I3534" i="13" s="1"/>
  <c r="K3555" i="14"/>
  <c r="L3555" i="14" s="1"/>
  <c r="I3556" i="14" s="1"/>
  <c r="N3719" i="14"/>
  <c r="J3718" i="14" a="1"/>
  <c r="J3718" i="14" s="1"/>
  <c r="M3723" i="14"/>
  <c r="M3722" i="13"/>
  <c r="J3719" i="13" a="1"/>
  <c r="J3719" i="13" s="1"/>
  <c r="N3720" i="13"/>
  <c r="K3556" i="14" l="1"/>
  <c r="L3556" i="14" s="1"/>
  <c r="I3557" i="14" s="1"/>
  <c r="K3534" i="13"/>
  <c r="L3534" i="13" s="1"/>
  <c r="I3535" i="13" s="1"/>
  <c r="J3720" i="13" a="1"/>
  <c r="J3720" i="13" s="1"/>
  <c r="N3721" i="13"/>
  <c r="M3724" i="14"/>
  <c r="M3723" i="13"/>
  <c r="N3720" i="14"/>
  <c r="J3719" i="14" a="1"/>
  <c r="J3719" i="14" s="1"/>
  <c r="K3535" i="13" l="1"/>
  <c r="L3535" i="13" s="1"/>
  <c r="I3536" i="13" s="1"/>
  <c r="K3557" i="14"/>
  <c r="L3557" i="14" s="1"/>
  <c r="I3558" i="14" s="1"/>
  <c r="N3721" i="14"/>
  <c r="J3720" i="14" a="1"/>
  <c r="J3720" i="14" s="1"/>
  <c r="M3725" i="14"/>
  <c r="J3721" i="13" a="1"/>
  <c r="J3721" i="13" s="1"/>
  <c r="N3722" i="13"/>
  <c r="M3724" i="13"/>
  <c r="K3558" i="14" l="1"/>
  <c r="L3558" i="14" s="1"/>
  <c r="I3559" i="14" s="1"/>
  <c r="K3536" i="13"/>
  <c r="L3536" i="13" s="1"/>
  <c r="I3537" i="13" s="1"/>
  <c r="N3723" i="13"/>
  <c r="J3722" i="13" a="1"/>
  <c r="J3722" i="13" s="1"/>
  <c r="M3726" i="14"/>
  <c r="M3725" i="13"/>
  <c r="J3721" i="14" a="1"/>
  <c r="J3721" i="14" s="1"/>
  <c r="N3722" i="14"/>
  <c r="K3537" i="13" l="1"/>
  <c r="L3537" i="13" s="1"/>
  <c r="I3538" i="13" s="1"/>
  <c r="K3559" i="14"/>
  <c r="L3559" i="14" s="1"/>
  <c r="I3560" i="14" s="1"/>
  <c r="N3723" i="14"/>
  <c r="J3722" i="14" a="1"/>
  <c r="J3722" i="14" s="1"/>
  <c r="M3727" i="14"/>
  <c r="M3726" i="13"/>
  <c r="J3723" i="13" a="1"/>
  <c r="J3723" i="13" s="1"/>
  <c r="N3724" i="13"/>
  <c r="K3560" i="14" l="1"/>
  <c r="L3560" i="14" s="1"/>
  <c r="I3561" i="14" s="1"/>
  <c r="K3538" i="13"/>
  <c r="L3538" i="13" s="1"/>
  <c r="I3539" i="13" s="1"/>
  <c r="J3724" i="13" a="1"/>
  <c r="J3724" i="13" s="1"/>
  <c r="N3725" i="13"/>
  <c r="M3728" i="14"/>
  <c r="M3727" i="13"/>
  <c r="N3724" i="14"/>
  <c r="J3723" i="14" a="1"/>
  <c r="J3723" i="14" s="1"/>
  <c r="K3539" i="13" l="1"/>
  <c r="L3539" i="13" s="1"/>
  <c r="I3540" i="13" s="1"/>
  <c r="K3561" i="14"/>
  <c r="L3561" i="14" s="1"/>
  <c r="I3562" i="14" s="1"/>
  <c r="N3725" i="14"/>
  <c r="J3724" i="14" a="1"/>
  <c r="J3724" i="14" s="1"/>
  <c r="M3729" i="14"/>
  <c r="J3725" i="13" a="1"/>
  <c r="J3725" i="13" s="1"/>
  <c r="N3726" i="13"/>
  <c r="M3728" i="13"/>
  <c r="K3562" i="14" l="1"/>
  <c r="L3562" i="14" s="1"/>
  <c r="I3563" i="14" s="1"/>
  <c r="K3540" i="13"/>
  <c r="L3540" i="13" s="1"/>
  <c r="I3541" i="13" s="1"/>
  <c r="M3730" i="14"/>
  <c r="N3727" i="13"/>
  <c r="J3726" i="13" a="1"/>
  <c r="J3726" i="13" s="1"/>
  <c r="M3729" i="13"/>
  <c r="J3725" i="14" a="1"/>
  <c r="J3725" i="14" s="1"/>
  <c r="N3726" i="14"/>
  <c r="K3541" i="13" l="1"/>
  <c r="L3541" i="13" s="1"/>
  <c r="I3542" i="13" s="1"/>
  <c r="K3563" i="14"/>
  <c r="L3563" i="14" s="1"/>
  <c r="I3564" i="14" s="1"/>
  <c r="J3727" i="13" a="1"/>
  <c r="J3727" i="13" s="1"/>
  <c r="N3728" i="13"/>
  <c r="N3727" i="14"/>
  <c r="J3726" i="14" a="1"/>
  <c r="J3726" i="14" s="1"/>
  <c r="M3730" i="13"/>
  <c r="M3731" i="14"/>
  <c r="K3564" i="14" l="1"/>
  <c r="L3564" i="14" s="1"/>
  <c r="I3565" i="14" s="1"/>
  <c r="K3542" i="13"/>
  <c r="L3542" i="13" s="1"/>
  <c r="I3543" i="13" s="1"/>
  <c r="N3728" i="14"/>
  <c r="J3727" i="14" a="1"/>
  <c r="J3727" i="14" s="1"/>
  <c r="M3732" i="14"/>
  <c r="J3728" i="13" a="1"/>
  <c r="J3728" i="13" s="1"/>
  <c r="N3729" i="13"/>
  <c r="M3731" i="13"/>
  <c r="K3565" i="14" l="1"/>
  <c r="L3565" i="14" s="1"/>
  <c r="I3566" i="14" s="1"/>
  <c r="M3732" i="13"/>
  <c r="M3733" i="14"/>
  <c r="K3543" i="13"/>
  <c r="L3543" i="13" s="1"/>
  <c r="I3544" i="13" s="1"/>
  <c r="J3729" i="13" a="1"/>
  <c r="J3729" i="13" s="1"/>
  <c r="N3730" i="13"/>
  <c r="N3729" i="14"/>
  <c r="J3728" i="14" a="1"/>
  <c r="J3728" i="14" s="1"/>
  <c r="K3544" i="13" l="1"/>
  <c r="L3544" i="13" s="1"/>
  <c r="I3545" i="13" s="1"/>
  <c r="K3566" i="14"/>
  <c r="L3566" i="14" s="1"/>
  <c r="I3567" i="14" s="1"/>
  <c r="J3729" i="14" a="1"/>
  <c r="J3729" i="14" s="1"/>
  <c r="N3730" i="14"/>
  <c r="M3733" i="13"/>
  <c r="N3731" i="13"/>
  <c r="J3730" i="13" a="1"/>
  <c r="J3730" i="13" s="1"/>
  <c r="M3734" i="14"/>
  <c r="K3567" i="14" l="1"/>
  <c r="L3567" i="14" s="1"/>
  <c r="I3568" i="14" s="1"/>
  <c r="K3545" i="13"/>
  <c r="L3545" i="13" s="1"/>
  <c r="I3546" i="13" s="1"/>
  <c r="J3731" i="13" a="1"/>
  <c r="J3731" i="13" s="1"/>
  <c r="N3732" i="13"/>
  <c r="M3735" i="14"/>
  <c r="M3734" i="13"/>
  <c r="N3731" i="14"/>
  <c r="J3730" i="14" a="1"/>
  <c r="J3730" i="14" s="1"/>
  <c r="K3546" i="13" l="1"/>
  <c r="L3546" i="13" s="1"/>
  <c r="I3547" i="13" s="1"/>
  <c r="K3568" i="14"/>
  <c r="L3568" i="14" s="1"/>
  <c r="I3569" i="14" s="1"/>
  <c r="M3736" i="14"/>
  <c r="N3732" i="14"/>
  <c r="J3731" i="14" a="1"/>
  <c r="J3731" i="14" s="1"/>
  <c r="J3732" i="13" a="1"/>
  <c r="J3732" i="13" s="1"/>
  <c r="N3733" i="13"/>
  <c r="M3735" i="13"/>
  <c r="K3569" i="14" l="1"/>
  <c r="L3569" i="14" s="1"/>
  <c r="I3570" i="14" s="1"/>
  <c r="K3547" i="13"/>
  <c r="L3547" i="13" s="1"/>
  <c r="I3548" i="13" s="1"/>
  <c r="M3736" i="13"/>
  <c r="N3733" i="14"/>
  <c r="J3732" i="14" a="1"/>
  <c r="J3732" i="14" s="1"/>
  <c r="J3733" i="13" a="1"/>
  <c r="J3733" i="13" s="1"/>
  <c r="N3734" i="13"/>
  <c r="M3737" i="14"/>
  <c r="K3548" i="13" l="1"/>
  <c r="L3548" i="13" s="1"/>
  <c r="I3549" i="13" s="1"/>
  <c r="K3570" i="14"/>
  <c r="L3570" i="14" s="1"/>
  <c r="I3571" i="14" s="1"/>
  <c r="M3738" i="14"/>
  <c r="J3733" i="14" a="1"/>
  <c r="J3733" i="14" s="1"/>
  <c r="N3734" i="14"/>
  <c r="N3735" i="13"/>
  <c r="J3734" i="13" a="1"/>
  <c r="J3734" i="13" s="1"/>
  <c r="M3737" i="13"/>
  <c r="K3571" i="14" l="1"/>
  <c r="L3571" i="14" s="1"/>
  <c r="I3572" i="14" s="1"/>
  <c r="K3549" i="13"/>
  <c r="L3549" i="13" s="1"/>
  <c r="I3550" i="13" s="1"/>
  <c r="N3735" i="14"/>
  <c r="J3734" i="14" a="1"/>
  <c r="J3734" i="14" s="1"/>
  <c r="M3738" i="13"/>
  <c r="M3739" i="14"/>
  <c r="N3736" i="13"/>
  <c r="J3735" i="13" a="1"/>
  <c r="J3735" i="13" s="1"/>
  <c r="K3550" i="13" l="1"/>
  <c r="L3550" i="13" s="1"/>
  <c r="I3551" i="13" s="1"/>
  <c r="K3572" i="14"/>
  <c r="L3572" i="14" s="1"/>
  <c r="I3573" i="14" s="1"/>
  <c r="M3739" i="13"/>
  <c r="M3740" i="14"/>
  <c r="J3736" i="13" a="1"/>
  <c r="J3736" i="13" s="1"/>
  <c r="N3737" i="13"/>
  <c r="N3736" i="14"/>
  <c r="J3735" i="14" a="1"/>
  <c r="J3735" i="14" s="1"/>
  <c r="K3573" i="14" l="1"/>
  <c r="L3573" i="14" s="1"/>
  <c r="I3574" i="14" s="1"/>
  <c r="K3551" i="13"/>
  <c r="L3551" i="13" s="1"/>
  <c r="I3552" i="13" s="1"/>
  <c r="N3737" i="14"/>
  <c r="J3736" i="14" a="1"/>
  <c r="J3736" i="14" s="1"/>
  <c r="M3741" i="14"/>
  <c r="N3738" i="13"/>
  <c r="J3737" i="13" a="1"/>
  <c r="J3737" i="13" s="1"/>
  <c r="M3740" i="13"/>
  <c r="K3552" i="13" l="1"/>
  <c r="L3552" i="13" s="1"/>
  <c r="I3553" i="13" s="1"/>
  <c r="J3737" i="14" a="1"/>
  <c r="J3737" i="14" s="1"/>
  <c r="N3738" i="14"/>
  <c r="N3739" i="13"/>
  <c r="J3738" i="13" a="1"/>
  <c r="J3738" i="13" s="1"/>
  <c r="M3742" i="14"/>
  <c r="M3741" i="13"/>
  <c r="K3574" i="14"/>
  <c r="L3574" i="14" s="1"/>
  <c r="I3575" i="14" s="1"/>
  <c r="K3575" i="14" l="1"/>
  <c r="L3575" i="14" s="1"/>
  <c r="I3576" i="14" s="1"/>
  <c r="K3553" i="13"/>
  <c r="L3553" i="13" s="1"/>
  <c r="I3554" i="13" s="1"/>
  <c r="M3743" i="14"/>
  <c r="N3739" i="14"/>
  <c r="J3738" i="14" a="1"/>
  <c r="J3738" i="14" s="1"/>
  <c r="M3742" i="13"/>
  <c r="N3740" i="13"/>
  <c r="J3739" i="13" a="1"/>
  <c r="J3739" i="13" s="1"/>
  <c r="K3554" i="13" l="1"/>
  <c r="L3554" i="13" s="1"/>
  <c r="I3555" i="13" s="1"/>
  <c r="K3576" i="14"/>
  <c r="L3576" i="14" s="1"/>
  <c r="I3577" i="14" s="1"/>
  <c r="N3740" i="14"/>
  <c r="J3739" i="14" a="1"/>
  <c r="J3739" i="14" s="1"/>
  <c r="M3743" i="13"/>
  <c r="J3740" i="13" a="1"/>
  <c r="J3740" i="13" s="1"/>
  <c r="N3741" i="13"/>
  <c r="M3744" i="14"/>
  <c r="K3577" i="14" l="1"/>
  <c r="L3577" i="14" s="1"/>
  <c r="I3578" i="14" s="1"/>
  <c r="K3555" i="13"/>
  <c r="L3555" i="13" s="1"/>
  <c r="I3556" i="13" s="1"/>
  <c r="N3742" i="13"/>
  <c r="J3741" i="13" a="1"/>
  <c r="J3741" i="13" s="1"/>
  <c r="M3745" i="14"/>
  <c r="M3744" i="13"/>
  <c r="N3741" i="14"/>
  <c r="J3740" i="14" a="1"/>
  <c r="J3740" i="14" s="1"/>
  <c r="K3556" i="13" l="1"/>
  <c r="L3556" i="13" s="1"/>
  <c r="I3557" i="13" s="1"/>
  <c r="K3578" i="14"/>
  <c r="L3578" i="14" s="1"/>
  <c r="I3579" i="14" s="1"/>
  <c r="M3746" i="14"/>
  <c r="J3741" i="14" a="1"/>
  <c r="J3741" i="14" s="1"/>
  <c r="N3742" i="14"/>
  <c r="M3745" i="13"/>
  <c r="N3743" i="13"/>
  <c r="J3742" i="13" a="1"/>
  <c r="J3742" i="13" s="1"/>
  <c r="K3579" i="14" l="1"/>
  <c r="L3579" i="14" s="1"/>
  <c r="I3580" i="14" s="1"/>
  <c r="K3557" i="13"/>
  <c r="L3557" i="13" s="1"/>
  <c r="I3558" i="13" s="1"/>
  <c r="N3743" i="14"/>
  <c r="J3742" i="14" a="1"/>
  <c r="J3742" i="14" s="1"/>
  <c r="N3744" i="13"/>
  <c r="J3743" i="13" a="1"/>
  <c r="J3743" i="13" s="1"/>
  <c r="M3746" i="13"/>
  <c r="M3747" i="14"/>
  <c r="K3558" i="13" l="1"/>
  <c r="L3558" i="13" s="1"/>
  <c r="I3559" i="13" s="1"/>
  <c r="K3580" i="14"/>
  <c r="L3580" i="14" s="1"/>
  <c r="I3581" i="14" s="1"/>
  <c r="M3747" i="13"/>
  <c r="M3748" i="14"/>
  <c r="J3744" i="13" a="1"/>
  <c r="J3744" i="13" s="1"/>
  <c r="N3745" i="13"/>
  <c r="N3744" i="14"/>
  <c r="J3743" i="14" a="1"/>
  <c r="J3743" i="14" s="1"/>
  <c r="K3581" i="14" l="1"/>
  <c r="L3581" i="14" s="1"/>
  <c r="I3582" i="14" s="1"/>
  <c r="K3559" i="13"/>
  <c r="L3559" i="13" s="1"/>
  <c r="I3560" i="13" s="1"/>
  <c r="N3745" i="14"/>
  <c r="J3744" i="14" a="1"/>
  <c r="J3744" i="14" s="1"/>
  <c r="M3749" i="14"/>
  <c r="N3746" i="13"/>
  <c r="J3745" i="13" a="1"/>
  <c r="J3745" i="13" s="1"/>
  <c r="M3748" i="13"/>
  <c r="K3560" i="13" l="1"/>
  <c r="L3560" i="13" s="1"/>
  <c r="I3561" i="13" s="1"/>
  <c r="K3582" i="14"/>
  <c r="L3582" i="14" s="1"/>
  <c r="I3583" i="14" s="1"/>
  <c r="N3747" i="13"/>
  <c r="J3746" i="13" a="1"/>
  <c r="J3746" i="13" s="1"/>
  <c r="M3749" i="13"/>
  <c r="M3750" i="14"/>
  <c r="J3745" i="14" a="1"/>
  <c r="J3745" i="14" s="1"/>
  <c r="N3746" i="14"/>
  <c r="K3583" i="14" l="1"/>
  <c r="L3583" i="14" s="1"/>
  <c r="I3584" i="14" s="1"/>
  <c r="K3561" i="13"/>
  <c r="L3561" i="13" s="1"/>
  <c r="I3562" i="13" s="1"/>
  <c r="M3750" i="13"/>
  <c r="N3747" i="14"/>
  <c r="J3746" i="14" a="1"/>
  <c r="J3746" i="14" s="1"/>
  <c r="M3751" i="14"/>
  <c r="N3748" i="13"/>
  <c r="J3747" i="13" a="1"/>
  <c r="J3747" i="13" s="1"/>
  <c r="K3562" i="13" l="1"/>
  <c r="L3562" i="13" s="1"/>
  <c r="I3563" i="13" s="1"/>
  <c r="K3584" i="14"/>
  <c r="L3584" i="14" s="1"/>
  <c r="I3585" i="14" s="1"/>
  <c r="N3748" i="14"/>
  <c r="J3747" i="14" a="1"/>
  <c r="J3747" i="14" s="1"/>
  <c r="M3752" i="14"/>
  <c r="M3751" i="13"/>
  <c r="J3748" i="13" a="1"/>
  <c r="J3748" i="13" s="1"/>
  <c r="N3749" i="13"/>
  <c r="K3585" i="14" l="1"/>
  <c r="L3585" i="14" s="1"/>
  <c r="I3586" i="14" s="1"/>
  <c r="K3563" i="13"/>
  <c r="L3563" i="13" s="1"/>
  <c r="I3564" i="13" s="1"/>
  <c r="N3750" i="13"/>
  <c r="J3749" i="13" a="1"/>
  <c r="J3749" i="13" s="1"/>
  <c r="M3753" i="14"/>
  <c r="M3752" i="13"/>
  <c r="N3749" i="14"/>
  <c r="J3748" i="14" a="1"/>
  <c r="J3748" i="14" s="1"/>
  <c r="K3564" i="13" l="1"/>
  <c r="L3564" i="13" s="1"/>
  <c r="I3565" i="13" s="1"/>
  <c r="K3586" i="14"/>
  <c r="L3586" i="14" s="1"/>
  <c r="I3587" i="14" s="1"/>
  <c r="J3749" i="14" a="1"/>
  <c r="J3749" i="14" s="1"/>
  <c r="N3750" i="14"/>
  <c r="M3754" i="14"/>
  <c r="M3753" i="13"/>
  <c r="N3751" i="13"/>
  <c r="J3750" i="13" a="1"/>
  <c r="J3750" i="13" s="1"/>
  <c r="K3587" i="14" l="1"/>
  <c r="L3587" i="14" s="1"/>
  <c r="I3588" i="14" s="1"/>
  <c r="K3565" i="13"/>
  <c r="L3565" i="13" s="1"/>
  <c r="I3566" i="13" s="1"/>
  <c r="M3755" i="14"/>
  <c r="M3754" i="13"/>
  <c r="N3752" i="13"/>
  <c r="J3751" i="13" a="1"/>
  <c r="J3751" i="13" s="1"/>
  <c r="N3751" i="14"/>
  <c r="J3750" i="14" a="1"/>
  <c r="J3750" i="14" s="1"/>
  <c r="K3566" i="13" l="1"/>
  <c r="L3566" i="13" s="1"/>
  <c r="I3567" i="13" s="1"/>
  <c r="K3588" i="14"/>
  <c r="L3588" i="14" s="1"/>
  <c r="I3589" i="14" s="1"/>
  <c r="M3755" i="13"/>
  <c r="N3752" i="14"/>
  <c r="J3751" i="14" a="1"/>
  <c r="J3751" i="14" s="1"/>
  <c r="M3756" i="14"/>
  <c r="J3752" i="13" a="1"/>
  <c r="J3752" i="13" s="1"/>
  <c r="N3753" i="13"/>
  <c r="K3589" i="14" l="1"/>
  <c r="L3589" i="14" s="1"/>
  <c r="I3590" i="14" s="1"/>
  <c r="K3567" i="13"/>
  <c r="L3567" i="13" s="1"/>
  <c r="I3568" i="13" s="1"/>
  <c r="N3753" i="14"/>
  <c r="J3752" i="14" a="1"/>
  <c r="J3752" i="14" s="1"/>
  <c r="N3754" i="13"/>
  <c r="J3753" i="13" a="1"/>
  <c r="J3753" i="13" s="1"/>
  <c r="M3757" i="14"/>
  <c r="M3756" i="13"/>
  <c r="K3590" i="14" l="1"/>
  <c r="L3590" i="14" s="1"/>
  <c r="I3591" i="14" s="1"/>
  <c r="M3757" i="13"/>
  <c r="N3755" i="13"/>
  <c r="J3754" i="13" a="1"/>
  <c r="J3754" i="13" s="1"/>
  <c r="K3568" i="13"/>
  <c r="L3568" i="13" s="1"/>
  <c r="I3569" i="13" s="1"/>
  <c r="M3758" i="14"/>
  <c r="J3753" i="14" a="1"/>
  <c r="J3753" i="14" s="1"/>
  <c r="N3754" i="14"/>
  <c r="K3569" i="13" l="1"/>
  <c r="L3569" i="13" s="1"/>
  <c r="I3570" i="13" s="1"/>
  <c r="N3755" i="14"/>
  <c r="J3754" i="14" a="1"/>
  <c r="J3754" i="14" s="1"/>
  <c r="M3758" i="13"/>
  <c r="M3759" i="14"/>
  <c r="N3756" i="13"/>
  <c r="J3755" i="13" a="1"/>
  <c r="J3755" i="13" s="1"/>
  <c r="K3591" i="14"/>
  <c r="L3591" i="14" s="1"/>
  <c r="I3592" i="14" s="1"/>
  <c r="K3570" i="13" l="1"/>
  <c r="L3570" i="13" s="1"/>
  <c r="I3571" i="13" s="1"/>
  <c r="K3592" i="14"/>
  <c r="L3592" i="14" s="1"/>
  <c r="I3593" i="14" s="1"/>
  <c r="J3755" i="14" a="1"/>
  <c r="J3755" i="14" s="1"/>
  <c r="N3756" i="14"/>
  <c r="M3759" i="13"/>
  <c r="M3760" i="14"/>
  <c r="J3756" i="13" a="1"/>
  <c r="J3756" i="13" s="1"/>
  <c r="N3757" i="13"/>
  <c r="K3593" i="14" l="1"/>
  <c r="L3593" i="14" s="1"/>
  <c r="I3594" i="14" s="1"/>
  <c r="K3571" i="13"/>
  <c r="L3571" i="13" s="1"/>
  <c r="I3572" i="13" s="1"/>
  <c r="M3760" i="13"/>
  <c r="N3757" i="14"/>
  <c r="J3756" i="14" a="1"/>
  <c r="J3756" i="14" s="1"/>
  <c r="N3758" i="13"/>
  <c r="J3757" i="13" a="1"/>
  <c r="J3757" i="13" s="1"/>
  <c r="M3761" i="14"/>
  <c r="K3572" i="13" l="1"/>
  <c r="L3572" i="13" s="1"/>
  <c r="I3573" i="13" s="1"/>
  <c r="K3594" i="14"/>
  <c r="L3594" i="14" s="1"/>
  <c r="I3595" i="14" s="1"/>
  <c r="J3757" i="14" a="1"/>
  <c r="J3757" i="14" s="1"/>
  <c r="N3758" i="14"/>
  <c r="M3761" i="13"/>
  <c r="M3762" i="14"/>
  <c r="N3759" i="13"/>
  <c r="J3758" i="13" a="1"/>
  <c r="J3758" i="13" s="1"/>
  <c r="K3595" i="14" l="1"/>
  <c r="L3595" i="14" s="1"/>
  <c r="I3596" i="14" s="1"/>
  <c r="M3762" i="13"/>
  <c r="N3760" i="13"/>
  <c r="J3759" i="13" a="1"/>
  <c r="J3759" i="13" s="1"/>
  <c r="M3763" i="14"/>
  <c r="J3758" i="14" a="1"/>
  <c r="J3758" i="14" s="1"/>
  <c r="N3759" i="14"/>
  <c r="K3573" i="13"/>
  <c r="L3573" i="13" s="1"/>
  <c r="I3574" i="13" s="1"/>
  <c r="K3574" i="13" l="1"/>
  <c r="L3574" i="13" s="1"/>
  <c r="I3575" i="13" s="1"/>
  <c r="K3596" i="14"/>
  <c r="L3596" i="14" s="1"/>
  <c r="I3597" i="14" s="1"/>
  <c r="N3760" i="14"/>
  <c r="J3759" i="14" a="1"/>
  <c r="J3759" i="14" s="1"/>
  <c r="M3764" i="14"/>
  <c r="M3763" i="13"/>
  <c r="J3760" i="13" a="1"/>
  <c r="J3760" i="13" s="1"/>
  <c r="N3761" i="13"/>
  <c r="K3597" i="14" l="1"/>
  <c r="L3597" i="14" s="1"/>
  <c r="I3598" i="14" s="1"/>
  <c r="K3575" i="13"/>
  <c r="L3575" i="13" s="1"/>
  <c r="I3576" i="13" s="1"/>
  <c r="M3765" i="14"/>
  <c r="N3762" i="13"/>
  <c r="J3761" i="13" a="1"/>
  <c r="J3761" i="13" s="1"/>
  <c r="M3764" i="13"/>
  <c r="N3761" i="14"/>
  <c r="J3760" i="14" a="1"/>
  <c r="J3760" i="14" s="1"/>
  <c r="K3576" i="13" l="1"/>
  <c r="L3576" i="13" s="1"/>
  <c r="I3577" i="13" s="1"/>
  <c r="K3598" i="14"/>
  <c r="L3598" i="14" s="1"/>
  <c r="I3599" i="14" s="1"/>
  <c r="N3763" i="13"/>
  <c r="J3762" i="13" a="1"/>
  <c r="J3762" i="13" s="1"/>
  <c r="J3761" i="14" a="1"/>
  <c r="J3761" i="14" s="1"/>
  <c r="N3762" i="14"/>
  <c r="M3765" i="13"/>
  <c r="M3766" i="14"/>
  <c r="K3599" i="14" l="1"/>
  <c r="L3599" i="14" s="1"/>
  <c r="I3600" i="14" s="1"/>
  <c r="M3766" i="13"/>
  <c r="M3767" i="14"/>
  <c r="N3763" i="14"/>
  <c r="J3762" i="14" a="1"/>
  <c r="J3762" i="14" s="1"/>
  <c r="N3764" i="13"/>
  <c r="J3763" i="13" a="1"/>
  <c r="J3763" i="13" s="1"/>
  <c r="K3577" i="13"/>
  <c r="L3577" i="13" s="1"/>
  <c r="I3578" i="13" s="1"/>
  <c r="K3600" i="14" l="1"/>
  <c r="L3600" i="14" s="1"/>
  <c r="I3601" i="14" s="1"/>
  <c r="M3767" i="13"/>
  <c r="N3764" i="14"/>
  <c r="J3763" i="14" a="1"/>
  <c r="J3763" i="14" s="1"/>
  <c r="K3578" i="13"/>
  <c r="L3578" i="13" s="1"/>
  <c r="I3579" i="13" s="1"/>
  <c r="M3768" i="14"/>
  <c r="J3764" i="13" a="1"/>
  <c r="J3764" i="13" s="1"/>
  <c r="N3765" i="13"/>
  <c r="K3579" i="13" l="1"/>
  <c r="L3579" i="13" s="1"/>
  <c r="I3580" i="13" s="1"/>
  <c r="K3601" i="14"/>
  <c r="L3601" i="14" s="1"/>
  <c r="I3602" i="14" s="1"/>
  <c r="N3766" i="13"/>
  <c r="J3765" i="13" a="1"/>
  <c r="J3765" i="13" s="1"/>
  <c r="M3768" i="13"/>
  <c r="M3769" i="14"/>
  <c r="N3765" i="14"/>
  <c r="J3764" i="14" a="1"/>
  <c r="J3764" i="14" s="1"/>
  <c r="K3602" i="14" l="1"/>
  <c r="L3602" i="14" s="1"/>
  <c r="I3603" i="14" s="1"/>
  <c r="K3580" i="13"/>
  <c r="L3580" i="13" s="1"/>
  <c r="I3581" i="13" s="1"/>
  <c r="M3769" i="13"/>
  <c r="J3765" i="14" a="1"/>
  <c r="J3765" i="14" s="1"/>
  <c r="N3766" i="14"/>
  <c r="M3770" i="14"/>
  <c r="N3767" i="13"/>
  <c r="J3766" i="13" a="1"/>
  <c r="J3766" i="13" s="1"/>
  <c r="K3581" i="13" l="1"/>
  <c r="L3581" i="13" s="1"/>
  <c r="I3582" i="13" s="1"/>
  <c r="K3603" i="14"/>
  <c r="L3603" i="14" s="1"/>
  <c r="I3604" i="14" s="1"/>
  <c r="N3767" i="14"/>
  <c r="J3766" i="14" a="1"/>
  <c r="J3766" i="14" s="1"/>
  <c r="N3768" i="13"/>
  <c r="J3767" i="13" a="1"/>
  <c r="J3767" i="13" s="1"/>
  <c r="M3771" i="14"/>
  <c r="M3770" i="13"/>
  <c r="K3604" i="14" l="1"/>
  <c r="L3604" i="14" s="1"/>
  <c r="I3605" i="14" s="1"/>
  <c r="K3582" i="13"/>
  <c r="L3582" i="13" s="1"/>
  <c r="I3583" i="13" s="1"/>
  <c r="J3768" i="13" a="1"/>
  <c r="J3768" i="13" s="1"/>
  <c r="N3769" i="13"/>
  <c r="M3771" i="13"/>
  <c r="M3772" i="14"/>
  <c r="N3768" i="14"/>
  <c r="J3767" i="14" a="1"/>
  <c r="J3767" i="14" s="1"/>
  <c r="K3583" i="13" l="1"/>
  <c r="L3583" i="13" s="1"/>
  <c r="I3584" i="13" s="1"/>
  <c r="K3605" i="14"/>
  <c r="L3605" i="14" s="1"/>
  <c r="I3606" i="14" s="1"/>
  <c r="M3773" i="14"/>
  <c r="N3769" i="14"/>
  <c r="J3768" i="14" a="1"/>
  <c r="J3768" i="14" s="1"/>
  <c r="M3772" i="13"/>
  <c r="N3770" i="13"/>
  <c r="J3769" i="13" a="1"/>
  <c r="J3769" i="13" s="1"/>
  <c r="K3606" i="14" l="1"/>
  <c r="L3606" i="14" s="1"/>
  <c r="I3607" i="14" s="1"/>
  <c r="K3584" i="13"/>
  <c r="L3584" i="13" s="1"/>
  <c r="I3585" i="13" s="1"/>
  <c r="J3769" i="14" a="1"/>
  <c r="J3769" i="14" s="1"/>
  <c r="N3770" i="14"/>
  <c r="M3774" i="14"/>
  <c r="N3771" i="13"/>
  <c r="J3770" i="13" a="1"/>
  <c r="J3770" i="13" s="1"/>
  <c r="M3773" i="13"/>
  <c r="K3585" i="13" l="1"/>
  <c r="L3585" i="13" s="1"/>
  <c r="I3586" i="13" s="1"/>
  <c r="K3607" i="14"/>
  <c r="L3607" i="14" s="1"/>
  <c r="I3608" i="14" s="1"/>
  <c r="N3772" i="13"/>
  <c r="J3771" i="13" a="1"/>
  <c r="J3771" i="13" s="1"/>
  <c r="M3774" i="13"/>
  <c r="M3775" i="14"/>
  <c r="N3771" i="14"/>
  <c r="J3770" i="14" a="1"/>
  <c r="J3770" i="14" s="1"/>
  <c r="K3586" i="13" l="1"/>
  <c r="L3586" i="13" s="1"/>
  <c r="I3587" i="13" s="1"/>
  <c r="M3775" i="13"/>
  <c r="N3772" i="14"/>
  <c r="J3771" i="14" a="1"/>
  <c r="J3771" i="14" s="1"/>
  <c r="K3608" i="14"/>
  <c r="L3608" i="14" s="1"/>
  <c r="I3609" i="14" s="1"/>
  <c r="M3776" i="14"/>
  <c r="J3772" i="13" a="1"/>
  <c r="J3772" i="13" s="1"/>
  <c r="N3773" i="13"/>
  <c r="K3609" i="14" l="1"/>
  <c r="L3609" i="14" s="1"/>
  <c r="I3610" i="14" s="1"/>
  <c r="K3587" i="13"/>
  <c r="L3587" i="13" s="1"/>
  <c r="I3588" i="13" s="1"/>
  <c r="M3776" i="13"/>
  <c r="N3774" i="13"/>
  <c r="J3773" i="13" a="1"/>
  <c r="J3773" i="13" s="1"/>
  <c r="M3777" i="14"/>
  <c r="N3773" i="14"/>
  <c r="J3772" i="14" a="1"/>
  <c r="J3772" i="14" s="1"/>
  <c r="K3588" i="13" l="1"/>
  <c r="L3588" i="13" s="1"/>
  <c r="I3589" i="13" s="1"/>
  <c r="K3610" i="14"/>
  <c r="L3610" i="14" s="1"/>
  <c r="I3611" i="14" s="1"/>
  <c r="N3775" i="13"/>
  <c r="J3774" i="13" a="1"/>
  <c r="J3774" i="13" s="1"/>
  <c r="M3778" i="14"/>
  <c r="J3773" i="14" a="1"/>
  <c r="J3773" i="14" s="1"/>
  <c r="N3774" i="14"/>
  <c r="M3777" i="13"/>
  <c r="K3589" i="13" l="1"/>
  <c r="L3589" i="13" s="1"/>
  <c r="I3590" i="13" s="1"/>
  <c r="M3778" i="13"/>
  <c r="K3611" i="14"/>
  <c r="L3611" i="14" s="1"/>
  <c r="I3612" i="14" s="1"/>
  <c r="N3775" i="14"/>
  <c r="J3774" i="14" a="1"/>
  <c r="J3774" i="14" s="1"/>
  <c r="M3779" i="14"/>
  <c r="N3776" i="13"/>
  <c r="J3775" i="13" a="1"/>
  <c r="J3775" i="13" s="1"/>
  <c r="K3612" i="14" l="1"/>
  <c r="L3612" i="14" s="1"/>
  <c r="I3613" i="14" s="1"/>
  <c r="K3590" i="13"/>
  <c r="L3590" i="13" s="1"/>
  <c r="I3591" i="13" s="1"/>
  <c r="M3779" i="13"/>
  <c r="J3775" i="14" a="1"/>
  <c r="J3775" i="14" s="1"/>
  <c r="N3776" i="14"/>
  <c r="J3776" i="13" a="1"/>
  <c r="J3776" i="13" s="1"/>
  <c r="N3777" i="13"/>
  <c r="M3780" i="14"/>
  <c r="K3591" i="13" l="1"/>
  <c r="L3591" i="13" s="1"/>
  <c r="I3592" i="13" s="1"/>
  <c r="K3613" i="14"/>
  <c r="L3613" i="14" s="1"/>
  <c r="I3614" i="14" s="1"/>
  <c r="N3777" i="14"/>
  <c r="J3776" i="14" a="1"/>
  <c r="J3776" i="14" s="1"/>
  <c r="M3781" i="14"/>
  <c r="N3778" i="13"/>
  <c r="J3777" i="13" a="1"/>
  <c r="J3777" i="13" s="1"/>
  <c r="M3780" i="13"/>
  <c r="K3614" i="14" l="1"/>
  <c r="L3614" i="14" s="1"/>
  <c r="I3615" i="14" s="1"/>
  <c r="K3592" i="13"/>
  <c r="L3592" i="13" s="1"/>
  <c r="I3593" i="13" s="1"/>
  <c r="N3779" i="13"/>
  <c r="J3778" i="13" a="1"/>
  <c r="J3778" i="13" s="1"/>
  <c r="M3781" i="13"/>
  <c r="M3782" i="14"/>
  <c r="J3777" i="14" a="1"/>
  <c r="J3777" i="14" s="1"/>
  <c r="N3778" i="14"/>
  <c r="K3593" i="13" l="1"/>
  <c r="L3593" i="13" s="1"/>
  <c r="I3594" i="13" s="1"/>
  <c r="K3615" i="14"/>
  <c r="L3615" i="14" s="1"/>
  <c r="I3616" i="14" s="1"/>
  <c r="J3778" i="14" a="1"/>
  <c r="J3778" i="14" s="1"/>
  <c r="N3779" i="14"/>
  <c r="M3782" i="13"/>
  <c r="M3783" i="14"/>
  <c r="N3780" i="13"/>
  <c r="J3779" i="13" a="1"/>
  <c r="J3779" i="13" s="1"/>
  <c r="K3616" i="14" l="1"/>
  <c r="L3616" i="14" s="1"/>
  <c r="I3617" i="14" s="1"/>
  <c r="K3594" i="13"/>
  <c r="L3594" i="13" s="1"/>
  <c r="I3595" i="13" s="1"/>
  <c r="M3783" i="13"/>
  <c r="N3780" i="14"/>
  <c r="J3779" i="14" a="1"/>
  <c r="J3779" i="14" s="1"/>
  <c r="J3780" i="13" a="1"/>
  <c r="J3780" i="13" s="1"/>
  <c r="N3781" i="13"/>
  <c r="M3784" i="14"/>
  <c r="K3617" i="14" l="1"/>
  <c r="L3617" i="14" s="1"/>
  <c r="I3618" i="14" s="1"/>
  <c r="M3785" i="14"/>
  <c r="N3781" i="14"/>
  <c r="J3780" i="14" a="1"/>
  <c r="J3780" i="14" s="1"/>
  <c r="K3595" i="13"/>
  <c r="L3595" i="13" s="1"/>
  <c r="I3596" i="13" s="1"/>
  <c r="N3782" i="13"/>
  <c r="J3781" i="13" a="1"/>
  <c r="J3781" i="13" s="1"/>
  <c r="M3784" i="13"/>
  <c r="K3618" i="14" l="1"/>
  <c r="L3618" i="14" s="1"/>
  <c r="I3619" i="14" s="1"/>
  <c r="N3783" i="13"/>
  <c r="J3782" i="13" a="1"/>
  <c r="J3782" i="13" s="1"/>
  <c r="M3785" i="13"/>
  <c r="K3596" i="13"/>
  <c r="L3596" i="13" s="1"/>
  <c r="I3597" i="13" s="1"/>
  <c r="M3786" i="14"/>
  <c r="J3781" i="14" a="1"/>
  <c r="J3781" i="14" s="1"/>
  <c r="N3782" i="14"/>
  <c r="K3597" i="13" l="1"/>
  <c r="L3597" i="13" s="1"/>
  <c r="I3598" i="13" s="1"/>
  <c r="K3619" i="14"/>
  <c r="L3619" i="14" s="1"/>
  <c r="I3620" i="14" s="1"/>
  <c r="N3783" i="14"/>
  <c r="J3782" i="14" a="1"/>
  <c r="J3782" i="14" s="1"/>
  <c r="N3784" i="13"/>
  <c r="J3783" i="13" a="1"/>
  <c r="J3783" i="13" s="1"/>
  <c r="M3787" i="14"/>
  <c r="M3786" i="13"/>
  <c r="K3620" i="14" l="1"/>
  <c r="L3620" i="14" s="1"/>
  <c r="I3621" i="14" s="1"/>
  <c r="K3598" i="13"/>
  <c r="L3598" i="13" s="1"/>
  <c r="I3599" i="13" s="1"/>
  <c r="J3784" i="13" a="1"/>
  <c r="J3784" i="13" s="1"/>
  <c r="N3785" i="13"/>
  <c r="M3787" i="13"/>
  <c r="M3788" i="14"/>
  <c r="N3784" i="14"/>
  <c r="J3783" i="14" a="1"/>
  <c r="J3783" i="14" s="1"/>
  <c r="K3621" i="14" l="1"/>
  <c r="L3621" i="14" s="1"/>
  <c r="I3622" i="14" s="1"/>
  <c r="K3599" i="13"/>
  <c r="L3599" i="13" s="1"/>
  <c r="I3600" i="13" s="1"/>
  <c r="N3785" i="14"/>
  <c r="J3784" i="14" a="1"/>
  <c r="J3784" i="14" s="1"/>
  <c r="N3786" i="13"/>
  <c r="J3785" i="13" a="1"/>
  <c r="J3785" i="13" s="1"/>
  <c r="M3788" i="13"/>
  <c r="M3789" i="14"/>
  <c r="K3600" i="13" l="1"/>
  <c r="L3600" i="13" s="1"/>
  <c r="I3601" i="13" s="1"/>
  <c r="K3622" i="14"/>
  <c r="L3622" i="14" s="1"/>
  <c r="I3623" i="14" s="1"/>
  <c r="M3789" i="13"/>
  <c r="M3790" i="14"/>
  <c r="N3787" i="13"/>
  <c r="J3786" i="13" a="1"/>
  <c r="J3786" i="13" s="1"/>
  <c r="J3785" i="14" a="1"/>
  <c r="J3785" i="14" s="1"/>
  <c r="N3786" i="14"/>
  <c r="K3601" i="13" l="1"/>
  <c r="L3601" i="13" s="1"/>
  <c r="I3602" i="13" s="1"/>
  <c r="N3787" i="14"/>
  <c r="J3786" i="14" a="1"/>
  <c r="J3786" i="14" s="1"/>
  <c r="M3791" i="14"/>
  <c r="K3623" i="14"/>
  <c r="L3623" i="14" s="1"/>
  <c r="I3624" i="14" s="1"/>
  <c r="M3790" i="13"/>
  <c r="N3788" i="13"/>
  <c r="J3787" i="13" a="1"/>
  <c r="J3787" i="13" s="1"/>
  <c r="K3624" i="14" l="1"/>
  <c r="L3624" i="14" s="1"/>
  <c r="I3625" i="14" s="1"/>
  <c r="K3602" i="13"/>
  <c r="L3602" i="13" s="1"/>
  <c r="I3603" i="13" s="1"/>
  <c r="N3788" i="14"/>
  <c r="J3787" i="14" a="1"/>
  <c r="J3787" i="14" s="1"/>
  <c r="J3788" i="13" a="1"/>
  <c r="J3788" i="13" s="1"/>
  <c r="N3789" i="13"/>
  <c r="M3791" i="13"/>
  <c r="M3792" i="14"/>
  <c r="K3603" i="13" l="1"/>
  <c r="L3603" i="13" s="1"/>
  <c r="I3604" i="13" s="1"/>
  <c r="K3625" i="14"/>
  <c r="L3625" i="14" s="1"/>
  <c r="I3626" i="14" s="1"/>
  <c r="N3790" i="13"/>
  <c r="J3789" i="13" a="1"/>
  <c r="J3789" i="13" s="1"/>
  <c r="M3793" i="14"/>
  <c r="M3792" i="13"/>
  <c r="N3789" i="14"/>
  <c r="J3788" i="14" a="1"/>
  <c r="J3788" i="14" s="1"/>
  <c r="K3626" i="14" l="1"/>
  <c r="L3626" i="14" s="1"/>
  <c r="I3627" i="14" s="1"/>
  <c r="K3604" i="13"/>
  <c r="L3604" i="13" s="1"/>
  <c r="I3605" i="13" s="1"/>
  <c r="M3794" i="14"/>
  <c r="J3789" i="14" a="1"/>
  <c r="J3789" i="14" s="1"/>
  <c r="N3790" i="14"/>
  <c r="M3793" i="13"/>
  <c r="N3791" i="13"/>
  <c r="J3790" i="13" a="1"/>
  <c r="J3790" i="13" s="1"/>
  <c r="K3627" i="14" l="1"/>
  <c r="L3627" i="14" s="1"/>
  <c r="I3628" i="14" s="1"/>
  <c r="K3605" i="13"/>
  <c r="L3605" i="13" s="1"/>
  <c r="I3606" i="13" s="1"/>
  <c r="N3792" i="13"/>
  <c r="J3791" i="13" a="1"/>
  <c r="J3791" i="13" s="1"/>
  <c r="N3791" i="14"/>
  <c r="J3790" i="14" a="1"/>
  <c r="J3790" i="14" s="1"/>
  <c r="M3794" i="13"/>
  <c r="M3795" i="14"/>
  <c r="K3628" i="14" l="1"/>
  <c r="L3628" i="14" s="1"/>
  <c r="I3629" i="14" s="1"/>
  <c r="M3796" i="14"/>
  <c r="N3792" i="14"/>
  <c r="J3791" i="14" a="1"/>
  <c r="J3791" i="14" s="1"/>
  <c r="K3606" i="13"/>
  <c r="L3606" i="13" s="1"/>
  <c r="I3607" i="13" s="1"/>
  <c r="M3795" i="13"/>
  <c r="J3792" i="13" a="1"/>
  <c r="J3792" i="13" s="1"/>
  <c r="N3793" i="13"/>
  <c r="K3629" i="14" l="1"/>
  <c r="L3629" i="14" s="1"/>
  <c r="I3630" i="14" s="1"/>
  <c r="N3794" i="13"/>
  <c r="J3793" i="13" a="1"/>
  <c r="J3793" i="13" s="1"/>
  <c r="K3607" i="13"/>
  <c r="L3607" i="13" s="1"/>
  <c r="I3608" i="13" s="1"/>
  <c r="M3797" i="14"/>
  <c r="M3796" i="13"/>
  <c r="N3793" i="14"/>
  <c r="J3792" i="14" a="1"/>
  <c r="J3792" i="14" s="1"/>
  <c r="K3608" i="13" l="1"/>
  <c r="L3608" i="13" s="1"/>
  <c r="I3609" i="13" s="1"/>
  <c r="K3630" i="14"/>
  <c r="L3630" i="14" s="1"/>
  <c r="I3631" i="14" s="1"/>
  <c r="N3795" i="13"/>
  <c r="J3794" i="13" a="1"/>
  <c r="J3794" i="13" s="1"/>
  <c r="M3798" i="14"/>
  <c r="M3797" i="13"/>
  <c r="J3793" i="14" a="1"/>
  <c r="J3793" i="14" s="1"/>
  <c r="N3794" i="14"/>
  <c r="K3631" i="14" l="1"/>
  <c r="L3631" i="14" s="1"/>
  <c r="I3632" i="14" s="1"/>
  <c r="K3609" i="13"/>
  <c r="L3609" i="13" s="1"/>
  <c r="I3610" i="13" s="1"/>
  <c r="M3799" i="14"/>
  <c r="N3795" i="14"/>
  <c r="J3794" i="14" a="1"/>
  <c r="J3794" i="14" s="1"/>
  <c r="M3798" i="13"/>
  <c r="N3796" i="13"/>
  <c r="J3795" i="13" a="1"/>
  <c r="J3795" i="13" s="1"/>
  <c r="K3610" i="13" l="1"/>
  <c r="L3610" i="13" s="1"/>
  <c r="I3611" i="13" s="1"/>
  <c r="K3632" i="14"/>
  <c r="L3632" i="14" s="1"/>
  <c r="I3633" i="14" s="1"/>
  <c r="N3796" i="14"/>
  <c r="J3795" i="14" a="1"/>
  <c r="J3795" i="14" s="1"/>
  <c r="M3799" i="13"/>
  <c r="J3796" i="13" a="1"/>
  <c r="J3796" i="13" s="1"/>
  <c r="N3797" i="13"/>
  <c r="M3800" i="14"/>
  <c r="K3611" i="13" l="1"/>
  <c r="L3611" i="13" s="1"/>
  <c r="I3612" i="13" s="1"/>
  <c r="M3801" i="14"/>
  <c r="M3800" i="13"/>
  <c r="K3633" i="14"/>
  <c r="L3633" i="14" s="1"/>
  <c r="I3634" i="14" s="1"/>
  <c r="N3798" i="13"/>
  <c r="J3797" i="13" a="1"/>
  <c r="J3797" i="13" s="1"/>
  <c r="N3797" i="14"/>
  <c r="J3796" i="14" a="1"/>
  <c r="J3796" i="14" s="1"/>
  <c r="K3612" i="13" l="1"/>
  <c r="L3612" i="13" s="1"/>
  <c r="I3613" i="13" s="1"/>
  <c r="J3797" i="14" a="1"/>
  <c r="J3797" i="14" s="1"/>
  <c r="N3798" i="14"/>
  <c r="M3802" i="14"/>
  <c r="K3634" i="14"/>
  <c r="L3634" i="14" s="1"/>
  <c r="I3635" i="14" s="1"/>
  <c r="M3801" i="13"/>
  <c r="N3799" i="13"/>
  <c r="J3798" i="13" a="1"/>
  <c r="J3798" i="13" s="1"/>
  <c r="K3635" i="14" l="1"/>
  <c r="L3635" i="14" s="1"/>
  <c r="I3636" i="14" s="1"/>
  <c r="K3613" i="13"/>
  <c r="L3613" i="13" s="1"/>
  <c r="I3614" i="13" s="1"/>
  <c r="N3799" i="14"/>
  <c r="J3798" i="14" a="1"/>
  <c r="J3798" i="14" s="1"/>
  <c r="N3800" i="13"/>
  <c r="J3799" i="13" a="1"/>
  <c r="J3799" i="13" s="1"/>
  <c r="M3803" i="14"/>
  <c r="M3802" i="13"/>
  <c r="K3614" i="13" l="1"/>
  <c r="L3614" i="13" s="1"/>
  <c r="I3615" i="13" s="1"/>
  <c r="K3636" i="14"/>
  <c r="L3636" i="14" s="1"/>
  <c r="I3637" i="14" s="1"/>
  <c r="J3800" i="13" a="1"/>
  <c r="J3800" i="13" s="1"/>
  <c r="N3801" i="13"/>
  <c r="M3803" i="13"/>
  <c r="M3804" i="14"/>
  <c r="N3800" i="14"/>
  <c r="J3799" i="14" a="1"/>
  <c r="J3799" i="14" s="1"/>
  <c r="K3615" i="13" l="1"/>
  <c r="L3615" i="13" s="1"/>
  <c r="I3616" i="13" s="1"/>
  <c r="K3637" i="14"/>
  <c r="L3637" i="14" s="1"/>
  <c r="I3638" i="14" s="1"/>
  <c r="M3804" i="13"/>
  <c r="N3802" i="13"/>
  <c r="J3801" i="13" a="1"/>
  <c r="J3801" i="13" s="1"/>
  <c r="N3801" i="14"/>
  <c r="J3800" i="14" a="1"/>
  <c r="J3800" i="14" s="1"/>
  <c r="M3805" i="14"/>
  <c r="K3638" i="14" l="1"/>
  <c r="L3638" i="14" s="1"/>
  <c r="I3639" i="14" s="1"/>
  <c r="K3616" i="13"/>
  <c r="L3616" i="13" s="1"/>
  <c r="I3617" i="13" s="1"/>
  <c r="N3803" i="13"/>
  <c r="J3802" i="13" a="1"/>
  <c r="J3802" i="13" s="1"/>
  <c r="M3806" i="14"/>
  <c r="J3801" i="14" a="1"/>
  <c r="J3801" i="14" s="1"/>
  <c r="N3802" i="14"/>
  <c r="M3805" i="13"/>
  <c r="K3617" i="13" l="1"/>
  <c r="L3617" i="13" s="1"/>
  <c r="I3618" i="13" s="1"/>
  <c r="K3639" i="14"/>
  <c r="L3639" i="14" s="1"/>
  <c r="I3640" i="14" s="1"/>
  <c r="M3806" i="13"/>
  <c r="M3807" i="14"/>
  <c r="N3803" i="14"/>
  <c r="J3802" i="14" a="1"/>
  <c r="J3802" i="14" s="1"/>
  <c r="N3804" i="13"/>
  <c r="J3803" i="13" a="1"/>
  <c r="J3803" i="13" s="1"/>
  <c r="K3618" i="13" l="1"/>
  <c r="L3618" i="13" s="1"/>
  <c r="I3619" i="13" s="1"/>
  <c r="J3804" i="13" a="1"/>
  <c r="J3804" i="13" s="1"/>
  <c r="N3805" i="13"/>
  <c r="M3808" i="14"/>
  <c r="K3640" i="14"/>
  <c r="L3640" i="14" s="1"/>
  <c r="I3641" i="14" s="1"/>
  <c r="M3807" i="13"/>
  <c r="N3804" i="14"/>
  <c r="J3803" i="14" a="1"/>
  <c r="J3803" i="14" s="1"/>
  <c r="K3641" i="14" l="1"/>
  <c r="L3641" i="14" s="1"/>
  <c r="I3642" i="14" s="1"/>
  <c r="K3619" i="13"/>
  <c r="L3619" i="13" s="1"/>
  <c r="I3620" i="13" s="1"/>
  <c r="N3806" i="13"/>
  <c r="J3805" i="13" a="1"/>
  <c r="J3805" i="13" s="1"/>
  <c r="N3805" i="14"/>
  <c r="J3804" i="14" a="1"/>
  <c r="J3804" i="14" s="1"/>
  <c r="M3808" i="13"/>
  <c r="M3809" i="14"/>
  <c r="K3620" i="13" l="1"/>
  <c r="L3620" i="13" s="1"/>
  <c r="I3621" i="13" s="1"/>
  <c r="K3642" i="14"/>
  <c r="L3642" i="14" s="1"/>
  <c r="I3643" i="14" s="1"/>
  <c r="J3805" i="14" a="1"/>
  <c r="J3805" i="14" s="1"/>
  <c r="N3806" i="14"/>
  <c r="M3810" i="14"/>
  <c r="M3809" i="13"/>
  <c r="N3807" i="13"/>
  <c r="J3806" i="13" a="1"/>
  <c r="J3806" i="13" s="1"/>
  <c r="K3643" i="14" l="1"/>
  <c r="L3643" i="14" s="1"/>
  <c r="I3644" i="14" s="1"/>
  <c r="K3621" i="13"/>
  <c r="L3621" i="13" s="1"/>
  <c r="I3622" i="13" s="1"/>
  <c r="N3808" i="13"/>
  <c r="J3807" i="13" a="1"/>
  <c r="J3807" i="13" s="1"/>
  <c r="M3811" i="14"/>
  <c r="N3807" i="14"/>
  <c r="J3806" i="14" a="1"/>
  <c r="J3806" i="14" s="1"/>
  <c r="M3810" i="13"/>
  <c r="K3644" i="14" l="1"/>
  <c r="L3644" i="14" s="1"/>
  <c r="I3645" i="14" s="1"/>
  <c r="J3808" i="13" a="1"/>
  <c r="J3808" i="13" s="1"/>
  <c r="N3809" i="13"/>
  <c r="M3811" i="13"/>
  <c r="M3812" i="14"/>
  <c r="K3622" i="13"/>
  <c r="L3622" i="13" s="1"/>
  <c r="I3623" i="13" s="1"/>
  <c r="N3808" i="14"/>
  <c r="J3807" i="14" a="1"/>
  <c r="J3807" i="14" s="1"/>
  <c r="K3623" i="13" l="1"/>
  <c r="L3623" i="13" s="1"/>
  <c r="I3624" i="13" s="1"/>
  <c r="K3645" i="14"/>
  <c r="L3645" i="14" s="1"/>
  <c r="I3646" i="14" s="1"/>
  <c r="N3810" i="13"/>
  <c r="J3809" i="13" a="1"/>
  <c r="J3809" i="13" s="1"/>
  <c r="N3809" i="14"/>
  <c r="J3808" i="14" a="1"/>
  <c r="J3808" i="14" s="1"/>
  <c r="M3813" i="14"/>
  <c r="M3812" i="13"/>
  <c r="K3646" i="14" l="1"/>
  <c r="L3646" i="14" s="1"/>
  <c r="I3647" i="14" s="1"/>
  <c r="K3624" i="13"/>
  <c r="L3624" i="13" s="1"/>
  <c r="I3625" i="13" s="1"/>
  <c r="M3813" i="13"/>
  <c r="J3809" i="14" a="1"/>
  <c r="J3809" i="14" s="1"/>
  <c r="N3810" i="14"/>
  <c r="M3814" i="14"/>
  <c r="N3811" i="13"/>
  <c r="J3810" i="13" a="1"/>
  <c r="J3810" i="13" s="1"/>
  <c r="K3625" i="13" l="1"/>
  <c r="L3625" i="13" s="1"/>
  <c r="I3626" i="13" s="1"/>
  <c r="K3647" i="14"/>
  <c r="L3647" i="14" s="1"/>
  <c r="I3648" i="14" s="1"/>
  <c r="N3811" i="14"/>
  <c r="J3810" i="14" a="1"/>
  <c r="J3810" i="14" s="1"/>
  <c r="N3812" i="13"/>
  <c r="J3811" i="13" a="1"/>
  <c r="J3811" i="13" s="1"/>
  <c r="M3814" i="13"/>
  <c r="M3815" i="14"/>
  <c r="K3648" i="14" l="1"/>
  <c r="L3648" i="14" s="1"/>
  <c r="I3649" i="14" s="1"/>
  <c r="K3626" i="13"/>
  <c r="L3626" i="13" s="1"/>
  <c r="I3627" i="13" s="1"/>
  <c r="J3812" i="13" a="1"/>
  <c r="J3812" i="13" s="1"/>
  <c r="N3813" i="13"/>
  <c r="M3816" i="14"/>
  <c r="M3815" i="13"/>
  <c r="N3812" i="14"/>
  <c r="J3811" i="14" a="1"/>
  <c r="J3811" i="14" s="1"/>
  <c r="K3649" i="14" l="1"/>
  <c r="L3649" i="14" s="1"/>
  <c r="I3650" i="14" s="1"/>
  <c r="M3817" i="14"/>
  <c r="K3627" i="13"/>
  <c r="L3627" i="13" s="1"/>
  <c r="I3628" i="13" s="1"/>
  <c r="N3814" i="13"/>
  <c r="J3813" i="13" a="1"/>
  <c r="J3813" i="13" s="1"/>
  <c r="N3813" i="14"/>
  <c r="J3812" i="14" a="1"/>
  <c r="J3812" i="14" s="1"/>
  <c r="M3816" i="13"/>
  <c r="K3628" i="13" l="1"/>
  <c r="L3628" i="13" s="1"/>
  <c r="I3629" i="13" s="1"/>
  <c r="K3650" i="14"/>
  <c r="L3650" i="14" s="1"/>
  <c r="I3651" i="14" s="1"/>
  <c r="N3815" i="13"/>
  <c r="J3814" i="13" a="1"/>
  <c r="J3814" i="13" s="1"/>
  <c r="M3818" i="14"/>
  <c r="M3817" i="13"/>
  <c r="J3813" i="14" a="1"/>
  <c r="J3813" i="14" s="1"/>
  <c r="N3814" i="14"/>
  <c r="K3651" i="14" l="1"/>
  <c r="L3651" i="14" s="1"/>
  <c r="I3652" i="14" s="1"/>
  <c r="K3629" i="13"/>
  <c r="L3629" i="13" s="1"/>
  <c r="I3630" i="13" s="1"/>
  <c r="N3815" i="14"/>
  <c r="J3814" i="14" a="1"/>
  <c r="J3814" i="14" s="1"/>
  <c r="M3819" i="14"/>
  <c r="M3818" i="13"/>
  <c r="N3816" i="13"/>
  <c r="J3815" i="13" a="1"/>
  <c r="J3815" i="13" s="1"/>
  <c r="K3630" i="13" l="1"/>
  <c r="L3630" i="13" s="1"/>
  <c r="I3631" i="13" s="1"/>
  <c r="K3652" i="14"/>
  <c r="L3652" i="14" s="1"/>
  <c r="I3653" i="14" s="1"/>
  <c r="J3816" i="13" a="1"/>
  <c r="J3816" i="13" s="1"/>
  <c r="N3817" i="13"/>
  <c r="M3820" i="14"/>
  <c r="M3819" i="13"/>
  <c r="N3816" i="14"/>
  <c r="J3815" i="14" a="1"/>
  <c r="J3815" i="14" s="1"/>
  <c r="K3653" i="14" l="1"/>
  <c r="L3653" i="14" s="1"/>
  <c r="I3654" i="14" s="1"/>
  <c r="K3631" i="13"/>
  <c r="L3631" i="13" s="1"/>
  <c r="I3632" i="13" s="1"/>
  <c r="N3817" i="14"/>
  <c r="J3816" i="14" a="1"/>
  <c r="J3816" i="14" s="1"/>
  <c r="M3821" i="14"/>
  <c r="N3818" i="13"/>
  <c r="J3817" i="13" a="1"/>
  <c r="J3817" i="13" s="1"/>
  <c r="M3820" i="13"/>
  <c r="K3654" i="14" l="1"/>
  <c r="L3654" i="14" s="1"/>
  <c r="I3655" i="14" s="1"/>
  <c r="M3821" i="13"/>
  <c r="M3822" i="14"/>
  <c r="K3632" i="13"/>
  <c r="L3632" i="13" s="1"/>
  <c r="I3633" i="13" s="1"/>
  <c r="N3819" i="13"/>
  <c r="J3818" i="13" a="1"/>
  <c r="J3818" i="13" s="1"/>
  <c r="J3817" i="14" a="1"/>
  <c r="J3817" i="14" s="1"/>
  <c r="N3818" i="14"/>
  <c r="K3655" i="14" l="1"/>
  <c r="L3655" i="14" s="1"/>
  <c r="I3656" i="14" s="1"/>
  <c r="N3819" i="14"/>
  <c r="J3818" i="14" a="1"/>
  <c r="J3818" i="14" s="1"/>
  <c r="M3822" i="13"/>
  <c r="K3633" i="13"/>
  <c r="L3633" i="13" s="1"/>
  <c r="I3634" i="13" s="1"/>
  <c r="M3823" i="14"/>
  <c r="N3820" i="13"/>
  <c r="J3819" i="13" a="1"/>
  <c r="J3819" i="13" s="1"/>
  <c r="K3634" i="13" l="1"/>
  <c r="L3634" i="13" s="1"/>
  <c r="I3635" i="13" s="1"/>
  <c r="K3656" i="14"/>
  <c r="L3656" i="14" s="1"/>
  <c r="I3657" i="14" s="1"/>
  <c r="J3819" i="14" a="1"/>
  <c r="J3819" i="14" s="1"/>
  <c r="N3820" i="14"/>
  <c r="J3820" i="13" a="1"/>
  <c r="J3820" i="13" s="1"/>
  <c r="N3821" i="13"/>
  <c r="M3824" i="14"/>
  <c r="M3823" i="13"/>
  <c r="K3657" i="14" l="1"/>
  <c r="L3657" i="14" s="1"/>
  <c r="I3658" i="14" s="1"/>
  <c r="K3635" i="13"/>
  <c r="L3635" i="13" s="1"/>
  <c r="I3636" i="13" s="1"/>
  <c r="N3822" i="13"/>
  <c r="J3821" i="13" a="1"/>
  <c r="J3821" i="13" s="1"/>
  <c r="N3821" i="14"/>
  <c r="J3820" i="14" a="1"/>
  <c r="J3820" i="14" s="1"/>
  <c r="M3824" i="13"/>
  <c r="M3825" i="14"/>
  <c r="K3636" i="13" l="1"/>
  <c r="L3636" i="13" s="1"/>
  <c r="I3637" i="13" s="1"/>
  <c r="K3658" i="14"/>
  <c r="L3658" i="14" s="1"/>
  <c r="I3659" i="14" s="1"/>
  <c r="J3821" i="14" a="1"/>
  <c r="J3821" i="14" s="1"/>
  <c r="N3822" i="14"/>
  <c r="M3826" i="14"/>
  <c r="M3825" i="13"/>
  <c r="N3823" i="13"/>
  <c r="J3822" i="13" a="1"/>
  <c r="J3822" i="13" s="1"/>
  <c r="K3659" i="14" l="1"/>
  <c r="L3659" i="14" s="1"/>
  <c r="I3660" i="14" s="1"/>
  <c r="K3637" i="13"/>
  <c r="L3637" i="13" s="1"/>
  <c r="I3638" i="13" s="1"/>
  <c r="J3822" i="14" a="1"/>
  <c r="J3822" i="14" s="1"/>
  <c r="N3823" i="14"/>
  <c r="N3824" i="13"/>
  <c r="J3823" i="13" a="1"/>
  <c r="J3823" i="13" s="1"/>
  <c r="M3827" i="14"/>
  <c r="M3826" i="13"/>
  <c r="K3660" i="14" l="1"/>
  <c r="L3660" i="14" s="1"/>
  <c r="I3661" i="14" s="1"/>
  <c r="J3824" i="13" a="1"/>
  <c r="J3824" i="13" s="1"/>
  <c r="N3825" i="13"/>
  <c r="M3827" i="13"/>
  <c r="K3638" i="13"/>
  <c r="L3638" i="13" s="1"/>
  <c r="I3639" i="13" s="1"/>
  <c r="M3828" i="14"/>
  <c r="N3824" i="14"/>
  <c r="J3823" i="14" a="1"/>
  <c r="J3823" i="14" s="1"/>
  <c r="K3639" i="13" l="1"/>
  <c r="L3639" i="13" s="1"/>
  <c r="I3640" i="13" s="1"/>
  <c r="K3661" i="14"/>
  <c r="L3661" i="14" s="1"/>
  <c r="I3662" i="14" s="1"/>
  <c r="N3826" i="13"/>
  <c r="J3825" i="13" a="1"/>
  <c r="J3825" i="13" s="1"/>
  <c r="N3825" i="14"/>
  <c r="J3824" i="14" a="1"/>
  <c r="J3824" i="14" s="1"/>
  <c r="M3829" i="14"/>
  <c r="M3828" i="13"/>
  <c r="K3640" i="13" l="1"/>
  <c r="L3640" i="13" s="1"/>
  <c r="I3641" i="13" s="1"/>
  <c r="J3825" i="14" a="1"/>
  <c r="J3825" i="14" s="1"/>
  <c r="N3826" i="14"/>
  <c r="K3662" i="14"/>
  <c r="L3662" i="14" s="1"/>
  <c r="I3663" i="14" s="1"/>
  <c r="M3829" i="13"/>
  <c r="M3830" i="14"/>
  <c r="N3827" i="13"/>
  <c r="J3826" i="13" a="1"/>
  <c r="J3826" i="13" s="1"/>
  <c r="K3663" i="14" l="1"/>
  <c r="L3663" i="14" s="1"/>
  <c r="I3664" i="14" s="1"/>
  <c r="K3641" i="13"/>
  <c r="L3641" i="13" s="1"/>
  <c r="I3642" i="13" s="1"/>
  <c r="M3830" i="13"/>
  <c r="N3827" i="14"/>
  <c r="J3826" i="14" a="1"/>
  <c r="J3826" i="14" s="1"/>
  <c r="N3828" i="13"/>
  <c r="J3827" i="13" a="1"/>
  <c r="J3827" i="13" s="1"/>
  <c r="M3831" i="14"/>
  <c r="K3642" i="13" l="1"/>
  <c r="L3642" i="13" s="1"/>
  <c r="I3643" i="13" s="1"/>
  <c r="K3664" i="14"/>
  <c r="L3664" i="14" s="1"/>
  <c r="I3665" i="14" s="1"/>
  <c r="N3828" i="14"/>
  <c r="J3827" i="14" a="1"/>
  <c r="J3827" i="14" s="1"/>
  <c r="M3831" i="13"/>
  <c r="M3832" i="14"/>
  <c r="J3828" i="13" a="1"/>
  <c r="J3828" i="13" s="1"/>
  <c r="N3829" i="13"/>
  <c r="K3665" i="14" l="1"/>
  <c r="L3665" i="14" s="1"/>
  <c r="I3666" i="14" s="1"/>
  <c r="K3643" i="13"/>
  <c r="L3643" i="13" s="1"/>
  <c r="I3644" i="13" s="1"/>
  <c r="M3832" i="13"/>
  <c r="N3830" i="13"/>
  <c r="J3829" i="13" a="1"/>
  <c r="J3829" i="13" s="1"/>
  <c r="M3833" i="14"/>
  <c r="N3829" i="14"/>
  <c r="J3828" i="14" a="1"/>
  <c r="J3828" i="14" s="1"/>
  <c r="K3666" i="14" l="1"/>
  <c r="L3666" i="14" s="1"/>
  <c r="I3667" i="14" s="1"/>
  <c r="J3829" i="14" a="1"/>
  <c r="J3829" i="14" s="1"/>
  <c r="N3830" i="14"/>
  <c r="K3644" i="13"/>
  <c r="L3644" i="13" s="1"/>
  <c r="I3645" i="13" s="1"/>
  <c r="N3831" i="13"/>
  <c r="J3830" i="13" a="1"/>
  <c r="J3830" i="13" s="1"/>
  <c r="M3834" i="14"/>
  <c r="M3833" i="13"/>
  <c r="K3645" i="13" l="1"/>
  <c r="L3645" i="13" s="1"/>
  <c r="I3646" i="13" s="1"/>
  <c r="K3667" i="14"/>
  <c r="L3667" i="14" s="1"/>
  <c r="I3668" i="14" s="1"/>
  <c r="N3831" i="14"/>
  <c r="J3830" i="14" a="1"/>
  <c r="J3830" i="14" s="1"/>
  <c r="N3832" i="13"/>
  <c r="J3831" i="13" a="1"/>
  <c r="J3831" i="13" s="1"/>
  <c r="M3834" i="13"/>
  <c r="M3835" i="14"/>
  <c r="K3668" i="14" l="1"/>
  <c r="L3668" i="14" s="1"/>
  <c r="I3669" i="14" s="1"/>
  <c r="K3646" i="13"/>
  <c r="L3646" i="13" s="1"/>
  <c r="I3647" i="13" s="1"/>
  <c r="M3836" i="14"/>
  <c r="J3832" i="13" a="1"/>
  <c r="J3832" i="13" s="1"/>
  <c r="N3833" i="13"/>
  <c r="M3835" i="13"/>
  <c r="N3832" i="14"/>
  <c r="J3831" i="14" a="1"/>
  <c r="J3831" i="14" s="1"/>
  <c r="K3647" i="13" l="1"/>
  <c r="L3647" i="13" s="1"/>
  <c r="I3648" i="13" s="1"/>
  <c r="K3669" i="14"/>
  <c r="L3669" i="14" s="1"/>
  <c r="I3670" i="14" s="1"/>
  <c r="N3834" i="13"/>
  <c r="J3833" i="13" a="1"/>
  <c r="J3833" i="13" s="1"/>
  <c r="N3833" i="14"/>
  <c r="J3832" i="14" a="1"/>
  <c r="J3832" i="14" s="1"/>
  <c r="M3836" i="13"/>
  <c r="M3837" i="14"/>
  <c r="K3670" i="14" l="1"/>
  <c r="L3670" i="14" s="1"/>
  <c r="I3671" i="14" s="1"/>
  <c r="K3648" i="13"/>
  <c r="L3648" i="13" s="1"/>
  <c r="I3649" i="13" s="1"/>
  <c r="J3833" i="14" a="1"/>
  <c r="J3833" i="14" s="1"/>
  <c r="N3834" i="14"/>
  <c r="M3838" i="14"/>
  <c r="M3837" i="13"/>
  <c r="N3835" i="13"/>
  <c r="J3834" i="13" a="1"/>
  <c r="J3834" i="13" s="1"/>
  <c r="K3671" i="14" l="1"/>
  <c r="L3671" i="14" s="1"/>
  <c r="I3672" i="14" s="1"/>
  <c r="M3839" i="14"/>
  <c r="K3649" i="13"/>
  <c r="L3649" i="13" s="1"/>
  <c r="I3650" i="13" s="1"/>
  <c r="N3836" i="13"/>
  <c r="J3835" i="13" a="1"/>
  <c r="J3835" i="13" s="1"/>
  <c r="M3838" i="13"/>
  <c r="N3835" i="14"/>
  <c r="J3834" i="14" a="1"/>
  <c r="J3834" i="14" s="1"/>
  <c r="K3672" i="14" l="1"/>
  <c r="L3672" i="14" s="1"/>
  <c r="I3673" i="14" s="1"/>
  <c r="K3650" i="13"/>
  <c r="L3650" i="13" s="1"/>
  <c r="I3651" i="13" s="1"/>
  <c r="M3840" i="14"/>
  <c r="J3836" i="13" a="1"/>
  <c r="J3836" i="13" s="1"/>
  <c r="N3837" i="13"/>
  <c r="N3836" i="14"/>
  <c r="J3835" i="14" a="1"/>
  <c r="J3835" i="14" s="1"/>
  <c r="M3839" i="13"/>
  <c r="K3651" i="13" l="1"/>
  <c r="L3651" i="13" s="1"/>
  <c r="I3652" i="13" s="1"/>
  <c r="K3673" i="14"/>
  <c r="L3673" i="14" s="1"/>
  <c r="I3674" i="14" s="1"/>
  <c r="N3838" i="13"/>
  <c r="J3837" i="13" a="1"/>
  <c r="J3837" i="13" s="1"/>
  <c r="M3840" i="13"/>
  <c r="N3837" i="14"/>
  <c r="J3836" i="14" a="1"/>
  <c r="J3836" i="14" s="1"/>
  <c r="M3841" i="14"/>
  <c r="K3674" i="14" l="1"/>
  <c r="L3674" i="14" s="1"/>
  <c r="I3675" i="14" s="1"/>
  <c r="K3652" i="13"/>
  <c r="L3652" i="13" s="1"/>
  <c r="I3653" i="13" s="1"/>
  <c r="M3841" i="13"/>
  <c r="M3842" i="14"/>
  <c r="J3837" i="14" a="1"/>
  <c r="J3837" i="14" s="1"/>
  <c r="N3838" i="14"/>
  <c r="N3839" i="13"/>
  <c r="J3838" i="13" a="1"/>
  <c r="J3838" i="13" s="1"/>
  <c r="K3675" i="14" l="1"/>
  <c r="L3675" i="14" s="1"/>
  <c r="I3676" i="14" s="1"/>
  <c r="N3840" i="13"/>
  <c r="J3839" i="13" a="1"/>
  <c r="J3839" i="13" s="1"/>
  <c r="M3843" i="14"/>
  <c r="K3653" i="13"/>
  <c r="L3653" i="13" s="1"/>
  <c r="I3654" i="13" s="1"/>
  <c r="N3839" i="14"/>
  <c r="J3838" i="14" a="1"/>
  <c r="J3838" i="14" s="1"/>
  <c r="M3842" i="13"/>
  <c r="K3654" i="13" l="1"/>
  <c r="L3654" i="13" s="1"/>
  <c r="I3655" i="13" s="1"/>
  <c r="K3676" i="14"/>
  <c r="L3676" i="14" s="1"/>
  <c r="I3677" i="14" s="1"/>
  <c r="J3840" i="13" a="1"/>
  <c r="J3840" i="13" s="1"/>
  <c r="N3841" i="13"/>
  <c r="M3843" i="13"/>
  <c r="M3844" i="14"/>
  <c r="J3839" i="14" a="1"/>
  <c r="J3839" i="14" s="1"/>
  <c r="N3840" i="14"/>
  <c r="K3677" i="14" l="1"/>
  <c r="L3677" i="14" s="1"/>
  <c r="I3678" i="14" s="1"/>
  <c r="K3655" i="13"/>
  <c r="L3655" i="13" s="1"/>
  <c r="I3656" i="13" s="1"/>
  <c r="N3841" i="14"/>
  <c r="J3840" i="14" a="1"/>
  <c r="J3840" i="14" s="1"/>
  <c r="M3845" i="14"/>
  <c r="M3844" i="13"/>
  <c r="N3842" i="13"/>
  <c r="J3841" i="13" a="1"/>
  <c r="J3841" i="13" s="1"/>
  <c r="K3656" i="13" l="1"/>
  <c r="L3656" i="13" s="1"/>
  <c r="I3657" i="13" s="1"/>
  <c r="M3845" i="13"/>
  <c r="N3843" i="13"/>
  <c r="J3842" i="13" a="1"/>
  <c r="J3842" i="13" s="1"/>
  <c r="M3846" i="14"/>
  <c r="J3841" i="14" a="1"/>
  <c r="J3841" i="14" s="1"/>
  <c r="N3842" i="14"/>
  <c r="K3678" i="14"/>
  <c r="L3678" i="14" s="1"/>
  <c r="I3679" i="14" s="1"/>
  <c r="K3679" i="14" l="1"/>
  <c r="L3679" i="14" s="1"/>
  <c r="I3680" i="14" s="1"/>
  <c r="K3657" i="13"/>
  <c r="L3657" i="13" s="1"/>
  <c r="I3658" i="13" s="1"/>
  <c r="M3846" i="13"/>
  <c r="J3842" i="14" a="1"/>
  <c r="J3842" i="14" s="1"/>
  <c r="N3843" i="14"/>
  <c r="M3847" i="14"/>
  <c r="N3844" i="13"/>
  <c r="J3843" i="13" a="1"/>
  <c r="J3843" i="13" s="1"/>
  <c r="K3658" i="13" l="1"/>
  <c r="L3658" i="13" s="1"/>
  <c r="I3659" i="13" s="1"/>
  <c r="K3680" i="14"/>
  <c r="L3680" i="14" s="1"/>
  <c r="I3681" i="14" s="1"/>
  <c r="N3844" i="14"/>
  <c r="J3843" i="14" a="1"/>
  <c r="J3843" i="14" s="1"/>
  <c r="M3848" i="14"/>
  <c r="M3847" i="13"/>
  <c r="J3844" i="13" a="1"/>
  <c r="J3844" i="13" s="1"/>
  <c r="N3845" i="13"/>
  <c r="K3659" i="13" l="1"/>
  <c r="L3659" i="13" s="1"/>
  <c r="I3660" i="13" s="1"/>
  <c r="K3681" i="14"/>
  <c r="L3681" i="14" s="1"/>
  <c r="I3682" i="14" s="1"/>
  <c r="N3846" i="13"/>
  <c r="J3845" i="13" a="1"/>
  <c r="J3845" i="13" s="1"/>
  <c r="M3849" i="14"/>
  <c r="M3848" i="13"/>
  <c r="N3845" i="14"/>
  <c r="J3844" i="14" a="1"/>
  <c r="J3844" i="14" s="1"/>
  <c r="K3660" i="13" l="1"/>
  <c r="L3660" i="13" s="1"/>
  <c r="I3661" i="13" s="1"/>
  <c r="K3682" i="14"/>
  <c r="L3682" i="14" s="1"/>
  <c r="I3683" i="14" s="1"/>
  <c r="J3845" i="14" a="1"/>
  <c r="J3845" i="14" s="1"/>
  <c r="N3846" i="14"/>
  <c r="M3850" i="14"/>
  <c r="M3849" i="13"/>
  <c r="N3847" i="13"/>
  <c r="J3846" i="13" a="1"/>
  <c r="J3846" i="13" s="1"/>
  <c r="K3683" i="14" l="1"/>
  <c r="L3683" i="14" s="1"/>
  <c r="I3684" i="14" s="1"/>
  <c r="K3661" i="13"/>
  <c r="L3661" i="13" s="1"/>
  <c r="I3662" i="13" s="1"/>
  <c r="M3851" i="14"/>
  <c r="M3850" i="13"/>
  <c r="N3848" i="13"/>
  <c r="J3847" i="13" a="1"/>
  <c r="J3847" i="13" s="1"/>
  <c r="N3847" i="14"/>
  <c r="J3846" i="14" a="1"/>
  <c r="J3846" i="14" s="1"/>
  <c r="K3662" i="13" l="1"/>
  <c r="L3662" i="13" s="1"/>
  <c r="I3663" i="13" s="1"/>
  <c r="K3684" i="14"/>
  <c r="L3684" i="14" s="1"/>
  <c r="I3685" i="14" s="1"/>
  <c r="M3851" i="13"/>
  <c r="N3848" i="14"/>
  <c r="J3847" i="14" a="1"/>
  <c r="J3847" i="14" s="1"/>
  <c r="M3852" i="14"/>
  <c r="J3848" i="13" a="1"/>
  <c r="J3848" i="13" s="1"/>
  <c r="N3849" i="13"/>
  <c r="K3685" i="14" l="1"/>
  <c r="L3685" i="14" s="1"/>
  <c r="I3686" i="14" s="1"/>
  <c r="K3663" i="13"/>
  <c r="L3663" i="13" s="1"/>
  <c r="I3664" i="13" s="1"/>
  <c r="N3850" i="13"/>
  <c r="J3849" i="13" a="1"/>
  <c r="J3849" i="13" s="1"/>
  <c r="N3849" i="14"/>
  <c r="J3848" i="14" a="1"/>
  <c r="J3848" i="14" s="1"/>
  <c r="M3853" i="14"/>
  <c r="M3852" i="13"/>
  <c r="K3664" i="13" l="1"/>
  <c r="L3664" i="13" s="1"/>
  <c r="I3665" i="13" s="1"/>
  <c r="K3686" i="14"/>
  <c r="L3686" i="14" s="1"/>
  <c r="I3687" i="14" s="1"/>
  <c r="J3849" i="14" a="1"/>
  <c r="J3849" i="14" s="1"/>
  <c r="N3850" i="14"/>
  <c r="M3853" i="13"/>
  <c r="M3854" i="14"/>
  <c r="N3851" i="13"/>
  <c r="J3850" i="13" a="1"/>
  <c r="J3850" i="13" s="1"/>
  <c r="K3687" i="14" l="1"/>
  <c r="L3687" i="14" s="1"/>
  <c r="I3688" i="14" s="1"/>
  <c r="K3665" i="13"/>
  <c r="L3665" i="13" s="1"/>
  <c r="I3666" i="13" s="1"/>
  <c r="M3854" i="13"/>
  <c r="N3852" i="13"/>
  <c r="J3851" i="13" a="1"/>
  <c r="J3851" i="13" s="1"/>
  <c r="N3851" i="14"/>
  <c r="J3850" i="14" a="1"/>
  <c r="J3850" i="14" s="1"/>
  <c r="M3855" i="14"/>
  <c r="K3688" i="14" l="1"/>
  <c r="L3688" i="14" s="1"/>
  <c r="I3689" i="14" s="1"/>
  <c r="J3852" i="13" a="1"/>
  <c r="J3852" i="13" s="1"/>
  <c r="N3853" i="13"/>
  <c r="K3666" i="13"/>
  <c r="L3666" i="13" s="1"/>
  <c r="I3667" i="13" s="1"/>
  <c r="M3856" i="14"/>
  <c r="M3855" i="13"/>
  <c r="N3852" i="14"/>
  <c r="J3851" i="14" a="1"/>
  <c r="J3851" i="14" s="1"/>
  <c r="K3667" i="13" l="1"/>
  <c r="L3667" i="13" s="1"/>
  <c r="I3668" i="13" s="1"/>
  <c r="K3689" i="14"/>
  <c r="L3689" i="14" s="1"/>
  <c r="I3690" i="14" s="1"/>
  <c r="N3854" i="13"/>
  <c r="J3853" i="13" a="1"/>
  <c r="J3853" i="13" s="1"/>
  <c r="N3853" i="14"/>
  <c r="J3852" i="14" a="1"/>
  <c r="J3852" i="14" s="1"/>
  <c r="M3857" i="14"/>
  <c r="M3856" i="13"/>
  <c r="K3690" i="14" l="1"/>
  <c r="L3690" i="14" s="1"/>
  <c r="I3691" i="14" s="1"/>
  <c r="K3668" i="13"/>
  <c r="L3668" i="13" s="1"/>
  <c r="I3669" i="13" s="1"/>
  <c r="M3857" i="13"/>
  <c r="J3853" i="14" a="1"/>
  <c r="J3853" i="14" s="1"/>
  <c r="N3854" i="14"/>
  <c r="M3858" i="14"/>
  <c r="N3855" i="13"/>
  <c r="J3854" i="13" a="1"/>
  <c r="J3854" i="13" s="1"/>
  <c r="K3669" i="13" l="1"/>
  <c r="L3669" i="13" s="1"/>
  <c r="I3670" i="13" s="1"/>
  <c r="K3691" i="14"/>
  <c r="L3691" i="14" s="1"/>
  <c r="I3692" i="14" s="1"/>
  <c r="N3855" i="14"/>
  <c r="J3854" i="14" a="1"/>
  <c r="J3854" i="14" s="1"/>
  <c r="N3856" i="13"/>
  <c r="J3855" i="13" a="1"/>
  <c r="J3855" i="13" s="1"/>
  <c r="M3858" i="13"/>
  <c r="M3859" i="14"/>
  <c r="K3670" i="13" l="1"/>
  <c r="L3670" i="13" s="1"/>
  <c r="I3671" i="13" s="1"/>
  <c r="M3860" i="14"/>
  <c r="K3692" i="14"/>
  <c r="L3692" i="14" s="1"/>
  <c r="I3693" i="14" s="1"/>
  <c r="J3856" i="13" a="1"/>
  <c r="J3856" i="13" s="1"/>
  <c r="N3857" i="13"/>
  <c r="M3859" i="13"/>
  <c r="N3856" i="14"/>
  <c r="J3855" i="14" a="1"/>
  <c r="J3855" i="14" s="1"/>
  <c r="K3693" i="14" l="1"/>
  <c r="L3693" i="14" s="1"/>
  <c r="I3694" i="14" s="1"/>
  <c r="K3671" i="13"/>
  <c r="L3671" i="13" s="1"/>
  <c r="I3672" i="13" s="1"/>
  <c r="N3858" i="13"/>
  <c r="J3857" i="13" a="1"/>
  <c r="J3857" i="13" s="1"/>
  <c r="M3861" i="14"/>
  <c r="N3857" i="14"/>
  <c r="J3856" i="14" a="1"/>
  <c r="J3856" i="14" s="1"/>
  <c r="M3860" i="13"/>
  <c r="K3672" i="13" l="1"/>
  <c r="L3672" i="13" s="1"/>
  <c r="I3673" i="13" s="1"/>
  <c r="J3857" i="14" a="1"/>
  <c r="J3857" i="14" s="1"/>
  <c r="N3858" i="14"/>
  <c r="M3861" i="13"/>
  <c r="M3862" i="14"/>
  <c r="N3859" i="13"/>
  <c r="J3858" i="13" a="1"/>
  <c r="J3858" i="13" s="1"/>
  <c r="K3694" i="14"/>
  <c r="L3694" i="14" s="1"/>
  <c r="I3695" i="14" s="1"/>
  <c r="K3695" i="14" l="1"/>
  <c r="L3695" i="14" s="1"/>
  <c r="I3696" i="14" s="1"/>
  <c r="K3673" i="13"/>
  <c r="L3673" i="13" s="1"/>
  <c r="I3674" i="13" s="1"/>
  <c r="M3863" i="14"/>
  <c r="N3859" i="14"/>
  <c r="J3858" i="14" a="1"/>
  <c r="J3858" i="14" s="1"/>
  <c r="M3862" i="13"/>
  <c r="N3860" i="13"/>
  <c r="J3859" i="13" a="1"/>
  <c r="J3859" i="13" s="1"/>
  <c r="K3674" i="13" l="1"/>
  <c r="L3674" i="13" s="1"/>
  <c r="I3675" i="13" s="1"/>
  <c r="K3696" i="14"/>
  <c r="L3696" i="14" s="1"/>
  <c r="I3697" i="14" s="1"/>
  <c r="J3860" i="13" a="1"/>
  <c r="J3860" i="13" s="1"/>
  <c r="N3861" i="13"/>
  <c r="N3860" i="14"/>
  <c r="J3859" i="14" a="1"/>
  <c r="J3859" i="14" s="1"/>
  <c r="M3863" i="13"/>
  <c r="M3864" i="14"/>
  <c r="K3675" i="13" l="1"/>
  <c r="L3675" i="13" s="1"/>
  <c r="I3676" i="13" s="1"/>
  <c r="M3865" i="14"/>
  <c r="N3862" i="13"/>
  <c r="J3861" i="13" a="1"/>
  <c r="J3861" i="13" s="1"/>
  <c r="N3861" i="14"/>
  <c r="J3860" i="14" a="1"/>
  <c r="J3860" i="14" s="1"/>
  <c r="K3697" i="14"/>
  <c r="L3697" i="14" s="1"/>
  <c r="I3698" i="14" s="1"/>
  <c r="M3864" i="13"/>
  <c r="K3698" i="14" l="1"/>
  <c r="L3698" i="14" s="1"/>
  <c r="I3699" i="14" s="1"/>
  <c r="K3676" i="13"/>
  <c r="L3676" i="13" s="1"/>
  <c r="I3677" i="13" s="1"/>
  <c r="M3865" i="13"/>
  <c r="M3866" i="14"/>
  <c r="J3861" i="14" a="1"/>
  <c r="J3861" i="14" s="1"/>
  <c r="N3862" i="14"/>
  <c r="N3863" i="13"/>
  <c r="J3862" i="13" a="1"/>
  <c r="J3862" i="13" s="1"/>
  <c r="K3699" i="14" l="1"/>
  <c r="L3699" i="14" s="1"/>
  <c r="I3700" i="14" s="1"/>
  <c r="M3867" i="14"/>
  <c r="K3677" i="13"/>
  <c r="L3677" i="13" s="1"/>
  <c r="I3678" i="13" s="1"/>
  <c r="N3863" i="14"/>
  <c r="J3862" i="14" a="1"/>
  <c r="J3862" i="14" s="1"/>
  <c r="N3864" i="13"/>
  <c r="J3863" i="13" a="1"/>
  <c r="J3863" i="13" s="1"/>
  <c r="M3866" i="13"/>
  <c r="K3678" i="13" l="1"/>
  <c r="L3678" i="13" s="1"/>
  <c r="I3679" i="13" s="1"/>
  <c r="K3700" i="14"/>
  <c r="L3700" i="14" s="1"/>
  <c r="I3701" i="14" s="1"/>
  <c r="M3868" i="14"/>
  <c r="N3864" i="14"/>
  <c r="J3863" i="14" a="1"/>
  <c r="J3863" i="14" s="1"/>
  <c r="M3867" i="13"/>
  <c r="J3864" i="13" a="1"/>
  <c r="J3864" i="13" s="1"/>
  <c r="N3865" i="13"/>
  <c r="K3701" i="14" l="1"/>
  <c r="L3701" i="14" s="1"/>
  <c r="I3702" i="14" s="1"/>
  <c r="K3679" i="13"/>
  <c r="L3679" i="13" s="1"/>
  <c r="I3680" i="13" s="1"/>
  <c r="N3866" i="13"/>
  <c r="J3865" i="13" a="1"/>
  <c r="J3865" i="13" s="1"/>
  <c r="N3865" i="14"/>
  <c r="J3864" i="14" a="1"/>
  <c r="J3864" i="14" s="1"/>
  <c r="M3868" i="13"/>
  <c r="M3869" i="14"/>
  <c r="K3680" i="13" l="1"/>
  <c r="L3680" i="13" s="1"/>
  <c r="I3681" i="13" s="1"/>
  <c r="K3702" i="14"/>
  <c r="L3702" i="14" s="1"/>
  <c r="I3703" i="14" s="1"/>
  <c r="J3865" i="14" a="1"/>
  <c r="J3865" i="14" s="1"/>
  <c r="N3866" i="14"/>
  <c r="M3870" i="14"/>
  <c r="M3869" i="13"/>
  <c r="N3867" i="13"/>
  <c r="J3866" i="13" a="1"/>
  <c r="J3866" i="13" s="1"/>
  <c r="K3703" i="14" l="1"/>
  <c r="L3703" i="14" s="1"/>
  <c r="I3704" i="14" s="1"/>
  <c r="K3681" i="13"/>
  <c r="L3681" i="13" s="1"/>
  <c r="I3682" i="13" s="1"/>
  <c r="M3871" i="14"/>
  <c r="N3868" i="13"/>
  <c r="J3867" i="13" a="1"/>
  <c r="J3867" i="13" s="1"/>
  <c r="M3870" i="13"/>
  <c r="N3867" i="14"/>
  <c r="J3866" i="14" a="1"/>
  <c r="J3866" i="14" s="1"/>
  <c r="K3682" i="13" l="1"/>
  <c r="L3682" i="13" s="1"/>
  <c r="I3683" i="13" s="1"/>
  <c r="K3704" i="14"/>
  <c r="L3704" i="14" s="1"/>
  <c r="I3705" i="14" s="1"/>
  <c r="J3868" i="13" a="1"/>
  <c r="J3868" i="13" s="1"/>
  <c r="N3869" i="13"/>
  <c r="N3868" i="14"/>
  <c r="J3867" i="14" a="1"/>
  <c r="J3867" i="14" s="1"/>
  <c r="M3871" i="13"/>
  <c r="M3872" i="14"/>
  <c r="K3705" i="14" l="1"/>
  <c r="L3705" i="14" s="1"/>
  <c r="I3706" i="14" s="1"/>
  <c r="K3683" i="13"/>
  <c r="L3683" i="13" s="1"/>
  <c r="I3684" i="13" s="1"/>
  <c r="N3869" i="14"/>
  <c r="J3868" i="14" a="1"/>
  <c r="J3868" i="14" s="1"/>
  <c r="N3870" i="13"/>
  <c r="J3869" i="13" a="1"/>
  <c r="J3869" i="13" s="1"/>
  <c r="M3873" i="14"/>
  <c r="M3872" i="13"/>
  <c r="K3684" i="13" l="1"/>
  <c r="L3684" i="13" s="1"/>
  <c r="I3685" i="13" s="1"/>
  <c r="K3706" i="14"/>
  <c r="L3706" i="14" s="1"/>
  <c r="I3707" i="14" s="1"/>
  <c r="M3873" i="13"/>
  <c r="N3871" i="13"/>
  <c r="J3870" i="13" a="1"/>
  <c r="J3870" i="13" s="1"/>
  <c r="M3874" i="14"/>
  <c r="J3869" i="14" a="1"/>
  <c r="J3869" i="14" s="1"/>
  <c r="N3870" i="14"/>
  <c r="K3707" i="14" l="1"/>
  <c r="L3707" i="14" s="1"/>
  <c r="I3708" i="14" s="1"/>
  <c r="K3685" i="13"/>
  <c r="L3685" i="13" s="1"/>
  <c r="I3686" i="13" s="1"/>
  <c r="N3871" i="14"/>
  <c r="J3870" i="14" a="1"/>
  <c r="J3870" i="14" s="1"/>
  <c r="N3872" i="13"/>
  <c r="J3871" i="13" a="1"/>
  <c r="J3871" i="13" s="1"/>
  <c r="M3874" i="13"/>
  <c r="M3875" i="14"/>
  <c r="K3686" i="13" l="1"/>
  <c r="L3686" i="13" s="1"/>
  <c r="I3687" i="13" s="1"/>
  <c r="K3708" i="14"/>
  <c r="L3708" i="14" s="1"/>
  <c r="I3709" i="14" s="1"/>
  <c r="M3876" i="14"/>
  <c r="J3872" i="13" a="1"/>
  <c r="J3872" i="13" s="1"/>
  <c r="N3873" i="13"/>
  <c r="M3875" i="13"/>
  <c r="N3872" i="14"/>
  <c r="J3871" i="14" a="1"/>
  <c r="J3871" i="14" s="1"/>
  <c r="K3687" i="13" l="1"/>
  <c r="L3687" i="13" s="1"/>
  <c r="I3688" i="13" s="1"/>
  <c r="N3874" i="13"/>
  <c r="J3873" i="13" a="1"/>
  <c r="J3873" i="13" s="1"/>
  <c r="K3709" i="14"/>
  <c r="L3709" i="14" s="1"/>
  <c r="I3710" i="14" s="1"/>
  <c r="N3873" i="14"/>
  <c r="J3872" i="14" a="1"/>
  <c r="J3872" i="14" s="1"/>
  <c r="M3876" i="13"/>
  <c r="M3877" i="14"/>
  <c r="K3710" i="14" l="1"/>
  <c r="L3710" i="14" s="1"/>
  <c r="I3711" i="14" s="1"/>
  <c r="K3688" i="13"/>
  <c r="L3688" i="13" s="1"/>
  <c r="I3689" i="13" s="1"/>
  <c r="M3878" i="14"/>
  <c r="J3873" i="14" a="1"/>
  <c r="J3873" i="14" s="1"/>
  <c r="N3874" i="14"/>
  <c r="N3875" i="13"/>
  <c r="J3874" i="13" a="1"/>
  <c r="J3874" i="13" s="1"/>
  <c r="M3877" i="13"/>
  <c r="K3689" i="13" l="1"/>
  <c r="L3689" i="13" s="1"/>
  <c r="I3690" i="13" s="1"/>
  <c r="N3875" i="14"/>
  <c r="J3874" i="14" a="1"/>
  <c r="J3874" i="14" s="1"/>
  <c r="M3878" i="13"/>
  <c r="N3876" i="13"/>
  <c r="J3875" i="13" a="1"/>
  <c r="J3875" i="13" s="1"/>
  <c r="M3879" i="14"/>
  <c r="K3711" i="14"/>
  <c r="L3711" i="14" s="1"/>
  <c r="I3712" i="14" s="1"/>
  <c r="K3712" i="14" l="1"/>
  <c r="L3712" i="14" s="1"/>
  <c r="I3713" i="14" s="1"/>
  <c r="K3690" i="13"/>
  <c r="L3690" i="13" s="1"/>
  <c r="I3691" i="13" s="1"/>
  <c r="N3876" i="14"/>
  <c r="J3875" i="14" a="1"/>
  <c r="J3875" i="14" s="1"/>
  <c r="J3876" i="13" a="1"/>
  <c r="J3876" i="13" s="1"/>
  <c r="N3877" i="13"/>
  <c r="M3880" i="14"/>
  <c r="M3879" i="13"/>
  <c r="K3691" i="13" l="1"/>
  <c r="L3691" i="13" s="1"/>
  <c r="I3692" i="13" s="1"/>
  <c r="K3713" i="14"/>
  <c r="L3713" i="14" s="1"/>
  <c r="I3714" i="14" s="1"/>
  <c r="N3878" i="13"/>
  <c r="J3877" i="13" a="1"/>
  <c r="J3877" i="13" s="1"/>
  <c r="M3880" i="13"/>
  <c r="M3881" i="14"/>
  <c r="N3877" i="14"/>
  <c r="J3876" i="14" a="1"/>
  <c r="J3876" i="14" s="1"/>
  <c r="K3714" i="14" l="1"/>
  <c r="L3714" i="14" s="1"/>
  <c r="I3715" i="14" s="1"/>
  <c r="K3692" i="13"/>
  <c r="L3692" i="13" s="1"/>
  <c r="I3693" i="13" s="1"/>
  <c r="M3881" i="13"/>
  <c r="J3877" i="14" a="1"/>
  <c r="J3877" i="14" s="1"/>
  <c r="N3878" i="14"/>
  <c r="M3882" i="14"/>
  <c r="N3879" i="13"/>
  <c r="J3878" i="13" a="1"/>
  <c r="J3878" i="13" s="1"/>
  <c r="K3715" i="14" l="1"/>
  <c r="L3715" i="14" s="1"/>
  <c r="I3716" i="14" s="1"/>
  <c r="N3879" i="14"/>
  <c r="J3878" i="14" a="1"/>
  <c r="J3878" i="14" s="1"/>
  <c r="N3880" i="13"/>
  <c r="J3879" i="13" a="1"/>
  <c r="J3879" i="13" s="1"/>
  <c r="M3883" i="14"/>
  <c r="K3693" i="13"/>
  <c r="L3693" i="13" s="1"/>
  <c r="I3694" i="13" s="1"/>
  <c r="M3882" i="13"/>
  <c r="K3716" i="14" l="1"/>
  <c r="L3716" i="14" s="1"/>
  <c r="I3717" i="14" s="1"/>
  <c r="M3883" i="13"/>
  <c r="M3884" i="14"/>
  <c r="N3880" i="14"/>
  <c r="J3879" i="14" a="1"/>
  <c r="J3879" i="14" s="1"/>
  <c r="K3694" i="13"/>
  <c r="L3694" i="13" s="1"/>
  <c r="I3695" i="13" s="1"/>
  <c r="J3880" i="13" a="1"/>
  <c r="J3880" i="13" s="1"/>
  <c r="N3881" i="13"/>
  <c r="K3695" i="13" l="1"/>
  <c r="L3695" i="13" s="1"/>
  <c r="I3696" i="13" s="1"/>
  <c r="K3717" i="14"/>
  <c r="L3717" i="14" s="1"/>
  <c r="I3718" i="14" s="1"/>
  <c r="N3882" i="13"/>
  <c r="J3881" i="13" a="1"/>
  <c r="J3881" i="13" s="1"/>
  <c r="N3881" i="14"/>
  <c r="J3880" i="14" a="1"/>
  <c r="J3880" i="14" s="1"/>
  <c r="M3884" i="13"/>
  <c r="M3885" i="14"/>
  <c r="K3718" i="14" l="1"/>
  <c r="L3718" i="14" s="1"/>
  <c r="I3719" i="14" s="1"/>
  <c r="K3696" i="13"/>
  <c r="L3696" i="13" s="1"/>
  <c r="I3697" i="13" s="1"/>
  <c r="J3881" i="14" a="1"/>
  <c r="J3881" i="14" s="1"/>
  <c r="N3882" i="14"/>
  <c r="M3886" i="14"/>
  <c r="M3885" i="13"/>
  <c r="N3883" i="13"/>
  <c r="J3882" i="13" a="1"/>
  <c r="J3882" i="13" s="1"/>
  <c r="K3697" i="13" l="1"/>
  <c r="L3697" i="13" s="1"/>
  <c r="I3698" i="13" s="1"/>
  <c r="K3719" i="14"/>
  <c r="L3719" i="14" s="1"/>
  <c r="I3720" i="14" s="1"/>
  <c r="M3887" i="14"/>
  <c r="N3884" i="13"/>
  <c r="J3883" i="13" a="1"/>
  <c r="J3883" i="13" s="1"/>
  <c r="M3886" i="13"/>
  <c r="N3883" i="14"/>
  <c r="J3882" i="14" a="1"/>
  <c r="J3882" i="14" s="1"/>
  <c r="K3720" i="14" l="1"/>
  <c r="L3720" i="14" s="1"/>
  <c r="I3721" i="14" s="1"/>
  <c r="K3698" i="13"/>
  <c r="L3698" i="13" s="1"/>
  <c r="I3699" i="13" s="1"/>
  <c r="J3884" i="13" a="1"/>
  <c r="J3884" i="13" s="1"/>
  <c r="N3885" i="13"/>
  <c r="J3883" i="14" a="1"/>
  <c r="J3883" i="14" s="1"/>
  <c r="N3884" i="14"/>
  <c r="M3887" i="13"/>
  <c r="M3888" i="14"/>
  <c r="K3699" i="13" l="1"/>
  <c r="L3699" i="13" s="1"/>
  <c r="I3700" i="13" s="1"/>
  <c r="K3721" i="14"/>
  <c r="L3721" i="14" s="1"/>
  <c r="I3722" i="14" s="1"/>
  <c r="N3885" i="14"/>
  <c r="J3884" i="14" a="1"/>
  <c r="J3884" i="14" s="1"/>
  <c r="M3888" i="13"/>
  <c r="M3889" i="14"/>
  <c r="N3886" i="13"/>
  <c r="J3885" i="13" a="1"/>
  <c r="J3885" i="13" s="1"/>
  <c r="K3722" i="14" l="1"/>
  <c r="L3722" i="14" s="1"/>
  <c r="I3723" i="14" s="1"/>
  <c r="K3700" i="13"/>
  <c r="L3700" i="13" s="1"/>
  <c r="I3701" i="13" s="1"/>
  <c r="M3889" i="13"/>
  <c r="N3887" i="13"/>
  <c r="J3886" i="13" a="1"/>
  <c r="J3886" i="13" s="1"/>
  <c r="M3890" i="14"/>
  <c r="J3885" i="14" a="1"/>
  <c r="J3885" i="14" s="1"/>
  <c r="N3886" i="14"/>
  <c r="K3723" i="14" l="1"/>
  <c r="L3723" i="14" s="1"/>
  <c r="I3724" i="14" s="1"/>
  <c r="J3886" i="14" a="1"/>
  <c r="J3886" i="14" s="1"/>
  <c r="N3887" i="14"/>
  <c r="N3888" i="13"/>
  <c r="J3887" i="13" a="1"/>
  <c r="J3887" i="13" s="1"/>
  <c r="K3701" i="13"/>
  <c r="L3701" i="13" s="1"/>
  <c r="I3702" i="13" s="1"/>
  <c r="M3890" i="13"/>
  <c r="M3891" i="14"/>
  <c r="K3702" i="13" l="1"/>
  <c r="L3702" i="13" s="1"/>
  <c r="I3703" i="13" s="1"/>
  <c r="K3724" i="14"/>
  <c r="L3724" i="14" s="1"/>
  <c r="I3725" i="14" s="1"/>
  <c r="N3888" i="14"/>
  <c r="J3887" i="14" a="1"/>
  <c r="J3887" i="14" s="1"/>
  <c r="M3892" i="14"/>
  <c r="M3891" i="13"/>
  <c r="J3888" i="13" a="1"/>
  <c r="J3888" i="13" s="1"/>
  <c r="N3889" i="13"/>
  <c r="K3725" i="14" l="1"/>
  <c r="L3725" i="14" s="1"/>
  <c r="I3726" i="14" s="1"/>
  <c r="K3703" i="13"/>
  <c r="L3703" i="13" s="1"/>
  <c r="I3704" i="13" s="1"/>
  <c r="N3890" i="13"/>
  <c r="J3889" i="13" a="1"/>
  <c r="J3889" i="13" s="1"/>
  <c r="M3893" i="14"/>
  <c r="M3892" i="13"/>
  <c r="N3889" i="14"/>
  <c r="J3888" i="14" a="1"/>
  <c r="J3888" i="14" s="1"/>
  <c r="K3704" i="13" l="1"/>
  <c r="L3704" i="13" s="1"/>
  <c r="I3705" i="13" s="1"/>
  <c r="K3726" i="14"/>
  <c r="L3726" i="14" s="1"/>
  <c r="I3727" i="14" s="1"/>
  <c r="J3889" i="14" a="1"/>
  <c r="J3889" i="14" s="1"/>
  <c r="N3890" i="14"/>
  <c r="M3894" i="14"/>
  <c r="M3893" i="13"/>
  <c r="N3891" i="13"/>
  <c r="J3890" i="13" a="1"/>
  <c r="J3890" i="13" s="1"/>
  <c r="K3727" i="14" l="1"/>
  <c r="L3727" i="14" s="1"/>
  <c r="I3728" i="14" s="1"/>
  <c r="K3705" i="13"/>
  <c r="L3705" i="13" s="1"/>
  <c r="I3706" i="13" s="1"/>
  <c r="M3895" i="14"/>
  <c r="N3892" i="13"/>
  <c r="J3891" i="13" a="1"/>
  <c r="J3891" i="13" s="1"/>
  <c r="N3891" i="14"/>
  <c r="J3890" i="14" a="1"/>
  <c r="J3890" i="14" s="1"/>
  <c r="M3894" i="13"/>
  <c r="K3728" i="14" l="1"/>
  <c r="L3728" i="14" s="1"/>
  <c r="I3729" i="14" s="1"/>
  <c r="M3895" i="13"/>
  <c r="K3706" i="13"/>
  <c r="L3706" i="13" s="1"/>
  <c r="I3707" i="13" s="1"/>
  <c r="J3892" i="13" a="1"/>
  <c r="J3892" i="13" s="1"/>
  <c r="N3893" i="13"/>
  <c r="M3896" i="14"/>
  <c r="N3892" i="14"/>
  <c r="J3891" i="14" a="1"/>
  <c r="J3891" i="14" s="1"/>
  <c r="K3707" i="13" l="1"/>
  <c r="L3707" i="13" s="1"/>
  <c r="I3708" i="13" s="1"/>
  <c r="K3729" i="14"/>
  <c r="L3729" i="14" s="1"/>
  <c r="I3730" i="14" s="1"/>
  <c r="N3894" i="13"/>
  <c r="J3893" i="13" a="1"/>
  <c r="J3893" i="13" s="1"/>
  <c r="M3896" i="13"/>
  <c r="N3893" i="14"/>
  <c r="J3892" i="14" a="1"/>
  <c r="J3892" i="14" s="1"/>
  <c r="M3897" i="14"/>
  <c r="K3730" i="14" l="1"/>
  <c r="L3730" i="14" s="1"/>
  <c r="I3731" i="14" s="1"/>
  <c r="K3708" i="13"/>
  <c r="L3708" i="13" s="1"/>
  <c r="I3709" i="13" s="1"/>
  <c r="M3898" i="14"/>
  <c r="M3897" i="13"/>
  <c r="J3893" i="14" a="1"/>
  <c r="J3893" i="14" s="1"/>
  <c r="N3894" i="14"/>
  <c r="N3895" i="13"/>
  <c r="J3894" i="13" a="1"/>
  <c r="J3894" i="13" s="1"/>
  <c r="K3709" i="13" l="1"/>
  <c r="L3709" i="13" s="1"/>
  <c r="I3710" i="13" s="1"/>
  <c r="K3731" i="14"/>
  <c r="L3731" i="14" s="1"/>
  <c r="I3732" i="14" s="1"/>
  <c r="N3896" i="13"/>
  <c r="J3895" i="13" a="1"/>
  <c r="J3895" i="13" s="1"/>
  <c r="M3898" i="13"/>
  <c r="N3895" i="14"/>
  <c r="J3894" i="14" a="1"/>
  <c r="J3894" i="14" s="1"/>
  <c r="M3899" i="14"/>
  <c r="K3710" i="13" l="1"/>
  <c r="L3710" i="13" s="1"/>
  <c r="I3711" i="13" s="1"/>
  <c r="M3900" i="14"/>
  <c r="M3899" i="13"/>
  <c r="K3732" i="14"/>
  <c r="L3732" i="14" s="1"/>
  <c r="I3733" i="14" s="1"/>
  <c r="N3896" i="14"/>
  <c r="J3895" i="14" a="1"/>
  <c r="J3895" i="14" s="1"/>
  <c r="J3896" i="13" a="1"/>
  <c r="J3896" i="13" s="1"/>
  <c r="N3897" i="13"/>
  <c r="K3711" i="13" l="1"/>
  <c r="L3711" i="13" s="1"/>
  <c r="I3712" i="13" s="1"/>
  <c r="N3898" i="13"/>
  <c r="J3897" i="13" a="1"/>
  <c r="J3897" i="13" s="1"/>
  <c r="K3733" i="14"/>
  <c r="L3733" i="14" s="1"/>
  <c r="I3734" i="14" s="1"/>
  <c r="M3901" i="14"/>
  <c r="N3897" i="14"/>
  <c r="J3896" i="14" a="1"/>
  <c r="J3896" i="14" s="1"/>
  <c r="M3900" i="13"/>
  <c r="K3734" i="14" l="1"/>
  <c r="L3734" i="14" s="1"/>
  <c r="I3735" i="14" s="1"/>
  <c r="K3712" i="13"/>
  <c r="L3712" i="13" s="1"/>
  <c r="I3713" i="13" s="1"/>
  <c r="M3902" i="14"/>
  <c r="N3899" i="13"/>
  <c r="J3898" i="13" a="1"/>
  <c r="J3898" i="13" s="1"/>
  <c r="M3901" i="13"/>
  <c r="J3897" i="14" a="1"/>
  <c r="J3897" i="14" s="1"/>
  <c r="N3898" i="14"/>
  <c r="N3899" i="14" l="1"/>
  <c r="J3898" i="14" a="1"/>
  <c r="J3898" i="14" s="1"/>
  <c r="N3900" i="13"/>
  <c r="J3899" i="13" a="1"/>
  <c r="J3899" i="13" s="1"/>
  <c r="K3713" i="13"/>
  <c r="L3713" i="13" s="1"/>
  <c r="I3714" i="13" s="1"/>
  <c r="M3902" i="13"/>
  <c r="M3903" i="14"/>
  <c r="K3735" i="14"/>
  <c r="L3735" i="14" s="1"/>
  <c r="I3736" i="14" s="1"/>
  <c r="K3736" i="14" l="1"/>
  <c r="L3736" i="14" s="1"/>
  <c r="I3737" i="14" s="1"/>
  <c r="K3714" i="13"/>
  <c r="L3714" i="13" s="1"/>
  <c r="I3715" i="13" s="1"/>
  <c r="M3903" i="13"/>
  <c r="J3900" i="13" a="1"/>
  <c r="J3900" i="13" s="1"/>
  <c r="N3901" i="13"/>
  <c r="M3904" i="14"/>
  <c r="N3900" i="14"/>
  <c r="J3899" i="14" a="1"/>
  <c r="J3899" i="14" s="1"/>
  <c r="K3715" i="13" l="1"/>
  <c r="L3715" i="13" s="1"/>
  <c r="I3716" i="13" s="1"/>
  <c r="K3737" i="14"/>
  <c r="L3737" i="14" s="1"/>
  <c r="I3738" i="14" s="1"/>
  <c r="N3902" i="13"/>
  <c r="J3901" i="13" a="1"/>
  <c r="J3901" i="13" s="1"/>
  <c r="N3901" i="14"/>
  <c r="J3900" i="14" a="1"/>
  <c r="J3900" i="14" s="1"/>
  <c r="M3905" i="14"/>
  <c r="M3904" i="13"/>
  <c r="K3738" i="14" l="1"/>
  <c r="L3738" i="14" s="1"/>
  <c r="I3739" i="14" s="1"/>
  <c r="K3716" i="13"/>
  <c r="L3716" i="13" s="1"/>
  <c r="I3717" i="13" s="1"/>
  <c r="J3901" i="14" a="1"/>
  <c r="J3901" i="14" s="1"/>
  <c r="N3902" i="14"/>
  <c r="M3905" i="13"/>
  <c r="M3906" i="14"/>
  <c r="N3903" i="13"/>
  <c r="J3902" i="13" a="1"/>
  <c r="J3902" i="13" s="1"/>
  <c r="K3717" i="13" l="1"/>
  <c r="L3717" i="13" s="1"/>
  <c r="I3718" i="13" s="1"/>
  <c r="K3739" i="14"/>
  <c r="L3739" i="14" s="1"/>
  <c r="I3740" i="14" s="1"/>
  <c r="M3906" i="13"/>
  <c r="N3904" i="13"/>
  <c r="J3903" i="13" a="1"/>
  <c r="J3903" i="13" s="1"/>
  <c r="M3907" i="14"/>
  <c r="N3903" i="14"/>
  <c r="J3902" i="14" a="1"/>
  <c r="J3902" i="14" s="1"/>
  <c r="K3740" i="14" l="1"/>
  <c r="L3740" i="14" s="1"/>
  <c r="I3741" i="14" s="1"/>
  <c r="K3718" i="13"/>
  <c r="L3718" i="13" s="1"/>
  <c r="I3719" i="13" s="1"/>
  <c r="J3904" i="13" a="1"/>
  <c r="J3904" i="13" s="1"/>
  <c r="N3905" i="13"/>
  <c r="J3903" i="14" a="1"/>
  <c r="J3903" i="14" s="1"/>
  <c r="N3904" i="14"/>
  <c r="M3908" i="14"/>
  <c r="M3907" i="13"/>
  <c r="K3719" i="13" l="1"/>
  <c r="L3719" i="13" s="1"/>
  <c r="I3720" i="13" s="1"/>
  <c r="K3741" i="14"/>
  <c r="L3741" i="14" s="1"/>
  <c r="I3742" i="14" s="1"/>
  <c r="N3905" i="14"/>
  <c r="J3904" i="14" a="1"/>
  <c r="J3904" i="14" s="1"/>
  <c r="N3906" i="13"/>
  <c r="J3905" i="13" a="1"/>
  <c r="J3905" i="13" s="1"/>
  <c r="M3908" i="13"/>
  <c r="M3909" i="14"/>
  <c r="K3742" i="14" l="1"/>
  <c r="L3742" i="14" s="1"/>
  <c r="I3743" i="14" s="1"/>
  <c r="K3720" i="13"/>
  <c r="L3720" i="13" s="1"/>
  <c r="I3721" i="13" s="1"/>
  <c r="M3909" i="13"/>
  <c r="M3910" i="14"/>
  <c r="N3907" i="13"/>
  <c r="J3906" i="13" a="1"/>
  <c r="J3906" i="13" s="1"/>
  <c r="J3905" i="14" a="1"/>
  <c r="J3905" i="14" s="1"/>
  <c r="N3906" i="14"/>
  <c r="N3908" i="13" l="1"/>
  <c r="J3907" i="13" a="1"/>
  <c r="J3907" i="13" s="1"/>
  <c r="J3906" i="14" a="1"/>
  <c r="J3906" i="14" s="1"/>
  <c r="N3907" i="14"/>
  <c r="M3911" i="14"/>
  <c r="K3721" i="13"/>
  <c r="L3721" i="13" s="1"/>
  <c r="I3722" i="13" s="1"/>
  <c r="M3910" i="13"/>
  <c r="K3743" i="14"/>
  <c r="L3743" i="14" s="1"/>
  <c r="I3744" i="14" s="1"/>
  <c r="N3908" i="14" l="1"/>
  <c r="J3907" i="14" a="1"/>
  <c r="J3907" i="14" s="1"/>
  <c r="K3744" i="14"/>
  <c r="L3744" i="14" s="1"/>
  <c r="I3745" i="14" s="1"/>
  <c r="M3912" i="14"/>
  <c r="K3722" i="13"/>
  <c r="L3722" i="13" s="1"/>
  <c r="I3723" i="13" s="1"/>
  <c r="M3911" i="13"/>
  <c r="J3908" i="13" a="1"/>
  <c r="J3908" i="13" s="1"/>
  <c r="N3909" i="13"/>
  <c r="K3723" i="13" l="1"/>
  <c r="L3723" i="13" s="1"/>
  <c r="I3724" i="13" s="1"/>
  <c r="K3745" i="14"/>
  <c r="L3745" i="14" s="1"/>
  <c r="I3746" i="14" s="1"/>
  <c r="N3910" i="13"/>
  <c r="J3909" i="13" a="1"/>
  <c r="J3909" i="13" s="1"/>
  <c r="M3912" i="13"/>
  <c r="M3913" i="14"/>
  <c r="N3909" i="14"/>
  <c r="J3908" i="14" a="1"/>
  <c r="J3908" i="14" s="1"/>
  <c r="K3746" i="14" l="1"/>
  <c r="L3746" i="14" s="1"/>
  <c r="I3747" i="14" s="1"/>
  <c r="K3724" i="13"/>
  <c r="L3724" i="13" s="1"/>
  <c r="I3725" i="13" s="1"/>
  <c r="M3913" i="13"/>
  <c r="M3914" i="14"/>
  <c r="J3909" i="14" a="1"/>
  <c r="J3909" i="14" s="1"/>
  <c r="N3910" i="14"/>
  <c r="N3911" i="13"/>
  <c r="J3910" i="13" a="1"/>
  <c r="J3910" i="13" s="1"/>
  <c r="K3725" i="13" l="1"/>
  <c r="L3725" i="13" s="1"/>
  <c r="I3726" i="13" s="1"/>
  <c r="K3747" i="14"/>
  <c r="L3747" i="14" s="1"/>
  <c r="I3748" i="14" s="1"/>
  <c r="M3915" i="14"/>
  <c r="N3912" i="13"/>
  <c r="J3911" i="13" a="1"/>
  <c r="J3911" i="13" s="1"/>
  <c r="N3911" i="14"/>
  <c r="J3910" i="14" a="1"/>
  <c r="J3910" i="14" s="1"/>
  <c r="M3914" i="13"/>
  <c r="K3748" i="14" l="1"/>
  <c r="L3748" i="14" s="1"/>
  <c r="I3749" i="14" s="1"/>
  <c r="K3726" i="13"/>
  <c r="L3726" i="13" s="1"/>
  <c r="I3727" i="13" s="1"/>
  <c r="M3915" i="13"/>
  <c r="J3912" i="13" a="1"/>
  <c r="J3912" i="13" s="1"/>
  <c r="N3913" i="13"/>
  <c r="M3916" i="14"/>
  <c r="N3912" i="14"/>
  <c r="J3911" i="14" a="1"/>
  <c r="J3911" i="14" s="1"/>
  <c r="K3727" i="13" l="1"/>
  <c r="L3727" i="13" s="1"/>
  <c r="I3728" i="13" s="1"/>
  <c r="K3749" i="14"/>
  <c r="L3749" i="14" s="1"/>
  <c r="I3750" i="14" s="1"/>
  <c r="N3914" i="13"/>
  <c r="J3913" i="13" a="1"/>
  <c r="J3913" i="13" s="1"/>
  <c r="N3913" i="14"/>
  <c r="J3912" i="14" a="1"/>
  <c r="J3912" i="14" s="1"/>
  <c r="M3917" i="14"/>
  <c r="M3916" i="13"/>
  <c r="K3728" i="13" l="1"/>
  <c r="L3728" i="13" s="1"/>
  <c r="I3729" i="13" s="1"/>
  <c r="J3913" i="14" a="1"/>
  <c r="J3913" i="14" s="1"/>
  <c r="N3914" i="14"/>
  <c r="K3750" i="14"/>
  <c r="L3750" i="14" s="1"/>
  <c r="I3751" i="14" s="1"/>
  <c r="M3917" i="13"/>
  <c r="M3918" i="14"/>
  <c r="N3915" i="13"/>
  <c r="J3914" i="13" a="1"/>
  <c r="J3914" i="13" s="1"/>
  <c r="K3729" i="13" l="1"/>
  <c r="L3729" i="13" s="1"/>
  <c r="I3730" i="13" s="1"/>
  <c r="K3751" i="14"/>
  <c r="L3751" i="14" s="1"/>
  <c r="I3752" i="14" s="1"/>
  <c r="M3918" i="13"/>
  <c r="N3915" i="14"/>
  <c r="J3914" i="14" a="1"/>
  <c r="J3914" i="14" s="1"/>
  <c r="N3916" i="13"/>
  <c r="J3915" i="13" a="1"/>
  <c r="J3915" i="13" s="1"/>
  <c r="M3919" i="14"/>
  <c r="K3730" i="13" l="1"/>
  <c r="L3730" i="13" s="1"/>
  <c r="I3731" i="13" s="1"/>
  <c r="M3920" i="14"/>
  <c r="K3752" i="14"/>
  <c r="L3752" i="14" s="1"/>
  <c r="I3753" i="14" s="1"/>
  <c r="M3919" i="13"/>
  <c r="N3916" i="14"/>
  <c r="J3915" i="14" a="1"/>
  <c r="J3915" i="14" s="1"/>
  <c r="J3916" i="13" a="1"/>
  <c r="J3916" i="13" s="1"/>
  <c r="N3917" i="13"/>
  <c r="K3753" i="14" l="1"/>
  <c r="L3753" i="14" s="1"/>
  <c r="I3754" i="14" s="1"/>
  <c r="K3731" i="13"/>
  <c r="L3731" i="13" s="1"/>
  <c r="I3732" i="13" s="1"/>
  <c r="N3918" i="13"/>
  <c r="J3917" i="13" a="1"/>
  <c r="J3917" i="13" s="1"/>
  <c r="M3920" i="13"/>
  <c r="M3921" i="14"/>
  <c r="N3917" i="14"/>
  <c r="J3916" i="14" a="1"/>
  <c r="J3916" i="14" s="1"/>
  <c r="K3732" i="13" l="1"/>
  <c r="L3732" i="13" s="1"/>
  <c r="I3733" i="13" s="1"/>
  <c r="K3754" i="14"/>
  <c r="L3754" i="14" s="1"/>
  <c r="I3755" i="14" s="1"/>
  <c r="M3921" i="13"/>
  <c r="M3922" i="14"/>
  <c r="J3917" i="14" a="1"/>
  <c r="J3917" i="14" s="1"/>
  <c r="N3918" i="14"/>
  <c r="N3919" i="13"/>
  <c r="J3918" i="13" a="1"/>
  <c r="J3918" i="13" s="1"/>
  <c r="K3755" i="14" l="1"/>
  <c r="L3755" i="14" s="1"/>
  <c r="I3756" i="14" s="1"/>
  <c r="K3733" i="13"/>
  <c r="L3733" i="13" s="1"/>
  <c r="I3734" i="13" s="1"/>
  <c r="N3920" i="13"/>
  <c r="J3919" i="13" a="1"/>
  <c r="J3919" i="13" s="1"/>
  <c r="M3923" i="14"/>
  <c r="N3919" i="14"/>
  <c r="J3918" i="14" a="1"/>
  <c r="J3918" i="14" s="1"/>
  <c r="M3922" i="13"/>
  <c r="K3734" i="13" l="1"/>
  <c r="L3734" i="13" s="1"/>
  <c r="I3735" i="13" s="1"/>
  <c r="K3756" i="14"/>
  <c r="L3756" i="14" s="1"/>
  <c r="I3757" i="14" s="1"/>
  <c r="M3924" i="14"/>
  <c r="N3920" i="14"/>
  <c r="J3919" i="14" a="1"/>
  <c r="J3919" i="14" s="1"/>
  <c r="M3923" i="13"/>
  <c r="J3920" i="13" a="1"/>
  <c r="J3920" i="13" s="1"/>
  <c r="N3921" i="13"/>
  <c r="K3735" i="13" l="1"/>
  <c r="L3735" i="13" s="1"/>
  <c r="I3736" i="13" s="1"/>
  <c r="N3921" i="14"/>
  <c r="J3920" i="14" a="1"/>
  <c r="J3920" i="14" s="1"/>
  <c r="N3922" i="13"/>
  <c r="J3921" i="13" a="1"/>
  <c r="J3921" i="13" s="1"/>
  <c r="K3757" i="14"/>
  <c r="L3757" i="14" s="1"/>
  <c r="I3758" i="14" s="1"/>
  <c r="M3924" i="13"/>
  <c r="M3925" i="14"/>
  <c r="K3736" i="13" l="1"/>
  <c r="L3736" i="13" s="1"/>
  <c r="I3737" i="13" s="1"/>
  <c r="M3926" i="14"/>
  <c r="J3921" i="14" a="1"/>
  <c r="J3921" i="14" s="1"/>
  <c r="N3922" i="14"/>
  <c r="K3758" i="14"/>
  <c r="L3758" i="14" s="1"/>
  <c r="I3759" i="14" s="1"/>
  <c r="M3925" i="13"/>
  <c r="N3923" i="13"/>
  <c r="J3922" i="13" a="1"/>
  <c r="J3922" i="13" s="1"/>
  <c r="K3759" i="14" l="1"/>
  <c r="L3759" i="14" s="1"/>
  <c r="I3760" i="14" s="1"/>
  <c r="K3737" i="13"/>
  <c r="L3737" i="13" s="1"/>
  <c r="I3738" i="13" s="1"/>
  <c r="M3927" i="14"/>
  <c r="N3924" i="13"/>
  <c r="J3923" i="13" a="1"/>
  <c r="J3923" i="13" s="1"/>
  <c r="M3926" i="13"/>
  <c r="N3923" i="14"/>
  <c r="J3922" i="14" a="1"/>
  <c r="J3922" i="14" s="1"/>
  <c r="K3738" i="13" l="1"/>
  <c r="L3738" i="13" s="1"/>
  <c r="I3739" i="13" s="1"/>
  <c r="K3760" i="14"/>
  <c r="L3760" i="14" s="1"/>
  <c r="I3761" i="14" s="1"/>
  <c r="J3924" i="13" a="1"/>
  <c r="J3924" i="13" s="1"/>
  <c r="N3925" i="13"/>
  <c r="N3924" i="14"/>
  <c r="J3923" i="14" a="1"/>
  <c r="J3923" i="14" s="1"/>
  <c r="M3927" i="13"/>
  <c r="M3928" i="14"/>
  <c r="K3761" i="14" l="1"/>
  <c r="L3761" i="14" s="1"/>
  <c r="I3762" i="14" s="1"/>
  <c r="K3739" i="13"/>
  <c r="L3739" i="13" s="1"/>
  <c r="I3740" i="13" s="1"/>
  <c r="N3925" i="14"/>
  <c r="J3924" i="14" a="1"/>
  <c r="J3924" i="14" s="1"/>
  <c r="N3926" i="13"/>
  <c r="J3925" i="13" a="1"/>
  <c r="J3925" i="13" s="1"/>
  <c r="M3929" i="14"/>
  <c r="M3928" i="13"/>
  <c r="K3762" i="14" l="1"/>
  <c r="L3762" i="14" s="1"/>
  <c r="I3763" i="14" s="1"/>
  <c r="M3929" i="13"/>
  <c r="K3740" i="13"/>
  <c r="L3740" i="13" s="1"/>
  <c r="I3741" i="13" s="1"/>
  <c r="M3930" i="14"/>
  <c r="N3927" i="13"/>
  <c r="J3926" i="13" a="1"/>
  <c r="J3926" i="13" s="1"/>
  <c r="J3925" i="14" a="1"/>
  <c r="J3925" i="14" s="1"/>
  <c r="N3926" i="14"/>
  <c r="K3741" i="13" l="1"/>
  <c r="L3741" i="13" s="1"/>
  <c r="I3742" i="13" s="1"/>
  <c r="K3763" i="14"/>
  <c r="L3763" i="14" s="1"/>
  <c r="I3764" i="14" s="1"/>
  <c r="N3927" i="14"/>
  <c r="J3926" i="14" a="1"/>
  <c r="J3926" i="14" s="1"/>
  <c r="M3931" i="14"/>
  <c r="M3930" i="13"/>
  <c r="N3928" i="13"/>
  <c r="J3927" i="13" a="1"/>
  <c r="J3927" i="13" s="1"/>
  <c r="K3764" i="14" l="1"/>
  <c r="L3764" i="14" s="1"/>
  <c r="I3765" i="14" s="1"/>
  <c r="K3742" i="13"/>
  <c r="L3742" i="13" s="1"/>
  <c r="I3743" i="13" s="1"/>
  <c r="M3932" i="14"/>
  <c r="J3928" i="13" a="1"/>
  <c r="J3928" i="13" s="1"/>
  <c r="N3929" i="13"/>
  <c r="M3931" i="13"/>
  <c r="N3928" i="14"/>
  <c r="J3927" i="14" a="1"/>
  <c r="J3927" i="14" s="1"/>
  <c r="K3743" i="13" l="1"/>
  <c r="L3743" i="13" s="1"/>
  <c r="I3744" i="13" s="1"/>
  <c r="K3765" i="14"/>
  <c r="L3765" i="14" s="1"/>
  <c r="I3766" i="14" s="1"/>
  <c r="N3930" i="13"/>
  <c r="J3929" i="13" a="1"/>
  <c r="J3929" i="13" s="1"/>
  <c r="N3929" i="14"/>
  <c r="J3928" i="14" a="1"/>
  <c r="J3928" i="14" s="1"/>
  <c r="M3932" i="13"/>
  <c r="M3933" i="14"/>
  <c r="K3744" i="13" l="1"/>
  <c r="L3744" i="13" s="1"/>
  <c r="I3745" i="13" s="1"/>
  <c r="J3929" i="14" a="1"/>
  <c r="J3929" i="14" s="1"/>
  <c r="N3930" i="14"/>
  <c r="K3766" i="14"/>
  <c r="L3766" i="14" s="1"/>
  <c r="I3767" i="14" s="1"/>
  <c r="M3934" i="14"/>
  <c r="M3933" i="13"/>
  <c r="N3931" i="13"/>
  <c r="J3930" i="13" a="1"/>
  <c r="J3930" i="13" s="1"/>
  <c r="K3767" i="14" l="1"/>
  <c r="L3767" i="14" s="1"/>
  <c r="I3768" i="14" s="1"/>
  <c r="K3745" i="13"/>
  <c r="L3745" i="13" s="1"/>
  <c r="I3746" i="13" s="1"/>
  <c r="M3935" i="14"/>
  <c r="N3931" i="14"/>
  <c r="J3930" i="14" a="1"/>
  <c r="J3930" i="14" s="1"/>
  <c r="N3932" i="13"/>
  <c r="J3931" i="13" a="1"/>
  <c r="J3931" i="13" s="1"/>
  <c r="M3934" i="13"/>
  <c r="K3768" i="14" l="1"/>
  <c r="L3768" i="14" s="1"/>
  <c r="I3769" i="14" s="1"/>
  <c r="K3746" i="13"/>
  <c r="L3746" i="13" s="1"/>
  <c r="I3747" i="13" s="1"/>
  <c r="M3935" i="13"/>
  <c r="N3932" i="14"/>
  <c r="J3931" i="14" a="1"/>
  <c r="J3931" i="14" s="1"/>
  <c r="M3936" i="14"/>
  <c r="J3932" i="13" a="1"/>
  <c r="J3932" i="13" s="1"/>
  <c r="N3933" i="13"/>
  <c r="K3747" i="13" l="1"/>
  <c r="L3747" i="13" s="1"/>
  <c r="I3748" i="13" s="1"/>
  <c r="K3769" i="14"/>
  <c r="L3769" i="14" s="1"/>
  <c r="I3770" i="14" s="1"/>
  <c r="N3934" i="13"/>
  <c r="J3933" i="13" a="1"/>
  <c r="J3933" i="13" s="1"/>
  <c r="N3933" i="14"/>
  <c r="J3932" i="14" a="1"/>
  <c r="J3932" i="14" s="1"/>
  <c r="M3937" i="14"/>
  <c r="M3936" i="13"/>
  <c r="K3770" i="14" l="1"/>
  <c r="L3770" i="14" s="1"/>
  <c r="I3771" i="14" s="1"/>
  <c r="K3748" i="13"/>
  <c r="L3748" i="13" s="1"/>
  <c r="I3749" i="13" s="1"/>
  <c r="J3933" i="14" a="1"/>
  <c r="J3933" i="14" s="1"/>
  <c r="N3934" i="14"/>
  <c r="M3937" i="13"/>
  <c r="M3938" i="14"/>
  <c r="N3935" i="13"/>
  <c r="J3934" i="13" a="1"/>
  <c r="J3934" i="13" s="1"/>
  <c r="K3749" i="13" l="1"/>
  <c r="L3749" i="13" s="1"/>
  <c r="I3750" i="13" s="1"/>
  <c r="K3771" i="14"/>
  <c r="L3771" i="14" s="1"/>
  <c r="I3772" i="14" s="1"/>
  <c r="M3938" i="13"/>
  <c r="N3936" i="13"/>
  <c r="J3935" i="13" a="1"/>
  <c r="J3935" i="13" s="1"/>
  <c r="N3935" i="14"/>
  <c r="J3934" i="14" a="1"/>
  <c r="J3934" i="14" s="1"/>
  <c r="M3939" i="14"/>
  <c r="K3772" i="14" l="1"/>
  <c r="L3772" i="14" s="1"/>
  <c r="I3773" i="14" s="1"/>
  <c r="K3750" i="13"/>
  <c r="L3750" i="13" s="1"/>
  <c r="I3751" i="13" s="1"/>
  <c r="M3940" i="14"/>
  <c r="J3936" i="13" a="1"/>
  <c r="J3936" i="13" s="1"/>
  <c r="N3937" i="13"/>
  <c r="M3939" i="13"/>
  <c r="N3936" i="14"/>
  <c r="J3935" i="14" a="1"/>
  <c r="J3935" i="14" s="1"/>
  <c r="K3773" i="14" l="1"/>
  <c r="L3773" i="14" s="1"/>
  <c r="I3774" i="14" s="1"/>
  <c r="N3938" i="13"/>
  <c r="J3937" i="13" a="1"/>
  <c r="J3937" i="13" s="1"/>
  <c r="N3937" i="14"/>
  <c r="J3936" i="14" a="1"/>
  <c r="J3936" i="14" s="1"/>
  <c r="K3751" i="13"/>
  <c r="L3751" i="13" s="1"/>
  <c r="I3752" i="13" s="1"/>
  <c r="M3940" i="13"/>
  <c r="M3941" i="14"/>
  <c r="K3774" i="14" l="1"/>
  <c r="L3774" i="14" s="1"/>
  <c r="I3775" i="14" s="1"/>
  <c r="M3942" i="14"/>
  <c r="N3939" i="13"/>
  <c r="J3938" i="13" a="1"/>
  <c r="J3938" i="13" s="1"/>
  <c r="K3752" i="13"/>
  <c r="L3752" i="13" s="1"/>
  <c r="I3753" i="13" s="1"/>
  <c r="M3941" i="13"/>
  <c r="J3937" i="14" a="1"/>
  <c r="J3937" i="14" s="1"/>
  <c r="N3938" i="14"/>
  <c r="K3753" i="13" l="1"/>
  <c r="L3753" i="13" s="1"/>
  <c r="I3754" i="13" s="1"/>
  <c r="K3775" i="14"/>
  <c r="L3775" i="14" s="1"/>
  <c r="I3776" i="14" s="1"/>
  <c r="M3943" i="14"/>
  <c r="N3939" i="14"/>
  <c r="J3938" i="14" a="1"/>
  <c r="J3938" i="14" s="1"/>
  <c r="M3942" i="13"/>
  <c r="N3940" i="13"/>
  <c r="J3939" i="13" a="1"/>
  <c r="J3939" i="13" s="1"/>
  <c r="K3776" i="14" l="1"/>
  <c r="L3776" i="14" s="1"/>
  <c r="I3777" i="14" s="1"/>
  <c r="K3754" i="13"/>
  <c r="L3754" i="13" s="1"/>
  <c r="I3755" i="13" s="1"/>
  <c r="N3940" i="14"/>
  <c r="J3939" i="14" a="1"/>
  <c r="J3939" i="14" s="1"/>
  <c r="M3943" i="13"/>
  <c r="J3940" i="13" a="1"/>
  <c r="J3940" i="13" s="1"/>
  <c r="N3941" i="13"/>
  <c r="M3944" i="14"/>
  <c r="K3755" i="13" l="1"/>
  <c r="L3755" i="13" s="1"/>
  <c r="I3756" i="13" s="1"/>
  <c r="K3777" i="14"/>
  <c r="L3777" i="14" s="1"/>
  <c r="I3778" i="14" s="1"/>
  <c r="N3942" i="13"/>
  <c r="J3941" i="13" a="1"/>
  <c r="J3941" i="13" s="1"/>
  <c r="M3945" i="14"/>
  <c r="M3944" i="13"/>
  <c r="N3941" i="14"/>
  <c r="J3940" i="14" a="1"/>
  <c r="J3940" i="14" s="1"/>
  <c r="K3778" i="14" l="1"/>
  <c r="L3778" i="14" s="1"/>
  <c r="I3779" i="14" s="1"/>
  <c r="J3941" i="14" a="1"/>
  <c r="J3941" i="14" s="1"/>
  <c r="N3942" i="14"/>
  <c r="M3946" i="14"/>
  <c r="M3945" i="13"/>
  <c r="N3943" i="13"/>
  <c r="J3942" i="13" a="1"/>
  <c r="J3942" i="13" s="1"/>
  <c r="K3756" i="13"/>
  <c r="L3756" i="13" s="1"/>
  <c r="I3757" i="13" s="1"/>
  <c r="K3779" i="14" l="1"/>
  <c r="L3779" i="14" s="1"/>
  <c r="I3780" i="14" s="1"/>
  <c r="K3757" i="13"/>
  <c r="L3757" i="13" s="1"/>
  <c r="I3758" i="13" s="1"/>
  <c r="M3946" i="13"/>
  <c r="N3943" i="14"/>
  <c r="J3942" i="14" a="1"/>
  <c r="J3942" i="14" s="1"/>
  <c r="M3947" i="14"/>
  <c r="N3944" i="13"/>
  <c r="J3943" i="13" a="1"/>
  <c r="J3943" i="13" s="1"/>
  <c r="K3758" i="13" l="1"/>
  <c r="L3758" i="13" s="1"/>
  <c r="I3759" i="13" s="1"/>
  <c r="K3780" i="14"/>
  <c r="L3780" i="14" s="1"/>
  <c r="I3781" i="14" s="1"/>
  <c r="N3944" i="14"/>
  <c r="J3943" i="14" a="1"/>
  <c r="J3943" i="14" s="1"/>
  <c r="J3944" i="13" a="1"/>
  <c r="J3944" i="13" s="1"/>
  <c r="N3945" i="13"/>
  <c r="M3948" i="14"/>
  <c r="M3947" i="13"/>
  <c r="K3781" i="14" l="1"/>
  <c r="L3781" i="14" s="1"/>
  <c r="I3782" i="14" s="1"/>
  <c r="K3759" i="13"/>
  <c r="L3759" i="13" s="1"/>
  <c r="I3760" i="13" s="1"/>
  <c r="N3946" i="13"/>
  <c r="J3945" i="13" a="1"/>
  <c r="J3945" i="13" s="1"/>
  <c r="M3948" i="13"/>
  <c r="M3949" i="14"/>
  <c r="N3945" i="14"/>
  <c r="J3944" i="14" a="1"/>
  <c r="J3944" i="14" s="1"/>
  <c r="K3760" i="13" l="1"/>
  <c r="L3760" i="13" s="1"/>
  <c r="I3761" i="13" s="1"/>
  <c r="K3782" i="14"/>
  <c r="L3782" i="14" s="1"/>
  <c r="I3783" i="14" s="1"/>
  <c r="J3945" i="14" a="1"/>
  <c r="J3945" i="14" s="1"/>
  <c r="N3946" i="14"/>
  <c r="M3949" i="13"/>
  <c r="M3950" i="14"/>
  <c r="N3947" i="13"/>
  <c r="J3946" i="13" a="1"/>
  <c r="J3946" i="13" s="1"/>
  <c r="K3783" i="14" l="1"/>
  <c r="L3783" i="14" s="1"/>
  <c r="I3784" i="14" s="1"/>
  <c r="K3761" i="13"/>
  <c r="L3761" i="13" s="1"/>
  <c r="I3762" i="13" s="1"/>
  <c r="M3950" i="13"/>
  <c r="N3948" i="13"/>
  <c r="J3947" i="13" a="1"/>
  <c r="J3947" i="13" s="1"/>
  <c r="N3947" i="14"/>
  <c r="J3946" i="14" a="1"/>
  <c r="J3946" i="14" s="1"/>
  <c r="M3951" i="14"/>
  <c r="K3762" i="13" l="1"/>
  <c r="L3762" i="13" s="1"/>
  <c r="I3763" i="13" s="1"/>
  <c r="K3784" i="14"/>
  <c r="L3784" i="14" s="1"/>
  <c r="I3785" i="14" s="1"/>
  <c r="J3948" i="13" a="1"/>
  <c r="J3948" i="13" s="1"/>
  <c r="N3949" i="13"/>
  <c r="M3951" i="13"/>
  <c r="M3952" i="14"/>
  <c r="J3947" i="14" a="1"/>
  <c r="J3947" i="14" s="1"/>
  <c r="N3948" i="14"/>
  <c r="K3785" i="14" l="1"/>
  <c r="L3785" i="14" s="1"/>
  <c r="I3786" i="14" s="1"/>
  <c r="K3763" i="13"/>
  <c r="L3763" i="13" s="1"/>
  <c r="I3764" i="13" s="1"/>
  <c r="N3949" i="14"/>
  <c r="J3948" i="14" a="1"/>
  <c r="J3948" i="14" s="1"/>
  <c r="M3952" i="13"/>
  <c r="N3950" i="13"/>
  <c r="J3949" i="13" a="1"/>
  <c r="J3949" i="13" s="1"/>
  <c r="M3953" i="14"/>
  <c r="K3764" i="13" l="1"/>
  <c r="L3764" i="13" s="1"/>
  <c r="I3765" i="13" s="1"/>
  <c r="K3786" i="14"/>
  <c r="L3786" i="14" s="1"/>
  <c r="I3787" i="14" s="1"/>
  <c r="M3954" i="14"/>
  <c r="M3953" i="13"/>
  <c r="N3951" i="13"/>
  <c r="J3950" i="13" a="1"/>
  <c r="J3950" i="13" s="1"/>
  <c r="J3949" i="14" a="1"/>
  <c r="J3949" i="14" s="1"/>
  <c r="N3950" i="14"/>
  <c r="K3787" i="14" l="1"/>
  <c r="L3787" i="14" s="1"/>
  <c r="I3788" i="14" s="1"/>
  <c r="K3765" i="13"/>
  <c r="L3765" i="13" s="1"/>
  <c r="I3766" i="13" s="1"/>
  <c r="J3950" i="14" a="1"/>
  <c r="J3950" i="14" s="1"/>
  <c r="N3951" i="14"/>
  <c r="M3954" i="13"/>
  <c r="N3952" i="13"/>
  <c r="J3951" i="13" a="1"/>
  <c r="J3951" i="13" s="1"/>
  <c r="M3955" i="14"/>
  <c r="K3766" i="13" l="1"/>
  <c r="L3766" i="13" s="1"/>
  <c r="I3767" i="13" s="1"/>
  <c r="K3788" i="14"/>
  <c r="L3788" i="14" s="1"/>
  <c r="I3789" i="14" s="1"/>
  <c r="M3956" i="14"/>
  <c r="M3955" i="13"/>
  <c r="J3952" i="13" a="1"/>
  <c r="J3952" i="13" s="1"/>
  <c r="N3953" i="13"/>
  <c r="N3952" i="14"/>
  <c r="J3951" i="14" a="1"/>
  <c r="J3951" i="14" s="1"/>
  <c r="K3767" i="13" l="1"/>
  <c r="L3767" i="13" s="1"/>
  <c r="I3768" i="13" s="1"/>
  <c r="K3789" i="14"/>
  <c r="L3789" i="14" s="1"/>
  <c r="I3790" i="14" s="1"/>
  <c r="N3954" i="13"/>
  <c r="J3953" i="13" a="1"/>
  <c r="J3953" i="13" s="1"/>
  <c r="N3953" i="14"/>
  <c r="J3952" i="14" a="1"/>
  <c r="J3952" i="14" s="1"/>
  <c r="M3956" i="13"/>
  <c r="M3957" i="14"/>
  <c r="K3790" i="14" l="1"/>
  <c r="L3790" i="14" s="1"/>
  <c r="I3791" i="14" s="1"/>
  <c r="K3768" i="13"/>
  <c r="L3768" i="13" s="1"/>
  <c r="I3769" i="13" s="1"/>
  <c r="J3953" i="14" a="1"/>
  <c r="J3953" i="14" s="1"/>
  <c r="N3954" i="14"/>
  <c r="M3957" i="13"/>
  <c r="M3958" i="14"/>
  <c r="N3955" i="13"/>
  <c r="J3954" i="13" a="1"/>
  <c r="J3954" i="13" s="1"/>
  <c r="K3769" i="13" l="1"/>
  <c r="L3769" i="13" s="1"/>
  <c r="I3770" i="13" s="1"/>
  <c r="K3791" i="14"/>
  <c r="L3791" i="14" s="1"/>
  <c r="I3792" i="14" s="1"/>
  <c r="M3958" i="13"/>
  <c r="N3956" i="13"/>
  <c r="J3955" i="13" a="1"/>
  <c r="J3955" i="13" s="1"/>
  <c r="N3955" i="14"/>
  <c r="J3954" i="14" a="1"/>
  <c r="J3954" i="14" s="1"/>
  <c r="M3959" i="14"/>
  <c r="K3770" i="13" l="1"/>
  <c r="L3770" i="13" s="1"/>
  <c r="I3771" i="13" s="1"/>
  <c r="J3956" i="13" a="1"/>
  <c r="J3956" i="13" s="1"/>
  <c r="N3957" i="13"/>
  <c r="M3960" i="14"/>
  <c r="K3792" i="14"/>
  <c r="L3792" i="14" s="1"/>
  <c r="I3793" i="14" s="1"/>
  <c r="M3959" i="13"/>
  <c r="N3956" i="14"/>
  <c r="J3955" i="14" a="1"/>
  <c r="J3955" i="14" s="1"/>
  <c r="K3793" i="14" l="1"/>
  <c r="L3793" i="14" s="1"/>
  <c r="I3794" i="14" s="1"/>
  <c r="N3958" i="13"/>
  <c r="J3957" i="13" a="1"/>
  <c r="J3957" i="13" s="1"/>
  <c r="N3957" i="14"/>
  <c r="J3956" i="14" a="1"/>
  <c r="J3956" i="14" s="1"/>
  <c r="M3960" i="13"/>
  <c r="M3961" i="14"/>
  <c r="K3771" i="13"/>
  <c r="L3771" i="13" s="1"/>
  <c r="I3772" i="13" s="1"/>
  <c r="K3772" i="13" l="1"/>
  <c r="L3772" i="13" s="1"/>
  <c r="I3773" i="13" s="1"/>
  <c r="K3794" i="14"/>
  <c r="L3794" i="14" s="1"/>
  <c r="I3795" i="14" s="1"/>
  <c r="N3959" i="13"/>
  <c r="J3958" i="13" a="1"/>
  <c r="J3958" i="13" s="1"/>
  <c r="M3961" i="13"/>
  <c r="M3962" i="14"/>
  <c r="J3957" i="14" a="1"/>
  <c r="J3957" i="14" s="1"/>
  <c r="N3958" i="14"/>
  <c r="K3795" i="14" l="1"/>
  <c r="L3795" i="14" s="1"/>
  <c r="I3796" i="14" s="1"/>
  <c r="K3773" i="13"/>
  <c r="L3773" i="13" s="1"/>
  <c r="I3774" i="13" s="1"/>
  <c r="M3962" i="13"/>
  <c r="M3963" i="14"/>
  <c r="N3959" i="14"/>
  <c r="J3958" i="14" a="1"/>
  <c r="J3958" i="14" s="1"/>
  <c r="N3960" i="13"/>
  <c r="J3959" i="13" a="1"/>
  <c r="J3959" i="13" s="1"/>
  <c r="K3774" i="13" l="1"/>
  <c r="L3774" i="13" s="1"/>
  <c r="I3775" i="13" s="1"/>
  <c r="K3796" i="14"/>
  <c r="L3796" i="14" s="1"/>
  <c r="I3797" i="14" s="1"/>
  <c r="M3964" i="14"/>
  <c r="J3960" i="13" a="1"/>
  <c r="J3960" i="13" s="1"/>
  <c r="N3961" i="13"/>
  <c r="M3963" i="13"/>
  <c r="N3960" i="14"/>
  <c r="J3959" i="14" a="1"/>
  <c r="J3959" i="14" s="1"/>
  <c r="K3797" i="14" l="1"/>
  <c r="L3797" i="14" s="1"/>
  <c r="I3798" i="14" s="1"/>
  <c r="K3775" i="13"/>
  <c r="L3775" i="13" s="1"/>
  <c r="I3776" i="13" s="1"/>
  <c r="N3962" i="13"/>
  <c r="J3961" i="13" a="1"/>
  <c r="J3961" i="13" s="1"/>
  <c r="N3961" i="14"/>
  <c r="J3960" i="14" a="1"/>
  <c r="J3960" i="14" s="1"/>
  <c r="M3964" i="13"/>
  <c r="M3965" i="14"/>
  <c r="K3776" i="13" l="1"/>
  <c r="L3776" i="13" s="1"/>
  <c r="I3777" i="13" s="1"/>
  <c r="K3798" i="14"/>
  <c r="L3798" i="14" s="1"/>
  <c r="I3799" i="14" s="1"/>
  <c r="M3966" i="14"/>
  <c r="J3961" i="14" a="1"/>
  <c r="J3961" i="14" s="1"/>
  <c r="N3962" i="14"/>
  <c r="M3965" i="13"/>
  <c r="N3963" i="13"/>
  <c r="J3962" i="13" a="1"/>
  <c r="J3962" i="13" s="1"/>
  <c r="K3799" i="14" l="1"/>
  <c r="L3799" i="14" s="1"/>
  <c r="I3800" i="14" s="1"/>
  <c r="K3777" i="13"/>
  <c r="L3777" i="13" s="1"/>
  <c r="I3778" i="13" s="1"/>
  <c r="N3964" i="13"/>
  <c r="J3963" i="13" a="1"/>
  <c r="J3963" i="13" s="1"/>
  <c r="M3967" i="14"/>
  <c r="N3963" i="14"/>
  <c r="J3962" i="14" a="1"/>
  <c r="J3962" i="14" s="1"/>
  <c r="M3966" i="13"/>
  <c r="K3778" i="13" l="1"/>
  <c r="L3778" i="13" s="1"/>
  <c r="I3779" i="13" s="1"/>
  <c r="K3800" i="14"/>
  <c r="L3800" i="14" s="1"/>
  <c r="I3801" i="14" s="1"/>
  <c r="N3964" i="14"/>
  <c r="J3963" i="14" a="1"/>
  <c r="J3963" i="14" s="1"/>
  <c r="M3968" i="14"/>
  <c r="M3967" i="13"/>
  <c r="J3964" i="13" a="1"/>
  <c r="J3964" i="13" s="1"/>
  <c r="N3965" i="13"/>
  <c r="K3801" i="14" l="1"/>
  <c r="L3801" i="14" s="1"/>
  <c r="I3802" i="14" s="1"/>
  <c r="K3779" i="13"/>
  <c r="L3779" i="13" s="1"/>
  <c r="I3780" i="13" s="1"/>
  <c r="N3966" i="13"/>
  <c r="J3965" i="13" a="1"/>
  <c r="J3965" i="13" s="1"/>
  <c r="M3969" i="14"/>
  <c r="M3968" i="13"/>
  <c r="N3965" i="14"/>
  <c r="J3964" i="14" a="1"/>
  <c r="J3964" i="14" s="1"/>
  <c r="K3780" i="13" l="1"/>
  <c r="L3780" i="13" s="1"/>
  <c r="I3781" i="13" s="1"/>
  <c r="K3802" i="14"/>
  <c r="L3802" i="14" s="1"/>
  <c r="I3803" i="14" s="1"/>
  <c r="M3970" i="14"/>
  <c r="J3965" i="14" a="1"/>
  <c r="J3965" i="14" s="1"/>
  <c r="N3966" i="14"/>
  <c r="M3969" i="13"/>
  <c r="N3967" i="13"/>
  <c r="J3966" i="13" a="1"/>
  <c r="J3966" i="13" s="1"/>
  <c r="K3803" i="14" l="1"/>
  <c r="L3803" i="14" s="1"/>
  <c r="I3804" i="14" s="1"/>
  <c r="K3781" i="13"/>
  <c r="L3781" i="13" s="1"/>
  <c r="I3782" i="13" s="1"/>
  <c r="N3967" i="14"/>
  <c r="J3966" i="14" a="1"/>
  <c r="J3966" i="14" s="1"/>
  <c r="N3968" i="13"/>
  <c r="J3967" i="13" a="1"/>
  <c r="J3967" i="13" s="1"/>
  <c r="M3970" i="13"/>
  <c r="M3971" i="14"/>
  <c r="K3782" i="13" l="1"/>
  <c r="L3782" i="13" s="1"/>
  <c r="I3783" i="13" s="1"/>
  <c r="K3804" i="14"/>
  <c r="L3804" i="14" s="1"/>
  <c r="I3805" i="14" s="1"/>
  <c r="J3968" i="13" a="1"/>
  <c r="J3968" i="13" s="1"/>
  <c r="N3969" i="13"/>
  <c r="M3972" i="14"/>
  <c r="M3971" i="13"/>
  <c r="J3967" i="14" a="1"/>
  <c r="J3967" i="14" s="1"/>
  <c r="N3968" i="14"/>
  <c r="K3805" i="14" l="1"/>
  <c r="L3805" i="14" s="1"/>
  <c r="I3806" i="14" s="1"/>
  <c r="K3783" i="13"/>
  <c r="L3783" i="13" s="1"/>
  <c r="I3784" i="13" s="1"/>
  <c r="N3969" i="14"/>
  <c r="J3968" i="14" a="1"/>
  <c r="J3968" i="14" s="1"/>
  <c r="M3973" i="14"/>
  <c r="N3970" i="13"/>
  <c r="J3969" i="13" a="1"/>
  <c r="J3969" i="13" s="1"/>
  <c r="M3972" i="13"/>
  <c r="K3784" i="13" l="1"/>
  <c r="L3784" i="13" s="1"/>
  <c r="I3785" i="13" s="1"/>
  <c r="K3806" i="14"/>
  <c r="L3806" i="14" s="1"/>
  <c r="I3807" i="14" s="1"/>
  <c r="M3973" i="13"/>
  <c r="N3971" i="13"/>
  <c r="J3970" i="13" a="1"/>
  <c r="J3970" i="13" s="1"/>
  <c r="M3974" i="14"/>
  <c r="J3969" i="14" a="1"/>
  <c r="J3969" i="14" s="1"/>
  <c r="N3970" i="14"/>
  <c r="K3807" i="14" l="1"/>
  <c r="L3807" i="14" s="1"/>
  <c r="I3808" i="14" s="1"/>
  <c r="K3785" i="13"/>
  <c r="L3785" i="13" s="1"/>
  <c r="I3786" i="13" s="1"/>
  <c r="J3970" i="14" a="1"/>
  <c r="J3970" i="14" s="1"/>
  <c r="N3971" i="14"/>
  <c r="M3974" i="13"/>
  <c r="N3972" i="13"/>
  <c r="J3971" i="13" a="1"/>
  <c r="J3971" i="13" s="1"/>
  <c r="M3975" i="14"/>
  <c r="K3786" i="13" l="1"/>
  <c r="L3786" i="13" s="1"/>
  <c r="I3787" i="13" s="1"/>
  <c r="K3808" i="14"/>
  <c r="L3808" i="14" s="1"/>
  <c r="I3809" i="14" s="1"/>
  <c r="M3976" i="14"/>
  <c r="J3972" i="13" a="1"/>
  <c r="J3972" i="13" s="1"/>
  <c r="N3973" i="13"/>
  <c r="M3975" i="13"/>
  <c r="N3972" i="14"/>
  <c r="J3971" i="14" a="1"/>
  <c r="J3971" i="14" s="1"/>
  <c r="K3809" i="14" l="1"/>
  <c r="L3809" i="14" s="1"/>
  <c r="I3810" i="14" s="1"/>
  <c r="K3787" i="13"/>
  <c r="L3787" i="13" s="1"/>
  <c r="I3788" i="13" s="1"/>
  <c r="N3974" i="13"/>
  <c r="J3973" i="13" a="1"/>
  <c r="J3973" i="13" s="1"/>
  <c r="N3973" i="14"/>
  <c r="J3972" i="14" a="1"/>
  <c r="J3972" i="14" s="1"/>
  <c r="M3976" i="13"/>
  <c r="M3977" i="14"/>
  <c r="K3788" i="13" l="1"/>
  <c r="L3788" i="13" s="1"/>
  <c r="I3789" i="13" s="1"/>
  <c r="K3810" i="14"/>
  <c r="L3810" i="14" s="1"/>
  <c r="I3811" i="14" s="1"/>
  <c r="M3978" i="14"/>
  <c r="J3973" i="14" a="1"/>
  <c r="J3973" i="14" s="1"/>
  <c r="N3974" i="14"/>
  <c r="M3977" i="13"/>
  <c r="N3975" i="13"/>
  <c r="J3974" i="13" a="1"/>
  <c r="J3974" i="13" s="1"/>
  <c r="K3811" i="14" l="1"/>
  <c r="L3811" i="14" s="1"/>
  <c r="I3812" i="14" s="1"/>
  <c r="K3789" i="13"/>
  <c r="L3789" i="13" s="1"/>
  <c r="I3790" i="13" s="1"/>
  <c r="N3975" i="14"/>
  <c r="J3974" i="14" a="1"/>
  <c r="J3974" i="14" s="1"/>
  <c r="M3979" i="14"/>
  <c r="N3976" i="13"/>
  <c r="J3975" i="13" a="1"/>
  <c r="J3975" i="13" s="1"/>
  <c r="M3978" i="13"/>
  <c r="K3790" i="13" l="1"/>
  <c r="L3790" i="13" s="1"/>
  <c r="I3791" i="13" s="1"/>
  <c r="K3812" i="14"/>
  <c r="L3812" i="14" s="1"/>
  <c r="I3813" i="14" s="1"/>
  <c r="M3980" i="14"/>
  <c r="M3979" i="13"/>
  <c r="J3976" i="13" a="1"/>
  <c r="J3976" i="13" s="1"/>
  <c r="N3977" i="13"/>
  <c r="N3976" i="14"/>
  <c r="J3975" i="14" a="1"/>
  <c r="J3975" i="14" s="1"/>
  <c r="K3813" i="14" l="1"/>
  <c r="L3813" i="14" s="1"/>
  <c r="I3814" i="14" s="1"/>
  <c r="K3791" i="13"/>
  <c r="L3791" i="13" s="1"/>
  <c r="I3792" i="13" s="1"/>
  <c r="N3977" i="14"/>
  <c r="J3976" i="14" a="1"/>
  <c r="J3976" i="14" s="1"/>
  <c r="M3980" i="13"/>
  <c r="N3978" i="13"/>
  <c r="J3977" i="13" a="1"/>
  <c r="J3977" i="13" s="1"/>
  <c r="M3981" i="14"/>
  <c r="K3792" i="13" l="1"/>
  <c r="L3792" i="13" s="1"/>
  <c r="I3793" i="13" s="1"/>
  <c r="K3814" i="14"/>
  <c r="L3814" i="14" s="1"/>
  <c r="I3815" i="14" s="1"/>
  <c r="M3982" i="14"/>
  <c r="M3981" i="13"/>
  <c r="N3979" i="13"/>
  <c r="J3978" i="13" a="1"/>
  <c r="J3978" i="13" s="1"/>
  <c r="J3977" i="14" a="1"/>
  <c r="J3977" i="14" s="1"/>
  <c r="N3978" i="14"/>
  <c r="K3815" i="14" l="1"/>
  <c r="L3815" i="14" s="1"/>
  <c r="I3816" i="14" s="1"/>
  <c r="K3793" i="13"/>
  <c r="L3793" i="13" s="1"/>
  <c r="I3794" i="13" s="1"/>
  <c r="N3979" i="14"/>
  <c r="J3978" i="14" a="1"/>
  <c r="J3978" i="14" s="1"/>
  <c r="M3982" i="13"/>
  <c r="M3983" i="14"/>
  <c r="N3980" i="13"/>
  <c r="J3979" i="13" a="1"/>
  <c r="J3979" i="13" s="1"/>
  <c r="K3794" i="13" l="1"/>
  <c r="L3794" i="13" s="1"/>
  <c r="I3795" i="13" s="1"/>
  <c r="K3816" i="14"/>
  <c r="L3816" i="14" s="1"/>
  <c r="I3817" i="14" s="1"/>
  <c r="M3983" i="13"/>
  <c r="J3980" i="13" a="1"/>
  <c r="J3980" i="13" s="1"/>
  <c r="N3981" i="13"/>
  <c r="M3984" i="14"/>
  <c r="N3980" i="14"/>
  <c r="J3979" i="14" a="1"/>
  <c r="J3979" i="14" s="1"/>
  <c r="K3817" i="14" l="1"/>
  <c r="L3817" i="14" s="1"/>
  <c r="I3818" i="14" s="1"/>
  <c r="K3795" i="13"/>
  <c r="L3795" i="13" s="1"/>
  <c r="I3796" i="13" s="1"/>
  <c r="N3982" i="13"/>
  <c r="J3981" i="13" a="1"/>
  <c r="J3981" i="13" s="1"/>
  <c r="N3981" i="14"/>
  <c r="J3980" i="14" a="1"/>
  <c r="J3980" i="14" s="1"/>
  <c r="M3985" i="14"/>
  <c r="M3984" i="13"/>
  <c r="K3796" i="13" l="1"/>
  <c r="L3796" i="13" s="1"/>
  <c r="I3797" i="13" s="1"/>
  <c r="K3818" i="14"/>
  <c r="L3818" i="14" s="1"/>
  <c r="I3819" i="14" s="1"/>
  <c r="M3985" i="13"/>
  <c r="J3981" i="14" a="1"/>
  <c r="J3981" i="14" s="1"/>
  <c r="N3982" i="14"/>
  <c r="M3986" i="14"/>
  <c r="N3983" i="13"/>
  <c r="J3982" i="13" a="1"/>
  <c r="J3982" i="13" s="1"/>
  <c r="K3819" i="14" l="1"/>
  <c r="L3819" i="14" s="1"/>
  <c r="I3820" i="14" s="1"/>
  <c r="K3797" i="13"/>
  <c r="L3797" i="13" s="1"/>
  <c r="I3798" i="13" s="1"/>
  <c r="N3983" i="14"/>
  <c r="J3982" i="14" a="1"/>
  <c r="J3982" i="14" s="1"/>
  <c r="N3984" i="13"/>
  <c r="J3983" i="13" a="1"/>
  <c r="J3983" i="13" s="1"/>
  <c r="M3986" i="13"/>
  <c r="M3987" i="14"/>
  <c r="K3820" i="14" l="1"/>
  <c r="L3820" i="14" s="1"/>
  <c r="I3821" i="14" s="1"/>
  <c r="J3984" i="13" a="1"/>
  <c r="J3984" i="13" s="1"/>
  <c r="N3985" i="13"/>
  <c r="K3798" i="13"/>
  <c r="L3798" i="13" s="1"/>
  <c r="I3799" i="13" s="1"/>
  <c r="M3987" i="13"/>
  <c r="M3988" i="14"/>
  <c r="N3984" i="14"/>
  <c r="J3983" i="14" a="1"/>
  <c r="J3983" i="14" s="1"/>
  <c r="K3799" i="13" l="1"/>
  <c r="L3799" i="13" s="1"/>
  <c r="I3800" i="13" s="1"/>
  <c r="K3821" i="14"/>
  <c r="L3821" i="14" s="1"/>
  <c r="I3822" i="14" s="1"/>
  <c r="N3986" i="13"/>
  <c r="J3985" i="13" a="1"/>
  <c r="J3985" i="13" s="1"/>
  <c r="N3985" i="14"/>
  <c r="J3984" i="14" a="1"/>
  <c r="J3984" i="14" s="1"/>
  <c r="M3988" i="13"/>
  <c r="M3989" i="14"/>
  <c r="K3822" i="14" l="1"/>
  <c r="L3822" i="14" s="1"/>
  <c r="I3823" i="14" s="1"/>
  <c r="K3800" i="13"/>
  <c r="L3800" i="13" s="1"/>
  <c r="I3801" i="13" s="1"/>
  <c r="M3990" i="14"/>
  <c r="J3985" i="14" a="1"/>
  <c r="J3985" i="14" s="1"/>
  <c r="N3986" i="14"/>
  <c r="M3989" i="13"/>
  <c r="N3987" i="13"/>
  <c r="J3986" i="13" a="1"/>
  <c r="J3986" i="13" s="1"/>
  <c r="K3801" i="13" l="1"/>
  <c r="L3801" i="13" s="1"/>
  <c r="I3802" i="13" s="1"/>
  <c r="K3823" i="14"/>
  <c r="L3823" i="14" s="1"/>
  <c r="I3824" i="14" s="1"/>
  <c r="N3987" i="14"/>
  <c r="J3986" i="14" a="1"/>
  <c r="J3986" i="14" s="1"/>
  <c r="N3988" i="13"/>
  <c r="J3987" i="13" a="1"/>
  <c r="J3987" i="13" s="1"/>
  <c r="M3991" i="14"/>
  <c r="M3990" i="13"/>
  <c r="K3824" i="14" l="1"/>
  <c r="L3824" i="14" s="1"/>
  <c r="I3825" i="14" s="1"/>
  <c r="K3802" i="13"/>
  <c r="L3802" i="13" s="1"/>
  <c r="I3803" i="13" s="1"/>
  <c r="M3991" i="13"/>
  <c r="J3988" i="13" a="1"/>
  <c r="J3988" i="13" s="1"/>
  <c r="N3989" i="13"/>
  <c r="M3992" i="14"/>
  <c r="N3988" i="14"/>
  <c r="J3987" i="14" a="1"/>
  <c r="J3987" i="14" s="1"/>
  <c r="K3803" i="13" l="1"/>
  <c r="L3803" i="13" s="1"/>
  <c r="I3804" i="13" s="1"/>
  <c r="K3825" i="14"/>
  <c r="L3825" i="14" s="1"/>
  <c r="I3826" i="14" s="1"/>
  <c r="N3990" i="13"/>
  <c r="J3989" i="13" a="1"/>
  <c r="J3989" i="13" s="1"/>
  <c r="N3989" i="14"/>
  <c r="J3988" i="14" a="1"/>
  <c r="J3988" i="14" s="1"/>
  <c r="M3993" i="14"/>
  <c r="M3992" i="13"/>
  <c r="K3826" i="14" l="1"/>
  <c r="L3826" i="14" s="1"/>
  <c r="I3827" i="14" s="1"/>
  <c r="K3804" i="13"/>
  <c r="L3804" i="13" s="1"/>
  <c r="I3805" i="13" s="1"/>
  <c r="J3989" i="14" a="1"/>
  <c r="J3989" i="14" s="1"/>
  <c r="N3990" i="14"/>
  <c r="M3994" i="14"/>
  <c r="M3993" i="13"/>
  <c r="N3991" i="13"/>
  <c r="J3990" i="13" a="1"/>
  <c r="J3990" i="13" s="1"/>
  <c r="K3805" i="13" l="1"/>
  <c r="L3805" i="13" s="1"/>
  <c r="I3806" i="13" s="1"/>
  <c r="K3827" i="14"/>
  <c r="L3827" i="14" s="1"/>
  <c r="I3828" i="14" s="1"/>
  <c r="M3995" i="14"/>
  <c r="N3992" i="13"/>
  <c r="J3991" i="13" a="1"/>
  <c r="J3991" i="13" s="1"/>
  <c r="N3991" i="14"/>
  <c r="J3990" i="14" a="1"/>
  <c r="J3990" i="14" s="1"/>
  <c r="M3994" i="13"/>
  <c r="K3828" i="14" l="1"/>
  <c r="L3828" i="14" s="1"/>
  <c r="I3829" i="14" s="1"/>
  <c r="K3806" i="13"/>
  <c r="L3806" i="13" s="1"/>
  <c r="I3807" i="13" s="1"/>
  <c r="M3995" i="13"/>
  <c r="J3992" i="13" a="1"/>
  <c r="J3992" i="13" s="1"/>
  <c r="N3993" i="13"/>
  <c r="M3996" i="14"/>
  <c r="N3992" i="14"/>
  <c r="J3991" i="14" a="1"/>
  <c r="J3991" i="14" s="1"/>
  <c r="K3807" i="13" l="1"/>
  <c r="L3807" i="13" s="1"/>
  <c r="I3808" i="13" s="1"/>
  <c r="K3829" i="14"/>
  <c r="L3829" i="14" s="1"/>
  <c r="I3830" i="14" s="1"/>
  <c r="N3994" i="13"/>
  <c r="J3993" i="13" a="1"/>
  <c r="J3993" i="13" s="1"/>
  <c r="N3993" i="14"/>
  <c r="J3992" i="14" a="1"/>
  <c r="J3992" i="14" s="1"/>
  <c r="M3997" i="14"/>
  <c r="M3996" i="13"/>
  <c r="K3830" i="14" l="1"/>
  <c r="L3830" i="14" s="1"/>
  <c r="I3831" i="14" s="1"/>
  <c r="K3808" i="13"/>
  <c r="L3808" i="13" s="1"/>
  <c r="I3809" i="13" s="1"/>
  <c r="M3997" i="13"/>
  <c r="J3993" i="14" a="1"/>
  <c r="J3993" i="14" s="1"/>
  <c r="N3994" i="14"/>
  <c r="M3998" i="14"/>
  <c r="N3995" i="13"/>
  <c r="J3994" i="13" a="1"/>
  <c r="J3994" i="13" s="1"/>
  <c r="K3809" i="13" l="1"/>
  <c r="L3809" i="13" s="1"/>
  <c r="I3810" i="13" s="1"/>
  <c r="K3831" i="14"/>
  <c r="L3831" i="14" s="1"/>
  <c r="I3832" i="14" s="1"/>
  <c r="N3995" i="14"/>
  <c r="J3994" i="14" a="1"/>
  <c r="J3994" i="14" s="1"/>
  <c r="M3998" i="13"/>
  <c r="N3996" i="13"/>
  <c r="J3995" i="13" a="1"/>
  <c r="J3995" i="13" s="1"/>
  <c r="M3999" i="14"/>
  <c r="K3832" i="14" l="1"/>
  <c r="L3832" i="14" s="1"/>
  <c r="I3833" i="14" s="1"/>
  <c r="K3810" i="13"/>
  <c r="L3810" i="13" s="1"/>
  <c r="I3811" i="13" s="1"/>
  <c r="M4000" i="14"/>
  <c r="J3996" i="13" a="1"/>
  <c r="J3996" i="13" s="1"/>
  <c r="N3997" i="13"/>
  <c r="M3999" i="13"/>
  <c r="N3996" i="14"/>
  <c r="J3995" i="14" a="1"/>
  <c r="J3995" i="14" s="1"/>
  <c r="K3811" i="13" l="1"/>
  <c r="L3811" i="13" s="1"/>
  <c r="I3812" i="13" s="1"/>
  <c r="K3833" i="14"/>
  <c r="L3833" i="14" s="1"/>
  <c r="I3834" i="14" s="1"/>
  <c r="N3998" i="13"/>
  <c r="J3997" i="13" a="1"/>
  <c r="J3997" i="13" s="1"/>
  <c r="N3997" i="14"/>
  <c r="J3996" i="14" a="1"/>
  <c r="J3996" i="14" s="1"/>
  <c r="M4000" i="13"/>
  <c r="M4001" i="14"/>
  <c r="K3834" i="14" l="1"/>
  <c r="L3834" i="14" s="1"/>
  <c r="I3835" i="14" s="1"/>
  <c r="K3812" i="13"/>
  <c r="L3812" i="13" s="1"/>
  <c r="I3813" i="13" s="1"/>
  <c r="J3997" i="14" a="1"/>
  <c r="J3997" i="14" s="1"/>
  <c r="N3998" i="14"/>
  <c r="M4002" i="14"/>
  <c r="M4001" i="13"/>
  <c r="N3999" i="13"/>
  <c r="J3998" i="13" a="1"/>
  <c r="J3998" i="13" s="1"/>
  <c r="K3835" i="14" l="1"/>
  <c r="L3835" i="14" s="1"/>
  <c r="I3836" i="14" s="1"/>
  <c r="K3813" i="13"/>
  <c r="L3813" i="13" s="1"/>
  <c r="I3814" i="13" s="1"/>
  <c r="N4000" i="13"/>
  <c r="J3999" i="13" a="1"/>
  <c r="J3999" i="13" s="1"/>
  <c r="M4003" i="14"/>
  <c r="M4002" i="13"/>
  <c r="N3999" i="14"/>
  <c r="J3998" i="14" a="1"/>
  <c r="J3998" i="14" s="1"/>
  <c r="K3814" i="13" l="1"/>
  <c r="L3814" i="13" s="1"/>
  <c r="I3815" i="13" s="1"/>
  <c r="K3836" i="14"/>
  <c r="L3836" i="14" s="1"/>
  <c r="I3837" i="14" s="1"/>
  <c r="M4003" i="13"/>
  <c r="M4004" i="14"/>
  <c r="N4000" i="14"/>
  <c r="J3999" i="14" a="1"/>
  <c r="J3999" i="14" s="1"/>
  <c r="J4000" i="13" a="1"/>
  <c r="J4000" i="13" s="1"/>
  <c r="N4001" i="13"/>
  <c r="K3837" i="14" l="1"/>
  <c r="L3837" i="14" s="1"/>
  <c r="I3838" i="14" s="1"/>
  <c r="K3815" i="13"/>
  <c r="L3815" i="13" s="1"/>
  <c r="I3816" i="13" s="1"/>
  <c r="N4002" i="13"/>
  <c r="J4001" i="13" a="1"/>
  <c r="J4001" i="13" s="1"/>
  <c r="M4005" i="14"/>
  <c r="N4001" i="14"/>
  <c r="J4000" i="14" a="1"/>
  <c r="J4000" i="14" s="1"/>
  <c r="M4004" i="13"/>
  <c r="K3816" i="13" l="1"/>
  <c r="L3816" i="13" s="1"/>
  <c r="I3817" i="13" s="1"/>
  <c r="K3838" i="14"/>
  <c r="L3838" i="14" s="1"/>
  <c r="I3839" i="14" s="1"/>
  <c r="M4005" i="13"/>
  <c r="M4006" i="14"/>
  <c r="J4001" i="14" a="1"/>
  <c r="J4001" i="14" s="1"/>
  <c r="N4002" i="14"/>
  <c r="N4003" i="13"/>
  <c r="J4002" i="13" a="1"/>
  <c r="J4002" i="13" s="1"/>
  <c r="K3839" i="14" l="1"/>
  <c r="L3839" i="14" s="1"/>
  <c r="I3840" i="14" s="1"/>
  <c r="K3817" i="13"/>
  <c r="L3817" i="13" s="1"/>
  <c r="I3818" i="13" s="1"/>
  <c r="N4004" i="13"/>
  <c r="J4003" i="13" a="1"/>
  <c r="J4003" i="13" s="1"/>
  <c r="M4007" i="14"/>
  <c r="N4003" i="14"/>
  <c r="J4002" i="14" a="1"/>
  <c r="J4002" i="14" s="1"/>
  <c r="M4006" i="13"/>
  <c r="K3818" i="13" l="1"/>
  <c r="L3818" i="13" s="1"/>
  <c r="I3819" i="13" s="1"/>
  <c r="K3840" i="14"/>
  <c r="L3840" i="14" s="1"/>
  <c r="I3841" i="14" s="1"/>
  <c r="M4007" i="13"/>
  <c r="N4004" i="14"/>
  <c r="J4003" i="14" a="1"/>
  <c r="J4003" i="14" s="1"/>
  <c r="M4008" i="14"/>
  <c r="J4004" i="13" a="1"/>
  <c r="J4004" i="13" s="1"/>
  <c r="N4005" i="13"/>
  <c r="K3841" i="14" l="1"/>
  <c r="L3841" i="14" s="1"/>
  <c r="I3842" i="14" s="1"/>
  <c r="K3819" i="13"/>
  <c r="L3819" i="13" s="1"/>
  <c r="I3820" i="13" s="1"/>
  <c r="N4006" i="13"/>
  <c r="J4005" i="13" a="1"/>
  <c r="J4005" i="13" s="1"/>
  <c r="N4005" i="14"/>
  <c r="J4004" i="14" a="1"/>
  <c r="J4004" i="14" s="1"/>
  <c r="M4009" i="14"/>
  <c r="M4008" i="13"/>
  <c r="K3820" i="13" l="1"/>
  <c r="L3820" i="13" s="1"/>
  <c r="I3821" i="13" s="1"/>
  <c r="K3842" i="14"/>
  <c r="L3842" i="14" s="1"/>
  <c r="I3843" i="14" s="1"/>
  <c r="J4005" i="14" a="1"/>
  <c r="J4005" i="14" s="1"/>
  <c r="N4006" i="14"/>
  <c r="M4009" i="13"/>
  <c r="M4010" i="14"/>
  <c r="N4007" i="13"/>
  <c r="J4006" i="13" a="1"/>
  <c r="J4006" i="13" s="1"/>
  <c r="K3843" i="14" l="1"/>
  <c r="L3843" i="14" s="1"/>
  <c r="I3844" i="14" s="1"/>
  <c r="K3821" i="13"/>
  <c r="L3821" i="13" s="1"/>
  <c r="I3822" i="13" s="1"/>
  <c r="N4008" i="13"/>
  <c r="J4007" i="13" a="1"/>
  <c r="J4007" i="13" s="1"/>
  <c r="M4010" i="13"/>
  <c r="N4007" i="14"/>
  <c r="J4006" i="14" a="1"/>
  <c r="J4006" i="14" s="1"/>
  <c r="M4011" i="14"/>
  <c r="K3822" i="13" l="1"/>
  <c r="L3822" i="13" s="1"/>
  <c r="I3823" i="13" s="1"/>
  <c r="K3844" i="14"/>
  <c r="L3844" i="14" s="1"/>
  <c r="I3845" i="14" s="1"/>
  <c r="M4012" i="14"/>
  <c r="M4011" i="13"/>
  <c r="N4008" i="14"/>
  <c r="J4007" i="14" a="1"/>
  <c r="J4007" i="14" s="1"/>
  <c r="J4008" i="13" a="1"/>
  <c r="J4008" i="13" s="1"/>
  <c r="N4009" i="13"/>
  <c r="K3845" i="14" l="1"/>
  <c r="L3845" i="14" s="1"/>
  <c r="I3846" i="14" s="1"/>
  <c r="K3823" i="13"/>
  <c r="L3823" i="13" s="1"/>
  <c r="I3824" i="13" s="1"/>
  <c r="N4010" i="13"/>
  <c r="J4009" i="13" a="1"/>
  <c r="J4009" i="13" s="1"/>
  <c r="M4012" i="13"/>
  <c r="N4009" i="14"/>
  <c r="J4008" i="14" a="1"/>
  <c r="J4008" i="14" s="1"/>
  <c r="M4013" i="14"/>
  <c r="K3824" i="13" l="1"/>
  <c r="L3824" i="13" s="1"/>
  <c r="I3825" i="13" s="1"/>
  <c r="K3846" i="14"/>
  <c r="L3846" i="14" s="1"/>
  <c r="I3847" i="14" s="1"/>
  <c r="M4014" i="14"/>
  <c r="J4009" i="14" a="1"/>
  <c r="J4009" i="14" s="1"/>
  <c r="N4010" i="14"/>
  <c r="M4013" i="13"/>
  <c r="N4011" i="13"/>
  <c r="J4010" i="13" a="1"/>
  <c r="J4010" i="13" s="1"/>
  <c r="K3847" i="14" l="1"/>
  <c r="L3847" i="14" s="1"/>
  <c r="I3848" i="14" s="1"/>
  <c r="K3825" i="13"/>
  <c r="L3825" i="13" s="1"/>
  <c r="I3826" i="13" s="1"/>
  <c r="N4011" i="14"/>
  <c r="J4010" i="14" a="1"/>
  <c r="J4010" i="14" s="1"/>
  <c r="M4014" i="13"/>
  <c r="N4012" i="13"/>
  <c r="J4011" i="13" a="1"/>
  <c r="J4011" i="13" s="1"/>
  <c r="M4015" i="14"/>
  <c r="K3826" i="13" l="1"/>
  <c r="L3826" i="13" s="1"/>
  <c r="I3827" i="13" s="1"/>
  <c r="K3848" i="14"/>
  <c r="L3848" i="14" s="1"/>
  <c r="I3849" i="14" s="1"/>
  <c r="M4016" i="14"/>
  <c r="M4015" i="13"/>
  <c r="J4012" i="13" a="1"/>
  <c r="J4012" i="13" s="1"/>
  <c r="N4013" i="13"/>
  <c r="J4011" i="14" a="1"/>
  <c r="J4011" i="14" s="1"/>
  <c r="N4012" i="14"/>
  <c r="K3849" i="14" l="1"/>
  <c r="L3849" i="14" s="1"/>
  <c r="I3850" i="14" s="1"/>
  <c r="K3827" i="13"/>
  <c r="L3827" i="13" s="1"/>
  <c r="I3828" i="13" s="1"/>
  <c r="N4013" i="14"/>
  <c r="J4012" i="14" a="1"/>
  <c r="J4012" i="14" s="1"/>
  <c r="M4016" i="13"/>
  <c r="N4014" i="13"/>
  <c r="J4013" i="13" a="1"/>
  <c r="J4013" i="13" s="1"/>
  <c r="M4017" i="14"/>
  <c r="K3828" i="13" l="1"/>
  <c r="L3828" i="13" s="1"/>
  <c r="I3829" i="13" s="1"/>
  <c r="K3850" i="14"/>
  <c r="L3850" i="14" s="1"/>
  <c r="I3851" i="14" s="1"/>
  <c r="N4015" i="13"/>
  <c r="J4014" i="13" a="1"/>
  <c r="J4014" i="13" s="1"/>
  <c r="M4017" i="13"/>
  <c r="M4018" i="14"/>
  <c r="J4013" i="14" a="1"/>
  <c r="J4013" i="14" s="1"/>
  <c r="N4014" i="14"/>
  <c r="K3851" i="14" l="1"/>
  <c r="L3851" i="14" s="1"/>
  <c r="I3852" i="14" s="1"/>
  <c r="K3829" i="13"/>
  <c r="L3829" i="13" s="1"/>
  <c r="I3830" i="13" s="1"/>
  <c r="J4014" i="14" a="1"/>
  <c r="J4014" i="14" s="1"/>
  <c r="N4015" i="14"/>
  <c r="M4018" i="13"/>
  <c r="M4019" i="14"/>
  <c r="N4016" i="13"/>
  <c r="J4015" i="13" a="1"/>
  <c r="J4015" i="13" s="1"/>
  <c r="K3830" i="13" l="1"/>
  <c r="L3830" i="13" s="1"/>
  <c r="I3831" i="13" s="1"/>
  <c r="K3852" i="14"/>
  <c r="L3852" i="14" s="1"/>
  <c r="I3853" i="14" s="1"/>
  <c r="M4019" i="13"/>
  <c r="J4016" i="13" a="1"/>
  <c r="J4016" i="13" s="1"/>
  <c r="N4017" i="13"/>
  <c r="N4016" i="14"/>
  <c r="J4015" i="14" a="1"/>
  <c r="J4015" i="14" s="1"/>
  <c r="M4020" i="14"/>
  <c r="K3853" i="14" l="1"/>
  <c r="L3853" i="14" s="1"/>
  <c r="I3854" i="14" s="1"/>
  <c r="K3831" i="13"/>
  <c r="L3831" i="13" s="1"/>
  <c r="I3832" i="13" s="1"/>
  <c r="N4018" i="13"/>
  <c r="J4017" i="13" a="1"/>
  <c r="J4017" i="13" s="1"/>
  <c r="M4021" i="14"/>
  <c r="N4017" i="14"/>
  <c r="J4016" i="14" a="1"/>
  <c r="J4016" i="14" s="1"/>
  <c r="M4020" i="13"/>
  <c r="K3832" i="13" l="1"/>
  <c r="L3832" i="13" s="1"/>
  <c r="I3833" i="13" s="1"/>
  <c r="K3854" i="14"/>
  <c r="L3854" i="14" s="1"/>
  <c r="I3855" i="14" s="1"/>
  <c r="M4021" i="13"/>
  <c r="M4022" i="14"/>
  <c r="J4017" i="14" a="1"/>
  <c r="J4017" i="14" s="1"/>
  <c r="N4018" i="14"/>
  <c r="N4019" i="13"/>
  <c r="J4018" i="13" a="1"/>
  <c r="J4018" i="13" s="1"/>
  <c r="K3855" i="14" l="1"/>
  <c r="L3855" i="14" s="1"/>
  <c r="I3856" i="14" s="1"/>
  <c r="K3833" i="13"/>
  <c r="L3833" i="13" s="1"/>
  <c r="I3834" i="13" s="1"/>
  <c r="M4023" i="14"/>
  <c r="N4020" i="13"/>
  <c r="J4019" i="13" a="1"/>
  <c r="J4019" i="13" s="1"/>
  <c r="N4019" i="14"/>
  <c r="J4018" i="14" a="1"/>
  <c r="J4018" i="14" s="1"/>
  <c r="M4022" i="13"/>
  <c r="K3834" i="13" l="1"/>
  <c r="L3834" i="13" s="1"/>
  <c r="I3835" i="13" s="1"/>
  <c r="K3856" i="14"/>
  <c r="L3856" i="14" s="1"/>
  <c r="I3857" i="14" s="1"/>
  <c r="J4020" i="13" a="1"/>
  <c r="J4020" i="13" s="1"/>
  <c r="N4021" i="13"/>
  <c r="M4024" i="14"/>
  <c r="M4023" i="13"/>
  <c r="N4020" i="14"/>
  <c r="J4019" i="14" a="1"/>
  <c r="J4019" i="14" s="1"/>
  <c r="K3857" i="14" l="1"/>
  <c r="L3857" i="14" s="1"/>
  <c r="I3858" i="14" s="1"/>
  <c r="K3835" i="13"/>
  <c r="L3835" i="13" s="1"/>
  <c r="I3836" i="13" s="1"/>
  <c r="N4021" i="14"/>
  <c r="J4020" i="14" a="1"/>
  <c r="J4020" i="14" s="1"/>
  <c r="M4025" i="14"/>
  <c r="N4022" i="13"/>
  <c r="J4021" i="13" a="1"/>
  <c r="J4021" i="13" s="1"/>
  <c r="M4024" i="13"/>
  <c r="K3836" i="13" l="1"/>
  <c r="L3836" i="13" s="1"/>
  <c r="I3837" i="13" s="1"/>
  <c r="K3858" i="14"/>
  <c r="L3858" i="14" s="1"/>
  <c r="I3859" i="14" s="1"/>
  <c r="M4025" i="13"/>
  <c r="M4026" i="14"/>
  <c r="N4023" i="13"/>
  <c r="J4022" i="13" a="1"/>
  <c r="J4022" i="13" s="1"/>
  <c r="J4021" i="14" a="1"/>
  <c r="J4021" i="14" s="1"/>
  <c r="N4022" i="14"/>
  <c r="K3859" i="14" l="1"/>
  <c r="L3859" i="14" s="1"/>
  <c r="I3860" i="14" s="1"/>
  <c r="K3837" i="13"/>
  <c r="L3837" i="13" s="1"/>
  <c r="I3838" i="13" s="1"/>
  <c r="N4023" i="14"/>
  <c r="J4022" i="14" a="1"/>
  <c r="J4022" i="14" s="1"/>
  <c r="M4027" i="14"/>
  <c r="N4024" i="13"/>
  <c r="J4023" i="13" a="1"/>
  <c r="J4023" i="13" s="1"/>
  <c r="M4026" i="13"/>
  <c r="K3838" i="13" l="1"/>
  <c r="L3838" i="13" s="1"/>
  <c r="I3839" i="13" s="1"/>
  <c r="K3860" i="14"/>
  <c r="L3860" i="14" s="1"/>
  <c r="I3861" i="14" s="1"/>
  <c r="M4028" i="14"/>
  <c r="M4027" i="13"/>
  <c r="J4024" i="13" a="1"/>
  <c r="J4024" i="13" s="1"/>
  <c r="N4025" i="13"/>
  <c r="N4024" i="14"/>
  <c r="J4023" i="14" a="1"/>
  <c r="J4023" i="14" s="1"/>
  <c r="K3861" i="14" l="1"/>
  <c r="L3861" i="14" s="1"/>
  <c r="I3862" i="14" s="1"/>
  <c r="K3839" i="13"/>
  <c r="L3839" i="13" s="1"/>
  <c r="I3840" i="13" s="1"/>
  <c r="N4025" i="14"/>
  <c r="J4024" i="14" a="1"/>
  <c r="J4024" i="14" s="1"/>
  <c r="M4028" i="13"/>
  <c r="N4026" i="13"/>
  <c r="J4025" i="13" a="1"/>
  <c r="J4025" i="13" s="1"/>
  <c r="M4029" i="14"/>
  <c r="K3840" i="13" l="1"/>
  <c r="L3840" i="13" s="1"/>
  <c r="I3841" i="13" s="1"/>
  <c r="K3862" i="14"/>
  <c r="L3862" i="14" s="1"/>
  <c r="I3863" i="14" s="1"/>
  <c r="M4030" i="14"/>
  <c r="M4029" i="13"/>
  <c r="N4027" i="13"/>
  <c r="J4026" i="13" a="1"/>
  <c r="J4026" i="13" s="1"/>
  <c r="J4025" i="14" a="1"/>
  <c r="J4025" i="14" s="1"/>
  <c r="N4026" i="14"/>
  <c r="K3863" i="14" l="1"/>
  <c r="L3863" i="14" s="1"/>
  <c r="I3864" i="14" s="1"/>
  <c r="K3841" i="13"/>
  <c r="L3841" i="13" s="1"/>
  <c r="I3842" i="13" s="1"/>
  <c r="N4027" i="14"/>
  <c r="J4026" i="14" a="1"/>
  <c r="J4026" i="14" s="1"/>
  <c r="M4030" i="13"/>
  <c r="M4031" i="14"/>
  <c r="N4028" i="13"/>
  <c r="J4027" i="13" a="1"/>
  <c r="J4027" i="13" s="1"/>
  <c r="K3842" i="13" l="1"/>
  <c r="L3842" i="13" s="1"/>
  <c r="I3843" i="13" s="1"/>
  <c r="K3864" i="14"/>
  <c r="L3864" i="14" s="1"/>
  <c r="I3865" i="14" s="1"/>
  <c r="M4031" i="13"/>
  <c r="J4028" i="13" a="1"/>
  <c r="J4028" i="13" s="1"/>
  <c r="N4029" i="13"/>
  <c r="M4032" i="14"/>
  <c r="N4028" i="14"/>
  <c r="J4027" i="14" a="1"/>
  <c r="J4027" i="14" s="1"/>
  <c r="K3865" i="14" l="1"/>
  <c r="L3865" i="14" s="1"/>
  <c r="I3866" i="14" s="1"/>
  <c r="K3843" i="13"/>
  <c r="L3843" i="13" s="1"/>
  <c r="I3844" i="13" s="1"/>
  <c r="N4030" i="13"/>
  <c r="J4029" i="13" a="1"/>
  <c r="J4029" i="13" s="1"/>
  <c r="N4029" i="14"/>
  <c r="J4028" i="14" a="1"/>
  <c r="J4028" i="14" s="1"/>
  <c r="M4033" i="14"/>
  <c r="M4032" i="13"/>
  <c r="K3844" i="13" l="1"/>
  <c r="L3844" i="13" s="1"/>
  <c r="I3845" i="13" s="1"/>
  <c r="K3866" i="14"/>
  <c r="L3866" i="14" s="1"/>
  <c r="I3867" i="14" s="1"/>
  <c r="J4029" i="14" a="1"/>
  <c r="J4029" i="14" s="1"/>
  <c r="N4030" i="14"/>
  <c r="M4033" i="13"/>
  <c r="M4034" i="14"/>
  <c r="N4031" i="13"/>
  <c r="J4030" i="13" a="1"/>
  <c r="J4030" i="13" s="1"/>
  <c r="K3867" i="14" l="1"/>
  <c r="L3867" i="14" s="1"/>
  <c r="I3868" i="14" s="1"/>
  <c r="K3845" i="13"/>
  <c r="L3845" i="13" s="1"/>
  <c r="I3846" i="13" s="1"/>
  <c r="M4034" i="13"/>
  <c r="N4032" i="13"/>
  <c r="J4031" i="13" a="1"/>
  <c r="J4031" i="13" s="1"/>
  <c r="N4031" i="14"/>
  <c r="J4030" i="14" a="1"/>
  <c r="J4030" i="14" s="1"/>
  <c r="M4035" i="14"/>
  <c r="K3846" i="13" l="1"/>
  <c r="L3846" i="13" s="1"/>
  <c r="I3847" i="13" s="1"/>
  <c r="K3868" i="14"/>
  <c r="L3868" i="14" s="1"/>
  <c r="I3869" i="14" s="1"/>
  <c r="J4032" i="13" a="1"/>
  <c r="J4032" i="13" s="1"/>
  <c r="N4033" i="13"/>
  <c r="M4035" i="13"/>
  <c r="M4036" i="14"/>
  <c r="J4031" i="14" a="1"/>
  <c r="J4031" i="14" s="1"/>
  <c r="N4032" i="14"/>
  <c r="K3869" i="14" l="1"/>
  <c r="L3869" i="14" s="1"/>
  <c r="I3870" i="14" s="1"/>
  <c r="K3847" i="13"/>
  <c r="L3847" i="13" s="1"/>
  <c r="I3848" i="13" s="1"/>
  <c r="M4036" i="13"/>
  <c r="N4034" i="13"/>
  <c r="J4033" i="13" a="1"/>
  <c r="J4033" i="13" s="1"/>
  <c r="N4033" i="14"/>
  <c r="J4032" i="14" a="1"/>
  <c r="J4032" i="14" s="1"/>
  <c r="M4037" i="14"/>
  <c r="K3848" i="13" l="1"/>
  <c r="L3848" i="13" s="1"/>
  <c r="I3849" i="13" s="1"/>
  <c r="K3870" i="14"/>
  <c r="L3870" i="14" s="1"/>
  <c r="I3871" i="14" s="1"/>
  <c r="N4035" i="13"/>
  <c r="J4034" i="13" a="1"/>
  <c r="J4034" i="13" s="1"/>
  <c r="M4037" i="13"/>
  <c r="M4038" i="14"/>
  <c r="J4033" i="14" a="1"/>
  <c r="J4033" i="14" s="1"/>
  <c r="N4034" i="14"/>
  <c r="K3871" i="14" l="1"/>
  <c r="L3871" i="14" s="1"/>
  <c r="I3872" i="14" s="1"/>
  <c r="K3849" i="13"/>
  <c r="L3849" i="13" s="1"/>
  <c r="I3850" i="13" s="1"/>
  <c r="J4034" i="14" a="1"/>
  <c r="J4034" i="14" s="1"/>
  <c r="N4035" i="14"/>
  <c r="M4038" i="13"/>
  <c r="M4039" i="14"/>
  <c r="N4036" i="13"/>
  <c r="J4035" i="13" a="1"/>
  <c r="J4035" i="13" s="1"/>
  <c r="K3850" i="13" l="1"/>
  <c r="L3850" i="13" s="1"/>
  <c r="I3851" i="13" s="1"/>
  <c r="K3872" i="14"/>
  <c r="L3872" i="14" s="1"/>
  <c r="I3873" i="14" s="1"/>
  <c r="M4039" i="13"/>
  <c r="J4036" i="13" a="1"/>
  <c r="J4036" i="13" s="1"/>
  <c r="N4037" i="13"/>
  <c r="N4036" i="14"/>
  <c r="J4035" i="14" a="1"/>
  <c r="J4035" i="14" s="1"/>
  <c r="M4040" i="14"/>
  <c r="K3873" i="14" l="1"/>
  <c r="L3873" i="14" s="1"/>
  <c r="I3874" i="14" s="1"/>
  <c r="K3851" i="13"/>
  <c r="L3851" i="13" s="1"/>
  <c r="I3852" i="13" s="1"/>
  <c r="N4038" i="13"/>
  <c r="J4037" i="13" a="1"/>
  <c r="J4037" i="13" s="1"/>
  <c r="M4041" i="14"/>
  <c r="N4037" i="14"/>
  <c r="J4036" i="14" a="1"/>
  <c r="J4036" i="14" s="1"/>
  <c r="M4040" i="13"/>
  <c r="K3852" i="13" l="1"/>
  <c r="L3852" i="13" s="1"/>
  <c r="I3853" i="13" s="1"/>
  <c r="K3874" i="14"/>
  <c r="L3874" i="14" s="1"/>
  <c r="I3875" i="14" s="1"/>
  <c r="M4041" i="13"/>
  <c r="M4042" i="14"/>
  <c r="J4037" i="14" a="1"/>
  <c r="J4037" i="14" s="1"/>
  <c r="N4038" i="14"/>
  <c r="N4039" i="13"/>
  <c r="J4038" i="13" a="1"/>
  <c r="J4038" i="13" s="1"/>
  <c r="K3875" i="14" l="1"/>
  <c r="L3875" i="14" s="1"/>
  <c r="I3876" i="14" s="1"/>
  <c r="K3853" i="13"/>
  <c r="L3853" i="13" s="1"/>
  <c r="I3854" i="13" s="1"/>
  <c r="M4043" i="14"/>
  <c r="N4040" i="13"/>
  <c r="J4039" i="13" a="1"/>
  <c r="J4039" i="13" s="1"/>
  <c r="N4039" i="14"/>
  <c r="J4038" i="14" a="1"/>
  <c r="J4038" i="14" s="1"/>
  <c r="M4042" i="13"/>
  <c r="K3854" i="13" l="1"/>
  <c r="L3854" i="13" s="1"/>
  <c r="I3855" i="13" s="1"/>
  <c r="K3876" i="14"/>
  <c r="L3876" i="14" s="1"/>
  <c r="I3877" i="14" s="1"/>
  <c r="J4040" i="13" a="1"/>
  <c r="J4040" i="13" s="1"/>
  <c r="N4041" i="13"/>
  <c r="M4043" i="13"/>
  <c r="N4040" i="14"/>
  <c r="J4039" i="14" a="1"/>
  <c r="J4039" i="14" s="1"/>
  <c r="M4044" i="14"/>
  <c r="K3877" i="14" l="1"/>
  <c r="L3877" i="14" s="1"/>
  <c r="I3878" i="14" s="1"/>
  <c r="K3855" i="13"/>
  <c r="L3855" i="13" s="1"/>
  <c r="I3856" i="13" s="1"/>
  <c r="M4045" i="14"/>
  <c r="M4044" i="13"/>
  <c r="N4042" i="13"/>
  <c r="J4041" i="13" a="1"/>
  <c r="J4041" i="13" s="1"/>
  <c r="J4040" i="14" a="1"/>
  <c r="J4040" i="14" s="1"/>
  <c r="N4041" i="14"/>
  <c r="K3856" i="13" l="1"/>
  <c r="L3856" i="13" s="1"/>
  <c r="I3857" i="13" s="1"/>
  <c r="K3878" i="14"/>
  <c r="L3878" i="14" s="1"/>
  <c r="I3879" i="14" s="1"/>
  <c r="J4041" i="14" a="1"/>
  <c r="J4041" i="14" s="1"/>
  <c r="N4042" i="14"/>
  <c r="M4045" i="13"/>
  <c r="M4046" i="14"/>
  <c r="N4043" i="13"/>
  <c r="J4042" i="13" a="1"/>
  <c r="J4042" i="13" s="1"/>
  <c r="K3879" i="14" l="1"/>
  <c r="L3879" i="14" s="1"/>
  <c r="I3880" i="14" s="1"/>
  <c r="K3857" i="13"/>
  <c r="L3857" i="13" s="1"/>
  <c r="I3858" i="13" s="1"/>
  <c r="M4046" i="13"/>
  <c r="N4044" i="13"/>
  <c r="J4043" i="13" a="1"/>
  <c r="J4043" i="13" s="1"/>
  <c r="J4042" i="14" a="1"/>
  <c r="J4042" i="14" s="1"/>
  <c r="N4043" i="14"/>
  <c r="M4047" i="14"/>
  <c r="K3858" i="13" l="1"/>
  <c r="L3858" i="13" s="1"/>
  <c r="I3859" i="13" s="1"/>
  <c r="K3880" i="14"/>
  <c r="L3880" i="14" s="1"/>
  <c r="I3881" i="14" s="1"/>
  <c r="J4044" i="13" a="1"/>
  <c r="J4044" i="13" s="1"/>
  <c r="N4045" i="13"/>
  <c r="N4044" i="14"/>
  <c r="J4043" i="14" a="1"/>
  <c r="J4043" i="14" s="1"/>
  <c r="M4047" i="13"/>
  <c r="M4048" i="14"/>
  <c r="K3881" i="14" l="1"/>
  <c r="L3881" i="14" s="1"/>
  <c r="I3882" i="14" s="1"/>
  <c r="K3859" i="13"/>
  <c r="L3859" i="13" s="1"/>
  <c r="I3860" i="13" s="1"/>
  <c r="J4044" i="14" a="1"/>
  <c r="J4044" i="14" s="1"/>
  <c r="N4045" i="14"/>
  <c r="N4046" i="13"/>
  <c r="J4045" i="13" a="1"/>
  <c r="J4045" i="13" s="1"/>
  <c r="M4049" i="14"/>
  <c r="M4048" i="13"/>
  <c r="K3860" i="13" l="1"/>
  <c r="L3860" i="13" s="1"/>
  <c r="I3861" i="13" s="1"/>
  <c r="K3882" i="14"/>
  <c r="L3882" i="14" s="1"/>
  <c r="I3883" i="14" s="1"/>
  <c r="N4047" i="13"/>
  <c r="J4046" i="13" a="1"/>
  <c r="J4046" i="13" s="1"/>
  <c r="M4049" i="13"/>
  <c r="J4045" i="14" a="1"/>
  <c r="J4045" i="14" s="1"/>
  <c r="N4046" i="14"/>
  <c r="M4050" i="14"/>
  <c r="K3883" i="14" l="1"/>
  <c r="L3883" i="14" s="1"/>
  <c r="I3884" i="14" s="1"/>
  <c r="K3861" i="13"/>
  <c r="L3861" i="13" s="1"/>
  <c r="I3862" i="13" s="1"/>
  <c r="N4047" i="14"/>
  <c r="J4046" i="14" a="1"/>
  <c r="J4046" i="14" s="1"/>
  <c r="M4051" i="14"/>
  <c r="M4050" i="13"/>
  <c r="N4048" i="13"/>
  <c r="J4047" i="13" a="1"/>
  <c r="J4047" i="13" s="1"/>
  <c r="K3862" i="13" l="1"/>
  <c r="L3862" i="13" s="1"/>
  <c r="I3863" i="13" s="1"/>
  <c r="K3884" i="14"/>
  <c r="L3884" i="14" s="1"/>
  <c r="I3885" i="14" s="1"/>
  <c r="J4048" i="13" a="1"/>
  <c r="J4048" i="13" s="1"/>
  <c r="N4049" i="13"/>
  <c r="M4052" i="14"/>
  <c r="M4051" i="13"/>
  <c r="N4048" i="14"/>
  <c r="J4047" i="14" a="1"/>
  <c r="J4047" i="14" s="1"/>
  <c r="K3885" i="14" l="1"/>
  <c r="L3885" i="14" s="1"/>
  <c r="I3886" i="14" s="1"/>
  <c r="K3863" i="13"/>
  <c r="L3863" i="13" s="1"/>
  <c r="I3864" i="13" s="1"/>
  <c r="J4048" i="14" a="1"/>
  <c r="J4048" i="14" s="1"/>
  <c r="N4049" i="14"/>
  <c r="M4053" i="14"/>
  <c r="N4050" i="13"/>
  <c r="J4049" i="13" a="1"/>
  <c r="J4049" i="13" s="1"/>
  <c r="M4052" i="13"/>
  <c r="K3864" i="13" l="1"/>
  <c r="L3864" i="13" s="1"/>
  <c r="I3865" i="13" s="1"/>
  <c r="K3886" i="14"/>
  <c r="L3886" i="14" s="1"/>
  <c r="I3887" i="14" s="1"/>
  <c r="M4053" i="13"/>
  <c r="M4054" i="14"/>
  <c r="J4049" i="14" a="1"/>
  <c r="J4049" i="14" s="1"/>
  <c r="N4050" i="14"/>
  <c r="N4051" i="13"/>
  <c r="J4050" i="13" a="1"/>
  <c r="J4050" i="13" s="1"/>
  <c r="K3887" i="14" l="1"/>
  <c r="L3887" i="14" s="1"/>
  <c r="I3888" i="14" s="1"/>
  <c r="K3865" i="13"/>
  <c r="L3865" i="13" s="1"/>
  <c r="I3866" i="13" s="1"/>
  <c r="M4055" i="14"/>
  <c r="N4052" i="13"/>
  <c r="J4051" i="13" a="1"/>
  <c r="J4051" i="13" s="1"/>
  <c r="N4051" i="14"/>
  <c r="J4050" i="14" a="1"/>
  <c r="J4050" i="14" s="1"/>
  <c r="M4054" i="13"/>
  <c r="K3866" i="13" l="1"/>
  <c r="L3866" i="13" s="1"/>
  <c r="I3867" i="13" s="1"/>
  <c r="K3888" i="14"/>
  <c r="L3888" i="14" s="1"/>
  <c r="I3889" i="14" s="1"/>
  <c r="J4052" i="13" a="1"/>
  <c r="J4052" i="13" s="1"/>
  <c r="N4053" i="13"/>
  <c r="M4055" i="13"/>
  <c r="N4052" i="14"/>
  <c r="J4051" i="14" a="1"/>
  <c r="J4051" i="14" s="1"/>
  <c r="M4056" i="14"/>
  <c r="K3889" i="14" l="1"/>
  <c r="L3889" i="14" s="1"/>
  <c r="I3890" i="14" s="1"/>
  <c r="K3867" i="13"/>
  <c r="L3867" i="13" s="1"/>
  <c r="I3868" i="13" s="1"/>
  <c r="J4052" i="14" a="1"/>
  <c r="J4052" i="14" s="1"/>
  <c r="N4053" i="14"/>
  <c r="M4057" i="14"/>
  <c r="M4056" i="13"/>
  <c r="N4054" i="13"/>
  <c r="J4053" i="13" a="1"/>
  <c r="J4053" i="13" s="1"/>
  <c r="K3868" i="13" l="1"/>
  <c r="L3868" i="13" s="1"/>
  <c r="I3869" i="13" s="1"/>
  <c r="K3890" i="14"/>
  <c r="L3890" i="14" s="1"/>
  <c r="I3891" i="14" s="1"/>
  <c r="N4055" i="13"/>
  <c r="J4054" i="13" a="1"/>
  <c r="J4054" i="13" s="1"/>
  <c r="M4058" i="14"/>
  <c r="M4057" i="13"/>
  <c r="J4053" i="14" a="1"/>
  <c r="J4053" i="14" s="1"/>
  <c r="N4054" i="14"/>
  <c r="K3891" i="14" l="1"/>
  <c r="L3891" i="14" s="1"/>
  <c r="I3892" i="14" s="1"/>
  <c r="K3869" i="13"/>
  <c r="L3869" i="13" s="1"/>
  <c r="I3870" i="13" s="1"/>
  <c r="M4059" i="14"/>
  <c r="N4055" i="14"/>
  <c r="J4054" i="14" a="1"/>
  <c r="J4054" i="14" s="1"/>
  <c r="M4058" i="13"/>
  <c r="N4056" i="13"/>
  <c r="J4055" i="13" a="1"/>
  <c r="J4055" i="13" s="1"/>
  <c r="K3892" i="14" l="1"/>
  <c r="L3892" i="14" s="1"/>
  <c r="I3893" i="14" s="1"/>
  <c r="K3870" i="13"/>
  <c r="L3870" i="13" s="1"/>
  <c r="I3871" i="13" s="1"/>
  <c r="J4056" i="13" a="1"/>
  <c r="J4056" i="13" s="1"/>
  <c r="N4057" i="13"/>
  <c r="M4059" i="13"/>
  <c r="N4056" i="14"/>
  <c r="J4055" i="14" a="1"/>
  <c r="J4055" i="14" s="1"/>
  <c r="M4060" i="14"/>
  <c r="K3871" i="13" l="1"/>
  <c r="L3871" i="13" s="1"/>
  <c r="I3872" i="13" s="1"/>
  <c r="K3893" i="14"/>
  <c r="L3893" i="14" s="1"/>
  <c r="I3894" i="14" s="1"/>
  <c r="J4056" i="14" a="1"/>
  <c r="J4056" i="14" s="1"/>
  <c r="N4057" i="14"/>
  <c r="N4058" i="13"/>
  <c r="J4057" i="13" a="1"/>
  <c r="J4057" i="13" s="1"/>
  <c r="M4061" i="14"/>
  <c r="M4060" i="13"/>
  <c r="K3894" i="14" l="1"/>
  <c r="L3894" i="14" s="1"/>
  <c r="I3895" i="14" s="1"/>
  <c r="K3872" i="13"/>
  <c r="L3872" i="13" s="1"/>
  <c r="I3873" i="13" s="1"/>
  <c r="N4059" i="13"/>
  <c r="J4058" i="13" a="1"/>
  <c r="J4058" i="13" s="1"/>
  <c r="J4057" i="14" a="1"/>
  <c r="J4057" i="14" s="1"/>
  <c r="N4058" i="14"/>
  <c r="M4061" i="13"/>
  <c r="M4062" i="14"/>
  <c r="K3873" i="13" l="1"/>
  <c r="L3873" i="13" s="1"/>
  <c r="I3874" i="13" s="1"/>
  <c r="K3895" i="14"/>
  <c r="L3895" i="14" s="1"/>
  <c r="I3896" i="14" s="1"/>
  <c r="M4063" i="14"/>
  <c r="J4058" i="14" a="1"/>
  <c r="J4058" i="14" s="1"/>
  <c r="N4059" i="14"/>
  <c r="M4062" i="13"/>
  <c r="N4060" i="13"/>
  <c r="J4059" i="13" a="1"/>
  <c r="J4059" i="13" s="1"/>
  <c r="K3896" i="14" l="1"/>
  <c r="L3896" i="14" s="1"/>
  <c r="I3897" i="14" s="1"/>
  <c r="K3874" i="13"/>
  <c r="L3874" i="13" s="1"/>
  <c r="I3875" i="13" s="1"/>
  <c r="N4060" i="14"/>
  <c r="J4059" i="14" a="1"/>
  <c r="J4059" i="14" s="1"/>
  <c r="M4063" i="13"/>
  <c r="J4060" i="13" a="1"/>
  <c r="J4060" i="13" s="1"/>
  <c r="N4061" i="13"/>
  <c r="M4064" i="14"/>
  <c r="K3875" i="13" l="1"/>
  <c r="L3875" i="13" s="1"/>
  <c r="I3876" i="13" s="1"/>
  <c r="K3897" i="14"/>
  <c r="L3897" i="14" s="1"/>
  <c r="I3898" i="14" s="1"/>
  <c r="N4062" i="13"/>
  <c r="J4061" i="13" a="1"/>
  <c r="J4061" i="13" s="1"/>
  <c r="M4065" i="14"/>
  <c r="M4064" i="13"/>
  <c r="J4060" i="14" a="1"/>
  <c r="J4060" i="14" s="1"/>
  <c r="N4061" i="14"/>
  <c r="K3898" i="14" l="1"/>
  <c r="L3898" i="14" s="1"/>
  <c r="I3899" i="14" s="1"/>
  <c r="K3876" i="13"/>
  <c r="L3876" i="13" s="1"/>
  <c r="I3877" i="13" s="1"/>
  <c r="J4061" i="14" a="1"/>
  <c r="J4061" i="14" s="1"/>
  <c r="N4062" i="14"/>
  <c r="M4066" i="14"/>
  <c r="M4065" i="13"/>
  <c r="N4063" i="13"/>
  <c r="J4062" i="13" a="1"/>
  <c r="J4062" i="13" s="1"/>
  <c r="K3877" i="13" l="1"/>
  <c r="L3877" i="13" s="1"/>
  <c r="I3878" i="13" s="1"/>
  <c r="K3899" i="14"/>
  <c r="L3899" i="14" s="1"/>
  <c r="I3900" i="14" s="1"/>
  <c r="M4067" i="14"/>
  <c r="N4064" i="13"/>
  <c r="J4063" i="13" a="1"/>
  <c r="J4063" i="13" s="1"/>
  <c r="N4063" i="14"/>
  <c r="J4062" i="14" a="1"/>
  <c r="J4062" i="14" s="1"/>
  <c r="M4066" i="13"/>
  <c r="K3900" i="14" l="1"/>
  <c r="L3900" i="14" s="1"/>
  <c r="I3901" i="14" s="1"/>
  <c r="K3878" i="13"/>
  <c r="L3878" i="13" s="1"/>
  <c r="I3879" i="13" s="1"/>
  <c r="J4064" i="13" a="1"/>
  <c r="J4064" i="13" s="1"/>
  <c r="N4065" i="13"/>
  <c r="M4067" i="13"/>
  <c r="N4064" i="14"/>
  <c r="J4063" i="14" a="1"/>
  <c r="J4063" i="14" s="1"/>
  <c r="M4068" i="14"/>
  <c r="K3879" i="13" l="1"/>
  <c r="L3879" i="13" s="1"/>
  <c r="I3880" i="13" s="1"/>
  <c r="K3901" i="14"/>
  <c r="L3901" i="14" s="1"/>
  <c r="I3902" i="14" s="1"/>
  <c r="J4064" i="14" a="1"/>
  <c r="J4064" i="14" s="1"/>
  <c r="N4065" i="14"/>
  <c r="M4069" i="14"/>
  <c r="M4068" i="13"/>
  <c r="N4066" i="13"/>
  <c r="J4065" i="13" a="1"/>
  <c r="J4065" i="13" s="1"/>
  <c r="K3902" i="14" l="1"/>
  <c r="L3902" i="14" s="1"/>
  <c r="I3903" i="14" s="1"/>
  <c r="K3880" i="13"/>
  <c r="L3880" i="13" s="1"/>
  <c r="I3881" i="13" s="1"/>
  <c r="M4070" i="14"/>
  <c r="N4067" i="13"/>
  <c r="J4066" i="13" a="1"/>
  <c r="J4066" i="13" s="1"/>
  <c r="J4065" i="14" a="1"/>
  <c r="J4065" i="14" s="1"/>
  <c r="N4066" i="14"/>
  <c r="M4069" i="13"/>
  <c r="K3881" i="13" l="1"/>
  <c r="L3881" i="13" s="1"/>
  <c r="I3882" i="13" s="1"/>
  <c r="K3903" i="14"/>
  <c r="L3903" i="14" s="1"/>
  <c r="I3904" i="14" s="1"/>
  <c r="M4070" i="13"/>
  <c r="N4068" i="13"/>
  <c r="J4067" i="13" a="1"/>
  <c r="J4067" i="13" s="1"/>
  <c r="N4067" i="14"/>
  <c r="J4066" i="14" a="1"/>
  <c r="J4066" i="14" s="1"/>
  <c r="M4071" i="14"/>
  <c r="K3904" i="14" l="1"/>
  <c r="L3904" i="14" s="1"/>
  <c r="I3905" i="14" s="1"/>
  <c r="K3882" i="13"/>
  <c r="L3882" i="13" s="1"/>
  <c r="I3883" i="13" s="1"/>
  <c r="M4072" i="14"/>
  <c r="J4068" i="13" a="1"/>
  <c r="J4068" i="13" s="1"/>
  <c r="N4069" i="13"/>
  <c r="M4071" i="13"/>
  <c r="N4068" i="14"/>
  <c r="J4067" i="14" a="1"/>
  <c r="J4067" i="14" s="1"/>
  <c r="K3883" i="13" l="1"/>
  <c r="L3883" i="13" s="1"/>
  <c r="I3884" i="13" s="1"/>
  <c r="K3905" i="14"/>
  <c r="L3905" i="14" s="1"/>
  <c r="I3906" i="14" s="1"/>
  <c r="N4070" i="13"/>
  <c r="J4069" i="13" a="1"/>
  <c r="J4069" i="13" s="1"/>
  <c r="J4068" i="14" a="1"/>
  <c r="J4068" i="14" s="1"/>
  <c r="N4069" i="14"/>
  <c r="M4072" i="13"/>
  <c r="M4073" i="14"/>
  <c r="K3906" i="14" l="1"/>
  <c r="L3906" i="14" s="1"/>
  <c r="I3907" i="14" s="1"/>
  <c r="K3884" i="13"/>
  <c r="L3884" i="13" s="1"/>
  <c r="I3885" i="13" s="1"/>
  <c r="J4069" i="14" a="1"/>
  <c r="J4069" i="14" s="1"/>
  <c r="N4070" i="14"/>
  <c r="M4074" i="14"/>
  <c r="M4073" i="13"/>
  <c r="N4071" i="13"/>
  <c r="J4070" i="13" a="1"/>
  <c r="J4070" i="13" s="1"/>
  <c r="K3885" i="13" l="1"/>
  <c r="L3885" i="13" s="1"/>
  <c r="I3886" i="13" s="1"/>
  <c r="K3907" i="14"/>
  <c r="L3907" i="14" s="1"/>
  <c r="I3908" i="14" s="1"/>
  <c r="M4075" i="14"/>
  <c r="N4072" i="13"/>
  <c r="J4071" i="13" a="1"/>
  <c r="J4071" i="13" s="1"/>
  <c r="N4071" i="14"/>
  <c r="J4070" i="14" a="1"/>
  <c r="J4070" i="14" s="1"/>
  <c r="M4074" i="13"/>
  <c r="K3908" i="14" l="1"/>
  <c r="L3908" i="14" s="1"/>
  <c r="I3909" i="14" s="1"/>
  <c r="K3886" i="13"/>
  <c r="L3886" i="13" s="1"/>
  <c r="I3887" i="13" s="1"/>
  <c r="M4075" i="13"/>
  <c r="J4072" i="13" a="1"/>
  <c r="J4072" i="13" s="1"/>
  <c r="N4073" i="13"/>
  <c r="N4072" i="14"/>
  <c r="J4071" i="14" a="1"/>
  <c r="J4071" i="14" s="1"/>
  <c r="M4076" i="14"/>
  <c r="K3887" i="13" l="1"/>
  <c r="L3887" i="13" s="1"/>
  <c r="I3888" i="13" s="1"/>
  <c r="K3909" i="14"/>
  <c r="L3909" i="14" s="1"/>
  <c r="I3910" i="14" s="1"/>
  <c r="M4077" i="14"/>
  <c r="N4074" i="13"/>
  <c r="J4073" i="13" a="1"/>
  <c r="J4073" i="13" s="1"/>
  <c r="J4072" i="14" a="1"/>
  <c r="J4072" i="14" s="1"/>
  <c r="N4073" i="14"/>
  <c r="M4076" i="13"/>
  <c r="K3910" i="14" l="1"/>
  <c r="L3910" i="14" s="1"/>
  <c r="I3911" i="14" s="1"/>
  <c r="M4077" i="13"/>
  <c r="N4075" i="13"/>
  <c r="J4074" i="13" a="1"/>
  <c r="J4074" i="13" s="1"/>
  <c r="J4073" i="14" a="1"/>
  <c r="J4073" i="14" s="1"/>
  <c r="N4074" i="14"/>
  <c r="M4078" i="14"/>
  <c r="K3888" i="13"/>
  <c r="L3888" i="13" s="1"/>
  <c r="I3889" i="13" s="1"/>
  <c r="K3889" i="13" l="1"/>
  <c r="L3889" i="13" s="1"/>
  <c r="I3890" i="13" s="1"/>
  <c r="K3911" i="14"/>
  <c r="L3911" i="14" s="1"/>
  <c r="I3912" i="14" s="1"/>
  <c r="M4079" i="14"/>
  <c r="J4074" i="14" a="1"/>
  <c r="J4074" i="14" s="1"/>
  <c r="N4075" i="14"/>
  <c r="M4078" i="13"/>
  <c r="N4076" i="13"/>
  <c r="J4075" i="13" a="1"/>
  <c r="J4075" i="13" s="1"/>
  <c r="K3912" i="14" l="1"/>
  <c r="L3912" i="14" s="1"/>
  <c r="I3913" i="14" s="1"/>
  <c r="K3890" i="13"/>
  <c r="L3890" i="13" s="1"/>
  <c r="I3891" i="13" s="1"/>
  <c r="N4076" i="14"/>
  <c r="J4075" i="14" a="1"/>
  <c r="J4075" i="14" s="1"/>
  <c r="J4076" i="13" a="1"/>
  <c r="J4076" i="13" s="1"/>
  <c r="N4077" i="13"/>
  <c r="M4079" i="13"/>
  <c r="M4080" i="14"/>
  <c r="K3891" i="13" l="1"/>
  <c r="L3891" i="13" s="1"/>
  <c r="I3892" i="13" s="1"/>
  <c r="K3913" i="14"/>
  <c r="L3913" i="14" s="1"/>
  <c r="I3914" i="14" s="1"/>
  <c r="M4081" i="14"/>
  <c r="N4078" i="13"/>
  <c r="J4077" i="13" a="1"/>
  <c r="J4077" i="13" s="1"/>
  <c r="M4080" i="13"/>
  <c r="J4076" i="14" a="1"/>
  <c r="J4076" i="14" s="1"/>
  <c r="N4077" i="14"/>
  <c r="K3914" i="14" l="1"/>
  <c r="L3914" i="14" s="1"/>
  <c r="I3915" i="14" s="1"/>
  <c r="K3892" i="13"/>
  <c r="L3892" i="13" s="1"/>
  <c r="I3893" i="13" s="1"/>
  <c r="J4077" i="14" a="1"/>
  <c r="J4077" i="14" s="1"/>
  <c r="N4078" i="14"/>
  <c r="N4079" i="13"/>
  <c r="J4078" i="13" a="1"/>
  <c r="J4078" i="13" s="1"/>
  <c r="M4081" i="13"/>
  <c r="M4082" i="14"/>
  <c r="K3893" i="13" l="1"/>
  <c r="L3893" i="13" s="1"/>
  <c r="I3894" i="13" s="1"/>
  <c r="K3915" i="14"/>
  <c r="L3915" i="14" s="1"/>
  <c r="I3916" i="14" s="1"/>
  <c r="N4080" i="13"/>
  <c r="J4079" i="13" a="1"/>
  <c r="J4079" i="13" s="1"/>
  <c r="N4079" i="14"/>
  <c r="J4078" i="14" a="1"/>
  <c r="J4078" i="14" s="1"/>
  <c r="M4083" i="14"/>
  <c r="M4082" i="13"/>
  <c r="K3916" i="14" l="1"/>
  <c r="L3916" i="14" s="1"/>
  <c r="I3917" i="14" s="1"/>
  <c r="N4080" i="14"/>
  <c r="J4079" i="14" a="1"/>
  <c r="J4079" i="14" s="1"/>
  <c r="M4083" i="13"/>
  <c r="M4084" i="14"/>
  <c r="J4080" i="13" a="1"/>
  <c r="J4080" i="13" s="1"/>
  <c r="N4081" i="13"/>
  <c r="K3894" i="13"/>
  <c r="L3894" i="13" s="1"/>
  <c r="I3895" i="13" s="1"/>
  <c r="K3917" i="14" l="1"/>
  <c r="L3917" i="14" s="1"/>
  <c r="I3918" i="14" s="1"/>
  <c r="K3895" i="13"/>
  <c r="L3895" i="13" s="1"/>
  <c r="I3896" i="13" s="1"/>
  <c r="M4085" i="14"/>
  <c r="J4080" i="14" a="1"/>
  <c r="J4080" i="14" s="1"/>
  <c r="N4081" i="14"/>
  <c r="N4082" i="13"/>
  <c r="J4081" i="13" a="1"/>
  <c r="J4081" i="13" s="1"/>
  <c r="M4084" i="13"/>
  <c r="K3918" i="14" l="1"/>
  <c r="L3918" i="14" s="1"/>
  <c r="I3919" i="14" s="1"/>
  <c r="M4085" i="13"/>
  <c r="J4081" i="14" a="1"/>
  <c r="J4081" i="14" s="1"/>
  <c r="N4082" i="14"/>
  <c r="K3896" i="13"/>
  <c r="L3896" i="13" s="1"/>
  <c r="I3897" i="13" s="1"/>
  <c r="M4086" i="14"/>
  <c r="N4083" i="13"/>
  <c r="J4082" i="13" a="1"/>
  <c r="J4082" i="13" s="1"/>
  <c r="K3919" i="14" l="1"/>
  <c r="L3919" i="14" s="1"/>
  <c r="I3920" i="14" s="1"/>
  <c r="M4086" i="13"/>
  <c r="N4084" i="13"/>
  <c r="J4083" i="13" a="1"/>
  <c r="J4083" i="13" s="1"/>
  <c r="K3897" i="13"/>
  <c r="L3897" i="13" s="1"/>
  <c r="I3898" i="13" s="1"/>
  <c r="M4087" i="14"/>
  <c r="N4083" i="14"/>
  <c r="J4082" i="14" a="1"/>
  <c r="J4082" i="14" s="1"/>
  <c r="K3920" i="14" l="1"/>
  <c r="L3920" i="14" s="1"/>
  <c r="I3921" i="14" s="1"/>
  <c r="M4087" i="13"/>
  <c r="K3898" i="13"/>
  <c r="L3898" i="13" s="1"/>
  <c r="I3899" i="13" s="1"/>
  <c r="N4084" i="14"/>
  <c r="J4083" i="14" a="1"/>
  <c r="J4083" i="14" s="1"/>
  <c r="M4088" i="14"/>
  <c r="J4084" i="13" a="1"/>
  <c r="J4084" i="13" s="1"/>
  <c r="N4085" i="13"/>
  <c r="K3899" i="13" l="1"/>
  <c r="L3899" i="13" s="1"/>
  <c r="I3900" i="13" s="1"/>
  <c r="K3921" i="14"/>
  <c r="L3921" i="14" s="1"/>
  <c r="I3922" i="14" s="1"/>
  <c r="N4086" i="13"/>
  <c r="J4085" i="13" a="1"/>
  <c r="J4085" i="13" s="1"/>
  <c r="J4084" i="14" a="1"/>
  <c r="J4084" i="14" s="1"/>
  <c r="N4085" i="14"/>
  <c r="M4088" i="13"/>
  <c r="M4089" i="14"/>
  <c r="M4090" i="14" l="1"/>
  <c r="M4089" i="13"/>
  <c r="J4085" i="14" a="1"/>
  <c r="J4085" i="14" s="1"/>
  <c r="N4086" i="14"/>
  <c r="K3922" i="14"/>
  <c r="L3922" i="14" s="1"/>
  <c r="I3923" i="14" s="1"/>
  <c r="N4087" i="13"/>
  <c r="J4086" i="13" a="1"/>
  <c r="J4086" i="13" s="1"/>
  <c r="K3900" i="13"/>
  <c r="L3900" i="13" s="1"/>
  <c r="I3901" i="13" s="1"/>
  <c r="K3901" i="13" l="1"/>
  <c r="L3901" i="13" s="1"/>
  <c r="I3902" i="13" s="1"/>
  <c r="K3923" i="14"/>
  <c r="L3923" i="14" s="1"/>
  <c r="I3924" i="14" s="1"/>
  <c r="M4090" i="13"/>
  <c r="N4087" i="14"/>
  <c r="J4086" i="14" a="1"/>
  <c r="J4086" i="14" s="1"/>
  <c r="M4091" i="14"/>
  <c r="N4088" i="13"/>
  <c r="J4087" i="13" a="1"/>
  <c r="J4087" i="13" s="1"/>
  <c r="K3924" i="14" l="1"/>
  <c r="L3924" i="14" s="1"/>
  <c r="I3925" i="14" s="1"/>
  <c r="K3902" i="13"/>
  <c r="L3902" i="13" s="1"/>
  <c r="I3903" i="13" s="1"/>
  <c r="J4088" i="13" a="1"/>
  <c r="J4088" i="13" s="1"/>
  <c r="N4089" i="13"/>
  <c r="N4088" i="14"/>
  <c r="J4087" i="14" a="1"/>
  <c r="J4087" i="14" s="1"/>
  <c r="M4091" i="13"/>
  <c r="M4092" i="14"/>
  <c r="K3903" i="13" l="1"/>
  <c r="L3903" i="13" s="1"/>
  <c r="I3904" i="13" s="1"/>
  <c r="K3925" i="14"/>
  <c r="L3925" i="14" s="1"/>
  <c r="I3926" i="14" s="1"/>
  <c r="J4088" i="14" a="1"/>
  <c r="J4088" i="14" s="1"/>
  <c r="N4089" i="14"/>
  <c r="M4093" i="14"/>
  <c r="N4090" i="13"/>
  <c r="J4089" i="13" a="1"/>
  <c r="J4089" i="13" s="1"/>
  <c r="M4092" i="13"/>
  <c r="K3904" i="13" l="1"/>
  <c r="L3904" i="13" s="1"/>
  <c r="I3905" i="13" s="1"/>
  <c r="N4091" i="13"/>
  <c r="J4090" i="13" a="1"/>
  <c r="J4090" i="13" s="1"/>
  <c r="M4094" i="14"/>
  <c r="M4093" i="13"/>
  <c r="K3926" i="14"/>
  <c r="L3926" i="14" s="1"/>
  <c r="I3927" i="14" s="1"/>
  <c r="J4089" i="14" a="1"/>
  <c r="J4089" i="14" s="1"/>
  <c r="N4090" i="14"/>
  <c r="K3905" i="13" l="1"/>
  <c r="L3905" i="13" s="1"/>
  <c r="I3906" i="13" s="1"/>
  <c r="J4090" i="14" a="1"/>
  <c r="J4090" i="14" s="1"/>
  <c r="N4091" i="14"/>
  <c r="M4094" i="13"/>
  <c r="N4092" i="13"/>
  <c r="J4091" i="13" a="1"/>
  <c r="J4091" i="13" s="1"/>
  <c r="M4095" i="14"/>
  <c r="K3927" i="14"/>
  <c r="L3927" i="14" s="1"/>
  <c r="I3928" i="14" s="1"/>
  <c r="K3928" i="14" l="1"/>
  <c r="L3928" i="14" s="1"/>
  <c r="I3929" i="14" s="1"/>
  <c r="K3906" i="13"/>
  <c r="L3906" i="13" s="1"/>
  <c r="I3907" i="13" s="1"/>
  <c r="J4092" i="13" a="1"/>
  <c r="J4092" i="13" s="1"/>
  <c r="N4093" i="13"/>
  <c r="M4095" i="13"/>
  <c r="N4092" i="14"/>
  <c r="J4091" i="14" a="1"/>
  <c r="J4091" i="14" s="1"/>
  <c r="M4096" i="14"/>
  <c r="K3929" i="14" l="1"/>
  <c r="L3929" i="14" s="1"/>
  <c r="I3930" i="14" s="1"/>
  <c r="K3907" i="13"/>
  <c r="L3907" i="13" s="1"/>
  <c r="I3908" i="13" s="1"/>
  <c r="N4094" i="13"/>
  <c r="J4093" i="13" a="1"/>
  <c r="J4093" i="13" s="1"/>
  <c r="J4092" i="14" a="1"/>
  <c r="J4092" i="14" s="1"/>
  <c r="N4093" i="14"/>
  <c r="M4097" i="14"/>
  <c r="M4096" i="13"/>
  <c r="K3930" i="14" l="1"/>
  <c r="L3930" i="14" s="1"/>
  <c r="I3931" i="14" s="1"/>
  <c r="M4097" i="13"/>
  <c r="J4093" i="14" a="1"/>
  <c r="J4093" i="14" s="1"/>
  <c r="N4094" i="14"/>
  <c r="K3908" i="13"/>
  <c r="L3908" i="13" s="1"/>
  <c r="I3909" i="13" s="1"/>
  <c r="M4098" i="14"/>
  <c r="N4095" i="13"/>
  <c r="J4094" i="13" a="1"/>
  <c r="J4094" i="13" s="1"/>
  <c r="K3931" i="14" l="1"/>
  <c r="L3931" i="14" s="1"/>
  <c r="I3932" i="14" s="1"/>
  <c r="N4095" i="14"/>
  <c r="J4094" i="14" a="1"/>
  <c r="J4094" i="14" s="1"/>
  <c r="M4098" i="13"/>
  <c r="K3909" i="13"/>
  <c r="L3909" i="13" s="1"/>
  <c r="I3910" i="13" s="1"/>
  <c r="M4099" i="14"/>
  <c r="N4096" i="13"/>
  <c r="J4095" i="13" a="1"/>
  <c r="J4095" i="13" s="1"/>
  <c r="K3910" i="13" l="1"/>
  <c r="L3910" i="13" s="1"/>
  <c r="I3911" i="13" s="1"/>
  <c r="K3932" i="14"/>
  <c r="L3932" i="14" s="1"/>
  <c r="I3933" i="14" s="1"/>
  <c r="J4096" i="13" a="1"/>
  <c r="J4096" i="13" s="1"/>
  <c r="N4097" i="13"/>
  <c r="N4096" i="14"/>
  <c r="J4095" i="14" a="1"/>
  <c r="J4095" i="14" s="1"/>
  <c r="M4099" i="13"/>
  <c r="M4100" i="14"/>
  <c r="M4100" i="13" l="1"/>
  <c r="J4096" i="14" a="1"/>
  <c r="J4096" i="14" s="1"/>
  <c r="N4097" i="14"/>
  <c r="K3933" i="14"/>
  <c r="L3933" i="14" s="1"/>
  <c r="I3934" i="14" s="1"/>
  <c r="M4101" i="14"/>
  <c r="N4098" i="13"/>
  <c r="J4097" i="13" a="1"/>
  <c r="J4097" i="13" s="1"/>
  <c r="K3911" i="13"/>
  <c r="L3911" i="13" s="1"/>
  <c r="I3912" i="13" s="1"/>
  <c r="K3912" i="13" l="1"/>
  <c r="L3912" i="13" s="1"/>
  <c r="I3913" i="13" s="1"/>
  <c r="M4102" i="14"/>
  <c r="J4097" i="14" a="1"/>
  <c r="J4097" i="14" s="1"/>
  <c r="N4098" i="14"/>
  <c r="M4101" i="13"/>
  <c r="N4099" i="13"/>
  <c r="J4098" i="13" a="1"/>
  <c r="J4098" i="13" s="1"/>
  <c r="K3934" i="14"/>
  <c r="L3934" i="14" s="1"/>
  <c r="I3935" i="14" s="1"/>
  <c r="K3913" i="13" l="1"/>
  <c r="L3913" i="13" s="1"/>
  <c r="I3914" i="13" s="1"/>
  <c r="K3935" i="14"/>
  <c r="L3935" i="14" s="1"/>
  <c r="I3936" i="14" s="1"/>
  <c r="N4100" i="13"/>
  <c r="J4099" i="13" a="1"/>
  <c r="J4099" i="13" s="1"/>
  <c r="M4102" i="13"/>
  <c r="M4103" i="14"/>
  <c r="N4099" i="14"/>
  <c r="J4098" i="14" a="1"/>
  <c r="J4098" i="14" s="1"/>
  <c r="K3914" i="13" l="1"/>
  <c r="L3914" i="13" s="1"/>
  <c r="I3915" i="13" s="1"/>
  <c r="M4103" i="13"/>
  <c r="N4100" i="14"/>
  <c r="J4099" i="14" a="1"/>
  <c r="J4099" i="14" s="1"/>
  <c r="K3936" i="14"/>
  <c r="L3936" i="14" s="1"/>
  <c r="I3937" i="14" s="1"/>
  <c r="M4104" i="14"/>
  <c r="J4100" i="13" a="1"/>
  <c r="J4100" i="13" s="1"/>
  <c r="N4101" i="13"/>
  <c r="K3915" i="13" l="1"/>
  <c r="L3915" i="13" s="1"/>
  <c r="I3916" i="13" s="1"/>
  <c r="K3937" i="14"/>
  <c r="L3937" i="14" s="1"/>
  <c r="I3938" i="14" s="1"/>
  <c r="N4102" i="13"/>
  <c r="J4101" i="13" a="1"/>
  <c r="J4101" i="13" s="1"/>
  <c r="M4104" i="13"/>
  <c r="M4105" i="14"/>
  <c r="J4100" i="14" a="1"/>
  <c r="J4100" i="14" s="1"/>
  <c r="N4101" i="14"/>
  <c r="K3916" i="13" l="1"/>
  <c r="L3916" i="13" s="1"/>
  <c r="I3917" i="13" s="1"/>
  <c r="K3938" i="14"/>
  <c r="L3938" i="14" s="1"/>
  <c r="I3939" i="14" s="1"/>
  <c r="J4101" i="14" a="1"/>
  <c r="J4101" i="14" s="1"/>
  <c r="N4102" i="14"/>
  <c r="M4105" i="13"/>
  <c r="M4106" i="14"/>
  <c r="J4102" i="13" a="1"/>
  <c r="J4102" i="13" s="1"/>
  <c r="N4103" i="13"/>
  <c r="K3939" i="14" l="1"/>
  <c r="L3939" i="14" s="1"/>
  <c r="I3940" i="14" s="1"/>
  <c r="K3917" i="13"/>
  <c r="L3917" i="13" s="1"/>
  <c r="I3918" i="13" s="1"/>
  <c r="N4104" i="13"/>
  <c r="J4103" i="13" a="1"/>
  <c r="J4103" i="13" s="1"/>
  <c r="M4106" i="13"/>
  <c r="M4107" i="14"/>
  <c r="N4103" i="14"/>
  <c r="J4102" i="14" a="1"/>
  <c r="J4102" i="14" s="1"/>
  <c r="K3918" i="13" l="1"/>
  <c r="L3918" i="13" s="1"/>
  <c r="I3919" i="13" s="1"/>
  <c r="K3940" i="14"/>
  <c r="L3940" i="14" s="1"/>
  <c r="I3941" i="14" s="1"/>
  <c r="M4107" i="13"/>
  <c r="N4104" i="14"/>
  <c r="J4103" i="14" a="1"/>
  <c r="J4103" i="14" s="1"/>
  <c r="M4108" i="14"/>
  <c r="J4104" i="13" a="1"/>
  <c r="J4104" i="13" s="1"/>
  <c r="N4105" i="13"/>
  <c r="K3941" i="14" l="1"/>
  <c r="L3941" i="14" s="1"/>
  <c r="I3942" i="14" s="1"/>
  <c r="K3919" i="13"/>
  <c r="L3919" i="13" s="1"/>
  <c r="I3920" i="13" s="1"/>
  <c r="N4106" i="13"/>
  <c r="J4105" i="13" a="1"/>
  <c r="J4105" i="13" s="1"/>
  <c r="J4104" i="14" a="1"/>
  <c r="J4104" i="14" s="1"/>
  <c r="N4105" i="14"/>
  <c r="M4109" i="14"/>
  <c r="M4108" i="13"/>
  <c r="K3920" i="13" l="1"/>
  <c r="L3920" i="13" s="1"/>
  <c r="I3921" i="13" s="1"/>
  <c r="K3942" i="14"/>
  <c r="L3942" i="14" s="1"/>
  <c r="I3943" i="14" s="1"/>
  <c r="M4109" i="13"/>
  <c r="J4105" i="14" a="1"/>
  <c r="J4105" i="14" s="1"/>
  <c r="N4106" i="14"/>
  <c r="M4110" i="14"/>
  <c r="J4106" i="13" a="1"/>
  <c r="J4106" i="13" s="1"/>
  <c r="N4107" i="13"/>
  <c r="K3943" i="14" l="1"/>
  <c r="L3943" i="14" s="1"/>
  <c r="I3944" i="14" s="1"/>
  <c r="K3921" i="13"/>
  <c r="L3921" i="13" s="1"/>
  <c r="I3922" i="13" s="1"/>
  <c r="N4108" i="13"/>
  <c r="J4107" i="13" a="1"/>
  <c r="J4107" i="13" s="1"/>
  <c r="J4106" i="14" a="1"/>
  <c r="J4106" i="14" s="1"/>
  <c r="N4107" i="14"/>
  <c r="M4111" i="14"/>
  <c r="M4110" i="13"/>
  <c r="K3922" i="13" l="1"/>
  <c r="L3922" i="13" s="1"/>
  <c r="I3923" i="13" s="1"/>
  <c r="K3944" i="14"/>
  <c r="L3944" i="14" s="1"/>
  <c r="I3945" i="14" s="1"/>
  <c r="N4108" i="14"/>
  <c r="J4107" i="14" a="1"/>
  <c r="J4107" i="14" s="1"/>
  <c r="M4111" i="13"/>
  <c r="M4112" i="14"/>
  <c r="J4108" i="13" a="1"/>
  <c r="J4108" i="13" s="1"/>
  <c r="N4109" i="13"/>
  <c r="K3945" i="14" l="1"/>
  <c r="L3945" i="14" s="1"/>
  <c r="I3946" i="14" s="1"/>
  <c r="K3923" i="13"/>
  <c r="L3923" i="13" s="1"/>
  <c r="I3924" i="13" s="1"/>
  <c r="N4110" i="13"/>
  <c r="J4109" i="13" a="1"/>
  <c r="J4109" i="13" s="1"/>
  <c r="M4112" i="13"/>
  <c r="M4113" i="14"/>
  <c r="J4108" i="14" a="1"/>
  <c r="J4108" i="14" s="1"/>
  <c r="N4109" i="14"/>
  <c r="K3924" i="13" l="1"/>
  <c r="L3924" i="13" s="1"/>
  <c r="I3925" i="13" s="1"/>
  <c r="K3946" i="14"/>
  <c r="L3946" i="14" s="1"/>
  <c r="I3947" i="14" s="1"/>
  <c r="J4109" i="14" a="1"/>
  <c r="J4109" i="14" s="1"/>
  <c r="N4110" i="14"/>
  <c r="M4113" i="13"/>
  <c r="M4114" i="14"/>
  <c r="J4110" i="13" a="1"/>
  <c r="J4110" i="13" s="1"/>
  <c r="N4111" i="13"/>
  <c r="K3947" i="14" l="1"/>
  <c r="L3947" i="14" s="1"/>
  <c r="I3948" i="14" s="1"/>
  <c r="K3925" i="13"/>
  <c r="L3925" i="13" s="1"/>
  <c r="I3926" i="13" s="1"/>
  <c r="N4112" i="13"/>
  <c r="J4111" i="13" a="1"/>
  <c r="J4111" i="13" s="1"/>
  <c r="M4114" i="13"/>
  <c r="M4115" i="14"/>
  <c r="N4111" i="14"/>
  <c r="J4110" i="14" a="1"/>
  <c r="J4110" i="14" s="1"/>
  <c r="K3926" i="13" l="1"/>
  <c r="L3926" i="13" s="1"/>
  <c r="I3927" i="13" s="1"/>
  <c r="K3948" i="14"/>
  <c r="L3948" i="14" s="1"/>
  <c r="I3949" i="14" s="1"/>
  <c r="M4115" i="13"/>
  <c r="N4112" i="14"/>
  <c r="J4111" i="14" a="1"/>
  <c r="J4111" i="14" s="1"/>
  <c r="M4116" i="14"/>
  <c r="J4112" i="13" a="1"/>
  <c r="J4112" i="13" s="1"/>
  <c r="N4113" i="13"/>
  <c r="K3949" i="14" l="1"/>
  <c r="L3949" i="14" s="1"/>
  <c r="I3950" i="14" s="1"/>
  <c r="K3927" i="13"/>
  <c r="L3927" i="13" s="1"/>
  <c r="I3928" i="13" s="1"/>
  <c r="N4114" i="13"/>
  <c r="J4113" i="13" a="1"/>
  <c r="J4113" i="13" s="1"/>
  <c r="J4112" i="14" a="1"/>
  <c r="J4112" i="14" s="1"/>
  <c r="N4113" i="14"/>
  <c r="M4117" i="14"/>
  <c r="M4116" i="13"/>
  <c r="K3950" i="14" l="1"/>
  <c r="L3950" i="14" s="1"/>
  <c r="I3951" i="14" s="1"/>
  <c r="J4113" i="14" a="1"/>
  <c r="J4113" i="14" s="1"/>
  <c r="N4114" i="14"/>
  <c r="K3928" i="13"/>
  <c r="L3928" i="13" s="1"/>
  <c r="I3929" i="13" s="1"/>
  <c r="M4117" i="13"/>
  <c r="M4118" i="14"/>
  <c r="J4114" i="13" a="1"/>
  <c r="J4114" i="13" s="1"/>
  <c r="N4115" i="13"/>
  <c r="K3929" i="13" l="1"/>
  <c r="L3929" i="13" s="1"/>
  <c r="I3930" i="13" s="1"/>
  <c r="K3951" i="14"/>
  <c r="L3951" i="14" s="1"/>
  <c r="I3952" i="14" s="1"/>
  <c r="N4116" i="13"/>
  <c r="J4115" i="13" a="1"/>
  <c r="J4115" i="13" s="1"/>
  <c r="N4115" i="14"/>
  <c r="J4114" i="14" a="1"/>
  <c r="J4114" i="14" s="1"/>
  <c r="M4118" i="13"/>
  <c r="M4119" i="14"/>
  <c r="K3952" i="14" l="1"/>
  <c r="L3952" i="14" s="1"/>
  <c r="I3953" i="14" s="1"/>
  <c r="K3930" i="13"/>
  <c r="L3930" i="13" s="1"/>
  <c r="I3931" i="13" s="1"/>
  <c r="N4116" i="14"/>
  <c r="J4115" i="14" a="1"/>
  <c r="J4115" i="14" s="1"/>
  <c r="M4119" i="13"/>
  <c r="M4120" i="14"/>
  <c r="J4116" i="13" a="1"/>
  <c r="J4116" i="13" s="1"/>
  <c r="N4117" i="13"/>
  <c r="K3931" i="13" l="1"/>
  <c r="L3931" i="13" s="1"/>
  <c r="I3932" i="13" s="1"/>
  <c r="K3953" i="14"/>
  <c r="L3953" i="14" s="1"/>
  <c r="I3954" i="14" s="1"/>
  <c r="N4118" i="13"/>
  <c r="J4117" i="13" a="1"/>
  <c r="J4117" i="13" s="1"/>
  <c r="M4120" i="13"/>
  <c r="M4121" i="14"/>
  <c r="J4116" i="14" a="1"/>
  <c r="J4116" i="14" s="1"/>
  <c r="N4117" i="14"/>
  <c r="K3954" i="14" l="1"/>
  <c r="L3954" i="14" s="1"/>
  <c r="I3955" i="14" s="1"/>
  <c r="K3932" i="13"/>
  <c r="L3932" i="13" s="1"/>
  <c r="I3933" i="13" s="1"/>
  <c r="J4117" i="14" a="1"/>
  <c r="J4117" i="14" s="1"/>
  <c r="N4118" i="14"/>
  <c r="M4121" i="13"/>
  <c r="M4122" i="14"/>
  <c r="J4118" i="13" a="1"/>
  <c r="J4118" i="13" s="1"/>
  <c r="N4119" i="13"/>
  <c r="K3933" i="13" l="1"/>
  <c r="L3933" i="13" s="1"/>
  <c r="I3934" i="13" s="1"/>
  <c r="K3955" i="14"/>
  <c r="L3955" i="14" s="1"/>
  <c r="I3956" i="14" s="1"/>
  <c r="N4120" i="13"/>
  <c r="J4119" i="13" a="1"/>
  <c r="J4119" i="13" s="1"/>
  <c r="M4122" i="13"/>
  <c r="M4123" i="14"/>
  <c r="N4119" i="14"/>
  <c r="J4118" i="14" a="1"/>
  <c r="J4118" i="14" s="1"/>
  <c r="K3956" i="14" l="1"/>
  <c r="L3956" i="14" s="1"/>
  <c r="I3957" i="14" s="1"/>
  <c r="K3934" i="13"/>
  <c r="L3934" i="13" s="1"/>
  <c r="I3935" i="13" s="1"/>
  <c r="M4123" i="13"/>
  <c r="N4120" i="14"/>
  <c r="J4119" i="14" a="1"/>
  <c r="J4119" i="14" s="1"/>
  <c r="M4124" i="14"/>
  <c r="J4120" i="13" a="1"/>
  <c r="J4120" i="13" s="1"/>
  <c r="N4121" i="13"/>
  <c r="K3935" i="13" l="1"/>
  <c r="L3935" i="13" s="1"/>
  <c r="I3936" i="13" s="1"/>
  <c r="K3957" i="14"/>
  <c r="L3957" i="14" s="1"/>
  <c r="I3958" i="14" s="1"/>
  <c r="N4122" i="13"/>
  <c r="J4121" i="13" a="1"/>
  <c r="J4121" i="13" s="1"/>
  <c r="J4120" i="14" a="1"/>
  <c r="J4120" i="14" s="1"/>
  <c r="N4121" i="14"/>
  <c r="M4125" i="14"/>
  <c r="M4124" i="13"/>
  <c r="K3958" i="14" l="1"/>
  <c r="L3958" i="14" s="1"/>
  <c r="I3959" i="14" s="1"/>
  <c r="K3936" i="13"/>
  <c r="L3936" i="13" s="1"/>
  <c r="I3937" i="13" s="1"/>
  <c r="J4121" i="14" a="1"/>
  <c r="J4121" i="14" s="1"/>
  <c r="N4122" i="14"/>
  <c r="M4125" i="13"/>
  <c r="M4126" i="14"/>
  <c r="J4122" i="13" a="1"/>
  <c r="J4122" i="13" s="1"/>
  <c r="N4123" i="13"/>
  <c r="K3937" i="13" l="1"/>
  <c r="L3937" i="13" s="1"/>
  <c r="I3938" i="13" s="1"/>
  <c r="K3959" i="14"/>
  <c r="L3959" i="14" s="1"/>
  <c r="I3960" i="14" s="1"/>
  <c r="N4124" i="13"/>
  <c r="J4123" i="13" a="1"/>
  <c r="J4123" i="13" s="1"/>
  <c r="M4126" i="13"/>
  <c r="M4127" i="14"/>
  <c r="J4122" i="14" a="1"/>
  <c r="J4122" i="14" s="1"/>
  <c r="N4123" i="14"/>
  <c r="K3960" i="14" l="1"/>
  <c r="L3960" i="14" s="1"/>
  <c r="I3961" i="14" s="1"/>
  <c r="K3938" i="13"/>
  <c r="L3938" i="13" s="1"/>
  <c r="I3939" i="13" s="1"/>
  <c r="N4124" i="14"/>
  <c r="J4123" i="14" a="1"/>
  <c r="J4123" i="14" s="1"/>
  <c r="M4127" i="13"/>
  <c r="M4128" i="14"/>
  <c r="J4124" i="13" a="1"/>
  <c r="J4124" i="13" s="1"/>
  <c r="N4125" i="13"/>
  <c r="K3939" i="13" l="1"/>
  <c r="L3939" i="13" s="1"/>
  <c r="I3940" i="13" s="1"/>
  <c r="K3961" i="14"/>
  <c r="L3961" i="14" s="1"/>
  <c r="I3962" i="14" s="1"/>
  <c r="N4126" i="13"/>
  <c r="J4125" i="13" a="1"/>
  <c r="J4125" i="13" s="1"/>
  <c r="M4128" i="13"/>
  <c r="M4129" i="14"/>
  <c r="J4124" i="14" a="1"/>
  <c r="J4124" i="14" s="1"/>
  <c r="N4125" i="14"/>
  <c r="K3962" i="14" l="1"/>
  <c r="L3962" i="14" s="1"/>
  <c r="I3963" i="14" s="1"/>
  <c r="K3940" i="13"/>
  <c r="L3940" i="13" s="1"/>
  <c r="I3941" i="13" s="1"/>
  <c r="J4125" i="14" a="1"/>
  <c r="J4125" i="14" s="1"/>
  <c r="N4126" i="14"/>
  <c r="M4129" i="13"/>
  <c r="M4130" i="14"/>
  <c r="J4126" i="13" a="1"/>
  <c r="J4126" i="13" s="1"/>
  <c r="N4127" i="13"/>
  <c r="K3941" i="13" l="1"/>
  <c r="L3941" i="13" s="1"/>
  <c r="I3942" i="13" s="1"/>
  <c r="K3963" i="14"/>
  <c r="L3963" i="14" s="1"/>
  <c r="I3964" i="14" s="1"/>
  <c r="N4128" i="13"/>
  <c r="J4127" i="13" a="1"/>
  <c r="J4127" i="13" s="1"/>
  <c r="M4130" i="13"/>
  <c r="M4131" i="14"/>
  <c r="N4127" i="14"/>
  <c r="J4126" i="14" a="1"/>
  <c r="J4126" i="14" s="1"/>
  <c r="K3964" i="14" l="1"/>
  <c r="L3964" i="14" s="1"/>
  <c r="I3965" i="14" s="1"/>
  <c r="K3942" i="13"/>
  <c r="L3942" i="13" s="1"/>
  <c r="I3943" i="13" s="1"/>
  <c r="M4131" i="13"/>
  <c r="N4128" i="14"/>
  <c r="J4127" i="14" a="1"/>
  <c r="J4127" i="14" s="1"/>
  <c r="M4132" i="14"/>
  <c r="J4128" i="13" a="1"/>
  <c r="J4128" i="13" s="1"/>
  <c r="N4129" i="13"/>
  <c r="K3943" i="13" l="1"/>
  <c r="L3943" i="13" s="1"/>
  <c r="I3944" i="13" s="1"/>
  <c r="K3965" i="14"/>
  <c r="L3965" i="14" s="1"/>
  <c r="I3966" i="14" s="1"/>
  <c r="N4130" i="13"/>
  <c r="J4129" i="13" a="1"/>
  <c r="J4129" i="13" s="1"/>
  <c r="J4128" i="14" a="1"/>
  <c r="J4128" i="14" s="1"/>
  <c r="N4129" i="14"/>
  <c r="M4133" i="14"/>
  <c r="M4132" i="13"/>
  <c r="K3966" i="14" l="1"/>
  <c r="L3966" i="14" s="1"/>
  <c r="I3967" i="14" s="1"/>
  <c r="K3944" i="13"/>
  <c r="L3944" i="13" s="1"/>
  <c r="I3945" i="13" s="1"/>
  <c r="J4129" i="14" a="1"/>
  <c r="J4129" i="14" s="1"/>
  <c r="N4130" i="14"/>
  <c r="M4133" i="13"/>
  <c r="M4134" i="14"/>
  <c r="J4130" i="13" a="1"/>
  <c r="J4130" i="13" s="1"/>
  <c r="N4131" i="13"/>
  <c r="K3945" i="13" l="1"/>
  <c r="L3945" i="13" s="1"/>
  <c r="I3946" i="13" s="1"/>
  <c r="K3967" i="14"/>
  <c r="L3967" i="14" s="1"/>
  <c r="I3968" i="14" s="1"/>
  <c r="N4132" i="13"/>
  <c r="J4131" i="13" a="1"/>
  <c r="J4131" i="13" s="1"/>
  <c r="M4134" i="13"/>
  <c r="M4135" i="14"/>
  <c r="N4131" i="14"/>
  <c r="J4130" i="14" a="1"/>
  <c r="J4130" i="14" s="1"/>
  <c r="K3968" i="14" l="1"/>
  <c r="L3968" i="14" s="1"/>
  <c r="I3969" i="14" s="1"/>
  <c r="K3946" i="13"/>
  <c r="L3946" i="13" s="1"/>
  <c r="I3947" i="13" s="1"/>
  <c r="M4135" i="13"/>
  <c r="N4132" i="14"/>
  <c r="J4131" i="14" a="1"/>
  <c r="J4131" i="14" s="1"/>
  <c r="M4136" i="14"/>
  <c r="J4132" i="13" a="1"/>
  <c r="J4132" i="13" s="1"/>
  <c r="N4133" i="13"/>
  <c r="K3969" i="14" l="1"/>
  <c r="L3969" i="14" s="1"/>
  <c r="I3970" i="14" s="1"/>
  <c r="N4134" i="13"/>
  <c r="J4133" i="13" a="1"/>
  <c r="J4133" i="13" s="1"/>
  <c r="K3947" i="13"/>
  <c r="L3947" i="13" s="1"/>
  <c r="I3948" i="13" s="1"/>
  <c r="J4132" i="14" a="1"/>
  <c r="J4132" i="14" s="1"/>
  <c r="N4133" i="14"/>
  <c r="M4137" i="14"/>
  <c r="M4136" i="13"/>
  <c r="K3948" i="13" l="1"/>
  <c r="L3948" i="13" s="1"/>
  <c r="I3949" i="13" s="1"/>
  <c r="K3970" i="14"/>
  <c r="L3970" i="14" s="1"/>
  <c r="I3971" i="14" s="1"/>
  <c r="J4133" i="14" a="1"/>
  <c r="J4133" i="14" s="1"/>
  <c r="N4134" i="14"/>
  <c r="J4134" i="13" a="1"/>
  <c r="J4134" i="13" s="1"/>
  <c r="N4135" i="13"/>
  <c r="M4137" i="13"/>
  <c r="M4138" i="14"/>
  <c r="K3971" i="14" l="1"/>
  <c r="L3971" i="14" s="1"/>
  <c r="I3972" i="14" s="1"/>
  <c r="K3949" i="13"/>
  <c r="L3949" i="13" s="1"/>
  <c r="I3950" i="13" s="1"/>
  <c r="M4139" i="14"/>
  <c r="N4136" i="13"/>
  <c r="J4135" i="13" a="1"/>
  <c r="J4135" i="13" s="1"/>
  <c r="N4135" i="14"/>
  <c r="J4134" i="14" a="1"/>
  <c r="J4134" i="14" s="1"/>
  <c r="M4138" i="13"/>
  <c r="K3950" i="13" l="1"/>
  <c r="L3950" i="13" s="1"/>
  <c r="I3951" i="13" s="1"/>
  <c r="K3972" i="14"/>
  <c r="L3972" i="14" s="1"/>
  <c r="I3973" i="14" s="1"/>
  <c r="J4136" i="13" a="1"/>
  <c r="J4136" i="13" s="1"/>
  <c r="N4137" i="13"/>
  <c r="M4139" i="13"/>
  <c r="N4136" i="14"/>
  <c r="J4135" i="14" a="1"/>
  <c r="J4135" i="14" s="1"/>
  <c r="M4140" i="14"/>
  <c r="K3973" i="14" l="1"/>
  <c r="L3973" i="14" s="1"/>
  <c r="I3974" i="14" s="1"/>
  <c r="K3951" i="13"/>
  <c r="L3951" i="13" s="1"/>
  <c r="I3952" i="13" s="1"/>
  <c r="M4141" i="14"/>
  <c r="M4140" i="13"/>
  <c r="N4138" i="13"/>
  <c r="J4137" i="13" a="1"/>
  <c r="J4137" i="13" s="1"/>
  <c r="J4136" i="14" a="1"/>
  <c r="J4136" i="14" s="1"/>
  <c r="N4137" i="14"/>
  <c r="K3952" i="13" l="1"/>
  <c r="L3952" i="13" s="1"/>
  <c r="I3953" i="13" s="1"/>
  <c r="K3974" i="14"/>
  <c r="L3974" i="14" s="1"/>
  <c r="I3975" i="14" s="1"/>
  <c r="J4137" i="14" a="1"/>
  <c r="J4137" i="14" s="1"/>
  <c r="N4138" i="14"/>
  <c r="M4141" i="13"/>
  <c r="M4142" i="14"/>
  <c r="J4138" i="13" a="1"/>
  <c r="J4138" i="13" s="1"/>
  <c r="N4139" i="13"/>
  <c r="K3975" i="14" l="1"/>
  <c r="L3975" i="14" s="1"/>
  <c r="I3976" i="14" s="1"/>
  <c r="K3953" i="13"/>
  <c r="L3953" i="13" s="1"/>
  <c r="I3954" i="13" s="1"/>
  <c r="N4140" i="13"/>
  <c r="J4139" i="13" a="1"/>
  <c r="J4139" i="13" s="1"/>
  <c r="M4142" i="13"/>
  <c r="M4143" i="14"/>
  <c r="J4138" i="14" a="1"/>
  <c r="J4138" i="14" s="1"/>
  <c r="N4139" i="14"/>
  <c r="K3954" i="13" l="1"/>
  <c r="L3954" i="13" s="1"/>
  <c r="I3955" i="13" s="1"/>
  <c r="K3976" i="14"/>
  <c r="L3976" i="14" s="1"/>
  <c r="I3977" i="14" s="1"/>
  <c r="N4140" i="14"/>
  <c r="J4139" i="14" a="1"/>
  <c r="J4139" i="14" s="1"/>
  <c r="M4143" i="13"/>
  <c r="M4144" i="14"/>
  <c r="J4140" i="13" a="1"/>
  <c r="J4140" i="13" s="1"/>
  <c r="N4141" i="13"/>
  <c r="K3977" i="14" l="1"/>
  <c r="L3977" i="14" s="1"/>
  <c r="I3978" i="14" s="1"/>
  <c r="K3955" i="13"/>
  <c r="L3955" i="13" s="1"/>
  <c r="I3956" i="13" s="1"/>
  <c r="M4144" i="13"/>
  <c r="N4142" i="13"/>
  <c r="J4141" i="13" a="1"/>
  <c r="J4141" i="13" s="1"/>
  <c r="M4145" i="14"/>
  <c r="J4140" i="14" a="1"/>
  <c r="J4140" i="14" s="1"/>
  <c r="N4141" i="14"/>
  <c r="K3956" i="13" l="1"/>
  <c r="L3956" i="13" s="1"/>
  <c r="I3957" i="13" s="1"/>
  <c r="K3978" i="14"/>
  <c r="L3978" i="14" s="1"/>
  <c r="I3979" i="14" s="1"/>
  <c r="J4142" i="13" a="1"/>
  <c r="J4142" i="13" s="1"/>
  <c r="N4143" i="13"/>
  <c r="J4141" i="14" a="1"/>
  <c r="J4141" i="14" s="1"/>
  <c r="N4142" i="14"/>
  <c r="M4145" i="13"/>
  <c r="M4146" i="14"/>
  <c r="K3979" i="14" l="1"/>
  <c r="L3979" i="14" s="1"/>
  <c r="I3980" i="14" s="1"/>
  <c r="K3957" i="13"/>
  <c r="L3957" i="13" s="1"/>
  <c r="I3958" i="13" s="1"/>
  <c r="N4143" i="14"/>
  <c r="J4142" i="14" a="1"/>
  <c r="J4142" i="14" s="1"/>
  <c r="M4147" i="14"/>
  <c r="N4144" i="13"/>
  <c r="J4143" i="13" a="1"/>
  <c r="J4143" i="13" s="1"/>
  <c r="M4146" i="13"/>
  <c r="K3958" i="13" l="1"/>
  <c r="L3958" i="13" s="1"/>
  <c r="I3959" i="13" s="1"/>
  <c r="K3980" i="14"/>
  <c r="L3980" i="14" s="1"/>
  <c r="I3981" i="14" s="1"/>
  <c r="M4147" i="13"/>
  <c r="M4148" i="14"/>
  <c r="J4144" i="13" a="1"/>
  <c r="J4144" i="13" s="1"/>
  <c r="N4145" i="13"/>
  <c r="N4144" i="14"/>
  <c r="J4143" i="14" a="1"/>
  <c r="J4143" i="14" s="1"/>
  <c r="K3981" i="14" l="1"/>
  <c r="L3981" i="14" s="1"/>
  <c r="I3982" i="14" s="1"/>
  <c r="K3959" i="13"/>
  <c r="L3959" i="13" s="1"/>
  <c r="I3960" i="13" s="1"/>
  <c r="J4144" i="14" a="1"/>
  <c r="J4144" i="14" s="1"/>
  <c r="N4145" i="14"/>
  <c r="M4149" i="14"/>
  <c r="N4146" i="13"/>
  <c r="J4145" i="13" a="1"/>
  <c r="J4145" i="13" s="1"/>
  <c r="M4148" i="13"/>
  <c r="K3960" i="13" l="1"/>
  <c r="L3960" i="13" s="1"/>
  <c r="I3961" i="13" s="1"/>
  <c r="K3982" i="14"/>
  <c r="L3982" i="14" s="1"/>
  <c r="I3983" i="14" s="1"/>
  <c r="M4149" i="13"/>
  <c r="M4150" i="14"/>
  <c r="J4145" i="14" a="1"/>
  <c r="J4145" i="14" s="1"/>
  <c r="N4146" i="14"/>
  <c r="J4146" i="13" a="1"/>
  <c r="J4146" i="13" s="1"/>
  <c r="N4147" i="13"/>
  <c r="K3983" i="14" l="1"/>
  <c r="L3983" i="14" s="1"/>
  <c r="I3984" i="14" s="1"/>
  <c r="K3961" i="13"/>
  <c r="L3961" i="13" s="1"/>
  <c r="I3962" i="13" s="1"/>
  <c r="N4148" i="13"/>
  <c r="J4147" i="13" a="1"/>
  <c r="J4147" i="13" s="1"/>
  <c r="M4151" i="14"/>
  <c r="N4147" i="14"/>
  <c r="J4146" i="14" a="1"/>
  <c r="J4146" i="14" s="1"/>
  <c r="M4150" i="13"/>
  <c r="K3962" i="13" l="1"/>
  <c r="L3962" i="13" s="1"/>
  <c r="I3963" i="13" s="1"/>
  <c r="K3984" i="14"/>
  <c r="L3984" i="14" s="1"/>
  <c r="I3985" i="14" s="1"/>
  <c r="M4151" i="13"/>
  <c r="M4152" i="14"/>
  <c r="N4148" i="14"/>
  <c r="J4147" i="14" a="1"/>
  <c r="J4147" i="14" s="1"/>
  <c r="J4148" i="13" a="1"/>
  <c r="J4148" i="13" s="1"/>
  <c r="N4149" i="13"/>
  <c r="K3985" i="14" l="1"/>
  <c r="L3985" i="14" s="1"/>
  <c r="I3986" i="14" s="1"/>
  <c r="K3963" i="13"/>
  <c r="L3963" i="13" s="1"/>
  <c r="I3964" i="13" s="1"/>
  <c r="N4150" i="13"/>
  <c r="J4149" i="13" a="1"/>
  <c r="J4149" i="13" s="1"/>
  <c r="M4153" i="14"/>
  <c r="J4148" i="14" a="1"/>
  <c r="J4148" i="14" s="1"/>
  <c r="N4149" i="14"/>
  <c r="M4152" i="13"/>
  <c r="K3964" i="13" l="1"/>
  <c r="L3964" i="13" s="1"/>
  <c r="I3965" i="13" s="1"/>
  <c r="K3986" i="14"/>
  <c r="L3986" i="14" s="1"/>
  <c r="I3987" i="14" s="1"/>
  <c r="J4149" i="14" a="1"/>
  <c r="J4149" i="14" s="1"/>
  <c r="N4150" i="14"/>
  <c r="M4153" i="13"/>
  <c r="M4154" i="14"/>
  <c r="J4150" i="13" a="1"/>
  <c r="J4150" i="13" s="1"/>
  <c r="N4151" i="13"/>
  <c r="K3987" i="14" l="1"/>
  <c r="L3987" i="14" s="1"/>
  <c r="I3988" i="14" s="1"/>
  <c r="K3965" i="13"/>
  <c r="L3965" i="13" s="1"/>
  <c r="I3966" i="13" s="1"/>
  <c r="N4152" i="13"/>
  <c r="J4151" i="13" a="1"/>
  <c r="J4151" i="13" s="1"/>
  <c r="M4154" i="13"/>
  <c r="M4155" i="14"/>
  <c r="N4151" i="14"/>
  <c r="J4150" i="14" a="1"/>
  <c r="J4150" i="14" s="1"/>
  <c r="K3966" i="13" l="1"/>
  <c r="L3966" i="13" s="1"/>
  <c r="I3967" i="13" s="1"/>
  <c r="K3988" i="14"/>
  <c r="L3988" i="14" s="1"/>
  <c r="I3989" i="14" s="1"/>
  <c r="M4155" i="13"/>
  <c r="N4152" i="14"/>
  <c r="J4151" i="14" a="1"/>
  <c r="J4151" i="14" s="1"/>
  <c r="M4156" i="14"/>
  <c r="J4152" i="13" a="1"/>
  <c r="J4152" i="13" s="1"/>
  <c r="N4153" i="13"/>
  <c r="K3989" i="14" l="1"/>
  <c r="L3989" i="14" s="1"/>
  <c r="I3990" i="14" s="1"/>
  <c r="K3967" i="13"/>
  <c r="L3967" i="13" s="1"/>
  <c r="I3968" i="13" s="1"/>
  <c r="J4152" i="14" a="1"/>
  <c r="J4152" i="14" s="1"/>
  <c r="N4153" i="14"/>
  <c r="N4154" i="13"/>
  <c r="J4153" i="13" a="1"/>
  <c r="J4153" i="13" s="1"/>
  <c r="M4157" i="14"/>
  <c r="M4156" i="13"/>
  <c r="K3968" i="13" l="1"/>
  <c r="L3968" i="13" s="1"/>
  <c r="I3969" i="13" s="1"/>
  <c r="K3990" i="14"/>
  <c r="L3990" i="14" s="1"/>
  <c r="I3991" i="14" s="1"/>
  <c r="J4154" i="13" a="1"/>
  <c r="J4154" i="13" s="1"/>
  <c r="N4155" i="13"/>
  <c r="M4157" i="13"/>
  <c r="J4153" i="14" a="1"/>
  <c r="J4153" i="14" s="1"/>
  <c r="N4154" i="14"/>
  <c r="M4158" i="14"/>
  <c r="K3991" i="14" l="1"/>
  <c r="L3991" i="14" s="1"/>
  <c r="I3992" i="14" s="1"/>
  <c r="K3969" i="13"/>
  <c r="L3969" i="13" s="1"/>
  <c r="I3970" i="13" s="1"/>
  <c r="J4154" i="14" a="1"/>
  <c r="J4154" i="14" s="1"/>
  <c r="N4155" i="14"/>
  <c r="M4159" i="14"/>
  <c r="M4158" i="13"/>
  <c r="N4156" i="13"/>
  <c r="J4155" i="13" a="1"/>
  <c r="J4155" i="13" s="1"/>
  <c r="K3970" i="13" l="1"/>
  <c r="L3970" i="13" s="1"/>
  <c r="I3971" i="13" s="1"/>
  <c r="K3992" i="14"/>
  <c r="L3992" i="14" s="1"/>
  <c r="I3993" i="14" s="1"/>
  <c r="J4156" i="13" a="1"/>
  <c r="J4156" i="13" s="1"/>
  <c r="N4157" i="13"/>
  <c r="M4160" i="14"/>
  <c r="M4159" i="13"/>
  <c r="N4156" i="14"/>
  <c r="J4155" i="14" a="1"/>
  <c r="J4155" i="14" s="1"/>
  <c r="K3993" i="14" l="1"/>
  <c r="L3993" i="14" s="1"/>
  <c r="I3994" i="14" s="1"/>
  <c r="K3971" i="13"/>
  <c r="L3971" i="13" s="1"/>
  <c r="I3972" i="13" s="1"/>
  <c r="J4156" i="14" a="1"/>
  <c r="J4156" i="14" s="1"/>
  <c r="N4157" i="14"/>
  <c r="M4161" i="14"/>
  <c r="N4158" i="13"/>
  <c r="J4157" i="13" a="1"/>
  <c r="J4157" i="13" s="1"/>
  <c r="M4160" i="13"/>
  <c r="K3972" i="13" l="1"/>
  <c r="L3972" i="13" s="1"/>
  <c r="I3973" i="13" s="1"/>
  <c r="K3994" i="14"/>
  <c r="L3994" i="14" s="1"/>
  <c r="I3995" i="14" s="1"/>
  <c r="M4162" i="14"/>
  <c r="J4157" i="14" a="1"/>
  <c r="J4157" i="14" s="1"/>
  <c r="N4158" i="14"/>
  <c r="M4161" i="13"/>
  <c r="J4158" i="13" a="1"/>
  <c r="J4158" i="13" s="1"/>
  <c r="N4159" i="13"/>
  <c r="K3995" i="14" l="1"/>
  <c r="L3995" i="14" s="1"/>
  <c r="I3996" i="14" s="1"/>
  <c r="K3973" i="13"/>
  <c r="L3973" i="13" s="1"/>
  <c r="I3974" i="13" s="1"/>
  <c r="N4159" i="14"/>
  <c r="J4158" i="14" a="1"/>
  <c r="J4158" i="14" s="1"/>
  <c r="M4163" i="14"/>
  <c r="N4160" i="13"/>
  <c r="J4159" i="13" a="1"/>
  <c r="J4159" i="13" s="1"/>
  <c r="M4162" i="13"/>
  <c r="K3996" i="14" l="1"/>
  <c r="L3996" i="14" s="1"/>
  <c r="I3997" i="14" s="1"/>
  <c r="M4163" i="13"/>
  <c r="M4164" i="14"/>
  <c r="K3974" i="13"/>
  <c r="L3974" i="13" s="1"/>
  <c r="I3975" i="13" s="1"/>
  <c r="J4160" i="13" a="1"/>
  <c r="J4160" i="13" s="1"/>
  <c r="N4161" i="13"/>
  <c r="N4160" i="14"/>
  <c r="J4159" i="14" a="1"/>
  <c r="J4159" i="14" s="1"/>
  <c r="K3975" i="13" l="1"/>
  <c r="L3975" i="13" s="1"/>
  <c r="I3976" i="13" s="1"/>
  <c r="K3997" i="14"/>
  <c r="L3997" i="14" s="1"/>
  <c r="I3998" i="14" s="1"/>
  <c r="J4160" i="14" a="1"/>
  <c r="J4160" i="14" s="1"/>
  <c r="N4161" i="14"/>
  <c r="M4164" i="13"/>
  <c r="N4162" i="13"/>
  <c r="J4161" i="13" a="1"/>
  <c r="J4161" i="13" s="1"/>
  <c r="M4165" i="14"/>
  <c r="K3998" i="14" l="1"/>
  <c r="L3998" i="14" s="1"/>
  <c r="I3999" i="14" s="1"/>
  <c r="K3976" i="13"/>
  <c r="L3976" i="13" s="1"/>
  <c r="I3977" i="13" s="1"/>
  <c r="M4166" i="14"/>
  <c r="M4165" i="13"/>
  <c r="J4161" i="14" a="1"/>
  <c r="J4161" i="14" s="1"/>
  <c r="N4162" i="14"/>
  <c r="J4162" i="13" a="1"/>
  <c r="J4162" i="13" s="1"/>
  <c r="N4163" i="13"/>
  <c r="K3977" i="13" l="1"/>
  <c r="L3977" i="13" s="1"/>
  <c r="I3978" i="13" s="1"/>
  <c r="K3999" i="14"/>
  <c r="L3999" i="14" s="1"/>
  <c r="I4000" i="14" s="1"/>
  <c r="N4164" i="13"/>
  <c r="J4163" i="13" a="1"/>
  <c r="J4163" i="13" s="1"/>
  <c r="M4166" i="13"/>
  <c r="N4163" i="14"/>
  <c r="J4162" i="14" a="1"/>
  <c r="J4162" i="14" s="1"/>
  <c r="M4167" i="14"/>
  <c r="K4000" i="14" l="1"/>
  <c r="L4000" i="14" s="1"/>
  <c r="I4001" i="14" s="1"/>
  <c r="K3978" i="13"/>
  <c r="L3978" i="13" s="1"/>
  <c r="I3979" i="13" s="1"/>
  <c r="M4167" i="13"/>
  <c r="M4168" i="14"/>
  <c r="N4164" i="14"/>
  <c r="J4163" i="14" a="1"/>
  <c r="J4163" i="14" s="1"/>
  <c r="J4164" i="13" a="1"/>
  <c r="J4164" i="13" s="1"/>
  <c r="N4165" i="13"/>
  <c r="K3979" i="13" l="1"/>
  <c r="L3979" i="13" s="1"/>
  <c r="I3980" i="13" s="1"/>
  <c r="K4001" i="14"/>
  <c r="L4001" i="14" s="1"/>
  <c r="I4002" i="14" s="1"/>
  <c r="N4166" i="13"/>
  <c r="J4165" i="13" a="1"/>
  <c r="J4165" i="13" s="1"/>
  <c r="M4169" i="14"/>
  <c r="J4164" i="14" a="1"/>
  <c r="J4164" i="14" s="1"/>
  <c r="N4165" i="14"/>
  <c r="M4168" i="13"/>
  <c r="K4002" i="14" l="1"/>
  <c r="L4002" i="14" s="1"/>
  <c r="I4003" i="14" s="1"/>
  <c r="K3980" i="13"/>
  <c r="L3980" i="13" s="1"/>
  <c r="I3981" i="13" s="1"/>
  <c r="M4169" i="13"/>
  <c r="J4165" i="14" a="1"/>
  <c r="J4165" i="14" s="1"/>
  <c r="N4166" i="14"/>
  <c r="M4170" i="14"/>
  <c r="J4166" i="13" a="1"/>
  <c r="J4166" i="13" s="1"/>
  <c r="N4167" i="13"/>
  <c r="K3981" i="13" l="1"/>
  <c r="L3981" i="13" s="1"/>
  <c r="I3982" i="13" s="1"/>
  <c r="K4003" i="14"/>
  <c r="L4003" i="14" s="1"/>
  <c r="I4004" i="14" s="1"/>
  <c r="N4168" i="13"/>
  <c r="J4167" i="13" a="1"/>
  <c r="J4167" i="13" s="1"/>
  <c r="N4167" i="14"/>
  <c r="J4166" i="14" a="1"/>
  <c r="J4166" i="14" s="1"/>
  <c r="M4171" i="14"/>
  <c r="M4170" i="13"/>
  <c r="K4004" i="14" l="1"/>
  <c r="L4004" i="14" s="1"/>
  <c r="I4005" i="14" s="1"/>
  <c r="K3982" i="13"/>
  <c r="L3982" i="13" s="1"/>
  <c r="I3983" i="13" s="1"/>
  <c r="N4168" i="14"/>
  <c r="J4167" i="14" a="1"/>
  <c r="J4167" i="14" s="1"/>
  <c r="M4171" i="13"/>
  <c r="M4172" i="14"/>
  <c r="J4168" i="13" a="1"/>
  <c r="J4168" i="13" s="1"/>
  <c r="N4169" i="13"/>
  <c r="K3983" i="13" l="1"/>
  <c r="L3983" i="13" s="1"/>
  <c r="I3984" i="13" s="1"/>
  <c r="K4005" i="14"/>
  <c r="L4005" i="14" s="1"/>
  <c r="I4006" i="14" s="1"/>
  <c r="N4170" i="13"/>
  <c r="J4169" i="13" a="1"/>
  <c r="J4169" i="13" s="1"/>
  <c r="M4172" i="13"/>
  <c r="M4173" i="14"/>
  <c r="J4168" i="14" a="1"/>
  <c r="J4168" i="14" s="1"/>
  <c r="N4169" i="14"/>
  <c r="K4006" i="14" l="1"/>
  <c r="L4006" i="14" s="1"/>
  <c r="I4007" i="14" s="1"/>
  <c r="K3984" i="13"/>
  <c r="L3984" i="13" s="1"/>
  <c r="I3985" i="13" s="1"/>
  <c r="J4169" i="14" a="1"/>
  <c r="J4169" i="14" s="1"/>
  <c r="N4170" i="14"/>
  <c r="M4173" i="13"/>
  <c r="M4174" i="14"/>
  <c r="J4170" i="13" a="1"/>
  <c r="J4170" i="13" s="1"/>
  <c r="N4171" i="13"/>
  <c r="K3985" i="13" l="1"/>
  <c r="L3985" i="13" s="1"/>
  <c r="I3986" i="13" s="1"/>
  <c r="K4007" i="14"/>
  <c r="L4007" i="14" s="1"/>
  <c r="I4008" i="14" s="1"/>
  <c r="N4172" i="13"/>
  <c r="J4171" i="13" a="1"/>
  <c r="J4171" i="13" s="1"/>
  <c r="M4174" i="13"/>
  <c r="M4175" i="14"/>
  <c r="J4170" i="14" a="1"/>
  <c r="J4170" i="14" s="1"/>
  <c r="N4171" i="14"/>
  <c r="K4008" i="14" l="1"/>
  <c r="L4008" i="14" s="1"/>
  <c r="I4009" i="14" s="1"/>
  <c r="K3986" i="13"/>
  <c r="L3986" i="13" s="1"/>
  <c r="I3987" i="13" s="1"/>
  <c r="N4172" i="14"/>
  <c r="J4171" i="14" a="1"/>
  <c r="J4171" i="14" s="1"/>
  <c r="M4175" i="13"/>
  <c r="M4176" i="14"/>
  <c r="J4172" i="13" a="1"/>
  <c r="J4172" i="13" s="1"/>
  <c r="N4173" i="13"/>
  <c r="K3987" i="13" l="1"/>
  <c r="L3987" i="13" s="1"/>
  <c r="I3988" i="13" s="1"/>
  <c r="K4009" i="14"/>
  <c r="L4009" i="14" s="1"/>
  <c r="I4010" i="14" s="1"/>
  <c r="M4176" i="13"/>
  <c r="N4174" i="13"/>
  <c r="J4173" i="13" a="1"/>
  <c r="J4173" i="13" s="1"/>
  <c r="M4177" i="14"/>
  <c r="J4172" i="14" a="1"/>
  <c r="J4172" i="14" s="1"/>
  <c r="N4173" i="14"/>
  <c r="K4010" i="14" l="1"/>
  <c r="L4010" i="14" s="1"/>
  <c r="I4011" i="14" s="1"/>
  <c r="K3988" i="13"/>
  <c r="L3988" i="13" s="1"/>
  <c r="I3989" i="13" s="1"/>
  <c r="J4174" i="13" a="1"/>
  <c r="J4174" i="13" s="1"/>
  <c r="N4175" i="13"/>
  <c r="J4173" i="14" a="1"/>
  <c r="J4173" i="14" s="1"/>
  <c r="N4174" i="14"/>
  <c r="M4177" i="13"/>
  <c r="M4178" i="14"/>
  <c r="K3989" i="13" l="1"/>
  <c r="L3989" i="13" s="1"/>
  <c r="I3990" i="13" s="1"/>
  <c r="K4011" i="14"/>
  <c r="L4011" i="14" s="1"/>
  <c r="I4012" i="14" s="1"/>
  <c r="N4175" i="14"/>
  <c r="J4174" i="14" a="1"/>
  <c r="J4174" i="14" s="1"/>
  <c r="M4179" i="14"/>
  <c r="N4176" i="13"/>
  <c r="J4175" i="13" a="1"/>
  <c r="J4175" i="13" s="1"/>
  <c r="M4178" i="13"/>
  <c r="K4012" i="14" l="1"/>
  <c r="L4012" i="14" s="1"/>
  <c r="I4013" i="14" s="1"/>
  <c r="K3990" i="13"/>
  <c r="L3990" i="13" s="1"/>
  <c r="I3991" i="13" s="1"/>
  <c r="M4179" i="13"/>
  <c r="M4180" i="14"/>
  <c r="J4176" i="13" a="1"/>
  <c r="J4176" i="13" s="1"/>
  <c r="N4177" i="13"/>
  <c r="N4176" i="14"/>
  <c r="J4175" i="14" a="1"/>
  <c r="J4175" i="14" s="1"/>
  <c r="K3991" i="13" l="1"/>
  <c r="L3991" i="13" s="1"/>
  <c r="I3992" i="13" s="1"/>
  <c r="K4013" i="14"/>
  <c r="L4013" i="14" s="1"/>
  <c r="I4014" i="14" s="1"/>
  <c r="J4176" i="14" a="1"/>
  <c r="J4176" i="14" s="1"/>
  <c r="N4177" i="14"/>
  <c r="M4181" i="14"/>
  <c r="N4178" i="13"/>
  <c r="J4177" i="13" a="1"/>
  <c r="J4177" i="13" s="1"/>
  <c r="M4180" i="13"/>
  <c r="K4014" i="14" l="1"/>
  <c r="L4014" i="14" s="1"/>
  <c r="I4015" i="14" s="1"/>
  <c r="K3992" i="13"/>
  <c r="L3992" i="13" s="1"/>
  <c r="I3993" i="13" s="1"/>
  <c r="M4182" i="14"/>
  <c r="M4181" i="13"/>
  <c r="J4177" i="14" a="1"/>
  <c r="J4177" i="14" s="1"/>
  <c r="N4178" i="14"/>
  <c r="J4178" i="13" a="1"/>
  <c r="J4178" i="13" s="1"/>
  <c r="N4179" i="13"/>
  <c r="K3993" i="13" l="1"/>
  <c r="L3993" i="13" s="1"/>
  <c r="I3994" i="13" s="1"/>
  <c r="K4015" i="14"/>
  <c r="L4015" i="14" s="1"/>
  <c r="I4016" i="14" s="1"/>
  <c r="N4180" i="13"/>
  <c r="J4179" i="13" a="1"/>
  <c r="J4179" i="13" s="1"/>
  <c r="M4182" i="13"/>
  <c r="N4179" i="14"/>
  <c r="J4178" i="14" a="1"/>
  <c r="J4178" i="14" s="1"/>
  <c r="M4183" i="14"/>
  <c r="K4016" i="14" l="1"/>
  <c r="L4016" i="14" s="1"/>
  <c r="I4017" i="14" s="1"/>
  <c r="K3994" i="13"/>
  <c r="L3994" i="13" s="1"/>
  <c r="I3995" i="13" s="1"/>
  <c r="M4183" i="13"/>
  <c r="M4184" i="14"/>
  <c r="N4180" i="14"/>
  <c r="J4179" i="14" a="1"/>
  <c r="J4179" i="14" s="1"/>
  <c r="J4180" i="13" a="1"/>
  <c r="J4180" i="13" s="1"/>
  <c r="N4181" i="13"/>
  <c r="K3995" i="13" l="1"/>
  <c r="L3995" i="13" s="1"/>
  <c r="I3996" i="13" s="1"/>
  <c r="K4017" i="14"/>
  <c r="L4017" i="14" s="1"/>
  <c r="I4018" i="14" s="1"/>
  <c r="N4182" i="13"/>
  <c r="J4181" i="13" a="1"/>
  <c r="J4181" i="13" s="1"/>
  <c r="M4185" i="14"/>
  <c r="J4180" i="14" a="1"/>
  <c r="J4180" i="14" s="1"/>
  <c r="N4181" i="14"/>
  <c r="M4184" i="13"/>
  <c r="K4018" i="14" l="1"/>
  <c r="L4018" i="14" s="1"/>
  <c r="I4019" i="14" s="1"/>
  <c r="K3996" i="13"/>
  <c r="L3996" i="13" s="1"/>
  <c r="I3997" i="13" s="1"/>
  <c r="J4181" i="14" a="1"/>
  <c r="J4181" i="14" s="1"/>
  <c r="N4182" i="14"/>
  <c r="M4185" i="13"/>
  <c r="M4186" i="14"/>
  <c r="J4182" i="13" a="1"/>
  <c r="J4182" i="13" s="1"/>
  <c r="N4183" i="13"/>
  <c r="K3997" i="13" l="1"/>
  <c r="L3997" i="13" s="1"/>
  <c r="I3998" i="13" s="1"/>
  <c r="K4019" i="14"/>
  <c r="L4019" i="14" s="1"/>
  <c r="I4020" i="14" s="1"/>
  <c r="M4186" i="13"/>
  <c r="N4184" i="13"/>
  <c r="J4183" i="13" a="1"/>
  <c r="J4183" i="13" s="1"/>
  <c r="N4183" i="14"/>
  <c r="J4182" i="14" a="1"/>
  <c r="J4182" i="14" s="1"/>
  <c r="M4187" i="14"/>
  <c r="K4020" i="14" l="1"/>
  <c r="L4020" i="14" s="1"/>
  <c r="I4021" i="14" s="1"/>
  <c r="K3998" i="13"/>
  <c r="L3998" i="13" s="1"/>
  <c r="I3999" i="13" s="1"/>
  <c r="J4184" i="13" a="1"/>
  <c r="J4184" i="13" s="1"/>
  <c r="N4185" i="13"/>
  <c r="M4187" i="13"/>
  <c r="M4188" i="14"/>
  <c r="N4184" i="14"/>
  <c r="J4183" i="14" a="1"/>
  <c r="J4183" i="14" s="1"/>
  <c r="K3999" i="13" l="1"/>
  <c r="L3999" i="13" s="1"/>
  <c r="I4000" i="13" s="1"/>
  <c r="K4021" i="14"/>
  <c r="L4021" i="14" s="1"/>
  <c r="I4022" i="14" s="1"/>
  <c r="J4184" i="14" a="1"/>
  <c r="J4184" i="14" s="1"/>
  <c r="N4185" i="14"/>
  <c r="M4188" i="13"/>
  <c r="N4186" i="13"/>
  <c r="J4185" i="13" a="1"/>
  <c r="J4185" i="13" s="1"/>
  <c r="M4189" i="14"/>
  <c r="K4022" i="14" l="1"/>
  <c r="L4022" i="14" s="1"/>
  <c r="I4023" i="14" s="1"/>
  <c r="K4000" i="13"/>
  <c r="L4000" i="13" s="1"/>
  <c r="I4001" i="13" s="1"/>
  <c r="M4189" i="13"/>
  <c r="J4186" i="13" a="1"/>
  <c r="J4186" i="13" s="1"/>
  <c r="N4187" i="13"/>
  <c r="M4190" i="14"/>
  <c r="J4185" i="14" a="1"/>
  <c r="J4185" i="14" s="1"/>
  <c r="N4186" i="14"/>
  <c r="K4001" i="13" l="1"/>
  <c r="L4001" i="13" s="1"/>
  <c r="I4002" i="13" s="1"/>
  <c r="K4023" i="14"/>
  <c r="L4023" i="14" s="1"/>
  <c r="I4024" i="14" s="1"/>
  <c r="N4188" i="13"/>
  <c r="J4187" i="13" a="1"/>
  <c r="J4187" i="13" s="1"/>
  <c r="J4186" i="14" a="1"/>
  <c r="J4186" i="14" s="1"/>
  <c r="N4187" i="14"/>
  <c r="M4191" i="14"/>
  <c r="M4190" i="13"/>
  <c r="K4024" i="14" l="1"/>
  <c r="L4024" i="14" s="1"/>
  <c r="I4025" i="14" s="1"/>
  <c r="K4002" i="13"/>
  <c r="L4002" i="13" s="1"/>
  <c r="I4003" i="13" s="1"/>
  <c r="N4188" i="14"/>
  <c r="J4187" i="14" a="1"/>
  <c r="J4187" i="14" s="1"/>
  <c r="M4191" i="13"/>
  <c r="M4192" i="14"/>
  <c r="J4188" i="13" a="1"/>
  <c r="J4188" i="13" s="1"/>
  <c r="N4189" i="13"/>
  <c r="K4025" i="14" l="1"/>
  <c r="L4025" i="14" s="1"/>
  <c r="I4026" i="14" s="1"/>
  <c r="N4190" i="13"/>
  <c r="J4189" i="13" a="1"/>
  <c r="J4189" i="13" s="1"/>
  <c r="K4003" i="13"/>
  <c r="L4003" i="13" s="1"/>
  <c r="I4004" i="13" s="1"/>
  <c r="M4192" i="13"/>
  <c r="M4193" i="14"/>
  <c r="J4188" i="14" a="1"/>
  <c r="J4188" i="14" s="1"/>
  <c r="N4189" i="14"/>
  <c r="K4004" i="13" l="1"/>
  <c r="L4004" i="13" s="1"/>
  <c r="I4005" i="13" s="1"/>
  <c r="K4026" i="14"/>
  <c r="L4026" i="14" s="1"/>
  <c r="I4027" i="14" s="1"/>
  <c r="J4190" i="13" a="1"/>
  <c r="J4190" i="13" s="1"/>
  <c r="N4191" i="13"/>
  <c r="J4189" i="14" a="1"/>
  <c r="J4189" i="14" s="1"/>
  <c r="N4190" i="14"/>
  <c r="M4193" i="13"/>
  <c r="M4194" i="14"/>
  <c r="K4027" i="14" l="1"/>
  <c r="L4027" i="14" s="1"/>
  <c r="I4028" i="14" s="1"/>
  <c r="K4005" i="13"/>
  <c r="L4005" i="13" s="1"/>
  <c r="I4006" i="13" s="1"/>
  <c r="N4191" i="14"/>
  <c r="J4190" i="14" a="1"/>
  <c r="J4190" i="14" s="1"/>
  <c r="M4195" i="14"/>
  <c r="N4192" i="13"/>
  <c r="J4191" i="13" a="1"/>
  <c r="J4191" i="13" s="1"/>
  <c r="M4194" i="13"/>
  <c r="K4006" i="13" l="1"/>
  <c r="L4006" i="13" s="1"/>
  <c r="I4007" i="13" s="1"/>
  <c r="K4028" i="14"/>
  <c r="L4028" i="14" s="1"/>
  <c r="I4029" i="14" s="1"/>
  <c r="M4195" i="13"/>
  <c r="M4196" i="14"/>
  <c r="J4192" i="13" a="1"/>
  <c r="J4192" i="13" s="1"/>
  <c r="N4193" i="13"/>
  <c r="N4192" i="14"/>
  <c r="J4191" i="14" a="1"/>
  <c r="J4191" i="14" s="1"/>
  <c r="K4029" i="14" l="1"/>
  <c r="L4029" i="14" s="1"/>
  <c r="I4030" i="14" s="1"/>
  <c r="K4007" i="13"/>
  <c r="L4007" i="13" s="1"/>
  <c r="I4008" i="13" s="1"/>
  <c r="J4192" i="14" a="1"/>
  <c r="J4192" i="14" s="1"/>
  <c r="N4193" i="14"/>
  <c r="M4197" i="14"/>
  <c r="N4194" i="13"/>
  <c r="J4193" i="13" a="1"/>
  <c r="J4193" i="13" s="1"/>
  <c r="M4196" i="13"/>
  <c r="K4030" i="14" l="1"/>
  <c r="L4030" i="14" s="1"/>
  <c r="I4031" i="14" s="1"/>
  <c r="J4193" i="14" a="1"/>
  <c r="J4193" i="14" s="1"/>
  <c r="N4194" i="14"/>
  <c r="M4197" i="13"/>
  <c r="M4198" i="14"/>
  <c r="K4008" i="13"/>
  <c r="L4008" i="13" s="1"/>
  <c r="I4009" i="13" s="1"/>
  <c r="J4194" i="13" a="1"/>
  <c r="J4194" i="13" s="1"/>
  <c r="N4195" i="13"/>
  <c r="K4009" i="13" l="1"/>
  <c r="L4009" i="13" s="1"/>
  <c r="I4010" i="13" s="1"/>
  <c r="K4031" i="14"/>
  <c r="L4031" i="14" s="1"/>
  <c r="I4032" i="14" s="1"/>
  <c r="M4199" i="14"/>
  <c r="N4195" i="14"/>
  <c r="J4194" i="14" a="1"/>
  <c r="J4194" i="14" s="1"/>
  <c r="N4196" i="13"/>
  <c r="J4195" i="13" a="1"/>
  <c r="J4195" i="13" s="1"/>
  <c r="M4198" i="13"/>
  <c r="K4032" i="14" l="1"/>
  <c r="L4032" i="14" s="1"/>
  <c r="I4033" i="14" s="1"/>
  <c r="K4010" i="13"/>
  <c r="L4010" i="13" s="1"/>
  <c r="I4011" i="13" s="1"/>
  <c r="N4196" i="14"/>
  <c r="J4195" i="14" a="1"/>
  <c r="J4195" i="14" s="1"/>
  <c r="M4199" i="13"/>
  <c r="J4196" i="13" a="1"/>
  <c r="J4196" i="13" s="1"/>
  <c r="N4197" i="13"/>
  <c r="M4200" i="14"/>
  <c r="K4011" i="13" l="1"/>
  <c r="L4011" i="13" s="1"/>
  <c r="I4012" i="13" s="1"/>
  <c r="K4033" i="14"/>
  <c r="L4033" i="14" s="1"/>
  <c r="I4034" i="14" s="1"/>
  <c r="M4201" i="14"/>
  <c r="M4200" i="13"/>
  <c r="N4198" i="13"/>
  <c r="J4197" i="13" a="1"/>
  <c r="J4197" i="13" s="1"/>
  <c r="J4196" i="14" a="1"/>
  <c r="J4196" i="14" s="1"/>
  <c r="N4197" i="14"/>
  <c r="K4034" i="14" l="1"/>
  <c r="L4034" i="14" s="1"/>
  <c r="I4035" i="14" s="1"/>
  <c r="K4012" i="13"/>
  <c r="L4012" i="13" s="1"/>
  <c r="I4013" i="13" s="1"/>
  <c r="J4197" i="14" a="1"/>
  <c r="J4197" i="14" s="1"/>
  <c r="N4198" i="14"/>
  <c r="M4201" i="13"/>
  <c r="J4198" i="13" a="1"/>
  <c r="J4198" i="13" s="1"/>
  <c r="N4199" i="13"/>
  <c r="M4202" i="14"/>
  <c r="K4013" i="13" l="1"/>
  <c r="L4013" i="13" s="1"/>
  <c r="I4014" i="13" s="1"/>
  <c r="K4035" i="14"/>
  <c r="L4035" i="14" s="1"/>
  <c r="I4036" i="14" s="1"/>
  <c r="M4203" i="14"/>
  <c r="N4200" i="13"/>
  <c r="J4199" i="13" a="1"/>
  <c r="J4199" i="13" s="1"/>
  <c r="M4202" i="13"/>
  <c r="N4199" i="14"/>
  <c r="J4198" i="14" a="1"/>
  <c r="J4198" i="14" s="1"/>
  <c r="K4014" i="13" l="1"/>
  <c r="L4014" i="13" s="1"/>
  <c r="I4015" i="13" s="1"/>
  <c r="J4200" i="13" a="1"/>
  <c r="J4200" i="13" s="1"/>
  <c r="N4201" i="13"/>
  <c r="K4036" i="14"/>
  <c r="L4036" i="14" s="1"/>
  <c r="I4037" i="14" s="1"/>
  <c r="N4200" i="14"/>
  <c r="J4199" i="14" a="1"/>
  <c r="J4199" i="14" s="1"/>
  <c r="M4203" i="13"/>
  <c r="M4204" i="14"/>
  <c r="K4037" i="14" l="1"/>
  <c r="L4037" i="14" s="1"/>
  <c r="I4038" i="14" s="1"/>
  <c r="K4015" i="13"/>
  <c r="L4015" i="13" s="1"/>
  <c r="I4016" i="13" s="1"/>
  <c r="N4202" i="13"/>
  <c r="J4201" i="13" a="1"/>
  <c r="J4201" i="13" s="1"/>
  <c r="J4200" i="14" a="1"/>
  <c r="J4200" i="14" s="1"/>
  <c r="N4201" i="14"/>
  <c r="M4205" i="14"/>
  <c r="M4204" i="13"/>
  <c r="K4016" i="13" l="1"/>
  <c r="L4016" i="13" s="1"/>
  <c r="I4017" i="13" s="1"/>
  <c r="K4038" i="14"/>
  <c r="L4038" i="14" s="1"/>
  <c r="I4039" i="14" s="1"/>
  <c r="M4206" i="14"/>
  <c r="M4205" i="13"/>
  <c r="J4201" i="14" a="1"/>
  <c r="J4201" i="14" s="1"/>
  <c r="N4202" i="14"/>
  <c r="J4202" i="13" a="1"/>
  <c r="J4202" i="13" s="1"/>
  <c r="N4203" i="13"/>
  <c r="K4017" i="13" l="1"/>
  <c r="L4017" i="13" s="1"/>
  <c r="I4018" i="13" s="1"/>
  <c r="N4204" i="13"/>
  <c r="J4203" i="13" a="1"/>
  <c r="J4203" i="13" s="1"/>
  <c r="M4206" i="13"/>
  <c r="K4039" i="14"/>
  <c r="L4039" i="14" s="1"/>
  <c r="I4040" i="14" s="1"/>
  <c r="J4202" i="14" a="1"/>
  <c r="J4202" i="14" s="1"/>
  <c r="N4203" i="14"/>
  <c r="M4207" i="14"/>
  <c r="K4040" i="14" l="1"/>
  <c r="L4040" i="14" s="1"/>
  <c r="I4041" i="14" s="1"/>
  <c r="K4018" i="13"/>
  <c r="L4018" i="13" s="1"/>
  <c r="I4019" i="13" s="1"/>
  <c r="J4204" i="13" a="1"/>
  <c r="J4204" i="13" s="1"/>
  <c r="N4205" i="13"/>
  <c r="N4204" i="14"/>
  <c r="J4203" i="14" a="1"/>
  <c r="J4203" i="14" s="1"/>
  <c r="M4207" i="13"/>
  <c r="M4208" i="14"/>
  <c r="K4019" i="13" l="1"/>
  <c r="L4019" i="13" s="1"/>
  <c r="I4020" i="13" s="1"/>
  <c r="K4041" i="14"/>
  <c r="L4041" i="14" s="1"/>
  <c r="I4042" i="14" s="1"/>
  <c r="J4204" i="14" a="1"/>
  <c r="J4204" i="14" s="1"/>
  <c r="N4205" i="14"/>
  <c r="N4206" i="13"/>
  <c r="J4205" i="13" a="1"/>
  <c r="J4205" i="13" s="1"/>
  <c r="M4209" i="14"/>
  <c r="M4208" i="13"/>
  <c r="K4042" i="14" l="1"/>
  <c r="L4042" i="14" s="1"/>
  <c r="I4043" i="14" s="1"/>
  <c r="K4020" i="13"/>
  <c r="L4020" i="13" s="1"/>
  <c r="I4021" i="13" s="1"/>
  <c r="M4209" i="13"/>
  <c r="J4206" i="13" a="1"/>
  <c r="J4206" i="13" s="1"/>
  <c r="N4207" i="13"/>
  <c r="J4205" i="14" a="1"/>
  <c r="J4205" i="14" s="1"/>
  <c r="N4206" i="14"/>
  <c r="M4210" i="14"/>
  <c r="K4021" i="13" l="1"/>
  <c r="L4021" i="13" s="1"/>
  <c r="I4022" i="13" s="1"/>
  <c r="K4043" i="14"/>
  <c r="L4043" i="14" s="1"/>
  <c r="I4044" i="14" s="1"/>
  <c r="M4211" i="14"/>
  <c r="N4208" i="13"/>
  <c r="J4207" i="13" a="1"/>
  <c r="J4207" i="13" s="1"/>
  <c r="N4207" i="14"/>
  <c r="J4206" i="14" a="1"/>
  <c r="J4206" i="14" s="1"/>
  <c r="M4210" i="13"/>
  <c r="K4044" i="14" l="1"/>
  <c r="L4044" i="14" s="1"/>
  <c r="I4045" i="14" s="1"/>
  <c r="K4022" i="13"/>
  <c r="L4022" i="13" s="1"/>
  <c r="I4023" i="13" s="1"/>
  <c r="J4208" i="13" a="1"/>
  <c r="J4208" i="13" s="1"/>
  <c r="N4209" i="13"/>
  <c r="M4211" i="13"/>
  <c r="N4208" i="14"/>
  <c r="J4207" i="14" a="1"/>
  <c r="J4207" i="14" s="1"/>
  <c r="M4212" i="14"/>
  <c r="K4023" i="13" l="1"/>
  <c r="L4023" i="13" s="1"/>
  <c r="I4024" i="13" s="1"/>
  <c r="K4045" i="14"/>
  <c r="L4045" i="14" s="1"/>
  <c r="I4046" i="14" s="1"/>
  <c r="J4208" i="14" a="1"/>
  <c r="J4208" i="14" s="1"/>
  <c r="N4209" i="14"/>
  <c r="M4213" i="14"/>
  <c r="M4212" i="13"/>
  <c r="N4210" i="13"/>
  <c r="J4209" i="13" a="1"/>
  <c r="J4209" i="13" s="1"/>
  <c r="K4046" i="14" l="1"/>
  <c r="L4046" i="14" s="1"/>
  <c r="I4047" i="14" s="1"/>
  <c r="K4024" i="13"/>
  <c r="L4024" i="13" s="1"/>
  <c r="I4025" i="13" s="1"/>
  <c r="M4214" i="14"/>
  <c r="J4210" i="13" a="1"/>
  <c r="J4210" i="13" s="1"/>
  <c r="N4211" i="13"/>
  <c r="J4209" i="14" a="1"/>
  <c r="J4209" i="14" s="1"/>
  <c r="N4210" i="14"/>
  <c r="M4213" i="13"/>
  <c r="K4025" i="13" l="1"/>
  <c r="L4025" i="13" s="1"/>
  <c r="I4026" i="13" s="1"/>
  <c r="K4047" i="14"/>
  <c r="L4047" i="14" s="1"/>
  <c r="I4048" i="14" s="1"/>
  <c r="N4212" i="13"/>
  <c r="J4211" i="13" a="1"/>
  <c r="J4211" i="13" s="1"/>
  <c r="N4211" i="14"/>
  <c r="J4210" i="14" a="1"/>
  <c r="J4210" i="14" s="1"/>
  <c r="M4215" i="14"/>
  <c r="M4214" i="13"/>
  <c r="K4048" i="14" l="1"/>
  <c r="L4048" i="14" s="1"/>
  <c r="I4049" i="14" s="1"/>
  <c r="K4026" i="13"/>
  <c r="L4026" i="13" s="1"/>
  <c r="I4027" i="13" s="1"/>
  <c r="N4212" i="14"/>
  <c r="J4211" i="14" a="1"/>
  <c r="J4211" i="14" s="1"/>
  <c r="M4215" i="13"/>
  <c r="M4216" i="14"/>
  <c r="J4212" i="13" a="1"/>
  <c r="J4212" i="13" s="1"/>
  <c r="N4213" i="13"/>
  <c r="K4027" i="13" l="1"/>
  <c r="L4027" i="13" s="1"/>
  <c r="I4028" i="13" s="1"/>
  <c r="K4049" i="14"/>
  <c r="L4049" i="14" s="1"/>
  <c r="I4050" i="14" s="1"/>
  <c r="N4214" i="13"/>
  <c r="J4213" i="13" a="1"/>
  <c r="J4213" i="13" s="1"/>
  <c r="M4216" i="13"/>
  <c r="M4217" i="14"/>
  <c r="J4212" i="14" a="1"/>
  <c r="J4212" i="14" s="1"/>
  <c r="N4213" i="14"/>
  <c r="K4050" i="14" l="1"/>
  <c r="L4050" i="14" s="1"/>
  <c r="I4051" i="14" s="1"/>
  <c r="K4028" i="13"/>
  <c r="L4028" i="13" s="1"/>
  <c r="I4029" i="13" s="1"/>
  <c r="J4213" i="14" a="1"/>
  <c r="J4213" i="14" s="1"/>
  <c r="N4214" i="14"/>
  <c r="M4217" i="13"/>
  <c r="M4218" i="14"/>
  <c r="J4214" i="13" a="1"/>
  <c r="J4214" i="13" s="1"/>
  <c r="N4215" i="13"/>
  <c r="K4029" i="13" l="1"/>
  <c r="L4029" i="13" s="1"/>
  <c r="I4030" i="13" s="1"/>
  <c r="K4051" i="14"/>
  <c r="L4051" i="14" s="1"/>
  <c r="I4052" i="14" s="1"/>
  <c r="N4216" i="13"/>
  <c r="J4215" i="13" a="1"/>
  <c r="J4215" i="13" s="1"/>
  <c r="M4218" i="13"/>
  <c r="N4215" i="14"/>
  <c r="J4214" i="14" a="1"/>
  <c r="J4214" i="14" s="1"/>
  <c r="M4219" i="14"/>
  <c r="K4052" i="14" l="1"/>
  <c r="L4052" i="14" s="1"/>
  <c r="I4053" i="14" s="1"/>
  <c r="K4030" i="13"/>
  <c r="L4030" i="13" s="1"/>
  <c r="I4031" i="13" s="1"/>
  <c r="M4219" i="13"/>
  <c r="M4220" i="14"/>
  <c r="N4216" i="14"/>
  <c r="J4215" i="14" a="1"/>
  <c r="J4215" i="14" s="1"/>
  <c r="J4216" i="13" a="1"/>
  <c r="J4216" i="13" s="1"/>
  <c r="N4217" i="13"/>
  <c r="K4031" i="13" l="1"/>
  <c r="L4031" i="13" s="1"/>
  <c r="I4032" i="13" s="1"/>
  <c r="K4053" i="14"/>
  <c r="L4053" i="14" s="1"/>
  <c r="I4054" i="14" s="1"/>
  <c r="N4218" i="13"/>
  <c r="J4217" i="13" a="1"/>
  <c r="J4217" i="13" s="1"/>
  <c r="M4221" i="14"/>
  <c r="J4216" i="14" a="1"/>
  <c r="J4216" i="14" s="1"/>
  <c r="N4217" i="14"/>
  <c r="M4220" i="13"/>
  <c r="K4054" i="14" l="1"/>
  <c r="L4054" i="14" s="1"/>
  <c r="I4055" i="14" s="1"/>
  <c r="K4032" i="13"/>
  <c r="L4032" i="13" s="1"/>
  <c r="I4033" i="13" s="1"/>
  <c r="M4221" i="13"/>
  <c r="M4222" i="14"/>
  <c r="J4217" i="14" a="1"/>
  <c r="J4217" i="14" s="1"/>
  <c r="N4218" i="14"/>
  <c r="J4218" i="13" a="1"/>
  <c r="J4218" i="13" s="1"/>
  <c r="N4219" i="13"/>
  <c r="K4033" i="13" l="1"/>
  <c r="L4033" i="13" s="1"/>
  <c r="I4034" i="13" s="1"/>
  <c r="K4055" i="14"/>
  <c r="L4055" i="14" s="1"/>
  <c r="I4056" i="14" s="1"/>
  <c r="N4220" i="13"/>
  <c r="J4219" i="13" a="1"/>
  <c r="J4219" i="13" s="1"/>
  <c r="M4223" i="14"/>
  <c r="J4218" i="14" a="1"/>
  <c r="J4218" i="14" s="1"/>
  <c r="N4219" i="14"/>
  <c r="M4222" i="13"/>
  <c r="K4056" i="14" l="1"/>
  <c r="L4056" i="14" s="1"/>
  <c r="I4057" i="14" s="1"/>
  <c r="K4034" i="13"/>
  <c r="L4034" i="13" s="1"/>
  <c r="I4035" i="13" s="1"/>
  <c r="N4220" i="14"/>
  <c r="J4219" i="14" a="1"/>
  <c r="J4219" i="14" s="1"/>
  <c r="M4223" i="13"/>
  <c r="M4224" i="14"/>
  <c r="J4220" i="13" a="1"/>
  <c r="J4220" i="13" s="1"/>
  <c r="N4221" i="13"/>
  <c r="K4035" i="13" l="1"/>
  <c r="L4035" i="13" s="1"/>
  <c r="I4036" i="13" s="1"/>
  <c r="K4057" i="14"/>
  <c r="L4057" i="14" s="1"/>
  <c r="I4058" i="14" s="1"/>
  <c r="N4222" i="13"/>
  <c r="J4221" i="13" a="1"/>
  <c r="J4221" i="13" s="1"/>
  <c r="M4224" i="13"/>
  <c r="M4225" i="14"/>
  <c r="J4220" i="14" a="1"/>
  <c r="J4220" i="14" s="1"/>
  <c r="N4221" i="14"/>
  <c r="K4058" i="14" l="1"/>
  <c r="L4058" i="14" s="1"/>
  <c r="I4059" i="14" s="1"/>
  <c r="K4036" i="13"/>
  <c r="L4036" i="13" s="1"/>
  <c r="I4037" i="13" s="1"/>
  <c r="J4221" i="14" a="1"/>
  <c r="J4221" i="14" s="1"/>
  <c r="N4222" i="14"/>
  <c r="M4225" i="13"/>
  <c r="M4226" i="14"/>
  <c r="J4222" i="13" a="1"/>
  <c r="J4222" i="13" s="1"/>
  <c r="N4223" i="13"/>
  <c r="K4037" i="13" l="1"/>
  <c r="L4037" i="13" s="1"/>
  <c r="I4038" i="13" s="1"/>
  <c r="K4059" i="14"/>
  <c r="L4059" i="14" s="1"/>
  <c r="I4060" i="14" s="1"/>
  <c r="N4224" i="13"/>
  <c r="J4223" i="13" a="1"/>
  <c r="J4223" i="13" s="1"/>
  <c r="M4226" i="13"/>
  <c r="N4223" i="14"/>
  <c r="J4222" i="14" a="1"/>
  <c r="J4222" i="14" s="1"/>
  <c r="M4227" i="14"/>
  <c r="K4060" i="14" l="1"/>
  <c r="L4060" i="14" s="1"/>
  <c r="I4061" i="14" s="1"/>
  <c r="K4038" i="13"/>
  <c r="L4038" i="13" s="1"/>
  <c r="I4039" i="13" s="1"/>
  <c r="M4227" i="13"/>
  <c r="M4228" i="14"/>
  <c r="N4224" i="14"/>
  <c r="J4223" i="14" a="1"/>
  <c r="J4223" i="14" s="1"/>
  <c r="J4224" i="13" a="1"/>
  <c r="J4224" i="13" s="1"/>
  <c r="N4225" i="13"/>
  <c r="K4039" i="13" l="1"/>
  <c r="L4039" i="13" s="1"/>
  <c r="I4040" i="13" s="1"/>
  <c r="K4061" i="14"/>
  <c r="L4061" i="14" s="1"/>
  <c r="I4062" i="14" s="1"/>
  <c r="N4226" i="13"/>
  <c r="J4225" i="13" a="1"/>
  <c r="J4225" i="13" s="1"/>
  <c r="M4229" i="14"/>
  <c r="J4224" i="14" a="1"/>
  <c r="J4224" i="14" s="1"/>
  <c r="N4225" i="14"/>
  <c r="M4228" i="13"/>
  <c r="K4062" i="14" l="1"/>
  <c r="L4062" i="14" s="1"/>
  <c r="I4063" i="14" s="1"/>
  <c r="K4040" i="13"/>
  <c r="L4040" i="13" s="1"/>
  <c r="I4041" i="13" s="1"/>
  <c r="M4229" i="13"/>
  <c r="M4230" i="14"/>
  <c r="J4225" i="14" a="1"/>
  <c r="J4225" i="14" s="1"/>
  <c r="N4226" i="14"/>
  <c r="J4226" i="13" a="1"/>
  <c r="J4226" i="13" s="1"/>
  <c r="N4227" i="13"/>
  <c r="K4041" i="13" l="1"/>
  <c r="L4041" i="13" s="1"/>
  <c r="I4042" i="13" s="1"/>
  <c r="K4063" i="14"/>
  <c r="L4063" i="14" s="1"/>
  <c r="I4064" i="14" s="1"/>
  <c r="M4231" i="14"/>
  <c r="N4228" i="13"/>
  <c r="J4227" i="13" a="1"/>
  <c r="J4227" i="13" s="1"/>
  <c r="N4227" i="14"/>
  <c r="J4226" i="14" a="1"/>
  <c r="J4226" i="14" s="1"/>
  <c r="M4230" i="13"/>
  <c r="K4042" i="13" l="1"/>
  <c r="L4042" i="13" s="1"/>
  <c r="I4043" i="13" s="1"/>
  <c r="J4228" i="13" a="1"/>
  <c r="J4228" i="13" s="1"/>
  <c r="N4229" i="13"/>
  <c r="M4231" i="13"/>
  <c r="K4064" i="14"/>
  <c r="L4064" i="14" s="1"/>
  <c r="I4065" i="14" s="1"/>
  <c r="N4228" i="14"/>
  <c r="J4227" i="14" a="1"/>
  <c r="J4227" i="14" s="1"/>
  <c r="M4232" i="14"/>
  <c r="K4065" i="14" l="1"/>
  <c r="L4065" i="14" s="1"/>
  <c r="I4066" i="14" s="1"/>
  <c r="K4043" i="13"/>
  <c r="L4043" i="13" s="1"/>
  <c r="I4044" i="13" s="1"/>
  <c r="N4230" i="13"/>
  <c r="J4229" i="13" a="1"/>
  <c r="J4229" i="13" s="1"/>
  <c r="M4233" i="14"/>
  <c r="J4228" i="14" a="1"/>
  <c r="J4228" i="14" s="1"/>
  <c r="N4229" i="14"/>
  <c r="M4232" i="13"/>
  <c r="K4044" i="13" l="1"/>
  <c r="L4044" i="13" s="1"/>
  <c r="I4045" i="13" s="1"/>
  <c r="K4066" i="14"/>
  <c r="L4066" i="14" s="1"/>
  <c r="I4067" i="14" s="1"/>
  <c r="M4233" i="13"/>
  <c r="J4229" i="14" a="1"/>
  <c r="J4229" i="14" s="1"/>
  <c r="N4230" i="14"/>
  <c r="M4234" i="14"/>
  <c r="J4230" i="13" a="1"/>
  <c r="J4230" i="13" s="1"/>
  <c r="N4231" i="13"/>
  <c r="K4067" i="14" l="1"/>
  <c r="L4067" i="14" s="1"/>
  <c r="I4068" i="14" s="1"/>
  <c r="K4045" i="13"/>
  <c r="L4045" i="13" s="1"/>
  <c r="I4046" i="13" s="1"/>
  <c r="N4231" i="14"/>
  <c r="J4230" i="14" a="1"/>
  <c r="J4230" i="14" s="1"/>
  <c r="N4232" i="13"/>
  <c r="J4231" i="13" a="1"/>
  <c r="J4231" i="13" s="1"/>
  <c r="M4235" i="14"/>
  <c r="M4234" i="13"/>
  <c r="K4046" i="13" l="1"/>
  <c r="L4046" i="13" s="1"/>
  <c r="I4047" i="13" s="1"/>
  <c r="K4068" i="14"/>
  <c r="L4068" i="14" s="1"/>
  <c r="I4069" i="14" s="1"/>
  <c r="J4232" i="13" a="1"/>
  <c r="J4232" i="13" s="1"/>
  <c r="N4233" i="13"/>
  <c r="M4235" i="13"/>
  <c r="M4236" i="14"/>
  <c r="N4232" i="14"/>
  <c r="J4231" i="14" a="1"/>
  <c r="J4231" i="14" s="1"/>
  <c r="K4069" i="14" l="1"/>
  <c r="L4069" i="14" s="1"/>
  <c r="I4070" i="14" s="1"/>
  <c r="K4047" i="13"/>
  <c r="L4047" i="13" s="1"/>
  <c r="I4048" i="13" s="1"/>
  <c r="J4232" i="14" a="1"/>
  <c r="J4232" i="14" s="1"/>
  <c r="N4233" i="14"/>
  <c r="M4236" i="13"/>
  <c r="N4234" i="13"/>
  <c r="J4233" i="13" a="1"/>
  <c r="J4233" i="13" s="1"/>
  <c r="M4237" i="14"/>
  <c r="K4048" i="13" l="1"/>
  <c r="L4048" i="13" s="1"/>
  <c r="I4049" i="13" s="1"/>
  <c r="K4070" i="14"/>
  <c r="L4070" i="14" s="1"/>
  <c r="I4071" i="14" s="1"/>
  <c r="M4238" i="14"/>
  <c r="M4237" i="13"/>
  <c r="J4234" i="13" a="1"/>
  <c r="J4234" i="13" s="1"/>
  <c r="N4235" i="13"/>
  <c r="J4233" i="14" a="1"/>
  <c r="J4233" i="14" s="1"/>
  <c r="N4234" i="14"/>
  <c r="K4049" i="13" l="1"/>
  <c r="L4049" i="13" s="1"/>
  <c r="I4050" i="13" s="1"/>
  <c r="J4234" i="14" a="1"/>
  <c r="J4234" i="14" s="1"/>
  <c r="N4235" i="14"/>
  <c r="K4071" i="14"/>
  <c r="L4071" i="14" s="1"/>
  <c r="I4072" i="14" s="1"/>
  <c r="N4236" i="13"/>
  <c r="J4235" i="13" a="1"/>
  <c r="J4235" i="13" s="1"/>
  <c r="M4239" i="14"/>
  <c r="M4238" i="13"/>
  <c r="K4072" i="14" l="1"/>
  <c r="L4072" i="14" s="1"/>
  <c r="I4073" i="14" s="1"/>
  <c r="K4050" i="13"/>
  <c r="L4050" i="13" s="1"/>
  <c r="I4051" i="13" s="1"/>
  <c r="N4236" i="14"/>
  <c r="J4235" i="14" a="1"/>
  <c r="J4235" i="14" s="1"/>
  <c r="M4239" i="13"/>
  <c r="J4236" i="13" a="1"/>
  <c r="J4236" i="13" s="1"/>
  <c r="N4237" i="13"/>
  <c r="M4240" i="14"/>
  <c r="K4051" i="13" l="1"/>
  <c r="L4051" i="13" s="1"/>
  <c r="I4052" i="13" s="1"/>
  <c r="K4073" i="14"/>
  <c r="L4073" i="14" s="1"/>
  <c r="I4074" i="14" s="1"/>
  <c r="N4238" i="13"/>
  <c r="J4237" i="13" a="1"/>
  <c r="J4237" i="13" s="1"/>
  <c r="M4241" i="14"/>
  <c r="M4240" i="13"/>
  <c r="J4236" i="14" a="1"/>
  <c r="J4236" i="14" s="1"/>
  <c r="N4237" i="14"/>
  <c r="K4074" i="14" l="1"/>
  <c r="L4074" i="14" s="1"/>
  <c r="I4075" i="14" s="1"/>
  <c r="K4052" i="13"/>
  <c r="L4052" i="13" s="1"/>
  <c r="I4053" i="13" s="1"/>
  <c r="J4237" i="14" a="1"/>
  <c r="J4237" i="14" s="1"/>
  <c r="N4238" i="14"/>
  <c r="M4242" i="14"/>
  <c r="M4241" i="13"/>
  <c r="J4238" i="13" a="1"/>
  <c r="J4238" i="13" s="1"/>
  <c r="N4239" i="13"/>
  <c r="K4053" i="13" l="1"/>
  <c r="L4053" i="13" s="1"/>
  <c r="I4054" i="13" s="1"/>
  <c r="K4075" i="14"/>
  <c r="L4075" i="14" s="1"/>
  <c r="I4076" i="14" s="1"/>
  <c r="N4240" i="13"/>
  <c r="J4239" i="13" a="1"/>
  <c r="J4239" i="13" s="1"/>
  <c r="M4243" i="14"/>
  <c r="N4239" i="14"/>
  <c r="J4238" i="14" a="1"/>
  <c r="J4238" i="14" s="1"/>
  <c r="M4242" i="13"/>
  <c r="K4076" i="14" l="1"/>
  <c r="L4076" i="14" s="1"/>
  <c r="I4077" i="14" s="1"/>
  <c r="K4054" i="13"/>
  <c r="L4054" i="13" s="1"/>
  <c r="I4055" i="13" s="1"/>
  <c r="M4243" i="13"/>
  <c r="M4244" i="14"/>
  <c r="N4240" i="14"/>
  <c r="J4239" i="14" a="1"/>
  <c r="J4239" i="14" s="1"/>
  <c r="J4240" i="13" a="1"/>
  <c r="J4240" i="13" s="1"/>
  <c r="N4241" i="13"/>
  <c r="K4055" i="13" l="1"/>
  <c r="L4055" i="13" s="1"/>
  <c r="I4056" i="13" s="1"/>
  <c r="K4077" i="14"/>
  <c r="L4077" i="14" s="1"/>
  <c r="I4078" i="14" s="1"/>
  <c r="N4242" i="13"/>
  <c r="J4241" i="13" a="1"/>
  <c r="J4241" i="13" s="1"/>
  <c r="M4245" i="14"/>
  <c r="J4240" i="14" a="1"/>
  <c r="J4240" i="14" s="1"/>
  <c r="N4241" i="14"/>
  <c r="M4244" i="13"/>
  <c r="K4078" i="14" l="1"/>
  <c r="L4078" i="14" s="1"/>
  <c r="I4079" i="14" s="1"/>
  <c r="K4056" i="13"/>
  <c r="L4056" i="13" s="1"/>
  <c r="I4057" i="13" s="1"/>
  <c r="M4245" i="13"/>
  <c r="M4246" i="14"/>
  <c r="J4241" i="14" a="1"/>
  <c r="J4241" i="14" s="1"/>
  <c r="N4242" i="14"/>
  <c r="J4242" i="13" a="1"/>
  <c r="J4242" i="13" s="1"/>
  <c r="N4243" i="13"/>
  <c r="K4057" i="13" l="1"/>
  <c r="L4057" i="13" s="1"/>
  <c r="I4058" i="13" s="1"/>
  <c r="K4079" i="14"/>
  <c r="L4079" i="14" s="1"/>
  <c r="I4080" i="14" s="1"/>
  <c r="N4244" i="13"/>
  <c r="J4243" i="13" a="1"/>
  <c r="J4243" i="13" s="1"/>
  <c r="M4247" i="14"/>
  <c r="N4243" i="14"/>
  <c r="J4242" i="14" a="1"/>
  <c r="J4242" i="14" s="1"/>
  <c r="M4246" i="13"/>
  <c r="K4080" i="14" l="1"/>
  <c r="L4080" i="14" s="1"/>
  <c r="I4081" i="14" s="1"/>
  <c r="K4058" i="13"/>
  <c r="L4058" i="13" s="1"/>
  <c r="I4059" i="13" s="1"/>
  <c r="M4247" i="13"/>
  <c r="M4248" i="14"/>
  <c r="N4244" i="14"/>
  <c r="J4243" i="14" a="1"/>
  <c r="J4243" i="14" s="1"/>
  <c r="J4244" i="13" a="1"/>
  <c r="J4244" i="13" s="1"/>
  <c r="N4245" i="13"/>
  <c r="K4059" i="13" l="1"/>
  <c r="L4059" i="13" s="1"/>
  <c r="I4060" i="13" s="1"/>
  <c r="K4081" i="14"/>
  <c r="L4081" i="14" s="1"/>
  <c r="I4082" i="14" s="1"/>
  <c r="N4246" i="13"/>
  <c r="J4245" i="13" a="1"/>
  <c r="J4245" i="13" s="1"/>
  <c r="M4249" i="14"/>
  <c r="J4244" i="14" a="1"/>
  <c r="J4244" i="14" s="1"/>
  <c r="N4245" i="14"/>
  <c r="M4248" i="13"/>
  <c r="K4082" i="14" l="1"/>
  <c r="L4082" i="14" s="1"/>
  <c r="I4083" i="14" s="1"/>
  <c r="K4060" i="13"/>
  <c r="L4060" i="13" s="1"/>
  <c r="I4061" i="13" s="1"/>
  <c r="M4249" i="13"/>
  <c r="J4245" i="14" a="1"/>
  <c r="J4245" i="14" s="1"/>
  <c r="N4246" i="14"/>
  <c r="M4250" i="14"/>
  <c r="J4246" i="13" a="1"/>
  <c r="J4246" i="13" s="1"/>
  <c r="N4247" i="13"/>
  <c r="K4061" i="13" l="1"/>
  <c r="L4061" i="13" s="1"/>
  <c r="I4062" i="13" s="1"/>
  <c r="K4083" i="14"/>
  <c r="L4083" i="14" s="1"/>
  <c r="I4084" i="14" s="1"/>
  <c r="N4247" i="14"/>
  <c r="J4246" i="14" a="1"/>
  <c r="J4246" i="14" s="1"/>
  <c r="N4248" i="13"/>
  <c r="J4247" i="13" a="1"/>
  <c r="J4247" i="13" s="1"/>
  <c r="M4251" i="14"/>
  <c r="M4250" i="13"/>
  <c r="K4084" i="14" l="1"/>
  <c r="L4084" i="14" s="1"/>
  <c r="I4085" i="14" s="1"/>
  <c r="K4062" i="13"/>
  <c r="L4062" i="13" s="1"/>
  <c r="I4063" i="13" s="1"/>
  <c r="J4248" i="13" a="1"/>
  <c r="J4248" i="13" s="1"/>
  <c r="N4249" i="13"/>
  <c r="M4251" i="13"/>
  <c r="M4252" i="14"/>
  <c r="N4248" i="14"/>
  <c r="J4247" i="14" a="1"/>
  <c r="J4247" i="14" s="1"/>
  <c r="K4063" i="13" l="1"/>
  <c r="L4063" i="13" s="1"/>
  <c r="I4064" i="13" s="1"/>
  <c r="K4085" i="14"/>
  <c r="L4085" i="14" s="1"/>
  <c r="I4086" i="14" s="1"/>
  <c r="J4248" i="14" a="1"/>
  <c r="J4248" i="14" s="1"/>
  <c r="N4249" i="14"/>
  <c r="M4252" i="13"/>
  <c r="N4250" i="13"/>
  <c r="J4249" i="13" a="1"/>
  <c r="J4249" i="13" s="1"/>
  <c r="M4253" i="14"/>
  <c r="K4086" i="14" l="1"/>
  <c r="L4086" i="14" s="1"/>
  <c r="I4087" i="14" s="1"/>
  <c r="K4064" i="13"/>
  <c r="L4064" i="13" s="1"/>
  <c r="I4065" i="13" s="1"/>
  <c r="M4254" i="14"/>
  <c r="M4253" i="13"/>
  <c r="J4250" i="13" a="1"/>
  <c r="J4250" i="13" s="1"/>
  <c r="N4251" i="13"/>
  <c r="J4249" i="14" a="1"/>
  <c r="J4249" i="14" s="1"/>
  <c r="N4250" i="14"/>
  <c r="K4065" i="13" l="1"/>
  <c r="L4065" i="13" s="1"/>
  <c r="I4066" i="13" s="1"/>
  <c r="K4087" i="14"/>
  <c r="L4087" i="14" s="1"/>
  <c r="I4088" i="14" s="1"/>
  <c r="J4250" i="14" a="1"/>
  <c r="J4250" i="14" s="1"/>
  <c r="N4251" i="14"/>
  <c r="M4254" i="13"/>
  <c r="N4252" i="13"/>
  <c r="J4251" i="13" a="1"/>
  <c r="J4251" i="13" s="1"/>
  <c r="M4255" i="14"/>
  <c r="K4088" i="14" l="1"/>
  <c r="L4088" i="14" s="1"/>
  <c r="I4089" i="14" s="1"/>
  <c r="K4066" i="13"/>
  <c r="L4066" i="13" s="1"/>
  <c r="I4067" i="13" s="1"/>
  <c r="M4255" i="13"/>
  <c r="J4252" i="13" a="1"/>
  <c r="J4252" i="13" s="1"/>
  <c r="N4253" i="13"/>
  <c r="M4256" i="14"/>
  <c r="N4252" i="14"/>
  <c r="J4251" i="14" a="1"/>
  <c r="J4251" i="14" s="1"/>
  <c r="K4067" i="13" l="1"/>
  <c r="L4067" i="13" s="1"/>
  <c r="I4068" i="13" s="1"/>
  <c r="K4089" i="14"/>
  <c r="L4089" i="14" s="1"/>
  <c r="I4090" i="14" s="1"/>
  <c r="N4254" i="13"/>
  <c r="J4253" i="13" a="1"/>
  <c r="J4253" i="13" s="1"/>
  <c r="J4252" i="14" a="1"/>
  <c r="J4252" i="14" s="1"/>
  <c r="N4253" i="14"/>
  <c r="M4257" i="14"/>
  <c r="M4256" i="13"/>
  <c r="K4090" i="14" l="1"/>
  <c r="L4090" i="14" s="1"/>
  <c r="I4091" i="14" s="1"/>
  <c r="K4068" i="13"/>
  <c r="L4068" i="13" s="1"/>
  <c r="I4069" i="13" s="1"/>
  <c r="M4257" i="13"/>
  <c r="J4253" i="14" a="1"/>
  <c r="J4253" i="14" s="1"/>
  <c r="N4254" i="14"/>
  <c r="M4258" i="14"/>
  <c r="J4254" i="13" a="1"/>
  <c r="J4254" i="13" s="1"/>
  <c r="N4255" i="13"/>
  <c r="K4069" i="13" l="1"/>
  <c r="L4069" i="13" s="1"/>
  <c r="I4070" i="13" s="1"/>
  <c r="K4091" i="14"/>
  <c r="L4091" i="14" s="1"/>
  <c r="I4092" i="14" s="1"/>
  <c r="N4255" i="14"/>
  <c r="J4254" i="14" a="1"/>
  <c r="J4254" i="14" s="1"/>
  <c r="N4256" i="13"/>
  <c r="J4255" i="13" a="1"/>
  <c r="J4255" i="13" s="1"/>
  <c r="M4259" i="14"/>
  <c r="M4258" i="13"/>
  <c r="K4092" i="14" l="1"/>
  <c r="L4092" i="14" s="1"/>
  <c r="I4093" i="14" s="1"/>
  <c r="K4070" i="13"/>
  <c r="L4070" i="13" s="1"/>
  <c r="I4071" i="13" s="1"/>
  <c r="J4256" i="13" a="1"/>
  <c r="J4256" i="13" s="1"/>
  <c r="N4257" i="13"/>
  <c r="M4259" i="13"/>
  <c r="M4260" i="14"/>
  <c r="N4256" i="14"/>
  <c r="J4255" i="14" a="1"/>
  <c r="J4255" i="14" s="1"/>
  <c r="K4071" i="13" l="1"/>
  <c r="L4071" i="13" s="1"/>
  <c r="I4072" i="13" s="1"/>
  <c r="K4093" i="14"/>
  <c r="L4093" i="14" s="1"/>
  <c r="I4094" i="14" s="1"/>
  <c r="J4256" i="14" a="1"/>
  <c r="J4256" i="14" s="1"/>
  <c r="N4257" i="14"/>
  <c r="M4260" i="13"/>
  <c r="N4258" i="13"/>
  <c r="J4257" i="13" a="1"/>
  <c r="J4257" i="13" s="1"/>
  <c r="M4261" i="14"/>
  <c r="K4094" i="14" l="1"/>
  <c r="L4094" i="14" s="1"/>
  <c r="I4095" i="14" s="1"/>
  <c r="K4072" i="13"/>
  <c r="L4072" i="13" s="1"/>
  <c r="I4073" i="13" s="1"/>
  <c r="M4262" i="14"/>
  <c r="M4261" i="13"/>
  <c r="J4257" i="14" a="1"/>
  <c r="J4257" i="14" s="1"/>
  <c r="N4258" i="14"/>
  <c r="J4258" i="13" a="1"/>
  <c r="J4258" i="13" s="1"/>
  <c r="N4259" i="13"/>
  <c r="K4073" i="13" l="1"/>
  <c r="L4073" i="13" s="1"/>
  <c r="I4074" i="13" s="1"/>
  <c r="K4095" i="14"/>
  <c r="L4095" i="14" s="1"/>
  <c r="I4096" i="14" s="1"/>
  <c r="N4260" i="13"/>
  <c r="J4259" i="13" a="1"/>
  <c r="J4259" i="13" s="1"/>
  <c r="M4262" i="13"/>
  <c r="N4259" i="14"/>
  <c r="J4258" i="14" a="1"/>
  <c r="J4258" i="14" s="1"/>
  <c r="M4263" i="14"/>
  <c r="K4096" i="14" l="1"/>
  <c r="L4096" i="14" s="1"/>
  <c r="I4097" i="14" s="1"/>
  <c r="K4074" i="13"/>
  <c r="L4074" i="13" s="1"/>
  <c r="I4075" i="13" s="1"/>
  <c r="M4263" i="13"/>
  <c r="M4264" i="14"/>
  <c r="N4260" i="14"/>
  <c r="J4259" i="14" a="1"/>
  <c r="J4259" i="14" s="1"/>
  <c r="J4260" i="13" a="1"/>
  <c r="J4260" i="13" s="1"/>
  <c r="N4261" i="13"/>
  <c r="K4075" i="13" l="1"/>
  <c r="L4075" i="13" s="1"/>
  <c r="I4076" i="13" s="1"/>
  <c r="K4097" i="14"/>
  <c r="L4097" i="14" s="1"/>
  <c r="I4098" i="14" s="1"/>
  <c r="N4262" i="13"/>
  <c r="J4261" i="13" a="1"/>
  <c r="J4261" i="13" s="1"/>
  <c r="M4265" i="14"/>
  <c r="J4260" i="14" a="1"/>
  <c r="J4260" i="14" s="1"/>
  <c r="N4261" i="14"/>
  <c r="M4264" i="13"/>
  <c r="K4098" i="14" l="1"/>
  <c r="L4098" i="14" s="1"/>
  <c r="I4099" i="14" s="1"/>
  <c r="K4076" i="13"/>
  <c r="L4076" i="13" s="1"/>
  <c r="I4077" i="13" s="1"/>
  <c r="M4266" i="14"/>
  <c r="J4261" i="14" a="1"/>
  <c r="J4261" i="14" s="1"/>
  <c r="N4262" i="14"/>
  <c r="M4265" i="13"/>
  <c r="J4262" i="13" a="1"/>
  <c r="J4262" i="13" s="1"/>
  <c r="N4263" i="13"/>
  <c r="K4077" i="13" l="1"/>
  <c r="L4077" i="13" s="1"/>
  <c r="I4078" i="13" s="1"/>
  <c r="K4099" i="14"/>
  <c r="L4099" i="14" s="1"/>
  <c r="I4100" i="14" s="1"/>
  <c r="N4264" i="13"/>
  <c r="J4263" i="13" a="1"/>
  <c r="J4263" i="13" s="1"/>
  <c r="N4263" i="14"/>
  <c r="J4262" i="14" a="1"/>
  <c r="J4262" i="14" s="1"/>
  <c r="M4267" i="14"/>
  <c r="M4266" i="13"/>
  <c r="K4100" i="14" l="1"/>
  <c r="L4100" i="14" s="1"/>
  <c r="I4101" i="14" s="1"/>
  <c r="K4078" i="13"/>
  <c r="L4078" i="13" s="1"/>
  <c r="I4079" i="13" s="1"/>
  <c r="N4264" i="14"/>
  <c r="J4263" i="14" a="1"/>
  <c r="J4263" i="14" s="1"/>
  <c r="M4267" i="13"/>
  <c r="M4268" i="14"/>
  <c r="J4264" i="13" a="1"/>
  <c r="J4264" i="13" s="1"/>
  <c r="N4265" i="13"/>
  <c r="K4079" i="13" l="1"/>
  <c r="L4079" i="13" s="1"/>
  <c r="I4080" i="13" s="1"/>
  <c r="K4101" i="14"/>
  <c r="L4101" i="14" s="1"/>
  <c r="I4102" i="14" s="1"/>
  <c r="N4266" i="13"/>
  <c r="J4265" i="13" a="1"/>
  <c r="J4265" i="13" s="1"/>
  <c r="M4268" i="13"/>
  <c r="M4269" i="14"/>
  <c r="J4264" i="14" a="1"/>
  <c r="J4264" i="14" s="1"/>
  <c r="N4265" i="14"/>
  <c r="K4102" i="14" l="1"/>
  <c r="L4102" i="14" s="1"/>
  <c r="I4103" i="14" s="1"/>
  <c r="K4080" i="13"/>
  <c r="L4080" i="13" s="1"/>
  <c r="I4081" i="13" s="1"/>
  <c r="J4265" i="14" a="1"/>
  <c r="J4265" i="14" s="1"/>
  <c r="N4266" i="14"/>
  <c r="M4269" i="13"/>
  <c r="M4270" i="14"/>
  <c r="J4266" i="13" a="1"/>
  <c r="J4266" i="13" s="1"/>
  <c r="N4267" i="13"/>
  <c r="K4081" i="13" l="1"/>
  <c r="L4081" i="13" s="1"/>
  <c r="I4082" i="13" s="1"/>
  <c r="K4103" i="14"/>
  <c r="L4103" i="14" s="1"/>
  <c r="I4104" i="14" s="1"/>
  <c r="N4268" i="13"/>
  <c r="J4267" i="13" a="1"/>
  <c r="J4267" i="13" s="1"/>
  <c r="M4270" i="13"/>
  <c r="M4271" i="14"/>
  <c r="J4266" i="14" a="1"/>
  <c r="J4266" i="14" s="1"/>
  <c r="N4267" i="14"/>
  <c r="K4104" i="14" l="1"/>
  <c r="L4104" i="14" s="1"/>
  <c r="I4105" i="14" s="1"/>
  <c r="K4082" i="13"/>
  <c r="L4082" i="13" s="1"/>
  <c r="I4083" i="13" s="1"/>
  <c r="N4268" i="14"/>
  <c r="J4267" i="14" a="1"/>
  <c r="J4267" i="14" s="1"/>
  <c r="M4271" i="13"/>
  <c r="M4272" i="14"/>
  <c r="J4268" i="13" a="1"/>
  <c r="J4268" i="13" s="1"/>
  <c r="N4269" i="13"/>
  <c r="K4083" i="13" l="1"/>
  <c r="L4083" i="13" s="1"/>
  <c r="I4084" i="13" s="1"/>
  <c r="K4105" i="14"/>
  <c r="L4105" i="14" s="1"/>
  <c r="I4106" i="14" s="1"/>
  <c r="N4270" i="13"/>
  <c r="J4269" i="13" a="1"/>
  <c r="J4269" i="13" s="1"/>
  <c r="M4272" i="13"/>
  <c r="M4273" i="14"/>
  <c r="J4268" i="14" a="1"/>
  <c r="J4268" i="14" s="1"/>
  <c r="N4269" i="14"/>
  <c r="K4106" i="14" l="1"/>
  <c r="L4106" i="14" s="1"/>
  <c r="I4107" i="14" s="1"/>
  <c r="K4084" i="13"/>
  <c r="L4084" i="13" s="1"/>
  <c r="I4085" i="13" s="1"/>
  <c r="J4269" i="14" a="1"/>
  <c r="J4269" i="14" s="1"/>
  <c r="N4270" i="14"/>
  <c r="M4273" i="13"/>
  <c r="M4274" i="14"/>
  <c r="J4270" i="13" a="1"/>
  <c r="J4270" i="13" s="1"/>
  <c r="N4271" i="13"/>
  <c r="K4085" i="13" l="1"/>
  <c r="L4085" i="13" s="1"/>
  <c r="I4086" i="13" s="1"/>
  <c r="K4107" i="14"/>
  <c r="L4107" i="14" s="1"/>
  <c r="I4108" i="14" s="1"/>
  <c r="M4275" i="14"/>
  <c r="N4272" i="13"/>
  <c r="J4271" i="13" a="1"/>
  <c r="J4271" i="13" s="1"/>
  <c r="M4274" i="13"/>
  <c r="N4271" i="14"/>
  <c r="J4270" i="14" a="1"/>
  <c r="J4270" i="14" s="1"/>
  <c r="K4108" i="14" l="1"/>
  <c r="L4108" i="14" s="1"/>
  <c r="I4109" i="14" s="1"/>
  <c r="K4086" i="13"/>
  <c r="L4086" i="13" s="1"/>
  <c r="I4087" i="13" s="1"/>
  <c r="J4272" i="13" a="1"/>
  <c r="J4272" i="13" s="1"/>
  <c r="N4273" i="13"/>
  <c r="N4272" i="14"/>
  <c r="J4271" i="14" a="1"/>
  <c r="J4271" i="14" s="1"/>
  <c r="M4275" i="13"/>
  <c r="M4276" i="14"/>
  <c r="K4109" i="14" l="1"/>
  <c r="L4109" i="14" s="1"/>
  <c r="I4110" i="14" s="1"/>
  <c r="J4272" i="14" a="1"/>
  <c r="J4272" i="14" s="1"/>
  <c r="N4273" i="14"/>
  <c r="N4274" i="13"/>
  <c r="J4273" i="13" a="1"/>
  <c r="J4273" i="13" s="1"/>
  <c r="M4277" i="14"/>
  <c r="K4087" i="13"/>
  <c r="L4087" i="13" s="1"/>
  <c r="I4088" i="13" s="1"/>
  <c r="M4276" i="13"/>
  <c r="K4088" i="13" l="1"/>
  <c r="L4088" i="13" s="1"/>
  <c r="I4089" i="13" s="1"/>
  <c r="K4110" i="14"/>
  <c r="L4110" i="14" s="1"/>
  <c r="I4111" i="14" s="1"/>
  <c r="M4277" i="13"/>
  <c r="M4278" i="14"/>
  <c r="J4273" i="14" a="1"/>
  <c r="J4273" i="14" s="1"/>
  <c r="N4274" i="14"/>
  <c r="J4274" i="13" a="1"/>
  <c r="J4274" i="13" s="1"/>
  <c r="N4275" i="13"/>
  <c r="K4089" i="13" l="1"/>
  <c r="L4089" i="13" s="1"/>
  <c r="I4090" i="13" s="1"/>
  <c r="N4276" i="13"/>
  <c r="J4275" i="13" a="1"/>
  <c r="J4275" i="13" s="1"/>
  <c r="M4279" i="14"/>
  <c r="K4111" i="14"/>
  <c r="L4111" i="14" s="1"/>
  <c r="I4112" i="14" s="1"/>
  <c r="N4275" i="14"/>
  <c r="J4274" i="14" a="1"/>
  <c r="J4274" i="14" s="1"/>
  <c r="M4278" i="13"/>
  <c r="K4112" i="14" l="1"/>
  <c r="L4112" i="14" s="1"/>
  <c r="I4113" i="14" s="1"/>
  <c r="K4090" i="13"/>
  <c r="L4090" i="13" s="1"/>
  <c r="I4091" i="13" s="1"/>
  <c r="J4276" i="13" a="1"/>
  <c r="J4276" i="13" s="1"/>
  <c r="N4277" i="13"/>
  <c r="M4279" i="13"/>
  <c r="N4276" i="14"/>
  <c r="J4275" i="14" a="1"/>
  <c r="J4275" i="14" s="1"/>
  <c r="M4280" i="14"/>
  <c r="K4091" i="13" l="1"/>
  <c r="L4091" i="13" s="1"/>
  <c r="I4092" i="13" s="1"/>
  <c r="K4113" i="14"/>
  <c r="L4113" i="14" s="1"/>
  <c r="I4114" i="14" s="1"/>
  <c r="J4276" i="14" a="1"/>
  <c r="J4276" i="14" s="1"/>
  <c r="N4277" i="14"/>
  <c r="M4281" i="14"/>
  <c r="M4280" i="13"/>
  <c r="N4278" i="13"/>
  <c r="J4277" i="13" a="1"/>
  <c r="J4277" i="13" s="1"/>
  <c r="K4114" i="14" l="1"/>
  <c r="L4114" i="14" s="1"/>
  <c r="I4115" i="14" s="1"/>
  <c r="K4092" i="13"/>
  <c r="L4092" i="13" s="1"/>
  <c r="I4093" i="13" s="1"/>
  <c r="M4281" i="13"/>
  <c r="J4278" i="13" a="1"/>
  <c r="J4278" i="13" s="1"/>
  <c r="N4279" i="13"/>
  <c r="M4282" i="14"/>
  <c r="J4277" i="14" a="1"/>
  <c r="J4277" i="14" s="1"/>
  <c r="N4278" i="14"/>
  <c r="K4093" i="13" l="1"/>
  <c r="L4093" i="13" s="1"/>
  <c r="I4094" i="13" s="1"/>
  <c r="K4115" i="14"/>
  <c r="L4115" i="14" s="1"/>
  <c r="I4116" i="14" s="1"/>
  <c r="N4280" i="13"/>
  <c r="J4279" i="13" a="1"/>
  <c r="J4279" i="13" s="1"/>
  <c r="N4279" i="14"/>
  <c r="J4278" i="14" a="1"/>
  <c r="J4278" i="14" s="1"/>
  <c r="M4283" i="14"/>
  <c r="M4282" i="13"/>
  <c r="K4116" i="14" l="1"/>
  <c r="L4116" i="14" s="1"/>
  <c r="I4117" i="14" s="1"/>
  <c r="K4094" i="13"/>
  <c r="L4094" i="13" s="1"/>
  <c r="I4095" i="13" s="1"/>
  <c r="M4283" i="13"/>
  <c r="N4280" i="14"/>
  <c r="J4279" i="14" a="1"/>
  <c r="J4279" i="14" s="1"/>
  <c r="M4284" i="14"/>
  <c r="J4280" i="13" a="1"/>
  <c r="J4280" i="13" s="1"/>
  <c r="N4281" i="13"/>
  <c r="K4095" i="13" l="1"/>
  <c r="L4095" i="13" s="1"/>
  <c r="I4096" i="13" s="1"/>
  <c r="K4117" i="14"/>
  <c r="L4117" i="14" s="1"/>
  <c r="I4118" i="14" s="1"/>
  <c r="J4280" i="14" a="1"/>
  <c r="J4280" i="14" s="1"/>
  <c r="N4281" i="14"/>
  <c r="N4282" i="13"/>
  <c r="J4281" i="13" a="1"/>
  <c r="J4281" i="13" s="1"/>
  <c r="M4285" i="14"/>
  <c r="M4284" i="13"/>
  <c r="K4118" i="14" l="1"/>
  <c r="L4118" i="14" s="1"/>
  <c r="I4119" i="14" s="1"/>
  <c r="K4096" i="13"/>
  <c r="L4096" i="13" s="1"/>
  <c r="I4097" i="13" s="1"/>
  <c r="M4285" i="13"/>
  <c r="J4282" i="13" a="1"/>
  <c r="J4282" i="13" s="1"/>
  <c r="N4283" i="13"/>
  <c r="J4281" i="14" a="1"/>
  <c r="J4281" i="14" s="1"/>
  <c r="N4282" i="14"/>
  <c r="M4286" i="14"/>
  <c r="K4097" i="13" l="1"/>
  <c r="L4097" i="13" s="1"/>
  <c r="I4098" i="13" s="1"/>
  <c r="K4119" i="14"/>
  <c r="L4119" i="14" s="1"/>
  <c r="I4120" i="14" s="1"/>
  <c r="M4287" i="14"/>
  <c r="N4284" i="13"/>
  <c r="J4283" i="13" a="1"/>
  <c r="J4283" i="13" s="1"/>
  <c r="J4282" i="14" a="1"/>
  <c r="J4282" i="14" s="1"/>
  <c r="N4283" i="14"/>
  <c r="M4286" i="13"/>
  <c r="K4120" i="14" l="1"/>
  <c r="L4120" i="14" s="1"/>
  <c r="I4121" i="14" s="1"/>
  <c r="K4098" i="13"/>
  <c r="L4098" i="13" s="1"/>
  <c r="I4099" i="13" s="1"/>
  <c r="J4284" i="13" a="1"/>
  <c r="J4284" i="13" s="1"/>
  <c r="N4285" i="13"/>
  <c r="N4284" i="14"/>
  <c r="J4283" i="14" a="1"/>
  <c r="J4283" i="14" s="1"/>
  <c r="M4287" i="13"/>
  <c r="M4288" i="14"/>
  <c r="K4099" i="13" l="1"/>
  <c r="L4099" i="13" s="1"/>
  <c r="I4100" i="13" s="1"/>
  <c r="K4121" i="14"/>
  <c r="L4121" i="14" s="1"/>
  <c r="I4122" i="14" s="1"/>
  <c r="J4284" i="14" a="1"/>
  <c r="J4284" i="14" s="1"/>
  <c r="N4285" i="14"/>
  <c r="N4286" i="13"/>
  <c r="J4285" i="13" a="1"/>
  <c r="J4285" i="13" s="1"/>
  <c r="M4289" i="14"/>
  <c r="M4288" i="13"/>
  <c r="K4122" i="14" l="1"/>
  <c r="L4122" i="14" s="1"/>
  <c r="I4123" i="14" s="1"/>
  <c r="K4100" i="13"/>
  <c r="L4100" i="13" s="1"/>
  <c r="I4101" i="13" s="1"/>
  <c r="J4286" i="13" a="1"/>
  <c r="J4286" i="13" s="1"/>
  <c r="N4287" i="13"/>
  <c r="J4285" i="14" a="1"/>
  <c r="J4285" i="14" s="1"/>
  <c r="N4286" i="14"/>
  <c r="M4289" i="13"/>
  <c r="M4290" i="14"/>
  <c r="K4101" i="13" l="1"/>
  <c r="L4101" i="13" s="1"/>
  <c r="I4102" i="13" s="1"/>
  <c r="K4123" i="14"/>
  <c r="L4123" i="14" s="1"/>
  <c r="I4124" i="14" s="1"/>
  <c r="N4287" i="14"/>
  <c r="J4286" i="14" a="1"/>
  <c r="J4286" i="14" s="1"/>
  <c r="M4291" i="14"/>
  <c r="N4288" i="13"/>
  <c r="J4287" i="13" a="1"/>
  <c r="J4287" i="13" s="1"/>
  <c r="M4290" i="13"/>
  <c r="K4124" i="14" l="1"/>
  <c r="L4124" i="14" s="1"/>
  <c r="I4125" i="14" s="1"/>
  <c r="K4102" i="13"/>
  <c r="L4102" i="13" s="1"/>
  <c r="I4103" i="13" s="1"/>
  <c r="M4291" i="13"/>
  <c r="J4288" i="13" a="1"/>
  <c r="J4288" i="13" s="1"/>
  <c r="N4289" i="13"/>
  <c r="M4292" i="14"/>
  <c r="N4288" i="14"/>
  <c r="J4287" i="14" a="1"/>
  <c r="J4287" i="14" s="1"/>
  <c r="K4103" i="13" l="1"/>
  <c r="L4103" i="13" s="1"/>
  <c r="I4104" i="13" s="1"/>
  <c r="K4125" i="14"/>
  <c r="L4125" i="14" s="1"/>
  <c r="I4126" i="14" s="1"/>
  <c r="N4290" i="13"/>
  <c r="J4289" i="13" a="1"/>
  <c r="J4289" i="13" s="1"/>
  <c r="J4288" i="14" a="1"/>
  <c r="J4288" i="14" s="1"/>
  <c r="N4289" i="14"/>
  <c r="M4293" i="14"/>
  <c r="M4292" i="13"/>
  <c r="K4126" i="14" l="1"/>
  <c r="L4126" i="14" s="1"/>
  <c r="I4127" i="14" s="1"/>
  <c r="K4104" i="13"/>
  <c r="L4104" i="13" s="1"/>
  <c r="I4105" i="13" s="1"/>
  <c r="J4289" i="14" a="1"/>
  <c r="J4289" i="14" s="1"/>
  <c r="N4290" i="14"/>
  <c r="M4293" i="13"/>
  <c r="M4294" i="14"/>
  <c r="J4290" i="13" a="1"/>
  <c r="J4290" i="13" s="1"/>
  <c r="N4291" i="13"/>
  <c r="K4105" i="13" l="1"/>
  <c r="L4105" i="13" s="1"/>
  <c r="I4106" i="13" s="1"/>
  <c r="K4127" i="14"/>
  <c r="L4127" i="14" s="1"/>
  <c r="I4128" i="14" s="1"/>
  <c r="N4292" i="13"/>
  <c r="J4291" i="13" a="1"/>
  <c r="J4291" i="13" s="1"/>
  <c r="M4294" i="13"/>
  <c r="N4291" i="14"/>
  <c r="J4290" i="14" a="1"/>
  <c r="J4290" i="14" s="1"/>
  <c r="M4295" i="14"/>
  <c r="K4128" i="14" l="1"/>
  <c r="L4128" i="14" s="1"/>
  <c r="I4129" i="14" s="1"/>
  <c r="K4106" i="13"/>
  <c r="L4106" i="13" s="1"/>
  <c r="I4107" i="13" s="1"/>
  <c r="M4295" i="13"/>
  <c r="M4296" i="14"/>
  <c r="N4292" i="14"/>
  <c r="J4291" i="14" a="1"/>
  <c r="J4291" i="14" s="1"/>
  <c r="J4292" i="13" a="1"/>
  <c r="J4292" i="13" s="1"/>
  <c r="N4293" i="13"/>
  <c r="K4107" i="13" l="1"/>
  <c r="L4107" i="13" s="1"/>
  <c r="I4108" i="13" s="1"/>
  <c r="K4129" i="14"/>
  <c r="L4129" i="14" s="1"/>
  <c r="I4130" i="14" s="1"/>
  <c r="N4294" i="13"/>
  <c r="J4293" i="13" a="1"/>
  <c r="J4293" i="13" s="1"/>
  <c r="M4297" i="14"/>
  <c r="J4292" i="14" a="1"/>
  <c r="J4292" i="14" s="1"/>
  <c r="N4293" i="14"/>
  <c r="M4296" i="13"/>
  <c r="K4108" i="13" l="1"/>
  <c r="L4108" i="13" s="1"/>
  <c r="I4109" i="13" s="1"/>
  <c r="J4293" i="14" a="1"/>
  <c r="J4293" i="14" s="1"/>
  <c r="N4294" i="14"/>
  <c r="M4297" i="13"/>
  <c r="K4130" i="14"/>
  <c r="L4130" i="14" s="1"/>
  <c r="I4131" i="14" s="1"/>
  <c r="M4298" i="14"/>
  <c r="J4294" i="13" a="1"/>
  <c r="J4294" i="13" s="1"/>
  <c r="N4295" i="13"/>
  <c r="K4131" i="14" l="1"/>
  <c r="L4131" i="14" s="1"/>
  <c r="I4132" i="14" s="1"/>
  <c r="K4109" i="13"/>
  <c r="L4109" i="13" s="1"/>
  <c r="I4110" i="13" s="1"/>
  <c r="N4296" i="13"/>
  <c r="J4295" i="13" a="1"/>
  <c r="J4295" i="13" s="1"/>
  <c r="N4295" i="14"/>
  <c r="J4294" i="14" a="1"/>
  <c r="J4294" i="14" s="1"/>
  <c r="M4299" i="14"/>
  <c r="M4298" i="13"/>
  <c r="K4110" i="13" l="1"/>
  <c r="L4110" i="13" s="1"/>
  <c r="I4111" i="13" s="1"/>
  <c r="K4132" i="14"/>
  <c r="L4132" i="14" s="1"/>
  <c r="I4133" i="14" s="1"/>
  <c r="M4299" i="13"/>
  <c r="N4296" i="14"/>
  <c r="J4295" i="14" a="1"/>
  <c r="J4295" i="14" s="1"/>
  <c r="M4300" i="14"/>
  <c r="J4296" i="13" a="1"/>
  <c r="J4296" i="13" s="1"/>
  <c r="N4297" i="13"/>
  <c r="K4133" i="14" l="1"/>
  <c r="L4133" i="14" s="1"/>
  <c r="I4134" i="14" s="1"/>
  <c r="K4111" i="13"/>
  <c r="L4111" i="13" s="1"/>
  <c r="I4112" i="13" s="1"/>
  <c r="N4298" i="13"/>
  <c r="J4297" i="13" a="1"/>
  <c r="J4297" i="13" s="1"/>
  <c r="J4296" i="14" a="1"/>
  <c r="J4296" i="14" s="1"/>
  <c r="N4297" i="14"/>
  <c r="M4301" i="14"/>
  <c r="M4300" i="13"/>
  <c r="K4112" i="13" l="1"/>
  <c r="L4112" i="13" s="1"/>
  <c r="I4113" i="13" s="1"/>
  <c r="K4134" i="14"/>
  <c r="L4134" i="14" s="1"/>
  <c r="I4135" i="14" s="1"/>
  <c r="M4301" i="13"/>
  <c r="J4297" i="14" a="1"/>
  <c r="J4297" i="14" s="1"/>
  <c r="N4298" i="14"/>
  <c r="M4302" i="14"/>
  <c r="J4298" i="13" a="1"/>
  <c r="J4298" i="13" s="1"/>
  <c r="N4299" i="13"/>
  <c r="K4135" i="14" l="1"/>
  <c r="L4135" i="14" s="1"/>
  <c r="I4136" i="14" s="1"/>
  <c r="K4113" i="13"/>
  <c r="L4113" i="13" s="1"/>
  <c r="I4114" i="13" s="1"/>
  <c r="J4298" i="14" a="1"/>
  <c r="J4298" i="14" s="1"/>
  <c r="N4299" i="14"/>
  <c r="N4300" i="13"/>
  <c r="J4299" i="13" a="1"/>
  <c r="J4299" i="13" s="1"/>
  <c r="M4303" i="14"/>
  <c r="M4302" i="13"/>
  <c r="K4114" i="13" l="1"/>
  <c r="L4114" i="13" s="1"/>
  <c r="I4115" i="13" s="1"/>
  <c r="K4136" i="14"/>
  <c r="L4136" i="14" s="1"/>
  <c r="I4137" i="14" s="1"/>
  <c r="J4300" i="13" a="1"/>
  <c r="J4300" i="13" s="1"/>
  <c r="N4301" i="13"/>
  <c r="M4303" i="13"/>
  <c r="N4300" i="14"/>
  <c r="J4299" i="14" a="1"/>
  <c r="J4299" i="14" s="1"/>
  <c r="M4304" i="14"/>
  <c r="K4137" i="14" l="1"/>
  <c r="L4137" i="14" s="1"/>
  <c r="I4138" i="14" s="1"/>
  <c r="K4115" i="13"/>
  <c r="L4115" i="13" s="1"/>
  <c r="I4116" i="13" s="1"/>
  <c r="M4305" i="14"/>
  <c r="M4304" i="13"/>
  <c r="N4302" i="13"/>
  <c r="J4301" i="13" a="1"/>
  <c r="J4301" i="13" s="1"/>
  <c r="J4300" i="14" a="1"/>
  <c r="J4300" i="14" s="1"/>
  <c r="N4301" i="14"/>
  <c r="K4116" i="13" l="1"/>
  <c r="L4116" i="13" s="1"/>
  <c r="I4117" i="13" s="1"/>
  <c r="K4138" i="14"/>
  <c r="L4138" i="14" s="1"/>
  <c r="I4139" i="14" s="1"/>
  <c r="J4301" i="14" a="1"/>
  <c r="J4301" i="14" s="1"/>
  <c r="N4302" i="14"/>
  <c r="M4305" i="13"/>
  <c r="J4302" i="13" a="1"/>
  <c r="J4302" i="13" s="1"/>
  <c r="N4303" i="13"/>
  <c r="M4306" i="14"/>
  <c r="K4139" i="14" l="1"/>
  <c r="L4139" i="14" s="1"/>
  <c r="I4140" i="14" s="1"/>
  <c r="K4117" i="13"/>
  <c r="L4117" i="13" s="1"/>
  <c r="I4118" i="13" s="1"/>
  <c r="N4304" i="13"/>
  <c r="J4303" i="13" a="1"/>
  <c r="J4303" i="13" s="1"/>
  <c r="M4307" i="14"/>
  <c r="M4306" i="13"/>
  <c r="N4303" i="14"/>
  <c r="J4302" i="14" a="1"/>
  <c r="J4302" i="14" s="1"/>
  <c r="K4118" i="13" l="1"/>
  <c r="L4118" i="13" s="1"/>
  <c r="I4119" i="13" s="1"/>
  <c r="K4140" i="14"/>
  <c r="L4140" i="14" s="1"/>
  <c r="I4141" i="14" s="1"/>
  <c r="N4304" i="14"/>
  <c r="J4303" i="14" a="1"/>
  <c r="J4303" i="14" s="1"/>
  <c r="M4308" i="14"/>
  <c r="M4307" i="13"/>
  <c r="J4304" i="13" a="1"/>
  <c r="J4304" i="13" s="1"/>
  <c r="N4305" i="13"/>
  <c r="K4141" i="14" l="1"/>
  <c r="L4141" i="14" s="1"/>
  <c r="I4142" i="14" s="1"/>
  <c r="K4119" i="13"/>
  <c r="L4119" i="13" s="1"/>
  <c r="I4120" i="13" s="1"/>
  <c r="N4306" i="13"/>
  <c r="J4305" i="13" a="1"/>
  <c r="J4305" i="13" s="1"/>
  <c r="M4309" i="14"/>
  <c r="M4308" i="13"/>
  <c r="J4304" i="14" a="1"/>
  <c r="J4304" i="14" s="1"/>
  <c r="N4305" i="14"/>
  <c r="K4120" i="13" l="1"/>
  <c r="L4120" i="13" s="1"/>
  <c r="I4121" i="13" s="1"/>
  <c r="K4142" i="14"/>
  <c r="L4142" i="14" s="1"/>
  <c r="I4143" i="14" s="1"/>
  <c r="J4305" i="14" a="1"/>
  <c r="J4305" i="14" s="1"/>
  <c r="N4306" i="14"/>
  <c r="M4310" i="14"/>
  <c r="M4309" i="13"/>
  <c r="J4306" i="13" a="1"/>
  <c r="J4306" i="13" s="1"/>
  <c r="N4307" i="13"/>
  <c r="K4143" i="14" l="1"/>
  <c r="L4143" i="14" s="1"/>
  <c r="I4144" i="14" s="1"/>
  <c r="K4121" i="13"/>
  <c r="L4121" i="13" s="1"/>
  <c r="I4122" i="13" s="1"/>
  <c r="N4308" i="13"/>
  <c r="J4307" i="13" a="1"/>
  <c r="J4307" i="13" s="1"/>
  <c r="M4311" i="14"/>
  <c r="N4307" i="14"/>
  <c r="J4306" i="14" a="1"/>
  <c r="J4306" i="14" s="1"/>
  <c r="M4310" i="13"/>
  <c r="K4122" i="13" l="1"/>
  <c r="L4122" i="13" s="1"/>
  <c r="I4123" i="13" s="1"/>
  <c r="K4144" i="14"/>
  <c r="L4144" i="14" s="1"/>
  <c r="I4145" i="14" s="1"/>
  <c r="M4311" i="13"/>
  <c r="M4312" i="14"/>
  <c r="N4308" i="14"/>
  <c r="J4307" i="14" a="1"/>
  <c r="J4307" i="14" s="1"/>
  <c r="J4308" i="13" a="1"/>
  <c r="J4308" i="13" s="1"/>
  <c r="N4309" i="13"/>
  <c r="K4145" i="14" l="1"/>
  <c r="L4145" i="14" s="1"/>
  <c r="I4146" i="14" s="1"/>
  <c r="K4123" i="13"/>
  <c r="L4123" i="13" s="1"/>
  <c r="I4124" i="13" s="1"/>
  <c r="N4310" i="13"/>
  <c r="J4309" i="13" a="1"/>
  <c r="J4309" i="13" s="1"/>
  <c r="M4313" i="14"/>
  <c r="J4308" i="14" a="1"/>
  <c r="J4308" i="14" s="1"/>
  <c r="N4309" i="14"/>
  <c r="M4312" i="13"/>
  <c r="K4124" i="13" l="1"/>
  <c r="L4124" i="13" s="1"/>
  <c r="I4125" i="13" s="1"/>
  <c r="K4146" i="14"/>
  <c r="L4146" i="14" s="1"/>
  <c r="I4147" i="14" s="1"/>
  <c r="M4313" i="13"/>
  <c r="J4309" i="14" a="1"/>
  <c r="J4309" i="14" s="1"/>
  <c r="N4310" i="14"/>
  <c r="M4314" i="14"/>
  <c r="J4310" i="13" a="1"/>
  <c r="J4310" i="13" s="1"/>
  <c r="N4311" i="13"/>
  <c r="K4147" i="14" l="1"/>
  <c r="L4147" i="14" s="1"/>
  <c r="I4148" i="14" s="1"/>
  <c r="K4125" i="13"/>
  <c r="L4125" i="13" s="1"/>
  <c r="I4126" i="13" s="1"/>
  <c r="N4311" i="14"/>
  <c r="J4310" i="14" a="1"/>
  <c r="J4310" i="14" s="1"/>
  <c r="N4312" i="13"/>
  <c r="J4311" i="13" a="1"/>
  <c r="J4311" i="13" s="1"/>
  <c r="M4315" i="14"/>
  <c r="M4314" i="13"/>
  <c r="K4126" i="13" l="1"/>
  <c r="L4126" i="13" s="1"/>
  <c r="I4127" i="13" s="1"/>
  <c r="K4148" i="14"/>
  <c r="L4148" i="14" s="1"/>
  <c r="I4149" i="14" s="1"/>
  <c r="J4312" i="13" a="1"/>
  <c r="J4312" i="13" s="1"/>
  <c r="N4313" i="13"/>
  <c r="M4315" i="13"/>
  <c r="M4316" i="14"/>
  <c r="N4312" i="14"/>
  <c r="J4311" i="14" a="1"/>
  <c r="J4311" i="14" s="1"/>
  <c r="K4149" i="14" l="1"/>
  <c r="L4149" i="14" s="1"/>
  <c r="I4150" i="14" s="1"/>
  <c r="K4127" i="13"/>
  <c r="L4127" i="13" s="1"/>
  <c r="I4128" i="13" s="1"/>
  <c r="J4312" i="14" a="1"/>
  <c r="J4312" i="14" s="1"/>
  <c r="N4313" i="14"/>
  <c r="M4316" i="13"/>
  <c r="N4314" i="13"/>
  <c r="J4313" i="13" a="1"/>
  <c r="J4313" i="13" s="1"/>
  <c r="M4317" i="14"/>
  <c r="K4128" i="13" l="1"/>
  <c r="L4128" i="13" s="1"/>
  <c r="I4129" i="13" s="1"/>
  <c r="K4150" i="14"/>
  <c r="L4150" i="14" s="1"/>
  <c r="I4151" i="14" s="1"/>
  <c r="M4318" i="14"/>
  <c r="M4317" i="13"/>
  <c r="J4313" i="14" a="1"/>
  <c r="J4313" i="14" s="1"/>
  <c r="N4314" i="14"/>
  <c r="J4314" i="13" a="1"/>
  <c r="J4314" i="13" s="1"/>
  <c r="N4315" i="13"/>
  <c r="K4151" i="14" l="1"/>
  <c r="L4151" i="14" s="1"/>
  <c r="I4152" i="14" s="1"/>
  <c r="K4129" i="13"/>
  <c r="L4129" i="13" s="1"/>
  <c r="I4130" i="13" s="1"/>
  <c r="N4316" i="13"/>
  <c r="J4315" i="13" a="1"/>
  <c r="J4315" i="13" s="1"/>
  <c r="M4318" i="13"/>
  <c r="J4314" i="14" a="1"/>
  <c r="J4314" i="14" s="1"/>
  <c r="N4315" i="14"/>
  <c r="M4319" i="14"/>
  <c r="K4130" i="13" l="1"/>
  <c r="L4130" i="13" s="1"/>
  <c r="I4131" i="13" s="1"/>
  <c r="K4152" i="14"/>
  <c r="L4152" i="14" s="1"/>
  <c r="I4153" i="14" s="1"/>
  <c r="M4319" i="13"/>
  <c r="M4320" i="14"/>
  <c r="N4316" i="14"/>
  <c r="J4315" i="14" a="1"/>
  <c r="J4315" i="14" s="1"/>
  <c r="J4316" i="13" a="1"/>
  <c r="J4316" i="13" s="1"/>
  <c r="N4317" i="13"/>
  <c r="K4153" i="14" l="1"/>
  <c r="L4153" i="14" s="1"/>
  <c r="I4154" i="14" s="1"/>
  <c r="K4131" i="13"/>
  <c r="L4131" i="13" s="1"/>
  <c r="I4132" i="13" s="1"/>
  <c r="N4318" i="13"/>
  <c r="J4317" i="13" a="1"/>
  <c r="J4317" i="13" s="1"/>
  <c r="M4321" i="14"/>
  <c r="J4316" i="14" a="1"/>
  <c r="J4316" i="14" s="1"/>
  <c r="N4317" i="14"/>
  <c r="M4320" i="13"/>
  <c r="K4132" i="13" l="1"/>
  <c r="L4132" i="13" s="1"/>
  <c r="I4133" i="13" s="1"/>
  <c r="K4154" i="14"/>
  <c r="L4154" i="14" s="1"/>
  <c r="I4155" i="14" s="1"/>
  <c r="M4321" i="13"/>
  <c r="J4317" i="14" a="1"/>
  <c r="J4317" i="14" s="1"/>
  <c r="N4318" i="14"/>
  <c r="M4322" i="14"/>
  <c r="J4318" i="13" a="1"/>
  <c r="J4318" i="13" s="1"/>
  <c r="N4319" i="13"/>
  <c r="K4155" i="14" l="1"/>
  <c r="L4155" i="14" s="1"/>
  <c r="I4156" i="14" s="1"/>
  <c r="K4133" i="13"/>
  <c r="L4133" i="13" s="1"/>
  <c r="I4134" i="13" s="1"/>
  <c r="N4319" i="14"/>
  <c r="J4318" i="14" a="1"/>
  <c r="J4318" i="14" s="1"/>
  <c r="N4320" i="13"/>
  <c r="J4319" i="13" a="1"/>
  <c r="J4319" i="13" s="1"/>
  <c r="M4323" i="14"/>
  <c r="M4322" i="13"/>
  <c r="K4134" i="13" l="1"/>
  <c r="L4134" i="13" s="1"/>
  <c r="I4135" i="13" s="1"/>
  <c r="K4156" i="14"/>
  <c r="L4156" i="14" s="1"/>
  <c r="I4157" i="14" s="1"/>
  <c r="J4320" i="13" a="1"/>
  <c r="J4320" i="13" s="1"/>
  <c r="N4321" i="13"/>
  <c r="M4323" i="13"/>
  <c r="M4324" i="14"/>
  <c r="N4320" i="14"/>
  <c r="J4319" i="14" a="1"/>
  <c r="J4319" i="14" s="1"/>
  <c r="K4157" i="14" l="1"/>
  <c r="L4157" i="14" s="1"/>
  <c r="I4158" i="14" s="1"/>
  <c r="K4135" i="13"/>
  <c r="L4135" i="13" s="1"/>
  <c r="I4136" i="13" s="1"/>
  <c r="J4320" i="14" a="1"/>
  <c r="J4320" i="14" s="1"/>
  <c r="N4321" i="14"/>
  <c r="M4324" i="13"/>
  <c r="N4322" i="13"/>
  <c r="J4321" i="13" a="1"/>
  <c r="J4321" i="13" s="1"/>
  <c r="M4325" i="14"/>
  <c r="K4136" i="13" l="1"/>
  <c r="L4136" i="13" s="1"/>
  <c r="I4137" i="13" s="1"/>
  <c r="K4158" i="14"/>
  <c r="L4158" i="14" s="1"/>
  <c r="I4159" i="14" s="1"/>
  <c r="J4322" i="13" a="1"/>
  <c r="J4322" i="13" s="1"/>
  <c r="N4323" i="13"/>
  <c r="M4326" i="14"/>
  <c r="M4325" i="13"/>
  <c r="J4321" i="14" a="1"/>
  <c r="J4321" i="14" s="1"/>
  <c r="N4322" i="14"/>
  <c r="K4159" i="14" l="1"/>
  <c r="L4159" i="14" s="1"/>
  <c r="I4160" i="14" s="1"/>
  <c r="K4137" i="13"/>
  <c r="L4137" i="13" s="1"/>
  <c r="I4138" i="13" s="1"/>
  <c r="N4323" i="14"/>
  <c r="J4322" i="14" a="1"/>
  <c r="J4322" i="14" s="1"/>
  <c r="M4327" i="14"/>
  <c r="N4324" i="13"/>
  <c r="J4323" i="13" a="1"/>
  <c r="J4323" i="13" s="1"/>
  <c r="M4326" i="13"/>
  <c r="K4138" i="13" l="1"/>
  <c r="L4138" i="13" s="1"/>
  <c r="I4139" i="13" s="1"/>
  <c r="K4160" i="14"/>
  <c r="L4160" i="14" s="1"/>
  <c r="I4161" i="14" s="1"/>
  <c r="M4327" i="13"/>
  <c r="M4328" i="14"/>
  <c r="J4324" i="13" a="1"/>
  <c r="J4324" i="13" s="1"/>
  <c r="N4325" i="13"/>
  <c r="N4324" i="14"/>
  <c r="J4323" i="14" a="1"/>
  <c r="J4323" i="14" s="1"/>
  <c r="K4161" i="14" l="1"/>
  <c r="L4161" i="14" s="1"/>
  <c r="I4162" i="14" s="1"/>
  <c r="K4139" i="13"/>
  <c r="L4139" i="13" s="1"/>
  <c r="I4140" i="13" s="1"/>
  <c r="J4324" i="14" a="1"/>
  <c r="J4324" i="14" s="1"/>
  <c r="N4325" i="14"/>
  <c r="M4329" i="14"/>
  <c r="N4326" i="13"/>
  <c r="J4325" i="13" a="1"/>
  <c r="J4325" i="13" s="1"/>
  <c r="M4328" i="13"/>
  <c r="K4140" i="13" l="1"/>
  <c r="L4140" i="13" s="1"/>
  <c r="I4141" i="13" s="1"/>
  <c r="K4162" i="14"/>
  <c r="L4162" i="14" s="1"/>
  <c r="I4163" i="14" s="1"/>
  <c r="M4329" i="13"/>
  <c r="M4330" i="14"/>
  <c r="J4325" i="14" a="1"/>
  <c r="J4325" i="14" s="1"/>
  <c r="N4326" i="14"/>
  <c r="J4326" i="13" a="1"/>
  <c r="J4326" i="13" s="1"/>
  <c r="N4327" i="13"/>
  <c r="K4163" i="14" l="1"/>
  <c r="L4163" i="14" s="1"/>
  <c r="I4164" i="14" s="1"/>
  <c r="K4141" i="13"/>
  <c r="L4141" i="13" s="1"/>
  <c r="I4142" i="13" s="1"/>
  <c r="N4328" i="13"/>
  <c r="J4327" i="13" a="1"/>
  <c r="J4327" i="13" s="1"/>
  <c r="M4331" i="14"/>
  <c r="N4327" i="14"/>
  <c r="J4326" i="14" a="1"/>
  <c r="J4326" i="14" s="1"/>
  <c r="M4330" i="13"/>
  <c r="K4142" i="13" l="1"/>
  <c r="L4142" i="13" s="1"/>
  <c r="I4143" i="13" s="1"/>
  <c r="K4164" i="14"/>
  <c r="L4164" i="14" s="1"/>
  <c r="I4165" i="14" s="1"/>
  <c r="M4331" i="13"/>
  <c r="M4332" i="14"/>
  <c r="N4328" i="14"/>
  <c r="J4327" i="14" a="1"/>
  <c r="J4327" i="14" s="1"/>
  <c r="J4328" i="13" a="1"/>
  <c r="J4328" i="13" s="1"/>
  <c r="N4329" i="13"/>
  <c r="K4165" i="14" l="1"/>
  <c r="L4165" i="14" s="1"/>
  <c r="I4166" i="14" s="1"/>
  <c r="K4143" i="13"/>
  <c r="L4143" i="13" s="1"/>
  <c r="I4144" i="13" s="1"/>
  <c r="N4330" i="13"/>
  <c r="J4329" i="13" a="1"/>
  <c r="J4329" i="13" s="1"/>
  <c r="M4333" i="14"/>
  <c r="J4328" i="14" a="1"/>
  <c r="J4328" i="14" s="1"/>
  <c r="N4329" i="14"/>
  <c r="M4332" i="13"/>
  <c r="K4144" i="13" l="1"/>
  <c r="L4144" i="13" s="1"/>
  <c r="I4145" i="13" s="1"/>
  <c r="K4166" i="14"/>
  <c r="L4166" i="14" s="1"/>
  <c r="I4167" i="14" s="1"/>
  <c r="M4334" i="14"/>
  <c r="J4329" i="14" a="1"/>
  <c r="J4329" i="14" s="1"/>
  <c r="N4330" i="14"/>
  <c r="M4333" i="13"/>
  <c r="J4330" i="13" a="1"/>
  <c r="J4330" i="13" s="1"/>
  <c r="N4331" i="13"/>
  <c r="K4167" i="14" l="1"/>
  <c r="L4167" i="14" s="1"/>
  <c r="I4168" i="14" s="1"/>
  <c r="K4145" i="13"/>
  <c r="L4145" i="13" s="1"/>
  <c r="I4146" i="13" s="1"/>
  <c r="J4330" i="14" a="1"/>
  <c r="J4330" i="14" s="1"/>
  <c r="N4331" i="14"/>
  <c r="N4332" i="13"/>
  <c r="J4331" i="13" a="1"/>
  <c r="J4331" i="13" s="1"/>
  <c r="M4335" i="14"/>
  <c r="M4334" i="13"/>
  <c r="K4146" i="13" l="1"/>
  <c r="L4146" i="13" s="1"/>
  <c r="I4147" i="13" s="1"/>
  <c r="K4168" i="14"/>
  <c r="L4168" i="14" s="1"/>
  <c r="I4169" i="14" s="1"/>
  <c r="J4332" i="13" a="1"/>
  <c r="J4332" i="13" s="1"/>
  <c r="N4333" i="13"/>
  <c r="M4335" i="13"/>
  <c r="N4332" i="14"/>
  <c r="J4331" i="14" a="1"/>
  <c r="J4331" i="14" s="1"/>
  <c r="M4336" i="14"/>
  <c r="K4169" i="14" l="1"/>
  <c r="L4169" i="14" s="1"/>
  <c r="I4170" i="14" s="1"/>
  <c r="K4147" i="13"/>
  <c r="L4147" i="13" s="1"/>
  <c r="I4148" i="13" s="1"/>
  <c r="M4337" i="14"/>
  <c r="M4336" i="13"/>
  <c r="N4334" i="13"/>
  <c r="J4333" i="13" a="1"/>
  <c r="J4333" i="13" s="1"/>
  <c r="J4332" i="14" a="1"/>
  <c r="J4332" i="14" s="1"/>
  <c r="N4333" i="14"/>
  <c r="K4148" i="13" l="1"/>
  <c r="L4148" i="13" s="1"/>
  <c r="I4149" i="13" s="1"/>
  <c r="K4170" i="14"/>
  <c r="L4170" i="14" s="1"/>
  <c r="I4171" i="14" s="1"/>
  <c r="J4333" i="14" a="1"/>
  <c r="J4333" i="14" s="1"/>
  <c r="N4334" i="14"/>
  <c r="M4337" i="13"/>
  <c r="J4334" i="13" a="1"/>
  <c r="J4334" i="13" s="1"/>
  <c r="N4335" i="13"/>
  <c r="M4338" i="14"/>
  <c r="K4171" i="14" l="1"/>
  <c r="L4171" i="14" s="1"/>
  <c r="I4172" i="14" s="1"/>
  <c r="K4149" i="13"/>
  <c r="L4149" i="13" s="1"/>
  <c r="I4150" i="13" s="1"/>
  <c r="N4336" i="13"/>
  <c r="J4335" i="13" a="1"/>
  <c r="J4335" i="13" s="1"/>
  <c r="M4339" i="14"/>
  <c r="M4338" i="13"/>
  <c r="N4335" i="14"/>
  <c r="J4334" i="14" a="1"/>
  <c r="J4334" i="14" s="1"/>
  <c r="K4150" i="13" l="1"/>
  <c r="L4150" i="13" s="1"/>
  <c r="I4151" i="13" s="1"/>
  <c r="K4172" i="14"/>
  <c r="L4172" i="14" s="1"/>
  <c r="I4173" i="14" s="1"/>
  <c r="N4336" i="14"/>
  <c r="J4335" i="14" a="1"/>
  <c r="J4335" i="14" s="1"/>
  <c r="M4340" i="14"/>
  <c r="M4339" i="13"/>
  <c r="J4336" i="13" a="1"/>
  <c r="J4336" i="13" s="1"/>
  <c r="N4337" i="13"/>
  <c r="K4173" i="14" l="1"/>
  <c r="L4173" i="14" s="1"/>
  <c r="I4174" i="14" s="1"/>
  <c r="K4151" i="13"/>
  <c r="L4151" i="13" s="1"/>
  <c r="I4152" i="13" s="1"/>
  <c r="N4338" i="13"/>
  <c r="J4337" i="13" a="1"/>
  <c r="J4337" i="13" s="1"/>
  <c r="M4341" i="14"/>
  <c r="M4340" i="13"/>
  <c r="J4336" i="14" a="1"/>
  <c r="J4336" i="14" s="1"/>
  <c r="N4337" i="14"/>
  <c r="K4152" i="13" l="1"/>
  <c r="L4152" i="13" s="1"/>
  <c r="I4153" i="13" s="1"/>
  <c r="K4174" i="14"/>
  <c r="L4174" i="14" s="1"/>
  <c r="I4175" i="14" s="1"/>
  <c r="J4337" i="14" a="1"/>
  <c r="J4337" i="14" s="1"/>
  <c r="N4338" i="14"/>
  <c r="M4342" i="14"/>
  <c r="M4341" i="13"/>
  <c r="J4338" i="13" a="1"/>
  <c r="J4338" i="13" s="1"/>
  <c r="N4339" i="13"/>
  <c r="K4175" i="14" l="1"/>
  <c r="L4175" i="14" s="1"/>
  <c r="I4176" i="14" s="1"/>
  <c r="K4153" i="13"/>
  <c r="L4153" i="13" s="1"/>
  <c r="I4154" i="13" s="1"/>
  <c r="N4340" i="13"/>
  <c r="J4339" i="13" a="1"/>
  <c r="J4339" i="13" s="1"/>
  <c r="M4343" i="14"/>
  <c r="N4339" i="14"/>
  <c r="J4338" i="14" a="1"/>
  <c r="J4338" i="14" s="1"/>
  <c r="M4342" i="13"/>
  <c r="K4154" i="13" l="1"/>
  <c r="L4154" i="13" s="1"/>
  <c r="I4155" i="13" s="1"/>
  <c r="K4176" i="14"/>
  <c r="L4176" i="14" s="1"/>
  <c r="I4177" i="14" s="1"/>
  <c r="N4340" i="14"/>
  <c r="J4339" i="14" a="1"/>
  <c r="J4339" i="14" s="1"/>
  <c r="M4343" i="13"/>
  <c r="M4344" i="14"/>
  <c r="J4340" i="13" a="1"/>
  <c r="J4340" i="13" s="1"/>
  <c r="N4341" i="13"/>
  <c r="K4177" i="14" l="1"/>
  <c r="L4177" i="14" s="1"/>
  <c r="I4178" i="14" s="1"/>
  <c r="K4155" i="13"/>
  <c r="L4155" i="13" s="1"/>
  <c r="I4156" i="13" s="1"/>
  <c r="N4342" i="13"/>
  <c r="J4341" i="13" a="1"/>
  <c r="J4341" i="13" s="1"/>
  <c r="M4344" i="13"/>
  <c r="M4345" i="14"/>
  <c r="J4340" i="14" a="1"/>
  <c r="J4340" i="14" s="1"/>
  <c r="N4341" i="14"/>
  <c r="K4156" i="13" l="1"/>
  <c r="L4156" i="13" s="1"/>
  <c r="I4157" i="13" s="1"/>
  <c r="K4178" i="14"/>
  <c r="L4178" i="14" s="1"/>
  <c r="I4179" i="14" s="1"/>
  <c r="J4341" i="14" a="1"/>
  <c r="J4341" i="14" s="1"/>
  <c r="N4342" i="14"/>
  <c r="M4345" i="13"/>
  <c r="M4346" i="14"/>
  <c r="J4342" i="13" a="1"/>
  <c r="J4342" i="13" s="1"/>
  <c r="N4343" i="13"/>
  <c r="K4179" i="14" l="1"/>
  <c r="L4179" i="14" s="1"/>
  <c r="I4180" i="14" s="1"/>
  <c r="K4157" i="13"/>
  <c r="L4157" i="13" s="1"/>
  <c r="I4158" i="13" s="1"/>
  <c r="N4344" i="13"/>
  <c r="J4343" i="13" a="1"/>
  <c r="J4343" i="13" s="1"/>
  <c r="M4346" i="13"/>
  <c r="N4343" i="14"/>
  <c r="J4342" i="14" a="1"/>
  <c r="J4342" i="14" s="1"/>
  <c r="M4347" i="14"/>
  <c r="K4158" i="13" l="1"/>
  <c r="L4158" i="13" s="1"/>
  <c r="I4159" i="13" s="1"/>
  <c r="K4180" i="14"/>
  <c r="L4180" i="14" s="1"/>
  <c r="I4181" i="14" s="1"/>
  <c r="N4344" i="14"/>
  <c r="J4343" i="14" a="1"/>
  <c r="J4343" i="14" s="1"/>
  <c r="M4347" i="13"/>
  <c r="M4348" i="14"/>
  <c r="J4344" i="13" a="1"/>
  <c r="J4344" i="13" s="1"/>
  <c r="N4345" i="13"/>
  <c r="K4181" i="14" l="1"/>
  <c r="L4181" i="14" s="1"/>
  <c r="I4182" i="14" s="1"/>
  <c r="K4159" i="13"/>
  <c r="L4159" i="13" s="1"/>
  <c r="I4160" i="13" s="1"/>
  <c r="N4346" i="13"/>
  <c r="J4345" i="13" a="1"/>
  <c r="J4345" i="13" s="1"/>
  <c r="M4348" i="13"/>
  <c r="M4349" i="14"/>
  <c r="J4344" i="14" a="1"/>
  <c r="J4344" i="14" s="1"/>
  <c r="N4345" i="14"/>
  <c r="K4160" i="13" l="1"/>
  <c r="L4160" i="13" s="1"/>
  <c r="I4161" i="13" s="1"/>
  <c r="K4182" i="14"/>
  <c r="L4182" i="14" s="1"/>
  <c r="I4183" i="14" s="1"/>
  <c r="M4349" i="13"/>
  <c r="J4345" i="14" a="1"/>
  <c r="J4345" i="14" s="1"/>
  <c r="N4346" i="14"/>
  <c r="M4350" i="14"/>
  <c r="J4346" i="13" a="1"/>
  <c r="J4346" i="13" s="1"/>
  <c r="N4347" i="13"/>
  <c r="K4183" i="14" l="1"/>
  <c r="L4183" i="14" s="1"/>
  <c r="I4184" i="14" s="1"/>
  <c r="K4161" i="13"/>
  <c r="L4161" i="13" s="1"/>
  <c r="I4162" i="13" s="1"/>
  <c r="J4346" i="14" a="1"/>
  <c r="J4346" i="14" s="1"/>
  <c r="N4347" i="14"/>
  <c r="M4351" i="14"/>
  <c r="N4348" i="13"/>
  <c r="J4347" i="13" a="1"/>
  <c r="J4347" i="13" s="1"/>
  <c r="M4350" i="13"/>
  <c r="K4162" i="13" l="1"/>
  <c r="L4162" i="13" s="1"/>
  <c r="I4163" i="13" s="1"/>
  <c r="K4184" i="14"/>
  <c r="L4184" i="14" s="1"/>
  <c r="I4185" i="14" s="1"/>
  <c r="J4348" i="13" a="1"/>
  <c r="J4348" i="13" s="1"/>
  <c r="N4349" i="13"/>
  <c r="M4351" i="13"/>
  <c r="M4352" i="14"/>
  <c r="N4348" i="14"/>
  <c r="J4347" i="14" a="1"/>
  <c r="J4347" i="14" s="1"/>
  <c r="K4185" i="14" l="1"/>
  <c r="L4185" i="14" s="1"/>
  <c r="I4186" i="14" s="1"/>
  <c r="K4163" i="13"/>
  <c r="L4163" i="13" s="1"/>
  <c r="I4164" i="13" s="1"/>
  <c r="J4348" i="14" a="1"/>
  <c r="J4348" i="14" s="1"/>
  <c r="N4349" i="14"/>
  <c r="M4352" i="13"/>
  <c r="N4350" i="13"/>
  <c r="J4349" i="13" a="1"/>
  <c r="J4349" i="13" s="1"/>
  <c r="M4353" i="14"/>
  <c r="K4186" i="14" l="1"/>
  <c r="L4186" i="14" s="1"/>
  <c r="I4187" i="14" s="1"/>
  <c r="J4350" i="13" a="1"/>
  <c r="J4350" i="13" s="1"/>
  <c r="N4351" i="13"/>
  <c r="M4353" i="13"/>
  <c r="M4354" i="14"/>
  <c r="K4164" i="13"/>
  <c r="L4164" i="13" s="1"/>
  <c r="I4165" i="13" s="1"/>
  <c r="J4349" i="14" a="1"/>
  <c r="J4349" i="14" s="1"/>
  <c r="N4350" i="14"/>
  <c r="K4165" i="13" l="1"/>
  <c r="L4165" i="13" s="1"/>
  <c r="I4166" i="13" s="1"/>
  <c r="K4187" i="14"/>
  <c r="L4187" i="14" s="1"/>
  <c r="I4188" i="14" s="1"/>
  <c r="N4351" i="14"/>
  <c r="J4350" i="14" a="1"/>
  <c r="J4350" i="14" s="1"/>
  <c r="M4355" i="14"/>
  <c r="N4352" i="13"/>
  <c r="J4351" i="13" a="1"/>
  <c r="J4351" i="13" s="1"/>
  <c r="M4354" i="13"/>
  <c r="K4188" i="14" l="1"/>
  <c r="L4188" i="14" s="1"/>
  <c r="I4189" i="14" s="1"/>
  <c r="K4166" i="13"/>
  <c r="L4166" i="13" s="1"/>
  <c r="I4167" i="13" s="1"/>
  <c r="J4352" i="13" a="1"/>
  <c r="J4352" i="13" s="1"/>
  <c r="N4353" i="13"/>
  <c r="M4355" i="13"/>
  <c r="M4356" i="14"/>
  <c r="N4352" i="14"/>
  <c r="J4351" i="14" a="1"/>
  <c r="J4351" i="14" s="1"/>
  <c r="K4167" i="13" l="1"/>
  <c r="L4167" i="13" s="1"/>
  <c r="I4168" i="13" s="1"/>
  <c r="K4189" i="14"/>
  <c r="L4189" i="14" s="1"/>
  <c r="I4190" i="14" s="1"/>
  <c r="J4352" i="14" a="1"/>
  <c r="J4352" i="14" s="1"/>
  <c r="N4353" i="14"/>
  <c r="M4356" i="13"/>
  <c r="N4354" i="13"/>
  <c r="J4353" i="13" a="1"/>
  <c r="J4353" i="13" s="1"/>
  <c r="M4357" i="14"/>
  <c r="K4168" i="13" l="1"/>
  <c r="L4168" i="13" s="1"/>
  <c r="I4169" i="13" s="1"/>
  <c r="M4358" i="14"/>
  <c r="M4357" i="13"/>
  <c r="K4190" i="14"/>
  <c r="L4190" i="14" s="1"/>
  <c r="I4191" i="14" s="1"/>
  <c r="J4353" i="14" a="1"/>
  <c r="J4353" i="14" s="1"/>
  <c r="N4354" i="14"/>
  <c r="J4354" i="13" a="1"/>
  <c r="J4354" i="13" s="1"/>
  <c r="N4355" i="13"/>
  <c r="K4169" i="13" l="1"/>
  <c r="L4169" i="13" s="1"/>
  <c r="I4170" i="13" s="1"/>
  <c r="N4356" i="13"/>
  <c r="J4355" i="13" a="1"/>
  <c r="J4355" i="13" s="1"/>
  <c r="M4359" i="14"/>
  <c r="K4191" i="14"/>
  <c r="L4191" i="14" s="1"/>
  <c r="I4192" i="14" s="1"/>
  <c r="N4355" i="14"/>
  <c r="J4354" i="14" a="1"/>
  <c r="J4354" i="14" s="1"/>
  <c r="M4358" i="13"/>
  <c r="K4170" i="13" l="1"/>
  <c r="L4170" i="13" s="1"/>
  <c r="I4171" i="13" s="1"/>
  <c r="M4359" i="13"/>
  <c r="J4356" i="13" a="1"/>
  <c r="J4356" i="13" s="1"/>
  <c r="N4357" i="13"/>
  <c r="K4192" i="14"/>
  <c r="L4192" i="14" s="1"/>
  <c r="I4193" i="14" s="1"/>
  <c r="N4356" i="14"/>
  <c r="J4355" i="14" a="1"/>
  <c r="J4355" i="14" s="1"/>
  <c r="M4360" i="14"/>
  <c r="K4193" i="14" l="1"/>
  <c r="L4193" i="14" s="1"/>
  <c r="I4194" i="14" s="1"/>
  <c r="K4171" i="13"/>
  <c r="L4171" i="13" s="1"/>
  <c r="I4172" i="13" s="1"/>
  <c r="J4356" i="14" a="1"/>
  <c r="J4356" i="14" s="1"/>
  <c r="N4357" i="14"/>
  <c r="M4361" i="14"/>
  <c r="M4360" i="13"/>
  <c r="N4358" i="13"/>
  <c r="J4357" i="13" a="1"/>
  <c r="J4357" i="13" s="1"/>
  <c r="K4172" i="13" l="1"/>
  <c r="L4172" i="13" s="1"/>
  <c r="I4173" i="13" s="1"/>
  <c r="K4194" i="14"/>
  <c r="L4194" i="14" s="1"/>
  <c r="I4195" i="14" s="1"/>
  <c r="J4358" i="13" a="1"/>
  <c r="J4358" i="13" s="1"/>
  <c r="N4359" i="13"/>
  <c r="M4362" i="14"/>
  <c r="M4361" i="13"/>
  <c r="J4357" i="14" a="1"/>
  <c r="J4357" i="14" s="1"/>
  <c r="N4358" i="14"/>
  <c r="K4195" i="14" l="1"/>
  <c r="L4195" i="14" s="1"/>
  <c r="I4196" i="14" s="1"/>
  <c r="K4173" i="13"/>
  <c r="L4173" i="13" s="1"/>
  <c r="I4174" i="13" s="1"/>
  <c r="N4360" i="13"/>
  <c r="J4359" i="13" a="1"/>
  <c r="J4359" i="13" s="1"/>
  <c r="N4359" i="14"/>
  <c r="J4358" i="14" a="1"/>
  <c r="J4358" i="14" s="1"/>
  <c r="M4363" i="14"/>
  <c r="M4362" i="13"/>
  <c r="K4174" i="13" l="1"/>
  <c r="L4174" i="13" s="1"/>
  <c r="I4175" i="13" s="1"/>
  <c r="K4196" i="14"/>
  <c r="L4196" i="14" s="1"/>
  <c r="I4197" i="14" s="1"/>
  <c r="N4360" i="14"/>
  <c r="J4359" i="14" a="1"/>
  <c r="J4359" i="14" s="1"/>
  <c r="M4363" i="13"/>
  <c r="M4364" i="14"/>
  <c r="J4360" i="13" a="1"/>
  <c r="J4360" i="13" s="1"/>
  <c r="N4361" i="13"/>
  <c r="K4197" i="14" l="1"/>
  <c r="L4197" i="14" s="1"/>
  <c r="I4198" i="14" s="1"/>
  <c r="K4175" i="13"/>
  <c r="L4175" i="13" s="1"/>
  <c r="I4176" i="13" s="1"/>
  <c r="M4364" i="13"/>
  <c r="N4362" i="13"/>
  <c r="J4361" i="13" a="1"/>
  <c r="J4361" i="13" s="1"/>
  <c r="M4365" i="14"/>
  <c r="J4360" i="14" a="1"/>
  <c r="J4360" i="14" s="1"/>
  <c r="N4361" i="14"/>
  <c r="K4176" i="13" l="1"/>
  <c r="L4176" i="13" s="1"/>
  <c r="I4177" i="13" s="1"/>
  <c r="K4198" i="14"/>
  <c r="L4198" i="14" s="1"/>
  <c r="I4199" i="14" s="1"/>
  <c r="J4361" i="14" a="1"/>
  <c r="J4361" i="14" s="1"/>
  <c r="N4362" i="14"/>
  <c r="J4362" i="13" a="1"/>
  <c r="J4362" i="13" s="1"/>
  <c r="N4363" i="13"/>
  <c r="M4366" i="14"/>
  <c r="M4365" i="13"/>
  <c r="K4199" i="14" l="1"/>
  <c r="L4199" i="14" s="1"/>
  <c r="I4200" i="14" s="1"/>
  <c r="K4177" i="13"/>
  <c r="L4177" i="13" s="1"/>
  <c r="I4178" i="13" s="1"/>
  <c r="N4364" i="13"/>
  <c r="J4363" i="13" a="1"/>
  <c r="J4363" i="13" s="1"/>
  <c r="J4362" i="14" a="1"/>
  <c r="J4362" i="14" s="1"/>
  <c r="N4363" i="14"/>
  <c r="M4366" i="13"/>
  <c r="M4367" i="14"/>
  <c r="K4178" i="13" l="1"/>
  <c r="L4178" i="13" s="1"/>
  <c r="I4179" i="13" s="1"/>
  <c r="K4200" i="14"/>
  <c r="L4200" i="14" s="1"/>
  <c r="I4201" i="14" s="1"/>
  <c r="N4364" i="14"/>
  <c r="J4363" i="14" a="1"/>
  <c r="J4363" i="14" s="1"/>
  <c r="M4368" i="14"/>
  <c r="M4367" i="13"/>
  <c r="J4364" i="13" a="1"/>
  <c r="J4364" i="13" s="1"/>
  <c r="N4365" i="13"/>
  <c r="K4201" i="14" l="1"/>
  <c r="L4201" i="14" s="1"/>
  <c r="I4202" i="14" s="1"/>
  <c r="K4179" i="13"/>
  <c r="L4179" i="13" s="1"/>
  <c r="I4180" i="13" s="1"/>
  <c r="N4366" i="13"/>
  <c r="J4365" i="13" a="1"/>
  <c r="J4365" i="13" s="1"/>
  <c r="M4369" i="14"/>
  <c r="M4368" i="13"/>
  <c r="J4364" i="14" a="1"/>
  <c r="J4364" i="14" s="1"/>
  <c r="N4365" i="14"/>
  <c r="K4180" i="13" l="1"/>
  <c r="L4180" i="13" s="1"/>
  <c r="I4181" i="13" s="1"/>
  <c r="K4202" i="14"/>
  <c r="L4202" i="14" s="1"/>
  <c r="I4203" i="14" s="1"/>
  <c r="J4365" i="14" a="1"/>
  <c r="J4365" i="14" s="1"/>
  <c r="N4366" i="14"/>
  <c r="M4370" i="14"/>
  <c r="M4369" i="13"/>
  <c r="J4366" i="13" a="1"/>
  <c r="J4366" i="13" s="1"/>
  <c r="N4367" i="13"/>
  <c r="K4203" i="14" l="1"/>
  <c r="L4203" i="14" s="1"/>
  <c r="I4204" i="14" s="1"/>
  <c r="K4181" i="13"/>
  <c r="L4181" i="13" s="1"/>
  <c r="I4182" i="13" s="1"/>
  <c r="N4368" i="13"/>
  <c r="J4367" i="13" a="1"/>
  <c r="J4367" i="13" s="1"/>
  <c r="M4371" i="14"/>
  <c r="M4370" i="13"/>
  <c r="N4367" i="14"/>
  <c r="J4366" i="14" a="1"/>
  <c r="J4366" i="14" s="1"/>
  <c r="K4182" i="13" l="1"/>
  <c r="L4182" i="13" s="1"/>
  <c r="I4183" i="13" s="1"/>
  <c r="K4204" i="14"/>
  <c r="L4204" i="14" s="1"/>
  <c r="I4205" i="14" s="1"/>
  <c r="N4368" i="14"/>
  <c r="J4367" i="14" a="1"/>
  <c r="J4367" i="14" s="1"/>
  <c r="M4372" i="14"/>
  <c r="M4371" i="13"/>
  <c r="J4368" i="13" a="1"/>
  <c r="J4368" i="13" s="1"/>
  <c r="N4369" i="13"/>
  <c r="K4205" i="14" l="1"/>
  <c r="L4205" i="14" s="1"/>
  <c r="I4206" i="14" s="1"/>
  <c r="K4183" i="13"/>
  <c r="L4183" i="13" s="1"/>
  <c r="I4184" i="13" s="1"/>
  <c r="N4370" i="13"/>
  <c r="J4369" i="13" a="1"/>
  <c r="J4369" i="13" s="1"/>
  <c r="M4373" i="14"/>
  <c r="M4372" i="13"/>
  <c r="J4368" i="14" a="1"/>
  <c r="J4368" i="14" s="1"/>
  <c r="N4369" i="14"/>
  <c r="K4184" i="13" l="1"/>
  <c r="L4184" i="13" s="1"/>
  <c r="I4185" i="13" s="1"/>
  <c r="K4206" i="14"/>
  <c r="L4206" i="14" s="1"/>
  <c r="I4207" i="14" s="1"/>
  <c r="J4369" i="14" a="1"/>
  <c r="J4369" i="14" s="1"/>
  <c r="N4370" i="14"/>
  <c r="M4374" i="14"/>
  <c r="M4373" i="13"/>
  <c r="J4370" i="13" a="1"/>
  <c r="J4370" i="13" s="1"/>
  <c r="N4371" i="13"/>
  <c r="K4207" i="14" l="1"/>
  <c r="L4207" i="14" s="1"/>
  <c r="I4208" i="14" s="1"/>
  <c r="K4185" i="13"/>
  <c r="L4185" i="13" s="1"/>
  <c r="I4186" i="13" s="1"/>
  <c r="N4372" i="13"/>
  <c r="J4371" i="13" a="1"/>
  <c r="J4371" i="13" s="1"/>
  <c r="M4375" i="14"/>
  <c r="N4371" i="14"/>
  <c r="J4370" i="14" a="1"/>
  <c r="J4370" i="14" s="1"/>
  <c r="M4374" i="13"/>
  <c r="K4186" i="13" l="1"/>
  <c r="L4186" i="13" s="1"/>
  <c r="I4187" i="13" s="1"/>
  <c r="K4208" i="14"/>
  <c r="L4208" i="14" s="1"/>
  <c r="I4209" i="14" s="1"/>
  <c r="M4375" i="13"/>
  <c r="N4372" i="14"/>
  <c r="J4371" i="14" a="1"/>
  <c r="J4371" i="14" s="1"/>
  <c r="M4376" i="14"/>
  <c r="J4372" i="13" a="1"/>
  <c r="J4372" i="13" s="1"/>
  <c r="N4373" i="13"/>
  <c r="K4209" i="14" l="1"/>
  <c r="L4209" i="14" s="1"/>
  <c r="I4210" i="14" s="1"/>
  <c r="K4187" i="13"/>
  <c r="L4187" i="13" s="1"/>
  <c r="I4188" i="13" s="1"/>
  <c r="N4374" i="13"/>
  <c r="J4373" i="13" a="1"/>
  <c r="J4373" i="13" s="1"/>
  <c r="J4372" i="14" a="1"/>
  <c r="J4372" i="14" s="1"/>
  <c r="N4373" i="14"/>
  <c r="M4377" i="14"/>
  <c r="M4376" i="13"/>
  <c r="K4188" i="13" l="1"/>
  <c r="L4188" i="13" s="1"/>
  <c r="I4189" i="13" s="1"/>
  <c r="K4210" i="14"/>
  <c r="L4210" i="14" s="1"/>
  <c r="I4211" i="14" s="1"/>
  <c r="M4377" i="13"/>
  <c r="J4373" i="14" a="1"/>
  <c r="J4373" i="14" s="1"/>
  <c r="N4374" i="14"/>
  <c r="M4378" i="14"/>
  <c r="J4374" i="13" a="1"/>
  <c r="J4374" i="13" s="1"/>
  <c r="N4375" i="13"/>
  <c r="K4211" i="14" l="1"/>
  <c r="L4211" i="14" s="1"/>
  <c r="I4212" i="14" s="1"/>
  <c r="K4189" i="13"/>
  <c r="L4189" i="13" s="1"/>
  <c r="I4190" i="13" s="1"/>
  <c r="N4376" i="13"/>
  <c r="J4375" i="13" a="1"/>
  <c r="J4375" i="13" s="1"/>
  <c r="N4375" i="14"/>
  <c r="J4374" i="14" a="1"/>
  <c r="J4374" i="14" s="1"/>
  <c r="M4379" i="14"/>
  <c r="M4378" i="13"/>
  <c r="K4190" i="13" l="1"/>
  <c r="L4190" i="13" s="1"/>
  <c r="I4191" i="13" s="1"/>
  <c r="K4212" i="14"/>
  <c r="L4212" i="14" s="1"/>
  <c r="I4213" i="14" s="1"/>
  <c r="N4376" i="14"/>
  <c r="J4375" i="14" a="1"/>
  <c r="J4375" i="14" s="1"/>
  <c r="M4379" i="13"/>
  <c r="M4380" i="14"/>
  <c r="J4376" i="13" a="1"/>
  <c r="J4376" i="13" s="1"/>
  <c r="N4377" i="13"/>
  <c r="K4213" i="14" l="1"/>
  <c r="L4213" i="14" s="1"/>
  <c r="I4214" i="14" s="1"/>
  <c r="K4191" i="13"/>
  <c r="L4191" i="13" s="1"/>
  <c r="I4192" i="13" s="1"/>
  <c r="N4378" i="13"/>
  <c r="J4377" i="13" a="1"/>
  <c r="J4377" i="13" s="1"/>
  <c r="M4380" i="13"/>
  <c r="M4381" i="14"/>
  <c r="J4376" i="14" a="1"/>
  <c r="J4376" i="14" s="1"/>
  <c r="N4377" i="14"/>
  <c r="K4192" i="13" l="1"/>
  <c r="L4192" i="13" s="1"/>
  <c r="I4193" i="13" s="1"/>
  <c r="K4214" i="14"/>
  <c r="L4214" i="14" s="1"/>
  <c r="I4215" i="14" s="1"/>
  <c r="J4377" i="14" a="1"/>
  <c r="J4377" i="14" s="1"/>
  <c r="N4378" i="14"/>
  <c r="M4381" i="13"/>
  <c r="M4382" i="14"/>
  <c r="J4378" i="13" a="1"/>
  <c r="J4378" i="13" s="1"/>
  <c r="N4379" i="13"/>
  <c r="K4215" i="14" l="1"/>
  <c r="L4215" i="14" s="1"/>
  <c r="I4216" i="14" s="1"/>
  <c r="K4193" i="13"/>
  <c r="L4193" i="13" s="1"/>
  <c r="I4194" i="13" s="1"/>
  <c r="N4380" i="13"/>
  <c r="J4379" i="13" a="1"/>
  <c r="J4379" i="13" s="1"/>
  <c r="M4382" i="13"/>
  <c r="J4378" i="14" a="1"/>
  <c r="J4378" i="14" s="1"/>
  <c r="N4379" i="14"/>
  <c r="M4383" i="14"/>
  <c r="K4194" i="13" l="1"/>
  <c r="L4194" i="13" s="1"/>
  <c r="I4195" i="13" s="1"/>
  <c r="K4216" i="14"/>
  <c r="L4216" i="14" s="1"/>
  <c r="I4217" i="14" s="1"/>
  <c r="N4380" i="14"/>
  <c r="J4379" i="14" a="1"/>
  <c r="J4379" i="14" s="1"/>
  <c r="M4383" i="13"/>
  <c r="M4384" i="14"/>
  <c r="J4380" i="13" a="1"/>
  <c r="J4380" i="13" s="1"/>
  <c r="N4381" i="13"/>
  <c r="K4217" i="14" l="1"/>
  <c r="L4217" i="14" s="1"/>
  <c r="I4218" i="14" s="1"/>
  <c r="K4195" i="13"/>
  <c r="L4195" i="13" s="1"/>
  <c r="I4196" i="13" s="1"/>
  <c r="N4382" i="13"/>
  <c r="J4381" i="13" a="1"/>
  <c r="J4381" i="13" s="1"/>
  <c r="M4384" i="13"/>
  <c r="M4385" i="14"/>
  <c r="J4380" i="14" a="1"/>
  <c r="J4380" i="14" s="1"/>
  <c r="N4381" i="14"/>
  <c r="K4196" i="13" l="1"/>
  <c r="L4196" i="13" s="1"/>
  <c r="I4197" i="13" s="1"/>
  <c r="K4218" i="14"/>
  <c r="L4218" i="14" s="1"/>
  <c r="I4219" i="14" s="1"/>
  <c r="J4381" i="14" a="1"/>
  <c r="J4381" i="14" s="1"/>
  <c r="N4382" i="14"/>
  <c r="M4385" i="13"/>
  <c r="M4386" i="14"/>
  <c r="J4382" i="13" a="1"/>
  <c r="J4382" i="13" s="1"/>
  <c r="N4383" i="13"/>
  <c r="K4219" i="14" l="1"/>
  <c r="L4219" i="14" s="1"/>
  <c r="I4220" i="14" s="1"/>
  <c r="K4197" i="13"/>
  <c r="L4197" i="13" s="1"/>
  <c r="I4198" i="13" s="1"/>
  <c r="N4384" i="13"/>
  <c r="J4383" i="13" a="1"/>
  <c r="J4383" i="13" s="1"/>
  <c r="M4386" i="13"/>
  <c r="N4383" i="14"/>
  <c r="J4382" i="14" a="1"/>
  <c r="J4382" i="14" s="1"/>
  <c r="M4387" i="14"/>
  <c r="K4198" i="13" l="1"/>
  <c r="L4198" i="13" s="1"/>
  <c r="I4199" i="13" s="1"/>
  <c r="K4220" i="14"/>
  <c r="L4220" i="14" s="1"/>
  <c r="I4221" i="14" s="1"/>
  <c r="M4387" i="13"/>
  <c r="M4388" i="14"/>
  <c r="N4384" i="14"/>
  <c r="J4383" i="14" a="1"/>
  <c r="J4383" i="14" s="1"/>
  <c r="J4384" i="13" a="1"/>
  <c r="J4384" i="13" s="1"/>
  <c r="N4385" i="13"/>
  <c r="K4221" i="14" l="1"/>
  <c r="L4221" i="14" s="1"/>
  <c r="I4222" i="14" s="1"/>
  <c r="K4199" i="13"/>
  <c r="L4199" i="13" s="1"/>
  <c r="I4200" i="13" s="1"/>
  <c r="N4386" i="13"/>
  <c r="J4385" i="13" a="1"/>
  <c r="J4385" i="13" s="1"/>
  <c r="M4389" i="14"/>
  <c r="J4384" i="14" a="1"/>
  <c r="J4384" i="14" s="1"/>
  <c r="N4385" i="14"/>
  <c r="M4388" i="13"/>
  <c r="K4200" i="13" l="1"/>
  <c r="L4200" i="13" s="1"/>
  <c r="I4201" i="13" s="1"/>
  <c r="K4222" i="14"/>
  <c r="L4222" i="14" s="1"/>
  <c r="I4223" i="14" s="1"/>
  <c r="M4389" i="13"/>
  <c r="M4390" i="14"/>
  <c r="J4385" i="14" a="1"/>
  <c r="J4385" i="14" s="1"/>
  <c r="N4386" i="14"/>
  <c r="J4386" i="13" a="1"/>
  <c r="J4386" i="13" s="1"/>
  <c r="N4387" i="13"/>
  <c r="K4223" i="14" l="1"/>
  <c r="L4223" i="14" s="1"/>
  <c r="I4224" i="14" s="1"/>
  <c r="K4201" i="13"/>
  <c r="L4201" i="13" s="1"/>
  <c r="I4202" i="13" s="1"/>
  <c r="N4388" i="13"/>
  <c r="J4387" i="13" a="1"/>
  <c r="J4387" i="13" s="1"/>
  <c r="M4391" i="14"/>
  <c r="N4387" i="14"/>
  <c r="J4386" i="14" a="1"/>
  <c r="J4386" i="14" s="1"/>
  <c r="M4390" i="13"/>
  <c r="K4202" i="13" l="1"/>
  <c r="L4202" i="13" s="1"/>
  <c r="I4203" i="13" s="1"/>
  <c r="K4224" i="14"/>
  <c r="L4224" i="14" s="1"/>
  <c r="I4225" i="14" s="1"/>
  <c r="M4391" i="13"/>
  <c r="N4388" i="14"/>
  <c r="J4387" i="14" a="1"/>
  <c r="J4387" i="14" s="1"/>
  <c r="M4392" i="14"/>
  <c r="J4388" i="13" a="1"/>
  <c r="J4388" i="13" s="1"/>
  <c r="N4389" i="13"/>
  <c r="K4225" i="14" l="1"/>
  <c r="L4225" i="14" s="1"/>
  <c r="I4226" i="14" s="1"/>
  <c r="K4203" i="13"/>
  <c r="L4203" i="13" s="1"/>
  <c r="I4204" i="13" s="1"/>
  <c r="J4388" i="14" a="1"/>
  <c r="J4388" i="14" s="1"/>
  <c r="N4389" i="14"/>
  <c r="N4390" i="13"/>
  <c r="J4389" i="13" a="1"/>
  <c r="J4389" i="13" s="1"/>
  <c r="M4393" i="14"/>
  <c r="M4392" i="13"/>
  <c r="K4204" i="13" l="1"/>
  <c r="L4204" i="13" s="1"/>
  <c r="I4205" i="13" s="1"/>
  <c r="K4226" i="14"/>
  <c r="L4226" i="14" s="1"/>
  <c r="I4227" i="14" s="1"/>
  <c r="M4393" i="13"/>
  <c r="J4390" i="13" a="1"/>
  <c r="J4390" i="13" s="1"/>
  <c r="N4391" i="13"/>
  <c r="J4389" i="14" a="1"/>
  <c r="J4389" i="14" s="1"/>
  <c r="N4390" i="14"/>
  <c r="M4394" i="14"/>
  <c r="K4227" i="14" l="1"/>
  <c r="L4227" i="14" s="1"/>
  <c r="I4228" i="14" s="1"/>
  <c r="K4205" i="13"/>
  <c r="L4205" i="13" s="1"/>
  <c r="I4206" i="13" s="1"/>
  <c r="N4392" i="13"/>
  <c r="J4391" i="13" a="1"/>
  <c r="J4391" i="13" s="1"/>
  <c r="M4395" i="14"/>
  <c r="N4391" i="14"/>
  <c r="J4390" i="14" a="1"/>
  <c r="J4390" i="14" s="1"/>
  <c r="M4394" i="13"/>
  <c r="K4206" i="13" l="1"/>
  <c r="L4206" i="13" s="1"/>
  <c r="I4207" i="13" s="1"/>
  <c r="K4228" i="14"/>
  <c r="L4228" i="14" s="1"/>
  <c r="I4229" i="14" s="1"/>
  <c r="M4395" i="13"/>
  <c r="M4396" i="14"/>
  <c r="N4392" i="14"/>
  <c r="J4391" i="14" a="1"/>
  <c r="J4391" i="14" s="1"/>
  <c r="J4392" i="13" a="1"/>
  <c r="J4392" i="13" s="1"/>
  <c r="N4393" i="13"/>
  <c r="K4229" i="14" l="1"/>
  <c r="L4229" i="14" s="1"/>
  <c r="I4230" i="14" s="1"/>
  <c r="K4207" i="13"/>
  <c r="L4207" i="13" s="1"/>
  <c r="I4208" i="13" s="1"/>
  <c r="N4394" i="13"/>
  <c r="J4393" i="13" a="1"/>
  <c r="J4393" i="13" s="1"/>
  <c r="M4397" i="14"/>
  <c r="J4392" i="14" a="1"/>
  <c r="J4392" i="14" s="1"/>
  <c r="N4393" i="14"/>
  <c r="M4396" i="13"/>
  <c r="K4208" i="13" l="1"/>
  <c r="L4208" i="13" s="1"/>
  <c r="I4209" i="13" s="1"/>
  <c r="K4230" i="14"/>
  <c r="L4230" i="14" s="1"/>
  <c r="I4231" i="14" s="1"/>
  <c r="J4393" i="14" a="1"/>
  <c r="J4393" i="14" s="1"/>
  <c r="N4394" i="14"/>
  <c r="M4398" i="14"/>
  <c r="M4397" i="13"/>
  <c r="J4394" i="13" a="1"/>
  <c r="J4394" i="13" s="1"/>
  <c r="N4395" i="13"/>
  <c r="K4209" i="13" l="1"/>
  <c r="L4209" i="13" s="1"/>
  <c r="I4210" i="13" s="1"/>
  <c r="N4396" i="13"/>
  <c r="J4395" i="13" a="1"/>
  <c r="J4395" i="13" s="1"/>
  <c r="M4399" i="14"/>
  <c r="K4231" i="14"/>
  <c r="L4231" i="14" s="1"/>
  <c r="I4232" i="14" s="1"/>
  <c r="J4394" i="14" a="1"/>
  <c r="J4394" i="14" s="1"/>
  <c r="N4395" i="14"/>
  <c r="M4398" i="13"/>
  <c r="K4232" i="14" l="1"/>
  <c r="L4232" i="14" s="1"/>
  <c r="I4233" i="14" s="1"/>
  <c r="K4210" i="13"/>
  <c r="L4210" i="13" s="1"/>
  <c r="I4211" i="13" s="1"/>
  <c r="J4396" i="13" a="1"/>
  <c r="J4396" i="13" s="1"/>
  <c r="N4397" i="13"/>
  <c r="N4396" i="14"/>
  <c r="J4395" i="14" a="1"/>
  <c r="J4395" i="14" s="1"/>
  <c r="M4399" i="13"/>
  <c r="M4400" i="14"/>
  <c r="K4211" i="13" l="1"/>
  <c r="L4211" i="13" s="1"/>
  <c r="I4212" i="13" s="1"/>
  <c r="K4233" i="14"/>
  <c r="L4233" i="14" s="1"/>
  <c r="I4234" i="14" s="1"/>
  <c r="J4396" i="14" a="1"/>
  <c r="J4396" i="14" s="1"/>
  <c r="N4397" i="14"/>
  <c r="N4398" i="13"/>
  <c r="J4397" i="13" a="1"/>
  <c r="J4397" i="13" s="1"/>
  <c r="M4401" i="14"/>
  <c r="M4400" i="13"/>
  <c r="K4234" i="14" l="1"/>
  <c r="L4234" i="14" s="1"/>
  <c r="I4235" i="14" s="1"/>
  <c r="K4212" i="13"/>
  <c r="L4212" i="13" s="1"/>
  <c r="I4213" i="13" s="1"/>
  <c r="J4398" i="13" a="1"/>
  <c r="J4398" i="13" s="1"/>
  <c r="N4399" i="13"/>
  <c r="J4397" i="14" a="1"/>
  <c r="J4397" i="14" s="1"/>
  <c r="N4398" i="14"/>
  <c r="M4401" i="13"/>
  <c r="M4402" i="14"/>
  <c r="K4213" i="13" l="1"/>
  <c r="L4213" i="13" s="1"/>
  <c r="I4214" i="13" s="1"/>
  <c r="K4235" i="14"/>
  <c r="L4235" i="14" s="1"/>
  <c r="I4236" i="14" s="1"/>
  <c r="N4399" i="14"/>
  <c r="J4398" i="14" a="1"/>
  <c r="J4398" i="14" s="1"/>
  <c r="M4403" i="14"/>
  <c r="N4400" i="13"/>
  <c r="J4399" i="13" a="1"/>
  <c r="J4399" i="13" s="1"/>
  <c r="M4402" i="13"/>
  <c r="K4236" i="14" l="1"/>
  <c r="L4236" i="14" s="1"/>
  <c r="I4237" i="14" s="1"/>
  <c r="K4214" i="13"/>
  <c r="L4214" i="13" s="1"/>
  <c r="I4215" i="13" s="1"/>
  <c r="M4403" i="13"/>
  <c r="J4400" i="13" a="1"/>
  <c r="J4400" i="13" s="1"/>
  <c r="N4401" i="13"/>
  <c r="M4404" i="14"/>
  <c r="N4400" i="14"/>
  <c r="J4399" i="14" a="1"/>
  <c r="J4399" i="14" s="1"/>
  <c r="K4215" i="13" l="1"/>
  <c r="L4215" i="13" s="1"/>
  <c r="I4216" i="13" s="1"/>
  <c r="K4237" i="14"/>
  <c r="L4237" i="14" s="1"/>
  <c r="I4238" i="14" s="1"/>
  <c r="N4402" i="13"/>
  <c r="J4401" i="13" a="1"/>
  <c r="J4401" i="13" s="1"/>
  <c r="J4400" i="14" a="1"/>
  <c r="J4400" i="14" s="1"/>
  <c r="N4401" i="14"/>
  <c r="M4405" i="14"/>
  <c r="M4404" i="13"/>
  <c r="K4238" i="14" l="1"/>
  <c r="L4238" i="14" s="1"/>
  <c r="I4239" i="14" s="1"/>
  <c r="K4216" i="13"/>
  <c r="L4216" i="13" s="1"/>
  <c r="I4217" i="13" s="1"/>
  <c r="J4401" i="14" a="1"/>
  <c r="J4401" i="14" s="1"/>
  <c r="N4402" i="14"/>
  <c r="M4406" i="14"/>
  <c r="M4405" i="13"/>
  <c r="J4402" i="13" a="1"/>
  <c r="J4402" i="13" s="1"/>
  <c r="N4403" i="13"/>
  <c r="K4217" i="13" l="1"/>
  <c r="L4217" i="13" s="1"/>
  <c r="I4218" i="13" s="1"/>
  <c r="K4239" i="14"/>
  <c r="L4239" i="14" s="1"/>
  <c r="I4240" i="14" s="1"/>
  <c r="N4404" i="13"/>
  <c r="J4403" i="13" a="1"/>
  <c r="J4403" i="13" s="1"/>
  <c r="M4407" i="14"/>
  <c r="N4403" i="14"/>
  <c r="J4402" i="14" a="1"/>
  <c r="J4402" i="14" s="1"/>
  <c r="M4406" i="13"/>
  <c r="K4240" i="14" l="1"/>
  <c r="L4240" i="14" s="1"/>
  <c r="I4241" i="14" s="1"/>
  <c r="K4218" i="13"/>
  <c r="L4218" i="13" s="1"/>
  <c r="I4219" i="13" s="1"/>
  <c r="M4407" i="13"/>
  <c r="M4408" i="14"/>
  <c r="N4404" i="14"/>
  <c r="J4403" i="14" a="1"/>
  <c r="J4403" i="14" s="1"/>
  <c r="J4404" i="13" a="1"/>
  <c r="J4404" i="13" s="1"/>
  <c r="N4405" i="13"/>
  <c r="K4219" i="13" l="1"/>
  <c r="L4219" i="13" s="1"/>
  <c r="I4220" i="13" s="1"/>
  <c r="K4241" i="14"/>
  <c r="L4241" i="14" s="1"/>
  <c r="I4242" i="14" s="1"/>
  <c r="N4406" i="13"/>
  <c r="J4405" i="13" a="1"/>
  <c r="J4405" i="13" s="1"/>
  <c r="M4409" i="14"/>
  <c r="J4404" i="14" a="1"/>
  <c r="J4404" i="14" s="1"/>
  <c r="N4405" i="14"/>
  <c r="M4408" i="13"/>
  <c r="K4242" i="14" l="1"/>
  <c r="L4242" i="14" s="1"/>
  <c r="I4243" i="14" s="1"/>
  <c r="K4220" i="13"/>
  <c r="L4220" i="13" s="1"/>
  <c r="I4221" i="13" s="1"/>
  <c r="M4409" i="13"/>
  <c r="J4405" i="14" a="1"/>
  <c r="J4405" i="14" s="1"/>
  <c r="N4406" i="14"/>
  <c r="M4410" i="14"/>
  <c r="J4406" i="13" a="1"/>
  <c r="J4406" i="13" s="1"/>
  <c r="N4407" i="13"/>
  <c r="K4221" i="13" l="1"/>
  <c r="L4221" i="13" s="1"/>
  <c r="I4222" i="13" s="1"/>
  <c r="K4243" i="14"/>
  <c r="L4243" i="14" s="1"/>
  <c r="I4244" i="14" s="1"/>
  <c r="N4407" i="14"/>
  <c r="J4406" i="14" a="1"/>
  <c r="J4406" i="14" s="1"/>
  <c r="N4408" i="13"/>
  <c r="J4407" i="13" a="1"/>
  <c r="J4407" i="13" s="1"/>
  <c r="M4411" i="14"/>
  <c r="M4410" i="13"/>
  <c r="K4222" i="13" l="1"/>
  <c r="L4222" i="13" s="1"/>
  <c r="I4223" i="13" s="1"/>
  <c r="M4411" i="13"/>
  <c r="K4244" i="14"/>
  <c r="L4244" i="14" s="1"/>
  <c r="I4245" i="14" s="1"/>
  <c r="J4408" i="13" a="1"/>
  <c r="J4408" i="13" s="1"/>
  <c r="N4409" i="13"/>
  <c r="M4412" i="14"/>
  <c r="N4408" i="14"/>
  <c r="J4407" i="14" a="1"/>
  <c r="J4407" i="14" s="1"/>
  <c r="K4245" i="14" l="1"/>
  <c r="L4245" i="14" s="1"/>
  <c r="I4246" i="14" s="1"/>
  <c r="K4223" i="13"/>
  <c r="L4223" i="13" s="1"/>
  <c r="I4224" i="13" s="1"/>
  <c r="N4410" i="13"/>
  <c r="J4409" i="13" a="1"/>
  <c r="J4409" i="13" s="1"/>
  <c r="M4412" i="13"/>
  <c r="J4408" i="14" a="1"/>
  <c r="J4408" i="14" s="1"/>
  <c r="N4409" i="14"/>
  <c r="M4413" i="14"/>
  <c r="K4224" i="13" l="1"/>
  <c r="L4224" i="13" s="1"/>
  <c r="I4225" i="13" s="1"/>
  <c r="K4246" i="14"/>
  <c r="L4246" i="14" s="1"/>
  <c r="I4247" i="14" s="1"/>
  <c r="M4414" i="14"/>
  <c r="M4413" i="13"/>
  <c r="J4409" i="14" a="1"/>
  <c r="J4409" i="14" s="1"/>
  <c r="N4410" i="14"/>
  <c r="J4410" i="13" a="1"/>
  <c r="J4410" i="13" s="1"/>
  <c r="N4411" i="13"/>
  <c r="K4247" i="14" l="1"/>
  <c r="L4247" i="14" s="1"/>
  <c r="I4248" i="14" s="1"/>
  <c r="K4225" i="13"/>
  <c r="L4225" i="13" s="1"/>
  <c r="I4226" i="13" s="1"/>
  <c r="N4412" i="13"/>
  <c r="J4411" i="13" a="1"/>
  <c r="J4411" i="13" s="1"/>
  <c r="M4414" i="13"/>
  <c r="J4410" i="14" a="1"/>
  <c r="J4410" i="14" s="1"/>
  <c r="N4411" i="14"/>
  <c r="M4415" i="14"/>
  <c r="K4226" i="13" l="1"/>
  <c r="L4226" i="13" s="1"/>
  <c r="I4227" i="13" s="1"/>
  <c r="K4248" i="14"/>
  <c r="L4248" i="14" s="1"/>
  <c r="I4249" i="14" s="1"/>
  <c r="N4412" i="14"/>
  <c r="J4411" i="14" a="1"/>
  <c r="J4411" i="14" s="1"/>
  <c r="M4415" i="13"/>
  <c r="M4416" i="14"/>
  <c r="J4412" i="13" a="1"/>
  <c r="J4412" i="13" s="1"/>
  <c r="N4413" i="13"/>
  <c r="K4249" i="14" l="1"/>
  <c r="L4249" i="14" s="1"/>
  <c r="I4250" i="14" s="1"/>
  <c r="K4227" i="13"/>
  <c r="L4227" i="13" s="1"/>
  <c r="I4228" i="13" s="1"/>
  <c r="N4414" i="13"/>
  <c r="J4413" i="13" a="1"/>
  <c r="J4413" i="13" s="1"/>
  <c r="M4416" i="13"/>
  <c r="M4417" i="14"/>
  <c r="J4412" i="14" a="1"/>
  <c r="J4412" i="14" s="1"/>
  <c r="N4413" i="14"/>
  <c r="K4228" i="13" l="1"/>
  <c r="L4228" i="13" s="1"/>
  <c r="I4229" i="13" s="1"/>
  <c r="K4250" i="14"/>
  <c r="L4250" i="14" s="1"/>
  <c r="I4251" i="14" s="1"/>
  <c r="J4413" i="14" a="1"/>
  <c r="J4413" i="14" s="1"/>
  <c r="N4414" i="14"/>
  <c r="M4417" i="13"/>
  <c r="M4418" i="14"/>
  <c r="J4414" i="13" a="1"/>
  <c r="J4414" i="13" s="1"/>
  <c r="N4415" i="13"/>
  <c r="K4251" i="14" l="1"/>
  <c r="L4251" i="14" s="1"/>
  <c r="I4252" i="14" s="1"/>
  <c r="K4229" i="13"/>
  <c r="L4229" i="13" s="1"/>
  <c r="I4230" i="13" s="1"/>
  <c r="N4416" i="13"/>
  <c r="J4415" i="13" a="1"/>
  <c r="J4415" i="13" s="1"/>
  <c r="M4418" i="13"/>
  <c r="M4419" i="14"/>
  <c r="N4415" i="14"/>
  <c r="J4414" i="14" a="1"/>
  <c r="J4414" i="14" s="1"/>
  <c r="K4230" i="13" l="1"/>
  <c r="L4230" i="13" s="1"/>
  <c r="I4231" i="13" s="1"/>
  <c r="K4252" i="14"/>
  <c r="L4252" i="14" s="1"/>
  <c r="I4253" i="14" s="1"/>
  <c r="M4419" i="13"/>
  <c r="N4416" i="14"/>
  <c r="J4415" i="14" a="1"/>
  <c r="J4415" i="14" s="1"/>
  <c r="M4420" i="14"/>
  <c r="J4416" i="13" a="1"/>
  <c r="J4416" i="13" s="1"/>
  <c r="N4417" i="13"/>
  <c r="K4253" i="14" l="1"/>
  <c r="L4253" i="14" s="1"/>
  <c r="I4254" i="14" s="1"/>
  <c r="K4231" i="13"/>
  <c r="L4231" i="13" s="1"/>
  <c r="I4232" i="13" s="1"/>
  <c r="N4418" i="13"/>
  <c r="J4417" i="13" a="1"/>
  <c r="J4417" i="13" s="1"/>
  <c r="J4416" i="14" a="1"/>
  <c r="J4416" i="14" s="1"/>
  <c r="N4417" i="14"/>
  <c r="M4421" i="14"/>
  <c r="M4420" i="13"/>
  <c r="K4232" i="13" l="1"/>
  <c r="L4232" i="13" s="1"/>
  <c r="I4233" i="13" s="1"/>
  <c r="K4254" i="14"/>
  <c r="L4254" i="14" s="1"/>
  <c r="I4255" i="14" s="1"/>
  <c r="J4417" i="14" a="1"/>
  <c r="J4417" i="14" s="1"/>
  <c r="N4418" i="14"/>
  <c r="M4421" i="13"/>
  <c r="M4422" i="14"/>
  <c r="J4418" i="13" a="1"/>
  <c r="J4418" i="13" s="1"/>
  <c r="N4419" i="13"/>
  <c r="K4255" i="14" l="1"/>
  <c r="L4255" i="14" s="1"/>
  <c r="I4256" i="14" s="1"/>
  <c r="K4233" i="13"/>
  <c r="L4233" i="13" s="1"/>
  <c r="I4234" i="13" s="1"/>
  <c r="N4420" i="13"/>
  <c r="J4419" i="13" a="1"/>
  <c r="J4419" i="13" s="1"/>
  <c r="M4422" i="13"/>
  <c r="M4423" i="14"/>
  <c r="N4419" i="14"/>
  <c r="J4418" i="14" a="1"/>
  <c r="J4418" i="14" s="1"/>
  <c r="K4234" i="13" l="1"/>
  <c r="L4234" i="13" s="1"/>
  <c r="I4235" i="13" s="1"/>
  <c r="K4256" i="14"/>
  <c r="L4256" i="14" s="1"/>
  <c r="I4257" i="14" s="1"/>
  <c r="M4423" i="13"/>
  <c r="N4420" i="14"/>
  <c r="J4419" i="14" a="1"/>
  <c r="J4419" i="14" s="1"/>
  <c r="M4424" i="14"/>
  <c r="J4420" i="13" a="1"/>
  <c r="J4420" i="13" s="1"/>
  <c r="N4421" i="13"/>
  <c r="K4257" i="14" l="1"/>
  <c r="L4257" i="14" s="1"/>
  <c r="I4258" i="14" s="1"/>
  <c r="K4235" i="13"/>
  <c r="L4235" i="13" s="1"/>
  <c r="I4236" i="13" s="1"/>
  <c r="N4422" i="13"/>
  <c r="J4421" i="13" a="1"/>
  <c r="J4421" i="13" s="1"/>
  <c r="J4420" i="14" a="1"/>
  <c r="J4420" i="14" s="1"/>
  <c r="N4421" i="14"/>
  <c r="M4425" i="14"/>
  <c r="M4424" i="13"/>
  <c r="K4258" i="14" l="1"/>
  <c r="L4258" i="14" s="1"/>
  <c r="I4259" i="14" s="1"/>
  <c r="M4425" i="13"/>
  <c r="J4421" i="14" a="1"/>
  <c r="J4421" i="14" s="1"/>
  <c r="N4422" i="14"/>
  <c r="K4236" i="13"/>
  <c r="L4236" i="13" s="1"/>
  <c r="I4237" i="13" s="1"/>
  <c r="M4426" i="14"/>
  <c r="J4422" i="13" a="1"/>
  <c r="J4422" i="13" s="1"/>
  <c r="N4423" i="13"/>
  <c r="K4237" i="13" l="1"/>
  <c r="L4237" i="13" s="1"/>
  <c r="I4238" i="13" s="1"/>
  <c r="K4259" i="14"/>
  <c r="L4259" i="14" s="1"/>
  <c r="I4260" i="14" s="1"/>
  <c r="N4424" i="13"/>
  <c r="J4423" i="13" a="1"/>
  <c r="J4423" i="13" s="1"/>
  <c r="M4426" i="13"/>
  <c r="N4423" i="14"/>
  <c r="J4422" i="14" a="1"/>
  <c r="J4422" i="14" s="1"/>
  <c r="M4427" i="14"/>
  <c r="K4260" i="14" l="1"/>
  <c r="L4260" i="14" s="1"/>
  <c r="I4261" i="14" s="1"/>
  <c r="K4238" i="13"/>
  <c r="L4238" i="13" s="1"/>
  <c r="I4239" i="13" s="1"/>
  <c r="M4427" i="13"/>
  <c r="M4428" i="14"/>
  <c r="N4424" i="14"/>
  <c r="J4423" i="14" a="1"/>
  <c r="J4423" i="14" s="1"/>
  <c r="J4424" i="13" a="1"/>
  <c r="J4424" i="13" s="1"/>
  <c r="N4425" i="13"/>
  <c r="K4239" i="13" l="1"/>
  <c r="L4239" i="13" s="1"/>
  <c r="I4240" i="13" s="1"/>
  <c r="K4261" i="14"/>
  <c r="L4261" i="14" s="1"/>
  <c r="I4262" i="14" s="1"/>
  <c r="M4429" i="14"/>
  <c r="N4426" i="13"/>
  <c r="J4425" i="13" a="1"/>
  <c r="J4425" i="13" s="1"/>
  <c r="J4424" i="14" a="1"/>
  <c r="J4424" i="14" s="1"/>
  <c r="N4425" i="14"/>
  <c r="M4428" i="13"/>
  <c r="K4262" i="14" l="1"/>
  <c r="L4262" i="14" s="1"/>
  <c r="I4263" i="14" s="1"/>
  <c r="K4240" i="13"/>
  <c r="L4240" i="13" s="1"/>
  <c r="I4241" i="13" s="1"/>
  <c r="J4426" i="13" a="1"/>
  <c r="J4426" i="13" s="1"/>
  <c r="N4427" i="13"/>
  <c r="M4429" i="13"/>
  <c r="J4425" i="14" a="1"/>
  <c r="J4425" i="14" s="1"/>
  <c r="N4426" i="14"/>
  <c r="M4430" i="14"/>
  <c r="K4241" i="13" l="1"/>
  <c r="L4241" i="13" s="1"/>
  <c r="I4242" i="13" s="1"/>
  <c r="K4263" i="14"/>
  <c r="L4263" i="14" s="1"/>
  <c r="I4264" i="14" s="1"/>
  <c r="M4431" i="14"/>
  <c r="M4430" i="13"/>
  <c r="J4426" i="14" a="1"/>
  <c r="J4426" i="14" s="1"/>
  <c r="N4427" i="14"/>
  <c r="N4428" i="13"/>
  <c r="J4427" i="13" a="1"/>
  <c r="J4427" i="13" s="1"/>
  <c r="K4264" i="14" l="1"/>
  <c r="L4264" i="14" s="1"/>
  <c r="I4265" i="14" s="1"/>
  <c r="K4242" i="13"/>
  <c r="L4242" i="13" s="1"/>
  <c r="I4243" i="13" s="1"/>
  <c r="M4431" i="13"/>
  <c r="J4428" i="13" a="1"/>
  <c r="J4428" i="13" s="1"/>
  <c r="N4429" i="13"/>
  <c r="N4428" i="14"/>
  <c r="J4427" i="14" a="1"/>
  <c r="J4427" i="14" s="1"/>
  <c r="M4432" i="14"/>
  <c r="K4243" i="13" l="1"/>
  <c r="L4243" i="13" s="1"/>
  <c r="I4244" i="13" s="1"/>
  <c r="K4265" i="14"/>
  <c r="L4265" i="14" s="1"/>
  <c r="I4266" i="14" s="1"/>
  <c r="N4430" i="13"/>
  <c r="J4429" i="13" a="1"/>
  <c r="J4429" i="13" s="1"/>
  <c r="M4433" i="14"/>
  <c r="J4428" i="14" a="1"/>
  <c r="J4428" i="14" s="1"/>
  <c r="N4429" i="14"/>
  <c r="M4432" i="13"/>
  <c r="K4266" i="14" l="1"/>
  <c r="L4266" i="14" s="1"/>
  <c r="I4267" i="14" s="1"/>
  <c r="K4244" i="13"/>
  <c r="L4244" i="13" s="1"/>
  <c r="I4245" i="13" s="1"/>
  <c r="M4433" i="13"/>
  <c r="M4434" i="14"/>
  <c r="J4429" i="14" a="1"/>
  <c r="J4429" i="14" s="1"/>
  <c r="N4430" i="14"/>
  <c r="J4430" i="13" a="1"/>
  <c r="J4430" i="13" s="1"/>
  <c r="N4431" i="13"/>
  <c r="K4245" i="13" l="1"/>
  <c r="L4245" i="13" s="1"/>
  <c r="I4246" i="13" s="1"/>
  <c r="K4267" i="14"/>
  <c r="L4267" i="14" s="1"/>
  <c r="I4268" i="14" s="1"/>
  <c r="N4432" i="13"/>
  <c r="J4431" i="13" a="1"/>
  <c r="J4431" i="13" s="1"/>
  <c r="M4435" i="14"/>
  <c r="N4431" i="14"/>
  <c r="J4430" i="14" a="1"/>
  <c r="J4430" i="14" s="1"/>
  <c r="M4434" i="13"/>
  <c r="K4268" i="14" l="1"/>
  <c r="L4268" i="14" s="1"/>
  <c r="I4269" i="14" s="1"/>
  <c r="K4246" i="13"/>
  <c r="L4246" i="13" s="1"/>
  <c r="I4247" i="13" s="1"/>
  <c r="M4435" i="13"/>
  <c r="M4436" i="14"/>
  <c r="N4432" i="14"/>
  <c r="J4431" i="14" a="1"/>
  <c r="J4431" i="14" s="1"/>
  <c r="J4432" i="13" a="1"/>
  <c r="J4432" i="13" s="1"/>
  <c r="N4433" i="13"/>
  <c r="K4269" i="14" l="1"/>
  <c r="L4269" i="14" s="1"/>
  <c r="I4270" i="14" s="1"/>
  <c r="N4434" i="13"/>
  <c r="J4433" i="13" a="1"/>
  <c r="J4433" i="13" s="1"/>
  <c r="K4247" i="13"/>
  <c r="L4247" i="13" s="1"/>
  <c r="I4248" i="13" s="1"/>
  <c r="M4437" i="14"/>
  <c r="J4432" i="14" a="1"/>
  <c r="J4432" i="14" s="1"/>
  <c r="N4433" i="14"/>
  <c r="M4436" i="13"/>
  <c r="K4248" i="13" l="1"/>
  <c r="L4248" i="13" s="1"/>
  <c r="I4249" i="13" s="1"/>
  <c r="K4270" i="14"/>
  <c r="L4270" i="14" s="1"/>
  <c r="I4271" i="14" s="1"/>
  <c r="M4438" i="14"/>
  <c r="J4434" i="13" a="1"/>
  <c r="J4434" i="13" s="1"/>
  <c r="N4435" i="13"/>
  <c r="J4433" i="14" a="1"/>
  <c r="J4433" i="14" s="1"/>
  <c r="N4434" i="14"/>
  <c r="M4437" i="13"/>
  <c r="K4271" i="14" l="1"/>
  <c r="L4271" i="14" s="1"/>
  <c r="I4272" i="14" s="1"/>
  <c r="K4249" i="13"/>
  <c r="L4249" i="13" s="1"/>
  <c r="I4250" i="13" s="1"/>
  <c r="N4436" i="13"/>
  <c r="J4435" i="13" a="1"/>
  <c r="J4435" i="13" s="1"/>
  <c r="N4435" i="14"/>
  <c r="J4434" i="14" a="1"/>
  <c r="J4434" i="14" s="1"/>
  <c r="M4439" i="14"/>
  <c r="M4438" i="13"/>
  <c r="K4250" i="13" l="1"/>
  <c r="L4250" i="13" s="1"/>
  <c r="I4251" i="13" s="1"/>
  <c r="K4272" i="14"/>
  <c r="L4272" i="14" s="1"/>
  <c r="I4273" i="14" s="1"/>
  <c r="N4436" i="14"/>
  <c r="J4435" i="14" a="1"/>
  <c r="J4435" i="14" s="1"/>
  <c r="M4439" i="13"/>
  <c r="M4440" i="14"/>
  <c r="J4436" i="13" a="1"/>
  <c r="J4436" i="13" s="1"/>
  <c r="N4437" i="13"/>
  <c r="K4273" i="14" l="1"/>
  <c r="L4273" i="14" s="1"/>
  <c r="I4274" i="14" s="1"/>
  <c r="K4251" i="13"/>
  <c r="L4251" i="13" s="1"/>
  <c r="I4252" i="13" s="1"/>
  <c r="N4438" i="13"/>
  <c r="J4437" i="13" a="1"/>
  <c r="J4437" i="13" s="1"/>
  <c r="M4440" i="13"/>
  <c r="M4441" i="14"/>
  <c r="J4436" i="14" a="1"/>
  <c r="J4436" i="14" s="1"/>
  <c r="N4437" i="14"/>
  <c r="K4252" i="13" l="1"/>
  <c r="L4252" i="13" s="1"/>
  <c r="I4253" i="13" s="1"/>
  <c r="K4274" i="14"/>
  <c r="L4274" i="14" s="1"/>
  <c r="I4275" i="14" s="1"/>
  <c r="J4437" i="14" a="1"/>
  <c r="J4437" i="14" s="1"/>
  <c r="N4438" i="14"/>
  <c r="M4441" i="13"/>
  <c r="M4442" i="14"/>
  <c r="J4438" i="13" a="1"/>
  <c r="J4438" i="13" s="1"/>
  <c r="N4439" i="13"/>
  <c r="K4275" i="14" l="1"/>
  <c r="L4275" i="14" s="1"/>
  <c r="I4276" i="14" s="1"/>
  <c r="K4253" i="13"/>
  <c r="L4253" i="13" s="1"/>
  <c r="I4254" i="13" s="1"/>
  <c r="N4440" i="13"/>
  <c r="J4439" i="13" a="1"/>
  <c r="J4439" i="13" s="1"/>
  <c r="M4442" i="13"/>
  <c r="M4443" i="14"/>
  <c r="N4439" i="14"/>
  <c r="J4438" i="14" a="1"/>
  <c r="J4438" i="14" s="1"/>
  <c r="K4254" i="13" l="1"/>
  <c r="L4254" i="13" s="1"/>
  <c r="I4255" i="13" s="1"/>
  <c r="K4276" i="14"/>
  <c r="L4276" i="14" s="1"/>
  <c r="I4277" i="14" s="1"/>
  <c r="M4443" i="13"/>
  <c r="N4440" i="14"/>
  <c r="J4439" i="14" a="1"/>
  <c r="J4439" i="14" s="1"/>
  <c r="M4444" i="14"/>
  <c r="J4440" i="13" a="1"/>
  <c r="J4440" i="13" s="1"/>
  <c r="N4441" i="13"/>
  <c r="K4277" i="14" l="1"/>
  <c r="L4277" i="14" s="1"/>
  <c r="I4278" i="14" s="1"/>
  <c r="K4255" i="13"/>
  <c r="L4255" i="13" s="1"/>
  <c r="I4256" i="13" s="1"/>
  <c r="N4442" i="13"/>
  <c r="J4441" i="13" a="1"/>
  <c r="J4441" i="13" s="1"/>
  <c r="J4440" i="14" a="1"/>
  <c r="J4440" i="14" s="1"/>
  <c r="N4441" i="14"/>
  <c r="M4445" i="14"/>
  <c r="M4444" i="13"/>
  <c r="K4256" i="13" l="1"/>
  <c r="L4256" i="13" s="1"/>
  <c r="I4257" i="13" s="1"/>
  <c r="K4278" i="14"/>
  <c r="L4278" i="14" s="1"/>
  <c r="I4279" i="14" s="1"/>
  <c r="M4445" i="13"/>
  <c r="J4441" i="14" a="1"/>
  <c r="J4441" i="14" s="1"/>
  <c r="N4442" i="14"/>
  <c r="M4446" i="14"/>
  <c r="J4442" i="13" a="1"/>
  <c r="J4442" i="13" s="1"/>
  <c r="N4443" i="13"/>
  <c r="K4279" i="14" l="1"/>
  <c r="L4279" i="14" s="1"/>
  <c r="I4280" i="14" s="1"/>
  <c r="K4257" i="13"/>
  <c r="L4257" i="13" s="1"/>
  <c r="I4258" i="13" s="1"/>
  <c r="N4444" i="13"/>
  <c r="J4443" i="13" a="1"/>
  <c r="J4443" i="13" s="1"/>
  <c r="J4442" i="14" a="1"/>
  <c r="J4442" i="14" s="1"/>
  <c r="N4443" i="14"/>
  <c r="M4447" i="14"/>
  <c r="M4446" i="13"/>
  <c r="K4258" i="13" l="1"/>
  <c r="L4258" i="13" s="1"/>
  <c r="I4259" i="13" s="1"/>
  <c r="K4280" i="14"/>
  <c r="L4280" i="14" s="1"/>
  <c r="I4281" i="14" s="1"/>
  <c r="M4447" i="13"/>
  <c r="N4444" i="14"/>
  <c r="J4443" i="14" a="1"/>
  <c r="J4443" i="14" s="1"/>
  <c r="M4448" i="14"/>
  <c r="J4444" i="13" a="1"/>
  <c r="J4444" i="13" s="1"/>
  <c r="N4445" i="13"/>
  <c r="K4281" i="14" l="1"/>
  <c r="L4281" i="14" s="1"/>
  <c r="I4282" i="14" s="1"/>
  <c r="K4259" i="13"/>
  <c r="L4259" i="13" s="1"/>
  <c r="I4260" i="13" s="1"/>
  <c r="N4446" i="13"/>
  <c r="J4445" i="13" a="1"/>
  <c r="J4445" i="13" s="1"/>
  <c r="J4444" i="14" a="1"/>
  <c r="J4444" i="14" s="1"/>
  <c r="N4445" i="14"/>
  <c r="M4449" i="14"/>
  <c r="M4448" i="13"/>
  <c r="K4260" i="13" l="1"/>
  <c r="L4260" i="13" s="1"/>
  <c r="I4261" i="13" s="1"/>
  <c r="K4282" i="14"/>
  <c r="L4282" i="14" s="1"/>
  <c r="I4283" i="14" s="1"/>
  <c r="J4445" i="14" a="1"/>
  <c r="J4445" i="14" s="1"/>
  <c r="N4446" i="14"/>
  <c r="M4449" i="13"/>
  <c r="M4450" i="14"/>
  <c r="J4446" i="13" a="1"/>
  <c r="J4446" i="13" s="1"/>
  <c r="N4447" i="13"/>
  <c r="K4283" i="14" l="1"/>
  <c r="L4283" i="14" s="1"/>
  <c r="I4284" i="14" s="1"/>
  <c r="K4261" i="13"/>
  <c r="L4261" i="13" s="1"/>
  <c r="I4262" i="13" s="1"/>
  <c r="N4448" i="13"/>
  <c r="J4447" i="13" a="1"/>
  <c r="J4447" i="13" s="1"/>
  <c r="M4450" i="13"/>
  <c r="N4447" i="14"/>
  <c r="J4446" i="14" a="1"/>
  <c r="J4446" i="14" s="1"/>
  <c r="M4451" i="14"/>
  <c r="K4262" i="13" l="1"/>
  <c r="L4262" i="13" s="1"/>
  <c r="I4263" i="13" s="1"/>
  <c r="K4284" i="14"/>
  <c r="L4284" i="14" s="1"/>
  <c r="I4285" i="14" s="1"/>
  <c r="M4451" i="13"/>
  <c r="N4448" i="14"/>
  <c r="J4447" i="14" a="1"/>
  <c r="J4447" i="14" s="1"/>
  <c r="M4452" i="14"/>
  <c r="J4448" i="13" a="1"/>
  <c r="J4448" i="13" s="1"/>
  <c r="N4449" i="13"/>
  <c r="K4285" i="14" l="1"/>
  <c r="L4285" i="14" s="1"/>
  <c r="I4286" i="14" s="1"/>
  <c r="K4263" i="13"/>
  <c r="L4263" i="13" s="1"/>
  <c r="I4264" i="13" s="1"/>
  <c r="J4448" i="14" a="1"/>
  <c r="J4448" i="14" s="1"/>
  <c r="N4449" i="14"/>
  <c r="N4450" i="13"/>
  <c r="J4449" i="13" a="1"/>
  <c r="J4449" i="13" s="1"/>
  <c r="M4453" i="14"/>
  <c r="M4452" i="13"/>
  <c r="K4264" i="13" l="1"/>
  <c r="L4264" i="13" s="1"/>
  <c r="I4265" i="13" s="1"/>
  <c r="K4286" i="14"/>
  <c r="L4286" i="14" s="1"/>
  <c r="I4287" i="14" s="1"/>
  <c r="J4450" i="13" a="1"/>
  <c r="J4450" i="13" s="1"/>
  <c r="N4451" i="13"/>
  <c r="J4449" i="14" a="1"/>
  <c r="J4449" i="14" s="1"/>
  <c r="N4450" i="14"/>
  <c r="M4453" i="13"/>
  <c r="M4454" i="14"/>
  <c r="K4287" i="14" l="1"/>
  <c r="L4287" i="14" s="1"/>
  <c r="I4288" i="14" s="1"/>
  <c r="K4265" i="13"/>
  <c r="L4265" i="13" s="1"/>
  <c r="I4266" i="13" s="1"/>
  <c r="N4451" i="14"/>
  <c r="J4450" i="14" a="1"/>
  <c r="J4450" i="14" s="1"/>
  <c r="M4455" i="14"/>
  <c r="N4452" i="13"/>
  <c r="J4451" i="13" a="1"/>
  <c r="J4451" i="13" s="1"/>
  <c r="M4454" i="13"/>
  <c r="K4266" i="13" l="1"/>
  <c r="L4266" i="13" s="1"/>
  <c r="I4267" i="13" s="1"/>
  <c r="J4452" i="13" a="1"/>
  <c r="J4452" i="13" s="1"/>
  <c r="N4453" i="13"/>
  <c r="M4455" i="13"/>
  <c r="M4456" i="14"/>
  <c r="N4452" i="14"/>
  <c r="J4451" i="14" a="1"/>
  <c r="J4451" i="14" s="1"/>
  <c r="K4288" i="14"/>
  <c r="L4288" i="14" s="1"/>
  <c r="I4289" i="14" s="1"/>
  <c r="K4289" i="14" l="1"/>
  <c r="L4289" i="14" s="1"/>
  <c r="I4290" i="14" s="1"/>
  <c r="K4267" i="13"/>
  <c r="L4267" i="13" s="1"/>
  <c r="I4268" i="13" s="1"/>
  <c r="N4454" i="13"/>
  <c r="J4453" i="13" a="1"/>
  <c r="J4453" i="13" s="1"/>
  <c r="M4457" i="14"/>
  <c r="J4452" i="14" a="1"/>
  <c r="J4452" i="14" s="1"/>
  <c r="N4453" i="14"/>
  <c r="M4456" i="13"/>
  <c r="K4268" i="13" l="1"/>
  <c r="L4268" i="13" s="1"/>
  <c r="I4269" i="13" s="1"/>
  <c r="K4290" i="14"/>
  <c r="L4290" i="14" s="1"/>
  <c r="I4291" i="14" s="1"/>
  <c r="J4453" i="14" a="1"/>
  <c r="J4453" i="14" s="1"/>
  <c r="N4454" i="14"/>
  <c r="M4457" i="13"/>
  <c r="M4458" i="14"/>
  <c r="J4454" i="13" a="1"/>
  <c r="J4454" i="13" s="1"/>
  <c r="N4455" i="13"/>
  <c r="K4291" i="14" l="1"/>
  <c r="L4291" i="14" s="1"/>
  <c r="I4292" i="14" s="1"/>
  <c r="K4269" i="13"/>
  <c r="L4269" i="13" s="1"/>
  <c r="I4270" i="13" s="1"/>
  <c r="N4456" i="13"/>
  <c r="J4455" i="13" a="1"/>
  <c r="J4455" i="13" s="1"/>
  <c r="M4458" i="13"/>
  <c r="N4455" i="14"/>
  <c r="J4454" i="14" a="1"/>
  <c r="J4454" i="14" s="1"/>
  <c r="M4459" i="14"/>
  <c r="K4270" i="13" l="1"/>
  <c r="L4270" i="13" s="1"/>
  <c r="I4271" i="13" s="1"/>
  <c r="K4292" i="14"/>
  <c r="L4292" i="14" s="1"/>
  <c r="I4293" i="14" s="1"/>
  <c r="M4459" i="13"/>
  <c r="N4456" i="14"/>
  <c r="J4455" i="14" a="1"/>
  <c r="J4455" i="14" s="1"/>
  <c r="M4460" i="14"/>
  <c r="J4456" i="13" a="1"/>
  <c r="J4456" i="13" s="1"/>
  <c r="N4457" i="13"/>
  <c r="K4293" i="14" l="1"/>
  <c r="L4293" i="14" s="1"/>
  <c r="I4294" i="14" s="1"/>
  <c r="K4271" i="13"/>
  <c r="L4271" i="13" s="1"/>
  <c r="I4272" i="13" s="1"/>
  <c r="J4456" i="14" a="1"/>
  <c r="J4456" i="14" s="1"/>
  <c r="N4457" i="14"/>
  <c r="N4458" i="13"/>
  <c r="J4457" i="13" a="1"/>
  <c r="J4457" i="13" s="1"/>
  <c r="M4461" i="14"/>
  <c r="M4460" i="13"/>
  <c r="K4272" i="13" l="1"/>
  <c r="L4272" i="13" s="1"/>
  <c r="I4273" i="13" s="1"/>
  <c r="K4294" i="14"/>
  <c r="L4294" i="14" s="1"/>
  <c r="I4295" i="14" s="1"/>
  <c r="J4458" i="13" a="1"/>
  <c r="J4458" i="13" s="1"/>
  <c r="N4459" i="13"/>
  <c r="M4461" i="13"/>
  <c r="J4457" i="14" a="1"/>
  <c r="J4457" i="14" s="1"/>
  <c r="N4458" i="14"/>
  <c r="M4462" i="14"/>
  <c r="K4295" i="14" l="1"/>
  <c r="L4295" i="14" s="1"/>
  <c r="I4296" i="14" s="1"/>
  <c r="K4273" i="13"/>
  <c r="L4273" i="13" s="1"/>
  <c r="I4274" i="13" s="1"/>
  <c r="J4458" i="14" a="1"/>
  <c r="J4458" i="14" s="1"/>
  <c r="N4459" i="14"/>
  <c r="M4463" i="14"/>
  <c r="M4462" i="13"/>
  <c r="N4460" i="13"/>
  <c r="J4459" i="13" a="1"/>
  <c r="J4459" i="13" s="1"/>
  <c r="K4274" i="13" l="1"/>
  <c r="L4274" i="13" s="1"/>
  <c r="I4275" i="13" s="1"/>
  <c r="K4296" i="14"/>
  <c r="L4296" i="14" s="1"/>
  <c r="I4297" i="14" s="1"/>
  <c r="J4460" i="13" a="1"/>
  <c r="J4460" i="13" s="1"/>
  <c r="N4461" i="13"/>
  <c r="M4464" i="14"/>
  <c r="M4463" i="13"/>
  <c r="N4460" i="14"/>
  <c r="J4459" i="14" a="1"/>
  <c r="J4459" i="14" s="1"/>
  <c r="K4297" i="14" l="1"/>
  <c r="L4297" i="14" s="1"/>
  <c r="I4298" i="14" s="1"/>
  <c r="K4275" i="13"/>
  <c r="L4275" i="13" s="1"/>
  <c r="I4276" i="13" s="1"/>
  <c r="J4460" i="14" a="1"/>
  <c r="J4460" i="14" s="1"/>
  <c r="N4461" i="14"/>
  <c r="M4465" i="14"/>
  <c r="N4462" i="13"/>
  <c r="J4461" i="13" a="1"/>
  <c r="J4461" i="13" s="1"/>
  <c r="M4464" i="13"/>
  <c r="K4276" i="13" l="1"/>
  <c r="L4276" i="13" s="1"/>
  <c r="I4277" i="13" s="1"/>
  <c r="K4298" i="14"/>
  <c r="L4298" i="14" s="1"/>
  <c r="I4299" i="14" s="1"/>
  <c r="M4465" i="13"/>
  <c r="M4466" i="14"/>
  <c r="J4461" i="14" a="1"/>
  <c r="J4461" i="14" s="1"/>
  <c r="N4462" i="14"/>
  <c r="J4462" i="13" a="1"/>
  <c r="J4462" i="13" s="1"/>
  <c r="N4463" i="13"/>
  <c r="K4277" i="13" l="1"/>
  <c r="L4277" i="13" s="1"/>
  <c r="I4278" i="13" s="1"/>
  <c r="N4464" i="13"/>
  <c r="J4463" i="13" a="1"/>
  <c r="J4463" i="13" s="1"/>
  <c r="M4467" i="14"/>
  <c r="K4299" i="14"/>
  <c r="L4299" i="14" s="1"/>
  <c r="I4300" i="14" s="1"/>
  <c r="N4463" i="14"/>
  <c r="J4462" i="14" a="1"/>
  <c r="J4462" i="14" s="1"/>
  <c r="M4466" i="13"/>
  <c r="K4300" i="14" l="1"/>
  <c r="L4300" i="14" s="1"/>
  <c r="I4301" i="14" s="1"/>
  <c r="K4278" i="13"/>
  <c r="L4278" i="13" s="1"/>
  <c r="I4279" i="13" s="1"/>
  <c r="J4464" i="13" a="1"/>
  <c r="J4464" i="13" s="1"/>
  <c r="N4465" i="13"/>
  <c r="M4467" i="13"/>
  <c r="N4464" i="14"/>
  <c r="J4463" i="14" a="1"/>
  <c r="J4463" i="14" s="1"/>
  <c r="M4468" i="14"/>
  <c r="K4279" i="13" l="1"/>
  <c r="L4279" i="13" s="1"/>
  <c r="I4280" i="13" s="1"/>
  <c r="K4301" i="14"/>
  <c r="L4301" i="14" s="1"/>
  <c r="I4302" i="14" s="1"/>
  <c r="J4464" i="14" a="1"/>
  <c r="J4464" i="14" s="1"/>
  <c r="N4465" i="14"/>
  <c r="M4469" i="14"/>
  <c r="M4468" i="13"/>
  <c r="N4466" i="13"/>
  <c r="J4465" i="13" a="1"/>
  <c r="J4465" i="13" s="1"/>
  <c r="K4302" i="14" l="1"/>
  <c r="L4302" i="14" s="1"/>
  <c r="I4303" i="14" s="1"/>
  <c r="K4280" i="13"/>
  <c r="L4280" i="13" s="1"/>
  <c r="I4281" i="13" s="1"/>
  <c r="M4470" i="14"/>
  <c r="J4466" i="13" a="1"/>
  <c r="J4466" i="13" s="1"/>
  <c r="N4467" i="13"/>
  <c r="J4465" i="14" a="1"/>
  <c r="J4465" i="14" s="1"/>
  <c r="N4466" i="14"/>
  <c r="M4469" i="13"/>
  <c r="K4281" i="13" l="1"/>
  <c r="L4281" i="13" s="1"/>
  <c r="I4282" i="13" s="1"/>
  <c r="K4303" i="14"/>
  <c r="L4303" i="14" s="1"/>
  <c r="I4304" i="14" s="1"/>
  <c r="N4468" i="13"/>
  <c r="J4467" i="13" a="1"/>
  <c r="J4467" i="13" s="1"/>
  <c r="N4467" i="14"/>
  <c r="J4466" i="14" a="1"/>
  <c r="J4466" i="14" s="1"/>
  <c r="M4471" i="14"/>
  <c r="M4470" i="13"/>
  <c r="K4304" i="14" l="1"/>
  <c r="L4304" i="14" s="1"/>
  <c r="I4305" i="14" s="1"/>
  <c r="K4282" i="13"/>
  <c r="L4282" i="13" s="1"/>
  <c r="I4283" i="13" s="1"/>
  <c r="N4468" i="14"/>
  <c r="J4467" i="14" a="1"/>
  <c r="J4467" i="14" s="1"/>
  <c r="M4471" i="13"/>
  <c r="M4472" i="14"/>
  <c r="J4468" i="13" a="1"/>
  <c r="J4468" i="13" s="1"/>
  <c r="N4469" i="13"/>
  <c r="K4283" i="13" l="1"/>
  <c r="L4283" i="13" s="1"/>
  <c r="I4284" i="13" s="1"/>
  <c r="K4305" i="14"/>
  <c r="L4305" i="14" s="1"/>
  <c r="I4306" i="14" s="1"/>
  <c r="N4470" i="13"/>
  <c r="J4469" i="13" a="1"/>
  <c r="J4469" i="13" s="1"/>
  <c r="M4472" i="13"/>
  <c r="M4473" i="14"/>
  <c r="J4468" i="14" a="1"/>
  <c r="J4468" i="14" s="1"/>
  <c r="N4469" i="14"/>
  <c r="K4306" i="14" l="1"/>
  <c r="L4306" i="14" s="1"/>
  <c r="I4307" i="14" s="1"/>
  <c r="K4284" i="13"/>
  <c r="L4284" i="13" s="1"/>
  <c r="I4285" i="13" s="1"/>
  <c r="J4469" i="14" a="1"/>
  <c r="J4469" i="14" s="1"/>
  <c r="N4470" i="14"/>
  <c r="M4473" i="13"/>
  <c r="M4474" i="14"/>
  <c r="J4470" i="13" a="1"/>
  <c r="J4470" i="13" s="1"/>
  <c r="N4471" i="13"/>
  <c r="K4285" i="13" l="1"/>
  <c r="L4285" i="13" s="1"/>
  <c r="I4286" i="13" s="1"/>
  <c r="K4307" i="14"/>
  <c r="L4307" i="14" s="1"/>
  <c r="I4308" i="14" s="1"/>
  <c r="N4472" i="13"/>
  <c r="J4471" i="13" a="1"/>
  <c r="J4471" i="13" s="1"/>
  <c r="M4474" i="13"/>
  <c r="N4471" i="14"/>
  <c r="J4470" i="14" a="1"/>
  <c r="J4470" i="14" s="1"/>
  <c r="M4475" i="14"/>
  <c r="K4308" i="14" l="1"/>
  <c r="L4308" i="14" s="1"/>
  <c r="I4309" i="14" s="1"/>
  <c r="K4286" i="13"/>
  <c r="L4286" i="13" s="1"/>
  <c r="I4287" i="13" s="1"/>
  <c r="M4475" i="13"/>
  <c r="M4476" i="14"/>
  <c r="N4472" i="14"/>
  <c r="J4471" i="14" a="1"/>
  <c r="J4471" i="14" s="1"/>
  <c r="J4472" i="13" a="1"/>
  <c r="J4472" i="13" s="1"/>
  <c r="N4473" i="13"/>
  <c r="K4287" i="13" l="1"/>
  <c r="L4287" i="13" s="1"/>
  <c r="I4288" i="13" s="1"/>
  <c r="K4309" i="14"/>
  <c r="L4309" i="14" s="1"/>
  <c r="I4310" i="14" s="1"/>
  <c r="N4474" i="13"/>
  <c r="J4473" i="13" a="1"/>
  <c r="J4473" i="13" s="1"/>
  <c r="M4477" i="14"/>
  <c r="J4472" i="14" a="1"/>
  <c r="J4472" i="14" s="1"/>
  <c r="N4473" i="14"/>
  <c r="M4476" i="13"/>
  <c r="K4310" i="14" l="1"/>
  <c r="L4310" i="14" s="1"/>
  <c r="I4311" i="14" s="1"/>
  <c r="K4288" i="13"/>
  <c r="L4288" i="13" s="1"/>
  <c r="I4289" i="13" s="1"/>
  <c r="M4477" i="13"/>
  <c r="M4478" i="14"/>
  <c r="J4473" i="14" a="1"/>
  <c r="J4473" i="14" s="1"/>
  <c r="N4474" i="14"/>
  <c r="J4474" i="13" a="1"/>
  <c r="J4474" i="13" s="1"/>
  <c r="N4475" i="13"/>
  <c r="K4289" i="13" l="1"/>
  <c r="L4289" i="13" s="1"/>
  <c r="I4290" i="13" s="1"/>
  <c r="K4311" i="14"/>
  <c r="L4311" i="14" s="1"/>
  <c r="I4312" i="14" s="1"/>
  <c r="N4476" i="13"/>
  <c r="J4475" i="13" a="1"/>
  <c r="J4475" i="13" s="1"/>
  <c r="M4479" i="14"/>
  <c r="J4474" i="14" a="1"/>
  <c r="J4474" i="14" s="1"/>
  <c r="N4475" i="14"/>
  <c r="M4478" i="13"/>
  <c r="K4312" i="14" l="1"/>
  <c r="L4312" i="14" s="1"/>
  <c r="I4313" i="14" s="1"/>
  <c r="K4290" i="13"/>
  <c r="L4290" i="13" s="1"/>
  <c r="I4291" i="13" s="1"/>
  <c r="N4476" i="14"/>
  <c r="J4475" i="14" a="1"/>
  <c r="J4475" i="14" s="1"/>
  <c r="M4479" i="13"/>
  <c r="M4480" i="14"/>
  <c r="J4476" i="13" a="1"/>
  <c r="J4476" i="13" s="1"/>
  <c r="N4477" i="13"/>
  <c r="K4291" i="13" l="1"/>
  <c r="L4291" i="13" s="1"/>
  <c r="I4292" i="13" s="1"/>
  <c r="K4313" i="14"/>
  <c r="L4313" i="14" s="1"/>
  <c r="I4314" i="14" s="1"/>
  <c r="N4478" i="13"/>
  <c r="J4477" i="13" a="1"/>
  <c r="J4477" i="13" s="1"/>
  <c r="M4480" i="13"/>
  <c r="M4481" i="14"/>
  <c r="J4476" i="14" a="1"/>
  <c r="J4476" i="14" s="1"/>
  <c r="N4477" i="14"/>
  <c r="K4314" i="14" l="1"/>
  <c r="L4314" i="14" s="1"/>
  <c r="I4315" i="14" s="1"/>
  <c r="K4292" i="13"/>
  <c r="L4292" i="13" s="1"/>
  <c r="I4293" i="13" s="1"/>
  <c r="J4477" i="14" a="1"/>
  <c r="J4477" i="14" s="1"/>
  <c r="N4478" i="14"/>
  <c r="M4481" i="13"/>
  <c r="M4482" i="14"/>
  <c r="J4478" i="13" a="1"/>
  <c r="J4478" i="13" s="1"/>
  <c r="N4479" i="13"/>
  <c r="K4293" i="13" l="1"/>
  <c r="L4293" i="13" s="1"/>
  <c r="I4294" i="13" s="1"/>
  <c r="K4315" i="14"/>
  <c r="L4315" i="14" s="1"/>
  <c r="I4316" i="14" s="1"/>
  <c r="N4480" i="13"/>
  <c r="J4479" i="13" a="1"/>
  <c r="J4479" i="13" s="1"/>
  <c r="M4482" i="13"/>
  <c r="N4479" i="14"/>
  <c r="J4478" i="14" a="1"/>
  <c r="J4478" i="14" s="1"/>
  <c r="M4483" i="14"/>
  <c r="K4316" i="14" l="1"/>
  <c r="L4316" i="14" s="1"/>
  <c r="I4317" i="14" s="1"/>
  <c r="K4294" i="13"/>
  <c r="L4294" i="13" s="1"/>
  <c r="I4295" i="13" s="1"/>
  <c r="M4483" i="13"/>
  <c r="M4484" i="14"/>
  <c r="N4480" i="14"/>
  <c r="J4479" i="14" a="1"/>
  <c r="J4479" i="14" s="1"/>
  <c r="J4480" i="13" a="1"/>
  <c r="J4480" i="13" s="1"/>
  <c r="N4481" i="13"/>
  <c r="K4295" i="13" l="1"/>
  <c r="L4295" i="13" s="1"/>
  <c r="I4296" i="13" s="1"/>
  <c r="K4317" i="14"/>
  <c r="L4317" i="14" s="1"/>
  <c r="I4318" i="14" s="1"/>
  <c r="N4482" i="13"/>
  <c r="J4481" i="13" a="1"/>
  <c r="J4481" i="13" s="1"/>
  <c r="M4485" i="14"/>
  <c r="J4480" i="14" a="1"/>
  <c r="J4480" i="14" s="1"/>
  <c r="N4481" i="14"/>
  <c r="M4484" i="13"/>
  <c r="K4318" i="14" l="1"/>
  <c r="L4318" i="14" s="1"/>
  <c r="I4319" i="14" s="1"/>
  <c r="K4296" i="13"/>
  <c r="L4296" i="13" s="1"/>
  <c r="I4297" i="13" s="1"/>
  <c r="J4481" i="14" a="1"/>
  <c r="J4481" i="14" s="1"/>
  <c r="N4482" i="14"/>
  <c r="M4485" i="13"/>
  <c r="M4486" i="14"/>
  <c r="J4482" i="13" a="1"/>
  <c r="J4482" i="13" s="1"/>
  <c r="N4483" i="13"/>
  <c r="K4297" i="13" l="1"/>
  <c r="L4297" i="13" s="1"/>
  <c r="I4298" i="13" s="1"/>
  <c r="K4319" i="14"/>
  <c r="L4319" i="14" s="1"/>
  <c r="I4320" i="14" s="1"/>
  <c r="N4484" i="13"/>
  <c r="J4483" i="13" a="1"/>
  <c r="J4483" i="13" s="1"/>
  <c r="M4486" i="13"/>
  <c r="N4483" i="14"/>
  <c r="J4482" i="14" a="1"/>
  <c r="J4482" i="14" s="1"/>
  <c r="M4487" i="14"/>
  <c r="K4320" i="14" l="1"/>
  <c r="L4320" i="14" s="1"/>
  <c r="I4321" i="14" s="1"/>
  <c r="K4298" i="13"/>
  <c r="L4298" i="13" s="1"/>
  <c r="I4299" i="13" s="1"/>
  <c r="M4487" i="13"/>
  <c r="M4488" i="14"/>
  <c r="N4484" i="14"/>
  <c r="J4483" i="14" a="1"/>
  <c r="J4483" i="14" s="1"/>
  <c r="J4484" i="13" a="1"/>
  <c r="J4484" i="13" s="1"/>
  <c r="N4485" i="13"/>
  <c r="K4299" i="13" l="1"/>
  <c r="L4299" i="13" s="1"/>
  <c r="I4300" i="13" s="1"/>
  <c r="K4321" i="14"/>
  <c r="L4321" i="14" s="1"/>
  <c r="I4322" i="14" s="1"/>
  <c r="N4486" i="13"/>
  <c r="J4485" i="13" a="1"/>
  <c r="J4485" i="13" s="1"/>
  <c r="M4489" i="14"/>
  <c r="J4484" i="14" a="1"/>
  <c r="J4484" i="14" s="1"/>
  <c r="N4485" i="14"/>
  <c r="M4488" i="13"/>
  <c r="K4322" i="14" l="1"/>
  <c r="L4322" i="14" s="1"/>
  <c r="I4323" i="14" s="1"/>
  <c r="K4300" i="13"/>
  <c r="L4300" i="13" s="1"/>
  <c r="I4301" i="13" s="1"/>
  <c r="M4489" i="13"/>
  <c r="J4485" i="14" a="1"/>
  <c r="J4485" i="14" s="1"/>
  <c r="N4486" i="14"/>
  <c r="M4490" i="14"/>
  <c r="J4486" i="13" a="1"/>
  <c r="J4486" i="13" s="1"/>
  <c r="N4487" i="13"/>
  <c r="K4301" i="13" l="1"/>
  <c r="L4301" i="13" s="1"/>
  <c r="I4302" i="13" s="1"/>
  <c r="K4323" i="14"/>
  <c r="L4323" i="14" s="1"/>
  <c r="I4324" i="14" s="1"/>
  <c r="N4487" i="14"/>
  <c r="J4486" i="14" a="1"/>
  <c r="J4486" i="14" s="1"/>
  <c r="N4488" i="13"/>
  <c r="J4487" i="13" a="1"/>
  <c r="J4487" i="13" s="1"/>
  <c r="M4491" i="14"/>
  <c r="M4490" i="13"/>
  <c r="K4324" i="14" l="1"/>
  <c r="L4324" i="14" s="1"/>
  <c r="I4325" i="14" s="1"/>
  <c r="K4302" i="13"/>
  <c r="L4302" i="13" s="1"/>
  <c r="I4303" i="13" s="1"/>
  <c r="J4488" i="13" a="1"/>
  <c r="J4488" i="13" s="1"/>
  <c r="N4489" i="13"/>
  <c r="M4491" i="13"/>
  <c r="M4492" i="14"/>
  <c r="N4488" i="14"/>
  <c r="J4487" i="14" a="1"/>
  <c r="J4487" i="14" s="1"/>
  <c r="K4303" i="13" l="1"/>
  <c r="L4303" i="13" s="1"/>
  <c r="I4304" i="13" s="1"/>
  <c r="K4325" i="14"/>
  <c r="L4325" i="14" s="1"/>
  <c r="I4326" i="14" s="1"/>
  <c r="J4488" i="14" a="1"/>
  <c r="J4488" i="14" s="1"/>
  <c r="N4489" i="14"/>
  <c r="M4492" i="13"/>
  <c r="N4490" i="13"/>
  <c r="J4489" i="13" a="1"/>
  <c r="J4489" i="13" s="1"/>
  <c r="M4493" i="14"/>
  <c r="K4326" i="14" l="1"/>
  <c r="L4326" i="14" s="1"/>
  <c r="I4327" i="14" s="1"/>
  <c r="K4304" i="13"/>
  <c r="L4304" i="13" s="1"/>
  <c r="I4305" i="13" s="1"/>
  <c r="M4494" i="14"/>
  <c r="M4493" i="13"/>
  <c r="J4490" i="13" a="1"/>
  <c r="J4490" i="13" s="1"/>
  <c r="N4491" i="13"/>
  <c r="J4489" i="14" a="1"/>
  <c r="J4489" i="14" s="1"/>
  <c r="N4490" i="14"/>
  <c r="K4305" i="13" l="1"/>
  <c r="L4305" i="13" s="1"/>
  <c r="I4306" i="13" s="1"/>
  <c r="K4327" i="14"/>
  <c r="L4327" i="14" s="1"/>
  <c r="I4328" i="14" s="1"/>
  <c r="J4490" i="14" a="1"/>
  <c r="J4490" i="14" s="1"/>
  <c r="N4491" i="14"/>
  <c r="M4494" i="13"/>
  <c r="N4492" i="13"/>
  <c r="J4491" i="13" a="1"/>
  <c r="J4491" i="13" s="1"/>
  <c r="M4495" i="14"/>
  <c r="K4328" i="14" l="1"/>
  <c r="L4328" i="14" s="1"/>
  <c r="I4329" i="14" s="1"/>
  <c r="K4306" i="13"/>
  <c r="L4306" i="13" s="1"/>
  <c r="I4307" i="13" s="1"/>
  <c r="M4495" i="13"/>
  <c r="J4492" i="13" a="1"/>
  <c r="J4492" i="13" s="1"/>
  <c r="N4493" i="13"/>
  <c r="M4496" i="14"/>
  <c r="N4492" i="14"/>
  <c r="J4491" i="14" a="1"/>
  <c r="J4491" i="14" s="1"/>
  <c r="K4307" i="13" l="1"/>
  <c r="L4307" i="13" s="1"/>
  <c r="I4308" i="13" s="1"/>
  <c r="K4329" i="14"/>
  <c r="L4329" i="14" s="1"/>
  <c r="I4330" i="14" s="1"/>
  <c r="N4494" i="13"/>
  <c r="J4493" i="13" a="1"/>
  <c r="J4493" i="13" s="1"/>
  <c r="J4492" i="14" a="1"/>
  <c r="J4492" i="14" s="1"/>
  <c r="N4493" i="14"/>
  <c r="M4497" i="14"/>
  <c r="M4496" i="13"/>
  <c r="K4308" i="13" l="1"/>
  <c r="L4308" i="13" s="1"/>
  <c r="I4309" i="13" s="1"/>
  <c r="M4497" i="13"/>
  <c r="J4493" i="14" a="1"/>
  <c r="J4493" i="14" s="1"/>
  <c r="N4494" i="14"/>
  <c r="K4330" i="14"/>
  <c r="L4330" i="14" s="1"/>
  <c r="I4331" i="14" s="1"/>
  <c r="M4498" i="14"/>
  <c r="J4494" i="13" a="1"/>
  <c r="J4494" i="13" s="1"/>
  <c r="N4495" i="13"/>
  <c r="K4331" i="14" l="1"/>
  <c r="L4331" i="14" s="1"/>
  <c r="I4332" i="14" s="1"/>
  <c r="K4309" i="13"/>
  <c r="L4309" i="13" s="1"/>
  <c r="I4310" i="13" s="1"/>
  <c r="N4496" i="13"/>
  <c r="J4495" i="13" a="1"/>
  <c r="J4495" i="13" s="1"/>
  <c r="M4498" i="13"/>
  <c r="M4499" i="14"/>
  <c r="N4495" i="14"/>
  <c r="J4494" i="14" a="1"/>
  <c r="J4494" i="14" s="1"/>
  <c r="K4310" i="13" l="1"/>
  <c r="L4310" i="13" s="1"/>
  <c r="I4311" i="13" s="1"/>
  <c r="K4332" i="14"/>
  <c r="L4332" i="14" s="1"/>
  <c r="I4333" i="14" s="1"/>
  <c r="M4499" i="13"/>
  <c r="N4496" i="14"/>
  <c r="J4495" i="14" a="1"/>
  <c r="J4495" i="14" s="1"/>
  <c r="M4500" i="14"/>
  <c r="J4496" i="13" a="1"/>
  <c r="J4496" i="13" s="1"/>
  <c r="N4497" i="13"/>
  <c r="K4333" i="14" l="1"/>
  <c r="L4333" i="14" s="1"/>
  <c r="I4334" i="14" s="1"/>
  <c r="K4311" i="13"/>
  <c r="L4311" i="13" s="1"/>
  <c r="I4312" i="13" s="1"/>
  <c r="J4496" i="14" a="1"/>
  <c r="J4496" i="14" s="1"/>
  <c r="N4497" i="14"/>
  <c r="N4498" i="13"/>
  <c r="J4497" i="13" a="1"/>
  <c r="J4497" i="13" s="1"/>
  <c r="M4501" i="14"/>
  <c r="M4500" i="13"/>
  <c r="K4312" i="13" l="1"/>
  <c r="L4312" i="13" s="1"/>
  <c r="I4313" i="13" s="1"/>
  <c r="K4334" i="14"/>
  <c r="L4334" i="14" s="1"/>
  <c r="I4335" i="14" s="1"/>
  <c r="J4498" i="13" a="1"/>
  <c r="J4498" i="13" s="1"/>
  <c r="N4499" i="13"/>
  <c r="M4501" i="13"/>
  <c r="J4497" i="14" a="1"/>
  <c r="J4497" i="14" s="1"/>
  <c r="N4498" i="14"/>
  <c r="M4502" i="14"/>
  <c r="K4335" i="14" l="1"/>
  <c r="L4335" i="14" s="1"/>
  <c r="I4336" i="14" s="1"/>
  <c r="K4313" i="13"/>
  <c r="L4313" i="13" s="1"/>
  <c r="I4314" i="13" s="1"/>
  <c r="M4503" i="14"/>
  <c r="N4499" i="14"/>
  <c r="J4498" i="14" a="1"/>
  <c r="J4498" i="14" s="1"/>
  <c r="M4502" i="13"/>
  <c r="N4500" i="13"/>
  <c r="J4499" i="13" a="1"/>
  <c r="J4499" i="13" s="1"/>
  <c r="K4314" i="13" l="1"/>
  <c r="L4314" i="13" s="1"/>
  <c r="I4315" i="13" s="1"/>
  <c r="K4336" i="14"/>
  <c r="L4336" i="14" s="1"/>
  <c r="I4337" i="14" s="1"/>
  <c r="J4500" i="13" a="1"/>
  <c r="J4500" i="13" s="1"/>
  <c r="N4501" i="13"/>
  <c r="N4500" i="14"/>
  <c r="J4499" i="14" a="1"/>
  <c r="J4499" i="14" s="1"/>
  <c r="M4503" i="13"/>
  <c r="M4504" i="14"/>
  <c r="K4337" i="14" l="1"/>
  <c r="L4337" i="14" s="1"/>
  <c r="I4338" i="14" s="1"/>
  <c r="K4315" i="13"/>
  <c r="L4315" i="13" s="1"/>
  <c r="I4316" i="13" s="1"/>
  <c r="J4500" i="14" a="1"/>
  <c r="J4500" i="14" s="1"/>
  <c r="N4501" i="14"/>
  <c r="N4502" i="13"/>
  <c r="J4501" i="13" a="1"/>
  <c r="J4501" i="13" s="1"/>
  <c r="M4505" i="14"/>
  <c r="M4504" i="13"/>
  <c r="K4316" i="13" l="1"/>
  <c r="L4316" i="13" s="1"/>
  <c r="I4317" i="13" s="1"/>
  <c r="K4338" i="14"/>
  <c r="L4338" i="14" s="1"/>
  <c r="I4339" i="14" s="1"/>
  <c r="J4502" i="13" a="1"/>
  <c r="J4502" i="13" s="1"/>
  <c r="N4503" i="13"/>
  <c r="M4505" i="13"/>
  <c r="J4501" i="14" a="1"/>
  <c r="J4501" i="14" s="1"/>
  <c r="N4502" i="14"/>
  <c r="M4506" i="14"/>
  <c r="K4339" i="14" l="1"/>
  <c r="L4339" i="14" s="1"/>
  <c r="I4340" i="14" s="1"/>
  <c r="K4317" i="13"/>
  <c r="L4317" i="13" s="1"/>
  <c r="I4318" i="13" s="1"/>
  <c r="M4507" i="14"/>
  <c r="N4503" i="14"/>
  <c r="J4502" i="14" a="1"/>
  <c r="J4502" i="14" s="1"/>
  <c r="M4506" i="13"/>
  <c r="N4504" i="13"/>
  <c r="J4503" i="13" a="1"/>
  <c r="J4503" i="13" s="1"/>
  <c r="K4318" i="13" l="1"/>
  <c r="L4318" i="13" s="1"/>
  <c r="I4319" i="13" s="1"/>
  <c r="K4340" i="14"/>
  <c r="L4340" i="14" s="1"/>
  <c r="I4341" i="14" s="1"/>
  <c r="J4504" i="13" a="1"/>
  <c r="J4504" i="13" s="1"/>
  <c r="N4505" i="13"/>
  <c r="M4507" i="13"/>
  <c r="N4504" i="14"/>
  <c r="J4503" i="14" a="1"/>
  <c r="J4503" i="14" s="1"/>
  <c r="M4508" i="14"/>
  <c r="K4341" i="14" l="1"/>
  <c r="L4341" i="14" s="1"/>
  <c r="I4342" i="14" s="1"/>
  <c r="K4319" i="13"/>
  <c r="L4319" i="13" s="1"/>
  <c r="I4320" i="13" s="1"/>
  <c r="M4509" i="14"/>
  <c r="M4508" i="13"/>
  <c r="N4506" i="13"/>
  <c r="J4505" i="13" a="1"/>
  <c r="J4505" i="13" s="1"/>
  <c r="J4504" i="14" a="1"/>
  <c r="J4504" i="14" s="1"/>
  <c r="N4505" i="14"/>
  <c r="K4320" i="13" l="1"/>
  <c r="L4320" i="13" s="1"/>
  <c r="I4321" i="13" s="1"/>
  <c r="K4342" i="14"/>
  <c r="L4342" i="14" s="1"/>
  <c r="I4343" i="14" s="1"/>
  <c r="J4505" i="14" a="1"/>
  <c r="J4505" i="14" s="1"/>
  <c r="N4506" i="14"/>
  <c r="M4509" i="13"/>
  <c r="M4510" i="14"/>
  <c r="J4506" i="13" a="1"/>
  <c r="J4506" i="13" s="1"/>
  <c r="N4507" i="13"/>
  <c r="K4343" i="14" l="1"/>
  <c r="L4343" i="14" s="1"/>
  <c r="I4344" i="14" s="1"/>
  <c r="K4321" i="13"/>
  <c r="L4321" i="13" s="1"/>
  <c r="I4322" i="13" s="1"/>
  <c r="N4508" i="13"/>
  <c r="J4507" i="13" a="1"/>
  <c r="J4507" i="13" s="1"/>
  <c r="M4510" i="13"/>
  <c r="N4507" i="14"/>
  <c r="J4506" i="14" a="1"/>
  <c r="J4506" i="14" s="1"/>
  <c r="M4511" i="14"/>
  <c r="K4322" i="13" l="1"/>
  <c r="L4322" i="13" s="1"/>
  <c r="I4323" i="13" s="1"/>
  <c r="K4344" i="14"/>
  <c r="L4344" i="14" s="1"/>
  <c r="I4345" i="14" s="1"/>
  <c r="M4511" i="13"/>
  <c r="N4508" i="14"/>
  <c r="J4507" i="14" a="1"/>
  <c r="J4507" i="14" s="1"/>
  <c r="M4512" i="14"/>
  <c r="J4508" i="13" a="1"/>
  <c r="J4508" i="13" s="1"/>
  <c r="N4509" i="13"/>
  <c r="K4345" i="14" l="1"/>
  <c r="L4345" i="14" s="1"/>
  <c r="I4346" i="14" s="1"/>
  <c r="K4323" i="13"/>
  <c r="L4323" i="13" s="1"/>
  <c r="I4324" i="13" s="1"/>
  <c r="J4508" i="14" a="1"/>
  <c r="J4508" i="14" s="1"/>
  <c r="N4509" i="14"/>
  <c r="N4510" i="13"/>
  <c r="J4509" i="13" a="1"/>
  <c r="J4509" i="13" s="1"/>
  <c r="M4513" i="14"/>
  <c r="M4512" i="13"/>
  <c r="K4324" i="13" l="1"/>
  <c r="L4324" i="13" s="1"/>
  <c r="I4325" i="13" s="1"/>
  <c r="K4346" i="14"/>
  <c r="L4346" i="14" s="1"/>
  <c r="I4347" i="14" s="1"/>
  <c r="J4510" i="13" a="1"/>
  <c r="J4510" i="13" s="1"/>
  <c r="N4511" i="13"/>
  <c r="M4513" i="13"/>
  <c r="J4509" i="14" a="1"/>
  <c r="J4509" i="14" s="1"/>
  <c r="N4510" i="14"/>
  <c r="M4514" i="14"/>
  <c r="K4347" i="14" l="1"/>
  <c r="L4347" i="14" s="1"/>
  <c r="I4348" i="14" s="1"/>
  <c r="K4325" i="13"/>
  <c r="L4325" i="13" s="1"/>
  <c r="I4326" i="13" s="1"/>
  <c r="M4515" i="14"/>
  <c r="N4511" i="14"/>
  <c r="J4510" i="14" a="1"/>
  <c r="J4510" i="14" s="1"/>
  <c r="M4514" i="13"/>
  <c r="N4512" i="13"/>
  <c r="J4511" i="13" a="1"/>
  <c r="J4511" i="13" s="1"/>
  <c r="K4326" i="13" l="1"/>
  <c r="L4326" i="13" s="1"/>
  <c r="I4327" i="13" s="1"/>
  <c r="K4348" i="14"/>
  <c r="L4348" i="14" s="1"/>
  <c r="I4349" i="14" s="1"/>
  <c r="J4512" i="13" a="1"/>
  <c r="J4512" i="13" s="1"/>
  <c r="N4513" i="13"/>
  <c r="M4515" i="13"/>
  <c r="N4512" i="14"/>
  <c r="J4511" i="14" a="1"/>
  <c r="J4511" i="14" s="1"/>
  <c r="M4516" i="14"/>
  <c r="K4349" i="14" l="1"/>
  <c r="L4349" i="14" s="1"/>
  <c r="I4350" i="14" s="1"/>
  <c r="K4327" i="13"/>
  <c r="L4327" i="13" s="1"/>
  <c r="I4328" i="13" s="1"/>
  <c r="J4512" i="14" a="1"/>
  <c r="J4512" i="14" s="1"/>
  <c r="N4513" i="14"/>
  <c r="M4517" i="14"/>
  <c r="M4516" i="13"/>
  <c r="N4514" i="13"/>
  <c r="J4513" i="13" a="1"/>
  <c r="J4513" i="13" s="1"/>
  <c r="K4328" i="13" l="1"/>
  <c r="L4328" i="13" s="1"/>
  <c r="I4329" i="13" s="1"/>
  <c r="K4350" i="14"/>
  <c r="L4350" i="14" s="1"/>
  <c r="I4351" i="14" s="1"/>
  <c r="M4518" i="14"/>
  <c r="J4514" i="13" a="1"/>
  <c r="J4514" i="13" s="1"/>
  <c r="N4515" i="13"/>
  <c r="J4513" i="14" a="1"/>
  <c r="J4513" i="14" s="1"/>
  <c r="N4514" i="14"/>
  <c r="M4517" i="13"/>
  <c r="K4351" i="14" l="1"/>
  <c r="L4351" i="14" s="1"/>
  <c r="I4352" i="14" s="1"/>
  <c r="K4329" i="13"/>
  <c r="L4329" i="13" s="1"/>
  <c r="I4330" i="13" s="1"/>
  <c r="N4516" i="13"/>
  <c r="J4515" i="13" a="1"/>
  <c r="J4515" i="13" s="1"/>
  <c r="N4515" i="14"/>
  <c r="J4514" i="14" a="1"/>
  <c r="J4514" i="14" s="1"/>
  <c r="M4519" i="14"/>
  <c r="M4518" i="13"/>
  <c r="K4330" i="13" l="1"/>
  <c r="L4330" i="13" s="1"/>
  <c r="I4331" i="13" s="1"/>
  <c r="K4352" i="14"/>
  <c r="L4352" i="14" s="1"/>
  <c r="I4353" i="14" s="1"/>
  <c r="N4516" i="14"/>
  <c r="J4515" i="14" a="1"/>
  <c r="J4515" i="14" s="1"/>
  <c r="M4519" i="13"/>
  <c r="M4520" i="14"/>
  <c r="J4516" i="13" a="1"/>
  <c r="J4516" i="13" s="1"/>
  <c r="N4517" i="13"/>
  <c r="K4353" i="14" l="1"/>
  <c r="L4353" i="14" s="1"/>
  <c r="I4354" i="14" s="1"/>
  <c r="K4331" i="13"/>
  <c r="L4331" i="13" s="1"/>
  <c r="I4332" i="13" s="1"/>
  <c r="M4520" i="13"/>
  <c r="N4518" i="13"/>
  <c r="J4517" i="13" a="1"/>
  <c r="J4517" i="13" s="1"/>
  <c r="M4521" i="14"/>
  <c r="J4516" i="14" a="1"/>
  <c r="J4516" i="14" s="1"/>
  <c r="N4517" i="14"/>
  <c r="K4332" i="13" l="1"/>
  <c r="L4332" i="13" s="1"/>
  <c r="I4333" i="13" s="1"/>
  <c r="K4354" i="14"/>
  <c r="L4354" i="14" s="1"/>
  <c r="I4355" i="14" s="1"/>
  <c r="J4518" i="13" a="1"/>
  <c r="J4518" i="13" s="1"/>
  <c r="N4519" i="13"/>
  <c r="J4517" i="14" a="1"/>
  <c r="J4517" i="14" s="1"/>
  <c r="N4518" i="14"/>
  <c r="M4521" i="13"/>
  <c r="M4522" i="14"/>
  <c r="K4355" i="14" l="1"/>
  <c r="L4355" i="14" s="1"/>
  <c r="I4356" i="14" s="1"/>
  <c r="K4333" i="13"/>
  <c r="L4333" i="13" s="1"/>
  <c r="I4334" i="13" s="1"/>
  <c r="N4519" i="14"/>
  <c r="J4518" i="14" a="1"/>
  <c r="J4518" i="14" s="1"/>
  <c r="M4523" i="14"/>
  <c r="N4520" i="13"/>
  <c r="J4519" i="13" a="1"/>
  <c r="J4519" i="13" s="1"/>
  <c r="M4522" i="13"/>
  <c r="K4334" i="13" l="1"/>
  <c r="L4334" i="13" s="1"/>
  <c r="I4335" i="13" s="1"/>
  <c r="K4356" i="14"/>
  <c r="L4356" i="14" s="1"/>
  <c r="I4357" i="14" s="1"/>
  <c r="M4523" i="13"/>
  <c r="M4524" i="14"/>
  <c r="J4520" i="13" a="1"/>
  <c r="J4520" i="13" s="1"/>
  <c r="N4521" i="13"/>
  <c r="N4520" i="14"/>
  <c r="J4519" i="14" a="1"/>
  <c r="J4519" i="14" s="1"/>
  <c r="K4357" i="14" l="1"/>
  <c r="L4357" i="14" s="1"/>
  <c r="I4358" i="14" s="1"/>
  <c r="K4335" i="13"/>
  <c r="L4335" i="13" s="1"/>
  <c r="I4336" i="13" s="1"/>
  <c r="J4520" i="14" a="1"/>
  <c r="J4520" i="14" s="1"/>
  <c r="N4521" i="14"/>
  <c r="M4525" i="14"/>
  <c r="N4522" i="13"/>
  <c r="J4521" i="13" a="1"/>
  <c r="J4521" i="13" s="1"/>
  <c r="M4524" i="13"/>
  <c r="K4336" i="13" l="1"/>
  <c r="L4336" i="13" s="1"/>
  <c r="I4337" i="13" s="1"/>
  <c r="K4358" i="14"/>
  <c r="L4358" i="14" s="1"/>
  <c r="I4359" i="14" s="1"/>
  <c r="M4525" i="13"/>
  <c r="M4526" i="14"/>
  <c r="J4522" i="13" a="1"/>
  <c r="J4522" i="13" s="1"/>
  <c r="N4523" i="13"/>
  <c r="J4521" i="14" a="1"/>
  <c r="J4521" i="14" s="1"/>
  <c r="N4522" i="14"/>
  <c r="K4359" i="14" l="1"/>
  <c r="L4359" i="14" s="1"/>
  <c r="I4360" i="14" s="1"/>
  <c r="K4337" i="13"/>
  <c r="L4337" i="13" s="1"/>
  <c r="I4338" i="13" s="1"/>
  <c r="N4523" i="14"/>
  <c r="J4522" i="14" a="1"/>
  <c r="J4522" i="14" s="1"/>
  <c r="M4527" i="14"/>
  <c r="N4524" i="13"/>
  <c r="J4523" i="13" a="1"/>
  <c r="J4523" i="13" s="1"/>
  <c r="M4526" i="13"/>
  <c r="K4338" i="13" l="1"/>
  <c r="L4338" i="13" s="1"/>
  <c r="I4339" i="13" s="1"/>
  <c r="K4360" i="14"/>
  <c r="L4360" i="14" s="1"/>
  <c r="I4361" i="14" s="1"/>
  <c r="M4527" i="13"/>
  <c r="M4528" i="14"/>
  <c r="J4524" i="13" a="1"/>
  <c r="J4524" i="13" s="1"/>
  <c r="N4525" i="13"/>
  <c r="N4524" i="14"/>
  <c r="J4523" i="14" a="1"/>
  <c r="J4523" i="14" s="1"/>
  <c r="K4361" i="14" l="1"/>
  <c r="L4361" i="14" s="1"/>
  <c r="I4362" i="14" s="1"/>
  <c r="K4339" i="13"/>
  <c r="L4339" i="13" s="1"/>
  <c r="I4340" i="13" s="1"/>
  <c r="J4524" i="14" a="1"/>
  <c r="J4524" i="14" s="1"/>
  <c r="N4525" i="14"/>
  <c r="M4529" i="14"/>
  <c r="N4526" i="13"/>
  <c r="J4525" i="13" a="1"/>
  <c r="J4525" i="13" s="1"/>
  <c r="M4528" i="13"/>
  <c r="K4340" i="13" l="1"/>
  <c r="L4340" i="13" s="1"/>
  <c r="I4341" i="13" s="1"/>
  <c r="K4362" i="14"/>
  <c r="L4362" i="14" s="1"/>
  <c r="I4363" i="14" s="1"/>
  <c r="M4529" i="13"/>
  <c r="M4530" i="14"/>
  <c r="J4525" i="14" a="1"/>
  <c r="J4525" i="14" s="1"/>
  <c r="N4526" i="14"/>
  <c r="J4526" i="13" a="1"/>
  <c r="J4526" i="13" s="1"/>
  <c r="N4527" i="13"/>
  <c r="K4363" i="14" l="1"/>
  <c r="L4363" i="14" s="1"/>
  <c r="I4364" i="14" s="1"/>
  <c r="K4341" i="13"/>
  <c r="L4341" i="13" s="1"/>
  <c r="I4342" i="13" s="1"/>
  <c r="N4528" i="13"/>
  <c r="J4527" i="13" a="1"/>
  <c r="J4527" i="13" s="1"/>
  <c r="M4531" i="14"/>
  <c r="N4527" i="14"/>
  <c r="J4526" i="14" a="1"/>
  <c r="J4526" i="14" s="1"/>
  <c r="M4530" i="13"/>
  <c r="K4342" i="13" l="1"/>
  <c r="L4342" i="13" s="1"/>
  <c r="I4343" i="13" s="1"/>
  <c r="K4364" i="14"/>
  <c r="L4364" i="14" s="1"/>
  <c r="I4365" i="14" s="1"/>
  <c r="M4531" i="13"/>
  <c r="M4532" i="14"/>
  <c r="N4528" i="14"/>
  <c r="J4527" i="14" a="1"/>
  <c r="J4527" i="14" s="1"/>
  <c r="J4528" i="13" a="1"/>
  <c r="J4528" i="13" s="1"/>
  <c r="N4529" i="13"/>
  <c r="K4343" i="13" l="1"/>
  <c r="L4343" i="13" s="1"/>
  <c r="I4344" i="13" s="1"/>
  <c r="N4530" i="13"/>
  <c r="J4529" i="13" a="1"/>
  <c r="J4529" i="13" s="1"/>
  <c r="K4365" i="14"/>
  <c r="L4365" i="14" s="1"/>
  <c r="I4366" i="14" s="1"/>
  <c r="M4533" i="14"/>
  <c r="J4528" i="14" a="1"/>
  <c r="J4528" i="14" s="1"/>
  <c r="N4529" i="14"/>
  <c r="M4532" i="13"/>
  <c r="K4366" i="14" l="1"/>
  <c r="L4366" i="14" s="1"/>
  <c r="I4367" i="14" s="1"/>
  <c r="K4344" i="13"/>
  <c r="L4344" i="13" s="1"/>
  <c r="I4345" i="13" s="1"/>
  <c r="M4533" i="13"/>
  <c r="M4534" i="14"/>
  <c r="J4530" i="13" a="1"/>
  <c r="J4530" i="13" s="1"/>
  <c r="N4531" i="13"/>
  <c r="J4529" i="14" a="1"/>
  <c r="J4529" i="14" s="1"/>
  <c r="N4530" i="14"/>
  <c r="K4367" i="14" l="1"/>
  <c r="L4367" i="14" s="1"/>
  <c r="I4368" i="14" s="1"/>
  <c r="N4531" i="14"/>
  <c r="J4530" i="14" a="1"/>
  <c r="J4530" i="14" s="1"/>
  <c r="M4535" i="14"/>
  <c r="K4345" i="13"/>
  <c r="L4345" i="13" s="1"/>
  <c r="I4346" i="13" s="1"/>
  <c r="N4532" i="13"/>
  <c r="J4531" i="13" a="1"/>
  <c r="J4531" i="13" s="1"/>
  <c r="M4534" i="13"/>
  <c r="K4346" i="13" l="1"/>
  <c r="L4346" i="13" s="1"/>
  <c r="I4347" i="13" s="1"/>
  <c r="K4368" i="14"/>
  <c r="L4368" i="14" s="1"/>
  <c r="I4369" i="14" s="1"/>
  <c r="N4532" i="14"/>
  <c r="J4531" i="14" a="1"/>
  <c r="J4531" i="14" s="1"/>
  <c r="M4535" i="13"/>
  <c r="J4532" i="13" a="1"/>
  <c r="J4532" i="13" s="1"/>
  <c r="N4533" i="13"/>
  <c r="M4536" i="14"/>
  <c r="K4347" i="13" l="1"/>
  <c r="L4347" i="13" s="1"/>
  <c r="I4348" i="13" s="1"/>
  <c r="M4536" i="13"/>
  <c r="K4369" i="14"/>
  <c r="L4369" i="14" s="1"/>
  <c r="I4370" i="14" s="1"/>
  <c r="N4534" i="13"/>
  <c r="J4533" i="13" a="1"/>
  <c r="J4533" i="13" s="1"/>
  <c r="M4537" i="14"/>
  <c r="J4532" i="14" a="1"/>
  <c r="J4532" i="14" s="1"/>
  <c r="N4533" i="14"/>
  <c r="K4370" i="14" l="1"/>
  <c r="L4370" i="14" s="1"/>
  <c r="I4371" i="14" s="1"/>
  <c r="K4348" i="13"/>
  <c r="L4348" i="13" s="1"/>
  <c r="I4349" i="13" s="1"/>
  <c r="M4537" i="13"/>
  <c r="J4533" i="14" a="1"/>
  <c r="J4533" i="14" s="1"/>
  <c r="N4534" i="14"/>
  <c r="J4534" i="13" a="1"/>
  <c r="J4534" i="13" s="1"/>
  <c r="N4535" i="13"/>
  <c r="M4538" i="14"/>
  <c r="K4371" i="14" l="1"/>
  <c r="L4371" i="14" s="1"/>
  <c r="I4372" i="14" s="1"/>
  <c r="M4539" i="14"/>
  <c r="N4535" i="14"/>
  <c r="J4534" i="14" a="1"/>
  <c r="J4534" i="14" s="1"/>
  <c r="K4349" i="13"/>
  <c r="L4349" i="13" s="1"/>
  <c r="I4350" i="13" s="1"/>
  <c r="N4536" i="13"/>
  <c r="J4535" i="13" a="1"/>
  <c r="J4535" i="13" s="1"/>
  <c r="M4538" i="13"/>
  <c r="K4372" i="14" l="1"/>
  <c r="L4372" i="14" s="1"/>
  <c r="I4373" i="14" s="1"/>
  <c r="M4539" i="13"/>
  <c r="K4350" i="13"/>
  <c r="L4350" i="13" s="1"/>
  <c r="I4351" i="13" s="1"/>
  <c r="M4540" i="14"/>
  <c r="J4536" i="13" a="1"/>
  <c r="J4536" i="13" s="1"/>
  <c r="N4537" i="13"/>
  <c r="N4536" i="14"/>
  <c r="J4535" i="14" a="1"/>
  <c r="J4535" i="14" s="1"/>
  <c r="K4351" i="13" l="1"/>
  <c r="L4351" i="13" s="1"/>
  <c r="I4352" i="13" s="1"/>
  <c r="K4373" i="14"/>
  <c r="L4373" i="14" s="1"/>
  <c r="I4374" i="14" s="1"/>
  <c r="J4537" i="13" a="1"/>
  <c r="J4537" i="13" s="1"/>
  <c r="N4538" i="13"/>
  <c r="J4536" i="14" a="1"/>
  <c r="J4536" i="14" s="1"/>
  <c r="N4537" i="14"/>
  <c r="M4541" i="14"/>
  <c r="M4540" i="13"/>
  <c r="K4352" i="13" l="1"/>
  <c r="L4352" i="13" s="1"/>
  <c r="I4353" i="13" s="1"/>
  <c r="J4537" i="14" a="1"/>
  <c r="J4537" i="14" s="1"/>
  <c r="N4538" i="14"/>
  <c r="K4374" i="14"/>
  <c r="L4374" i="14" s="1"/>
  <c r="I4375" i="14" s="1"/>
  <c r="M4542" i="14"/>
  <c r="M4541" i="13"/>
  <c r="J4538" i="13" a="1"/>
  <c r="J4538" i="13" s="1"/>
  <c r="N4539" i="13"/>
  <c r="K4375" i="14" l="1"/>
  <c r="L4375" i="14" s="1"/>
  <c r="I4376" i="14" s="1"/>
  <c r="K4353" i="13"/>
  <c r="L4353" i="13" s="1"/>
  <c r="I4354" i="13" s="1"/>
  <c r="N4540" i="13"/>
  <c r="J4539" i="13" a="1"/>
  <c r="J4539" i="13" s="1"/>
  <c r="M4543" i="14"/>
  <c r="N4539" i="14"/>
  <c r="J4538" i="14" a="1"/>
  <c r="J4538" i="14" s="1"/>
  <c r="M4542" i="13"/>
  <c r="K4376" i="14" l="1"/>
  <c r="L4376" i="14" s="1"/>
  <c r="I4377" i="14" s="1"/>
  <c r="N4540" i="14"/>
  <c r="J4539" i="14" a="1"/>
  <c r="J4539" i="14" s="1"/>
  <c r="M4543" i="13"/>
  <c r="M4544" i="14"/>
  <c r="K4354" i="13"/>
  <c r="L4354" i="13" s="1"/>
  <c r="I4355" i="13" s="1"/>
  <c r="J4540" i="13" a="1"/>
  <c r="J4540" i="13" s="1"/>
  <c r="N4541" i="13"/>
  <c r="K4355" i="13" l="1"/>
  <c r="L4355" i="13" s="1"/>
  <c r="I4356" i="13" s="1"/>
  <c r="K4377" i="14"/>
  <c r="L4377" i="14" s="1"/>
  <c r="I4378" i="14" s="1"/>
  <c r="J4541" i="13" a="1"/>
  <c r="J4541" i="13" s="1"/>
  <c r="N4542" i="13"/>
  <c r="J4540" i="14" a="1"/>
  <c r="J4540" i="14" s="1"/>
  <c r="N4541" i="14"/>
  <c r="M4545" i="14"/>
  <c r="M4544" i="13"/>
  <c r="K4378" i="14" l="1"/>
  <c r="L4378" i="14" s="1"/>
  <c r="I4379" i="14" s="1"/>
  <c r="M4546" i="14"/>
  <c r="J4541" i="14" a="1"/>
  <c r="J4541" i="14" s="1"/>
  <c r="N4542" i="14"/>
  <c r="M4545" i="13"/>
  <c r="J4542" i="13" a="1"/>
  <c r="J4542" i="13" s="1"/>
  <c r="N4543" i="13"/>
  <c r="K4356" i="13"/>
  <c r="L4356" i="13" s="1"/>
  <c r="I4357" i="13" s="1"/>
  <c r="K4379" i="14" l="1"/>
  <c r="L4379" i="14" s="1"/>
  <c r="I4380" i="14" s="1"/>
  <c r="N4544" i="13"/>
  <c r="J4543" i="13" a="1"/>
  <c r="J4543" i="13" s="1"/>
  <c r="M4547" i="14"/>
  <c r="K4357" i="13"/>
  <c r="L4357" i="13" s="1"/>
  <c r="I4358" i="13" s="1"/>
  <c r="M4546" i="13"/>
  <c r="N4543" i="14"/>
  <c r="J4542" i="14" a="1"/>
  <c r="J4542" i="14" s="1"/>
  <c r="K4358" i="13" l="1"/>
  <c r="L4358" i="13" s="1"/>
  <c r="I4359" i="13" s="1"/>
  <c r="K4380" i="14"/>
  <c r="L4380" i="14" s="1"/>
  <c r="I4381" i="14" s="1"/>
  <c r="N4544" i="14"/>
  <c r="J4543" i="14" a="1"/>
  <c r="J4543" i="14" s="1"/>
  <c r="J4544" i="13" a="1"/>
  <c r="J4544" i="13" s="1"/>
  <c r="N4545" i="13"/>
  <c r="M4547" i="13"/>
  <c r="M4548" i="14"/>
  <c r="K4359" i="13" l="1"/>
  <c r="L4359" i="13" s="1"/>
  <c r="I4360" i="13" s="1"/>
  <c r="J4545" i="13" a="1"/>
  <c r="J4545" i="13" s="1"/>
  <c r="N4546" i="13"/>
  <c r="M4549" i="14"/>
  <c r="K4381" i="14"/>
  <c r="L4381" i="14" s="1"/>
  <c r="I4382" i="14" s="1"/>
  <c r="M4548" i="13"/>
  <c r="J4544" i="14" a="1"/>
  <c r="J4544" i="14" s="1"/>
  <c r="N4545" i="14"/>
  <c r="K4382" i="14" l="1"/>
  <c r="L4382" i="14" s="1"/>
  <c r="I4383" i="14" s="1"/>
  <c r="K4360" i="13"/>
  <c r="L4360" i="13" s="1"/>
  <c r="I4361" i="13" s="1"/>
  <c r="J4545" i="14" a="1"/>
  <c r="J4545" i="14" s="1"/>
  <c r="N4546" i="14"/>
  <c r="J4546" i="13" a="1"/>
  <c r="J4546" i="13" s="1"/>
  <c r="N4547" i="13"/>
  <c r="M4550" i="14"/>
  <c r="M4549" i="13"/>
  <c r="K4383" i="14" l="1"/>
  <c r="L4383" i="14" s="1"/>
  <c r="I4384" i="14" s="1"/>
  <c r="N4548" i="13"/>
  <c r="J4547" i="13" a="1"/>
  <c r="J4547" i="13" s="1"/>
  <c r="K4361" i="13"/>
  <c r="L4361" i="13" s="1"/>
  <c r="I4362" i="13" s="1"/>
  <c r="M4550" i="13"/>
  <c r="M4551" i="14"/>
  <c r="N4547" i="14"/>
  <c r="J4546" i="14" a="1"/>
  <c r="J4546" i="14" s="1"/>
  <c r="K4362" i="13" l="1"/>
  <c r="L4362" i="13" s="1"/>
  <c r="I4363" i="13" s="1"/>
  <c r="K4384" i="14"/>
  <c r="L4384" i="14" s="1"/>
  <c r="I4385" i="14" s="1"/>
  <c r="M4551" i="13"/>
  <c r="J4548" i="13" a="1"/>
  <c r="J4548" i="13" s="1"/>
  <c r="N4549" i="13"/>
  <c r="N4548" i="14"/>
  <c r="J4547" i="14" a="1"/>
  <c r="J4547" i="14" s="1"/>
  <c r="M4552" i="14"/>
  <c r="K4363" i="13" l="1"/>
  <c r="L4363" i="13" s="1"/>
  <c r="I4364" i="13" s="1"/>
  <c r="J4549" i="13" a="1"/>
  <c r="J4549" i="13" s="1"/>
  <c r="N4550" i="13"/>
  <c r="M4553" i="14"/>
  <c r="K4385" i="14"/>
  <c r="L4385" i="14" s="1"/>
  <c r="I4386" i="14" s="1"/>
  <c r="J4548" i="14" a="1"/>
  <c r="J4548" i="14" s="1"/>
  <c r="N4549" i="14"/>
  <c r="M4552" i="13"/>
  <c r="K4364" i="13" l="1"/>
  <c r="L4364" i="13" s="1"/>
  <c r="I4365" i="13" s="1"/>
  <c r="M4553" i="13"/>
  <c r="J4550" i="13" a="1"/>
  <c r="J4550" i="13" s="1"/>
  <c r="N4551" i="13"/>
  <c r="J4549" i="14" a="1"/>
  <c r="J4549" i="14" s="1"/>
  <c r="N4550" i="14"/>
  <c r="K4386" i="14"/>
  <c r="L4386" i="14" s="1"/>
  <c r="I4387" i="14" s="1"/>
  <c r="M4554" i="14"/>
  <c r="K4365" i="13" l="1"/>
  <c r="L4365" i="13" s="1"/>
  <c r="I4366" i="13" s="1"/>
  <c r="N4551" i="14"/>
  <c r="J4550" i="14" a="1"/>
  <c r="J4550" i="14" s="1"/>
  <c r="M4554" i="13"/>
  <c r="M4555" i="14"/>
  <c r="N4552" i="13"/>
  <c r="J4551" i="13" a="1"/>
  <c r="J4551" i="13" s="1"/>
  <c r="K4387" i="14"/>
  <c r="L4387" i="14" s="1"/>
  <c r="I4388" i="14" s="1"/>
  <c r="K4388" i="14" l="1"/>
  <c r="L4388" i="14" s="1"/>
  <c r="I4389" i="14" s="1"/>
  <c r="K4366" i="13"/>
  <c r="L4366" i="13" s="1"/>
  <c r="I4367" i="13" s="1"/>
  <c r="N4552" i="14"/>
  <c r="J4551" i="14" a="1"/>
  <c r="J4551" i="14" s="1"/>
  <c r="M4555" i="13"/>
  <c r="M4556" i="14"/>
  <c r="J4552" i="13" a="1"/>
  <c r="J4552" i="13" s="1"/>
  <c r="N4553" i="13"/>
  <c r="K4367" i="13" l="1"/>
  <c r="L4367" i="13" s="1"/>
  <c r="I4368" i="13" s="1"/>
  <c r="K4389" i="14"/>
  <c r="L4389" i="14" s="1"/>
  <c r="I4390" i="14" s="1"/>
  <c r="J4553" i="13" a="1"/>
  <c r="J4553" i="13" s="1"/>
  <c r="N4554" i="13"/>
  <c r="M4556" i="13"/>
  <c r="M4557" i="14"/>
  <c r="J4552" i="14" a="1"/>
  <c r="J4552" i="14" s="1"/>
  <c r="N4553" i="14"/>
  <c r="K4390" i="14" l="1"/>
  <c r="L4390" i="14" s="1"/>
  <c r="I4391" i="14" s="1"/>
  <c r="K4368" i="13"/>
  <c r="L4368" i="13" s="1"/>
  <c r="I4369" i="13" s="1"/>
  <c r="M4558" i="14"/>
  <c r="J4553" i="14" a="1"/>
  <c r="J4553" i="14" s="1"/>
  <c r="N4554" i="14"/>
  <c r="M4557" i="13"/>
  <c r="J4554" i="13" a="1"/>
  <c r="J4554" i="13" s="1"/>
  <c r="N4555" i="13"/>
  <c r="K4369" i="13" l="1"/>
  <c r="L4369" i="13" s="1"/>
  <c r="I4370" i="13" s="1"/>
  <c r="K4391" i="14"/>
  <c r="L4391" i="14" s="1"/>
  <c r="I4392" i="14" s="1"/>
  <c r="N4555" i="14"/>
  <c r="J4554" i="14" a="1"/>
  <c r="J4554" i="14" s="1"/>
  <c r="M4559" i="14"/>
  <c r="N4556" i="13"/>
  <c r="J4555" i="13" a="1"/>
  <c r="J4555" i="13" s="1"/>
  <c r="M4558" i="13"/>
  <c r="K4392" i="14" l="1"/>
  <c r="L4392" i="14" s="1"/>
  <c r="I4393" i="14" s="1"/>
  <c r="K4370" i="13"/>
  <c r="L4370" i="13" s="1"/>
  <c r="I4371" i="13" s="1"/>
  <c r="M4559" i="13"/>
  <c r="M4560" i="14"/>
  <c r="J4556" i="13" a="1"/>
  <c r="J4556" i="13" s="1"/>
  <c r="N4557" i="13"/>
  <c r="N4556" i="14"/>
  <c r="J4555" i="14" a="1"/>
  <c r="J4555" i="14" s="1"/>
  <c r="K4371" i="13" l="1"/>
  <c r="L4371" i="13" s="1"/>
  <c r="I4372" i="13" s="1"/>
  <c r="K4393" i="14"/>
  <c r="L4393" i="14" s="1"/>
  <c r="I4394" i="14" s="1"/>
  <c r="J4556" i="14" a="1"/>
  <c r="J4556" i="14" s="1"/>
  <c r="N4557" i="14"/>
  <c r="M4561" i="14"/>
  <c r="J4557" i="13" a="1"/>
  <c r="J4557" i="13" s="1"/>
  <c r="N4558" i="13"/>
  <c r="M4560" i="13"/>
  <c r="K4394" i="14" l="1"/>
  <c r="L4394" i="14" s="1"/>
  <c r="I4395" i="14" s="1"/>
  <c r="K4372" i="13"/>
  <c r="L4372" i="13" s="1"/>
  <c r="I4373" i="13" s="1"/>
  <c r="J4558" i="13" a="1"/>
  <c r="J4558" i="13" s="1"/>
  <c r="N4559" i="13"/>
  <c r="M4561" i="13"/>
  <c r="M4562" i="14"/>
  <c r="J4557" i="14" a="1"/>
  <c r="J4557" i="14" s="1"/>
  <c r="N4558" i="14"/>
  <c r="K4373" i="13" l="1"/>
  <c r="L4373" i="13" s="1"/>
  <c r="I4374" i="13" s="1"/>
  <c r="K4395" i="14"/>
  <c r="L4395" i="14" s="1"/>
  <c r="I4396" i="14" s="1"/>
  <c r="N4559" i="14"/>
  <c r="J4558" i="14" a="1"/>
  <c r="J4558" i="14" s="1"/>
  <c r="M4562" i="13"/>
  <c r="M4563" i="14"/>
  <c r="N4560" i="13"/>
  <c r="J4559" i="13" a="1"/>
  <c r="J4559" i="13" s="1"/>
  <c r="K4374" i="13" l="1"/>
  <c r="L4374" i="13" s="1"/>
  <c r="I4375" i="13" s="1"/>
  <c r="M4563" i="13"/>
  <c r="K4396" i="14"/>
  <c r="L4396" i="14" s="1"/>
  <c r="I4397" i="14" s="1"/>
  <c r="J4560" i="13" a="1"/>
  <c r="J4560" i="13" s="1"/>
  <c r="N4561" i="13"/>
  <c r="M4564" i="14"/>
  <c r="N4560" i="14"/>
  <c r="J4559" i="14" a="1"/>
  <c r="J4559" i="14" s="1"/>
  <c r="K4397" i="14" l="1"/>
  <c r="L4397" i="14" s="1"/>
  <c r="I4398" i="14" s="1"/>
  <c r="K4375" i="13"/>
  <c r="L4375" i="13" s="1"/>
  <c r="I4376" i="13" s="1"/>
  <c r="J4561" i="13" a="1"/>
  <c r="J4561" i="13" s="1"/>
  <c r="N4562" i="13"/>
  <c r="M4564" i="13"/>
  <c r="J4560" i="14" a="1"/>
  <c r="J4560" i="14" s="1"/>
  <c r="N4561" i="14"/>
  <c r="M4565" i="14"/>
  <c r="K4376" i="13" l="1"/>
  <c r="L4376" i="13" s="1"/>
  <c r="I4377" i="13" s="1"/>
  <c r="K4398" i="14"/>
  <c r="L4398" i="14" s="1"/>
  <c r="I4399" i="14" s="1"/>
  <c r="M4566" i="14"/>
  <c r="M4565" i="13"/>
  <c r="J4562" i="13" a="1"/>
  <c r="J4562" i="13" s="1"/>
  <c r="N4563" i="13"/>
  <c r="J4561" i="14" a="1"/>
  <c r="J4561" i="14" s="1"/>
  <c r="N4562" i="14"/>
  <c r="N4563" i="14" l="1"/>
  <c r="J4562" i="14" a="1"/>
  <c r="J4562" i="14" s="1"/>
  <c r="K4399" i="14"/>
  <c r="L4399" i="14" s="1"/>
  <c r="I4400" i="14" s="1"/>
  <c r="M4566" i="13"/>
  <c r="N4564" i="13"/>
  <c r="J4563" i="13" a="1"/>
  <c r="J4563" i="13" s="1"/>
  <c r="M4567" i="14"/>
  <c r="K4377" i="13"/>
  <c r="L4377" i="13" s="1"/>
  <c r="I4378" i="13" s="1"/>
  <c r="J4564" i="13" l="1" a="1"/>
  <c r="J4564" i="13" s="1"/>
  <c r="N4565" i="13"/>
  <c r="K4400" i="14"/>
  <c r="L4400" i="14" s="1"/>
  <c r="I4401" i="14" s="1"/>
  <c r="K4378" i="13"/>
  <c r="L4378" i="13" s="1"/>
  <c r="I4379" i="13" s="1"/>
  <c r="M4567" i="13"/>
  <c r="M4568" i="14"/>
  <c r="N4564" i="14"/>
  <c r="J4563" i="14" a="1"/>
  <c r="J4563" i="14" s="1"/>
  <c r="K4379" i="13" l="1"/>
  <c r="L4379" i="13" s="1"/>
  <c r="I4380" i="13" s="1"/>
  <c r="J4564" i="14" a="1"/>
  <c r="J4564" i="14" s="1"/>
  <c r="N4565" i="14"/>
  <c r="M4568" i="13"/>
  <c r="K4401" i="14"/>
  <c r="L4401" i="14" s="1"/>
  <c r="I4402" i="14" s="1"/>
  <c r="J4565" i="13" a="1"/>
  <c r="J4565" i="13" s="1"/>
  <c r="N4566" i="13"/>
  <c r="M4569" i="14"/>
  <c r="K4380" i="13" l="1"/>
  <c r="L4380" i="13" s="1"/>
  <c r="I4381" i="13" s="1"/>
  <c r="M4570" i="14"/>
  <c r="K4402" i="14"/>
  <c r="L4402" i="14" s="1"/>
  <c r="I4403" i="14" s="1"/>
  <c r="J4565" i="14" a="1"/>
  <c r="J4565" i="14" s="1"/>
  <c r="N4566" i="14"/>
  <c r="J4566" i="13" a="1"/>
  <c r="J4566" i="13" s="1"/>
  <c r="N4567" i="13"/>
  <c r="M4569" i="13"/>
  <c r="K4403" i="14" l="1"/>
  <c r="L4403" i="14" s="1"/>
  <c r="I4404" i="14" s="1"/>
  <c r="K4381" i="13"/>
  <c r="L4381" i="13" s="1"/>
  <c r="I4382" i="13" s="1"/>
  <c r="M4570" i="13"/>
  <c r="N4567" i="14"/>
  <c r="J4566" i="14" a="1"/>
  <c r="J4566" i="14" s="1"/>
  <c r="M4571" i="14"/>
  <c r="N4568" i="13"/>
  <c r="J4567" i="13" a="1"/>
  <c r="J4567" i="13" s="1"/>
  <c r="K4404" i="14" l="1"/>
  <c r="L4404" i="14" s="1"/>
  <c r="I4405" i="14" s="1"/>
  <c r="K4382" i="13"/>
  <c r="L4382" i="13" s="1"/>
  <c r="I4383" i="13" s="1"/>
  <c r="J4568" i="13" a="1"/>
  <c r="J4568" i="13" s="1"/>
  <c r="N4569" i="13"/>
  <c r="M4571" i="13"/>
  <c r="N4568" i="14"/>
  <c r="J4567" i="14" a="1"/>
  <c r="J4567" i="14" s="1"/>
  <c r="M4572" i="14"/>
  <c r="K4405" i="14" l="1"/>
  <c r="L4405" i="14" s="1"/>
  <c r="I4406" i="14" s="1"/>
  <c r="J4568" i="14" a="1"/>
  <c r="J4568" i="14" s="1"/>
  <c r="N4569" i="14"/>
  <c r="M4573" i="14"/>
  <c r="M4572" i="13"/>
  <c r="K4383" i="13"/>
  <c r="L4383" i="13" s="1"/>
  <c r="I4384" i="13" s="1"/>
  <c r="J4569" i="13" a="1"/>
  <c r="J4569" i="13" s="1"/>
  <c r="N4570" i="13"/>
  <c r="K4384" i="13" l="1"/>
  <c r="L4384" i="13" s="1"/>
  <c r="I4385" i="13" s="1"/>
  <c r="K4406" i="14"/>
  <c r="L4406" i="14" s="1"/>
  <c r="I4407" i="14" s="1"/>
  <c r="M4573" i="13"/>
  <c r="J4570" i="13" a="1"/>
  <c r="J4570" i="13" s="1"/>
  <c r="N4571" i="13"/>
  <c r="J4569" i="14" a="1"/>
  <c r="J4569" i="14" s="1"/>
  <c r="N4570" i="14"/>
  <c r="M4574" i="14"/>
  <c r="K4385" i="13" l="1"/>
  <c r="L4385" i="13" s="1"/>
  <c r="I4386" i="13" s="1"/>
  <c r="K4407" i="14"/>
  <c r="L4407" i="14" s="1"/>
  <c r="I4408" i="14" s="1"/>
  <c r="N4572" i="13"/>
  <c r="J4571" i="13" a="1"/>
  <c r="J4571" i="13" s="1"/>
  <c r="M4575" i="14"/>
  <c r="N4571" i="14"/>
  <c r="J4570" i="14" a="1"/>
  <c r="J4570" i="14" s="1"/>
  <c r="M4574" i="13"/>
  <c r="K4408" i="14" l="1"/>
  <c r="L4408" i="14" s="1"/>
  <c r="I4409" i="14" s="1"/>
  <c r="K4386" i="13"/>
  <c r="L4386" i="13" s="1"/>
  <c r="I4387" i="13" s="1"/>
  <c r="N4572" i="14"/>
  <c r="J4571" i="14" a="1"/>
  <c r="J4571" i="14" s="1"/>
  <c r="M4575" i="13"/>
  <c r="M4576" i="14"/>
  <c r="J4572" i="13" a="1"/>
  <c r="J4572" i="13" s="1"/>
  <c r="N4573" i="13"/>
  <c r="K4387" i="13" l="1"/>
  <c r="L4387" i="13" s="1"/>
  <c r="I4388" i="13" s="1"/>
  <c r="K4409" i="14"/>
  <c r="L4409" i="14" s="1"/>
  <c r="I4410" i="14" s="1"/>
  <c r="J4573" i="13" a="1"/>
  <c r="J4573" i="13" s="1"/>
  <c r="N4574" i="13"/>
  <c r="M4576" i="13"/>
  <c r="M4577" i="14"/>
  <c r="J4572" i="14" a="1"/>
  <c r="J4572" i="14" s="1"/>
  <c r="N4573" i="14"/>
  <c r="K4388" i="13" l="1"/>
  <c r="L4388" i="13" s="1"/>
  <c r="I4389" i="13" s="1"/>
  <c r="J4573" i="14" a="1"/>
  <c r="J4573" i="14" s="1"/>
  <c r="N4574" i="14"/>
  <c r="M4577" i="13"/>
  <c r="K4410" i="14"/>
  <c r="L4410" i="14" s="1"/>
  <c r="I4411" i="14" s="1"/>
  <c r="J4574" i="13" a="1"/>
  <c r="J4574" i="13" s="1"/>
  <c r="N4575" i="13"/>
  <c r="M4578" i="14"/>
  <c r="K4389" i="13" l="1"/>
  <c r="L4389" i="13" s="1"/>
  <c r="I4390" i="13" s="1"/>
  <c r="M4579" i="14"/>
  <c r="N4575" i="14"/>
  <c r="J4574" i="14" a="1"/>
  <c r="J4574" i="14" s="1"/>
  <c r="N4576" i="13"/>
  <c r="J4575" i="13" a="1"/>
  <c r="J4575" i="13" s="1"/>
  <c r="K4411" i="14"/>
  <c r="L4411" i="14" s="1"/>
  <c r="I4412" i="14" s="1"/>
  <c r="M4578" i="13"/>
  <c r="K4412" i="14" l="1"/>
  <c r="L4412" i="14" s="1"/>
  <c r="I4413" i="14" s="1"/>
  <c r="K4390" i="13"/>
  <c r="L4390" i="13" s="1"/>
  <c r="I4391" i="13" s="1"/>
  <c r="J4576" i="13" a="1"/>
  <c r="J4576" i="13" s="1"/>
  <c r="N4577" i="13"/>
  <c r="M4580" i="14"/>
  <c r="M4579" i="13"/>
  <c r="N4576" i="14"/>
  <c r="J4575" i="14" a="1"/>
  <c r="J4575" i="14" s="1"/>
  <c r="K4413" i="14" l="1"/>
  <c r="L4413" i="14" s="1"/>
  <c r="I4414" i="14" s="1"/>
  <c r="M4581" i="14"/>
  <c r="K4391" i="13"/>
  <c r="L4391" i="13" s="1"/>
  <c r="I4392" i="13" s="1"/>
  <c r="J4576" i="14" a="1"/>
  <c r="J4576" i="14" s="1"/>
  <c r="N4577" i="14"/>
  <c r="J4577" i="13" a="1"/>
  <c r="J4577" i="13" s="1"/>
  <c r="N4578" i="13"/>
  <c r="M4580" i="13"/>
  <c r="K4392" i="13" l="1"/>
  <c r="L4392" i="13" s="1"/>
  <c r="I4393" i="13" s="1"/>
  <c r="K4414" i="14"/>
  <c r="L4414" i="14" s="1"/>
  <c r="I4415" i="14" s="1"/>
  <c r="M4581" i="13"/>
  <c r="J4578" i="13" a="1"/>
  <c r="J4578" i="13" s="1"/>
  <c r="N4579" i="13"/>
  <c r="J4577" i="14" a="1"/>
  <c r="J4577" i="14" s="1"/>
  <c r="N4578" i="14"/>
  <c r="M4582" i="14"/>
  <c r="K4415" i="14" l="1"/>
  <c r="L4415" i="14" s="1"/>
  <c r="I4416" i="14" s="1"/>
  <c r="K4393" i="13"/>
  <c r="L4393" i="13" s="1"/>
  <c r="I4394" i="13" s="1"/>
  <c r="N4580" i="13"/>
  <c r="J4579" i="13" a="1"/>
  <c r="J4579" i="13" s="1"/>
  <c r="M4583" i="14"/>
  <c r="N4579" i="14"/>
  <c r="J4578" i="14" a="1"/>
  <c r="J4578" i="14" s="1"/>
  <c r="M4582" i="13"/>
  <c r="K4416" i="14" l="1"/>
  <c r="L4416" i="14" s="1"/>
  <c r="I4417" i="14" s="1"/>
  <c r="N4580" i="14"/>
  <c r="J4579" i="14" a="1"/>
  <c r="J4579" i="14" s="1"/>
  <c r="M4583" i="13"/>
  <c r="M4584" i="14"/>
  <c r="K4394" i="13"/>
  <c r="L4394" i="13" s="1"/>
  <c r="I4395" i="13" s="1"/>
  <c r="J4580" i="13" a="1"/>
  <c r="J4580" i="13" s="1"/>
  <c r="N4581" i="13"/>
  <c r="K4395" i="13" l="1"/>
  <c r="L4395" i="13" s="1"/>
  <c r="I4396" i="13" s="1"/>
  <c r="K4417" i="14"/>
  <c r="L4417" i="14" s="1"/>
  <c r="I4418" i="14" s="1"/>
  <c r="J4581" i="13" a="1"/>
  <c r="J4581" i="13" s="1"/>
  <c r="N4582" i="13"/>
  <c r="M4585" i="14"/>
  <c r="J4580" i="14" a="1"/>
  <c r="J4580" i="14" s="1"/>
  <c r="N4581" i="14"/>
  <c r="M4584" i="13"/>
  <c r="K4396" i="13" l="1"/>
  <c r="L4396" i="13" s="1"/>
  <c r="I4397" i="13" s="1"/>
  <c r="M4586" i="14"/>
  <c r="M4585" i="13"/>
  <c r="K4418" i="14"/>
  <c r="L4418" i="14" s="1"/>
  <c r="I4419" i="14" s="1"/>
  <c r="J4581" i="14" a="1"/>
  <c r="J4581" i="14" s="1"/>
  <c r="N4582" i="14"/>
  <c r="J4582" i="13" a="1"/>
  <c r="J4582" i="13" s="1"/>
  <c r="N4583" i="13"/>
  <c r="K4397" i="13" l="1"/>
  <c r="L4397" i="13" s="1"/>
  <c r="I4398" i="13" s="1"/>
  <c r="N4584" i="13"/>
  <c r="J4583" i="13" a="1"/>
  <c r="J4583" i="13" s="1"/>
  <c r="M4587" i="14"/>
  <c r="K4419" i="14"/>
  <c r="L4419" i="14" s="1"/>
  <c r="I4420" i="14" s="1"/>
  <c r="N4583" i="14"/>
  <c r="J4582" i="14" a="1"/>
  <c r="J4582" i="14" s="1"/>
  <c r="M4586" i="13"/>
  <c r="K4420" i="14" l="1"/>
  <c r="L4420" i="14" s="1"/>
  <c r="I4421" i="14" s="1"/>
  <c r="K4398" i="13"/>
  <c r="L4398" i="13" s="1"/>
  <c r="I4399" i="13" s="1"/>
  <c r="J4584" i="13" a="1"/>
  <c r="J4584" i="13" s="1"/>
  <c r="N4585" i="13"/>
  <c r="M4587" i="13"/>
  <c r="M4588" i="14"/>
  <c r="J4583" i="14" a="1"/>
  <c r="J4583" i="14" s="1"/>
  <c r="N4584" i="14"/>
  <c r="K4399" i="13" l="1"/>
  <c r="L4399" i="13" s="1"/>
  <c r="I4400" i="13" s="1"/>
  <c r="K4421" i="14"/>
  <c r="L4421" i="14" s="1"/>
  <c r="I4422" i="14" s="1"/>
  <c r="N4585" i="14"/>
  <c r="J4584" i="14" a="1"/>
  <c r="J4584" i="14" s="1"/>
  <c r="M4588" i="13"/>
  <c r="M4589" i="14"/>
  <c r="J4585" i="13" a="1"/>
  <c r="J4585" i="13" s="1"/>
  <c r="N4586" i="13"/>
  <c r="K4400" i="13" l="1"/>
  <c r="L4400" i="13" s="1"/>
  <c r="I4401" i="13" s="1"/>
  <c r="J4586" i="13" a="1"/>
  <c r="J4586" i="13" s="1"/>
  <c r="N4587" i="13"/>
  <c r="M4589" i="13"/>
  <c r="K4422" i="14"/>
  <c r="L4422" i="14" s="1"/>
  <c r="I4423" i="14" s="1"/>
  <c r="M4590" i="14"/>
  <c r="N4586" i="14"/>
  <c r="J4585" i="14" a="1"/>
  <c r="J4585" i="14" s="1"/>
  <c r="K4401" i="13" l="1"/>
  <c r="L4401" i="13" s="1"/>
  <c r="I4402" i="13" s="1"/>
  <c r="K4423" i="14"/>
  <c r="L4423" i="14" s="1"/>
  <c r="I4424" i="14" s="1"/>
  <c r="N4588" i="13"/>
  <c r="J4587" i="13" a="1"/>
  <c r="J4587" i="13" s="1"/>
  <c r="N4587" i="14"/>
  <c r="J4586" i="14" a="1"/>
  <c r="J4586" i="14" s="1"/>
  <c r="M4591" i="14"/>
  <c r="M4590" i="13"/>
  <c r="K4402" i="13" l="1"/>
  <c r="L4402" i="13" s="1"/>
  <c r="I4403" i="13" s="1"/>
  <c r="K4424" i="14"/>
  <c r="L4424" i="14" s="1"/>
  <c r="I4425" i="14" s="1"/>
  <c r="M4591" i="13"/>
  <c r="J4587" i="14" a="1"/>
  <c r="J4587" i="14" s="1"/>
  <c r="N4588" i="14"/>
  <c r="M4592" i="14"/>
  <c r="J4588" i="13" a="1"/>
  <c r="J4588" i="13" s="1"/>
  <c r="N4589" i="13"/>
  <c r="K4425" i="14" l="1"/>
  <c r="L4425" i="14" s="1"/>
  <c r="I4426" i="14" s="1"/>
  <c r="K4403" i="13"/>
  <c r="L4403" i="13" s="1"/>
  <c r="I4404" i="13" s="1"/>
  <c r="J4589" i="13" a="1"/>
  <c r="J4589" i="13" s="1"/>
  <c r="N4590" i="13"/>
  <c r="N4589" i="14"/>
  <c r="J4588" i="14" a="1"/>
  <c r="J4588" i="14" s="1"/>
  <c r="M4593" i="14"/>
  <c r="M4592" i="13"/>
  <c r="K4404" i="13" l="1"/>
  <c r="L4404" i="13" s="1"/>
  <c r="I4405" i="13" s="1"/>
  <c r="K4426" i="14"/>
  <c r="L4426" i="14" s="1"/>
  <c r="I4427" i="14" s="1"/>
  <c r="M4593" i="13"/>
  <c r="N4590" i="14"/>
  <c r="J4589" i="14" a="1"/>
  <c r="J4589" i="14" s="1"/>
  <c r="J4590" i="13" a="1"/>
  <c r="J4590" i="13" s="1"/>
  <c r="N4591" i="13"/>
  <c r="M4594" i="14"/>
  <c r="K4427" i="14" l="1"/>
  <c r="L4427" i="14" s="1"/>
  <c r="I4428" i="14" s="1"/>
  <c r="K4405" i="13"/>
  <c r="L4405" i="13" s="1"/>
  <c r="I4406" i="13" s="1"/>
  <c r="M4595" i="14"/>
  <c r="N4591" i="14"/>
  <c r="J4590" i="14" a="1"/>
  <c r="J4590" i="14" s="1"/>
  <c r="N4592" i="13"/>
  <c r="J4591" i="13" a="1"/>
  <c r="J4591" i="13" s="1"/>
  <c r="M4594" i="13"/>
  <c r="K4428" i="14" l="1"/>
  <c r="L4428" i="14" s="1"/>
  <c r="I4429" i="14" s="1"/>
  <c r="K4406" i="13"/>
  <c r="L4406" i="13" s="1"/>
  <c r="I4407" i="13" s="1"/>
  <c r="J4591" i="14" a="1"/>
  <c r="J4591" i="14" s="1"/>
  <c r="N4592" i="14"/>
  <c r="M4596" i="14"/>
  <c r="M4595" i="13"/>
  <c r="J4592" i="13" a="1"/>
  <c r="J4592" i="13" s="1"/>
  <c r="N4593" i="13"/>
  <c r="K4407" i="13" l="1"/>
  <c r="L4407" i="13" s="1"/>
  <c r="I4408" i="13" s="1"/>
  <c r="K4429" i="14"/>
  <c r="L4429" i="14" s="1"/>
  <c r="I4430" i="14" s="1"/>
  <c r="J4593" i="13" a="1"/>
  <c r="J4593" i="13" s="1"/>
  <c r="N4594" i="13"/>
  <c r="M4597" i="14"/>
  <c r="N4593" i="14"/>
  <c r="J4592" i="14" a="1"/>
  <c r="J4592" i="14" s="1"/>
  <c r="M4596" i="13"/>
  <c r="K4430" i="14" l="1"/>
  <c r="L4430" i="14" s="1"/>
  <c r="I4431" i="14" s="1"/>
  <c r="K4408" i="13"/>
  <c r="L4408" i="13" s="1"/>
  <c r="I4409" i="13" s="1"/>
  <c r="M4598" i="14"/>
  <c r="N4594" i="14"/>
  <c r="J4593" i="14" a="1"/>
  <c r="J4593" i="14" s="1"/>
  <c r="M4597" i="13"/>
  <c r="J4594" i="13" a="1"/>
  <c r="J4594" i="13" s="1"/>
  <c r="N4595" i="13"/>
  <c r="K4409" i="13" l="1"/>
  <c r="L4409" i="13" s="1"/>
  <c r="I4410" i="13" s="1"/>
  <c r="K4431" i="14"/>
  <c r="L4431" i="14" s="1"/>
  <c r="I4432" i="14" s="1"/>
  <c r="N4596" i="13"/>
  <c r="J4595" i="13" a="1"/>
  <c r="J4595" i="13" s="1"/>
  <c r="N4595" i="14"/>
  <c r="J4594" i="14" a="1"/>
  <c r="J4594" i="14" s="1"/>
  <c r="M4598" i="13"/>
  <c r="M4599" i="14"/>
  <c r="K4410" i="13" l="1"/>
  <c r="L4410" i="13" s="1"/>
  <c r="I4411" i="13" s="1"/>
  <c r="J4595" i="14" a="1"/>
  <c r="J4595" i="14" s="1"/>
  <c r="N4596" i="14"/>
  <c r="K4432" i="14"/>
  <c r="L4432" i="14" s="1"/>
  <c r="I4433" i="14" s="1"/>
  <c r="M4600" i="14"/>
  <c r="M4599" i="13"/>
  <c r="J4596" i="13" a="1"/>
  <c r="J4596" i="13" s="1"/>
  <c r="N4597" i="13"/>
  <c r="K4433" i="14" l="1"/>
  <c r="L4433" i="14" s="1"/>
  <c r="I4434" i="14" s="1"/>
  <c r="K4411" i="13"/>
  <c r="L4411" i="13" s="1"/>
  <c r="I4412" i="13" s="1"/>
  <c r="J4597" i="13" a="1"/>
  <c r="J4597" i="13" s="1"/>
  <c r="N4598" i="13"/>
  <c r="M4601" i="14"/>
  <c r="N4597" i="14"/>
  <c r="J4596" i="14" a="1"/>
  <c r="J4596" i="14" s="1"/>
  <c r="M4600" i="13"/>
  <c r="K4434" i="14" l="1"/>
  <c r="L4434" i="14" s="1"/>
  <c r="I4435" i="14" s="1"/>
  <c r="M4601" i="13"/>
  <c r="N4598" i="14"/>
  <c r="J4597" i="14" a="1"/>
  <c r="J4597" i="14" s="1"/>
  <c r="M4602" i="14"/>
  <c r="K4412" i="13"/>
  <c r="L4412" i="13" s="1"/>
  <c r="I4413" i="13" s="1"/>
  <c r="J4598" i="13" a="1"/>
  <c r="J4598" i="13" s="1"/>
  <c r="N4599" i="13"/>
  <c r="K4413" i="13" l="1"/>
  <c r="L4413" i="13" s="1"/>
  <c r="I4414" i="13" s="1"/>
  <c r="K4435" i="14"/>
  <c r="L4435" i="14" s="1"/>
  <c r="I4436" i="14" s="1"/>
  <c r="N4600" i="13"/>
  <c r="J4599" i="13" a="1"/>
  <c r="J4599" i="13" s="1"/>
  <c r="M4603" i="14"/>
  <c r="M4602" i="13"/>
  <c r="N4599" i="14"/>
  <c r="J4598" i="14" a="1"/>
  <c r="J4598" i="14" s="1"/>
  <c r="K4414" i="13" l="1"/>
  <c r="L4414" i="13" s="1"/>
  <c r="I4415" i="13" s="1"/>
  <c r="M4604" i="14"/>
  <c r="J4599" i="14" a="1"/>
  <c r="J4599" i="14" s="1"/>
  <c r="N4600" i="14"/>
  <c r="K4436" i="14"/>
  <c r="L4436" i="14" s="1"/>
  <c r="I4437" i="14" s="1"/>
  <c r="M4603" i="13"/>
  <c r="J4600" i="13" a="1"/>
  <c r="J4600" i="13" s="1"/>
  <c r="N4601" i="13"/>
  <c r="K4437" i="14" l="1"/>
  <c r="L4437" i="14" s="1"/>
  <c r="I4438" i="14" s="1"/>
  <c r="K4415" i="13"/>
  <c r="L4415" i="13" s="1"/>
  <c r="I4416" i="13" s="1"/>
  <c r="J4601" i="13" a="1"/>
  <c r="J4601" i="13" s="1"/>
  <c r="N4602" i="13"/>
  <c r="M4605" i="14"/>
  <c r="N4601" i="14"/>
  <c r="J4600" i="14" a="1"/>
  <c r="J4600" i="14" s="1"/>
  <c r="M4604" i="13"/>
  <c r="K4416" i="13" l="1"/>
  <c r="L4416" i="13" s="1"/>
  <c r="I4417" i="13" s="1"/>
  <c r="K4438" i="14"/>
  <c r="L4438" i="14" s="1"/>
  <c r="I4439" i="14" s="1"/>
  <c r="M4606" i="14"/>
  <c r="N4602" i="14"/>
  <c r="J4601" i="14" a="1"/>
  <c r="J4601" i="14" s="1"/>
  <c r="M4605" i="13"/>
  <c r="J4602" i="13" a="1"/>
  <c r="J4602" i="13" s="1"/>
  <c r="N4603" i="13"/>
  <c r="K4417" i="13" l="1"/>
  <c r="L4417" i="13" s="1"/>
  <c r="I4418" i="13" s="1"/>
  <c r="K4439" i="14"/>
  <c r="L4439" i="14" s="1"/>
  <c r="I4440" i="14" s="1"/>
  <c r="N4604" i="13"/>
  <c r="J4603" i="13" a="1"/>
  <c r="J4603" i="13" s="1"/>
  <c r="N4603" i="14"/>
  <c r="J4602" i="14" a="1"/>
  <c r="J4602" i="14" s="1"/>
  <c r="M4606" i="13"/>
  <c r="M4607" i="14"/>
  <c r="K4418" i="13" l="1"/>
  <c r="L4418" i="13" s="1"/>
  <c r="I4419" i="13" s="1"/>
  <c r="J4603" i="14" a="1"/>
  <c r="J4603" i="14" s="1"/>
  <c r="N4604" i="14"/>
  <c r="K4440" i="14"/>
  <c r="L4440" i="14" s="1"/>
  <c r="I4441" i="14" s="1"/>
  <c r="M4608" i="14"/>
  <c r="M4607" i="13"/>
  <c r="J4604" i="13" a="1"/>
  <c r="J4604" i="13" s="1"/>
  <c r="N4605" i="13"/>
  <c r="K4441" i="14" l="1"/>
  <c r="L4441" i="14" s="1"/>
  <c r="I4442" i="14" s="1"/>
  <c r="K4419" i="13"/>
  <c r="L4419" i="13" s="1"/>
  <c r="I4420" i="13" s="1"/>
  <c r="J4605" i="13" a="1"/>
  <c r="J4605" i="13" s="1"/>
  <c r="N4606" i="13"/>
  <c r="J4604" i="14" a="1"/>
  <c r="J4604" i="14" s="1"/>
  <c r="N4605" i="14"/>
  <c r="M4609" i="14"/>
  <c r="M4608" i="13"/>
  <c r="K4442" i="14" l="1"/>
  <c r="L4442" i="14" s="1"/>
  <c r="I4443" i="14" s="1"/>
  <c r="M4609" i="13"/>
  <c r="M4610" i="14"/>
  <c r="N4606" i="14"/>
  <c r="J4605" i="14" a="1"/>
  <c r="J4605" i="14" s="1"/>
  <c r="K4420" i="13"/>
  <c r="L4420" i="13" s="1"/>
  <c r="I4421" i="13" s="1"/>
  <c r="J4606" i="13" a="1"/>
  <c r="J4606" i="13" s="1"/>
  <c r="N4607" i="13"/>
  <c r="K4421" i="13" l="1"/>
  <c r="L4421" i="13" s="1"/>
  <c r="I4422" i="13" s="1"/>
  <c r="K4443" i="14"/>
  <c r="L4443" i="14" s="1"/>
  <c r="I4444" i="14" s="1"/>
  <c r="N4607" i="14"/>
  <c r="J4606" i="14" a="1"/>
  <c r="J4606" i="14" s="1"/>
  <c r="M4610" i="13"/>
  <c r="N4608" i="13"/>
  <c r="J4607" i="13" a="1"/>
  <c r="J4607" i="13" s="1"/>
  <c r="M4611" i="14"/>
  <c r="K4444" i="14" l="1"/>
  <c r="L4444" i="14" s="1"/>
  <c r="I4445" i="14" s="1"/>
  <c r="K4422" i="13"/>
  <c r="L4422" i="13" s="1"/>
  <c r="I4423" i="13" s="1"/>
  <c r="M4611" i="13"/>
  <c r="J4608" i="13" a="1"/>
  <c r="J4608" i="13" s="1"/>
  <c r="N4609" i="13"/>
  <c r="M4612" i="14"/>
  <c r="J4607" i="14" a="1"/>
  <c r="J4607" i="14" s="1"/>
  <c r="N4608" i="14"/>
  <c r="K4423" i="13" l="1"/>
  <c r="L4423" i="13" s="1"/>
  <c r="I4424" i="13" s="1"/>
  <c r="K4445" i="14"/>
  <c r="L4445" i="14" s="1"/>
  <c r="I4446" i="14" s="1"/>
  <c r="J4609" i="13" a="1"/>
  <c r="J4609" i="13" s="1"/>
  <c r="N4610" i="13"/>
  <c r="N4609" i="14"/>
  <c r="J4608" i="14" a="1"/>
  <c r="J4608" i="14" s="1"/>
  <c r="M4613" i="14"/>
  <c r="M4612" i="13"/>
  <c r="K4424" i="13" l="1"/>
  <c r="L4424" i="13" s="1"/>
  <c r="I4425" i="13" s="1"/>
  <c r="N4610" i="14"/>
  <c r="J4609" i="14" a="1"/>
  <c r="J4609" i="14" s="1"/>
  <c r="K4446" i="14"/>
  <c r="L4446" i="14" s="1"/>
  <c r="I4447" i="14" s="1"/>
  <c r="M4613" i="13"/>
  <c r="M4614" i="14"/>
  <c r="J4610" i="13" a="1"/>
  <c r="J4610" i="13" s="1"/>
  <c r="N4611" i="13"/>
  <c r="K4447" i="14" l="1"/>
  <c r="L4447" i="14" s="1"/>
  <c r="I4448" i="14" s="1"/>
  <c r="K4425" i="13"/>
  <c r="L4425" i="13" s="1"/>
  <c r="I4426" i="13" s="1"/>
  <c r="M4614" i="13"/>
  <c r="N4611" i="14"/>
  <c r="J4610" i="14" a="1"/>
  <c r="J4610" i="14" s="1"/>
  <c r="N4612" i="13"/>
  <c r="J4611" i="13" a="1"/>
  <c r="J4611" i="13" s="1"/>
  <c r="M4615" i="14"/>
  <c r="K4426" i="13" l="1"/>
  <c r="L4426" i="13" s="1"/>
  <c r="I4427" i="13" s="1"/>
  <c r="K4448" i="14"/>
  <c r="L4448" i="14" s="1"/>
  <c r="I4449" i="14" s="1"/>
  <c r="J4611" i="14" a="1"/>
  <c r="J4611" i="14" s="1"/>
  <c r="N4612" i="14"/>
  <c r="M4616" i="14"/>
  <c r="M4615" i="13"/>
  <c r="J4612" i="13" a="1"/>
  <c r="J4612" i="13" s="1"/>
  <c r="N4613" i="13"/>
  <c r="K4449" i="14" l="1"/>
  <c r="L4449" i="14" s="1"/>
  <c r="I4450" i="14" s="1"/>
  <c r="K4427" i="13"/>
  <c r="L4427" i="13" s="1"/>
  <c r="I4428" i="13" s="1"/>
  <c r="M4616" i="13"/>
  <c r="J4613" i="13" a="1"/>
  <c r="J4613" i="13" s="1"/>
  <c r="N4614" i="13"/>
  <c r="M4617" i="14"/>
  <c r="N4613" i="14"/>
  <c r="J4612" i="14" a="1"/>
  <c r="J4612" i="14" s="1"/>
  <c r="K4428" i="13" l="1"/>
  <c r="L4428" i="13" s="1"/>
  <c r="I4429" i="13" s="1"/>
  <c r="K4450" i="14"/>
  <c r="L4450" i="14" s="1"/>
  <c r="I4451" i="14" s="1"/>
  <c r="N4614" i="14"/>
  <c r="J4613" i="14" a="1"/>
  <c r="J4613" i="14" s="1"/>
  <c r="J4614" i="13" a="1"/>
  <c r="J4614" i="13" s="1"/>
  <c r="N4615" i="13"/>
  <c r="M4618" i="14"/>
  <c r="M4617" i="13"/>
  <c r="K4451" i="14" l="1"/>
  <c r="L4451" i="14" s="1"/>
  <c r="I4452" i="14" s="1"/>
  <c r="K4429" i="13"/>
  <c r="L4429" i="13" s="1"/>
  <c r="I4430" i="13" s="1"/>
  <c r="M4618" i="13"/>
  <c r="N4616" i="13"/>
  <c r="J4615" i="13" a="1"/>
  <c r="J4615" i="13" s="1"/>
  <c r="M4619" i="14"/>
  <c r="N4615" i="14"/>
  <c r="J4614" i="14" a="1"/>
  <c r="J4614" i="14" s="1"/>
  <c r="K4430" i="13" l="1"/>
  <c r="L4430" i="13" s="1"/>
  <c r="I4431" i="13" s="1"/>
  <c r="K4452" i="14"/>
  <c r="L4452" i="14" s="1"/>
  <c r="I4453" i="14" s="1"/>
  <c r="J4615" i="14" a="1"/>
  <c r="J4615" i="14" s="1"/>
  <c r="N4616" i="14"/>
  <c r="J4616" i="13" a="1"/>
  <c r="J4616" i="13" s="1"/>
  <c r="N4617" i="13"/>
  <c r="M4620" i="14"/>
  <c r="M4619" i="13"/>
  <c r="K4453" i="14" l="1"/>
  <c r="L4453" i="14" s="1"/>
  <c r="I4454" i="14" s="1"/>
  <c r="K4431" i="13"/>
  <c r="L4431" i="13" s="1"/>
  <c r="I4432" i="13" s="1"/>
  <c r="J4617" i="13" a="1"/>
  <c r="J4617" i="13" s="1"/>
  <c r="N4618" i="13"/>
  <c r="M4620" i="13"/>
  <c r="N4617" i="14"/>
  <c r="J4616" i="14" a="1"/>
  <c r="J4616" i="14" s="1"/>
  <c r="M4621" i="14"/>
  <c r="K4432" i="13" l="1"/>
  <c r="L4432" i="13" s="1"/>
  <c r="I4433" i="13" s="1"/>
  <c r="K4454" i="14"/>
  <c r="L4454" i="14" s="1"/>
  <c r="I4455" i="14" s="1"/>
  <c r="N4618" i="14"/>
  <c r="J4617" i="14" a="1"/>
  <c r="J4617" i="14" s="1"/>
  <c r="M4622" i="14"/>
  <c r="M4621" i="13"/>
  <c r="J4618" i="13" a="1"/>
  <c r="J4618" i="13" s="1"/>
  <c r="N4619" i="13"/>
  <c r="K4455" i="14" l="1"/>
  <c r="L4455" i="14" s="1"/>
  <c r="I4456" i="14" s="1"/>
  <c r="K4433" i="13"/>
  <c r="L4433" i="13" s="1"/>
  <c r="I4434" i="13" s="1"/>
  <c r="N4620" i="13"/>
  <c r="J4619" i="13" a="1"/>
  <c r="J4619" i="13" s="1"/>
  <c r="M4623" i="14"/>
  <c r="M4622" i="13"/>
  <c r="N4619" i="14"/>
  <c r="J4618" i="14" a="1"/>
  <c r="J4618" i="14" s="1"/>
  <c r="K4434" i="13" l="1"/>
  <c r="L4434" i="13" s="1"/>
  <c r="I4435" i="13" s="1"/>
  <c r="K4456" i="14"/>
  <c r="L4456" i="14" s="1"/>
  <c r="I4457" i="14" s="1"/>
  <c r="J4619" i="14" a="1"/>
  <c r="J4619" i="14" s="1"/>
  <c r="N4620" i="14"/>
  <c r="M4624" i="14"/>
  <c r="M4623" i="13"/>
  <c r="J4620" i="13" a="1"/>
  <c r="J4620" i="13" s="1"/>
  <c r="N4621" i="13"/>
  <c r="K4457" i="14" l="1"/>
  <c r="L4457" i="14" s="1"/>
  <c r="I4458" i="14" s="1"/>
  <c r="K4435" i="13"/>
  <c r="L4435" i="13" s="1"/>
  <c r="I4436" i="13" s="1"/>
  <c r="M4624" i="13"/>
  <c r="J4621" i="13" a="1"/>
  <c r="J4621" i="13" s="1"/>
  <c r="N4622" i="13"/>
  <c r="M4625" i="14"/>
  <c r="N4621" i="14"/>
  <c r="J4620" i="14" a="1"/>
  <c r="J4620" i="14" s="1"/>
  <c r="K4436" i="13" l="1"/>
  <c r="L4436" i="13" s="1"/>
  <c r="I4437" i="13" s="1"/>
  <c r="K4458" i="14"/>
  <c r="L4458" i="14" s="1"/>
  <c r="I4459" i="14" s="1"/>
  <c r="J4622" i="13" a="1"/>
  <c r="J4622" i="13" s="1"/>
  <c r="N4623" i="13"/>
  <c r="N4622" i="14"/>
  <c r="J4621" i="14" a="1"/>
  <c r="J4621" i="14" s="1"/>
  <c r="M4626" i="14"/>
  <c r="M4625" i="13"/>
  <c r="K4437" i="13" l="1"/>
  <c r="L4437" i="13" s="1"/>
  <c r="I4438" i="13" s="1"/>
  <c r="N4623" i="14"/>
  <c r="J4622" i="14" a="1"/>
  <c r="J4622" i="14" s="1"/>
  <c r="K4459" i="14"/>
  <c r="L4459" i="14" s="1"/>
  <c r="I4460" i="14" s="1"/>
  <c r="N4624" i="13"/>
  <c r="J4623" i="13" a="1"/>
  <c r="J4623" i="13" s="1"/>
  <c r="M4626" i="13"/>
  <c r="M4627" i="14"/>
  <c r="K4460" i="14" l="1"/>
  <c r="L4460" i="14" s="1"/>
  <c r="I4461" i="14" s="1"/>
  <c r="K4438" i="13"/>
  <c r="L4438" i="13" s="1"/>
  <c r="I4439" i="13" s="1"/>
  <c r="J4624" i="13" a="1"/>
  <c r="J4624" i="13" s="1"/>
  <c r="N4625" i="13"/>
  <c r="J4623" i="14" a="1"/>
  <c r="J4623" i="14" s="1"/>
  <c r="N4624" i="14"/>
  <c r="M4628" i="14"/>
  <c r="M4627" i="13"/>
  <c r="K4439" i="13" l="1"/>
  <c r="L4439" i="13" s="1"/>
  <c r="I4440" i="13" s="1"/>
  <c r="K4461" i="14"/>
  <c r="L4461" i="14" s="1"/>
  <c r="I4462" i="14" s="1"/>
  <c r="N4625" i="14"/>
  <c r="J4624" i="14" a="1"/>
  <c r="J4624" i="14" s="1"/>
  <c r="M4628" i="13"/>
  <c r="J4625" i="13" a="1"/>
  <c r="J4625" i="13" s="1"/>
  <c r="N4626" i="13"/>
  <c r="M4629" i="14"/>
  <c r="K4462" i="14" l="1"/>
  <c r="L4462" i="14" s="1"/>
  <c r="I4463" i="14" s="1"/>
  <c r="K4440" i="13"/>
  <c r="L4440" i="13" s="1"/>
  <c r="I4441" i="13" s="1"/>
  <c r="M4630" i="14"/>
  <c r="M4629" i="13"/>
  <c r="J4626" i="13" a="1"/>
  <c r="J4626" i="13" s="1"/>
  <c r="N4627" i="13"/>
  <c r="N4626" i="14"/>
  <c r="J4625" i="14" a="1"/>
  <c r="J4625" i="14" s="1"/>
  <c r="K4463" i="14" l="1"/>
  <c r="L4463" i="14" s="1"/>
  <c r="I4464" i="14" s="1"/>
  <c r="K4441" i="13"/>
  <c r="L4441" i="13" s="1"/>
  <c r="I4442" i="13" s="1"/>
  <c r="N4627" i="14"/>
  <c r="J4626" i="14" a="1"/>
  <c r="J4626" i="14" s="1"/>
  <c r="M4630" i="13"/>
  <c r="N4628" i="13"/>
  <c r="J4627" i="13" a="1"/>
  <c r="J4627" i="13" s="1"/>
  <c r="M4631" i="14"/>
  <c r="K4442" i="13" l="1"/>
  <c r="L4442" i="13" s="1"/>
  <c r="I4443" i="13" s="1"/>
  <c r="K4464" i="14"/>
  <c r="L4464" i="14" s="1"/>
  <c r="I4465" i="14" s="1"/>
  <c r="J4628" i="13" a="1"/>
  <c r="J4628" i="13" s="1"/>
  <c r="N4629" i="13"/>
  <c r="M4632" i="14"/>
  <c r="M4631" i="13"/>
  <c r="J4627" i="14" a="1"/>
  <c r="J4627" i="14" s="1"/>
  <c r="N4628" i="14"/>
  <c r="K4465" i="14" l="1"/>
  <c r="L4465" i="14" s="1"/>
  <c r="I4466" i="14" s="1"/>
  <c r="M4632" i="13"/>
  <c r="N4629" i="14"/>
  <c r="J4628" i="14" a="1"/>
  <c r="J4628" i="14" s="1"/>
  <c r="M4633" i="14"/>
  <c r="J4629" i="13" a="1"/>
  <c r="J4629" i="13" s="1"/>
  <c r="N4630" i="13"/>
  <c r="K4443" i="13"/>
  <c r="L4443" i="13" s="1"/>
  <c r="I4444" i="13" s="1"/>
  <c r="K4466" i="14" l="1"/>
  <c r="L4466" i="14" s="1"/>
  <c r="I4467" i="14" s="1"/>
  <c r="K4444" i="13"/>
  <c r="L4444" i="13" s="1"/>
  <c r="I4445" i="13" s="1"/>
  <c r="M4634" i="14"/>
  <c r="M4633" i="13"/>
  <c r="J4630" i="13" a="1"/>
  <c r="J4630" i="13" s="1"/>
  <c r="N4631" i="13"/>
  <c r="N4630" i="14"/>
  <c r="J4629" i="14" a="1"/>
  <c r="J4629" i="14" s="1"/>
  <c r="K4445" i="13" l="1"/>
  <c r="L4445" i="13" s="1"/>
  <c r="I4446" i="13" s="1"/>
  <c r="K4467" i="14"/>
  <c r="L4467" i="14" s="1"/>
  <c r="I4468" i="14" s="1"/>
  <c r="N4631" i="14"/>
  <c r="J4630" i="14" a="1"/>
  <c r="J4630" i="14" s="1"/>
  <c r="M4634" i="13"/>
  <c r="N4632" i="13"/>
  <c r="J4631" i="13" a="1"/>
  <c r="J4631" i="13" s="1"/>
  <c r="M4635" i="14"/>
  <c r="K4446" i="13" l="1"/>
  <c r="L4446" i="13" s="1"/>
  <c r="I4447" i="13" s="1"/>
  <c r="M4636" i="14"/>
  <c r="M4635" i="13"/>
  <c r="K4468" i="14"/>
  <c r="L4468" i="14" s="1"/>
  <c r="I4469" i="14" s="1"/>
  <c r="J4632" i="13" a="1"/>
  <c r="J4632" i="13" s="1"/>
  <c r="N4633" i="13"/>
  <c r="J4631" i="14" a="1"/>
  <c r="J4631" i="14" s="1"/>
  <c r="N4632" i="14"/>
  <c r="K4447" i="13" l="1"/>
  <c r="L4447" i="13" s="1"/>
  <c r="I4448" i="13" s="1"/>
  <c r="N4633" i="14"/>
  <c r="J4632" i="14" a="1"/>
  <c r="J4632" i="14" s="1"/>
  <c r="K4469" i="14"/>
  <c r="L4469" i="14" s="1"/>
  <c r="I4470" i="14" s="1"/>
  <c r="M4637" i="14"/>
  <c r="J4633" i="13" a="1"/>
  <c r="J4633" i="13" s="1"/>
  <c r="N4634" i="13"/>
  <c r="M4636" i="13"/>
  <c r="K4470" i="14" l="1"/>
  <c r="L4470" i="14" s="1"/>
  <c r="I4471" i="14" s="1"/>
  <c r="K4448" i="13"/>
  <c r="L4448" i="13" s="1"/>
  <c r="I4449" i="13" s="1"/>
  <c r="M4637" i="13"/>
  <c r="N4634" i="14"/>
  <c r="J4633" i="14" a="1"/>
  <c r="J4633" i="14" s="1"/>
  <c r="M4638" i="14"/>
  <c r="J4634" i="13" a="1"/>
  <c r="J4634" i="13" s="1"/>
  <c r="N4635" i="13"/>
  <c r="K4449" i="13" l="1"/>
  <c r="L4449" i="13" s="1"/>
  <c r="I4450" i="13" s="1"/>
  <c r="K4471" i="14"/>
  <c r="L4471" i="14" s="1"/>
  <c r="I4472" i="14" s="1"/>
  <c r="N4636" i="13"/>
  <c r="J4635" i="13" a="1"/>
  <c r="J4635" i="13" s="1"/>
  <c r="N4635" i="14"/>
  <c r="J4634" i="14" a="1"/>
  <c r="J4634" i="14" s="1"/>
  <c r="M4639" i="14"/>
  <c r="M4638" i="13"/>
  <c r="K4450" i="13" l="1"/>
  <c r="L4450" i="13" s="1"/>
  <c r="I4451" i="13" s="1"/>
  <c r="M4639" i="13"/>
  <c r="J4635" i="14" a="1"/>
  <c r="J4635" i="14" s="1"/>
  <c r="N4636" i="14"/>
  <c r="K4472" i="14"/>
  <c r="L4472" i="14" s="1"/>
  <c r="I4473" i="14" s="1"/>
  <c r="M4640" i="14"/>
  <c r="J4636" i="13" a="1"/>
  <c r="J4636" i="13" s="1"/>
  <c r="N4637" i="13"/>
  <c r="K4473" i="14" l="1"/>
  <c r="L4473" i="14" s="1"/>
  <c r="I4474" i="14" s="1"/>
  <c r="K4451" i="13"/>
  <c r="L4451" i="13" s="1"/>
  <c r="I4452" i="13" s="1"/>
  <c r="J4637" i="13" a="1"/>
  <c r="J4637" i="13" s="1"/>
  <c r="N4638" i="13"/>
  <c r="M4640" i="13"/>
  <c r="N4637" i="14"/>
  <c r="J4636" i="14" a="1"/>
  <c r="J4636" i="14" s="1"/>
  <c r="M4641" i="14"/>
  <c r="K4452" i="13" l="1"/>
  <c r="L4452" i="13" s="1"/>
  <c r="I4453" i="13" s="1"/>
  <c r="K4474" i="14"/>
  <c r="L4474" i="14" s="1"/>
  <c r="I4475" i="14" s="1"/>
  <c r="N4638" i="14"/>
  <c r="J4637" i="14" a="1"/>
  <c r="J4637" i="14" s="1"/>
  <c r="M4642" i="14"/>
  <c r="M4641" i="13"/>
  <c r="J4638" i="13" a="1"/>
  <c r="J4638" i="13" s="1"/>
  <c r="N4639" i="13"/>
  <c r="K4475" i="14" l="1"/>
  <c r="L4475" i="14" s="1"/>
  <c r="I4476" i="14" s="1"/>
  <c r="K4453" i="13"/>
  <c r="L4453" i="13" s="1"/>
  <c r="I4454" i="13" s="1"/>
  <c r="M4642" i="13"/>
  <c r="N4640" i="13"/>
  <c r="J4639" i="13" a="1"/>
  <c r="J4639" i="13" s="1"/>
  <c r="M4643" i="14"/>
  <c r="N4639" i="14"/>
  <c r="J4638" i="14" a="1"/>
  <c r="J4638" i="14" s="1"/>
  <c r="K4476" i="14" l="1"/>
  <c r="L4476" i="14" s="1"/>
  <c r="I4477" i="14" s="1"/>
  <c r="J4639" i="14" a="1"/>
  <c r="J4639" i="14" s="1"/>
  <c r="N4640" i="14"/>
  <c r="K4454" i="13"/>
  <c r="L4454" i="13" s="1"/>
  <c r="I4455" i="13" s="1"/>
  <c r="J4640" i="13" a="1"/>
  <c r="J4640" i="13" s="1"/>
  <c r="N4641" i="13"/>
  <c r="M4643" i="13"/>
  <c r="M4644" i="14"/>
  <c r="K4455" i="13" l="1"/>
  <c r="L4455" i="13" s="1"/>
  <c r="I4456" i="13" s="1"/>
  <c r="K4477" i="14"/>
  <c r="L4477" i="14" s="1"/>
  <c r="I4478" i="14" s="1"/>
  <c r="J4641" i="13" a="1"/>
  <c r="J4641" i="13" s="1"/>
  <c r="N4642" i="13"/>
  <c r="N4641" i="14"/>
  <c r="J4640" i="14" a="1"/>
  <c r="J4640" i="14" s="1"/>
  <c r="M4645" i="14"/>
  <c r="M4644" i="13"/>
  <c r="K4478" i="14" l="1"/>
  <c r="L4478" i="14" s="1"/>
  <c r="I4479" i="14" s="1"/>
  <c r="K4456" i="13"/>
  <c r="L4456" i="13" s="1"/>
  <c r="I4457" i="13" s="1"/>
  <c r="M4645" i="13"/>
  <c r="N4642" i="14"/>
  <c r="J4641" i="14" a="1"/>
  <c r="J4641" i="14" s="1"/>
  <c r="J4642" i="13" a="1"/>
  <c r="J4642" i="13" s="1"/>
  <c r="N4643" i="13"/>
  <c r="M4646" i="14"/>
  <c r="K4479" i="14" l="1"/>
  <c r="L4479" i="14" s="1"/>
  <c r="I4480" i="14" s="1"/>
  <c r="K4457" i="13"/>
  <c r="L4457" i="13" s="1"/>
  <c r="I4458" i="13" s="1"/>
  <c r="N4643" i="14"/>
  <c r="J4642" i="14" a="1"/>
  <c r="J4642" i="14" s="1"/>
  <c r="N4644" i="13"/>
  <c r="J4643" i="13" a="1"/>
  <c r="J4643" i="13" s="1"/>
  <c r="M4647" i="14"/>
  <c r="M4646" i="13"/>
  <c r="K4480" i="14" l="1"/>
  <c r="L4480" i="14" s="1"/>
  <c r="I4481" i="14" s="1"/>
  <c r="M4647" i="13"/>
  <c r="J4644" i="13" a="1"/>
  <c r="J4644" i="13" s="1"/>
  <c r="N4645" i="13"/>
  <c r="K4458" i="13"/>
  <c r="L4458" i="13" s="1"/>
  <c r="I4459" i="13" s="1"/>
  <c r="M4648" i="14"/>
  <c r="J4643" i="14" a="1"/>
  <c r="J4643" i="14" s="1"/>
  <c r="N4644" i="14"/>
  <c r="K4459" i="13" l="1"/>
  <c r="L4459" i="13" s="1"/>
  <c r="I4460" i="13" s="1"/>
  <c r="K4481" i="14"/>
  <c r="L4481" i="14" s="1"/>
  <c r="I4482" i="14" s="1"/>
  <c r="N4645" i="14"/>
  <c r="J4644" i="14" a="1"/>
  <c r="J4644" i="14" s="1"/>
  <c r="M4649" i="14"/>
  <c r="M4648" i="13"/>
  <c r="J4645" i="13" a="1"/>
  <c r="J4645" i="13" s="1"/>
  <c r="N4646" i="13"/>
  <c r="K4482" i="14" l="1"/>
  <c r="L4482" i="14" s="1"/>
  <c r="I4483" i="14" s="1"/>
  <c r="K4460" i="13"/>
  <c r="L4460" i="13" s="1"/>
  <c r="I4461" i="13" s="1"/>
  <c r="J4646" i="13" a="1"/>
  <c r="J4646" i="13" s="1"/>
  <c r="N4647" i="13"/>
  <c r="M4650" i="14"/>
  <c r="M4649" i="13"/>
  <c r="N4646" i="14"/>
  <c r="J4645" i="14" a="1"/>
  <c r="J4645" i="14" s="1"/>
  <c r="K4461" i="13" l="1"/>
  <c r="L4461" i="13" s="1"/>
  <c r="I4462" i="13" s="1"/>
  <c r="M4650" i="13"/>
  <c r="N4647" i="14"/>
  <c r="J4646" i="14" a="1"/>
  <c r="J4646" i="14" s="1"/>
  <c r="M4651" i="14"/>
  <c r="N4648" i="13"/>
  <c r="J4647" i="13" a="1"/>
  <c r="J4647" i="13" s="1"/>
  <c r="K4483" i="14"/>
  <c r="L4483" i="14" s="1"/>
  <c r="I4484" i="14" s="1"/>
  <c r="K4484" i="14" l="1"/>
  <c r="L4484" i="14" s="1"/>
  <c r="I4485" i="14" s="1"/>
  <c r="K4462" i="13"/>
  <c r="L4462" i="13" s="1"/>
  <c r="I4463" i="13" s="1"/>
  <c r="M4652" i="14"/>
  <c r="M4651" i="13"/>
  <c r="J4648" i="13" a="1"/>
  <c r="J4648" i="13" s="1"/>
  <c r="N4649" i="13"/>
  <c r="J4647" i="14" a="1"/>
  <c r="J4647" i="14" s="1"/>
  <c r="N4648" i="14"/>
  <c r="K4485" i="14" l="1"/>
  <c r="L4485" i="14" s="1"/>
  <c r="I4486" i="14" s="1"/>
  <c r="K4463" i="13"/>
  <c r="L4463" i="13" s="1"/>
  <c r="I4464" i="13" s="1"/>
  <c r="N4649" i="14"/>
  <c r="J4648" i="14" a="1"/>
  <c r="J4648" i="14" s="1"/>
  <c r="M4652" i="13"/>
  <c r="J4649" i="13" a="1"/>
  <c r="J4649" i="13" s="1"/>
  <c r="N4650" i="13"/>
  <c r="M4653" i="14"/>
  <c r="K4464" i="13" l="1"/>
  <c r="L4464" i="13" s="1"/>
  <c r="I4465" i="13" s="1"/>
  <c r="K4486" i="14"/>
  <c r="L4486" i="14" s="1"/>
  <c r="I4487" i="14" s="1"/>
  <c r="J4650" i="13" a="1"/>
  <c r="J4650" i="13" s="1"/>
  <c r="N4651" i="13"/>
  <c r="M4654" i="14"/>
  <c r="M4653" i="13"/>
  <c r="N4650" i="14"/>
  <c r="J4649" i="14" a="1"/>
  <c r="J4649" i="14" s="1"/>
  <c r="K4465" i="13" l="1"/>
  <c r="L4465" i="13" s="1"/>
  <c r="I4466" i="13" s="1"/>
  <c r="K4487" i="14"/>
  <c r="L4487" i="14" s="1"/>
  <c r="I4488" i="14" s="1"/>
  <c r="N4651" i="14"/>
  <c r="J4650" i="14" a="1"/>
  <c r="J4650" i="14" s="1"/>
  <c r="M4655" i="14"/>
  <c r="M4654" i="13"/>
  <c r="N4652" i="13"/>
  <c r="J4651" i="13" a="1"/>
  <c r="J4651" i="13" s="1"/>
  <c r="K4488" i="14" l="1"/>
  <c r="L4488" i="14" s="1"/>
  <c r="I4489" i="14" s="1"/>
  <c r="K4466" i="13"/>
  <c r="L4466" i="13" s="1"/>
  <c r="I4467" i="13" s="1"/>
  <c r="J4652" i="13" a="1"/>
  <c r="J4652" i="13" s="1"/>
  <c r="N4653" i="13"/>
  <c r="M4656" i="14"/>
  <c r="M4655" i="13"/>
  <c r="J4651" i="14" a="1"/>
  <c r="J4651" i="14" s="1"/>
  <c r="N4652" i="14"/>
  <c r="K4467" i="13" l="1"/>
  <c r="L4467" i="13" s="1"/>
  <c r="I4468" i="13" s="1"/>
  <c r="K4489" i="14"/>
  <c r="L4489" i="14" s="1"/>
  <c r="I4490" i="14" s="1"/>
  <c r="N4653" i="14"/>
  <c r="J4652" i="14" a="1"/>
  <c r="J4652" i="14" s="1"/>
  <c r="M4657" i="14"/>
  <c r="J4653" i="13" a="1"/>
  <c r="J4653" i="13" s="1"/>
  <c r="N4654" i="13"/>
  <c r="M4656" i="13"/>
  <c r="K4490" i="14" l="1"/>
  <c r="L4490" i="14" s="1"/>
  <c r="I4491" i="14" s="1"/>
  <c r="K4468" i="13"/>
  <c r="L4468" i="13" s="1"/>
  <c r="I4469" i="13" s="1"/>
  <c r="M4658" i="14"/>
  <c r="J4654" i="13" a="1"/>
  <c r="J4654" i="13" s="1"/>
  <c r="N4655" i="13"/>
  <c r="M4657" i="13"/>
  <c r="N4654" i="14"/>
  <c r="J4653" i="14" a="1"/>
  <c r="J4653" i="14" s="1"/>
  <c r="K4469" i="13" l="1"/>
  <c r="L4469" i="13" s="1"/>
  <c r="I4470" i="13" s="1"/>
  <c r="K4491" i="14"/>
  <c r="L4491" i="14" s="1"/>
  <c r="I4492" i="14" s="1"/>
  <c r="N4656" i="13"/>
  <c r="J4655" i="13" a="1"/>
  <c r="J4655" i="13" s="1"/>
  <c r="N4655" i="14"/>
  <c r="J4654" i="14" a="1"/>
  <c r="J4654" i="14" s="1"/>
  <c r="M4658" i="13"/>
  <c r="M4659" i="14"/>
  <c r="K4492" i="14" l="1"/>
  <c r="L4492" i="14" s="1"/>
  <c r="I4493" i="14" s="1"/>
  <c r="K4470" i="13"/>
  <c r="L4470" i="13" s="1"/>
  <c r="I4471" i="13" s="1"/>
  <c r="J4655" i="14" a="1"/>
  <c r="J4655" i="14" s="1"/>
  <c r="N4656" i="14"/>
  <c r="M4660" i="14"/>
  <c r="M4659" i="13"/>
  <c r="J4656" i="13" a="1"/>
  <c r="J4656" i="13" s="1"/>
  <c r="N4657" i="13"/>
  <c r="K4471" i="13" l="1"/>
  <c r="L4471" i="13" s="1"/>
  <c r="I4472" i="13" s="1"/>
  <c r="K4493" i="14"/>
  <c r="L4493" i="14" s="1"/>
  <c r="I4494" i="14" s="1"/>
  <c r="J4657" i="13" a="1"/>
  <c r="J4657" i="13" s="1"/>
  <c r="N4658" i="13"/>
  <c r="M4661" i="14"/>
  <c r="N4657" i="14"/>
  <c r="J4656" i="14" a="1"/>
  <c r="J4656" i="14" s="1"/>
  <c r="M4660" i="13"/>
  <c r="K4494" i="14" l="1"/>
  <c r="L4494" i="14" s="1"/>
  <c r="I4495" i="14" s="1"/>
  <c r="K4472" i="13"/>
  <c r="L4472" i="13" s="1"/>
  <c r="I4473" i="13" s="1"/>
  <c r="J4658" i="13" a="1"/>
  <c r="J4658" i="13" s="1"/>
  <c r="N4659" i="13"/>
  <c r="N4658" i="14"/>
  <c r="J4657" i="14" a="1"/>
  <c r="J4657" i="14" s="1"/>
  <c r="M4662" i="14"/>
  <c r="M4661" i="13"/>
  <c r="K4495" i="14" l="1"/>
  <c r="L4495" i="14" s="1"/>
  <c r="I4496" i="14" s="1"/>
  <c r="N4659" i="14"/>
  <c r="J4658" i="14" a="1"/>
  <c r="J4658" i="14" s="1"/>
  <c r="K4473" i="13"/>
  <c r="L4473" i="13" s="1"/>
  <c r="I4474" i="13" s="1"/>
  <c r="N4660" i="13"/>
  <c r="J4659" i="13" a="1"/>
  <c r="J4659" i="13" s="1"/>
  <c r="M4662" i="13"/>
  <c r="M4663" i="14"/>
  <c r="K4474" i="13" l="1"/>
  <c r="L4474" i="13" s="1"/>
  <c r="I4475" i="13" s="1"/>
  <c r="K4496" i="14"/>
  <c r="L4496" i="14" s="1"/>
  <c r="I4497" i="14" s="1"/>
  <c r="M4664" i="14"/>
  <c r="J4660" i="13" a="1"/>
  <c r="J4660" i="13" s="1"/>
  <c r="N4661" i="13"/>
  <c r="J4659" i="14" a="1"/>
  <c r="J4659" i="14" s="1"/>
  <c r="N4660" i="14"/>
  <c r="M4663" i="13"/>
  <c r="K4475" i="13" l="1"/>
  <c r="L4475" i="13" s="1"/>
  <c r="I4476" i="13" s="1"/>
  <c r="J4661" i="13" a="1"/>
  <c r="J4661" i="13" s="1"/>
  <c r="N4662" i="13"/>
  <c r="K4497" i="14"/>
  <c r="L4497" i="14" s="1"/>
  <c r="I4498" i="14" s="1"/>
  <c r="N4661" i="14"/>
  <c r="J4660" i="14" a="1"/>
  <c r="J4660" i="14" s="1"/>
  <c r="M4665" i="14"/>
  <c r="M4664" i="13"/>
  <c r="K4498" i="14" l="1"/>
  <c r="L4498" i="14" s="1"/>
  <c r="I4499" i="14" s="1"/>
  <c r="K4476" i="13"/>
  <c r="L4476" i="13" s="1"/>
  <c r="I4477" i="13" s="1"/>
  <c r="J4662" i="13" a="1"/>
  <c r="J4662" i="13" s="1"/>
  <c r="N4663" i="13"/>
  <c r="M4665" i="13"/>
  <c r="N4662" i="14"/>
  <c r="J4661" i="14" a="1"/>
  <c r="J4661" i="14" s="1"/>
  <c r="M4666" i="14"/>
  <c r="K4477" i="13" l="1"/>
  <c r="L4477" i="13" s="1"/>
  <c r="I4478" i="13" s="1"/>
  <c r="K4499" i="14"/>
  <c r="L4499" i="14" s="1"/>
  <c r="I4500" i="14" s="1"/>
  <c r="N4664" i="13"/>
  <c r="J4663" i="13" a="1"/>
  <c r="J4663" i="13" s="1"/>
  <c r="N4663" i="14"/>
  <c r="J4662" i="14" a="1"/>
  <c r="J4662" i="14" s="1"/>
  <c r="M4667" i="14"/>
  <c r="M4666" i="13"/>
  <c r="K4478" i="13" l="1"/>
  <c r="L4478" i="13" s="1"/>
  <c r="I4479" i="13" s="1"/>
  <c r="J4663" i="14" a="1"/>
  <c r="J4663" i="14" s="1"/>
  <c r="N4664" i="14"/>
  <c r="K4500" i="14"/>
  <c r="L4500" i="14" s="1"/>
  <c r="I4501" i="14" s="1"/>
  <c r="M4667" i="13"/>
  <c r="M4668" i="14"/>
  <c r="J4664" i="13" a="1"/>
  <c r="J4664" i="13" s="1"/>
  <c r="N4665" i="13"/>
  <c r="K4479" i="13" l="1"/>
  <c r="L4479" i="13" s="1"/>
  <c r="I4480" i="13" s="1"/>
  <c r="K4501" i="14"/>
  <c r="L4501" i="14" s="1"/>
  <c r="I4502" i="14" s="1"/>
  <c r="N4665" i="14"/>
  <c r="J4664" i="14" a="1"/>
  <c r="J4664" i="14" s="1"/>
  <c r="J4665" i="13" a="1"/>
  <c r="J4665" i="13" s="1"/>
  <c r="N4666" i="13"/>
  <c r="M4668" i="13"/>
  <c r="M4669" i="14"/>
  <c r="K4480" i="13" l="1"/>
  <c r="L4480" i="13" s="1"/>
  <c r="I4481" i="13" s="1"/>
  <c r="M4670" i="14"/>
  <c r="J4666" i="13" a="1"/>
  <c r="J4666" i="13" s="1"/>
  <c r="N4667" i="13"/>
  <c r="K4502" i="14"/>
  <c r="L4502" i="14" s="1"/>
  <c r="I4503" i="14" s="1"/>
  <c r="M4669" i="13"/>
  <c r="J4665" i="14" a="1"/>
  <c r="J4665" i="14" s="1"/>
  <c r="N4666" i="14"/>
  <c r="K4503" i="14" l="1"/>
  <c r="L4503" i="14" s="1"/>
  <c r="I4504" i="14" s="1"/>
  <c r="K4481" i="13"/>
  <c r="L4481" i="13" s="1"/>
  <c r="I4482" i="13" s="1"/>
  <c r="M4670" i="13"/>
  <c r="N4667" i="14"/>
  <c r="J4666" i="14" a="1"/>
  <c r="J4666" i="14" s="1"/>
  <c r="M4671" i="14"/>
  <c r="N4668" i="13"/>
  <c r="J4667" i="13" a="1"/>
  <c r="J4667" i="13" s="1"/>
  <c r="K4504" i="14" l="1"/>
  <c r="L4504" i="14" s="1"/>
  <c r="I4505" i="14" s="1"/>
  <c r="J4668" i="13" a="1"/>
  <c r="J4668" i="13" s="1"/>
  <c r="N4669" i="13"/>
  <c r="K4482" i="13"/>
  <c r="L4482" i="13" s="1"/>
  <c r="I4483" i="13" s="1"/>
  <c r="J4667" i="14" a="1"/>
  <c r="J4667" i="14" s="1"/>
  <c r="N4668" i="14"/>
  <c r="M4672" i="14"/>
  <c r="M4671" i="13"/>
  <c r="K4505" i="14" l="1"/>
  <c r="L4505" i="14" s="1"/>
  <c r="I4506" i="14" s="1"/>
  <c r="N4669" i="14"/>
  <c r="J4668" i="14" a="1"/>
  <c r="J4668" i="14" s="1"/>
  <c r="J4669" i="13" a="1"/>
  <c r="J4669" i="13" s="1"/>
  <c r="N4670" i="13"/>
  <c r="M4673" i="14"/>
  <c r="M4672" i="13"/>
  <c r="K4483" i="13"/>
  <c r="L4483" i="13" s="1"/>
  <c r="I4484" i="13" s="1"/>
  <c r="K4484" i="13" l="1"/>
  <c r="L4484" i="13" s="1"/>
  <c r="I4485" i="13" s="1"/>
  <c r="K4506" i="14"/>
  <c r="L4506" i="14" s="1"/>
  <c r="I4507" i="14" s="1"/>
  <c r="M4674" i="14"/>
  <c r="N4670" i="14"/>
  <c r="J4669" i="14" a="1"/>
  <c r="J4669" i="14" s="1"/>
  <c r="J4670" i="13" a="1"/>
  <c r="J4670" i="13" s="1"/>
  <c r="N4671" i="13"/>
  <c r="M4673" i="13"/>
  <c r="K4507" i="14" l="1"/>
  <c r="L4507" i="14" s="1"/>
  <c r="I4508" i="14" s="1"/>
  <c r="K4485" i="13"/>
  <c r="L4485" i="13" s="1"/>
  <c r="I4486" i="13" s="1"/>
  <c r="M4674" i="13"/>
  <c r="J4670" i="14" a="1"/>
  <c r="J4670" i="14" s="1"/>
  <c r="N4671" i="14"/>
  <c r="N4672" i="13"/>
  <c r="J4671" i="13" a="1"/>
  <c r="J4671" i="13" s="1"/>
  <c r="M4675" i="14"/>
  <c r="K4508" i="14" l="1"/>
  <c r="L4508" i="14" s="1"/>
  <c r="I4509" i="14" s="1"/>
  <c r="J4671" i="14" a="1"/>
  <c r="J4671" i="14" s="1"/>
  <c r="N4672" i="14"/>
  <c r="K4486" i="13"/>
  <c r="L4486" i="13" s="1"/>
  <c r="I4487" i="13" s="1"/>
  <c r="M4676" i="14"/>
  <c r="M4675" i="13"/>
  <c r="J4672" i="13" a="1"/>
  <c r="J4672" i="13" s="1"/>
  <c r="N4673" i="13"/>
  <c r="K4487" i="13" l="1"/>
  <c r="L4487" i="13" s="1"/>
  <c r="I4488" i="13" s="1"/>
  <c r="K4509" i="14"/>
  <c r="L4509" i="14" s="1"/>
  <c r="I4510" i="14" s="1"/>
  <c r="J4673" i="13" a="1"/>
  <c r="J4673" i="13" s="1"/>
  <c r="N4674" i="13"/>
  <c r="M4677" i="14"/>
  <c r="N4673" i="14"/>
  <c r="J4672" i="14" a="1"/>
  <c r="J4672" i="14" s="1"/>
  <c r="M4676" i="13"/>
  <c r="K4510" i="14" l="1"/>
  <c r="L4510" i="14" s="1"/>
  <c r="I4511" i="14" s="1"/>
  <c r="K4488" i="13"/>
  <c r="L4488" i="13" s="1"/>
  <c r="I4489" i="13" s="1"/>
  <c r="J4674" i="13" a="1"/>
  <c r="J4674" i="13" s="1"/>
  <c r="N4675" i="13"/>
  <c r="M4677" i="13"/>
  <c r="M4678" i="14"/>
  <c r="N4674" i="14"/>
  <c r="J4673" i="14" a="1"/>
  <c r="J4673" i="14" s="1"/>
  <c r="K4511" i="14" l="1"/>
  <c r="L4511" i="14" s="1"/>
  <c r="I4512" i="14" s="1"/>
  <c r="J4674" i="14" a="1"/>
  <c r="J4674" i="14" s="1"/>
  <c r="N4675" i="14"/>
  <c r="M4678" i="13"/>
  <c r="K4489" i="13"/>
  <c r="L4489" i="13" s="1"/>
  <c r="I4490" i="13" s="1"/>
  <c r="N4676" i="13"/>
  <c r="J4675" i="13" a="1"/>
  <c r="J4675" i="13" s="1"/>
  <c r="M4679" i="14"/>
  <c r="K4490" i="13" l="1"/>
  <c r="L4490" i="13" s="1"/>
  <c r="I4491" i="13" s="1"/>
  <c r="K4512" i="14"/>
  <c r="L4512" i="14" s="1"/>
  <c r="I4513" i="14" s="1"/>
  <c r="J4675" i="14" a="1"/>
  <c r="J4675" i="14" s="1"/>
  <c r="N4676" i="14"/>
  <c r="M4680" i="14"/>
  <c r="M4679" i="13"/>
  <c r="J4676" i="13" a="1"/>
  <c r="J4676" i="13" s="1"/>
  <c r="N4677" i="13"/>
  <c r="M4680" i="13" l="1"/>
  <c r="J4677" i="13" a="1"/>
  <c r="J4677" i="13" s="1"/>
  <c r="N4678" i="13"/>
  <c r="M4681" i="14"/>
  <c r="K4513" i="14"/>
  <c r="L4513" i="14" s="1"/>
  <c r="I4514" i="14" s="1"/>
  <c r="J4676" i="14" a="1"/>
  <c r="J4676" i="14" s="1"/>
  <c r="N4677" i="14"/>
  <c r="K4491" i="13"/>
  <c r="L4491" i="13" s="1"/>
  <c r="I4492" i="13" s="1"/>
  <c r="K4514" i="14" l="1"/>
  <c r="L4514" i="14" s="1"/>
  <c r="I4515" i="14" s="1"/>
  <c r="K4492" i="13"/>
  <c r="L4492" i="13" s="1"/>
  <c r="I4493" i="13" s="1"/>
  <c r="J4678" i="13" a="1"/>
  <c r="J4678" i="13" s="1"/>
  <c r="N4679" i="13"/>
  <c r="N4678" i="14"/>
  <c r="J4677" i="14" a="1"/>
  <c r="J4677" i="14" s="1"/>
  <c r="M4682" i="14"/>
  <c r="M4681" i="13"/>
  <c r="K4493" i="13" l="1"/>
  <c r="L4493" i="13" s="1"/>
  <c r="I4494" i="13" s="1"/>
  <c r="K4515" i="14"/>
  <c r="L4515" i="14" s="1"/>
  <c r="I4516" i="14" s="1"/>
  <c r="J4678" i="14" a="1"/>
  <c r="J4678" i="14" s="1"/>
  <c r="N4679" i="14"/>
  <c r="M4682" i="13"/>
  <c r="N4680" i="13"/>
  <c r="J4679" i="13" a="1"/>
  <c r="J4679" i="13" s="1"/>
  <c r="M4683" i="14"/>
  <c r="K4516" i="14" l="1"/>
  <c r="L4516" i="14" s="1"/>
  <c r="I4517" i="14" s="1"/>
  <c r="K4494" i="13"/>
  <c r="L4494" i="13" s="1"/>
  <c r="I4495" i="13" s="1"/>
  <c r="J4679" i="14" a="1"/>
  <c r="J4679" i="14" s="1"/>
  <c r="N4680" i="14"/>
  <c r="M4683" i="13"/>
  <c r="J4680" i="13" a="1"/>
  <c r="J4680" i="13" s="1"/>
  <c r="N4681" i="13"/>
  <c r="M4684" i="14"/>
  <c r="K4495" i="13" l="1"/>
  <c r="L4495" i="13" s="1"/>
  <c r="I4496" i="13" s="1"/>
  <c r="K4517" i="14"/>
  <c r="L4517" i="14" s="1"/>
  <c r="I4518" i="14" s="1"/>
  <c r="M4685" i="14"/>
  <c r="J4681" i="13" a="1"/>
  <c r="J4681" i="13" s="1"/>
  <c r="N4682" i="13"/>
  <c r="M4684" i="13"/>
  <c r="N4681" i="14"/>
  <c r="J4680" i="14" a="1"/>
  <c r="J4680" i="14" s="1"/>
  <c r="K4518" i="14" l="1"/>
  <c r="L4518" i="14" s="1"/>
  <c r="I4519" i="14" s="1"/>
  <c r="K4496" i="13"/>
  <c r="L4496" i="13" s="1"/>
  <c r="I4497" i="13" s="1"/>
  <c r="J4682" i="13" a="1"/>
  <c r="J4682" i="13" s="1"/>
  <c r="N4683" i="13"/>
  <c r="N4682" i="14"/>
  <c r="J4681" i="14" a="1"/>
  <c r="J4681" i="14" s="1"/>
  <c r="M4685" i="13"/>
  <c r="M4686" i="14"/>
  <c r="K4497" i="13" l="1"/>
  <c r="L4497" i="13" s="1"/>
  <c r="I4498" i="13" s="1"/>
  <c r="K4519" i="14"/>
  <c r="L4519" i="14" s="1"/>
  <c r="I4520" i="14" s="1"/>
  <c r="M4686" i="13"/>
  <c r="M4687" i="14"/>
  <c r="J4682" i="14" a="1"/>
  <c r="J4682" i="14" s="1"/>
  <c r="N4683" i="14"/>
  <c r="N4684" i="13"/>
  <c r="J4683" i="13" a="1"/>
  <c r="J4683" i="13" s="1"/>
  <c r="K4520" i="14" l="1"/>
  <c r="L4520" i="14" s="1"/>
  <c r="I4521" i="14" s="1"/>
  <c r="K4498" i="13"/>
  <c r="L4498" i="13" s="1"/>
  <c r="I4499" i="13" s="1"/>
  <c r="M4688" i="14"/>
  <c r="J4684" i="13" a="1"/>
  <c r="J4684" i="13" s="1"/>
  <c r="N4685" i="13"/>
  <c r="J4683" i="14" a="1"/>
  <c r="J4683" i="14" s="1"/>
  <c r="N4684" i="14"/>
  <c r="M4687" i="13"/>
  <c r="K4499" i="13" l="1"/>
  <c r="L4499" i="13" s="1"/>
  <c r="I4500" i="13" s="1"/>
  <c r="J4685" i="13" a="1"/>
  <c r="J4685" i="13" s="1"/>
  <c r="N4686" i="13"/>
  <c r="M4688" i="13"/>
  <c r="J4684" i="14" a="1"/>
  <c r="J4684" i="14" s="1"/>
  <c r="N4685" i="14"/>
  <c r="M4689" i="14"/>
  <c r="K4521" i="14"/>
  <c r="L4521" i="14" s="1"/>
  <c r="I4522" i="14" s="1"/>
  <c r="K4522" i="14" l="1"/>
  <c r="L4522" i="14" s="1"/>
  <c r="I4523" i="14" s="1"/>
  <c r="K4500" i="13"/>
  <c r="L4500" i="13" s="1"/>
  <c r="I4501" i="13" s="1"/>
  <c r="N4686" i="14"/>
  <c r="J4685" i="14" a="1"/>
  <c r="J4685" i="14" s="1"/>
  <c r="J4686" i="13" a="1"/>
  <c r="J4686" i="13" s="1"/>
  <c r="N4687" i="13"/>
  <c r="M4690" i="14"/>
  <c r="M4689" i="13"/>
  <c r="K4501" i="13" l="1"/>
  <c r="L4501" i="13" s="1"/>
  <c r="I4502" i="13" s="1"/>
  <c r="K4523" i="14"/>
  <c r="L4523" i="14" s="1"/>
  <c r="I4524" i="14" s="1"/>
  <c r="N4688" i="13"/>
  <c r="J4687" i="13" a="1"/>
  <c r="J4687" i="13" s="1"/>
  <c r="M4690" i="13"/>
  <c r="M4691" i="14"/>
  <c r="J4686" i="14" a="1"/>
  <c r="J4686" i="14" s="1"/>
  <c r="N4687" i="14"/>
  <c r="K4524" i="14" l="1"/>
  <c r="L4524" i="14" s="1"/>
  <c r="I4525" i="14" s="1"/>
  <c r="K4502" i="13"/>
  <c r="L4502" i="13" s="1"/>
  <c r="I4503" i="13" s="1"/>
  <c r="J4687" i="14" a="1"/>
  <c r="J4687" i="14" s="1"/>
  <c r="N4688" i="14"/>
  <c r="M4691" i="13"/>
  <c r="M4692" i="14"/>
  <c r="J4688" i="13" a="1"/>
  <c r="J4688" i="13" s="1"/>
  <c r="N4689" i="13"/>
  <c r="K4525" i="14" l="1"/>
  <c r="L4525" i="14" s="1"/>
  <c r="I4526" i="14" s="1"/>
  <c r="N4689" i="14"/>
  <c r="J4688" i="14" a="1"/>
  <c r="J4688" i="14" s="1"/>
  <c r="J4689" i="13" a="1"/>
  <c r="J4689" i="13" s="1"/>
  <c r="N4690" i="13"/>
  <c r="M4692" i="13"/>
  <c r="K4503" i="13"/>
  <c r="L4503" i="13" s="1"/>
  <c r="I4504" i="13" s="1"/>
  <c r="M4693" i="14"/>
  <c r="K4504" i="13" l="1"/>
  <c r="L4504" i="13" s="1"/>
  <c r="I4505" i="13" s="1"/>
  <c r="K4526" i="14"/>
  <c r="L4526" i="14" s="1"/>
  <c r="I4527" i="14" s="1"/>
  <c r="M4694" i="14"/>
  <c r="M4693" i="13"/>
  <c r="N4690" i="14"/>
  <c r="J4689" i="14" a="1"/>
  <c r="J4689" i="14" s="1"/>
  <c r="J4690" i="13" a="1"/>
  <c r="J4690" i="13" s="1"/>
  <c r="N4691" i="13"/>
  <c r="K4527" i="14" l="1"/>
  <c r="L4527" i="14" s="1"/>
  <c r="I4528" i="14" s="1"/>
  <c r="K4505" i="13"/>
  <c r="L4505" i="13" s="1"/>
  <c r="I4506" i="13" s="1"/>
  <c r="N4692" i="13"/>
  <c r="J4691" i="13" a="1"/>
  <c r="J4691" i="13" s="1"/>
  <c r="M4694" i="13"/>
  <c r="J4690" i="14" a="1"/>
  <c r="J4690" i="14" s="1"/>
  <c r="N4691" i="14"/>
  <c r="M4695" i="14"/>
  <c r="K4506" i="13" l="1"/>
  <c r="L4506" i="13" s="1"/>
  <c r="I4507" i="13" s="1"/>
  <c r="K4528" i="14"/>
  <c r="L4528" i="14" s="1"/>
  <c r="I4529" i="14" s="1"/>
  <c r="J4691" i="14" a="1"/>
  <c r="J4691" i="14" s="1"/>
  <c r="N4692" i="14"/>
  <c r="M4696" i="14"/>
  <c r="M4695" i="13"/>
  <c r="J4692" i="13" a="1"/>
  <c r="J4692" i="13" s="1"/>
  <c r="N4693" i="13"/>
  <c r="K4507" i="13" l="1"/>
  <c r="L4507" i="13" s="1"/>
  <c r="I4508" i="13" s="1"/>
  <c r="K4529" i="14"/>
  <c r="L4529" i="14" s="1"/>
  <c r="I4530" i="14" s="1"/>
  <c r="J4693" i="13" a="1"/>
  <c r="J4693" i="13" s="1"/>
  <c r="N4694" i="13"/>
  <c r="M4697" i="14"/>
  <c r="J4692" i="14" a="1"/>
  <c r="J4692" i="14" s="1"/>
  <c r="N4693" i="14"/>
  <c r="M4696" i="13"/>
  <c r="K4508" i="13" l="1"/>
  <c r="L4508" i="13" s="1"/>
  <c r="I4509" i="13" s="1"/>
  <c r="M4697" i="13"/>
  <c r="M4698" i="14"/>
  <c r="K4530" i="14"/>
  <c r="L4530" i="14" s="1"/>
  <c r="I4531" i="14" s="1"/>
  <c r="J4694" i="13" a="1"/>
  <c r="J4694" i="13" s="1"/>
  <c r="N4695" i="13"/>
  <c r="N4694" i="14"/>
  <c r="J4693" i="14" a="1"/>
  <c r="J4693" i="14" s="1"/>
  <c r="K4509" i="13" l="1"/>
  <c r="L4509" i="13" s="1"/>
  <c r="I4510" i="13" s="1"/>
  <c r="J4694" i="14" a="1"/>
  <c r="J4694" i="14" s="1"/>
  <c r="N4695" i="14"/>
  <c r="K4531" i="14"/>
  <c r="L4531" i="14" s="1"/>
  <c r="I4532" i="14" s="1"/>
  <c r="M4698" i="13"/>
  <c r="N4696" i="13"/>
  <c r="J4695" i="13" a="1"/>
  <c r="J4695" i="13" s="1"/>
  <c r="M4699" i="14"/>
  <c r="K4532" i="14" l="1"/>
  <c r="L4532" i="14" s="1"/>
  <c r="I4533" i="14" s="1"/>
  <c r="K4510" i="13"/>
  <c r="L4510" i="13" s="1"/>
  <c r="I4511" i="13" s="1"/>
  <c r="M4700" i="14"/>
  <c r="M4699" i="13"/>
  <c r="J4695" i="14" a="1"/>
  <c r="J4695" i="14" s="1"/>
  <c r="N4696" i="14"/>
  <c r="J4696" i="13" a="1"/>
  <c r="J4696" i="13" s="1"/>
  <c r="N4697" i="13"/>
  <c r="K4533" i="14" l="1"/>
  <c r="L4533" i="14" s="1"/>
  <c r="I4534" i="14" s="1"/>
  <c r="K4511" i="13"/>
  <c r="L4511" i="13" s="1"/>
  <c r="I4512" i="13" s="1"/>
  <c r="J4697" i="13" a="1"/>
  <c r="J4697" i="13" s="1"/>
  <c r="N4698" i="13"/>
  <c r="M4700" i="13"/>
  <c r="N4697" i="14"/>
  <c r="J4696" i="14" a="1"/>
  <c r="J4696" i="14" s="1"/>
  <c r="M4701" i="14"/>
  <c r="K4512" i="13" l="1"/>
  <c r="L4512" i="13" s="1"/>
  <c r="I4513" i="13" s="1"/>
  <c r="K4534" i="14"/>
  <c r="L4534" i="14" s="1"/>
  <c r="I4535" i="14" s="1"/>
  <c r="N4698" i="14"/>
  <c r="J4697" i="14" a="1"/>
  <c r="J4697" i="14" s="1"/>
  <c r="M4702" i="14"/>
  <c r="M4701" i="13"/>
  <c r="J4698" i="13" a="1"/>
  <c r="J4698" i="13" s="1"/>
  <c r="N4699" i="13"/>
  <c r="K4535" i="14" l="1"/>
  <c r="L4535" i="14" s="1"/>
  <c r="I4536" i="14" s="1"/>
  <c r="K4513" i="13"/>
  <c r="L4513" i="13" s="1"/>
  <c r="I4514" i="13" s="1"/>
  <c r="N4700" i="13"/>
  <c r="J4699" i="13" a="1"/>
  <c r="J4699" i="13" s="1"/>
  <c r="M4703" i="14"/>
  <c r="M4702" i="13"/>
  <c r="J4698" i="14" a="1"/>
  <c r="J4698" i="14" s="1"/>
  <c r="N4699" i="14"/>
  <c r="K4514" i="13" l="1"/>
  <c r="L4514" i="13" s="1"/>
  <c r="I4515" i="13" s="1"/>
  <c r="K4536" i="14"/>
  <c r="L4536" i="14" s="1"/>
  <c r="I4537" i="14" s="1"/>
  <c r="J4699" i="14" a="1"/>
  <c r="J4699" i="14" s="1"/>
  <c r="N4700" i="14"/>
  <c r="M4704" i="14"/>
  <c r="M4703" i="13"/>
  <c r="J4700" i="13" a="1"/>
  <c r="J4700" i="13" s="1"/>
  <c r="N4701" i="13"/>
  <c r="K4537" i="14" l="1"/>
  <c r="L4537" i="14" s="1"/>
  <c r="I4538" i="14" s="1"/>
  <c r="K4515" i="13"/>
  <c r="L4515" i="13" s="1"/>
  <c r="I4516" i="13" s="1"/>
  <c r="N4702" i="13"/>
  <c r="J4701" i="13" a="1"/>
  <c r="J4701" i="13" s="1"/>
  <c r="M4705" i="14"/>
  <c r="J4700" i="14" a="1"/>
  <c r="J4700" i="14" s="1"/>
  <c r="N4701" i="14"/>
  <c r="M4704" i="13"/>
  <c r="K4516" i="13" l="1"/>
  <c r="L4516" i="13" s="1"/>
  <c r="I4517" i="13" s="1"/>
  <c r="K4538" i="14"/>
  <c r="L4538" i="14" s="1"/>
  <c r="I4539" i="14" s="1"/>
  <c r="M4705" i="13"/>
  <c r="N4702" i="14"/>
  <c r="J4701" i="14" a="1"/>
  <c r="J4701" i="14" s="1"/>
  <c r="M4706" i="14"/>
  <c r="N4703" i="13"/>
  <c r="J4702" i="13" a="1"/>
  <c r="J4702" i="13" s="1"/>
  <c r="K4517" i="13" l="1"/>
  <c r="L4517" i="13" s="1"/>
  <c r="I4518" i="13" s="1"/>
  <c r="N4704" i="13"/>
  <c r="J4703" i="13" a="1"/>
  <c r="J4703" i="13" s="1"/>
  <c r="K4539" i="14"/>
  <c r="L4539" i="14" s="1"/>
  <c r="I4540" i="14" s="1"/>
  <c r="J4702" i="14" a="1"/>
  <c r="J4702" i="14" s="1"/>
  <c r="N4703" i="14"/>
  <c r="M4706" i="13"/>
  <c r="M4707" i="14"/>
  <c r="K4540" i="14" l="1"/>
  <c r="L4540" i="14" s="1"/>
  <c r="I4541" i="14" s="1"/>
  <c r="K4518" i="13"/>
  <c r="L4518" i="13" s="1"/>
  <c r="I4519" i="13" s="1"/>
  <c r="J4704" i="13" a="1"/>
  <c r="J4704" i="13" s="1"/>
  <c r="N4705" i="13"/>
  <c r="J4703" i="14" a="1"/>
  <c r="J4703" i="14" s="1"/>
  <c r="N4704" i="14"/>
  <c r="M4708" i="14"/>
  <c r="M4707" i="13"/>
  <c r="K4541" i="14" l="1"/>
  <c r="L4541" i="14" s="1"/>
  <c r="I4542" i="14" s="1"/>
  <c r="N4705" i="14"/>
  <c r="J4704" i="14" a="1"/>
  <c r="J4704" i="14" s="1"/>
  <c r="M4708" i="13"/>
  <c r="K4519" i="13"/>
  <c r="L4519" i="13" s="1"/>
  <c r="I4520" i="13" s="1"/>
  <c r="M4709" i="14"/>
  <c r="N4706" i="13"/>
  <c r="J4705" i="13" a="1"/>
  <c r="J4705" i="13" s="1"/>
  <c r="K4520" i="13" l="1"/>
  <c r="L4520" i="13" s="1"/>
  <c r="I4521" i="13" s="1"/>
  <c r="K4542" i="14"/>
  <c r="L4542" i="14" s="1"/>
  <c r="I4543" i="14" s="1"/>
  <c r="N4706" i="14"/>
  <c r="J4705" i="14" a="1"/>
  <c r="J4705" i="14" s="1"/>
  <c r="N4707" i="13"/>
  <c r="J4706" i="13" a="1"/>
  <c r="J4706" i="13" s="1"/>
  <c r="M4709" i="13"/>
  <c r="M4710" i="14"/>
  <c r="K4521" i="13" l="1"/>
  <c r="L4521" i="13" s="1"/>
  <c r="I4522" i="13" s="1"/>
  <c r="N4708" i="13"/>
  <c r="J4707" i="13" a="1"/>
  <c r="J4707" i="13" s="1"/>
  <c r="K4543" i="14"/>
  <c r="L4543" i="14" s="1"/>
  <c r="I4544" i="14" s="1"/>
  <c r="M4711" i="14"/>
  <c r="M4710" i="13"/>
  <c r="J4706" i="14" a="1"/>
  <c r="J4706" i="14" s="1"/>
  <c r="N4707" i="14"/>
  <c r="K4544" i="14" l="1"/>
  <c r="L4544" i="14" s="1"/>
  <c r="I4545" i="14" s="1"/>
  <c r="K4522" i="13"/>
  <c r="L4522" i="13" s="1"/>
  <c r="I4523" i="13" s="1"/>
  <c r="M4712" i="14"/>
  <c r="J4708" i="13" a="1"/>
  <c r="J4708" i="13" s="1"/>
  <c r="N4709" i="13"/>
  <c r="J4707" i="14" a="1"/>
  <c r="J4707" i="14" s="1"/>
  <c r="N4708" i="14"/>
  <c r="M4711" i="13"/>
  <c r="K4545" i="14" l="1"/>
  <c r="L4545" i="14" s="1"/>
  <c r="I4546" i="14" s="1"/>
  <c r="M4712" i="13"/>
  <c r="N4710" i="13"/>
  <c r="J4709" i="13" a="1"/>
  <c r="J4709" i="13" s="1"/>
  <c r="K4523" i="13"/>
  <c r="L4523" i="13" s="1"/>
  <c r="I4524" i="13" s="1"/>
  <c r="J4708" i="14" a="1"/>
  <c r="J4708" i="14" s="1"/>
  <c r="N4709" i="14"/>
  <c r="M4713" i="14"/>
  <c r="K4524" i="13" l="1"/>
  <c r="L4524" i="13" s="1"/>
  <c r="I4525" i="13" s="1"/>
  <c r="K4546" i="14"/>
  <c r="L4546" i="14" s="1"/>
  <c r="I4547" i="14" s="1"/>
  <c r="N4710" i="14"/>
  <c r="J4709" i="14" a="1"/>
  <c r="J4709" i="14" s="1"/>
  <c r="M4714" i="14"/>
  <c r="M4713" i="13"/>
  <c r="N4711" i="13"/>
  <c r="J4710" i="13" a="1"/>
  <c r="J4710" i="13" s="1"/>
  <c r="K4547" i="14" l="1"/>
  <c r="L4547" i="14" s="1"/>
  <c r="I4548" i="14" s="1"/>
  <c r="K4525" i="13"/>
  <c r="L4525" i="13" s="1"/>
  <c r="I4526" i="13" s="1"/>
  <c r="N4712" i="13"/>
  <c r="J4711" i="13" a="1"/>
  <c r="J4711" i="13" s="1"/>
  <c r="M4715" i="14"/>
  <c r="M4714" i="13"/>
  <c r="J4710" i="14" a="1"/>
  <c r="J4710" i="14" s="1"/>
  <c r="N4711" i="14"/>
  <c r="K4526" i="13" l="1"/>
  <c r="L4526" i="13" s="1"/>
  <c r="I4527" i="13" s="1"/>
  <c r="K4548" i="14"/>
  <c r="L4548" i="14" s="1"/>
  <c r="I4549" i="14" s="1"/>
  <c r="M4715" i="13"/>
  <c r="J4711" i="14" a="1"/>
  <c r="J4711" i="14" s="1"/>
  <c r="N4712" i="14"/>
  <c r="M4716" i="14"/>
  <c r="J4712" i="13" a="1"/>
  <c r="J4712" i="13" s="1"/>
  <c r="N4713" i="13"/>
  <c r="K4549" i="14" l="1"/>
  <c r="L4549" i="14" s="1"/>
  <c r="I4550" i="14" s="1"/>
  <c r="K4527" i="13"/>
  <c r="L4527" i="13" s="1"/>
  <c r="I4528" i="13" s="1"/>
  <c r="N4713" i="14"/>
  <c r="J4712" i="14" a="1"/>
  <c r="J4712" i="14" s="1"/>
  <c r="N4714" i="13"/>
  <c r="J4713" i="13" a="1"/>
  <c r="J4713" i="13" s="1"/>
  <c r="M4717" i="14"/>
  <c r="M4716" i="13"/>
  <c r="K4528" i="13" l="1"/>
  <c r="L4528" i="13" s="1"/>
  <c r="I4529" i="13" s="1"/>
  <c r="K4550" i="14"/>
  <c r="L4550" i="14" s="1"/>
  <c r="I4551" i="14" s="1"/>
  <c r="N4715" i="13"/>
  <c r="J4714" i="13" a="1"/>
  <c r="J4714" i="13" s="1"/>
  <c r="M4717" i="13"/>
  <c r="M4718" i="14"/>
  <c r="N4714" i="14"/>
  <c r="J4713" i="14" a="1"/>
  <c r="J4713" i="14" s="1"/>
  <c r="K4551" i="14" l="1"/>
  <c r="L4551" i="14" s="1"/>
  <c r="I4552" i="14" s="1"/>
  <c r="K4529" i="13"/>
  <c r="L4529" i="13" s="1"/>
  <c r="I4530" i="13" s="1"/>
  <c r="M4718" i="13"/>
  <c r="J4714" i="14" a="1"/>
  <c r="J4714" i="14" s="1"/>
  <c r="N4715" i="14"/>
  <c r="M4719" i="14"/>
  <c r="N4716" i="13"/>
  <c r="J4715" i="13" a="1"/>
  <c r="J4715" i="13" s="1"/>
  <c r="K4552" i="14" l="1"/>
  <c r="L4552" i="14" s="1"/>
  <c r="I4553" i="14" s="1"/>
  <c r="J4715" i="14" a="1"/>
  <c r="J4715" i="14" s="1"/>
  <c r="N4716" i="14"/>
  <c r="K4530" i="13"/>
  <c r="L4530" i="13" s="1"/>
  <c r="I4531" i="13" s="1"/>
  <c r="J4716" i="13" a="1"/>
  <c r="J4716" i="13" s="1"/>
  <c r="N4717" i="13"/>
  <c r="M4720" i="14"/>
  <c r="M4719" i="13"/>
  <c r="K4531" i="13" l="1"/>
  <c r="L4531" i="13" s="1"/>
  <c r="I4532" i="13" s="1"/>
  <c r="K4553" i="14"/>
  <c r="L4553" i="14" s="1"/>
  <c r="I4554" i="14" s="1"/>
  <c r="N4718" i="13"/>
  <c r="J4717" i="13" a="1"/>
  <c r="J4717" i="13" s="1"/>
  <c r="J4716" i="14" a="1"/>
  <c r="J4716" i="14" s="1"/>
  <c r="N4717" i="14"/>
  <c r="M4720" i="13"/>
  <c r="M4721" i="14"/>
  <c r="M4722" i="14" l="1"/>
  <c r="M4721" i="13"/>
  <c r="N4718" i="14"/>
  <c r="J4717" i="14" a="1"/>
  <c r="J4717" i="14" s="1"/>
  <c r="K4554" i="14"/>
  <c r="L4554" i="14" s="1"/>
  <c r="I4555" i="14" s="1"/>
  <c r="N4719" i="13"/>
  <c r="J4718" i="13" a="1"/>
  <c r="J4718" i="13" s="1"/>
  <c r="K4532" i="13"/>
  <c r="L4532" i="13" s="1"/>
  <c r="I4533" i="13" s="1"/>
  <c r="K4533" i="13" l="1"/>
  <c r="L4533" i="13" s="1"/>
  <c r="I4534" i="13" s="1"/>
  <c r="K4555" i="14"/>
  <c r="L4555" i="14" s="1"/>
  <c r="I4556" i="14" s="1"/>
  <c r="M4722" i="13"/>
  <c r="N4720" i="13"/>
  <c r="J4719" i="13" a="1"/>
  <c r="J4719" i="13" s="1"/>
  <c r="J4718" i="14" a="1"/>
  <c r="J4718" i="14" s="1"/>
  <c r="N4719" i="14"/>
  <c r="M4723" i="14"/>
  <c r="K4534" i="13" l="1"/>
  <c r="L4534" i="13" s="1"/>
  <c r="I4535" i="13" s="1"/>
  <c r="J4720" i="13" a="1"/>
  <c r="J4720" i="13" s="1"/>
  <c r="N4721" i="13"/>
  <c r="K4556" i="14"/>
  <c r="L4556" i="14" s="1"/>
  <c r="I4557" i="14" s="1"/>
  <c r="M4724" i="14"/>
  <c r="M4723" i="13"/>
  <c r="J4719" i="14" a="1"/>
  <c r="J4719" i="14" s="1"/>
  <c r="N4720" i="14"/>
  <c r="K4557" i="14" l="1"/>
  <c r="L4557" i="14" s="1"/>
  <c r="I4558" i="14" s="1"/>
  <c r="K4535" i="13"/>
  <c r="L4535" i="13" s="1"/>
  <c r="I4536" i="13" s="1"/>
  <c r="N4721" i="14"/>
  <c r="J4720" i="14" a="1"/>
  <c r="J4720" i="14" s="1"/>
  <c r="M4725" i="14"/>
  <c r="N4722" i="13"/>
  <c r="J4721" i="13" a="1"/>
  <c r="J4721" i="13" s="1"/>
  <c r="M4724" i="13"/>
  <c r="K4536" i="13" l="1"/>
  <c r="L4536" i="13" s="1"/>
  <c r="I4537" i="13" s="1"/>
  <c r="K4558" i="14"/>
  <c r="L4558" i="14" s="1"/>
  <c r="I4559" i="14" s="1"/>
  <c r="N4723" i="13"/>
  <c r="J4722" i="13" a="1"/>
  <c r="J4722" i="13" s="1"/>
  <c r="M4725" i="13"/>
  <c r="M4726" i="14"/>
  <c r="N4722" i="14"/>
  <c r="J4721" i="14" a="1"/>
  <c r="J4721" i="14" s="1"/>
  <c r="K4559" i="14" l="1"/>
  <c r="L4559" i="14" s="1"/>
  <c r="I4560" i="14" s="1"/>
  <c r="K4537" i="13"/>
  <c r="L4537" i="13" s="1"/>
  <c r="I4538" i="13" s="1"/>
  <c r="J4722" i="14" a="1"/>
  <c r="J4722" i="14" s="1"/>
  <c r="N4723" i="14"/>
  <c r="M4726" i="13"/>
  <c r="M4727" i="14"/>
  <c r="N4724" i="13"/>
  <c r="J4723" i="13" a="1"/>
  <c r="J4723" i="13" s="1"/>
  <c r="K4538" i="13" l="1"/>
  <c r="L4538" i="13" s="1"/>
  <c r="I4539" i="13" s="1"/>
  <c r="K4560" i="14"/>
  <c r="L4560" i="14" s="1"/>
  <c r="I4561" i="14" s="1"/>
  <c r="M4728" i="14"/>
  <c r="M4727" i="13"/>
  <c r="J4724" i="13" a="1"/>
  <c r="J4724" i="13" s="1"/>
  <c r="N4725" i="13"/>
  <c r="J4723" i="14" a="1"/>
  <c r="J4723" i="14" s="1"/>
  <c r="N4724" i="14"/>
  <c r="K4561" i="14" l="1"/>
  <c r="L4561" i="14" s="1"/>
  <c r="I4562" i="14" s="1"/>
  <c r="K4539" i="13"/>
  <c r="L4539" i="13" s="1"/>
  <c r="I4540" i="13" s="1"/>
  <c r="J4724" i="14" a="1"/>
  <c r="J4724" i="14" s="1"/>
  <c r="N4725" i="14"/>
  <c r="M4728" i="13"/>
  <c r="N4726" i="13"/>
  <c r="J4725" i="13" a="1"/>
  <c r="J4725" i="13" s="1"/>
  <c r="M4729" i="14"/>
  <c r="K4540" i="13" l="1"/>
  <c r="L4540" i="13" s="1"/>
  <c r="I4541" i="13" s="1"/>
  <c r="K4562" i="14"/>
  <c r="L4562" i="14" s="1"/>
  <c r="I4563" i="14" s="1"/>
  <c r="N4726" i="14"/>
  <c r="J4725" i="14" a="1"/>
  <c r="J4725" i="14" s="1"/>
  <c r="M4730" i="14"/>
  <c r="M4729" i="13"/>
  <c r="N4727" i="13"/>
  <c r="J4726" i="13" a="1"/>
  <c r="J4726" i="13" s="1"/>
  <c r="K4563" i="14" l="1"/>
  <c r="L4563" i="14" s="1"/>
  <c r="I4564" i="14" s="1"/>
  <c r="K4541" i="13"/>
  <c r="L4541" i="13" s="1"/>
  <c r="I4542" i="13" s="1"/>
  <c r="N4728" i="13"/>
  <c r="J4727" i="13" a="1"/>
  <c r="J4727" i="13" s="1"/>
  <c r="M4731" i="14"/>
  <c r="M4730" i="13"/>
  <c r="J4726" i="14" a="1"/>
  <c r="J4726" i="14" s="1"/>
  <c r="N4727" i="14"/>
  <c r="K4542" i="13" l="1"/>
  <c r="L4542" i="13" s="1"/>
  <c r="I4543" i="13" s="1"/>
  <c r="K4564" i="14"/>
  <c r="L4564" i="14" s="1"/>
  <c r="I4565" i="14" s="1"/>
  <c r="J4727" i="14" a="1"/>
  <c r="J4727" i="14" s="1"/>
  <c r="N4728" i="14"/>
  <c r="M4732" i="14"/>
  <c r="M4731" i="13"/>
  <c r="J4728" i="13" a="1"/>
  <c r="J4728" i="13" s="1"/>
  <c r="N4729" i="13"/>
  <c r="K4543" i="13" l="1"/>
  <c r="L4543" i="13" s="1"/>
  <c r="I4544" i="13" s="1"/>
  <c r="K4565" i="14"/>
  <c r="L4565" i="14" s="1"/>
  <c r="I4566" i="14" s="1"/>
  <c r="M4732" i="13"/>
  <c r="N4730" i="13"/>
  <c r="J4729" i="13" a="1"/>
  <c r="J4729" i="13" s="1"/>
  <c r="M4733" i="14"/>
  <c r="N4729" i="14"/>
  <c r="J4728" i="14" a="1"/>
  <c r="J4728" i="14" s="1"/>
  <c r="K4566" i="14" l="1"/>
  <c r="L4566" i="14" s="1"/>
  <c r="I4567" i="14" s="1"/>
  <c r="K4544" i="13"/>
  <c r="L4544" i="13" s="1"/>
  <c r="I4545" i="13" s="1"/>
  <c r="N4730" i="14"/>
  <c r="J4729" i="14" a="1"/>
  <c r="J4729" i="14" s="1"/>
  <c r="N4731" i="13"/>
  <c r="J4730" i="13" a="1"/>
  <c r="J4730" i="13" s="1"/>
  <c r="M4733" i="13"/>
  <c r="M4734" i="14"/>
  <c r="K4545" i="13" l="1"/>
  <c r="L4545" i="13" s="1"/>
  <c r="I4546" i="13" s="1"/>
  <c r="K4567" i="14"/>
  <c r="L4567" i="14" s="1"/>
  <c r="I4568" i="14" s="1"/>
  <c r="N4732" i="13"/>
  <c r="J4731" i="13" a="1"/>
  <c r="J4731" i="13" s="1"/>
  <c r="M4735" i="14"/>
  <c r="M4734" i="13"/>
  <c r="J4730" i="14" a="1"/>
  <c r="J4730" i="14" s="1"/>
  <c r="N4731" i="14"/>
  <c r="K4568" i="14" l="1"/>
  <c r="L4568" i="14" s="1"/>
  <c r="I4569" i="14" s="1"/>
  <c r="K4546" i="13"/>
  <c r="L4546" i="13" s="1"/>
  <c r="I4547" i="13" s="1"/>
  <c r="J4731" i="14" a="1"/>
  <c r="J4731" i="14" s="1"/>
  <c r="N4732" i="14"/>
  <c r="M4736" i="14"/>
  <c r="M4735" i="13"/>
  <c r="J4732" i="13" a="1"/>
  <c r="J4732" i="13" s="1"/>
  <c r="N4733" i="13"/>
  <c r="K4547" i="13" l="1"/>
  <c r="L4547" i="13" s="1"/>
  <c r="I4548" i="13" s="1"/>
  <c r="K4569" i="14"/>
  <c r="L4569" i="14" s="1"/>
  <c r="I4570" i="14" s="1"/>
  <c r="N4734" i="13"/>
  <c r="J4733" i="13" a="1"/>
  <c r="J4733" i="13" s="1"/>
  <c r="M4737" i="14"/>
  <c r="J4732" i="14" a="1"/>
  <c r="J4732" i="14" s="1"/>
  <c r="N4733" i="14"/>
  <c r="M4736" i="13"/>
  <c r="K4570" i="14" l="1"/>
  <c r="L4570" i="14" s="1"/>
  <c r="I4571" i="14" s="1"/>
  <c r="K4548" i="13"/>
  <c r="L4548" i="13" s="1"/>
  <c r="I4549" i="13" s="1"/>
  <c r="M4737" i="13"/>
  <c r="N4734" i="14"/>
  <c r="J4733" i="14" a="1"/>
  <c r="J4733" i="14" s="1"/>
  <c r="M4738" i="14"/>
  <c r="N4735" i="13"/>
  <c r="J4734" i="13" a="1"/>
  <c r="J4734" i="13" s="1"/>
  <c r="K4549" i="13" l="1"/>
  <c r="L4549" i="13" s="1"/>
  <c r="I4550" i="13" s="1"/>
  <c r="K4571" i="14"/>
  <c r="L4571" i="14" s="1"/>
  <c r="I4572" i="14" s="1"/>
  <c r="N4736" i="13"/>
  <c r="J4735" i="13" a="1"/>
  <c r="J4735" i="13" s="1"/>
  <c r="J4734" i="14" a="1"/>
  <c r="J4734" i="14" s="1"/>
  <c r="N4735" i="14"/>
  <c r="M4738" i="13"/>
  <c r="M4739" i="14"/>
  <c r="K4572" i="14" l="1"/>
  <c r="L4572" i="14" s="1"/>
  <c r="I4573" i="14" s="1"/>
  <c r="K4550" i="13"/>
  <c r="L4550" i="13" s="1"/>
  <c r="I4551" i="13" s="1"/>
  <c r="J4735" i="14" a="1"/>
  <c r="J4735" i="14" s="1"/>
  <c r="N4736" i="14"/>
  <c r="M4740" i="14"/>
  <c r="M4739" i="13"/>
  <c r="J4736" i="13" a="1"/>
  <c r="J4736" i="13" s="1"/>
  <c r="N4737" i="13"/>
  <c r="K4551" i="13" l="1"/>
  <c r="L4551" i="13" s="1"/>
  <c r="I4552" i="13" s="1"/>
  <c r="K4573" i="14"/>
  <c r="L4573" i="14" s="1"/>
  <c r="I4574" i="14" s="1"/>
  <c r="N4738" i="13"/>
  <c r="J4737" i="13" a="1"/>
  <c r="J4737" i="13" s="1"/>
  <c r="M4741" i="14"/>
  <c r="N4737" i="14"/>
  <c r="J4736" i="14" a="1"/>
  <c r="J4736" i="14" s="1"/>
  <c r="M4740" i="13"/>
  <c r="K4574" i="14" l="1"/>
  <c r="L4574" i="14" s="1"/>
  <c r="I4575" i="14" s="1"/>
  <c r="K4552" i="13"/>
  <c r="L4552" i="13" s="1"/>
  <c r="I4553" i="13" s="1"/>
  <c r="N4738" i="14"/>
  <c r="J4737" i="14" a="1"/>
  <c r="J4737" i="14" s="1"/>
  <c r="M4741" i="13"/>
  <c r="M4742" i="14"/>
  <c r="N4739" i="13"/>
  <c r="J4738" i="13" a="1"/>
  <c r="J4738" i="13" s="1"/>
  <c r="K4553" i="13" l="1"/>
  <c r="L4553" i="13" s="1"/>
  <c r="I4554" i="13" s="1"/>
  <c r="K4575" i="14"/>
  <c r="L4575" i="14" s="1"/>
  <c r="I4576" i="14" s="1"/>
  <c r="N4740" i="13"/>
  <c r="J4739" i="13" a="1"/>
  <c r="J4739" i="13" s="1"/>
  <c r="M4742" i="13"/>
  <c r="M4743" i="14"/>
  <c r="J4738" i="14" a="1"/>
  <c r="J4738" i="14" s="1"/>
  <c r="N4739" i="14"/>
  <c r="K4554" i="13" l="1"/>
  <c r="L4554" i="13" s="1"/>
  <c r="I4555" i="13" s="1"/>
  <c r="J4739" i="14" a="1"/>
  <c r="J4739" i="14" s="1"/>
  <c r="N4740" i="14"/>
  <c r="M4743" i="13"/>
  <c r="K4576" i="14"/>
  <c r="L4576" i="14" s="1"/>
  <c r="I4577" i="14" s="1"/>
  <c r="M4744" i="14"/>
  <c r="J4740" i="13" a="1"/>
  <c r="J4740" i="13" s="1"/>
  <c r="N4741" i="13"/>
  <c r="K4555" i="13" l="1"/>
  <c r="L4555" i="13" s="1"/>
  <c r="I4556" i="13" s="1"/>
  <c r="K4577" i="14"/>
  <c r="L4577" i="14" s="1"/>
  <c r="I4578" i="14" s="1"/>
  <c r="J4740" i="14" a="1"/>
  <c r="J4740" i="14" s="1"/>
  <c r="N4741" i="14"/>
  <c r="N4742" i="13"/>
  <c r="J4741" i="13" a="1"/>
  <c r="J4741" i="13" s="1"/>
  <c r="M4745" i="14"/>
  <c r="M4744" i="13"/>
  <c r="K4578" i="14" l="1"/>
  <c r="L4578" i="14" s="1"/>
  <c r="I4579" i="14" s="1"/>
  <c r="K4556" i="13"/>
  <c r="L4556" i="13" s="1"/>
  <c r="I4557" i="13" s="1"/>
  <c r="N4743" i="13"/>
  <c r="J4742" i="13" a="1"/>
  <c r="J4742" i="13" s="1"/>
  <c r="N4742" i="14"/>
  <c r="J4741" i="14" a="1"/>
  <c r="J4741" i="14" s="1"/>
  <c r="M4745" i="13"/>
  <c r="M4746" i="14"/>
  <c r="K4579" i="14" l="1"/>
  <c r="L4579" i="14" s="1"/>
  <c r="I4580" i="14" s="1"/>
  <c r="M4747" i="14"/>
  <c r="J4742" i="14" a="1"/>
  <c r="J4742" i="14" s="1"/>
  <c r="N4743" i="14"/>
  <c r="K4557" i="13"/>
  <c r="L4557" i="13" s="1"/>
  <c r="I4558" i="13" s="1"/>
  <c r="M4746" i="13"/>
  <c r="N4744" i="13"/>
  <c r="J4743" i="13" a="1"/>
  <c r="J4743" i="13" s="1"/>
  <c r="K4580" i="14" l="1"/>
  <c r="L4580" i="14" s="1"/>
  <c r="I4581" i="14" s="1"/>
  <c r="J4744" i="13" a="1"/>
  <c r="J4744" i="13" s="1"/>
  <c r="N4745" i="13"/>
  <c r="K4558" i="13"/>
  <c r="L4558" i="13" s="1"/>
  <c r="I4559" i="13" s="1"/>
  <c r="M4748" i="14"/>
  <c r="M4747" i="13"/>
  <c r="J4743" i="14" a="1"/>
  <c r="J4743" i="14" s="1"/>
  <c r="N4744" i="14"/>
  <c r="K4559" i="13" l="1"/>
  <c r="L4559" i="13" s="1"/>
  <c r="I4560" i="13" s="1"/>
  <c r="K4581" i="14"/>
  <c r="L4581" i="14" s="1"/>
  <c r="I4582" i="14" s="1"/>
  <c r="N4745" i="14"/>
  <c r="J4744" i="14" a="1"/>
  <c r="J4744" i="14" s="1"/>
  <c r="M4749" i="14"/>
  <c r="N4746" i="13"/>
  <c r="J4745" i="13" a="1"/>
  <c r="J4745" i="13" s="1"/>
  <c r="M4748" i="13"/>
  <c r="K4582" i="14" l="1"/>
  <c r="L4582" i="14" s="1"/>
  <c r="I4583" i="14" s="1"/>
  <c r="K4560" i="13"/>
  <c r="L4560" i="13" s="1"/>
  <c r="I4561" i="13" s="1"/>
  <c r="N4747" i="13"/>
  <c r="J4746" i="13" a="1"/>
  <c r="J4746" i="13" s="1"/>
  <c r="M4749" i="13"/>
  <c r="M4750" i="14"/>
  <c r="N4746" i="14"/>
  <c r="J4745" i="14" a="1"/>
  <c r="J4745" i="14" s="1"/>
  <c r="K4583" i="14" l="1"/>
  <c r="L4583" i="14" s="1"/>
  <c r="I4584" i="14" s="1"/>
  <c r="K4561" i="13"/>
  <c r="L4561" i="13" s="1"/>
  <c r="I4562" i="13" s="1"/>
  <c r="M4751" i="14"/>
  <c r="J4746" i="14" a="1"/>
  <c r="J4746" i="14" s="1"/>
  <c r="N4747" i="14"/>
  <c r="M4750" i="13"/>
  <c r="N4748" i="13"/>
  <c r="J4747" i="13" a="1"/>
  <c r="J4747" i="13" s="1"/>
  <c r="K4562" i="13" l="1"/>
  <c r="L4562" i="13" s="1"/>
  <c r="I4563" i="13" s="1"/>
  <c r="J4747" i="14" a="1"/>
  <c r="J4747" i="14" s="1"/>
  <c r="N4748" i="14"/>
  <c r="J4748" i="13" a="1"/>
  <c r="J4748" i="13" s="1"/>
  <c r="N4749" i="13"/>
  <c r="M4751" i="13"/>
  <c r="M4752" i="14"/>
  <c r="K4584" i="14"/>
  <c r="L4584" i="14" s="1"/>
  <c r="I4585" i="14" s="1"/>
  <c r="K4563" i="13" l="1"/>
  <c r="L4563" i="13" s="1"/>
  <c r="I4564" i="13" s="1"/>
  <c r="K4585" i="14"/>
  <c r="L4585" i="14" s="1"/>
  <c r="I4586" i="14" s="1"/>
  <c r="J4748" i="14" a="1"/>
  <c r="J4748" i="14" s="1"/>
  <c r="N4749" i="14"/>
  <c r="M4752" i="13"/>
  <c r="N4750" i="13"/>
  <c r="J4749" i="13" a="1"/>
  <c r="J4749" i="13" s="1"/>
  <c r="M4753" i="14"/>
  <c r="K4586" i="14" l="1"/>
  <c r="L4586" i="14" s="1"/>
  <c r="I4587" i="14" s="1"/>
  <c r="K4564" i="13"/>
  <c r="L4564" i="13" s="1"/>
  <c r="I4565" i="13" s="1"/>
  <c r="J4750" i="13" a="1"/>
  <c r="J4750" i="13" s="1"/>
  <c r="N4751" i="13"/>
  <c r="M4753" i="13"/>
  <c r="M4754" i="14"/>
  <c r="N4750" i="14"/>
  <c r="J4749" i="14" a="1"/>
  <c r="J4749" i="14" s="1"/>
  <c r="K4565" i="13" l="1"/>
  <c r="L4565" i="13" s="1"/>
  <c r="I4566" i="13" s="1"/>
  <c r="K4587" i="14"/>
  <c r="L4587" i="14" s="1"/>
  <c r="I4588" i="14" s="1"/>
  <c r="J4750" i="14" a="1"/>
  <c r="J4750" i="14" s="1"/>
  <c r="N4751" i="14"/>
  <c r="M4754" i="13"/>
  <c r="N4752" i="13"/>
  <c r="J4751" i="13" a="1"/>
  <c r="J4751" i="13" s="1"/>
  <c r="M4755" i="14"/>
  <c r="K4588" i="14" l="1"/>
  <c r="L4588" i="14" s="1"/>
  <c r="I4589" i="14" s="1"/>
  <c r="K4566" i="13"/>
  <c r="L4566" i="13" s="1"/>
  <c r="I4567" i="13" s="1"/>
  <c r="J4752" i="13" a="1"/>
  <c r="J4752" i="13" s="1"/>
  <c r="N4753" i="13"/>
  <c r="M4755" i="13"/>
  <c r="M4756" i="14"/>
  <c r="J4751" i="14" a="1"/>
  <c r="J4751" i="14" s="1"/>
  <c r="N4752" i="14"/>
  <c r="K4567" i="13" l="1"/>
  <c r="L4567" i="13" s="1"/>
  <c r="I4568" i="13" s="1"/>
  <c r="K4589" i="14"/>
  <c r="L4589" i="14" s="1"/>
  <c r="I4590" i="14" s="1"/>
  <c r="N4753" i="14"/>
  <c r="J4752" i="14" a="1"/>
  <c r="J4752" i="14" s="1"/>
  <c r="M4757" i="14"/>
  <c r="M4756" i="13"/>
  <c r="N4754" i="13"/>
  <c r="J4753" i="13" a="1"/>
  <c r="J4753" i="13" s="1"/>
  <c r="K4590" i="14" l="1"/>
  <c r="L4590" i="14" s="1"/>
  <c r="I4591" i="14" s="1"/>
  <c r="J4754" i="13" a="1"/>
  <c r="J4754" i="13" s="1"/>
  <c r="N4755" i="13"/>
  <c r="M4758" i="14"/>
  <c r="M4757" i="13"/>
  <c r="N4754" i="14"/>
  <c r="J4753" i="14" a="1"/>
  <c r="J4753" i="14" s="1"/>
  <c r="K4568" i="13"/>
  <c r="L4568" i="13" s="1"/>
  <c r="I4569" i="13" s="1"/>
  <c r="K4591" i="14" l="1"/>
  <c r="L4591" i="14" s="1"/>
  <c r="I4592" i="14" s="1"/>
  <c r="K4569" i="13"/>
  <c r="L4569" i="13" s="1"/>
  <c r="I4570" i="13" s="1"/>
  <c r="N4756" i="13"/>
  <c r="J4755" i="13" a="1"/>
  <c r="J4755" i="13" s="1"/>
  <c r="M4758" i="13"/>
  <c r="J4754" i="14" a="1"/>
  <c r="J4754" i="14" s="1"/>
  <c r="N4755" i="14"/>
  <c r="M4759" i="14"/>
  <c r="K4592" i="14" l="1"/>
  <c r="L4592" i="14" s="1"/>
  <c r="I4593" i="14" s="1"/>
  <c r="K4570" i="13"/>
  <c r="L4570" i="13" s="1"/>
  <c r="I4571" i="13" s="1"/>
  <c r="M4759" i="13"/>
  <c r="M4760" i="14"/>
  <c r="J4755" i="14" a="1"/>
  <c r="J4755" i="14" s="1"/>
  <c r="N4756" i="14"/>
  <c r="J4756" i="13" a="1"/>
  <c r="J4756" i="13" s="1"/>
  <c r="N4757" i="13"/>
  <c r="K4593" i="14" l="1"/>
  <c r="L4593" i="14" s="1"/>
  <c r="I4594" i="14" s="1"/>
  <c r="N4758" i="13"/>
  <c r="J4757" i="13" a="1"/>
  <c r="J4757" i="13" s="1"/>
  <c r="M4761" i="14"/>
  <c r="K4571" i="13"/>
  <c r="L4571" i="13" s="1"/>
  <c r="I4572" i="13" s="1"/>
  <c r="J4756" i="14" a="1"/>
  <c r="J4756" i="14" s="1"/>
  <c r="N4757" i="14"/>
  <c r="M4760" i="13"/>
  <c r="K4594" i="14" l="1"/>
  <c r="L4594" i="14" s="1"/>
  <c r="I4595" i="14" s="1"/>
  <c r="K4572" i="13"/>
  <c r="L4572" i="13" s="1"/>
  <c r="I4573" i="13" s="1"/>
  <c r="M4761" i="13"/>
  <c r="J4758" i="13" a="1"/>
  <c r="J4758" i="13" s="1"/>
  <c r="N4759" i="13"/>
  <c r="N4758" i="14"/>
  <c r="J4757" i="14" a="1"/>
  <c r="J4757" i="14" s="1"/>
  <c r="M4762" i="14"/>
  <c r="K4573" i="13" l="1"/>
  <c r="L4573" i="13" s="1"/>
  <c r="I4574" i="13" s="1"/>
  <c r="N4760" i="13"/>
  <c r="J4759" i="13" a="1"/>
  <c r="J4759" i="13" s="1"/>
  <c r="M4763" i="14"/>
  <c r="J4758" i="14" a="1"/>
  <c r="J4758" i="14" s="1"/>
  <c r="N4759" i="14"/>
  <c r="M4762" i="13"/>
  <c r="K4595" i="14"/>
  <c r="L4595" i="14" s="1"/>
  <c r="I4596" i="14" s="1"/>
  <c r="K4596" i="14" l="1"/>
  <c r="L4596" i="14" s="1"/>
  <c r="I4597" i="14" s="1"/>
  <c r="K4574" i="13"/>
  <c r="L4574" i="13" s="1"/>
  <c r="I4575" i="13" s="1"/>
  <c r="J4759" i="14" a="1"/>
  <c r="J4759" i="14" s="1"/>
  <c r="N4760" i="14"/>
  <c r="J4760" i="13" a="1"/>
  <c r="J4760" i="13" s="1"/>
  <c r="N4761" i="13"/>
  <c r="M4763" i="13"/>
  <c r="M4764" i="14"/>
  <c r="K4575" i="13" l="1"/>
  <c r="L4575" i="13" s="1"/>
  <c r="I4576" i="13" s="1"/>
  <c r="K4597" i="14"/>
  <c r="L4597" i="14" s="1"/>
  <c r="I4598" i="14" s="1"/>
  <c r="N4762" i="13"/>
  <c r="J4761" i="13" a="1"/>
  <c r="J4761" i="13" s="1"/>
  <c r="M4764" i="13"/>
  <c r="M4765" i="14"/>
  <c r="N4761" i="14"/>
  <c r="J4760" i="14" a="1"/>
  <c r="J4760" i="14" s="1"/>
  <c r="K4598" i="14" l="1"/>
  <c r="L4598" i="14" s="1"/>
  <c r="I4599" i="14" s="1"/>
  <c r="K4576" i="13"/>
  <c r="L4576" i="13" s="1"/>
  <c r="I4577" i="13" s="1"/>
  <c r="M4765" i="13"/>
  <c r="N4762" i="14"/>
  <c r="J4761" i="14" a="1"/>
  <c r="J4761" i="14" s="1"/>
  <c r="M4766" i="14"/>
  <c r="J4762" i="13" a="1"/>
  <c r="J4762" i="13" s="1"/>
  <c r="N4763" i="13"/>
  <c r="K4577" i="13" l="1"/>
  <c r="L4577" i="13" s="1"/>
  <c r="I4578" i="13" s="1"/>
  <c r="K4599" i="14"/>
  <c r="L4599" i="14" s="1"/>
  <c r="I4600" i="14" s="1"/>
  <c r="N4764" i="13"/>
  <c r="J4763" i="13" a="1"/>
  <c r="J4763" i="13" s="1"/>
  <c r="J4762" i="14" a="1"/>
  <c r="J4762" i="14" s="1"/>
  <c r="N4763" i="14"/>
  <c r="M4767" i="14"/>
  <c r="M4766" i="13"/>
  <c r="K4578" i="13" l="1"/>
  <c r="L4578" i="13" s="1"/>
  <c r="I4579" i="13" s="1"/>
  <c r="K4600" i="14"/>
  <c r="L4600" i="14" s="1"/>
  <c r="I4601" i="14" s="1"/>
  <c r="J4763" i="14" a="1"/>
  <c r="J4763" i="14" s="1"/>
  <c r="N4764" i="14"/>
  <c r="M4767" i="13"/>
  <c r="M4768" i="14"/>
  <c r="J4764" i="13" a="1"/>
  <c r="J4764" i="13" s="1"/>
  <c r="N4765" i="13"/>
  <c r="K4579" i="13" l="1"/>
  <c r="L4579" i="13" s="1"/>
  <c r="I4580" i="13" s="1"/>
  <c r="K4601" i="14"/>
  <c r="L4601" i="14" s="1"/>
  <c r="I4602" i="14" s="1"/>
  <c r="M4769" i="14"/>
  <c r="N4766" i="13"/>
  <c r="J4765" i="13" a="1"/>
  <c r="J4765" i="13" s="1"/>
  <c r="M4768" i="13"/>
  <c r="J4764" i="14" a="1"/>
  <c r="J4764" i="14" s="1"/>
  <c r="N4765" i="14"/>
  <c r="K4580" i="13" l="1"/>
  <c r="L4580" i="13" s="1"/>
  <c r="I4581" i="13" s="1"/>
  <c r="M4769" i="13"/>
  <c r="N4766" i="14"/>
  <c r="J4765" i="14" a="1"/>
  <c r="J4765" i="14" s="1"/>
  <c r="J4766" i="13" a="1"/>
  <c r="J4766" i="13" s="1"/>
  <c r="N4767" i="13"/>
  <c r="K4602" i="14"/>
  <c r="L4602" i="14" s="1"/>
  <c r="I4603" i="14" s="1"/>
  <c r="M4770" i="14"/>
  <c r="K4603" i="14" l="1"/>
  <c r="L4603" i="14" s="1"/>
  <c r="I4604" i="14" s="1"/>
  <c r="K4581" i="13"/>
  <c r="L4581" i="13" s="1"/>
  <c r="I4582" i="13" s="1"/>
  <c r="N4768" i="13"/>
  <c r="J4767" i="13" a="1"/>
  <c r="J4767" i="13" s="1"/>
  <c r="M4771" i="14"/>
  <c r="M4770" i="13"/>
  <c r="J4766" i="14" a="1"/>
  <c r="J4766" i="14" s="1"/>
  <c r="N4767" i="14"/>
  <c r="K4582" i="13" l="1"/>
  <c r="L4582" i="13" s="1"/>
  <c r="I4583" i="13" s="1"/>
  <c r="J4767" i="14" a="1"/>
  <c r="J4767" i="14" s="1"/>
  <c r="N4768" i="14"/>
  <c r="M4772" i="14"/>
  <c r="M4771" i="13"/>
  <c r="J4768" i="13" a="1"/>
  <c r="J4768" i="13" s="1"/>
  <c r="N4769" i="13"/>
  <c r="K4604" i="14"/>
  <c r="L4604" i="14" s="1"/>
  <c r="I4605" i="14" s="1"/>
  <c r="K4605" i="14" l="1"/>
  <c r="L4605" i="14" s="1"/>
  <c r="I4606" i="14" s="1"/>
  <c r="K4583" i="13"/>
  <c r="L4583" i="13" s="1"/>
  <c r="I4584" i="13" s="1"/>
  <c r="N4770" i="13"/>
  <c r="J4769" i="13" a="1"/>
  <c r="J4769" i="13" s="1"/>
  <c r="N4769" i="14"/>
  <c r="J4768" i="14" a="1"/>
  <c r="J4768" i="14" s="1"/>
  <c r="M4772" i="13"/>
  <c r="M4773" i="14"/>
  <c r="K4584" i="13" l="1"/>
  <c r="L4584" i="13" s="1"/>
  <c r="I4585" i="13" s="1"/>
  <c r="N4770" i="14"/>
  <c r="J4769" i="14" a="1"/>
  <c r="J4769" i="14" s="1"/>
  <c r="M4774" i="14"/>
  <c r="M4773" i="13"/>
  <c r="J4770" i="13" a="1"/>
  <c r="J4770" i="13" s="1"/>
  <c r="N4771" i="13"/>
  <c r="K4606" i="14"/>
  <c r="L4606" i="14" s="1"/>
  <c r="I4607" i="14" s="1"/>
  <c r="K4607" i="14" l="1"/>
  <c r="L4607" i="14" s="1"/>
  <c r="I4608" i="14" s="1"/>
  <c r="K4585" i="13"/>
  <c r="L4585" i="13" s="1"/>
  <c r="I4586" i="13" s="1"/>
  <c r="M4774" i="13"/>
  <c r="J4770" i="14" a="1"/>
  <c r="J4770" i="14" s="1"/>
  <c r="N4771" i="14"/>
  <c r="N4772" i="13"/>
  <c r="J4771" i="13" a="1"/>
  <c r="J4771" i="13" s="1"/>
  <c r="M4775" i="14"/>
  <c r="K4608" i="14" l="1"/>
  <c r="L4608" i="14" s="1"/>
  <c r="I4609" i="14" s="1"/>
  <c r="K4586" i="13"/>
  <c r="L4586" i="13" s="1"/>
  <c r="I4587" i="13" s="1"/>
  <c r="J4771" i="14" a="1"/>
  <c r="J4771" i="14" s="1"/>
  <c r="N4772" i="14"/>
  <c r="M4776" i="14"/>
  <c r="M4775" i="13"/>
  <c r="J4772" i="13" a="1"/>
  <c r="J4772" i="13" s="1"/>
  <c r="N4773" i="13"/>
  <c r="K4587" i="13" l="1"/>
  <c r="L4587" i="13" s="1"/>
  <c r="I4588" i="13" s="1"/>
  <c r="K4609" i="14"/>
  <c r="L4609" i="14" s="1"/>
  <c r="I4610" i="14" s="1"/>
  <c r="N4774" i="13"/>
  <c r="J4773" i="13" a="1"/>
  <c r="J4773" i="13" s="1"/>
  <c r="M4777" i="14"/>
  <c r="J4772" i="14" a="1"/>
  <c r="J4772" i="14" s="1"/>
  <c r="N4773" i="14"/>
  <c r="M4776" i="13"/>
  <c r="K4588" i="13" l="1"/>
  <c r="L4588" i="13" s="1"/>
  <c r="I4589" i="13" s="1"/>
  <c r="K4610" i="14"/>
  <c r="L4610" i="14" s="1"/>
  <c r="I4611" i="14" s="1"/>
  <c r="M4777" i="13"/>
  <c r="M4778" i="14"/>
  <c r="N4774" i="14"/>
  <c r="J4773" i="14" a="1"/>
  <c r="J4773" i="14" s="1"/>
  <c r="J4774" i="13" a="1"/>
  <c r="J4774" i="13" s="1"/>
  <c r="N4775" i="13"/>
  <c r="K4611" i="14" l="1"/>
  <c r="L4611" i="14" s="1"/>
  <c r="I4612" i="14" s="1"/>
  <c r="K4589" i="13"/>
  <c r="L4589" i="13" s="1"/>
  <c r="I4590" i="13" s="1"/>
  <c r="N4776" i="13"/>
  <c r="J4775" i="13" a="1"/>
  <c r="J4775" i="13" s="1"/>
  <c r="M4779" i="14"/>
  <c r="J4774" i="14" a="1"/>
  <c r="J4774" i="14" s="1"/>
  <c r="N4775" i="14"/>
  <c r="M4778" i="13"/>
  <c r="K4590" i="13" l="1"/>
  <c r="L4590" i="13" s="1"/>
  <c r="I4591" i="13" s="1"/>
  <c r="K4612" i="14"/>
  <c r="L4612" i="14" s="1"/>
  <c r="I4613" i="14" s="1"/>
  <c r="M4779" i="13"/>
  <c r="J4776" i="13" a="1"/>
  <c r="J4776" i="13" s="1"/>
  <c r="N4777" i="13"/>
  <c r="M4780" i="14"/>
  <c r="J4775" i="14" a="1"/>
  <c r="J4775" i="14" s="1"/>
  <c r="N4776" i="14"/>
  <c r="K4613" i="14" l="1"/>
  <c r="L4613" i="14" s="1"/>
  <c r="I4614" i="14" s="1"/>
  <c r="K4591" i="13"/>
  <c r="L4591" i="13" s="1"/>
  <c r="I4592" i="13" s="1"/>
  <c r="N4777" i="14"/>
  <c r="J4776" i="14" a="1"/>
  <c r="J4776" i="14" s="1"/>
  <c r="N4778" i="13"/>
  <c r="J4777" i="13" a="1"/>
  <c r="J4777" i="13" s="1"/>
  <c r="M4781" i="14"/>
  <c r="M4780" i="13"/>
  <c r="K4592" i="13" l="1"/>
  <c r="L4592" i="13" s="1"/>
  <c r="I4593" i="13" s="1"/>
  <c r="M4782" i="14"/>
  <c r="M4781" i="13"/>
  <c r="J4778" i="13" a="1"/>
  <c r="J4778" i="13" s="1"/>
  <c r="N4779" i="13"/>
  <c r="N4778" i="14"/>
  <c r="J4777" i="14" a="1"/>
  <c r="J4777" i="14" s="1"/>
  <c r="K4614" i="14"/>
  <c r="L4614" i="14" s="1"/>
  <c r="I4615" i="14" s="1"/>
  <c r="K4593" i="13" l="1"/>
  <c r="L4593" i="13" s="1"/>
  <c r="I4594" i="13" s="1"/>
  <c r="K4615" i="14"/>
  <c r="L4615" i="14" s="1"/>
  <c r="I4616" i="14" s="1"/>
  <c r="N4780" i="13"/>
  <c r="J4779" i="13" a="1"/>
  <c r="J4779" i="13" s="1"/>
  <c r="M4783" i="14"/>
  <c r="J4778" i="14" a="1"/>
  <c r="J4778" i="14" s="1"/>
  <c r="N4779" i="14"/>
  <c r="M4782" i="13"/>
  <c r="K4616" i="14" l="1"/>
  <c r="L4616" i="14" s="1"/>
  <c r="I4617" i="14" s="1"/>
  <c r="K4594" i="13"/>
  <c r="L4594" i="13" s="1"/>
  <c r="I4595" i="13" s="1"/>
  <c r="J4779" i="14" a="1"/>
  <c r="J4779" i="14" s="1"/>
  <c r="N4780" i="14"/>
  <c r="M4783" i="13"/>
  <c r="M4784" i="14"/>
  <c r="J4780" i="13" a="1"/>
  <c r="J4780" i="13" s="1"/>
  <c r="N4781" i="13"/>
  <c r="K4595" i="13" l="1"/>
  <c r="L4595" i="13" s="1"/>
  <c r="I4596" i="13" s="1"/>
  <c r="K4617" i="14"/>
  <c r="L4617" i="14" s="1"/>
  <c r="I4618" i="14" s="1"/>
  <c r="N4782" i="13"/>
  <c r="J4781" i="13" a="1"/>
  <c r="J4781" i="13" s="1"/>
  <c r="M4784" i="13"/>
  <c r="J4780" i="14" a="1"/>
  <c r="J4780" i="14" s="1"/>
  <c r="N4781" i="14"/>
  <c r="M4785" i="14"/>
  <c r="K4618" i="14" l="1"/>
  <c r="L4618" i="14" s="1"/>
  <c r="I4619" i="14" s="1"/>
  <c r="K4596" i="13"/>
  <c r="L4596" i="13" s="1"/>
  <c r="I4597" i="13" s="1"/>
  <c r="N4782" i="14"/>
  <c r="J4781" i="14" a="1"/>
  <c r="J4781" i="14" s="1"/>
  <c r="M4785" i="13"/>
  <c r="M4786" i="14"/>
  <c r="J4782" i="13" a="1"/>
  <c r="J4782" i="13" s="1"/>
  <c r="N4783" i="13"/>
  <c r="K4597" i="13" l="1"/>
  <c r="L4597" i="13" s="1"/>
  <c r="I4598" i="13" s="1"/>
  <c r="N4784" i="13"/>
  <c r="J4783" i="13" a="1"/>
  <c r="J4783" i="13" s="1"/>
  <c r="M4786" i="13"/>
  <c r="M4787" i="14"/>
  <c r="J4782" i="14" a="1"/>
  <c r="J4782" i="14" s="1"/>
  <c r="N4783" i="14"/>
  <c r="K4619" i="14"/>
  <c r="L4619" i="14" s="1"/>
  <c r="I4620" i="14" s="1"/>
  <c r="K4620" i="14" l="1"/>
  <c r="L4620" i="14" s="1"/>
  <c r="I4621" i="14" s="1"/>
  <c r="K4598" i="13"/>
  <c r="L4598" i="13" s="1"/>
  <c r="I4599" i="13" s="1"/>
  <c r="M4788" i="14"/>
  <c r="J4784" i="13" a="1"/>
  <c r="J4784" i="13" s="1"/>
  <c r="N4785" i="13"/>
  <c r="J4783" i="14" a="1"/>
  <c r="J4783" i="14" s="1"/>
  <c r="N4784" i="14"/>
  <c r="M4787" i="13"/>
  <c r="K4621" i="14" l="1"/>
  <c r="L4621" i="14" s="1"/>
  <c r="I4622" i="14" s="1"/>
  <c r="K4599" i="13"/>
  <c r="L4599" i="13" s="1"/>
  <c r="I4600" i="13" s="1"/>
  <c r="M4788" i="13"/>
  <c r="N4786" i="13"/>
  <c r="J4785" i="13" a="1"/>
  <c r="J4785" i="13" s="1"/>
  <c r="N4785" i="14"/>
  <c r="J4784" i="14" a="1"/>
  <c r="J4784" i="14" s="1"/>
  <c r="M4789" i="14"/>
  <c r="K4622" i="14" l="1"/>
  <c r="L4622" i="14" s="1"/>
  <c r="I4623" i="14" s="1"/>
  <c r="K4600" i="13"/>
  <c r="L4600" i="13" s="1"/>
  <c r="I4601" i="13" s="1"/>
  <c r="M4790" i="14"/>
  <c r="J4786" i="13" a="1"/>
  <c r="J4786" i="13" s="1"/>
  <c r="N4787" i="13"/>
  <c r="M4789" i="13"/>
  <c r="N4786" i="14"/>
  <c r="J4785" i="14" a="1"/>
  <c r="J4785" i="14" s="1"/>
  <c r="K4601" i="13" l="1"/>
  <c r="L4601" i="13" s="1"/>
  <c r="I4602" i="13" s="1"/>
  <c r="K4623" i="14"/>
  <c r="L4623" i="14" s="1"/>
  <c r="I4624" i="14" s="1"/>
  <c r="N4788" i="13"/>
  <c r="J4787" i="13" a="1"/>
  <c r="J4787" i="13" s="1"/>
  <c r="J4786" i="14" a="1"/>
  <c r="J4786" i="14" s="1"/>
  <c r="N4787" i="14"/>
  <c r="M4790" i="13"/>
  <c r="M4791" i="14"/>
  <c r="K4624" i="14" l="1"/>
  <c r="L4624" i="14" s="1"/>
  <c r="I4625" i="14" s="1"/>
  <c r="K4602" i="13"/>
  <c r="L4602" i="13" s="1"/>
  <c r="I4603" i="13" s="1"/>
  <c r="J4787" i="14" a="1"/>
  <c r="J4787" i="14" s="1"/>
  <c r="N4788" i="14"/>
  <c r="M4791" i="13"/>
  <c r="M4792" i="14"/>
  <c r="J4788" i="13" a="1"/>
  <c r="J4788" i="13" s="1"/>
  <c r="N4789" i="13"/>
  <c r="K4603" i="13" l="1"/>
  <c r="L4603" i="13" s="1"/>
  <c r="I4604" i="13" s="1"/>
  <c r="K4625" i="14"/>
  <c r="L4625" i="14" s="1"/>
  <c r="I4626" i="14" s="1"/>
  <c r="N4790" i="13"/>
  <c r="J4789" i="13" a="1"/>
  <c r="J4789" i="13" s="1"/>
  <c r="J4788" i="14" a="1"/>
  <c r="J4788" i="14" s="1"/>
  <c r="N4789" i="14"/>
  <c r="M4792" i="13"/>
  <c r="M4793" i="14"/>
  <c r="K4626" i="14" l="1"/>
  <c r="L4626" i="14" s="1"/>
  <c r="I4627" i="14" s="1"/>
  <c r="K4604" i="13"/>
  <c r="L4604" i="13" s="1"/>
  <c r="I4605" i="13" s="1"/>
  <c r="N4790" i="14"/>
  <c r="J4789" i="14" a="1"/>
  <c r="J4789" i="14" s="1"/>
  <c r="M4794" i="14"/>
  <c r="M4793" i="13"/>
  <c r="J4790" i="13" a="1"/>
  <c r="J4790" i="13" s="1"/>
  <c r="N4791" i="13"/>
  <c r="K4605" i="13" l="1"/>
  <c r="L4605" i="13" s="1"/>
  <c r="I4606" i="13" s="1"/>
  <c r="K4627" i="14"/>
  <c r="L4627" i="14" s="1"/>
  <c r="I4628" i="14" s="1"/>
  <c r="N4792" i="13"/>
  <c r="J4791" i="13" a="1"/>
  <c r="J4791" i="13" s="1"/>
  <c r="M4795" i="14"/>
  <c r="M4794" i="13"/>
  <c r="J4790" i="14" a="1"/>
  <c r="J4790" i="14" s="1"/>
  <c r="N4791" i="14"/>
  <c r="K4606" i="13" l="1"/>
  <c r="L4606" i="13" s="1"/>
  <c r="I4607" i="13" s="1"/>
  <c r="K4628" i="14"/>
  <c r="L4628" i="14" s="1"/>
  <c r="I4629" i="14" s="1"/>
  <c r="M4795" i="13"/>
  <c r="J4792" i="13" a="1"/>
  <c r="J4792" i="13" s="1"/>
  <c r="N4793" i="13"/>
  <c r="J4791" i="14" a="1"/>
  <c r="J4791" i="14" s="1"/>
  <c r="N4792" i="14"/>
  <c r="M4796" i="14"/>
  <c r="K4607" i="13" l="1"/>
  <c r="L4607" i="13" s="1"/>
  <c r="I4608" i="13" s="1"/>
  <c r="K4629" i="14"/>
  <c r="L4629" i="14" s="1"/>
  <c r="I4630" i="14" s="1"/>
  <c r="M4797" i="14"/>
  <c r="N4794" i="13"/>
  <c r="J4793" i="13" a="1"/>
  <c r="J4793" i="13" s="1"/>
  <c r="N4793" i="14"/>
  <c r="J4792" i="14" a="1"/>
  <c r="J4792" i="14" s="1"/>
  <c r="M4796" i="13"/>
  <c r="K4630" i="14" l="1"/>
  <c r="L4630" i="14" s="1"/>
  <c r="I4631" i="14" s="1"/>
  <c r="K4608" i="13"/>
  <c r="L4608" i="13" s="1"/>
  <c r="I4609" i="13" s="1"/>
  <c r="J4794" i="13" a="1"/>
  <c r="J4794" i="13" s="1"/>
  <c r="N4795" i="13"/>
  <c r="M4797" i="13"/>
  <c r="N4794" i="14"/>
  <c r="J4793" i="14" a="1"/>
  <c r="J4793" i="14" s="1"/>
  <c r="M4798" i="14"/>
  <c r="K4609" i="13" l="1"/>
  <c r="L4609" i="13" s="1"/>
  <c r="I4610" i="13" s="1"/>
  <c r="K4631" i="14"/>
  <c r="L4631" i="14" s="1"/>
  <c r="I4632" i="14" s="1"/>
  <c r="M4799" i="14"/>
  <c r="M4798" i="13"/>
  <c r="N4796" i="13"/>
  <c r="J4795" i="13" a="1"/>
  <c r="J4795" i="13" s="1"/>
  <c r="J4794" i="14" a="1"/>
  <c r="J4794" i="14" s="1"/>
  <c r="N4795" i="14"/>
  <c r="K4632" i="14" l="1"/>
  <c r="L4632" i="14" s="1"/>
  <c r="I4633" i="14" s="1"/>
  <c r="K4610" i="13"/>
  <c r="L4610" i="13" s="1"/>
  <c r="I4611" i="13" s="1"/>
  <c r="J4795" i="14" a="1"/>
  <c r="J4795" i="14" s="1"/>
  <c r="N4796" i="14"/>
  <c r="M4799" i="13"/>
  <c r="M4800" i="14"/>
  <c r="J4796" i="13" a="1"/>
  <c r="J4796" i="13" s="1"/>
  <c r="N4797" i="13"/>
  <c r="K4611" i="13" l="1"/>
  <c r="L4611" i="13" s="1"/>
  <c r="I4612" i="13" s="1"/>
  <c r="K4633" i="14"/>
  <c r="L4633" i="14" s="1"/>
  <c r="I4634" i="14" s="1"/>
  <c r="M4800" i="13"/>
  <c r="N4798" i="13"/>
  <c r="J4797" i="13" a="1"/>
  <c r="J4797" i="13" s="1"/>
  <c r="M4801" i="14"/>
  <c r="J4796" i="14" a="1"/>
  <c r="J4796" i="14" s="1"/>
  <c r="N4797" i="14"/>
  <c r="K4634" i="14" l="1"/>
  <c r="L4634" i="14" s="1"/>
  <c r="I4635" i="14" s="1"/>
  <c r="K4612" i="13"/>
  <c r="L4612" i="13" s="1"/>
  <c r="I4613" i="13" s="1"/>
  <c r="N4798" i="14"/>
  <c r="J4797" i="14" a="1"/>
  <c r="J4797" i="14" s="1"/>
  <c r="J4798" i="13" a="1"/>
  <c r="J4798" i="13" s="1"/>
  <c r="N4799" i="13"/>
  <c r="M4801" i="13"/>
  <c r="M4802" i="14"/>
  <c r="K4613" i="13" l="1"/>
  <c r="L4613" i="13" s="1"/>
  <c r="I4614" i="13" s="1"/>
  <c r="M4802" i="13"/>
  <c r="N4800" i="13"/>
  <c r="J4799" i="13" a="1"/>
  <c r="J4799" i="13" s="1"/>
  <c r="M4803" i="14"/>
  <c r="J4798" i="14" a="1"/>
  <c r="J4798" i="14" s="1"/>
  <c r="N4799" i="14"/>
  <c r="K4635" i="14"/>
  <c r="L4635" i="14" s="1"/>
  <c r="I4636" i="14" s="1"/>
  <c r="K4614" i="13" l="1"/>
  <c r="L4614" i="13" s="1"/>
  <c r="I4615" i="13" s="1"/>
  <c r="K4636" i="14"/>
  <c r="L4636" i="14" s="1"/>
  <c r="I4637" i="14" s="1"/>
  <c r="M4803" i="13"/>
  <c r="M4804" i="14"/>
  <c r="J4799" i="14" a="1"/>
  <c r="J4799" i="14" s="1"/>
  <c r="N4800" i="14"/>
  <c r="J4800" i="13" a="1"/>
  <c r="J4800" i="13" s="1"/>
  <c r="N4801" i="13"/>
  <c r="K4637" i="14" l="1"/>
  <c r="L4637" i="14" s="1"/>
  <c r="I4638" i="14" s="1"/>
  <c r="N4802" i="13"/>
  <c r="J4801" i="13" a="1"/>
  <c r="J4801" i="13" s="1"/>
  <c r="M4805" i="14"/>
  <c r="N4801" i="14"/>
  <c r="J4800" i="14" a="1"/>
  <c r="J4800" i="14" s="1"/>
  <c r="M4804" i="13"/>
  <c r="K4615" i="13"/>
  <c r="L4615" i="13" s="1"/>
  <c r="I4616" i="13" s="1"/>
  <c r="K4616" i="13" l="1"/>
  <c r="L4616" i="13" s="1"/>
  <c r="I4617" i="13" s="1"/>
  <c r="K4638" i="14"/>
  <c r="L4638" i="14" s="1"/>
  <c r="I4639" i="14" s="1"/>
  <c r="J4802" i="13" a="1"/>
  <c r="J4802" i="13" s="1"/>
  <c r="N4803" i="13"/>
  <c r="N4802" i="14"/>
  <c r="J4801" i="14" a="1"/>
  <c r="J4801" i="14" s="1"/>
  <c r="M4805" i="13"/>
  <c r="M4806" i="14"/>
  <c r="K4617" i="13" l="1"/>
  <c r="L4617" i="13" s="1"/>
  <c r="I4618" i="13" s="1"/>
  <c r="K4639" i="14"/>
  <c r="L4639" i="14" s="1"/>
  <c r="I4640" i="14" s="1"/>
  <c r="M4807" i="14"/>
  <c r="J4802" i="14" a="1"/>
  <c r="J4802" i="14" s="1"/>
  <c r="N4803" i="14"/>
  <c r="N4804" i="13"/>
  <c r="J4803" i="13" a="1"/>
  <c r="J4803" i="13" s="1"/>
  <c r="M4806" i="13"/>
  <c r="K4640" i="14" l="1"/>
  <c r="L4640" i="14" s="1"/>
  <c r="I4641" i="14" s="1"/>
  <c r="K4618" i="13"/>
  <c r="L4618" i="13" s="1"/>
  <c r="I4619" i="13" s="1"/>
  <c r="M4807" i="13"/>
  <c r="J4803" i="14" a="1"/>
  <c r="J4803" i="14" s="1"/>
  <c r="N4804" i="14"/>
  <c r="M4808" i="14"/>
  <c r="J4804" i="13" a="1"/>
  <c r="J4804" i="13" s="1"/>
  <c r="N4805" i="13"/>
  <c r="K4619" i="13" l="1"/>
  <c r="L4619" i="13" s="1"/>
  <c r="I4620" i="13" s="1"/>
  <c r="K4641" i="14"/>
  <c r="L4641" i="14" s="1"/>
  <c r="I4642" i="14" s="1"/>
  <c r="N4806" i="13"/>
  <c r="J4805" i="13" a="1"/>
  <c r="J4805" i="13" s="1"/>
  <c r="J4804" i="14" a="1"/>
  <c r="J4804" i="14" s="1"/>
  <c r="N4805" i="14"/>
  <c r="M4809" i="14"/>
  <c r="M4808" i="13"/>
  <c r="K4642" i="14" l="1"/>
  <c r="L4642" i="14" s="1"/>
  <c r="I4643" i="14" s="1"/>
  <c r="K4620" i="13"/>
  <c r="L4620" i="13" s="1"/>
  <c r="I4621" i="13" s="1"/>
  <c r="M4809" i="13"/>
  <c r="M4810" i="14"/>
  <c r="N4806" i="14"/>
  <c r="J4805" i="14" a="1"/>
  <c r="J4805" i="14" s="1"/>
  <c r="J4806" i="13" a="1"/>
  <c r="J4806" i="13" s="1"/>
  <c r="N4807" i="13"/>
  <c r="K4621" i="13" l="1"/>
  <c r="L4621" i="13" s="1"/>
  <c r="I4622" i="13" s="1"/>
  <c r="K4643" i="14"/>
  <c r="L4643" i="14" s="1"/>
  <c r="I4644" i="14" s="1"/>
  <c r="N4808" i="13"/>
  <c r="J4807" i="13" a="1"/>
  <c r="J4807" i="13" s="1"/>
  <c r="M4811" i="14"/>
  <c r="J4806" i="14" a="1"/>
  <c r="J4806" i="14" s="1"/>
  <c r="N4807" i="14"/>
  <c r="M4810" i="13"/>
  <c r="K4644" i="14" l="1"/>
  <c r="L4644" i="14" s="1"/>
  <c r="I4645" i="14" s="1"/>
  <c r="K4622" i="13"/>
  <c r="L4622" i="13" s="1"/>
  <c r="I4623" i="13" s="1"/>
  <c r="J4807" i="14" a="1"/>
  <c r="J4807" i="14" s="1"/>
  <c r="N4808" i="14"/>
  <c r="M4811" i="13"/>
  <c r="M4812" i="14"/>
  <c r="J4808" i="13" a="1"/>
  <c r="J4808" i="13" s="1"/>
  <c r="N4809" i="13"/>
  <c r="K4645" i="14" l="1"/>
  <c r="L4645" i="14" s="1"/>
  <c r="I4646" i="14" s="1"/>
  <c r="N4810" i="13"/>
  <c r="J4809" i="13" a="1"/>
  <c r="J4809" i="13" s="1"/>
  <c r="M4812" i="13"/>
  <c r="K4623" i="13"/>
  <c r="L4623" i="13" s="1"/>
  <c r="I4624" i="13" s="1"/>
  <c r="N4809" i="14"/>
  <c r="J4808" i="14" a="1"/>
  <c r="J4808" i="14" s="1"/>
  <c r="M4813" i="14"/>
  <c r="K4624" i="13" l="1"/>
  <c r="L4624" i="13" s="1"/>
  <c r="I4625" i="13" s="1"/>
  <c r="K4646" i="14"/>
  <c r="L4646" i="14" s="1"/>
  <c r="I4647" i="14" s="1"/>
  <c r="J4810" i="13" a="1"/>
  <c r="J4810" i="13" s="1"/>
  <c r="N4811" i="13"/>
  <c r="M4814" i="14"/>
  <c r="M4813" i="13"/>
  <c r="N4810" i="14"/>
  <c r="J4809" i="14" a="1"/>
  <c r="J4809" i="14" s="1"/>
  <c r="K4625" i="13" l="1"/>
  <c r="L4625" i="13" s="1"/>
  <c r="I4626" i="13" s="1"/>
  <c r="K4647" i="14"/>
  <c r="L4647" i="14" s="1"/>
  <c r="I4648" i="14" s="1"/>
  <c r="J4810" i="14" a="1"/>
  <c r="J4810" i="14" s="1"/>
  <c r="N4811" i="14"/>
  <c r="M4815" i="14"/>
  <c r="N4812" i="13"/>
  <c r="J4811" i="13" a="1"/>
  <c r="J4811" i="13" s="1"/>
  <c r="M4814" i="13"/>
  <c r="K4648" i="14" l="1"/>
  <c r="L4648" i="14" s="1"/>
  <c r="I4649" i="14" s="1"/>
  <c r="K4626" i="13"/>
  <c r="L4626" i="13" s="1"/>
  <c r="I4627" i="13" s="1"/>
  <c r="J4812" i="13" a="1"/>
  <c r="J4812" i="13" s="1"/>
  <c r="N4813" i="13"/>
  <c r="M4816" i="14"/>
  <c r="J4811" i="14" a="1"/>
  <c r="J4811" i="14" s="1"/>
  <c r="N4812" i="14"/>
  <c r="M4815" i="13"/>
  <c r="K4627" i="13" l="1"/>
  <c r="L4627" i="13" s="1"/>
  <c r="I4628" i="13" s="1"/>
  <c r="K4649" i="14"/>
  <c r="L4649" i="14" s="1"/>
  <c r="I4650" i="14" s="1"/>
  <c r="J4812" i="14" a="1"/>
  <c r="J4812" i="14" s="1"/>
  <c r="N4813" i="14"/>
  <c r="M4817" i="14"/>
  <c r="M4816" i="13"/>
  <c r="N4814" i="13"/>
  <c r="J4813" i="13" a="1"/>
  <c r="J4813" i="13" s="1"/>
  <c r="K4628" i="13" l="1"/>
  <c r="L4628" i="13" s="1"/>
  <c r="I4629" i="13" s="1"/>
  <c r="J4814" i="13" a="1"/>
  <c r="J4814" i="13" s="1"/>
  <c r="N4815" i="13"/>
  <c r="M4818" i="14"/>
  <c r="K4650" i="14"/>
  <c r="L4650" i="14" s="1"/>
  <c r="I4651" i="14" s="1"/>
  <c r="N4814" i="14"/>
  <c r="J4813" i="14" a="1"/>
  <c r="J4813" i="14" s="1"/>
  <c r="M4817" i="13"/>
  <c r="K4651" i="14" l="1"/>
  <c r="L4651" i="14" s="1"/>
  <c r="I4652" i="14" s="1"/>
  <c r="K4629" i="13"/>
  <c r="L4629" i="13" s="1"/>
  <c r="I4630" i="13" s="1"/>
  <c r="N4816" i="13"/>
  <c r="J4815" i="13" a="1"/>
  <c r="J4815" i="13" s="1"/>
  <c r="M4818" i="13"/>
  <c r="J4814" i="14" a="1"/>
  <c r="J4814" i="14" s="1"/>
  <c r="N4815" i="14"/>
  <c r="M4819" i="14"/>
  <c r="K4630" i="13" l="1"/>
  <c r="L4630" i="13" s="1"/>
  <c r="I4631" i="13" s="1"/>
  <c r="K4652" i="14"/>
  <c r="L4652" i="14" s="1"/>
  <c r="I4653" i="14" s="1"/>
  <c r="M4819" i="13"/>
  <c r="M4820" i="14"/>
  <c r="J4815" i="14" a="1"/>
  <c r="J4815" i="14" s="1"/>
  <c r="N4816" i="14"/>
  <c r="J4816" i="13" a="1"/>
  <c r="J4816" i="13" s="1"/>
  <c r="N4817" i="13"/>
  <c r="K4653" i="14" l="1"/>
  <c r="L4653" i="14" s="1"/>
  <c r="I4654" i="14" s="1"/>
  <c r="K4631" i="13"/>
  <c r="L4631" i="13" s="1"/>
  <c r="I4632" i="13" s="1"/>
  <c r="N4818" i="13"/>
  <c r="J4817" i="13" a="1"/>
  <c r="J4817" i="13" s="1"/>
  <c r="M4821" i="14"/>
  <c r="N4817" i="14"/>
  <c r="J4816" i="14" a="1"/>
  <c r="J4816" i="14" s="1"/>
  <c r="M4820" i="13"/>
  <c r="K4632" i="13" l="1"/>
  <c r="L4632" i="13" s="1"/>
  <c r="I4633" i="13" s="1"/>
  <c r="K4654" i="14"/>
  <c r="L4654" i="14" s="1"/>
  <c r="I4655" i="14" s="1"/>
  <c r="N4818" i="14"/>
  <c r="J4817" i="14" a="1"/>
  <c r="J4817" i="14" s="1"/>
  <c r="M4821" i="13"/>
  <c r="M4822" i="14"/>
  <c r="J4818" i="13" a="1"/>
  <c r="J4818" i="13" s="1"/>
  <c r="N4819" i="13"/>
  <c r="K4655" i="14" l="1"/>
  <c r="L4655" i="14" s="1"/>
  <c r="I4656" i="14" s="1"/>
  <c r="K4633" i="13"/>
  <c r="L4633" i="13" s="1"/>
  <c r="I4634" i="13" s="1"/>
  <c r="M4823" i="14"/>
  <c r="N4820" i="13"/>
  <c r="J4819" i="13" a="1"/>
  <c r="J4819" i="13" s="1"/>
  <c r="M4822" i="13"/>
  <c r="J4818" i="14" a="1"/>
  <c r="J4818" i="14" s="1"/>
  <c r="N4819" i="14"/>
  <c r="K4634" i="13" l="1"/>
  <c r="L4634" i="13" s="1"/>
  <c r="I4635" i="13" s="1"/>
  <c r="K4656" i="14"/>
  <c r="L4656" i="14" s="1"/>
  <c r="I4657" i="14" s="1"/>
  <c r="J4819" i="14" a="1"/>
  <c r="J4819" i="14" s="1"/>
  <c r="N4820" i="14"/>
  <c r="J4820" i="13" a="1"/>
  <c r="J4820" i="13" s="1"/>
  <c r="N4821" i="13"/>
  <c r="M4823" i="13"/>
  <c r="M4824" i="14"/>
  <c r="K4635" i="13" l="1"/>
  <c r="L4635" i="13" s="1"/>
  <c r="I4636" i="13" s="1"/>
  <c r="M4824" i="13"/>
  <c r="M4825" i="14"/>
  <c r="N4822" i="13"/>
  <c r="J4821" i="13" a="1"/>
  <c r="J4821" i="13" s="1"/>
  <c r="K4657" i="14"/>
  <c r="L4657" i="14" s="1"/>
  <c r="I4658" i="14" s="1"/>
  <c r="J4820" i="14" a="1"/>
  <c r="J4820" i="14" s="1"/>
  <c r="N4821" i="14"/>
  <c r="K4658" i="14" l="1"/>
  <c r="L4658" i="14" s="1"/>
  <c r="I4659" i="14" s="1"/>
  <c r="K4636" i="13"/>
  <c r="L4636" i="13" s="1"/>
  <c r="I4637" i="13" s="1"/>
  <c r="M4825" i="13"/>
  <c r="N4822" i="14"/>
  <c r="J4821" i="14" a="1"/>
  <c r="J4821" i="14" s="1"/>
  <c r="J4822" i="13" a="1"/>
  <c r="J4822" i="13" s="1"/>
  <c r="N4823" i="13"/>
  <c r="M4826" i="14"/>
  <c r="K4637" i="13" l="1"/>
  <c r="L4637" i="13" s="1"/>
  <c r="I4638" i="13" s="1"/>
  <c r="K4659" i="14"/>
  <c r="L4659" i="14" s="1"/>
  <c r="I4660" i="14" s="1"/>
  <c r="J4822" i="14" a="1"/>
  <c r="J4822" i="14" s="1"/>
  <c r="N4823" i="14"/>
  <c r="M4827" i="14"/>
  <c r="N4824" i="13"/>
  <c r="J4823" i="13" a="1"/>
  <c r="J4823" i="13" s="1"/>
  <c r="M4826" i="13"/>
  <c r="K4660" i="14" l="1"/>
  <c r="L4660" i="14" s="1"/>
  <c r="I4661" i="14" s="1"/>
  <c r="K4638" i="13"/>
  <c r="L4638" i="13" s="1"/>
  <c r="I4639" i="13" s="1"/>
  <c r="M4827" i="13"/>
  <c r="J4824" i="13" a="1"/>
  <c r="J4824" i="13" s="1"/>
  <c r="N4825" i="13"/>
  <c r="M4828" i="14"/>
  <c r="J4823" i="14" a="1"/>
  <c r="J4823" i="14" s="1"/>
  <c r="N4824" i="14"/>
  <c r="K4639" i="13" l="1"/>
  <c r="L4639" i="13" s="1"/>
  <c r="I4640" i="13" s="1"/>
  <c r="K4661" i="14"/>
  <c r="L4661" i="14" s="1"/>
  <c r="I4662" i="14" s="1"/>
  <c r="N4826" i="13"/>
  <c r="J4825" i="13" a="1"/>
  <c r="J4825" i="13" s="1"/>
  <c r="N4825" i="14"/>
  <c r="J4824" i="14" a="1"/>
  <c r="J4824" i="14" s="1"/>
  <c r="M4829" i="14"/>
  <c r="M4828" i="13"/>
  <c r="K4640" i="13" l="1"/>
  <c r="L4640" i="13" s="1"/>
  <c r="I4641" i="13" s="1"/>
  <c r="M4830" i="14"/>
  <c r="M4829" i="13"/>
  <c r="K4662" i="14"/>
  <c r="L4662" i="14" s="1"/>
  <c r="I4663" i="14" s="1"/>
  <c r="N4826" i="14"/>
  <c r="J4825" i="14" a="1"/>
  <c r="J4825" i="14" s="1"/>
  <c r="J4826" i="13" a="1"/>
  <c r="J4826" i="13" s="1"/>
  <c r="N4827" i="13"/>
  <c r="K4641" i="13" l="1"/>
  <c r="L4641" i="13" s="1"/>
  <c r="I4642" i="13" s="1"/>
  <c r="K4663" i="14"/>
  <c r="L4663" i="14" s="1"/>
  <c r="I4664" i="14" s="1"/>
  <c r="N4828" i="13"/>
  <c r="J4827" i="13" a="1"/>
  <c r="J4827" i="13" s="1"/>
  <c r="M4831" i="14"/>
  <c r="J4826" i="14" a="1"/>
  <c r="J4826" i="14" s="1"/>
  <c r="N4827" i="14"/>
  <c r="M4830" i="13"/>
  <c r="K4642" i="13" l="1"/>
  <c r="L4642" i="13" s="1"/>
  <c r="I4643" i="13" s="1"/>
  <c r="M4831" i="13"/>
  <c r="M4832" i="14"/>
  <c r="K4664" i="14"/>
  <c r="L4664" i="14" s="1"/>
  <c r="I4665" i="14" s="1"/>
  <c r="J4827" i="14" a="1"/>
  <c r="J4827" i="14" s="1"/>
  <c r="N4828" i="14"/>
  <c r="J4828" i="13" a="1"/>
  <c r="J4828" i="13" s="1"/>
  <c r="N4829" i="13"/>
  <c r="K4643" i="13" l="1"/>
  <c r="L4643" i="13" s="1"/>
  <c r="I4644" i="13" s="1"/>
  <c r="N4830" i="13"/>
  <c r="J4829" i="13" a="1"/>
  <c r="J4829" i="13" s="1"/>
  <c r="K4665" i="14"/>
  <c r="L4665" i="14" s="1"/>
  <c r="I4666" i="14" s="1"/>
  <c r="M4832" i="13"/>
  <c r="J4828" i="14" a="1"/>
  <c r="J4828" i="14" s="1"/>
  <c r="N4829" i="14"/>
  <c r="M4833" i="14"/>
  <c r="K4666" i="14" l="1"/>
  <c r="L4666" i="14" s="1"/>
  <c r="I4667" i="14" s="1"/>
  <c r="K4644" i="13"/>
  <c r="L4644" i="13" s="1"/>
  <c r="I4645" i="13" s="1"/>
  <c r="M4834" i="14"/>
  <c r="M4833" i="13"/>
  <c r="J4830" i="13" a="1"/>
  <c r="J4830" i="13" s="1"/>
  <c r="N4831" i="13"/>
  <c r="N4830" i="14"/>
  <c r="J4829" i="14" a="1"/>
  <c r="J4829" i="14" s="1"/>
  <c r="K4645" i="13" l="1"/>
  <c r="L4645" i="13" s="1"/>
  <c r="I4646" i="13" s="1"/>
  <c r="K4667" i="14"/>
  <c r="L4667" i="14" s="1"/>
  <c r="I4668" i="14" s="1"/>
  <c r="J4830" i="14" a="1"/>
  <c r="J4830" i="14" s="1"/>
  <c r="N4831" i="14"/>
  <c r="M4834" i="13"/>
  <c r="N4832" i="13"/>
  <c r="J4831" i="13" a="1"/>
  <c r="J4831" i="13" s="1"/>
  <c r="M4835" i="14"/>
  <c r="K4646" i="13" l="1"/>
  <c r="L4646" i="13" s="1"/>
  <c r="I4647" i="13" s="1"/>
  <c r="K4668" i="14"/>
  <c r="L4668" i="14" s="1"/>
  <c r="I4669" i="14" s="1"/>
  <c r="J4832" i="13" a="1"/>
  <c r="J4832" i="13" s="1"/>
  <c r="N4833" i="13"/>
  <c r="M4835" i="13"/>
  <c r="M4836" i="14"/>
  <c r="J4831" i="14" a="1"/>
  <c r="J4831" i="14" s="1"/>
  <c r="N4832" i="14"/>
  <c r="K4669" i="14" l="1"/>
  <c r="L4669" i="14" s="1"/>
  <c r="I4670" i="14" s="1"/>
  <c r="K4647" i="13"/>
  <c r="L4647" i="13" s="1"/>
  <c r="I4648" i="13" s="1"/>
  <c r="N4833" i="14"/>
  <c r="J4832" i="14" a="1"/>
  <c r="J4832" i="14" s="1"/>
  <c r="M4836" i="13"/>
  <c r="M4837" i="14"/>
  <c r="N4834" i="13"/>
  <c r="J4833" i="13" a="1"/>
  <c r="J4833" i="13" s="1"/>
  <c r="K4670" i="14" l="1"/>
  <c r="L4670" i="14" s="1"/>
  <c r="I4671" i="14" s="1"/>
  <c r="M4837" i="13"/>
  <c r="K4648" i="13"/>
  <c r="L4648" i="13" s="1"/>
  <c r="I4649" i="13" s="1"/>
  <c r="J4834" i="13" a="1"/>
  <c r="J4834" i="13" s="1"/>
  <c r="N4835" i="13"/>
  <c r="M4838" i="14"/>
  <c r="N4834" i="14"/>
  <c r="J4833" i="14" a="1"/>
  <c r="J4833" i="14" s="1"/>
  <c r="K4649" i="13" l="1"/>
  <c r="L4649" i="13" s="1"/>
  <c r="I4650" i="13" s="1"/>
  <c r="K4671" i="14"/>
  <c r="L4671" i="14" s="1"/>
  <c r="I4672" i="14" s="1"/>
  <c r="N4836" i="13"/>
  <c r="J4835" i="13" a="1"/>
  <c r="J4835" i="13" s="1"/>
  <c r="J4834" i="14" a="1"/>
  <c r="J4834" i="14" s="1"/>
  <c r="N4835" i="14"/>
  <c r="M4838" i="13"/>
  <c r="M4839" i="14"/>
  <c r="K4650" i="13" l="1"/>
  <c r="L4650" i="13" s="1"/>
  <c r="I4651" i="13" s="1"/>
  <c r="J4835" i="14" a="1"/>
  <c r="J4835" i="14" s="1"/>
  <c r="N4836" i="14"/>
  <c r="K4672" i="14"/>
  <c r="L4672" i="14" s="1"/>
  <c r="I4673" i="14" s="1"/>
  <c r="M4839" i="13"/>
  <c r="M4840" i="14"/>
  <c r="J4836" i="13" a="1"/>
  <c r="J4836" i="13" s="1"/>
  <c r="N4837" i="13"/>
  <c r="K4673" i="14" l="1"/>
  <c r="L4673" i="14" s="1"/>
  <c r="I4674" i="14" s="1"/>
  <c r="K4651" i="13"/>
  <c r="L4651" i="13" s="1"/>
  <c r="I4652" i="13" s="1"/>
  <c r="J4836" i="14" a="1"/>
  <c r="J4836" i="14" s="1"/>
  <c r="N4837" i="14"/>
  <c r="N4838" i="13"/>
  <c r="J4837" i="13" a="1"/>
  <c r="J4837" i="13" s="1"/>
  <c r="M4840" i="13"/>
  <c r="M4841" i="14"/>
  <c r="K4674" i="14" l="1"/>
  <c r="L4674" i="14" s="1"/>
  <c r="I4675" i="14" s="1"/>
  <c r="M4842" i="14"/>
  <c r="M4841" i="13"/>
  <c r="K4652" i="13"/>
  <c r="L4652" i="13" s="1"/>
  <c r="I4653" i="13" s="1"/>
  <c r="N4838" i="14"/>
  <c r="J4837" i="14" a="1"/>
  <c r="J4837" i="14" s="1"/>
  <c r="J4838" i="13" a="1"/>
  <c r="J4838" i="13" s="1"/>
  <c r="N4839" i="13"/>
  <c r="K4675" i="14" l="1"/>
  <c r="L4675" i="14" s="1"/>
  <c r="I4676" i="14" s="1"/>
  <c r="N4840" i="13"/>
  <c r="J4839" i="13" a="1"/>
  <c r="J4839" i="13" s="1"/>
  <c r="K4653" i="13"/>
  <c r="L4653" i="13" s="1"/>
  <c r="I4654" i="13" s="1"/>
  <c r="M4843" i="14"/>
  <c r="J4838" i="14" a="1"/>
  <c r="J4838" i="14" s="1"/>
  <c r="N4839" i="14"/>
  <c r="M4842" i="13"/>
  <c r="K4654" i="13" l="1"/>
  <c r="L4654" i="13" s="1"/>
  <c r="I4655" i="13" s="1"/>
  <c r="K4676" i="14"/>
  <c r="L4676" i="14" s="1"/>
  <c r="I4677" i="14" s="1"/>
  <c r="M4843" i="13"/>
  <c r="M4844" i="14"/>
  <c r="J4840" i="13" a="1"/>
  <c r="J4840" i="13" s="1"/>
  <c r="N4841" i="13"/>
  <c r="J4839" i="14" a="1"/>
  <c r="J4839" i="14" s="1"/>
  <c r="N4840" i="14"/>
  <c r="K4677" i="14" l="1"/>
  <c r="L4677" i="14" s="1"/>
  <c r="I4678" i="14" s="1"/>
  <c r="K4655" i="13"/>
  <c r="L4655" i="13" s="1"/>
  <c r="I4656" i="13" s="1"/>
  <c r="N4841" i="14"/>
  <c r="J4840" i="14" a="1"/>
  <c r="J4840" i="14" s="1"/>
  <c r="M4845" i="14"/>
  <c r="N4842" i="13"/>
  <c r="J4841" i="13" a="1"/>
  <c r="J4841" i="13" s="1"/>
  <c r="M4844" i="13"/>
  <c r="K4678" i="14" l="1"/>
  <c r="L4678" i="14" s="1"/>
  <c r="I4679" i="14" s="1"/>
  <c r="M4845" i="13"/>
  <c r="K4656" i="13"/>
  <c r="L4656" i="13" s="1"/>
  <c r="I4657" i="13" s="1"/>
  <c r="M4846" i="14"/>
  <c r="J4842" i="13" a="1"/>
  <c r="J4842" i="13" s="1"/>
  <c r="N4843" i="13"/>
  <c r="N4842" i="14"/>
  <c r="J4841" i="14" a="1"/>
  <c r="J4841" i="14" s="1"/>
  <c r="K4657" i="13" l="1"/>
  <c r="L4657" i="13" s="1"/>
  <c r="I4658" i="13" s="1"/>
  <c r="K4679" i="14"/>
  <c r="L4679" i="14" s="1"/>
  <c r="I4680" i="14" s="1"/>
  <c r="J4842" i="14" a="1"/>
  <c r="J4842" i="14" s="1"/>
  <c r="N4843" i="14"/>
  <c r="M4847" i="14"/>
  <c r="M4846" i="13"/>
  <c r="N4844" i="13"/>
  <c r="J4843" i="13" a="1"/>
  <c r="J4843" i="13" s="1"/>
  <c r="K4658" i="13" l="1"/>
  <c r="L4658" i="13" s="1"/>
  <c r="I4659" i="13" s="1"/>
  <c r="M4848" i="14"/>
  <c r="J4844" i="13" a="1"/>
  <c r="J4844" i="13" s="1"/>
  <c r="N4845" i="13"/>
  <c r="K4680" i="14"/>
  <c r="L4680" i="14" s="1"/>
  <c r="I4681" i="14" s="1"/>
  <c r="M4847" i="13"/>
  <c r="J4843" i="14" a="1"/>
  <c r="J4843" i="14" s="1"/>
  <c r="N4844" i="14"/>
  <c r="K4659" i="13" l="1"/>
  <c r="L4659" i="13" s="1"/>
  <c r="I4660" i="13" s="1"/>
  <c r="J4844" i="14" a="1"/>
  <c r="J4844" i="14" s="1"/>
  <c r="N4845" i="14"/>
  <c r="M4849" i="14"/>
  <c r="K4681" i="14"/>
  <c r="L4681" i="14" s="1"/>
  <c r="I4682" i="14" s="1"/>
  <c r="N4846" i="13"/>
  <c r="J4845" i="13" a="1"/>
  <c r="J4845" i="13" s="1"/>
  <c r="M4848" i="13"/>
  <c r="K4682" i="14" l="1"/>
  <c r="L4682" i="14" s="1"/>
  <c r="I4683" i="14" s="1"/>
  <c r="K4660" i="13"/>
  <c r="L4660" i="13" s="1"/>
  <c r="I4661" i="13" s="1"/>
  <c r="N4846" i="14"/>
  <c r="J4845" i="14" a="1"/>
  <c r="J4845" i="14" s="1"/>
  <c r="M4849" i="13"/>
  <c r="J4846" i="13" a="1"/>
  <c r="J4846" i="13" s="1"/>
  <c r="N4847" i="13"/>
  <c r="M4850" i="14"/>
  <c r="K4683" i="14" l="1"/>
  <c r="L4683" i="14" s="1"/>
  <c r="I4684" i="14" s="1"/>
  <c r="M4850" i="13"/>
  <c r="K4661" i="13"/>
  <c r="L4661" i="13" s="1"/>
  <c r="I4662" i="13" s="1"/>
  <c r="N4848" i="13"/>
  <c r="J4847" i="13" a="1"/>
  <c r="J4847" i="13" s="1"/>
  <c r="M4851" i="14"/>
  <c r="J4846" i="14" a="1"/>
  <c r="J4846" i="14" s="1"/>
  <c r="N4847" i="14"/>
  <c r="K4662" i="13" l="1"/>
  <c r="L4662" i="13" s="1"/>
  <c r="I4663" i="13" s="1"/>
  <c r="K4684" i="14"/>
  <c r="L4684" i="14" s="1"/>
  <c r="I4685" i="14" s="1"/>
  <c r="J4847" i="14" a="1"/>
  <c r="J4847" i="14" s="1"/>
  <c r="N4848" i="14"/>
  <c r="M4851" i="13"/>
  <c r="J4848" i="13" a="1"/>
  <c r="J4848" i="13" s="1"/>
  <c r="N4849" i="13"/>
  <c r="M4852" i="14"/>
  <c r="K4663" i="13" l="1"/>
  <c r="L4663" i="13" s="1"/>
  <c r="I4664" i="13" s="1"/>
  <c r="M4853" i="14"/>
  <c r="M4852" i="13"/>
  <c r="K4685" i="14"/>
  <c r="L4685" i="14" s="1"/>
  <c r="I4686" i="14" s="1"/>
  <c r="N4849" i="14"/>
  <c r="J4848" i="14" a="1"/>
  <c r="J4848" i="14" s="1"/>
  <c r="N4850" i="13"/>
  <c r="J4849" i="13" a="1"/>
  <c r="J4849" i="13" s="1"/>
  <c r="K4664" i="13" l="1"/>
  <c r="L4664" i="13" s="1"/>
  <c r="I4665" i="13" s="1"/>
  <c r="J4850" i="13" a="1"/>
  <c r="J4850" i="13" s="1"/>
  <c r="N4851" i="13"/>
  <c r="K4686" i="14"/>
  <c r="L4686" i="14" s="1"/>
  <c r="I4687" i="14" s="1"/>
  <c r="M4854" i="14"/>
  <c r="M4853" i="13"/>
  <c r="N4850" i="14"/>
  <c r="J4849" i="14" a="1"/>
  <c r="J4849" i="14" s="1"/>
  <c r="K4687" i="14" l="1"/>
  <c r="L4687" i="14" s="1"/>
  <c r="I4688" i="14" s="1"/>
  <c r="K4665" i="13"/>
  <c r="L4665" i="13" s="1"/>
  <c r="I4666" i="13" s="1"/>
  <c r="N4852" i="13"/>
  <c r="J4851" i="13" a="1"/>
  <c r="J4851" i="13" s="1"/>
  <c r="J4850" i="14" a="1"/>
  <c r="J4850" i="14" s="1"/>
  <c r="N4851" i="14"/>
  <c r="M4855" i="14"/>
  <c r="M4854" i="13"/>
  <c r="K4666" i="13" l="1"/>
  <c r="L4666" i="13" s="1"/>
  <c r="I4667" i="13" s="1"/>
  <c r="K4688" i="14"/>
  <c r="L4688" i="14" s="1"/>
  <c r="I4689" i="14" s="1"/>
  <c r="J4851" i="14" a="1"/>
  <c r="J4851" i="14" s="1"/>
  <c r="N4852" i="14"/>
  <c r="M4855" i="13"/>
  <c r="M4856" i="14"/>
  <c r="J4852" i="13" a="1"/>
  <c r="J4852" i="13" s="1"/>
  <c r="N4853" i="13"/>
  <c r="K4689" i="14" l="1"/>
  <c r="L4689" i="14" s="1"/>
  <c r="I4690" i="14" s="1"/>
  <c r="K4667" i="13"/>
  <c r="L4667" i="13" s="1"/>
  <c r="I4668" i="13" s="1"/>
  <c r="N4854" i="13"/>
  <c r="J4853" i="13" a="1"/>
  <c r="J4853" i="13" s="1"/>
  <c r="M4856" i="13"/>
  <c r="M4857" i="14"/>
  <c r="J4852" i="14" a="1"/>
  <c r="J4852" i="14" s="1"/>
  <c r="N4853" i="14"/>
  <c r="K4690" i="14" l="1"/>
  <c r="L4690" i="14" s="1"/>
  <c r="I4691" i="14" s="1"/>
  <c r="N4854" i="14"/>
  <c r="J4853" i="14" a="1"/>
  <c r="J4853" i="14" s="1"/>
  <c r="M4857" i="13"/>
  <c r="K4668" i="13"/>
  <c r="L4668" i="13" s="1"/>
  <c r="I4669" i="13" s="1"/>
  <c r="M4858" i="14"/>
  <c r="J4854" i="13" a="1"/>
  <c r="J4854" i="13" s="1"/>
  <c r="N4855" i="13"/>
  <c r="K4669" i="13" l="1"/>
  <c r="L4669" i="13" s="1"/>
  <c r="I4670" i="13" s="1"/>
  <c r="K4691" i="14"/>
  <c r="L4691" i="14" s="1"/>
  <c r="I4692" i="14" s="1"/>
  <c r="N4856" i="13"/>
  <c r="J4855" i="13" a="1"/>
  <c r="J4855" i="13" s="1"/>
  <c r="J4854" i="14" a="1"/>
  <c r="J4854" i="14" s="1"/>
  <c r="N4855" i="14"/>
  <c r="M4859" i="14"/>
  <c r="M4858" i="13"/>
  <c r="K4670" i="13" l="1"/>
  <c r="L4670" i="13" s="1"/>
  <c r="I4671" i="13" s="1"/>
  <c r="M4859" i="13"/>
  <c r="J4855" i="14" a="1"/>
  <c r="J4855" i="14" s="1"/>
  <c r="N4856" i="14"/>
  <c r="K4692" i="14"/>
  <c r="L4692" i="14" s="1"/>
  <c r="I4693" i="14" s="1"/>
  <c r="M4860" i="14"/>
  <c r="J4856" i="13" a="1"/>
  <c r="J4856" i="13" s="1"/>
  <c r="N4857" i="13"/>
  <c r="K4671" i="13" l="1"/>
  <c r="L4671" i="13" s="1"/>
  <c r="I4672" i="13" s="1"/>
  <c r="N4858" i="13"/>
  <c r="J4857" i="13" a="1"/>
  <c r="J4857" i="13" s="1"/>
  <c r="K4693" i="14"/>
  <c r="L4693" i="14" s="1"/>
  <c r="I4694" i="14" s="1"/>
  <c r="M4860" i="13"/>
  <c r="M4861" i="14"/>
  <c r="N4857" i="14"/>
  <c r="J4856" i="14" a="1"/>
  <c r="J4856" i="14" s="1"/>
  <c r="K4694" i="14" l="1"/>
  <c r="L4694" i="14" s="1"/>
  <c r="I4695" i="14" s="1"/>
  <c r="K4672" i="13"/>
  <c r="L4672" i="13" s="1"/>
  <c r="I4673" i="13" s="1"/>
  <c r="M4861" i="13"/>
  <c r="J4858" i="13" a="1"/>
  <c r="J4858" i="13" s="1"/>
  <c r="N4859" i="13"/>
  <c r="N4858" i="14"/>
  <c r="J4857" i="14" a="1"/>
  <c r="J4857" i="14" s="1"/>
  <c r="M4862" i="14"/>
  <c r="K4695" i="14" l="1"/>
  <c r="L4695" i="14" s="1"/>
  <c r="I4696" i="14" s="1"/>
  <c r="N4860" i="13"/>
  <c r="J4859" i="13" a="1"/>
  <c r="J4859" i="13" s="1"/>
  <c r="M4863" i="14"/>
  <c r="K4673" i="13"/>
  <c r="L4673" i="13" s="1"/>
  <c r="I4674" i="13" s="1"/>
  <c r="J4858" i="14" a="1"/>
  <c r="J4858" i="14" s="1"/>
  <c r="N4859" i="14"/>
  <c r="M4862" i="13"/>
  <c r="K4696" i="14" l="1"/>
  <c r="L4696" i="14" s="1"/>
  <c r="I4697" i="14" s="1"/>
  <c r="M4863" i="13"/>
  <c r="J4860" i="13" a="1"/>
  <c r="J4860" i="13" s="1"/>
  <c r="N4861" i="13"/>
  <c r="J4859" i="14" a="1"/>
  <c r="J4859" i="14" s="1"/>
  <c r="N4860" i="14"/>
  <c r="M4864" i="14"/>
  <c r="K4674" i="13"/>
  <c r="L4674" i="13" s="1"/>
  <c r="I4675" i="13" s="1"/>
  <c r="K4697" i="14" l="1"/>
  <c r="L4697" i="14" s="1"/>
  <c r="I4698" i="14" s="1"/>
  <c r="J4860" i="14" a="1"/>
  <c r="J4860" i="14" s="1"/>
  <c r="N4861" i="14"/>
  <c r="M4864" i="13"/>
  <c r="N4862" i="13"/>
  <c r="J4861" i="13" a="1"/>
  <c r="J4861" i="13" s="1"/>
  <c r="K4675" i="13"/>
  <c r="L4675" i="13" s="1"/>
  <c r="I4676" i="13" s="1"/>
  <c r="M4865" i="14"/>
  <c r="K4676" i="13" l="1"/>
  <c r="L4676" i="13" s="1"/>
  <c r="I4677" i="13" s="1"/>
  <c r="K4698" i="14"/>
  <c r="L4698" i="14" s="1"/>
  <c r="I4699" i="14" s="1"/>
  <c r="N4862" i="14"/>
  <c r="J4861" i="14" a="1"/>
  <c r="J4861" i="14" s="1"/>
  <c r="M4866" i="14"/>
  <c r="J4862" i="13" a="1"/>
  <c r="J4862" i="13" s="1"/>
  <c r="N4863" i="13"/>
  <c r="M4865" i="13"/>
  <c r="K4699" i="14" l="1"/>
  <c r="L4699" i="14" s="1"/>
  <c r="I4700" i="14" s="1"/>
  <c r="K4677" i="13"/>
  <c r="L4677" i="13" s="1"/>
  <c r="I4678" i="13" s="1"/>
  <c r="N4864" i="13"/>
  <c r="J4863" i="13" a="1"/>
  <c r="J4863" i="13" s="1"/>
  <c r="M4866" i="13"/>
  <c r="M4867" i="14"/>
  <c r="J4862" i="14" a="1"/>
  <c r="J4862" i="14" s="1"/>
  <c r="N4863" i="14"/>
  <c r="K4700" i="14" l="1"/>
  <c r="L4700" i="14" s="1"/>
  <c r="I4701" i="14" s="1"/>
  <c r="M4868" i="14"/>
  <c r="J4863" i="14" a="1"/>
  <c r="J4863" i="14" s="1"/>
  <c r="N4864" i="14"/>
  <c r="M4867" i="13"/>
  <c r="K4678" i="13"/>
  <c r="L4678" i="13" s="1"/>
  <c r="I4679" i="13" s="1"/>
  <c r="J4864" i="13" a="1"/>
  <c r="J4864" i="13" s="1"/>
  <c r="N4865" i="13"/>
  <c r="K4679" i="13" l="1"/>
  <c r="L4679" i="13" s="1"/>
  <c r="I4680" i="13" s="1"/>
  <c r="K4701" i="14"/>
  <c r="L4701" i="14" s="1"/>
  <c r="I4702" i="14" s="1"/>
  <c r="M4869" i="14"/>
  <c r="N4866" i="13"/>
  <c r="J4865" i="13" a="1"/>
  <c r="J4865" i="13" s="1"/>
  <c r="M4868" i="13"/>
  <c r="N4865" i="14"/>
  <c r="J4864" i="14" a="1"/>
  <c r="J4864" i="14" s="1"/>
  <c r="K4680" i="13" l="1"/>
  <c r="L4680" i="13" s="1"/>
  <c r="I4681" i="13" s="1"/>
  <c r="K4702" i="14"/>
  <c r="L4702" i="14" s="1"/>
  <c r="I4703" i="14" s="1"/>
  <c r="N4866" i="14"/>
  <c r="J4865" i="14" a="1"/>
  <c r="J4865" i="14" s="1"/>
  <c r="M4869" i="13"/>
  <c r="J4866" i="13" a="1"/>
  <c r="J4866" i="13" s="1"/>
  <c r="N4867" i="13"/>
  <c r="M4870" i="14"/>
  <c r="K4681" i="13" l="1"/>
  <c r="L4681" i="13" s="1"/>
  <c r="I4682" i="13" s="1"/>
  <c r="M4871" i="14"/>
  <c r="M4870" i="13"/>
  <c r="K4703" i="14"/>
  <c r="L4703" i="14" s="1"/>
  <c r="I4704" i="14" s="1"/>
  <c r="N4868" i="13"/>
  <c r="J4867" i="13" a="1"/>
  <c r="J4867" i="13" s="1"/>
  <c r="J4866" i="14" a="1"/>
  <c r="J4866" i="14" s="1"/>
  <c r="N4867" i="14"/>
  <c r="K4682" i="13" l="1"/>
  <c r="L4682" i="13" s="1"/>
  <c r="I4683" i="13" s="1"/>
  <c r="K4704" i="14"/>
  <c r="L4704" i="14" s="1"/>
  <c r="I4705" i="14" s="1"/>
  <c r="J4867" i="14" a="1"/>
  <c r="J4867" i="14" s="1"/>
  <c r="N4868" i="14"/>
  <c r="M4872" i="14"/>
  <c r="M4871" i="13"/>
  <c r="J4868" i="13" a="1"/>
  <c r="J4868" i="13" s="1"/>
  <c r="N4869" i="13"/>
  <c r="K4683" i="13" l="1"/>
  <c r="L4683" i="13" s="1"/>
  <c r="I4684" i="13" s="1"/>
  <c r="N4870" i="13"/>
  <c r="J4869" i="13" a="1"/>
  <c r="J4869" i="13" s="1"/>
  <c r="M4873" i="14"/>
  <c r="K4705" i="14"/>
  <c r="L4705" i="14" s="1"/>
  <c r="I4706" i="14" s="1"/>
  <c r="J4868" i="14" a="1"/>
  <c r="J4868" i="14" s="1"/>
  <c r="N4869" i="14"/>
  <c r="M4872" i="13"/>
  <c r="K4706" i="14" l="1"/>
  <c r="L4706" i="14" s="1"/>
  <c r="I4707" i="14" s="1"/>
  <c r="K4684" i="13"/>
  <c r="L4684" i="13" s="1"/>
  <c r="I4685" i="13" s="1"/>
  <c r="J4870" i="13" a="1"/>
  <c r="J4870" i="13" s="1"/>
  <c r="N4871" i="13"/>
  <c r="M4873" i="13"/>
  <c r="N4870" i="14"/>
  <c r="J4869" i="14" a="1"/>
  <c r="J4869" i="14" s="1"/>
  <c r="M4874" i="14"/>
  <c r="K4685" i="13" l="1"/>
  <c r="L4685" i="13" s="1"/>
  <c r="I4686" i="13" s="1"/>
  <c r="K4707" i="14"/>
  <c r="L4707" i="14" s="1"/>
  <c r="I4708" i="14" s="1"/>
  <c r="J4870" i="14" a="1"/>
  <c r="J4870" i="14" s="1"/>
  <c r="N4871" i="14"/>
  <c r="M4875" i="14"/>
  <c r="M4874" i="13"/>
  <c r="N4872" i="13"/>
  <c r="J4871" i="13" a="1"/>
  <c r="J4871" i="13" s="1"/>
  <c r="K4708" i="14" l="1"/>
  <c r="L4708" i="14" s="1"/>
  <c r="I4709" i="14" s="1"/>
  <c r="K4686" i="13"/>
  <c r="L4686" i="13" s="1"/>
  <c r="I4687" i="13" s="1"/>
  <c r="J4872" i="13" a="1"/>
  <c r="J4872" i="13" s="1"/>
  <c r="N4873" i="13"/>
  <c r="M4876" i="14"/>
  <c r="M4875" i="13"/>
  <c r="J4871" i="14" a="1"/>
  <c r="J4871" i="14" s="1"/>
  <c r="N4872" i="14"/>
  <c r="K4687" i="13" l="1"/>
  <c r="L4687" i="13" s="1"/>
  <c r="I4688" i="13" s="1"/>
  <c r="K4709" i="14"/>
  <c r="L4709" i="14" s="1"/>
  <c r="I4710" i="14" s="1"/>
  <c r="N4873" i="14"/>
  <c r="J4872" i="14" a="1"/>
  <c r="J4872" i="14" s="1"/>
  <c r="M4877" i="14"/>
  <c r="N4874" i="13"/>
  <c r="J4873" i="13" a="1"/>
  <c r="J4873" i="13" s="1"/>
  <c r="M4876" i="13"/>
  <c r="K4688" i="13" l="1"/>
  <c r="L4688" i="13" s="1"/>
  <c r="I4689" i="13" s="1"/>
  <c r="K4710" i="14"/>
  <c r="L4710" i="14" s="1"/>
  <c r="I4711" i="14" s="1"/>
  <c r="J4874" i="13" a="1"/>
  <c r="J4874" i="13" s="1"/>
  <c r="N4875" i="13"/>
  <c r="M4877" i="13"/>
  <c r="M4878" i="14"/>
  <c r="N4874" i="14"/>
  <c r="J4873" i="14" a="1"/>
  <c r="J4873" i="14" s="1"/>
  <c r="K4689" i="13" l="1"/>
  <c r="L4689" i="13" s="1"/>
  <c r="I4690" i="13" s="1"/>
  <c r="J4874" i="14" a="1"/>
  <c r="J4874" i="14" s="1"/>
  <c r="N4875" i="14"/>
  <c r="K4711" i="14"/>
  <c r="L4711" i="14" s="1"/>
  <c r="I4712" i="14" s="1"/>
  <c r="M4878" i="13"/>
  <c r="N4876" i="13"/>
  <c r="J4875" i="13" a="1"/>
  <c r="J4875" i="13" s="1"/>
  <c r="M4879" i="14"/>
  <c r="K4712" i="14" l="1"/>
  <c r="L4712" i="14" s="1"/>
  <c r="I4713" i="14" s="1"/>
  <c r="K4690" i="13"/>
  <c r="L4690" i="13" s="1"/>
  <c r="I4691" i="13" s="1"/>
  <c r="M4880" i="14"/>
  <c r="M4879" i="13"/>
  <c r="J4875" i="14" a="1"/>
  <c r="J4875" i="14" s="1"/>
  <c r="N4876" i="14"/>
  <c r="J4876" i="13" a="1"/>
  <c r="J4876" i="13" s="1"/>
  <c r="N4877" i="13"/>
  <c r="K4691" i="13" l="1"/>
  <c r="L4691" i="13" s="1"/>
  <c r="I4692" i="13" s="1"/>
  <c r="K4713" i="14"/>
  <c r="L4713" i="14" s="1"/>
  <c r="I4714" i="14" s="1"/>
  <c r="N4878" i="13"/>
  <c r="J4877" i="13" a="1"/>
  <c r="J4877" i="13" s="1"/>
  <c r="M4880" i="13"/>
  <c r="J4876" i="14" a="1"/>
  <c r="J4876" i="14" s="1"/>
  <c r="N4877" i="14"/>
  <c r="M4881" i="14"/>
  <c r="K4714" i="14" l="1"/>
  <c r="L4714" i="14" s="1"/>
  <c r="I4715" i="14" s="1"/>
  <c r="K4692" i="13"/>
  <c r="L4692" i="13" s="1"/>
  <c r="I4693" i="13" s="1"/>
  <c r="M4881" i="13"/>
  <c r="N4878" i="14"/>
  <c r="J4877" i="14" a="1"/>
  <c r="J4877" i="14" s="1"/>
  <c r="M4882" i="14"/>
  <c r="J4878" i="13" a="1"/>
  <c r="J4878" i="13" s="1"/>
  <c r="N4879" i="13"/>
  <c r="K4693" i="13" l="1"/>
  <c r="L4693" i="13" s="1"/>
  <c r="I4694" i="13" s="1"/>
  <c r="K4715" i="14"/>
  <c r="L4715" i="14" s="1"/>
  <c r="I4716" i="14" s="1"/>
  <c r="N4880" i="13"/>
  <c r="J4879" i="13" a="1"/>
  <c r="J4879" i="13" s="1"/>
  <c r="J4878" i="14" a="1"/>
  <c r="J4878" i="14" s="1"/>
  <c r="N4879" i="14"/>
  <c r="M4883" i="14"/>
  <c r="M4882" i="13"/>
  <c r="K4716" i="14" l="1"/>
  <c r="L4716" i="14" s="1"/>
  <c r="I4717" i="14" s="1"/>
  <c r="K4694" i="13"/>
  <c r="L4694" i="13" s="1"/>
  <c r="I4695" i="13" s="1"/>
  <c r="M4883" i="13"/>
  <c r="J4879" i="14" a="1"/>
  <c r="J4879" i="14" s="1"/>
  <c r="N4880" i="14"/>
  <c r="M4884" i="14"/>
  <c r="J4880" i="13" a="1"/>
  <c r="J4880" i="13" s="1"/>
  <c r="N4881" i="13"/>
  <c r="K4695" i="13" l="1"/>
  <c r="L4695" i="13" s="1"/>
  <c r="I4696" i="13" s="1"/>
  <c r="K4717" i="14"/>
  <c r="L4717" i="14" s="1"/>
  <c r="I4718" i="14" s="1"/>
  <c r="N4882" i="13"/>
  <c r="J4881" i="13" a="1"/>
  <c r="J4881" i="13" s="1"/>
  <c r="N4881" i="14"/>
  <c r="J4880" i="14" a="1"/>
  <c r="J4880" i="14" s="1"/>
  <c r="M4885" i="14"/>
  <c r="M4884" i="13"/>
  <c r="K4718" i="14" l="1"/>
  <c r="L4718" i="14" s="1"/>
  <c r="I4719" i="14" s="1"/>
  <c r="K4696" i="13"/>
  <c r="L4696" i="13" s="1"/>
  <c r="I4697" i="13" s="1"/>
  <c r="N4882" i="14"/>
  <c r="J4881" i="14" a="1"/>
  <c r="J4881" i="14" s="1"/>
  <c r="M4885" i="13"/>
  <c r="M4886" i="14"/>
  <c r="J4882" i="13" a="1"/>
  <c r="J4882" i="13" s="1"/>
  <c r="N4883" i="13"/>
  <c r="K4697" i="13" l="1"/>
  <c r="L4697" i="13" s="1"/>
  <c r="I4698" i="13" s="1"/>
  <c r="K4719" i="14"/>
  <c r="L4719" i="14" s="1"/>
  <c r="I4720" i="14" s="1"/>
  <c r="M4886" i="13"/>
  <c r="N4884" i="13"/>
  <c r="J4883" i="13" a="1"/>
  <c r="J4883" i="13" s="1"/>
  <c r="M4887" i="14"/>
  <c r="J4882" i="14" a="1"/>
  <c r="J4882" i="14" s="1"/>
  <c r="N4883" i="14"/>
  <c r="K4698" i="13" l="1"/>
  <c r="L4698" i="13" s="1"/>
  <c r="I4699" i="13" s="1"/>
  <c r="J4884" i="13" a="1"/>
  <c r="J4884" i="13" s="1"/>
  <c r="N4885" i="13"/>
  <c r="M4888" i="14"/>
  <c r="J4883" i="14" a="1"/>
  <c r="J4883" i="14" s="1"/>
  <c r="N4884" i="14"/>
  <c r="K4720" i="14"/>
  <c r="L4720" i="14" s="1"/>
  <c r="I4721" i="14" s="1"/>
  <c r="M4887" i="13"/>
  <c r="K4721" i="14" l="1"/>
  <c r="L4721" i="14" s="1"/>
  <c r="I4722" i="14" s="1"/>
  <c r="K4699" i="13"/>
  <c r="L4699" i="13" s="1"/>
  <c r="I4700" i="13" s="1"/>
  <c r="J4884" i="14" a="1"/>
  <c r="J4884" i="14" s="1"/>
  <c r="N4885" i="14"/>
  <c r="N4886" i="13"/>
  <c r="J4885" i="13" a="1"/>
  <c r="J4885" i="13" s="1"/>
  <c r="M4888" i="13"/>
  <c r="M4889" i="14"/>
  <c r="K4700" i="13" l="1"/>
  <c r="L4700" i="13" s="1"/>
  <c r="I4701" i="13" s="1"/>
  <c r="K4722" i="14"/>
  <c r="L4722" i="14" s="1"/>
  <c r="I4723" i="14" s="1"/>
  <c r="M4889" i="13"/>
  <c r="M4890" i="14"/>
  <c r="J4886" i="13" a="1"/>
  <c r="J4886" i="13" s="1"/>
  <c r="N4887" i="13"/>
  <c r="N4886" i="14"/>
  <c r="J4885" i="14" a="1"/>
  <c r="J4885" i="14" s="1"/>
  <c r="K4701" i="13" l="1"/>
  <c r="L4701" i="13" s="1"/>
  <c r="I4702" i="13" s="1"/>
  <c r="K4723" i="14"/>
  <c r="L4723" i="14" s="1"/>
  <c r="I4724" i="14" s="1"/>
  <c r="J4886" i="14" a="1"/>
  <c r="J4886" i="14" s="1"/>
  <c r="N4887" i="14"/>
  <c r="M4891" i="14"/>
  <c r="N4888" i="13"/>
  <c r="J4887" i="13" a="1"/>
  <c r="J4887" i="13" s="1"/>
  <c r="M4890" i="13"/>
  <c r="K4702" i="13" l="1"/>
  <c r="L4702" i="13" s="1"/>
  <c r="I4703" i="13" s="1"/>
  <c r="J4888" i="13" a="1"/>
  <c r="J4888" i="13" s="1"/>
  <c r="N4889" i="13"/>
  <c r="M4891" i="13"/>
  <c r="M4892" i="14"/>
  <c r="K4724" i="14"/>
  <c r="L4724" i="14" s="1"/>
  <c r="I4725" i="14" s="1"/>
  <c r="J4887" i="14" a="1"/>
  <c r="J4887" i="14" s="1"/>
  <c r="N4888" i="14"/>
  <c r="K4725" i="14" l="1"/>
  <c r="L4725" i="14" s="1"/>
  <c r="I4726" i="14" s="1"/>
  <c r="K4703" i="13"/>
  <c r="L4703" i="13" s="1"/>
  <c r="I4704" i="13" s="1"/>
  <c r="N4889" i="14"/>
  <c r="J4888" i="14" a="1"/>
  <c r="J4888" i="14" s="1"/>
  <c r="M4893" i="14"/>
  <c r="N4890" i="13"/>
  <c r="J4889" i="13" a="1"/>
  <c r="J4889" i="13" s="1"/>
  <c r="M4892" i="13"/>
  <c r="K4704" i="13" l="1"/>
  <c r="L4704" i="13" s="1"/>
  <c r="I4705" i="13" s="1"/>
  <c r="K4726" i="14"/>
  <c r="L4726" i="14" s="1"/>
  <c r="I4727" i="14" s="1"/>
  <c r="M4893" i="13"/>
  <c r="M4894" i="14"/>
  <c r="J4890" i="13" a="1"/>
  <c r="J4890" i="13" s="1"/>
  <c r="N4891" i="13"/>
  <c r="N4890" i="14"/>
  <c r="J4889" i="14" a="1"/>
  <c r="J4889" i="14" s="1"/>
  <c r="K4705" i="13" l="1"/>
  <c r="L4705" i="13" s="1"/>
  <c r="I4706" i="13" s="1"/>
  <c r="K4727" i="14"/>
  <c r="L4727" i="14" s="1"/>
  <c r="I4728" i="14" s="1"/>
  <c r="M4895" i="14"/>
  <c r="J4890" i="14" a="1"/>
  <c r="J4890" i="14" s="1"/>
  <c r="N4891" i="14"/>
  <c r="N4892" i="13"/>
  <c r="J4891" i="13" a="1"/>
  <c r="J4891" i="13" s="1"/>
  <c r="M4894" i="13"/>
  <c r="K4706" i="13" l="1"/>
  <c r="L4706" i="13" s="1"/>
  <c r="I4707" i="13" s="1"/>
  <c r="M4895" i="13"/>
  <c r="J4891" i="14" a="1"/>
  <c r="J4891" i="14" s="1"/>
  <c r="N4892" i="14"/>
  <c r="K4728" i="14"/>
  <c r="L4728" i="14" s="1"/>
  <c r="I4729" i="14" s="1"/>
  <c r="M4896" i="14"/>
  <c r="J4892" i="13" a="1"/>
  <c r="J4892" i="13" s="1"/>
  <c r="N4893" i="13"/>
  <c r="K4707" i="13" l="1"/>
  <c r="L4707" i="13" s="1"/>
  <c r="I4708" i="13" s="1"/>
  <c r="N4894" i="13"/>
  <c r="J4893" i="13" a="1"/>
  <c r="J4893" i="13" s="1"/>
  <c r="K4729" i="14"/>
  <c r="L4729" i="14" s="1"/>
  <c r="I4730" i="14" s="1"/>
  <c r="M4896" i="13"/>
  <c r="M4897" i="14"/>
  <c r="J4892" i="14" a="1"/>
  <c r="J4892" i="14" s="1"/>
  <c r="N4893" i="14"/>
  <c r="K4730" i="14" l="1"/>
  <c r="L4730" i="14" s="1"/>
  <c r="I4731" i="14" s="1"/>
  <c r="K4708" i="13"/>
  <c r="L4708" i="13" s="1"/>
  <c r="I4709" i="13" s="1"/>
  <c r="M4897" i="13"/>
  <c r="N4894" i="14"/>
  <c r="J4893" i="14" a="1"/>
  <c r="J4893" i="14" s="1"/>
  <c r="J4894" i="13" a="1"/>
  <c r="J4894" i="13" s="1"/>
  <c r="N4895" i="13"/>
  <c r="M4898" i="14"/>
  <c r="K4731" i="14" l="1"/>
  <c r="L4731" i="14" s="1"/>
  <c r="I4732" i="14" s="1"/>
  <c r="M4899" i="14"/>
  <c r="K4709" i="13"/>
  <c r="L4709" i="13" s="1"/>
  <c r="I4710" i="13" s="1"/>
  <c r="J4894" i="14" a="1"/>
  <c r="J4894" i="14" s="1"/>
  <c r="N4895" i="14"/>
  <c r="N4896" i="13"/>
  <c r="J4895" i="13" a="1"/>
  <c r="J4895" i="13" s="1"/>
  <c r="M4898" i="13"/>
  <c r="K4710" i="13" l="1"/>
  <c r="L4710" i="13" s="1"/>
  <c r="I4711" i="13" s="1"/>
  <c r="K4732" i="14"/>
  <c r="L4732" i="14" s="1"/>
  <c r="I4733" i="14" s="1"/>
  <c r="M4899" i="13"/>
  <c r="J4895" i="14" a="1"/>
  <c r="J4895" i="14" s="1"/>
  <c r="N4896" i="14"/>
  <c r="M4900" i="14"/>
  <c r="J4896" i="13" a="1"/>
  <c r="J4896" i="13" s="1"/>
  <c r="N4897" i="13"/>
  <c r="K4711" i="13" l="1"/>
  <c r="L4711" i="13" s="1"/>
  <c r="I4712" i="13" s="1"/>
  <c r="N4898" i="13"/>
  <c r="J4897" i="13" a="1"/>
  <c r="J4897" i="13" s="1"/>
  <c r="N4897" i="14"/>
  <c r="J4896" i="14" a="1"/>
  <c r="J4896" i="14" s="1"/>
  <c r="K4733" i="14"/>
  <c r="L4733" i="14" s="1"/>
  <c r="I4734" i="14" s="1"/>
  <c r="M4901" i="14"/>
  <c r="M4900" i="13"/>
  <c r="K4712" i="13" l="1"/>
  <c r="L4712" i="13" s="1"/>
  <c r="I4713" i="13" s="1"/>
  <c r="M4902" i="14"/>
  <c r="M4901" i="13"/>
  <c r="J4898" i="13" a="1"/>
  <c r="J4898" i="13" s="1"/>
  <c r="N4899" i="13"/>
  <c r="K4734" i="14"/>
  <c r="L4734" i="14" s="1"/>
  <c r="I4735" i="14" s="1"/>
  <c r="N4898" i="14"/>
  <c r="J4897" i="14" a="1"/>
  <c r="J4897" i="14" s="1"/>
  <c r="K4735" i="14" l="1"/>
  <c r="L4735" i="14" s="1"/>
  <c r="I4736" i="14" s="1"/>
  <c r="K4713" i="13"/>
  <c r="L4713" i="13" s="1"/>
  <c r="I4714" i="13" s="1"/>
  <c r="N4900" i="13"/>
  <c r="J4899" i="13" a="1"/>
  <c r="J4899" i="13" s="1"/>
  <c r="M4903" i="14"/>
  <c r="J4898" i="14" a="1"/>
  <c r="J4898" i="14" s="1"/>
  <c r="N4899" i="14"/>
  <c r="M4902" i="13"/>
  <c r="K4736" i="14" l="1"/>
  <c r="L4736" i="14" s="1"/>
  <c r="I4737" i="14" s="1"/>
  <c r="M4903" i="13"/>
  <c r="M4904" i="14"/>
  <c r="K4714" i="13"/>
  <c r="L4714" i="13" s="1"/>
  <c r="I4715" i="13" s="1"/>
  <c r="J4899" i="14" a="1"/>
  <c r="J4899" i="14" s="1"/>
  <c r="N4900" i="14"/>
  <c r="J4900" i="13" a="1"/>
  <c r="J4900" i="13" s="1"/>
  <c r="N4901" i="13"/>
  <c r="K4737" i="14" l="1"/>
  <c r="L4737" i="14" s="1"/>
  <c r="I4738" i="14" s="1"/>
  <c r="N4902" i="13"/>
  <c r="J4901" i="13" a="1"/>
  <c r="J4901" i="13" s="1"/>
  <c r="M4904" i="13"/>
  <c r="K4715" i="13"/>
  <c r="L4715" i="13" s="1"/>
  <c r="I4716" i="13" s="1"/>
  <c r="J4900" i="14" a="1"/>
  <c r="J4900" i="14" s="1"/>
  <c r="N4901" i="14"/>
  <c r="M4905" i="14"/>
  <c r="K4716" i="13" l="1"/>
  <c r="L4716" i="13" s="1"/>
  <c r="I4717" i="13" s="1"/>
  <c r="K4738" i="14"/>
  <c r="L4738" i="14" s="1"/>
  <c r="I4739" i="14" s="1"/>
  <c r="J4902" i="13" a="1"/>
  <c r="J4902" i="13" s="1"/>
  <c r="N4903" i="13"/>
  <c r="M4906" i="14"/>
  <c r="N4902" i="14"/>
  <c r="J4901" i="14" a="1"/>
  <c r="J4901" i="14" s="1"/>
  <c r="M4905" i="13"/>
  <c r="K4717" i="13" l="1"/>
  <c r="L4717" i="13" s="1"/>
  <c r="I4718" i="13" s="1"/>
  <c r="M4907" i="14"/>
  <c r="M4906" i="13"/>
  <c r="K4739" i="14"/>
  <c r="L4739" i="14" s="1"/>
  <c r="I4740" i="14" s="1"/>
  <c r="N4904" i="13"/>
  <c r="J4903" i="13" a="1"/>
  <c r="J4903" i="13" s="1"/>
  <c r="J4902" i="14" a="1"/>
  <c r="J4902" i="14" s="1"/>
  <c r="N4903" i="14"/>
  <c r="K4718" i="13" l="1"/>
  <c r="L4718" i="13" s="1"/>
  <c r="I4719" i="13" s="1"/>
  <c r="J4903" i="14" a="1"/>
  <c r="J4903" i="14" s="1"/>
  <c r="N4904" i="14"/>
  <c r="M4908" i="14"/>
  <c r="K4740" i="14"/>
  <c r="L4740" i="14" s="1"/>
  <c r="I4741" i="14" s="1"/>
  <c r="M4907" i="13"/>
  <c r="J4904" i="13" a="1"/>
  <c r="J4904" i="13" s="1"/>
  <c r="N4905" i="13"/>
  <c r="K4741" i="14" l="1"/>
  <c r="L4741" i="14" s="1"/>
  <c r="I4742" i="14" s="1"/>
  <c r="K4719" i="13"/>
  <c r="L4719" i="13" s="1"/>
  <c r="I4720" i="13" s="1"/>
  <c r="N4905" i="14"/>
  <c r="J4904" i="14" a="1"/>
  <c r="J4904" i="14" s="1"/>
  <c r="N4906" i="13"/>
  <c r="J4905" i="13" a="1"/>
  <c r="J4905" i="13" s="1"/>
  <c r="M4909" i="14"/>
  <c r="M4908" i="13"/>
  <c r="K4720" i="13" l="1"/>
  <c r="L4720" i="13" s="1"/>
  <c r="I4721" i="13" s="1"/>
  <c r="K4742" i="14"/>
  <c r="L4742" i="14" s="1"/>
  <c r="I4743" i="14" s="1"/>
  <c r="M4909" i="13"/>
  <c r="J4906" i="13" a="1"/>
  <c r="J4906" i="13" s="1"/>
  <c r="N4907" i="13"/>
  <c r="M4910" i="14"/>
  <c r="N4906" i="14"/>
  <c r="J4905" i="14" a="1"/>
  <c r="J4905" i="14" s="1"/>
  <c r="K4743" i="14" l="1"/>
  <c r="L4743" i="14" s="1"/>
  <c r="I4744" i="14" s="1"/>
  <c r="K4721" i="13"/>
  <c r="L4721" i="13" s="1"/>
  <c r="I4722" i="13" s="1"/>
  <c r="N4908" i="13"/>
  <c r="J4907" i="13" a="1"/>
  <c r="J4907" i="13" s="1"/>
  <c r="J4906" i="14" a="1"/>
  <c r="J4906" i="14" s="1"/>
  <c r="N4907" i="14"/>
  <c r="M4911" i="14"/>
  <c r="M4910" i="13"/>
  <c r="K4744" i="14" l="1"/>
  <c r="L4744" i="14" s="1"/>
  <c r="I4745" i="14" s="1"/>
  <c r="M4911" i="13"/>
  <c r="J4907" i="14" a="1"/>
  <c r="J4907" i="14" s="1"/>
  <c r="N4908" i="14"/>
  <c r="K4722" i="13"/>
  <c r="L4722" i="13" s="1"/>
  <c r="I4723" i="13" s="1"/>
  <c r="M4912" i="14"/>
  <c r="J4908" i="13" a="1"/>
  <c r="J4908" i="13" s="1"/>
  <c r="N4909" i="13"/>
  <c r="K4745" i="14" l="1"/>
  <c r="L4745" i="14" s="1"/>
  <c r="I4746" i="14" s="1"/>
  <c r="M4913" i="14"/>
  <c r="N4910" i="13"/>
  <c r="J4909" i="13" a="1"/>
  <c r="J4909" i="13" s="1"/>
  <c r="K4723" i="13"/>
  <c r="L4723" i="13" s="1"/>
  <c r="I4724" i="13" s="1"/>
  <c r="M4912" i="13"/>
  <c r="J4908" i="14" a="1"/>
  <c r="J4908" i="14" s="1"/>
  <c r="N4909" i="14"/>
  <c r="K4746" i="14" l="1"/>
  <c r="L4746" i="14" s="1"/>
  <c r="I4747" i="14" s="1"/>
  <c r="K4724" i="13"/>
  <c r="L4724" i="13" s="1"/>
  <c r="I4725" i="13" s="1"/>
  <c r="N4910" i="14"/>
  <c r="J4909" i="14" a="1"/>
  <c r="J4909" i="14" s="1"/>
  <c r="M4914" i="14"/>
  <c r="M4913" i="13"/>
  <c r="J4910" i="13" a="1"/>
  <c r="J4910" i="13" s="1"/>
  <c r="N4911" i="13"/>
  <c r="K4747" i="14" l="1"/>
  <c r="L4747" i="14" s="1"/>
  <c r="I4748" i="14" s="1"/>
  <c r="N4912" i="13"/>
  <c r="J4911" i="13" a="1"/>
  <c r="J4911" i="13" s="1"/>
  <c r="M4915" i="14"/>
  <c r="K4725" i="13"/>
  <c r="L4725" i="13" s="1"/>
  <c r="I4726" i="13" s="1"/>
  <c r="M4914" i="13"/>
  <c r="J4910" i="14" a="1"/>
  <c r="J4910" i="14" s="1"/>
  <c r="N4911" i="14"/>
  <c r="K4726" i="13" l="1"/>
  <c r="L4726" i="13" s="1"/>
  <c r="I4727" i="13" s="1"/>
  <c r="K4748" i="14"/>
  <c r="L4748" i="14" s="1"/>
  <c r="I4749" i="14" s="1"/>
  <c r="J4912" i="13" a="1"/>
  <c r="J4912" i="13" s="1"/>
  <c r="N4913" i="13"/>
  <c r="N4912" i="14"/>
  <c r="J4911" i="14" a="1"/>
  <c r="J4911" i="14" s="1"/>
  <c r="M4915" i="13"/>
  <c r="M4916" i="14"/>
  <c r="K4727" i="13" l="1"/>
  <c r="L4727" i="13" s="1"/>
  <c r="I4728" i="13" s="1"/>
  <c r="K4749" i="14"/>
  <c r="L4749" i="14" s="1"/>
  <c r="I4750" i="14" s="1"/>
  <c r="M4917" i="14"/>
  <c r="J4912" i="14" a="1"/>
  <c r="J4912" i="14" s="1"/>
  <c r="N4913" i="14"/>
  <c r="N4914" i="13"/>
  <c r="J4913" i="13" a="1"/>
  <c r="J4913" i="13" s="1"/>
  <c r="M4916" i="13"/>
  <c r="K4728" i="13" l="1"/>
  <c r="L4728" i="13" s="1"/>
  <c r="I4729" i="13" s="1"/>
  <c r="M4917" i="13"/>
  <c r="N4914" i="14"/>
  <c r="J4913" i="14" a="1"/>
  <c r="J4913" i="14" s="1"/>
  <c r="K4750" i="14"/>
  <c r="L4750" i="14" s="1"/>
  <c r="I4751" i="14" s="1"/>
  <c r="J4914" i="13" a="1"/>
  <c r="J4914" i="13" s="1"/>
  <c r="N4915" i="13"/>
  <c r="M4918" i="14"/>
  <c r="K4729" i="13" l="1"/>
  <c r="L4729" i="13" s="1"/>
  <c r="I4730" i="13" s="1"/>
  <c r="M4919" i="14"/>
  <c r="K4751" i="14"/>
  <c r="L4751" i="14" s="1"/>
  <c r="I4752" i="14" s="1"/>
  <c r="M4918" i="13"/>
  <c r="N4916" i="13"/>
  <c r="J4915" i="13" a="1"/>
  <c r="J4915" i="13" s="1"/>
  <c r="N4915" i="14"/>
  <c r="J4914" i="14" a="1"/>
  <c r="J4914" i="14" s="1"/>
  <c r="K4752" i="14" l="1"/>
  <c r="L4752" i="14" s="1"/>
  <c r="I4753" i="14" s="1"/>
  <c r="K4730" i="13"/>
  <c r="L4730" i="13" s="1"/>
  <c r="I4731" i="13" s="1"/>
  <c r="M4919" i="13"/>
  <c r="M4920" i="14"/>
  <c r="N4916" i="14"/>
  <c r="J4915" i="14" a="1"/>
  <c r="J4915" i="14" s="1"/>
  <c r="J4916" i="13" a="1"/>
  <c r="J4916" i="13" s="1"/>
  <c r="N4917" i="13"/>
  <c r="K4753" i="14" l="1"/>
  <c r="L4753" i="14" s="1"/>
  <c r="I4754" i="14" s="1"/>
  <c r="N4918" i="13"/>
  <c r="J4917" i="13" a="1"/>
  <c r="J4917" i="13" s="1"/>
  <c r="M4921" i="14"/>
  <c r="K4731" i="13"/>
  <c r="L4731" i="13" s="1"/>
  <c r="I4732" i="13" s="1"/>
  <c r="J4916" i="14" a="1"/>
  <c r="J4916" i="14" s="1"/>
  <c r="N4917" i="14"/>
  <c r="M4920" i="13"/>
  <c r="K4732" i="13" l="1"/>
  <c r="L4732" i="13" s="1"/>
  <c r="I4733" i="13" s="1"/>
  <c r="K4754" i="14"/>
  <c r="L4754" i="14" s="1"/>
  <c r="I4755" i="14" s="1"/>
  <c r="M4921" i="13"/>
  <c r="J4918" i="13" a="1"/>
  <c r="J4918" i="13" s="1"/>
  <c r="N4919" i="13"/>
  <c r="N4918" i="14"/>
  <c r="J4917" i="14" a="1"/>
  <c r="J4917" i="14" s="1"/>
  <c r="M4922" i="14"/>
  <c r="K4733" i="13" l="1"/>
  <c r="L4733" i="13" s="1"/>
  <c r="I4734" i="13" s="1"/>
  <c r="M4923" i="14"/>
  <c r="N4920" i="13"/>
  <c r="J4919" i="13" a="1"/>
  <c r="J4919" i="13" s="1"/>
  <c r="K4755" i="14"/>
  <c r="L4755" i="14" s="1"/>
  <c r="I4756" i="14" s="1"/>
  <c r="N4919" i="14"/>
  <c r="J4918" i="14" a="1"/>
  <c r="J4918" i="14" s="1"/>
  <c r="M4922" i="13"/>
  <c r="K4734" i="13" l="1"/>
  <c r="L4734" i="13" s="1"/>
  <c r="I4735" i="13" s="1"/>
  <c r="N4920" i="14"/>
  <c r="J4919" i="14" a="1"/>
  <c r="J4919" i="14" s="1"/>
  <c r="M4923" i="13"/>
  <c r="K4756" i="14"/>
  <c r="L4756" i="14" s="1"/>
  <c r="I4757" i="14" s="1"/>
  <c r="M4924" i="14"/>
  <c r="J4920" i="13" a="1"/>
  <c r="J4920" i="13" s="1"/>
  <c r="N4921" i="13"/>
  <c r="K4757" i="14" l="1"/>
  <c r="L4757" i="14" s="1"/>
  <c r="I4758" i="14" s="1"/>
  <c r="K4735" i="13"/>
  <c r="L4735" i="13" s="1"/>
  <c r="I4736" i="13" s="1"/>
  <c r="J4920" i="14" a="1"/>
  <c r="J4920" i="14" s="1"/>
  <c r="N4921" i="14"/>
  <c r="N4922" i="13"/>
  <c r="J4921" i="13" a="1"/>
  <c r="J4921" i="13" s="1"/>
  <c r="M4925" i="14"/>
  <c r="M4924" i="13"/>
  <c r="K4758" i="14" l="1"/>
  <c r="L4758" i="14" s="1"/>
  <c r="I4759" i="14" s="1"/>
  <c r="K4736" i="13"/>
  <c r="L4736" i="13" s="1"/>
  <c r="I4737" i="13" s="1"/>
  <c r="M4925" i="13"/>
  <c r="J4922" i="13" a="1"/>
  <c r="J4922" i="13" s="1"/>
  <c r="N4923" i="13"/>
  <c r="M4926" i="14"/>
  <c r="N4922" i="14"/>
  <c r="J4921" i="14" a="1"/>
  <c r="J4921" i="14" s="1"/>
  <c r="K4737" i="13" l="1"/>
  <c r="L4737" i="13" s="1"/>
  <c r="I4738" i="13" s="1"/>
  <c r="K4759" i="14"/>
  <c r="L4759" i="14" s="1"/>
  <c r="I4760" i="14" s="1"/>
  <c r="N4924" i="13"/>
  <c r="J4923" i="13" a="1"/>
  <c r="J4923" i="13" s="1"/>
  <c r="N4923" i="14"/>
  <c r="J4922" i="14" a="1"/>
  <c r="J4922" i="14" s="1"/>
  <c r="M4927" i="14"/>
  <c r="M4926" i="13"/>
  <c r="K4760" i="14" l="1"/>
  <c r="L4760" i="14" s="1"/>
  <c r="I4761" i="14" s="1"/>
  <c r="K4738" i="13"/>
  <c r="L4738" i="13" s="1"/>
  <c r="I4739" i="13" s="1"/>
  <c r="M4927" i="13"/>
  <c r="N4924" i="14"/>
  <c r="J4923" i="14" a="1"/>
  <c r="J4923" i="14" s="1"/>
  <c r="M4928" i="14"/>
  <c r="J4924" i="13" a="1"/>
  <c r="J4924" i="13" s="1"/>
  <c r="N4925" i="13"/>
  <c r="K4761" i="14" l="1"/>
  <c r="L4761" i="14" s="1"/>
  <c r="I4762" i="14" s="1"/>
  <c r="N4926" i="13"/>
  <c r="J4925" i="13" a="1"/>
  <c r="J4925" i="13" s="1"/>
  <c r="K4739" i="13"/>
  <c r="L4739" i="13" s="1"/>
  <c r="I4740" i="13" s="1"/>
  <c r="J4924" i="14" a="1"/>
  <c r="J4924" i="14" s="1"/>
  <c r="N4925" i="14"/>
  <c r="M4929" i="14"/>
  <c r="M4928" i="13"/>
  <c r="K4740" i="13" l="1"/>
  <c r="L4740" i="13" s="1"/>
  <c r="I4741" i="13" s="1"/>
  <c r="K4762" i="14"/>
  <c r="L4762" i="14" s="1"/>
  <c r="I4763" i="14" s="1"/>
  <c r="M4929" i="13"/>
  <c r="J4926" i="13" a="1"/>
  <c r="J4926" i="13" s="1"/>
  <c r="N4927" i="13"/>
  <c r="N4926" i="14"/>
  <c r="J4925" i="14" a="1"/>
  <c r="J4925" i="14" s="1"/>
  <c r="M4930" i="14"/>
  <c r="K4741" i="13" l="1"/>
  <c r="L4741" i="13" s="1"/>
  <c r="I4742" i="13" s="1"/>
  <c r="M4931" i="14"/>
  <c r="N4928" i="13"/>
  <c r="J4927" i="13" a="1"/>
  <c r="J4927" i="13" s="1"/>
  <c r="K4763" i="14"/>
  <c r="L4763" i="14" s="1"/>
  <c r="I4764" i="14" s="1"/>
  <c r="J4926" i="14" a="1"/>
  <c r="J4926" i="14" s="1"/>
  <c r="N4927" i="14"/>
  <c r="M4930" i="13"/>
  <c r="K4742" i="13" l="1"/>
  <c r="L4742" i="13" s="1"/>
  <c r="I4743" i="13" s="1"/>
  <c r="M4931" i="13"/>
  <c r="M4932" i="14"/>
  <c r="N4928" i="14"/>
  <c r="J4927" i="14" a="1"/>
  <c r="J4927" i="14" s="1"/>
  <c r="K4764" i="14"/>
  <c r="L4764" i="14" s="1"/>
  <c r="I4765" i="14" s="1"/>
  <c r="J4928" i="13" a="1"/>
  <c r="J4928" i="13" s="1"/>
  <c r="N4929" i="13"/>
  <c r="K4765" i="14" l="1"/>
  <c r="L4765" i="14" s="1"/>
  <c r="I4766" i="14" s="1"/>
  <c r="K4743" i="13"/>
  <c r="L4743" i="13" s="1"/>
  <c r="I4744" i="13" s="1"/>
  <c r="N4930" i="13"/>
  <c r="J4929" i="13" a="1"/>
  <c r="J4929" i="13" s="1"/>
  <c r="M4932" i="13"/>
  <c r="J4928" i="14" a="1"/>
  <c r="J4928" i="14" s="1"/>
  <c r="N4929" i="14"/>
  <c r="M4933" i="14"/>
  <c r="K4766" i="14" l="1"/>
  <c r="L4766" i="14" s="1"/>
  <c r="I4767" i="14" s="1"/>
  <c r="M4933" i="13"/>
  <c r="M4934" i="14"/>
  <c r="K4744" i="13"/>
  <c r="L4744" i="13" s="1"/>
  <c r="I4745" i="13" s="1"/>
  <c r="J4929" i="14" a="1"/>
  <c r="J4929" i="14" s="1"/>
  <c r="N4930" i="14"/>
  <c r="J4930" i="13" a="1"/>
  <c r="J4930" i="13" s="1"/>
  <c r="N4931" i="13"/>
  <c r="K4767" i="14" l="1"/>
  <c r="L4767" i="14" s="1"/>
  <c r="I4768" i="14" s="1"/>
  <c r="N4932" i="13"/>
  <c r="J4931" i="13" a="1"/>
  <c r="J4931" i="13" s="1"/>
  <c r="K4745" i="13"/>
  <c r="L4745" i="13" s="1"/>
  <c r="I4746" i="13" s="1"/>
  <c r="M4934" i="13"/>
  <c r="J4930" i="14" a="1"/>
  <c r="J4930" i="14" s="1"/>
  <c r="N4931" i="14"/>
  <c r="M4935" i="14"/>
  <c r="K4746" i="13" l="1"/>
  <c r="L4746" i="13" s="1"/>
  <c r="I4747" i="13" s="1"/>
  <c r="K4768" i="14"/>
  <c r="L4768" i="14" s="1"/>
  <c r="I4769" i="14" s="1"/>
  <c r="J4932" i="13" a="1"/>
  <c r="J4932" i="13" s="1"/>
  <c r="N4933" i="13"/>
  <c r="N4932" i="14"/>
  <c r="J4931" i="14" a="1"/>
  <c r="J4931" i="14" s="1"/>
  <c r="M4935" i="13"/>
  <c r="M4936" i="14"/>
  <c r="M4937" i="14" l="1"/>
  <c r="M4936" i="13"/>
  <c r="K4769" i="14"/>
  <c r="L4769" i="14" s="1"/>
  <c r="I4770" i="14" s="1"/>
  <c r="J4932" i="14" a="1"/>
  <c r="J4932" i="14" s="1"/>
  <c r="N4933" i="14"/>
  <c r="N4934" i="13"/>
  <c r="J4933" i="13" a="1"/>
  <c r="J4933" i="13" s="1"/>
  <c r="K4747" i="13"/>
  <c r="L4747" i="13" s="1"/>
  <c r="I4748" i="13" s="1"/>
  <c r="K4748" i="13" l="1"/>
  <c r="L4748" i="13" s="1"/>
  <c r="I4749" i="13" s="1"/>
  <c r="K4770" i="14"/>
  <c r="L4770" i="14" s="1"/>
  <c r="I4771" i="14" s="1"/>
  <c r="J4933" i="14" a="1"/>
  <c r="J4933" i="14" s="1"/>
  <c r="N4934" i="14"/>
  <c r="M4937" i="13"/>
  <c r="J4934" i="13" a="1"/>
  <c r="J4934" i="13" s="1"/>
  <c r="N4935" i="13"/>
  <c r="M4938" i="14"/>
  <c r="K4749" i="13" l="1"/>
  <c r="L4749" i="13" s="1"/>
  <c r="I4750" i="13" s="1"/>
  <c r="M4939" i="14"/>
  <c r="M4938" i="13"/>
  <c r="K4771" i="14"/>
  <c r="L4771" i="14" s="1"/>
  <c r="I4772" i="14" s="1"/>
  <c r="N4935" i="14"/>
  <c r="J4934" i="14" a="1"/>
  <c r="J4934" i="14" s="1"/>
  <c r="N4936" i="13"/>
  <c r="J4935" i="13" a="1"/>
  <c r="J4935" i="13" s="1"/>
  <c r="K4750" i="13" l="1"/>
  <c r="L4750" i="13" s="1"/>
  <c r="I4751" i="13" s="1"/>
  <c r="J4936" i="13" a="1"/>
  <c r="J4936" i="13" s="1"/>
  <c r="N4937" i="13"/>
  <c r="K4772" i="14"/>
  <c r="L4772" i="14" s="1"/>
  <c r="I4773" i="14" s="1"/>
  <c r="M4940" i="14"/>
  <c r="M4939" i="13"/>
  <c r="N4936" i="14"/>
  <c r="J4935" i="14" a="1"/>
  <c r="J4935" i="14" s="1"/>
  <c r="K4773" i="14" l="1"/>
  <c r="L4773" i="14" s="1"/>
  <c r="I4774" i="14" s="1"/>
  <c r="K4751" i="13"/>
  <c r="L4751" i="13" s="1"/>
  <c r="I4752" i="13" s="1"/>
  <c r="N4938" i="13"/>
  <c r="J4937" i="13" a="1"/>
  <c r="J4937" i="13" s="1"/>
  <c r="J4936" i="14" a="1"/>
  <c r="J4936" i="14" s="1"/>
  <c r="N4937" i="14"/>
  <c r="M4941" i="14"/>
  <c r="M4940" i="13"/>
  <c r="K4752" i="13" l="1"/>
  <c r="L4752" i="13" s="1"/>
  <c r="I4753" i="13" s="1"/>
  <c r="K4774" i="14"/>
  <c r="L4774" i="14" s="1"/>
  <c r="I4775" i="14" s="1"/>
  <c r="N4938" i="14"/>
  <c r="J4937" i="14" a="1"/>
  <c r="J4937" i="14" s="1"/>
  <c r="M4942" i="14"/>
  <c r="M4941" i="13"/>
  <c r="J4938" i="13" a="1"/>
  <c r="J4938" i="13" s="1"/>
  <c r="N4939" i="13"/>
  <c r="K4775" i="14" l="1"/>
  <c r="L4775" i="14" s="1"/>
  <c r="I4776" i="14" s="1"/>
  <c r="K4753" i="13"/>
  <c r="L4753" i="13" s="1"/>
  <c r="I4754" i="13" s="1"/>
  <c r="N4940" i="13"/>
  <c r="J4939" i="13" a="1"/>
  <c r="J4939" i="13" s="1"/>
  <c r="M4943" i="14"/>
  <c r="M4942" i="13"/>
  <c r="N4939" i="14"/>
  <c r="J4938" i="14" a="1"/>
  <c r="J4938" i="14" s="1"/>
  <c r="K4776" i="14" l="1"/>
  <c r="L4776" i="14" s="1"/>
  <c r="I4777" i="14" s="1"/>
  <c r="N4940" i="14"/>
  <c r="J4939" i="14" a="1"/>
  <c r="J4939" i="14" s="1"/>
  <c r="K4754" i="13"/>
  <c r="L4754" i="13" s="1"/>
  <c r="I4755" i="13" s="1"/>
  <c r="M4944" i="14"/>
  <c r="M4943" i="13"/>
  <c r="J4940" i="13" a="1"/>
  <c r="J4940" i="13" s="1"/>
  <c r="N4941" i="13"/>
  <c r="K4755" i="13" l="1"/>
  <c r="L4755" i="13" s="1"/>
  <c r="I4756" i="13" s="1"/>
  <c r="K4777" i="14"/>
  <c r="L4777" i="14" s="1"/>
  <c r="I4778" i="14" s="1"/>
  <c r="N4942" i="13"/>
  <c r="J4941" i="13" a="1"/>
  <c r="J4941" i="13" s="1"/>
  <c r="M4945" i="14"/>
  <c r="J4940" i="14" a="1"/>
  <c r="J4940" i="14" s="1"/>
  <c r="N4941" i="14"/>
  <c r="M4944" i="13"/>
  <c r="K4778" i="14" l="1"/>
  <c r="L4778" i="14" s="1"/>
  <c r="I4779" i="14" s="1"/>
  <c r="K4756" i="13"/>
  <c r="L4756" i="13" s="1"/>
  <c r="I4757" i="13" s="1"/>
  <c r="M4945" i="13"/>
  <c r="M4946" i="14"/>
  <c r="N4942" i="14"/>
  <c r="J4941" i="14" a="1"/>
  <c r="J4941" i="14" s="1"/>
  <c r="J4942" i="13" a="1"/>
  <c r="J4942" i="13" s="1"/>
  <c r="N4943" i="13"/>
  <c r="K4757" i="13" l="1"/>
  <c r="L4757" i="13" s="1"/>
  <c r="I4758" i="13" s="1"/>
  <c r="N4944" i="13"/>
  <c r="J4943" i="13" a="1"/>
  <c r="J4943" i="13" s="1"/>
  <c r="M4947" i="14"/>
  <c r="N4943" i="14"/>
  <c r="J4942" i="14" a="1"/>
  <c r="J4942" i="14" s="1"/>
  <c r="M4946" i="13"/>
  <c r="K4779" i="14"/>
  <c r="L4779" i="14" s="1"/>
  <c r="I4780" i="14" s="1"/>
  <c r="K4780" i="14" l="1"/>
  <c r="L4780" i="14" s="1"/>
  <c r="I4781" i="14" s="1"/>
  <c r="K4758" i="13"/>
  <c r="L4758" i="13" s="1"/>
  <c r="I4759" i="13" s="1"/>
  <c r="N4944" i="14"/>
  <c r="J4943" i="14" a="1"/>
  <c r="J4943" i="14" s="1"/>
  <c r="J4944" i="13" a="1"/>
  <c r="J4944" i="13" s="1"/>
  <c r="N4945" i="13"/>
  <c r="M4947" i="13"/>
  <c r="M4948" i="14"/>
  <c r="K4781" i="14" l="1"/>
  <c r="L4781" i="14" s="1"/>
  <c r="I4782" i="14" s="1"/>
  <c r="M4949" i="14"/>
  <c r="N4946" i="13"/>
  <c r="J4945" i="13" a="1"/>
  <c r="J4945" i="13" s="1"/>
  <c r="K4759" i="13"/>
  <c r="L4759" i="13" s="1"/>
  <c r="I4760" i="13" s="1"/>
  <c r="M4948" i="13"/>
  <c r="J4944" i="14" a="1"/>
  <c r="J4944" i="14" s="1"/>
  <c r="N4945" i="14"/>
  <c r="K4782" i="14" l="1"/>
  <c r="L4782" i="14" s="1"/>
  <c r="I4783" i="14" s="1"/>
  <c r="N4946" i="14"/>
  <c r="J4945" i="14" a="1"/>
  <c r="J4945" i="14" s="1"/>
  <c r="K4760" i="13"/>
  <c r="L4760" i="13" s="1"/>
  <c r="I4761" i="13" s="1"/>
  <c r="M4950" i="14"/>
  <c r="M4949" i="13"/>
  <c r="J4946" i="13" a="1"/>
  <c r="J4946" i="13" s="1"/>
  <c r="N4947" i="13"/>
  <c r="K4761" i="13" l="1"/>
  <c r="L4761" i="13" s="1"/>
  <c r="I4762" i="13" s="1"/>
  <c r="K4783" i="14"/>
  <c r="L4783" i="14" s="1"/>
  <c r="I4784" i="14" s="1"/>
  <c r="N4948" i="13"/>
  <c r="J4947" i="13" a="1"/>
  <c r="J4947" i="13" s="1"/>
  <c r="M4951" i="14"/>
  <c r="N4947" i="14"/>
  <c r="J4946" i="14" a="1"/>
  <c r="J4946" i="14" s="1"/>
  <c r="M4950" i="13"/>
  <c r="K4762" i="13" l="1"/>
  <c r="L4762" i="13" s="1"/>
  <c r="I4763" i="13" s="1"/>
  <c r="M4951" i="13"/>
  <c r="M4952" i="14"/>
  <c r="K4784" i="14"/>
  <c r="L4784" i="14" s="1"/>
  <c r="I4785" i="14" s="1"/>
  <c r="N4948" i="14"/>
  <c r="J4947" i="14" a="1"/>
  <c r="J4947" i="14" s="1"/>
  <c r="J4948" i="13" a="1"/>
  <c r="J4948" i="13" s="1"/>
  <c r="N4949" i="13"/>
  <c r="K4763" i="13" l="1"/>
  <c r="L4763" i="13" s="1"/>
  <c r="I4764" i="13" s="1"/>
  <c r="N4950" i="13"/>
  <c r="J4949" i="13" a="1"/>
  <c r="J4949" i="13" s="1"/>
  <c r="K4785" i="14"/>
  <c r="L4785" i="14" s="1"/>
  <c r="I4786" i="14" s="1"/>
  <c r="M4952" i="13"/>
  <c r="J4948" i="14" a="1"/>
  <c r="J4948" i="14" s="1"/>
  <c r="N4949" i="14"/>
  <c r="M4953" i="14"/>
  <c r="K4786" i="14" l="1"/>
  <c r="L4786" i="14" s="1"/>
  <c r="I4787" i="14" s="1"/>
  <c r="K4764" i="13"/>
  <c r="L4764" i="13" s="1"/>
  <c r="I4765" i="13" s="1"/>
  <c r="M4954" i="14"/>
  <c r="M4953" i="13"/>
  <c r="J4950" i="13" a="1"/>
  <c r="J4950" i="13" s="1"/>
  <c r="N4951" i="13"/>
  <c r="N4950" i="14"/>
  <c r="J4949" i="14" a="1"/>
  <c r="J4949" i="14" s="1"/>
  <c r="K4765" i="13" l="1"/>
  <c r="L4765" i="13" s="1"/>
  <c r="I4766" i="13" s="1"/>
  <c r="K4787" i="14"/>
  <c r="L4787" i="14" s="1"/>
  <c r="I4788" i="14" s="1"/>
  <c r="N4951" i="14"/>
  <c r="J4950" i="14" a="1"/>
  <c r="J4950" i="14" s="1"/>
  <c r="M4954" i="13"/>
  <c r="N4952" i="13"/>
  <c r="J4951" i="13" a="1"/>
  <c r="J4951" i="13" s="1"/>
  <c r="M4955" i="14"/>
  <c r="K4766" i="13" l="1"/>
  <c r="L4766" i="13" s="1"/>
  <c r="I4767" i="13" s="1"/>
  <c r="M4955" i="13"/>
  <c r="M4956" i="14"/>
  <c r="K4788" i="14"/>
  <c r="L4788" i="14" s="1"/>
  <c r="I4789" i="14" s="1"/>
  <c r="J4952" i="13" a="1"/>
  <c r="J4952" i="13" s="1"/>
  <c r="N4953" i="13"/>
  <c r="N4952" i="14"/>
  <c r="J4951" i="14" a="1"/>
  <c r="J4951" i="14" s="1"/>
  <c r="K4767" i="13" l="1"/>
  <c r="L4767" i="13" s="1"/>
  <c r="I4768" i="13" s="1"/>
  <c r="N4954" i="13"/>
  <c r="J4953" i="13" a="1"/>
  <c r="J4953" i="13" s="1"/>
  <c r="K4789" i="14"/>
  <c r="L4789" i="14" s="1"/>
  <c r="I4790" i="14" s="1"/>
  <c r="M4956" i="13"/>
  <c r="J4952" i="14" a="1"/>
  <c r="J4952" i="14" s="1"/>
  <c r="N4953" i="14"/>
  <c r="M4957" i="14"/>
  <c r="K4790" i="14" l="1"/>
  <c r="L4790" i="14" s="1"/>
  <c r="I4791" i="14" s="1"/>
  <c r="K4768" i="13"/>
  <c r="L4768" i="13" s="1"/>
  <c r="I4769" i="13" s="1"/>
  <c r="M4958" i="14"/>
  <c r="J4954" i="13" a="1"/>
  <c r="J4954" i="13" s="1"/>
  <c r="N4955" i="13"/>
  <c r="M4957" i="13"/>
  <c r="N4954" i="14"/>
  <c r="J4953" i="14" a="1"/>
  <c r="J4953" i="14" s="1"/>
  <c r="K4769" i="13" l="1"/>
  <c r="L4769" i="13" s="1"/>
  <c r="I4770" i="13" s="1"/>
  <c r="K4791" i="14"/>
  <c r="L4791" i="14" s="1"/>
  <c r="I4792" i="14" s="1"/>
  <c r="N4956" i="13"/>
  <c r="J4955" i="13" a="1"/>
  <c r="J4955" i="13" s="1"/>
  <c r="N4955" i="14"/>
  <c r="J4954" i="14" a="1"/>
  <c r="J4954" i="14" s="1"/>
  <c r="M4959" i="14"/>
  <c r="M4958" i="13"/>
  <c r="K4792" i="14" l="1"/>
  <c r="L4792" i="14" s="1"/>
  <c r="I4793" i="14" s="1"/>
  <c r="K4770" i="13"/>
  <c r="L4770" i="13" s="1"/>
  <c r="I4771" i="13" s="1"/>
  <c r="N4956" i="14"/>
  <c r="J4955" i="14" a="1"/>
  <c r="J4955" i="14" s="1"/>
  <c r="M4960" i="14"/>
  <c r="M4959" i="13"/>
  <c r="J4956" i="13" a="1"/>
  <c r="J4956" i="13" s="1"/>
  <c r="N4957" i="13"/>
  <c r="K4793" i="14" l="1"/>
  <c r="L4793" i="14" s="1"/>
  <c r="I4794" i="14" s="1"/>
  <c r="N4958" i="13"/>
  <c r="J4957" i="13" a="1"/>
  <c r="J4957" i="13" s="1"/>
  <c r="M4961" i="14"/>
  <c r="K4771" i="13"/>
  <c r="L4771" i="13" s="1"/>
  <c r="I4772" i="13" s="1"/>
  <c r="M4960" i="13"/>
  <c r="J4956" i="14" a="1"/>
  <c r="J4956" i="14" s="1"/>
  <c r="N4957" i="14"/>
  <c r="K4772" i="13" l="1"/>
  <c r="L4772" i="13" s="1"/>
  <c r="I4773" i="13" s="1"/>
  <c r="K4794" i="14"/>
  <c r="L4794" i="14" s="1"/>
  <c r="I4795" i="14" s="1"/>
  <c r="N4958" i="14"/>
  <c r="J4957" i="14" a="1"/>
  <c r="J4957" i="14" s="1"/>
  <c r="J4958" i="13" a="1"/>
  <c r="J4958" i="13" s="1"/>
  <c r="N4959" i="13"/>
  <c r="M4961" i="13"/>
  <c r="M4962" i="14"/>
  <c r="K4773" i="13" l="1"/>
  <c r="L4773" i="13" s="1"/>
  <c r="I4774" i="13" s="1"/>
  <c r="N4960" i="13"/>
  <c r="J4959" i="13" a="1"/>
  <c r="J4959" i="13" s="1"/>
  <c r="M4963" i="14"/>
  <c r="K4795" i="14"/>
  <c r="L4795" i="14" s="1"/>
  <c r="I4796" i="14" s="1"/>
  <c r="M4962" i="13"/>
  <c r="N4959" i="14"/>
  <c r="J4958" i="14" a="1"/>
  <c r="J4958" i="14" s="1"/>
  <c r="K4796" i="14" l="1"/>
  <c r="L4796" i="14" s="1"/>
  <c r="I4797" i="14" s="1"/>
  <c r="K4774" i="13"/>
  <c r="L4774" i="13" s="1"/>
  <c r="I4775" i="13" s="1"/>
  <c r="N4960" i="14"/>
  <c r="J4959" i="14" a="1"/>
  <c r="J4959" i="14" s="1"/>
  <c r="J4960" i="13" a="1"/>
  <c r="J4960" i="13" s="1"/>
  <c r="N4961" i="13"/>
  <c r="M4963" i="13"/>
  <c r="M4964" i="14"/>
  <c r="K4797" i="14" l="1"/>
  <c r="L4797" i="14" s="1"/>
  <c r="I4798" i="14" s="1"/>
  <c r="M4965" i="14"/>
  <c r="N4962" i="13"/>
  <c r="J4961" i="13" a="1"/>
  <c r="J4961" i="13" s="1"/>
  <c r="K4775" i="13"/>
  <c r="L4775" i="13" s="1"/>
  <c r="I4776" i="13" s="1"/>
  <c r="M4964" i="13"/>
  <c r="J4960" i="14" a="1"/>
  <c r="J4960" i="14" s="1"/>
  <c r="N4961" i="14"/>
  <c r="K4798" i="14" l="1"/>
  <c r="L4798" i="14" s="1"/>
  <c r="I4799" i="14" s="1"/>
  <c r="N4962" i="14"/>
  <c r="J4961" i="14" a="1"/>
  <c r="J4961" i="14" s="1"/>
  <c r="K4776" i="13"/>
  <c r="L4776" i="13" s="1"/>
  <c r="I4777" i="13" s="1"/>
  <c r="M4966" i="14"/>
  <c r="M4965" i="13"/>
  <c r="J4962" i="13" a="1"/>
  <c r="J4962" i="13" s="1"/>
  <c r="N4963" i="13"/>
  <c r="K4777" i="13" l="1"/>
  <c r="L4777" i="13" s="1"/>
  <c r="I4778" i="13" s="1"/>
  <c r="K4799" i="14"/>
  <c r="L4799" i="14" s="1"/>
  <c r="I4800" i="14" s="1"/>
  <c r="N4963" i="14"/>
  <c r="J4962" i="14" a="1"/>
  <c r="J4962" i="14" s="1"/>
  <c r="N4964" i="13"/>
  <c r="J4963" i="13" a="1"/>
  <c r="J4963" i="13" s="1"/>
  <c r="M4967" i="14"/>
  <c r="M4966" i="13"/>
  <c r="K4778" i="13" l="1"/>
  <c r="L4778" i="13" s="1"/>
  <c r="I4779" i="13" s="1"/>
  <c r="J4964" i="13" a="1"/>
  <c r="J4964" i="13" s="1"/>
  <c r="N4965" i="13"/>
  <c r="K4800" i="14"/>
  <c r="L4800" i="14" s="1"/>
  <c r="I4801" i="14" s="1"/>
  <c r="M4967" i="13"/>
  <c r="M4968" i="14"/>
  <c r="N4964" i="14"/>
  <c r="J4963" i="14" a="1"/>
  <c r="J4963" i="14" s="1"/>
  <c r="K4801" i="14" l="1"/>
  <c r="L4801" i="14" s="1"/>
  <c r="I4802" i="14" s="1"/>
  <c r="K4779" i="13"/>
  <c r="L4779" i="13" s="1"/>
  <c r="I4780" i="13" s="1"/>
  <c r="J4964" i="14" a="1"/>
  <c r="J4964" i="14" s="1"/>
  <c r="N4965" i="14"/>
  <c r="M4968" i="13"/>
  <c r="N4966" i="13"/>
  <c r="J4965" i="13" a="1"/>
  <c r="J4965" i="13" s="1"/>
  <c r="M4969" i="14"/>
  <c r="K4780" i="13" l="1"/>
  <c r="L4780" i="13" s="1"/>
  <c r="I4781" i="13" s="1"/>
  <c r="K4802" i="14"/>
  <c r="L4802" i="14" s="1"/>
  <c r="I4803" i="14" s="1"/>
  <c r="J4966" i="13" a="1"/>
  <c r="J4966" i="13" s="1"/>
  <c r="N4967" i="13"/>
  <c r="M4969" i="13"/>
  <c r="M4970" i="14"/>
  <c r="N4966" i="14"/>
  <c r="J4965" i="14" a="1"/>
  <c r="J4965" i="14" s="1"/>
  <c r="K4781" i="13" l="1"/>
  <c r="L4781" i="13" s="1"/>
  <c r="I4782" i="13" s="1"/>
  <c r="K4803" i="14"/>
  <c r="L4803" i="14" s="1"/>
  <c r="I4804" i="14" s="1"/>
  <c r="N4967" i="14"/>
  <c r="J4966" i="14" a="1"/>
  <c r="J4966" i="14" s="1"/>
  <c r="M4970" i="13"/>
  <c r="M4971" i="14"/>
  <c r="N4968" i="13"/>
  <c r="J4967" i="13" a="1"/>
  <c r="J4967" i="13" s="1"/>
  <c r="K4782" i="13" l="1"/>
  <c r="L4782" i="13" s="1"/>
  <c r="I4783" i="13" s="1"/>
  <c r="M4971" i="13"/>
  <c r="K4804" i="14"/>
  <c r="L4804" i="14" s="1"/>
  <c r="I4805" i="14" s="1"/>
  <c r="J4968" i="13" a="1"/>
  <c r="J4968" i="13" s="1"/>
  <c r="N4969" i="13"/>
  <c r="M4972" i="14"/>
  <c r="N4968" i="14"/>
  <c r="J4967" i="14" a="1"/>
  <c r="J4967" i="14" s="1"/>
  <c r="K4805" i="14" l="1"/>
  <c r="L4805" i="14" s="1"/>
  <c r="I4806" i="14" s="1"/>
  <c r="K4783" i="13"/>
  <c r="L4783" i="13" s="1"/>
  <c r="I4784" i="13" s="1"/>
  <c r="N4970" i="13"/>
  <c r="J4969" i="13" a="1"/>
  <c r="J4969" i="13" s="1"/>
  <c r="M4972" i="13"/>
  <c r="J4968" i="14" a="1"/>
  <c r="J4968" i="14" s="1"/>
  <c r="N4969" i="14"/>
  <c r="M4973" i="14"/>
  <c r="K4806" i="14" l="1"/>
  <c r="L4806" i="14" s="1"/>
  <c r="I4807" i="14" s="1"/>
  <c r="N4970" i="14"/>
  <c r="J4969" i="14" a="1"/>
  <c r="J4969" i="14" s="1"/>
  <c r="M4974" i="14"/>
  <c r="M4973" i="13"/>
  <c r="K4784" i="13"/>
  <c r="L4784" i="13" s="1"/>
  <c r="I4785" i="13" s="1"/>
  <c r="J4970" i="13" a="1"/>
  <c r="J4970" i="13" s="1"/>
  <c r="N4971" i="13"/>
  <c r="K4785" i="13" l="1"/>
  <c r="L4785" i="13" s="1"/>
  <c r="I4786" i="13" s="1"/>
  <c r="K4807" i="14"/>
  <c r="L4807" i="14" s="1"/>
  <c r="I4808" i="14" s="1"/>
  <c r="N4972" i="13"/>
  <c r="J4971" i="13" a="1"/>
  <c r="J4971" i="13" s="1"/>
  <c r="N4971" i="14"/>
  <c r="J4970" i="14" a="1"/>
  <c r="J4970" i="14" s="1"/>
  <c r="M4974" i="13"/>
  <c r="M4975" i="14"/>
  <c r="K4808" i="14" l="1"/>
  <c r="L4808" i="14" s="1"/>
  <c r="I4809" i="14" s="1"/>
  <c r="K4786" i="13"/>
  <c r="L4786" i="13" s="1"/>
  <c r="I4787" i="13" s="1"/>
  <c r="M4976" i="14"/>
  <c r="N4972" i="14"/>
  <c r="J4971" i="14" a="1"/>
  <c r="J4971" i="14" s="1"/>
  <c r="M4975" i="13"/>
  <c r="J4972" i="13" a="1"/>
  <c r="J4972" i="13" s="1"/>
  <c r="N4973" i="13"/>
  <c r="K4809" i="14" l="1"/>
  <c r="L4809" i="14" s="1"/>
  <c r="I4810" i="14" s="1"/>
  <c r="K4787" i="13"/>
  <c r="L4787" i="13" s="1"/>
  <c r="I4788" i="13" s="1"/>
  <c r="N4974" i="13"/>
  <c r="J4973" i="13" a="1"/>
  <c r="J4973" i="13" s="1"/>
  <c r="J4972" i="14" a="1"/>
  <c r="J4972" i="14" s="1"/>
  <c r="N4973" i="14"/>
  <c r="M4977" i="14"/>
  <c r="M4976" i="13"/>
  <c r="K4788" i="13" l="1"/>
  <c r="L4788" i="13" s="1"/>
  <c r="I4789" i="13" s="1"/>
  <c r="N4974" i="14"/>
  <c r="J4973" i="14" a="1"/>
  <c r="J4973" i="14" s="1"/>
  <c r="M4978" i="14"/>
  <c r="M4977" i="13"/>
  <c r="J4974" i="13" a="1"/>
  <c r="J4974" i="13" s="1"/>
  <c r="N4975" i="13"/>
  <c r="K4810" i="14"/>
  <c r="L4810" i="14" s="1"/>
  <c r="I4811" i="14" s="1"/>
  <c r="K4811" i="14" l="1"/>
  <c r="L4811" i="14" s="1"/>
  <c r="I4812" i="14" s="1"/>
  <c r="K4789" i="13"/>
  <c r="L4789" i="13" s="1"/>
  <c r="I4790" i="13" s="1"/>
  <c r="M4978" i="13"/>
  <c r="N4975" i="14"/>
  <c r="J4974" i="14" a="1"/>
  <c r="J4974" i="14" s="1"/>
  <c r="N4976" i="13"/>
  <c r="J4975" i="13" a="1"/>
  <c r="J4975" i="13" s="1"/>
  <c r="M4979" i="14"/>
  <c r="K4790" i="13" l="1"/>
  <c r="L4790" i="13" s="1"/>
  <c r="I4791" i="13" s="1"/>
  <c r="K4812" i="14"/>
  <c r="L4812" i="14" s="1"/>
  <c r="I4813" i="14" s="1"/>
  <c r="N4976" i="14"/>
  <c r="J4975" i="14" a="1"/>
  <c r="J4975" i="14" s="1"/>
  <c r="M4980" i="14"/>
  <c r="M4979" i="13"/>
  <c r="J4976" i="13" a="1"/>
  <c r="J4976" i="13" s="1"/>
  <c r="N4977" i="13"/>
  <c r="K4813" i="14" l="1"/>
  <c r="L4813" i="14" s="1"/>
  <c r="I4814" i="14" s="1"/>
  <c r="K4791" i="13"/>
  <c r="L4791" i="13" s="1"/>
  <c r="I4792" i="13" s="1"/>
  <c r="N4978" i="13"/>
  <c r="J4977" i="13" a="1"/>
  <c r="J4977" i="13" s="1"/>
  <c r="M4981" i="14"/>
  <c r="M4980" i="13"/>
  <c r="J4976" i="14" a="1"/>
  <c r="J4976" i="14" s="1"/>
  <c r="N4977" i="14"/>
  <c r="K4814" i="14" l="1"/>
  <c r="L4814" i="14" s="1"/>
  <c r="I4815" i="14" s="1"/>
  <c r="N4978" i="14"/>
  <c r="J4977" i="14" a="1"/>
  <c r="J4977" i="14" s="1"/>
  <c r="M4982" i="14"/>
  <c r="K4792" i="13"/>
  <c r="L4792" i="13" s="1"/>
  <c r="I4793" i="13" s="1"/>
  <c r="M4981" i="13"/>
  <c r="J4978" i="13" a="1"/>
  <c r="J4978" i="13" s="1"/>
  <c r="N4979" i="13"/>
  <c r="K4793" i="13" l="1"/>
  <c r="L4793" i="13" s="1"/>
  <c r="I4794" i="13" s="1"/>
  <c r="K4815" i="14"/>
  <c r="L4815" i="14" s="1"/>
  <c r="I4816" i="14" s="1"/>
  <c r="N4980" i="13"/>
  <c r="J4979" i="13" a="1"/>
  <c r="J4979" i="13" s="1"/>
  <c r="N4979" i="14"/>
  <c r="J4978" i="14" a="1"/>
  <c r="J4978" i="14" s="1"/>
  <c r="M4983" i="14"/>
  <c r="M4982" i="13"/>
  <c r="K4794" i="13" l="1"/>
  <c r="L4794" i="13" s="1"/>
  <c r="I4795" i="13" s="1"/>
  <c r="M4983" i="13"/>
  <c r="N4980" i="14"/>
  <c r="J4979" i="14" a="1"/>
  <c r="J4979" i="14" s="1"/>
  <c r="K4816" i="14"/>
  <c r="L4816" i="14" s="1"/>
  <c r="I4817" i="14" s="1"/>
  <c r="M4984" i="14"/>
  <c r="J4980" i="13" a="1"/>
  <c r="J4980" i="13" s="1"/>
  <c r="N4981" i="13"/>
  <c r="K4795" i="13" l="1"/>
  <c r="L4795" i="13" s="1"/>
  <c r="I4796" i="13" s="1"/>
  <c r="N4982" i="13"/>
  <c r="J4981" i="13" a="1"/>
  <c r="J4981" i="13" s="1"/>
  <c r="K4817" i="14"/>
  <c r="L4817" i="14" s="1"/>
  <c r="I4818" i="14" s="1"/>
  <c r="M4984" i="13"/>
  <c r="M4985" i="14"/>
  <c r="J4980" i="14" a="1"/>
  <c r="J4980" i="14" s="1"/>
  <c r="N4981" i="14"/>
  <c r="K4818" i="14" l="1"/>
  <c r="L4818" i="14" s="1"/>
  <c r="I4819" i="14" s="1"/>
  <c r="K4796" i="13"/>
  <c r="L4796" i="13" s="1"/>
  <c r="I4797" i="13" s="1"/>
  <c r="N4982" i="14"/>
  <c r="J4981" i="14" a="1"/>
  <c r="J4981" i="14" s="1"/>
  <c r="M4985" i="13"/>
  <c r="J4982" i="13" a="1"/>
  <c r="J4982" i="13" s="1"/>
  <c r="N4983" i="13"/>
  <c r="M4986" i="14"/>
  <c r="K4797" i="13" l="1"/>
  <c r="L4797" i="13" s="1"/>
  <c r="I4798" i="13" s="1"/>
  <c r="M4987" i="14"/>
  <c r="M4986" i="13"/>
  <c r="N4984" i="13"/>
  <c r="J4983" i="13" a="1"/>
  <c r="J4983" i="13" s="1"/>
  <c r="N4983" i="14"/>
  <c r="J4982" i="14" a="1"/>
  <c r="J4982" i="14" s="1"/>
  <c r="K4819" i="14"/>
  <c r="L4819" i="14" s="1"/>
  <c r="I4820" i="14" s="1"/>
  <c r="K4820" i="14" l="1"/>
  <c r="L4820" i="14" s="1"/>
  <c r="I4821" i="14" s="1"/>
  <c r="K4798" i="13"/>
  <c r="L4798" i="13" s="1"/>
  <c r="I4799" i="13" s="1"/>
  <c r="J4984" i="13" a="1"/>
  <c r="J4984" i="13" s="1"/>
  <c r="N4985" i="13"/>
  <c r="M4988" i="14"/>
  <c r="M4987" i="13"/>
  <c r="N4984" i="14"/>
  <c r="J4983" i="14" a="1"/>
  <c r="J4983" i="14" s="1"/>
  <c r="K4799" i="13" l="1"/>
  <c r="L4799" i="13" s="1"/>
  <c r="I4800" i="13" s="1"/>
  <c r="K4821" i="14"/>
  <c r="L4821" i="14" s="1"/>
  <c r="I4822" i="14" s="1"/>
  <c r="M4989" i="14"/>
  <c r="N4986" i="13"/>
  <c r="J4985" i="13" a="1"/>
  <c r="J4985" i="13" s="1"/>
  <c r="J4984" i="14" a="1"/>
  <c r="J4984" i="14" s="1"/>
  <c r="N4985" i="14"/>
  <c r="M4988" i="13"/>
  <c r="M4989" i="13" l="1"/>
  <c r="K4822" i="14"/>
  <c r="L4822" i="14" s="1"/>
  <c r="I4823" i="14" s="1"/>
  <c r="J4986" i="13" a="1"/>
  <c r="J4986" i="13" s="1"/>
  <c r="N4987" i="13"/>
  <c r="N4986" i="14"/>
  <c r="J4985" i="14" a="1"/>
  <c r="J4985" i="14" s="1"/>
  <c r="M4990" i="14"/>
  <c r="K4800" i="13"/>
  <c r="L4800" i="13" s="1"/>
  <c r="I4801" i="13" s="1"/>
  <c r="K4801" i="13" l="1"/>
  <c r="L4801" i="13" s="1"/>
  <c r="I4802" i="13" s="1"/>
  <c r="K4823" i="14"/>
  <c r="L4823" i="14" s="1"/>
  <c r="I4824" i="14" s="1"/>
  <c r="N4987" i="14"/>
  <c r="J4986" i="14" a="1"/>
  <c r="J4986" i="14" s="1"/>
  <c r="M4991" i="14"/>
  <c r="N4988" i="13"/>
  <c r="J4987" i="13" a="1"/>
  <c r="J4987" i="13" s="1"/>
  <c r="M4990" i="13"/>
  <c r="K4802" i="13" l="1"/>
  <c r="L4802" i="13" s="1"/>
  <c r="I4803" i="13" s="1"/>
  <c r="M4991" i="13"/>
  <c r="M4992" i="14"/>
  <c r="K4824" i="14"/>
  <c r="L4824" i="14" s="1"/>
  <c r="I4825" i="14" s="1"/>
  <c r="J4988" i="13" a="1"/>
  <c r="J4988" i="13" s="1"/>
  <c r="N4989" i="13"/>
  <c r="N4988" i="14"/>
  <c r="J4987" i="14" a="1"/>
  <c r="J4987" i="14" s="1"/>
  <c r="K4825" i="14" l="1"/>
  <c r="L4825" i="14" s="1"/>
  <c r="I4826" i="14" s="1"/>
  <c r="K4803" i="13"/>
  <c r="L4803" i="13" s="1"/>
  <c r="I4804" i="13" s="1"/>
  <c r="J4988" i="14" a="1"/>
  <c r="J4988" i="14" s="1"/>
  <c r="N4989" i="14"/>
  <c r="M4992" i="13"/>
  <c r="N4990" i="13"/>
  <c r="J4989" i="13" a="1"/>
  <c r="J4989" i="13" s="1"/>
  <c r="M4993" i="14"/>
  <c r="K4804" i="13" l="1"/>
  <c r="L4804" i="13" s="1"/>
  <c r="I4805" i="13" s="1"/>
  <c r="K4826" i="14"/>
  <c r="L4826" i="14" s="1"/>
  <c r="I4827" i="14" s="1"/>
  <c r="J4990" i="13" a="1"/>
  <c r="J4990" i="13" s="1"/>
  <c r="N4991" i="13"/>
  <c r="M4994" i="14"/>
  <c r="M4993" i="13"/>
  <c r="N4990" i="14"/>
  <c r="J4989" i="14" a="1"/>
  <c r="J4989" i="14" s="1"/>
  <c r="K4827" i="14" l="1"/>
  <c r="L4827" i="14" s="1"/>
  <c r="I4828" i="14" s="1"/>
  <c r="K4805" i="13"/>
  <c r="L4805" i="13" s="1"/>
  <c r="I4806" i="13" s="1"/>
  <c r="M4995" i="14"/>
  <c r="M4994" i="13"/>
  <c r="J4990" i="14" a="1"/>
  <c r="J4990" i="14" s="1"/>
  <c r="N4991" i="14"/>
  <c r="N4992" i="13"/>
  <c r="J4991" i="13" a="1"/>
  <c r="J4991" i="13" s="1"/>
  <c r="K4806" i="13" l="1"/>
  <c r="L4806" i="13" s="1"/>
  <c r="I4807" i="13" s="1"/>
  <c r="K4828" i="14"/>
  <c r="L4828" i="14" s="1"/>
  <c r="I4829" i="14" s="1"/>
  <c r="N4992" i="14"/>
  <c r="J4991" i="14" a="1"/>
  <c r="J4991" i="14" s="1"/>
  <c r="M4995" i="13"/>
  <c r="J4992" i="13" a="1"/>
  <c r="J4992" i="13" s="1"/>
  <c r="N4993" i="13"/>
  <c r="M4996" i="14"/>
  <c r="K4829" i="14" l="1"/>
  <c r="L4829" i="14" s="1"/>
  <c r="I4830" i="14" s="1"/>
  <c r="K4807" i="13"/>
  <c r="L4807" i="13" s="1"/>
  <c r="I4808" i="13" s="1"/>
  <c r="M4997" i="14"/>
  <c r="M4996" i="13"/>
  <c r="N4994" i="13"/>
  <c r="J4993" i="13" a="1"/>
  <c r="J4993" i="13" s="1"/>
  <c r="J4992" i="14" a="1"/>
  <c r="J4992" i="14" s="1"/>
  <c r="N4993" i="14"/>
  <c r="K4808" i="13" l="1"/>
  <c r="L4808" i="13" s="1"/>
  <c r="I4809" i="13" s="1"/>
  <c r="K4830" i="14"/>
  <c r="L4830" i="14" s="1"/>
  <c r="I4831" i="14" s="1"/>
  <c r="J4993" i="14" a="1"/>
  <c r="J4993" i="14" s="1"/>
  <c r="N4994" i="14"/>
  <c r="M4997" i="13"/>
  <c r="J4994" i="13" a="1"/>
  <c r="J4994" i="13" s="1"/>
  <c r="N4995" i="13"/>
  <c r="M4998" i="14"/>
  <c r="K4831" i="14" l="1"/>
  <c r="L4831" i="14" s="1"/>
  <c r="I4832" i="14" s="1"/>
  <c r="K4809" i="13"/>
  <c r="L4809" i="13" s="1"/>
  <c r="I4810" i="13" s="1"/>
  <c r="N4996" i="13"/>
  <c r="J4995" i="13" a="1"/>
  <c r="J4995" i="13" s="1"/>
  <c r="M4999" i="14"/>
  <c r="M4998" i="13"/>
  <c r="J4994" i="14" a="1"/>
  <c r="J4994" i="14" s="1"/>
  <c r="N4995" i="14"/>
  <c r="K4810" i="13" l="1"/>
  <c r="L4810" i="13" s="1"/>
  <c r="I4811" i="13" s="1"/>
  <c r="K4832" i="14"/>
  <c r="L4832" i="14" s="1"/>
  <c r="I4833" i="14" s="1"/>
  <c r="N4996" i="14"/>
  <c r="J4995" i="14" a="1"/>
  <c r="J4995" i="14" s="1"/>
  <c r="M5000" i="14"/>
  <c r="M4999" i="13"/>
  <c r="J4996" i="13" a="1"/>
  <c r="J4996" i="13" s="1"/>
  <c r="N4997" i="13"/>
  <c r="K4811" i="13" l="1"/>
  <c r="L4811" i="13" s="1"/>
  <c r="I4812" i="13" s="1"/>
  <c r="N4998" i="13"/>
  <c r="J4997" i="13" a="1"/>
  <c r="J4997" i="13" s="1"/>
  <c r="M5001" i="14"/>
  <c r="K4833" i="14"/>
  <c r="L4833" i="14" s="1"/>
  <c r="I4834" i="14" s="1"/>
  <c r="M5000" i="13"/>
  <c r="J4996" i="14" a="1"/>
  <c r="J4996" i="14" s="1"/>
  <c r="N4997" i="14"/>
  <c r="K4834" i="14" l="1"/>
  <c r="L4834" i="14" s="1"/>
  <c r="I4835" i="14" s="1"/>
  <c r="K4812" i="13"/>
  <c r="L4812" i="13" s="1"/>
  <c r="I4813" i="13" s="1"/>
  <c r="J4997" i="14" a="1"/>
  <c r="J4997" i="14" s="1"/>
  <c r="N4998" i="14"/>
  <c r="J4998" i="13" a="1"/>
  <c r="J4998" i="13" s="1"/>
  <c r="N4999" i="13"/>
  <c r="M5001" i="13"/>
  <c r="M5002" i="14"/>
  <c r="K4835" i="14" l="1"/>
  <c r="L4835" i="14" s="1"/>
  <c r="I4836" i="14" s="1"/>
  <c r="M5002" i="13"/>
  <c r="M5003" i="14"/>
  <c r="N5000" i="13"/>
  <c r="J4999" i="13" a="1"/>
  <c r="J4999" i="13" s="1"/>
  <c r="K4813" i="13"/>
  <c r="L4813" i="13" s="1"/>
  <c r="I4814" i="13" s="1"/>
  <c r="N4999" i="14"/>
  <c r="J4998" i="14" a="1"/>
  <c r="J4998" i="14" s="1"/>
  <c r="K4814" i="13" l="1"/>
  <c r="L4814" i="13" s="1"/>
  <c r="I4815" i="13" s="1"/>
  <c r="K4836" i="14"/>
  <c r="L4836" i="14" s="1"/>
  <c r="I4837" i="14" s="1"/>
  <c r="M5003" i="13"/>
  <c r="J5000" i="13" a="1"/>
  <c r="J5000" i="13" s="1"/>
  <c r="N5001" i="13"/>
  <c r="N5000" i="14"/>
  <c r="J4999" i="14" a="1"/>
  <c r="J4999" i="14" s="1"/>
  <c r="M5004" i="14"/>
  <c r="K4837" i="14" l="1"/>
  <c r="L4837" i="14" s="1"/>
  <c r="I4838" i="14" s="1"/>
  <c r="K4815" i="13"/>
  <c r="L4815" i="13" s="1"/>
  <c r="I4816" i="13" s="1"/>
  <c r="N5002" i="13"/>
  <c r="J5001" i="13" a="1"/>
  <c r="J5001" i="13" s="1"/>
  <c r="M5005" i="14"/>
  <c r="J5000" i="14" a="1"/>
  <c r="J5000" i="14" s="1"/>
  <c r="N5001" i="14"/>
  <c r="M5004" i="13"/>
  <c r="K4816" i="13" l="1"/>
  <c r="L4816" i="13" s="1"/>
  <c r="I4817" i="13" s="1"/>
  <c r="K4838" i="14"/>
  <c r="L4838" i="14" s="1"/>
  <c r="I4839" i="14" s="1"/>
  <c r="M5005" i="13"/>
  <c r="M5006" i="14"/>
  <c r="N5002" i="14"/>
  <c r="J5001" i="14" a="1"/>
  <c r="J5001" i="14" s="1"/>
  <c r="J5002" i="13" a="1"/>
  <c r="J5002" i="13" s="1"/>
  <c r="N5003" i="13"/>
  <c r="K4839" i="14" l="1"/>
  <c r="L4839" i="14" s="1"/>
  <c r="I4840" i="14" s="1"/>
  <c r="K4817" i="13"/>
  <c r="L4817" i="13" s="1"/>
  <c r="I4818" i="13" s="1"/>
  <c r="N5004" i="13"/>
  <c r="J5003" i="13" a="1"/>
  <c r="J5003" i="13" s="1"/>
  <c r="M5007" i="14"/>
  <c r="N5003" i="14"/>
  <c r="J5002" i="14" a="1"/>
  <c r="J5002" i="14" s="1"/>
  <c r="M5006" i="13"/>
  <c r="K4818" i="13" l="1"/>
  <c r="L4818" i="13" s="1"/>
  <c r="I4819" i="13" s="1"/>
  <c r="K4840" i="14"/>
  <c r="L4840" i="14" s="1"/>
  <c r="I4841" i="14" s="1"/>
  <c r="M5007" i="13"/>
  <c r="N5004" i="14"/>
  <c r="J5003" i="14" a="1"/>
  <c r="J5003" i="14" s="1"/>
  <c r="M5008" i="14"/>
  <c r="J5004" i="13" a="1"/>
  <c r="J5004" i="13" s="1"/>
  <c r="N5005" i="13"/>
  <c r="K4841" i="14" l="1"/>
  <c r="L4841" i="14" s="1"/>
  <c r="I4842" i="14" s="1"/>
  <c r="K4819" i="13"/>
  <c r="L4819" i="13" s="1"/>
  <c r="I4820" i="13" s="1"/>
  <c r="N5006" i="13"/>
  <c r="J5005" i="13" a="1"/>
  <c r="J5005" i="13" s="1"/>
  <c r="J5004" i="14" a="1"/>
  <c r="J5004" i="14" s="1"/>
  <c r="N5005" i="14"/>
  <c r="M5009" i="14"/>
  <c r="M5008" i="13"/>
  <c r="K4820" i="13" l="1"/>
  <c r="L4820" i="13" s="1"/>
  <c r="I4821" i="13" s="1"/>
  <c r="K4842" i="14"/>
  <c r="L4842" i="14" s="1"/>
  <c r="I4843" i="14" s="1"/>
  <c r="N5006" i="14"/>
  <c r="J5005" i="14" a="1"/>
  <c r="J5005" i="14" s="1"/>
  <c r="M5009" i="13"/>
  <c r="M5010" i="14"/>
  <c r="J5006" i="13" a="1"/>
  <c r="J5006" i="13" s="1"/>
  <c r="N5007" i="13"/>
  <c r="K4821" i="13" l="1"/>
  <c r="L4821" i="13" s="1"/>
  <c r="I4822" i="13" s="1"/>
  <c r="N5008" i="13"/>
  <c r="J5007" i="13" a="1"/>
  <c r="J5007" i="13" s="1"/>
  <c r="M5010" i="13"/>
  <c r="K4843" i="14"/>
  <c r="L4843" i="14" s="1"/>
  <c r="I4844" i="14" s="1"/>
  <c r="M5011" i="14"/>
  <c r="N5007" i="14"/>
  <c r="J5006" i="14" a="1"/>
  <c r="J5006" i="14" s="1"/>
  <c r="K4844" i="14" l="1"/>
  <c r="L4844" i="14" s="1"/>
  <c r="I4845" i="14" s="1"/>
  <c r="K4822" i="13"/>
  <c r="L4822" i="13" s="1"/>
  <c r="I4823" i="13" s="1"/>
  <c r="J5008" i="13" a="1"/>
  <c r="J5008" i="13" s="1"/>
  <c r="N5009" i="13"/>
  <c r="N5008" i="14"/>
  <c r="J5007" i="14" a="1"/>
  <c r="J5007" i="14" s="1"/>
  <c r="M5011" i="13"/>
  <c r="M5012" i="14"/>
  <c r="K4823" i="13" l="1"/>
  <c r="L4823" i="13" s="1"/>
  <c r="I4824" i="13" s="1"/>
  <c r="K4845" i="14"/>
  <c r="L4845" i="14" s="1"/>
  <c r="I4846" i="14" s="1"/>
  <c r="J5008" i="14" a="1"/>
  <c r="J5008" i="14" s="1"/>
  <c r="N5009" i="14"/>
  <c r="M5013" i="14"/>
  <c r="N5010" i="13"/>
  <c r="J5009" i="13" a="1"/>
  <c r="J5009" i="13" s="1"/>
  <c r="M5012" i="13"/>
  <c r="K4846" i="14" l="1"/>
  <c r="L4846" i="14" s="1"/>
  <c r="I4847" i="14" s="1"/>
  <c r="K4824" i="13"/>
  <c r="L4824" i="13" s="1"/>
  <c r="I4825" i="13" s="1"/>
  <c r="J5010" i="13" a="1"/>
  <c r="J5010" i="13" s="1"/>
  <c r="N5011" i="13"/>
  <c r="M5013" i="13"/>
  <c r="M5014" i="14"/>
  <c r="N5010" i="14"/>
  <c r="J5009" i="14" a="1"/>
  <c r="J5009" i="14" s="1"/>
  <c r="K4847" i="14" l="1"/>
  <c r="L4847" i="14" s="1"/>
  <c r="I4848" i="14" s="1"/>
  <c r="K4825" i="13"/>
  <c r="L4825" i="13" s="1"/>
  <c r="I4826" i="13" s="1"/>
  <c r="N5011" i="14"/>
  <c r="J5010" i="14" a="1"/>
  <c r="J5010" i="14" s="1"/>
  <c r="M5014" i="13"/>
  <c r="M5015" i="14"/>
  <c r="N5012" i="13"/>
  <c r="J5011" i="13" a="1"/>
  <c r="J5011" i="13" s="1"/>
  <c r="K4826" i="13" l="1"/>
  <c r="L4826" i="13" s="1"/>
  <c r="I4827" i="13" s="1"/>
  <c r="M5016" i="14"/>
  <c r="M5015" i="13"/>
  <c r="J5012" i="13" a="1"/>
  <c r="J5012" i="13" s="1"/>
  <c r="N5013" i="13"/>
  <c r="N5012" i="14"/>
  <c r="J5011" i="14" a="1"/>
  <c r="J5011" i="14" s="1"/>
  <c r="K4848" i="14"/>
  <c r="L4848" i="14" s="1"/>
  <c r="I4849" i="14" s="1"/>
  <c r="K4849" i="14" l="1"/>
  <c r="L4849" i="14" s="1"/>
  <c r="I4850" i="14" s="1"/>
  <c r="K4827" i="13"/>
  <c r="L4827" i="13" s="1"/>
  <c r="I4828" i="13" s="1"/>
  <c r="N5014" i="13"/>
  <c r="J5013" i="13" a="1"/>
  <c r="J5013" i="13" s="1"/>
  <c r="M5017" i="14"/>
  <c r="J5012" i="14" a="1"/>
  <c r="J5012" i="14" s="1"/>
  <c r="N5013" i="14"/>
  <c r="M5016" i="13"/>
  <c r="K4850" i="14" l="1"/>
  <c r="L4850" i="14" s="1"/>
  <c r="I4851" i="14" s="1"/>
  <c r="M5017" i="13"/>
  <c r="M5018" i="14"/>
  <c r="K4828" i="13"/>
  <c r="L4828" i="13" s="1"/>
  <c r="I4829" i="13" s="1"/>
  <c r="N5014" i="14"/>
  <c r="J5013" i="14" a="1"/>
  <c r="J5013" i="14" s="1"/>
  <c r="J5014" i="13" a="1"/>
  <c r="J5014" i="13" s="1"/>
  <c r="N5015" i="13"/>
  <c r="K4851" i="14" l="1"/>
  <c r="L4851" i="14" s="1"/>
  <c r="I4852" i="14" s="1"/>
  <c r="N5016" i="13"/>
  <c r="J5015" i="13" a="1"/>
  <c r="J5015" i="13" s="1"/>
  <c r="M5018" i="13"/>
  <c r="K4829" i="13"/>
  <c r="L4829" i="13" s="1"/>
  <c r="I4830" i="13" s="1"/>
  <c r="M5019" i="14"/>
  <c r="N5015" i="14"/>
  <c r="J5014" i="14" a="1"/>
  <c r="J5014" i="14" s="1"/>
  <c r="K4830" i="13" l="1"/>
  <c r="L4830" i="13" s="1"/>
  <c r="I4831" i="13" s="1"/>
  <c r="K4852" i="14"/>
  <c r="L4852" i="14" s="1"/>
  <c r="I4853" i="14" s="1"/>
  <c r="J5016" i="13" a="1"/>
  <c r="J5016" i="13" s="1"/>
  <c r="N5017" i="13"/>
  <c r="M5019" i="13"/>
  <c r="N5016" i="14"/>
  <c r="J5015" i="14" a="1"/>
  <c r="J5015" i="14" s="1"/>
  <c r="M5020" i="14"/>
  <c r="J5016" i="14" l="1" a="1"/>
  <c r="J5016" i="14" s="1"/>
  <c r="N5017" i="14"/>
  <c r="M5021" i="14"/>
  <c r="M5020" i="13"/>
  <c r="K4853" i="14"/>
  <c r="L4853" i="14" s="1"/>
  <c r="I4854" i="14" s="1"/>
  <c r="N5018" i="13"/>
  <c r="J5017" i="13" a="1"/>
  <c r="J5017" i="13" s="1"/>
  <c r="K4831" i="13"/>
  <c r="L4831" i="13" s="1"/>
  <c r="I4832" i="13" s="1"/>
  <c r="K4854" i="14" l="1"/>
  <c r="L4854" i="14" s="1"/>
  <c r="I4855" i="14" s="1"/>
  <c r="M5021" i="13"/>
  <c r="M5022" i="14"/>
  <c r="K4832" i="13"/>
  <c r="L4832" i="13" s="1"/>
  <c r="I4833" i="13" s="1"/>
  <c r="N5018" i="14"/>
  <c r="J5017" i="14" a="1"/>
  <c r="J5017" i="14" s="1"/>
  <c r="J5018" i="13" a="1"/>
  <c r="J5018" i="13" s="1"/>
  <c r="N5019" i="13"/>
  <c r="K4833" i="13" l="1"/>
  <c r="L4833" i="13" s="1"/>
  <c r="I4834" i="13" s="1"/>
  <c r="K4855" i="14"/>
  <c r="L4855" i="14" s="1"/>
  <c r="I4856" i="14" s="1"/>
  <c r="N5020" i="13"/>
  <c r="J5019" i="13" a="1"/>
  <c r="J5019" i="13" s="1"/>
  <c r="M5022" i="13"/>
  <c r="M5023" i="14"/>
  <c r="N5019" i="14"/>
  <c r="J5018" i="14" a="1"/>
  <c r="J5018" i="14" s="1"/>
  <c r="K4834" i="13" l="1"/>
  <c r="L4834" i="13" s="1"/>
  <c r="I4835" i="13" s="1"/>
  <c r="M5023" i="13"/>
  <c r="K4856" i="14"/>
  <c r="L4856" i="14" s="1"/>
  <c r="I4857" i="14" s="1"/>
  <c r="N5020" i="14"/>
  <c r="J5019" i="14" a="1"/>
  <c r="J5019" i="14" s="1"/>
  <c r="M5024" i="14"/>
  <c r="J5020" i="13" a="1"/>
  <c r="J5020" i="13" s="1"/>
  <c r="N5021" i="13"/>
  <c r="K4835" i="13" l="1"/>
  <c r="L4835" i="13" s="1"/>
  <c r="I4836" i="13" s="1"/>
  <c r="N5022" i="13"/>
  <c r="J5021" i="13" a="1"/>
  <c r="J5021" i="13" s="1"/>
  <c r="J5020" i="14" a="1"/>
  <c r="J5020" i="14" s="1"/>
  <c r="N5021" i="14"/>
  <c r="M5024" i="13"/>
  <c r="M5025" i="14"/>
  <c r="K4857" i="14"/>
  <c r="L4857" i="14" s="1"/>
  <c r="I4858" i="14" s="1"/>
  <c r="K4858" i="14" l="1"/>
  <c r="L4858" i="14" s="1"/>
  <c r="I4859" i="14" s="1"/>
  <c r="K4836" i="13"/>
  <c r="L4836" i="13" s="1"/>
  <c r="I4837" i="13" s="1"/>
  <c r="M5025" i="13"/>
  <c r="J5022" i="13" a="1"/>
  <c r="J5022" i="13" s="1"/>
  <c r="N5023" i="13"/>
  <c r="M5026" i="14"/>
  <c r="N5022" i="14"/>
  <c r="J5021" i="14" a="1"/>
  <c r="J5021" i="14" s="1"/>
  <c r="K4837" i="13" l="1"/>
  <c r="L4837" i="13" s="1"/>
  <c r="I4838" i="13" s="1"/>
  <c r="K4859" i="14"/>
  <c r="L4859" i="14" s="1"/>
  <c r="I4860" i="14" s="1"/>
  <c r="N5023" i="14"/>
  <c r="J5022" i="14" a="1"/>
  <c r="J5022" i="14" s="1"/>
  <c r="N5024" i="13"/>
  <c r="J5023" i="13" a="1"/>
  <c r="J5023" i="13" s="1"/>
  <c r="M5027" i="14"/>
  <c r="M5026" i="13"/>
  <c r="K4838" i="13" l="1"/>
  <c r="L4838" i="13" s="1"/>
  <c r="I4839" i="13" s="1"/>
  <c r="M5027" i="13"/>
  <c r="J5024" i="13" a="1"/>
  <c r="J5024" i="13" s="1"/>
  <c r="N5025" i="13"/>
  <c r="K4860" i="14"/>
  <c r="L4860" i="14" s="1"/>
  <c r="I4861" i="14" s="1"/>
  <c r="M5028" i="14"/>
  <c r="N5024" i="14"/>
  <c r="J5023" i="14" a="1"/>
  <c r="J5023" i="14" s="1"/>
  <c r="K4839" i="13" l="1"/>
  <c r="L4839" i="13" s="1"/>
  <c r="I4840" i="13" s="1"/>
  <c r="K4861" i="14"/>
  <c r="L4861" i="14" s="1"/>
  <c r="I4862" i="14" s="1"/>
  <c r="M5028" i="13"/>
  <c r="M5029" i="14"/>
  <c r="J5024" i="14" a="1"/>
  <c r="J5024" i="14" s="1"/>
  <c r="N5025" i="14"/>
  <c r="N5026" i="13"/>
  <c r="J5025" i="13" a="1"/>
  <c r="J5025" i="13" s="1"/>
  <c r="K4840" i="13" l="1"/>
  <c r="L4840" i="13" s="1"/>
  <c r="I4841" i="13" s="1"/>
  <c r="J5026" i="13" a="1"/>
  <c r="J5026" i="13" s="1"/>
  <c r="N5027" i="13"/>
  <c r="M5030" i="14"/>
  <c r="K4862" i="14"/>
  <c r="L4862" i="14" s="1"/>
  <c r="I4863" i="14" s="1"/>
  <c r="N5026" i="14"/>
  <c r="J5025" i="14" a="1"/>
  <c r="J5025" i="14" s="1"/>
  <c r="M5029" i="13"/>
  <c r="K4841" i="13" l="1"/>
  <c r="L4841" i="13" s="1"/>
  <c r="I4842" i="13" s="1"/>
  <c r="K4863" i="14"/>
  <c r="L4863" i="14" s="1"/>
  <c r="I4864" i="14" s="1"/>
  <c r="N5028" i="13"/>
  <c r="J5027" i="13" a="1"/>
  <c r="J5027" i="13" s="1"/>
  <c r="M5030" i="13"/>
  <c r="M5031" i="14"/>
  <c r="N5027" i="14"/>
  <c r="J5026" i="14" a="1"/>
  <c r="J5026" i="14" s="1"/>
  <c r="K4842" i="13" l="1"/>
  <c r="L4842" i="13" s="1"/>
  <c r="I4843" i="13" s="1"/>
  <c r="M5031" i="13"/>
  <c r="N5028" i="14"/>
  <c r="J5027" i="14" a="1"/>
  <c r="J5027" i="14" s="1"/>
  <c r="K4864" i="14"/>
  <c r="L4864" i="14" s="1"/>
  <c r="I4865" i="14" s="1"/>
  <c r="M5032" i="14"/>
  <c r="J5028" i="13" a="1"/>
  <c r="J5028" i="13" s="1"/>
  <c r="N5029" i="13"/>
  <c r="K4843" i="13" l="1"/>
  <c r="L4843" i="13" s="1"/>
  <c r="I4844" i="13" s="1"/>
  <c r="N5030" i="13"/>
  <c r="J5029" i="13" a="1"/>
  <c r="J5029" i="13" s="1"/>
  <c r="K4865" i="14"/>
  <c r="L4865" i="14" s="1"/>
  <c r="I4866" i="14" s="1"/>
  <c r="M5032" i="13"/>
  <c r="M5033" i="14"/>
  <c r="J5028" i="14" a="1"/>
  <c r="J5028" i="14" s="1"/>
  <c r="N5029" i="14"/>
  <c r="K4866" i="14" l="1"/>
  <c r="L4866" i="14" s="1"/>
  <c r="I4867" i="14" s="1"/>
  <c r="K4844" i="13"/>
  <c r="L4844" i="13" s="1"/>
  <c r="I4845" i="13" s="1"/>
  <c r="N5030" i="14"/>
  <c r="J5029" i="14" a="1"/>
  <c r="J5029" i="14" s="1"/>
  <c r="M5033" i="13"/>
  <c r="J5030" i="13" a="1"/>
  <c r="J5030" i="13" s="1"/>
  <c r="N5031" i="13"/>
  <c r="M5034" i="14"/>
  <c r="K4845" i="13" l="1"/>
  <c r="L4845" i="13" s="1"/>
  <c r="I4846" i="13" s="1"/>
  <c r="K4867" i="14"/>
  <c r="L4867" i="14" s="1"/>
  <c r="I4868" i="14" s="1"/>
  <c r="M5035" i="14"/>
  <c r="M5034" i="13"/>
  <c r="N5032" i="13"/>
  <c r="J5031" i="13" a="1"/>
  <c r="J5031" i="13" s="1"/>
  <c r="N5031" i="14"/>
  <c r="J5030" i="14" a="1"/>
  <c r="J5030" i="14" s="1"/>
  <c r="K4868" i="14" l="1"/>
  <c r="L4868" i="14" s="1"/>
  <c r="I4869" i="14" s="1"/>
  <c r="K4846" i="13"/>
  <c r="L4846" i="13" s="1"/>
  <c r="I4847" i="13" s="1"/>
  <c r="M5035" i="13"/>
  <c r="N5032" i="14"/>
  <c r="J5031" i="14" a="1"/>
  <c r="J5031" i="14" s="1"/>
  <c r="J5032" i="13" a="1"/>
  <c r="J5032" i="13" s="1"/>
  <c r="N5033" i="13"/>
  <c r="M5036" i="14"/>
  <c r="K4847" i="13" l="1"/>
  <c r="L4847" i="13" s="1"/>
  <c r="I4848" i="13" s="1"/>
  <c r="K4869" i="14"/>
  <c r="L4869" i="14" s="1"/>
  <c r="I4870" i="14" s="1"/>
  <c r="N5034" i="13"/>
  <c r="J5033" i="13" a="1"/>
  <c r="J5033" i="13" s="1"/>
  <c r="M5037" i="14"/>
  <c r="J5032" i="14" a="1"/>
  <c r="J5032" i="14" s="1"/>
  <c r="N5033" i="14"/>
  <c r="M5036" i="13"/>
  <c r="K4870" i="14" l="1"/>
  <c r="L4870" i="14" s="1"/>
  <c r="I4871" i="14" s="1"/>
  <c r="K4848" i="13"/>
  <c r="L4848" i="13" s="1"/>
  <c r="I4849" i="13" s="1"/>
  <c r="M5037" i="13"/>
  <c r="N5034" i="14"/>
  <c r="J5033" i="14" a="1"/>
  <c r="J5033" i="14" s="1"/>
  <c r="M5038" i="14"/>
  <c r="J5034" i="13" a="1"/>
  <c r="J5034" i="13" s="1"/>
  <c r="N5035" i="13"/>
  <c r="K4849" i="13" l="1"/>
  <c r="L4849" i="13" s="1"/>
  <c r="I4850" i="13" s="1"/>
  <c r="K4871" i="14"/>
  <c r="L4871" i="14" s="1"/>
  <c r="I4872" i="14" s="1"/>
  <c r="N5035" i="14"/>
  <c r="J5034" i="14" a="1"/>
  <c r="J5034" i="14" s="1"/>
  <c r="N5036" i="13"/>
  <c r="J5035" i="13" a="1"/>
  <c r="J5035" i="13" s="1"/>
  <c r="M5039" i="14"/>
  <c r="M5038" i="13"/>
  <c r="K4872" i="14" l="1"/>
  <c r="L4872" i="14" s="1"/>
  <c r="I4873" i="14" s="1"/>
  <c r="K4850" i="13"/>
  <c r="L4850" i="13" s="1"/>
  <c r="I4851" i="13" s="1"/>
  <c r="M5040" i="14"/>
  <c r="M5039" i="13"/>
  <c r="J5036" i="13" a="1"/>
  <c r="J5036" i="13" s="1"/>
  <c r="N5037" i="13"/>
  <c r="N5036" i="14"/>
  <c r="J5035" i="14" a="1"/>
  <c r="J5035" i="14" s="1"/>
  <c r="K4851" i="13" l="1"/>
  <c r="L4851" i="13" s="1"/>
  <c r="I4852" i="13" s="1"/>
  <c r="K4873" i="14"/>
  <c r="L4873" i="14" s="1"/>
  <c r="I4874" i="14" s="1"/>
  <c r="N5038" i="13"/>
  <c r="J5037" i="13" a="1"/>
  <c r="J5037" i="13" s="1"/>
  <c r="M5041" i="14"/>
  <c r="J5036" i="14" a="1"/>
  <c r="J5036" i="14" s="1"/>
  <c r="N5037" i="14"/>
  <c r="M5040" i="13"/>
  <c r="K4874" i="14" l="1"/>
  <c r="L4874" i="14" s="1"/>
  <c r="I4875" i="14" s="1"/>
  <c r="K4852" i="13"/>
  <c r="L4852" i="13" s="1"/>
  <c r="I4853" i="13" s="1"/>
  <c r="M5041" i="13"/>
  <c r="M5042" i="14"/>
  <c r="N5038" i="14"/>
  <c r="J5037" i="14" a="1"/>
  <c r="J5037" i="14" s="1"/>
  <c r="J5038" i="13" a="1"/>
  <c r="J5038" i="13" s="1"/>
  <c r="N5039" i="13"/>
  <c r="K4875" i="14" l="1"/>
  <c r="L4875" i="14" s="1"/>
  <c r="I4876" i="14" s="1"/>
  <c r="N5040" i="13"/>
  <c r="J5039" i="13" a="1"/>
  <c r="J5039" i="13" s="1"/>
  <c r="M5043" i="14"/>
  <c r="K4853" i="13"/>
  <c r="L4853" i="13" s="1"/>
  <c r="I4854" i="13" s="1"/>
  <c r="N5039" i="14"/>
  <c r="J5038" i="14" a="1"/>
  <c r="J5038" i="14" s="1"/>
  <c r="M5042" i="13"/>
  <c r="K4854" i="13" l="1"/>
  <c r="L4854" i="13" s="1"/>
  <c r="I4855" i="13" s="1"/>
  <c r="K4876" i="14"/>
  <c r="L4876" i="14" s="1"/>
  <c r="I4877" i="14" s="1"/>
  <c r="M5043" i="13"/>
  <c r="J5040" i="13" a="1"/>
  <c r="J5040" i="13" s="1"/>
  <c r="N5041" i="13"/>
  <c r="N5040" i="14"/>
  <c r="J5039" i="14" a="1"/>
  <c r="J5039" i="14" s="1"/>
  <c r="M5044" i="14"/>
  <c r="K4855" i="13" l="1"/>
  <c r="L4855" i="13" s="1"/>
  <c r="I4856" i="13" s="1"/>
  <c r="M5045" i="14"/>
  <c r="N5042" i="13"/>
  <c r="J5041" i="13" a="1"/>
  <c r="J5041" i="13" s="1"/>
  <c r="K4877" i="14"/>
  <c r="L4877" i="14" s="1"/>
  <c r="I4878" i="14" s="1"/>
  <c r="J5040" i="14" a="1"/>
  <c r="J5040" i="14" s="1"/>
  <c r="N5041" i="14"/>
  <c r="M5044" i="13"/>
  <c r="K4856" i="13" l="1"/>
  <c r="L4856" i="13" s="1"/>
  <c r="I4857" i="13" s="1"/>
  <c r="M5045" i="13"/>
  <c r="K4878" i="14"/>
  <c r="L4878" i="14" s="1"/>
  <c r="I4879" i="14" s="1"/>
  <c r="M5046" i="14"/>
  <c r="N5042" i="14"/>
  <c r="J5041" i="14" a="1"/>
  <c r="J5041" i="14" s="1"/>
  <c r="J5042" i="13" a="1"/>
  <c r="J5042" i="13" s="1"/>
  <c r="N5043" i="13"/>
  <c r="K4879" i="14" l="1"/>
  <c r="L4879" i="14" s="1"/>
  <c r="I4880" i="14" s="1"/>
  <c r="K4857" i="13"/>
  <c r="L4857" i="13" s="1"/>
  <c r="I4858" i="13" s="1"/>
  <c r="N5044" i="13"/>
  <c r="J5043" i="13" a="1"/>
  <c r="J5043" i="13" s="1"/>
  <c r="M5047" i="14"/>
  <c r="M5046" i="13"/>
  <c r="N5043" i="14"/>
  <c r="J5042" i="14" a="1"/>
  <c r="J5042" i="14" s="1"/>
  <c r="K4858" i="13" l="1"/>
  <c r="L4858" i="13" s="1"/>
  <c r="I4859" i="13" s="1"/>
  <c r="K4880" i="14"/>
  <c r="L4880" i="14" s="1"/>
  <c r="I4881" i="14" s="1"/>
  <c r="M5048" i="14"/>
  <c r="N5044" i="14"/>
  <c r="J5043" i="14" a="1"/>
  <c r="J5043" i="14" s="1"/>
  <c r="M5047" i="13"/>
  <c r="J5044" i="13" a="1"/>
  <c r="J5044" i="13" s="1"/>
  <c r="N5045" i="13"/>
  <c r="K4881" i="14" l="1"/>
  <c r="L4881" i="14" s="1"/>
  <c r="I4882" i="14" s="1"/>
  <c r="K4859" i="13"/>
  <c r="L4859" i="13" s="1"/>
  <c r="I4860" i="13" s="1"/>
  <c r="N5046" i="13"/>
  <c r="J5045" i="13" a="1"/>
  <c r="J5045" i="13" s="1"/>
  <c r="J5044" i="14" a="1"/>
  <c r="J5044" i="14" s="1"/>
  <c r="N5045" i="14"/>
  <c r="M5048" i="13"/>
  <c r="M5049" i="14"/>
  <c r="K4882" i="14" l="1"/>
  <c r="L4882" i="14" s="1"/>
  <c r="I4883" i="14" s="1"/>
  <c r="M5050" i="14"/>
  <c r="N5046" i="14"/>
  <c r="J5045" i="14" a="1"/>
  <c r="J5045" i="14" s="1"/>
  <c r="K4860" i="13"/>
  <c r="L4860" i="13" s="1"/>
  <c r="I4861" i="13" s="1"/>
  <c r="M5049" i="13"/>
  <c r="J5046" i="13" a="1"/>
  <c r="J5046" i="13" s="1"/>
  <c r="N5047" i="13"/>
  <c r="K4883" i="14" l="1"/>
  <c r="L4883" i="14" s="1"/>
  <c r="I4884" i="14" s="1"/>
  <c r="N5048" i="13"/>
  <c r="J5047" i="13" a="1"/>
  <c r="J5047" i="13" s="1"/>
  <c r="M5051" i="14"/>
  <c r="K4861" i="13"/>
  <c r="L4861" i="13" s="1"/>
  <c r="I4862" i="13" s="1"/>
  <c r="M5050" i="13"/>
  <c r="N5047" i="14"/>
  <c r="J5046" i="14" a="1"/>
  <c r="J5046" i="14" s="1"/>
  <c r="K4862" i="13" l="1"/>
  <c r="L4862" i="13" s="1"/>
  <c r="I4863" i="13" s="1"/>
  <c r="K4884" i="14"/>
  <c r="L4884" i="14" s="1"/>
  <c r="I4885" i="14" s="1"/>
  <c r="N5048" i="14"/>
  <c r="J5047" i="14" a="1"/>
  <c r="J5047" i="14" s="1"/>
  <c r="M5051" i="13"/>
  <c r="J5048" i="13" a="1"/>
  <c r="J5048" i="13" s="1"/>
  <c r="N5049" i="13"/>
  <c r="M5052" i="14"/>
  <c r="K4863" i="13" l="1"/>
  <c r="L4863" i="13" s="1"/>
  <c r="I4864" i="13" s="1"/>
  <c r="N5050" i="13"/>
  <c r="J5049" i="13" a="1"/>
  <c r="J5049" i="13" s="1"/>
  <c r="M5053" i="14"/>
  <c r="M5052" i="13"/>
  <c r="K4885" i="14"/>
  <c r="L4885" i="14" s="1"/>
  <c r="I4886" i="14" s="1"/>
  <c r="J5048" i="14" a="1"/>
  <c r="J5048" i="14" s="1"/>
  <c r="N5049" i="14"/>
  <c r="K4886" i="14" l="1"/>
  <c r="L4886" i="14" s="1"/>
  <c r="I4887" i="14" s="1"/>
  <c r="K4864" i="13"/>
  <c r="L4864" i="13" s="1"/>
  <c r="I4865" i="13" s="1"/>
  <c r="J5050" i="13" a="1"/>
  <c r="J5050" i="13" s="1"/>
  <c r="N5051" i="13"/>
  <c r="N5050" i="14"/>
  <c r="J5049" i="14" a="1"/>
  <c r="J5049" i="14" s="1"/>
  <c r="M5053" i="13"/>
  <c r="M5054" i="14"/>
  <c r="K4887" i="14" l="1"/>
  <c r="L4887" i="14" s="1"/>
  <c r="I4888" i="14" s="1"/>
  <c r="N5051" i="14"/>
  <c r="J5050" i="14" a="1"/>
  <c r="J5050" i="14" s="1"/>
  <c r="K4865" i="13"/>
  <c r="L4865" i="13" s="1"/>
  <c r="I4866" i="13" s="1"/>
  <c r="N5052" i="13"/>
  <c r="J5051" i="13" a="1"/>
  <c r="J5051" i="13" s="1"/>
  <c r="M5055" i="14"/>
  <c r="M5054" i="13"/>
  <c r="K4866" i="13" l="1"/>
  <c r="L4866" i="13" s="1"/>
  <c r="I4867" i="13" s="1"/>
  <c r="K4888" i="14"/>
  <c r="L4888" i="14" s="1"/>
  <c r="I4889" i="14" s="1"/>
  <c r="N5052" i="14"/>
  <c r="J5051" i="14" a="1"/>
  <c r="J5051" i="14" s="1"/>
  <c r="M5055" i="13"/>
  <c r="J5052" i="13" a="1"/>
  <c r="J5052" i="13" s="1"/>
  <c r="N5053" i="13"/>
  <c r="M5056" i="14"/>
  <c r="K4889" i="14" l="1"/>
  <c r="L4889" i="14" s="1"/>
  <c r="I4890" i="14" s="1"/>
  <c r="K4867" i="13"/>
  <c r="L4867" i="13" s="1"/>
  <c r="I4868" i="13" s="1"/>
  <c r="N5054" i="13"/>
  <c r="J5053" i="13" a="1"/>
  <c r="J5053" i="13" s="1"/>
  <c r="M5057" i="14"/>
  <c r="M5056" i="13"/>
  <c r="J5052" i="14" a="1"/>
  <c r="J5052" i="14" s="1"/>
  <c r="N5053" i="14"/>
  <c r="N5054" i="14" l="1"/>
  <c r="J5053" i="14" a="1"/>
  <c r="J5053" i="14" s="1"/>
  <c r="M5058" i="14"/>
  <c r="K4868" i="13"/>
  <c r="L4868" i="13" s="1"/>
  <c r="I4869" i="13" s="1"/>
  <c r="M5057" i="13"/>
  <c r="J5054" i="13" a="1"/>
  <c r="J5054" i="13" s="1"/>
  <c r="N5055" i="13"/>
  <c r="K4890" i="14"/>
  <c r="L4890" i="14" s="1"/>
  <c r="I4891" i="14" s="1"/>
  <c r="K4869" i="13" l="1"/>
  <c r="L4869" i="13" s="1"/>
  <c r="I4870" i="13" s="1"/>
  <c r="M5059" i="14"/>
  <c r="M5058" i="13"/>
  <c r="N5056" i="13"/>
  <c r="J5055" i="13" a="1"/>
  <c r="J5055" i="13" s="1"/>
  <c r="K4891" i="14"/>
  <c r="L4891" i="14" s="1"/>
  <c r="I4892" i="14" s="1"/>
  <c r="J5054" i="14" a="1"/>
  <c r="J5054" i="14" s="1"/>
  <c r="N5055" i="14"/>
  <c r="K4892" i="14" l="1"/>
  <c r="L4892" i="14" s="1"/>
  <c r="I4893" i="14" s="1"/>
  <c r="K4870" i="13"/>
  <c r="L4870" i="13" s="1"/>
  <c r="I4871" i="13" s="1"/>
  <c r="N5056" i="14"/>
  <c r="J5055" i="14" a="1"/>
  <c r="J5055" i="14" s="1"/>
  <c r="J5056" i="13" a="1"/>
  <c r="J5056" i="13" s="1"/>
  <c r="N5057" i="13"/>
  <c r="M5060" i="14"/>
  <c r="M5059" i="13"/>
  <c r="K4893" i="14" l="1"/>
  <c r="L4893" i="14" s="1"/>
  <c r="I4894" i="14" s="1"/>
  <c r="N5058" i="13"/>
  <c r="J5057" i="13" a="1"/>
  <c r="J5057" i="13" s="1"/>
  <c r="M5060" i="13"/>
  <c r="K4871" i="13"/>
  <c r="L4871" i="13" s="1"/>
  <c r="I4872" i="13" s="1"/>
  <c r="M5061" i="14"/>
  <c r="J5056" i="14" a="1"/>
  <c r="J5056" i="14" s="1"/>
  <c r="N5057" i="14"/>
  <c r="K4872" i="13" l="1"/>
  <c r="L4872" i="13" s="1"/>
  <c r="I4873" i="13" s="1"/>
  <c r="K4894" i="14"/>
  <c r="L4894" i="14" s="1"/>
  <c r="I4895" i="14" s="1"/>
  <c r="J5057" i="14" a="1"/>
  <c r="J5057" i="14" s="1"/>
  <c r="N5058" i="14"/>
  <c r="J5058" i="13" a="1"/>
  <c r="J5058" i="13" s="1"/>
  <c r="N5059" i="13"/>
  <c r="M5061" i="13"/>
  <c r="M5062" i="14"/>
  <c r="K4873" i="13" l="1"/>
  <c r="L4873" i="13" s="1"/>
  <c r="I4874" i="13" s="1"/>
  <c r="M5062" i="13"/>
  <c r="M5063" i="14"/>
  <c r="N5060" i="13"/>
  <c r="J5059" i="13" a="1"/>
  <c r="J5059" i="13" s="1"/>
  <c r="K4895" i="14"/>
  <c r="L4895" i="14" s="1"/>
  <c r="I4896" i="14" s="1"/>
  <c r="J5058" i="14" a="1"/>
  <c r="J5058" i="14" s="1"/>
  <c r="N5059" i="14"/>
  <c r="K4896" i="14" l="1"/>
  <c r="L4896" i="14" s="1"/>
  <c r="I4897" i="14" s="1"/>
  <c r="K4874" i="13"/>
  <c r="L4874" i="13" s="1"/>
  <c r="I4875" i="13" s="1"/>
  <c r="M5063" i="13"/>
  <c r="N5060" i="14"/>
  <c r="J5059" i="14" a="1"/>
  <c r="J5059" i="14" s="1"/>
  <c r="J5060" i="13" a="1"/>
  <c r="J5060" i="13" s="1"/>
  <c r="N5061" i="13"/>
  <c r="M5064" i="14"/>
  <c r="K4897" i="14" l="1"/>
  <c r="L4897" i="14" s="1"/>
  <c r="I4898" i="14" s="1"/>
  <c r="M5065" i="14"/>
  <c r="J5060" i="14" a="1"/>
  <c r="J5060" i="14" s="1"/>
  <c r="N5061" i="14"/>
  <c r="K4875" i="13"/>
  <c r="L4875" i="13" s="1"/>
  <c r="I4876" i="13" s="1"/>
  <c r="N5062" i="13"/>
  <c r="J5061" i="13" a="1"/>
  <c r="J5061" i="13" s="1"/>
  <c r="M5064" i="13"/>
  <c r="K4898" i="14" l="1"/>
  <c r="L4898" i="14" s="1"/>
  <c r="I4899" i="14" s="1"/>
  <c r="J5062" i="13" a="1"/>
  <c r="J5062" i="13" s="1"/>
  <c r="N5063" i="13"/>
  <c r="M5065" i="13"/>
  <c r="K4876" i="13"/>
  <c r="L4876" i="13" s="1"/>
  <c r="I4877" i="13" s="1"/>
  <c r="M5066" i="14"/>
  <c r="J5061" i="14" a="1"/>
  <c r="J5061" i="14" s="1"/>
  <c r="N5062" i="14"/>
  <c r="K4877" i="13" l="1"/>
  <c r="L4877" i="13" s="1"/>
  <c r="I4878" i="13" s="1"/>
  <c r="K4899" i="14"/>
  <c r="L4899" i="14" s="1"/>
  <c r="I4900" i="14" s="1"/>
  <c r="N5064" i="13"/>
  <c r="J5063" i="13" a="1"/>
  <c r="J5063" i="13" s="1"/>
  <c r="N5063" i="14"/>
  <c r="J5062" i="14" a="1"/>
  <c r="J5062" i="14" s="1"/>
  <c r="M5067" i="14"/>
  <c r="M5066" i="13"/>
  <c r="K4878" i="13" l="1"/>
  <c r="L4878" i="13" s="1"/>
  <c r="I4879" i="13" s="1"/>
  <c r="N5064" i="14"/>
  <c r="J5063" i="14" a="1"/>
  <c r="J5063" i="14" s="1"/>
  <c r="K4900" i="14"/>
  <c r="L4900" i="14" s="1"/>
  <c r="I4901" i="14" s="1"/>
  <c r="M5067" i="13"/>
  <c r="M5068" i="14"/>
  <c r="J5064" i="13" a="1"/>
  <c r="J5064" i="13" s="1"/>
  <c r="N5065" i="13"/>
  <c r="K4901" i="14" l="1"/>
  <c r="L4901" i="14" s="1"/>
  <c r="I4902" i="14" s="1"/>
  <c r="K4879" i="13"/>
  <c r="L4879" i="13" s="1"/>
  <c r="I4880" i="13" s="1"/>
  <c r="M5068" i="13"/>
  <c r="N5066" i="13"/>
  <c r="J5065" i="13" a="1"/>
  <c r="J5065" i="13" s="1"/>
  <c r="J5064" i="14" a="1"/>
  <c r="J5064" i="14" s="1"/>
  <c r="N5065" i="14"/>
  <c r="M5069" i="14"/>
  <c r="K4880" i="13" l="1"/>
  <c r="L4880" i="13" s="1"/>
  <c r="I4881" i="13" s="1"/>
  <c r="K4902" i="14"/>
  <c r="L4902" i="14" s="1"/>
  <c r="I4903" i="14" s="1"/>
  <c r="M5070" i="14"/>
  <c r="J5066" i="13" a="1"/>
  <c r="J5066" i="13" s="1"/>
  <c r="N5067" i="13"/>
  <c r="N5066" i="14"/>
  <c r="J5065" i="14" a="1"/>
  <c r="J5065" i="14" s="1"/>
  <c r="M5069" i="13"/>
  <c r="K4881" i="13" l="1"/>
  <c r="L4881" i="13" s="1"/>
  <c r="I4882" i="13" s="1"/>
  <c r="N5068" i="13"/>
  <c r="J5067" i="13" a="1"/>
  <c r="J5067" i="13" s="1"/>
  <c r="M5070" i="13"/>
  <c r="K4903" i="14"/>
  <c r="L4903" i="14" s="1"/>
  <c r="I4904" i="14" s="1"/>
  <c r="M5071" i="14"/>
  <c r="N5067" i="14"/>
  <c r="J5066" i="14" a="1"/>
  <c r="J5066" i="14" s="1"/>
  <c r="K4904" i="14" l="1"/>
  <c r="L4904" i="14" s="1"/>
  <c r="I4905" i="14" s="1"/>
  <c r="K4882" i="13"/>
  <c r="L4882" i="13" s="1"/>
  <c r="I4883" i="13" s="1"/>
  <c r="N5068" i="14"/>
  <c r="J5067" i="14" a="1"/>
  <c r="J5067" i="14" s="1"/>
  <c r="J5068" i="13" a="1"/>
  <c r="J5068" i="13" s="1"/>
  <c r="N5069" i="13"/>
  <c r="M5071" i="13"/>
  <c r="M5072" i="14"/>
  <c r="K4905" i="14" l="1"/>
  <c r="L4905" i="14" s="1"/>
  <c r="I4906" i="14" s="1"/>
  <c r="M5073" i="14"/>
  <c r="N5070" i="13"/>
  <c r="J5069" i="13" a="1"/>
  <c r="J5069" i="13" s="1"/>
  <c r="K4883" i="13"/>
  <c r="L4883" i="13" s="1"/>
  <c r="I4884" i="13" s="1"/>
  <c r="M5072" i="13"/>
  <c r="J5068" i="14" a="1"/>
  <c r="J5068" i="14" s="1"/>
  <c r="N5069" i="14"/>
  <c r="K4906" i="14" l="1"/>
  <c r="L4906" i="14" s="1"/>
  <c r="I4907" i="14" s="1"/>
  <c r="N5070" i="14"/>
  <c r="J5069" i="14" a="1"/>
  <c r="J5069" i="14" s="1"/>
  <c r="M5074" i="14"/>
  <c r="K4884" i="13"/>
  <c r="L4884" i="13" s="1"/>
  <c r="I4885" i="13" s="1"/>
  <c r="M5073" i="13"/>
  <c r="J5070" i="13" a="1"/>
  <c r="J5070" i="13" s="1"/>
  <c r="N5071" i="13"/>
  <c r="K4885" i="13" l="1"/>
  <c r="L4885" i="13" s="1"/>
  <c r="I4886" i="13" s="1"/>
  <c r="K4907" i="14"/>
  <c r="L4907" i="14" s="1"/>
  <c r="I4908" i="14" s="1"/>
  <c r="N5071" i="14"/>
  <c r="J5070" i="14" a="1"/>
  <c r="J5070" i="14" s="1"/>
  <c r="N5072" i="13"/>
  <c r="J5071" i="13" a="1"/>
  <c r="J5071" i="13" s="1"/>
  <c r="M5075" i="14"/>
  <c r="M5074" i="13"/>
  <c r="K4908" i="14" l="1"/>
  <c r="L4908" i="14" s="1"/>
  <c r="I4909" i="14" s="1"/>
  <c r="K4886" i="13"/>
  <c r="L4886" i="13" s="1"/>
  <c r="I4887" i="13" s="1"/>
  <c r="J5072" i="13" a="1"/>
  <c r="J5072" i="13" s="1"/>
  <c r="N5073" i="13"/>
  <c r="M5075" i="13"/>
  <c r="M5076" i="14"/>
  <c r="N5072" i="14"/>
  <c r="J5071" i="14" a="1"/>
  <c r="J5071" i="14" s="1"/>
  <c r="K4909" i="14" l="1"/>
  <c r="L4909" i="14" s="1"/>
  <c r="I4910" i="14" s="1"/>
  <c r="M5077" i="14"/>
  <c r="J5072" i="14" a="1"/>
  <c r="J5072" i="14" s="1"/>
  <c r="N5073" i="14"/>
  <c r="M5076" i="13"/>
  <c r="K4887" i="13"/>
  <c r="L4887" i="13" s="1"/>
  <c r="I4888" i="13" s="1"/>
  <c r="N5074" i="13"/>
  <c r="J5073" i="13" a="1"/>
  <c r="J5073" i="13" s="1"/>
  <c r="K4910" i="14" l="1"/>
  <c r="L4910" i="14" s="1"/>
  <c r="I4911" i="14" s="1"/>
  <c r="M5077" i="13"/>
  <c r="M5078" i="14"/>
  <c r="J5074" i="13" a="1"/>
  <c r="J5074" i="13" s="1"/>
  <c r="N5075" i="13"/>
  <c r="N5074" i="14"/>
  <c r="J5073" i="14" a="1"/>
  <c r="J5073" i="14" s="1"/>
  <c r="K4888" i="13"/>
  <c r="L4888" i="13" s="1"/>
  <c r="I4889" i="13" s="1"/>
  <c r="K4889" i="13" l="1"/>
  <c r="L4889" i="13" s="1"/>
  <c r="I4890" i="13" s="1"/>
  <c r="K4911" i="14"/>
  <c r="L4911" i="14" s="1"/>
  <c r="I4912" i="14" s="1"/>
  <c r="N5076" i="13"/>
  <c r="J5075" i="13" a="1"/>
  <c r="J5075" i="13" s="1"/>
  <c r="M5078" i="13"/>
  <c r="M5079" i="14"/>
  <c r="N5075" i="14"/>
  <c r="J5074" i="14" a="1"/>
  <c r="J5074" i="14" s="1"/>
  <c r="K4890" i="13" l="1"/>
  <c r="L4890" i="13" s="1"/>
  <c r="I4891" i="13" s="1"/>
  <c r="M5079" i="13"/>
  <c r="N5076" i="14"/>
  <c r="J5075" i="14" a="1"/>
  <c r="J5075" i="14" s="1"/>
  <c r="K4912" i="14"/>
  <c r="L4912" i="14" s="1"/>
  <c r="I4913" i="14" s="1"/>
  <c r="M5080" i="14"/>
  <c r="J5076" i="13" a="1"/>
  <c r="J5076" i="13" s="1"/>
  <c r="N5077" i="13"/>
  <c r="K4891" i="13" l="1"/>
  <c r="L4891" i="13" s="1"/>
  <c r="I4892" i="13" s="1"/>
  <c r="N5078" i="13"/>
  <c r="J5077" i="13" a="1"/>
  <c r="J5077" i="13" s="1"/>
  <c r="K4913" i="14"/>
  <c r="L4913" i="14" s="1"/>
  <c r="I4914" i="14" s="1"/>
  <c r="M5080" i="13"/>
  <c r="M5081" i="14"/>
  <c r="J5076" i="14" a="1"/>
  <c r="J5076" i="14" s="1"/>
  <c r="N5077" i="14"/>
  <c r="K4914" i="14" l="1"/>
  <c r="L4914" i="14" s="1"/>
  <c r="I4915" i="14" s="1"/>
  <c r="K4892" i="13"/>
  <c r="L4892" i="13" s="1"/>
  <c r="I4893" i="13" s="1"/>
  <c r="N5078" i="14"/>
  <c r="J5077" i="14" a="1"/>
  <c r="J5077" i="14" s="1"/>
  <c r="M5081" i="13"/>
  <c r="J5078" i="13" a="1"/>
  <c r="J5078" i="13" s="1"/>
  <c r="N5079" i="13"/>
  <c r="M5082" i="14"/>
  <c r="K4893" i="13" l="1"/>
  <c r="L4893" i="13" s="1"/>
  <c r="I4894" i="13" s="1"/>
  <c r="K4915" i="14"/>
  <c r="L4915" i="14" s="1"/>
  <c r="I4916" i="14" s="1"/>
  <c r="N5080" i="13"/>
  <c r="J5079" i="13" a="1"/>
  <c r="J5079" i="13" s="1"/>
  <c r="M5083" i="14"/>
  <c r="M5082" i="13"/>
  <c r="N5079" i="14"/>
  <c r="J5078" i="14" a="1"/>
  <c r="J5078" i="14" s="1"/>
  <c r="K4916" i="14" l="1"/>
  <c r="L4916" i="14" s="1"/>
  <c r="I4917" i="14" s="1"/>
  <c r="K4894" i="13"/>
  <c r="L4894" i="13" s="1"/>
  <c r="I4895" i="13" s="1"/>
  <c r="N5080" i="14"/>
  <c r="J5079" i="14" a="1"/>
  <c r="J5079" i="14" s="1"/>
  <c r="M5084" i="14"/>
  <c r="M5083" i="13"/>
  <c r="J5080" i="13" a="1"/>
  <c r="J5080" i="13" s="1"/>
  <c r="N5081" i="13"/>
  <c r="K4917" i="14" l="1"/>
  <c r="L4917" i="14" s="1"/>
  <c r="I4918" i="14" s="1"/>
  <c r="N5082" i="13"/>
  <c r="J5081" i="13" a="1"/>
  <c r="J5081" i="13" s="1"/>
  <c r="M5085" i="14"/>
  <c r="K4895" i="13"/>
  <c r="L4895" i="13" s="1"/>
  <c r="I4896" i="13" s="1"/>
  <c r="M5084" i="13"/>
  <c r="J5080" i="14" a="1"/>
  <c r="J5080" i="14" s="1"/>
  <c r="N5081" i="14"/>
  <c r="K4918" i="14" l="1"/>
  <c r="L4918" i="14" s="1"/>
  <c r="I4919" i="14" s="1"/>
  <c r="N5082" i="14"/>
  <c r="J5081" i="14" a="1"/>
  <c r="J5081" i="14" s="1"/>
  <c r="K4896" i="13"/>
  <c r="L4896" i="13" s="1"/>
  <c r="I4897" i="13" s="1"/>
  <c r="J5082" i="13" a="1"/>
  <c r="J5082" i="13" s="1"/>
  <c r="N5083" i="13"/>
  <c r="M5085" i="13"/>
  <c r="M5086" i="14"/>
  <c r="K4897" i="13" l="1"/>
  <c r="L4897" i="13" s="1"/>
  <c r="I4898" i="13" s="1"/>
  <c r="K4919" i="14"/>
  <c r="L4919" i="14" s="1"/>
  <c r="I4920" i="14" s="1"/>
  <c r="M5087" i="14"/>
  <c r="N5084" i="13"/>
  <c r="J5083" i="13" a="1"/>
  <c r="J5083" i="13" s="1"/>
  <c r="N5083" i="14"/>
  <c r="J5082" i="14" a="1"/>
  <c r="J5082" i="14" s="1"/>
  <c r="M5086" i="13"/>
  <c r="K4898" i="13" l="1"/>
  <c r="L4898" i="13" s="1"/>
  <c r="I4899" i="13" s="1"/>
  <c r="K4920" i="14"/>
  <c r="L4920" i="14" s="1"/>
  <c r="I4921" i="14" s="1"/>
  <c r="J5084" i="13" a="1"/>
  <c r="J5084" i="13" s="1"/>
  <c r="N5085" i="13"/>
  <c r="M5087" i="13"/>
  <c r="N5084" i="14"/>
  <c r="J5083" i="14" a="1"/>
  <c r="J5083" i="14" s="1"/>
  <c r="M5088" i="14"/>
  <c r="K4899" i="13" l="1"/>
  <c r="L4899" i="13" s="1"/>
  <c r="I4900" i="13" s="1"/>
  <c r="J5084" i="14" a="1"/>
  <c r="J5084" i="14" s="1"/>
  <c r="N5085" i="14"/>
  <c r="M5089" i="14"/>
  <c r="M5088" i="13"/>
  <c r="K4921" i="14"/>
  <c r="L4921" i="14" s="1"/>
  <c r="I4922" i="14" s="1"/>
  <c r="N5086" i="13"/>
  <c r="J5085" i="13" a="1"/>
  <c r="J5085" i="13" s="1"/>
  <c r="K4922" i="14" l="1"/>
  <c r="L4922" i="14" s="1"/>
  <c r="I4923" i="14" s="1"/>
  <c r="K4900" i="13"/>
  <c r="L4900" i="13" s="1"/>
  <c r="I4901" i="13" s="1"/>
  <c r="M5089" i="13"/>
  <c r="N5086" i="14"/>
  <c r="J5085" i="14" a="1"/>
  <c r="J5085" i="14" s="1"/>
  <c r="J5086" i="13" a="1"/>
  <c r="J5086" i="13" s="1"/>
  <c r="N5087" i="13"/>
  <c r="M5090" i="14"/>
  <c r="K4901" i="13" l="1"/>
  <c r="L4901" i="13" s="1"/>
  <c r="I4902" i="13" s="1"/>
  <c r="M5091" i="14"/>
  <c r="N5087" i="14"/>
  <c r="J5086" i="14" a="1"/>
  <c r="J5086" i="14" s="1"/>
  <c r="N5088" i="13"/>
  <c r="J5087" i="13" a="1"/>
  <c r="J5087" i="13" s="1"/>
  <c r="M5090" i="13"/>
  <c r="K4923" i="14"/>
  <c r="L4923" i="14" s="1"/>
  <c r="I4924" i="14" s="1"/>
  <c r="K4924" i="14" l="1"/>
  <c r="L4924" i="14" s="1"/>
  <c r="I4925" i="14" s="1"/>
  <c r="K4902" i="13"/>
  <c r="L4902" i="13" s="1"/>
  <c r="I4903" i="13" s="1"/>
  <c r="M5092" i="14"/>
  <c r="J5088" i="13" a="1"/>
  <c r="J5088" i="13" s="1"/>
  <c r="N5089" i="13"/>
  <c r="M5091" i="13"/>
  <c r="N5088" i="14"/>
  <c r="J5087" i="14" a="1"/>
  <c r="J5087" i="14" s="1"/>
  <c r="K4903" i="13" l="1"/>
  <c r="L4903" i="13" s="1"/>
  <c r="I4904" i="13" s="1"/>
  <c r="K4925" i="14"/>
  <c r="L4925" i="14" s="1"/>
  <c r="I4926" i="14" s="1"/>
  <c r="N5090" i="13"/>
  <c r="J5089" i="13" a="1"/>
  <c r="J5089" i="13" s="1"/>
  <c r="J5088" i="14" a="1"/>
  <c r="J5088" i="14" s="1"/>
  <c r="N5089" i="14"/>
  <c r="M5093" i="14"/>
  <c r="M5092" i="13"/>
  <c r="K4926" i="14" l="1"/>
  <c r="L4926" i="14" s="1"/>
  <c r="I4927" i="14" s="1"/>
  <c r="N5090" i="14"/>
  <c r="J5089" i="14" a="1"/>
  <c r="J5089" i="14" s="1"/>
  <c r="M5094" i="14"/>
  <c r="M5093" i="13"/>
  <c r="J5090" i="13" a="1"/>
  <c r="J5090" i="13" s="1"/>
  <c r="N5091" i="13"/>
  <c r="K4904" i="13"/>
  <c r="L4904" i="13" s="1"/>
  <c r="I4905" i="13" s="1"/>
  <c r="K4905" i="13" l="1"/>
  <c r="L4905" i="13" s="1"/>
  <c r="I4906" i="13" s="1"/>
  <c r="K4927" i="14"/>
  <c r="L4927" i="14" s="1"/>
  <c r="I4928" i="14" s="1"/>
  <c r="M5094" i="13"/>
  <c r="N5091" i="14"/>
  <c r="J5090" i="14" a="1"/>
  <c r="J5090" i="14" s="1"/>
  <c r="N5092" i="13"/>
  <c r="J5091" i="13" a="1"/>
  <c r="J5091" i="13" s="1"/>
  <c r="M5095" i="14"/>
  <c r="K4906" i="13" l="1"/>
  <c r="L4906" i="13" s="1"/>
  <c r="I4907" i="13" s="1"/>
  <c r="K4928" i="14"/>
  <c r="L4928" i="14" s="1"/>
  <c r="I4929" i="14" s="1"/>
  <c r="N5092" i="14"/>
  <c r="J5091" i="14" a="1"/>
  <c r="J5091" i="14" s="1"/>
  <c r="M5096" i="14"/>
  <c r="M5095" i="13"/>
  <c r="J5092" i="13" a="1"/>
  <c r="J5092" i="13" s="1"/>
  <c r="N5093" i="13"/>
  <c r="K4907" i="13" l="1"/>
  <c r="L4907" i="13" s="1"/>
  <c r="I4908" i="13" s="1"/>
  <c r="N5094" i="13"/>
  <c r="J5093" i="13" a="1"/>
  <c r="J5093" i="13" s="1"/>
  <c r="M5097" i="14"/>
  <c r="K4929" i="14"/>
  <c r="L4929" i="14" s="1"/>
  <c r="I4930" i="14" s="1"/>
  <c r="M5096" i="13"/>
  <c r="J5092" i="14" a="1"/>
  <c r="J5092" i="14" s="1"/>
  <c r="N5093" i="14"/>
  <c r="K4930" i="14" l="1"/>
  <c r="L4930" i="14" s="1"/>
  <c r="I4931" i="14" s="1"/>
  <c r="K4908" i="13"/>
  <c r="L4908" i="13" s="1"/>
  <c r="I4909" i="13" s="1"/>
  <c r="N5094" i="14"/>
  <c r="J5093" i="14" a="1"/>
  <c r="J5093" i="14" s="1"/>
  <c r="J5094" i="13" a="1"/>
  <c r="J5094" i="13" s="1"/>
  <c r="N5095" i="13"/>
  <c r="M5097" i="13"/>
  <c r="M5098" i="14"/>
  <c r="K4931" i="14" l="1"/>
  <c r="L4931" i="14" s="1"/>
  <c r="I4932" i="14" s="1"/>
  <c r="M5099" i="14"/>
  <c r="N5096" i="13"/>
  <c r="J5095" i="13" a="1"/>
  <c r="J5095" i="13" s="1"/>
  <c r="K4909" i="13"/>
  <c r="L4909" i="13" s="1"/>
  <c r="I4910" i="13" s="1"/>
  <c r="M5098" i="13"/>
  <c r="N5095" i="14"/>
  <c r="J5094" i="14" a="1"/>
  <c r="J5094" i="14" s="1"/>
  <c r="K4932" i="14" l="1"/>
  <c r="L4932" i="14" s="1"/>
  <c r="I4933" i="14" s="1"/>
  <c r="N5096" i="14"/>
  <c r="J5095" i="14" a="1"/>
  <c r="J5095" i="14" s="1"/>
  <c r="M5100" i="14"/>
  <c r="K4910" i="13"/>
  <c r="L4910" i="13" s="1"/>
  <c r="I4911" i="13" s="1"/>
  <c r="M5099" i="13"/>
  <c r="J5096" i="13" a="1"/>
  <c r="J5096" i="13" s="1"/>
  <c r="N5097" i="13"/>
  <c r="K4911" i="13" l="1"/>
  <c r="L4911" i="13" s="1"/>
  <c r="I4912" i="13" s="1"/>
  <c r="K4933" i="14"/>
  <c r="L4933" i="14" s="1"/>
  <c r="I4934" i="14" s="1"/>
  <c r="J5096" i="14" a="1"/>
  <c r="J5096" i="14" s="1"/>
  <c r="N5097" i="14"/>
  <c r="N5098" i="13"/>
  <c r="J5097" i="13" a="1"/>
  <c r="J5097" i="13" s="1"/>
  <c r="M5100" i="13"/>
  <c r="M5101" i="14"/>
  <c r="K4934" i="14" l="1"/>
  <c r="L4934" i="14" s="1"/>
  <c r="I4935" i="14" s="1"/>
  <c r="K4912" i="13"/>
  <c r="L4912" i="13" s="1"/>
  <c r="I4913" i="13" s="1"/>
  <c r="J5098" i="13" a="1"/>
  <c r="J5098" i="13" s="1"/>
  <c r="N5099" i="13"/>
  <c r="N5098" i="14"/>
  <c r="J5097" i="14" a="1"/>
  <c r="J5097" i="14" s="1"/>
  <c r="M5102" i="14"/>
  <c r="M5101" i="13"/>
  <c r="K4935" i="14" l="1"/>
  <c r="L4935" i="14" s="1"/>
  <c r="I4936" i="14" s="1"/>
  <c r="N5099" i="14"/>
  <c r="J5098" i="14" a="1"/>
  <c r="J5098" i="14" s="1"/>
  <c r="K4913" i="13"/>
  <c r="L4913" i="13" s="1"/>
  <c r="I4914" i="13" s="1"/>
  <c r="N5100" i="13"/>
  <c r="J5099" i="13" a="1"/>
  <c r="J5099" i="13" s="1"/>
  <c r="M5102" i="13"/>
  <c r="M5103" i="14"/>
  <c r="K4936" i="14" l="1"/>
  <c r="L4936" i="14" s="1"/>
  <c r="I4937" i="14" s="1"/>
  <c r="N5100" i="14"/>
  <c r="J5099" i="14" a="1"/>
  <c r="J5099" i="14" s="1"/>
  <c r="M5104" i="14"/>
  <c r="J5100" i="13" a="1"/>
  <c r="J5100" i="13" s="1"/>
  <c r="N5101" i="13"/>
  <c r="M5103" i="13"/>
  <c r="K4914" i="13"/>
  <c r="L4914" i="13" s="1"/>
  <c r="I4915" i="13" s="1"/>
  <c r="K4915" i="13" l="1"/>
  <c r="L4915" i="13" s="1"/>
  <c r="I4916" i="13" s="1"/>
  <c r="K4937" i="14"/>
  <c r="L4937" i="14" s="1"/>
  <c r="I4938" i="14" s="1"/>
  <c r="N5102" i="13"/>
  <c r="J5101" i="13" a="1"/>
  <c r="J5101" i="13" s="1"/>
  <c r="J5100" i="14" a="1"/>
  <c r="J5100" i="14" s="1"/>
  <c r="N5101" i="14"/>
  <c r="M5105" i="14"/>
  <c r="M5104" i="13"/>
  <c r="K4916" i="13" l="1"/>
  <c r="L4916" i="13" s="1"/>
  <c r="I4917" i="13" s="1"/>
  <c r="M5105" i="13"/>
  <c r="N5102" i="14"/>
  <c r="J5101" i="14" a="1"/>
  <c r="J5101" i="14" s="1"/>
  <c r="K4938" i="14"/>
  <c r="L4938" i="14" s="1"/>
  <c r="I4939" i="14" s="1"/>
  <c r="M5106" i="14"/>
  <c r="J5102" i="13" a="1"/>
  <c r="J5102" i="13" s="1"/>
  <c r="N5103" i="13"/>
  <c r="K4917" i="13" l="1"/>
  <c r="L4917" i="13" s="1"/>
  <c r="I4918" i="13" s="1"/>
  <c r="N5104" i="13"/>
  <c r="J5103" i="13" a="1"/>
  <c r="J5103" i="13" s="1"/>
  <c r="K4939" i="14"/>
  <c r="L4939" i="14" s="1"/>
  <c r="I4940" i="14" s="1"/>
  <c r="M5106" i="13"/>
  <c r="M5107" i="14"/>
  <c r="N5103" i="14"/>
  <c r="J5102" i="14" a="1"/>
  <c r="J5102" i="14" s="1"/>
  <c r="K4940" i="14" l="1"/>
  <c r="L4940" i="14" s="1"/>
  <c r="I4941" i="14" s="1"/>
  <c r="K4918" i="13"/>
  <c r="L4918" i="13" s="1"/>
  <c r="I4919" i="13" s="1"/>
  <c r="M5107" i="13"/>
  <c r="J5104" i="13" a="1"/>
  <c r="J5104" i="13" s="1"/>
  <c r="N5105" i="13"/>
  <c r="N5104" i="14"/>
  <c r="J5103" i="14" a="1"/>
  <c r="J5103" i="14" s="1"/>
  <c r="M5108" i="14"/>
  <c r="K4941" i="14" l="1"/>
  <c r="L4941" i="14" s="1"/>
  <c r="I4942" i="14" s="1"/>
  <c r="M5109" i="14"/>
  <c r="N5106" i="13"/>
  <c r="J5105" i="13" a="1"/>
  <c r="J5105" i="13" s="1"/>
  <c r="K4919" i="13"/>
  <c r="L4919" i="13" s="1"/>
  <c r="I4920" i="13" s="1"/>
  <c r="J5104" i="14" a="1"/>
  <c r="J5104" i="14" s="1"/>
  <c r="N5105" i="14"/>
  <c r="M5108" i="13"/>
  <c r="K4920" i="13" l="1"/>
  <c r="L4920" i="13" s="1"/>
  <c r="I4921" i="13" s="1"/>
  <c r="K4942" i="14"/>
  <c r="L4942" i="14" s="1"/>
  <c r="I4943" i="14" s="1"/>
  <c r="M5109" i="13"/>
  <c r="N5106" i="14"/>
  <c r="J5105" i="14" a="1"/>
  <c r="J5105" i="14" s="1"/>
  <c r="M5110" i="14"/>
  <c r="J5106" i="13" a="1"/>
  <c r="J5106" i="13" s="1"/>
  <c r="N5107" i="13"/>
  <c r="K4921" i="13" l="1"/>
  <c r="L4921" i="13" s="1"/>
  <c r="I4922" i="13" s="1"/>
  <c r="K4943" i="14"/>
  <c r="L4943" i="14" s="1"/>
  <c r="I4944" i="14" s="1"/>
  <c r="N5107" i="14"/>
  <c r="J5106" i="14" a="1"/>
  <c r="J5106" i="14" s="1"/>
  <c r="N5108" i="13"/>
  <c r="J5107" i="13" a="1"/>
  <c r="J5107" i="13" s="1"/>
  <c r="M5111" i="14"/>
  <c r="M5110" i="13"/>
  <c r="K4944" i="14" l="1"/>
  <c r="L4944" i="14" s="1"/>
  <c r="I4945" i="14" s="1"/>
  <c r="K4922" i="13"/>
  <c r="L4922" i="13" s="1"/>
  <c r="I4923" i="13" s="1"/>
  <c r="M5111" i="13"/>
  <c r="J5108" i="13" a="1"/>
  <c r="J5108" i="13" s="1"/>
  <c r="N5109" i="13"/>
  <c r="M5112" i="14"/>
  <c r="N5108" i="14"/>
  <c r="J5107" i="14" a="1"/>
  <c r="J5107" i="14" s="1"/>
  <c r="K4923" i="13" l="1"/>
  <c r="L4923" i="13" s="1"/>
  <c r="I4924" i="13" s="1"/>
  <c r="K4945" i="14"/>
  <c r="L4945" i="14" s="1"/>
  <c r="I4946" i="14" s="1"/>
  <c r="N5110" i="13"/>
  <c r="J5109" i="13" a="1"/>
  <c r="J5109" i="13" s="1"/>
  <c r="J5108" i="14" a="1"/>
  <c r="J5108" i="14" s="1"/>
  <c r="N5109" i="14"/>
  <c r="M5113" i="14"/>
  <c r="M5112" i="13"/>
  <c r="K4946" i="14" l="1"/>
  <c r="L4946" i="14" s="1"/>
  <c r="I4947" i="14" s="1"/>
  <c r="K4924" i="13"/>
  <c r="L4924" i="13" s="1"/>
  <c r="I4925" i="13" s="1"/>
  <c r="M5114" i="14"/>
  <c r="M5113" i="13"/>
  <c r="N5110" i="14"/>
  <c r="J5109" i="14" a="1"/>
  <c r="J5109" i="14" s="1"/>
  <c r="J5110" i="13" a="1"/>
  <c r="J5110" i="13" s="1"/>
  <c r="N5111" i="13"/>
  <c r="K4925" i="13" l="1"/>
  <c r="L4925" i="13" s="1"/>
  <c r="I4926" i="13" s="1"/>
  <c r="K4947" i="14"/>
  <c r="L4947" i="14" s="1"/>
  <c r="I4948" i="14" s="1"/>
  <c r="N5112" i="13"/>
  <c r="J5111" i="13" a="1"/>
  <c r="J5111" i="13" s="1"/>
  <c r="M5115" i="14"/>
  <c r="M5114" i="13"/>
  <c r="N5111" i="14"/>
  <c r="J5110" i="14" a="1"/>
  <c r="J5110" i="14" s="1"/>
  <c r="K4926" i="13" l="1"/>
  <c r="L4926" i="13" s="1"/>
  <c r="I4927" i="13" s="1"/>
  <c r="M5115" i="13"/>
  <c r="N5112" i="14"/>
  <c r="J5111" i="14" a="1"/>
  <c r="J5111" i="14" s="1"/>
  <c r="M5116" i="14"/>
  <c r="K4948" i="14"/>
  <c r="L4948" i="14" s="1"/>
  <c r="I4949" i="14" s="1"/>
  <c r="J5112" i="13" a="1"/>
  <c r="J5112" i="13" s="1"/>
  <c r="N5113" i="13"/>
  <c r="K4949" i="14" l="1"/>
  <c r="L4949" i="14" s="1"/>
  <c r="I4950" i="14" s="1"/>
  <c r="K4927" i="13"/>
  <c r="L4927" i="13" s="1"/>
  <c r="I4928" i="13" s="1"/>
  <c r="N5114" i="13"/>
  <c r="J5113" i="13" a="1"/>
  <c r="J5113" i="13" s="1"/>
  <c r="M5117" i="14"/>
  <c r="M5116" i="13"/>
  <c r="J5112" i="14" a="1"/>
  <c r="J5112" i="14" s="1"/>
  <c r="N5113" i="14"/>
  <c r="K4928" i="13" l="1"/>
  <c r="L4928" i="13" s="1"/>
  <c r="I4929" i="13" s="1"/>
  <c r="K4950" i="14"/>
  <c r="L4950" i="14" s="1"/>
  <c r="I4951" i="14" s="1"/>
  <c r="N5114" i="14"/>
  <c r="J5113" i="14" a="1"/>
  <c r="J5113" i="14" s="1"/>
  <c r="M5118" i="14"/>
  <c r="M5117" i="13"/>
  <c r="J5114" i="13" a="1"/>
  <c r="J5114" i="13" s="1"/>
  <c r="N5115" i="13"/>
  <c r="K4929" i="13" l="1"/>
  <c r="L4929" i="13" s="1"/>
  <c r="I4930" i="13" s="1"/>
  <c r="N5116" i="13"/>
  <c r="J5115" i="13" a="1"/>
  <c r="J5115" i="13" s="1"/>
  <c r="M5119" i="14"/>
  <c r="K4951" i="14"/>
  <c r="L4951" i="14" s="1"/>
  <c r="I4952" i="14" s="1"/>
  <c r="M5118" i="13"/>
  <c r="N5115" i="14"/>
  <c r="J5114" i="14" a="1"/>
  <c r="J5114" i="14" s="1"/>
  <c r="K4952" i="14" l="1"/>
  <c r="L4952" i="14" s="1"/>
  <c r="I4953" i="14" s="1"/>
  <c r="K4930" i="13"/>
  <c r="L4930" i="13" s="1"/>
  <c r="I4931" i="13" s="1"/>
  <c r="N5116" i="14"/>
  <c r="J5115" i="14" a="1"/>
  <c r="J5115" i="14" s="1"/>
  <c r="J5116" i="13" a="1"/>
  <c r="J5116" i="13" s="1"/>
  <c r="N5117" i="13"/>
  <c r="M5119" i="13"/>
  <c r="M5120" i="14"/>
  <c r="K4953" i="14" l="1"/>
  <c r="L4953" i="14" s="1"/>
  <c r="I4954" i="14" s="1"/>
  <c r="M5121" i="14"/>
  <c r="N5118" i="13"/>
  <c r="J5117" i="13" a="1"/>
  <c r="J5117" i="13" s="1"/>
  <c r="K4931" i="13"/>
  <c r="L4931" i="13" s="1"/>
  <c r="I4932" i="13" s="1"/>
  <c r="M5120" i="13"/>
  <c r="J5116" i="14" a="1"/>
  <c r="J5116" i="14" s="1"/>
  <c r="N5117" i="14"/>
  <c r="K4954" i="14" l="1"/>
  <c r="L4954" i="14" s="1"/>
  <c r="I4955" i="14" s="1"/>
  <c r="M5121" i="13"/>
  <c r="N5118" i="14"/>
  <c r="J5117" i="14" a="1"/>
  <c r="J5117" i="14" s="1"/>
  <c r="M5122" i="14"/>
  <c r="K4932" i="13"/>
  <c r="L4932" i="13" s="1"/>
  <c r="I4933" i="13" s="1"/>
  <c r="J5118" i="13" a="1"/>
  <c r="J5118" i="13" s="1"/>
  <c r="N5119" i="13"/>
  <c r="K4933" i="13" l="1"/>
  <c r="L4933" i="13" s="1"/>
  <c r="I4934" i="13" s="1"/>
  <c r="K4955" i="14"/>
  <c r="L4955" i="14" s="1"/>
  <c r="I4956" i="14" s="1"/>
  <c r="N5120" i="13"/>
  <c r="J5119" i="13" a="1"/>
  <c r="J5119" i="13" s="1"/>
  <c r="M5123" i="14"/>
  <c r="M5122" i="13"/>
  <c r="N5119" i="14"/>
  <c r="J5118" i="14" a="1"/>
  <c r="J5118" i="14" s="1"/>
  <c r="K4934" i="13" l="1"/>
  <c r="L4934" i="13" s="1"/>
  <c r="I4935" i="13" s="1"/>
  <c r="K4956" i="14"/>
  <c r="L4956" i="14" s="1"/>
  <c r="I4957" i="14" s="1"/>
  <c r="N5120" i="14"/>
  <c r="J5119" i="14" a="1"/>
  <c r="J5119" i="14" s="1"/>
  <c r="M5124" i="14"/>
  <c r="M5123" i="13"/>
  <c r="J5120" i="13" a="1"/>
  <c r="J5120" i="13" s="1"/>
  <c r="N5121" i="13"/>
  <c r="K4935" i="13" l="1"/>
  <c r="L4935" i="13" s="1"/>
  <c r="I4936" i="13" s="1"/>
  <c r="K4957" i="14"/>
  <c r="L4957" i="14" s="1"/>
  <c r="I4958" i="14" s="1"/>
  <c r="M5124" i="13"/>
  <c r="N5122" i="13"/>
  <c r="J5121" i="13" a="1"/>
  <c r="J5121" i="13" s="1"/>
  <c r="M5125" i="14"/>
  <c r="J5120" i="14" a="1"/>
  <c r="J5120" i="14" s="1"/>
  <c r="N5121" i="14"/>
  <c r="K4958" i="14" l="1"/>
  <c r="L4958" i="14" s="1"/>
  <c r="I4959" i="14" s="1"/>
  <c r="K4936" i="13"/>
  <c r="L4936" i="13" s="1"/>
  <c r="I4937" i="13" s="1"/>
  <c r="N5122" i="14"/>
  <c r="J5121" i="14" a="1"/>
  <c r="J5121" i="14" s="1"/>
  <c r="J5122" i="13" a="1"/>
  <c r="J5122" i="13" s="1"/>
  <c r="N5123" i="13"/>
  <c r="M5125" i="13"/>
  <c r="M5126" i="14"/>
  <c r="K4959" i="14" l="1"/>
  <c r="L4959" i="14" s="1"/>
  <c r="I4960" i="14" s="1"/>
  <c r="M5127" i="14"/>
  <c r="N5124" i="13"/>
  <c r="J5123" i="13" a="1"/>
  <c r="J5123" i="13" s="1"/>
  <c r="K4937" i="13"/>
  <c r="L4937" i="13" s="1"/>
  <c r="I4938" i="13" s="1"/>
  <c r="M5126" i="13"/>
  <c r="N5123" i="14"/>
  <c r="J5122" i="14" a="1"/>
  <c r="J5122" i="14" s="1"/>
  <c r="K4938" i="13" l="1"/>
  <c r="L4938" i="13" s="1"/>
  <c r="I4939" i="13" s="1"/>
  <c r="K4960" i="14"/>
  <c r="L4960" i="14" s="1"/>
  <c r="I4961" i="14" s="1"/>
  <c r="M5127" i="13"/>
  <c r="N5124" i="14"/>
  <c r="J5123" i="14" a="1"/>
  <c r="J5123" i="14" s="1"/>
  <c r="M5128" i="14"/>
  <c r="J5124" i="13" a="1"/>
  <c r="J5124" i="13" s="1"/>
  <c r="N5125" i="13"/>
  <c r="K4939" i="13" l="1"/>
  <c r="L4939" i="13" s="1"/>
  <c r="I4940" i="13" s="1"/>
  <c r="N5126" i="13"/>
  <c r="J5125" i="13" a="1"/>
  <c r="J5125" i="13" s="1"/>
  <c r="K4961" i="14"/>
  <c r="L4961" i="14" s="1"/>
  <c r="I4962" i="14" s="1"/>
  <c r="J5124" i="14" a="1"/>
  <c r="J5124" i="14" s="1"/>
  <c r="N5125" i="14"/>
  <c r="M5129" i="14"/>
  <c r="M5128" i="13"/>
  <c r="K4940" i="13" l="1"/>
  <c r="L4940" i="13" s="1"/>
  <c r="I4941" i="13" s="1"/>
  <c r="J5126" i="13" a="1"/>
  <c r="J5126" i="13" s="1"/>
  <c r="N5127" i="13"/>
  <c r="M5129" i="13"/>
  <c r="N5126" i="14"/>
  <c r="J5125" i="14" a="1"/>
  <c r="J5125" i="14" s="1"/>
  <c r="M5130" i="14"/>
  <c r="K4962" i="14"/>
  <c r="L4962" i="14" s="1"/>
  <c r="I4963" i="14" s="1"/>
  <c r="K4963" i="14" l="1"/>
  <c r="L4963" i="14" s="1"/>
  <c r="I4964" i="14" s="1"/>
  <c r="K4941" i="13"/>
  <c r="L4941" i="13" s="1"/>
  <c r="I4942" i="13" s="1"/>
  <c r="N5128" i="13"/>
  <c r="J5127" i="13" a="1"/>
  <c r="J5127" i="13" s="1"/>
  <c r="N5127" i="14"/>
  <c r="J5126" i="14" a="1"/>
  <c r="J5126" i="14" s="1"/>
  <c r="M5131" i="14"/>
  <c r="M5130" i="13"/>
  <c r="K4964" i="14" l="1"/>
  <c r="L4964" i="14" s="1"/>
  <c r="I4965" i="14" s="1"/>
  <c r="M5131" i="13"/>
  <c r="K4942" i="13"/>
  <c r="L4942" i="13" s="1"/>
  <c r="I4943" i="13" s="1"/>
  <c r="N5128" i="14"/>
  <c r="J5127" i="14" a="1"/>
  <c r="J5127" i="14" s="1"/>
  <c r="M5132" i="14"/>
  <c r="J5128" i="13" a="1"/>
  <c r="J5128" i="13" s="1"/>
  <c r="N5129" i="13"/>
  <c r="K4943" i="13" l="1"/>
  <c r="L4943" i="13" s="1"/>
  <c r="I4944" i="13" s="1"/>
  <c r="K4965" i="14"/>
  <c r="L4965" i="14" s="1"/>
  <c r="I4966" i="14" s="1"/>
  <c r="N5130" i="13"/>
  <c r="J5129" i="13" a="1"/>
  <c r="J5129" i="13" s="1"/>
  <c r="J5128" i="14" a="1"/>
  <c r="J5128" i="14" s="1"/>
  <c r="N5129" i="14"/>
  <c r="M5132" i="13"/>
  <c r="M5133" i="14"/>
  <c r="K4944" i="13" l="1"/>
  <c r="L4944" i="13" s="1"/>
  <c r="I4945" i="13" s="1"/>
  <c r="M5134" i="14"/>
  <c r="N5130" i="14"/>
  <c r="J5129" i="14" a="1"/>
  <c r="J5129" i="14" s="1"/>
  <c r="K4966" i="14"/>
  <c r="L4966" i="14" s="1"/>
  <c r="I4967" i="14" s="1"/>
  <c r="M5133" i="13"/>
  <c r="J5130" i="13" a="1"/>
  <c r="J5130" i="13" s="1"/>
  <c r="N5131" i="13"/>
  <c r="K4945" i="13" l="1"/>
  <c r="L4945" i="13" s="1"/>
  <c r="I4946" i="13" s="1"/>
  <c r="N5132" i="13"/>
  <c r="J5131" i="13" a="1"/>
  <c r="J5131" i="13" s="1"/>
  <c r="M5135" i="14"/>
  <c r="K4967" i="14"/>
  <c r="L4967" i="14" s="1"/>
  <c r="I4968" i="14" s="1"/>
  <c r="M5134" i="13"/>
  <c r="N5131" i="14"/>
  <c r="J5130" i="14" a="1"/>
  <c r="J5130" i="14" s="1"/>
  <c r="K4968" i="14" l="1"/>
  <c r="L4968" i="14" s="1"/>
  <c r="I4969" i="14" s="1"/>
  <c r="K4946" i="13"/>
  <c r="L4946" i="13" s="1"/>
  <c r="I4947" i="13" s="1"/>
  <c r="J5132" i="13" a="1"/>
  <c r="J5132" i="13" s="1"/>
  <c r="N5133" i="13"/>
  <c r="M5135" i="13"/>
  <c r="N5132" i="14"/>
  <c r="J5131" i="14" a="1"/>
  <c r="J5131" i="14" s="1"/>
  <c r="M5136" i="14"/>
  <c r="K4947" i="13" l="1"/>
  <c r="L4947" i="13" s="1"/>
  <c r="I4948" i="13" s="1"/>
  <c r="K4969" i="14"/>
  <c r="L4969" i="14" s="1"/>
  <c r="I4970" i="14" s="1"/>
  <c r="J5132" i="14" a="1"/>
  <c r="J5132" i="14" s="1"/>
  <c r="N5133" i="14"/>
  <c r="M5137" i="14"/>
  <c r="M5136" i="13"/>
  <c r="N5134" i="13"/>
  <c r="J5133" i="13" a="1"/>
  <c r="J5133" i="13" s="1"/>
  <c r="K4970" i="14" l="1"/>
  <c r="L4970" i="14" s="1"/>
  <c r="I4971" i="14" s="1"/>
  <c r="K4948" i="13"/>
  <c r="L4948" i="13" s="1"/>
  <c r="I4949" i="13" s="1"/>
  <c r="M5138" i="14"/>
  <c r="J5134" i="13" a="1"/>
  <c r="J5134" i="13" s="1"/>
  <c r="N5135" i="13"/>
  <c r="M5137" i="13"/>
  <c r="N5134" i="14"/>
  <c r="J5133" i="14" a="1"/>
  <c r="J5133" i="14" s="1"/>
  <c r="K4949" i="13" l="1"/>
  <c r="L4949" i="13" s="1"/>
  <c r="I4950" i="13" s="1"/>
  <c r="K4971" i="14"/>
  <c r="L4971" i="14" s="1"/>
  <c r="I4972" i="14" s="1"/>
  <c r="N5135" i="14"/>
  <c r="J5134" i="14" a="1"/>
  <c r="J5134" i="14" s="1"/>
  <c r="N5136" i="13"/>
  <c r="J5135" i="13" a="1"/>
  <c r="J5135" i="13" s="1"/>
  <c r="M5139" i="14"/>
  <c r="M5138" i="13"/>
  <c r="K4950" i="13" l="1"/>
  <c r="L4950" i="13" s="1"/>
  <c r="I4951" i="13" s="1"/>
  <c r="M5139" i="13"/>
  <c r="J5136" i="13" a="1"/>
  <c r="J5136" i="13" s="1"/>
  <c r="N5137" i="13"/>
  <c r="K4972" i="14"/>
  <c r="L4972" i="14" s="1"/>
  <c r="I4973" i="14" s="1"/>
  <c r="M5140" i="14"/>
  <c r="N5136" i="14"/>
  <c r="J5135" i="14" a="1"/>
  <c r="J5135" i="14" s="1"/>
  <c r="K4951" i="13" l="1"/>
  <c r="L4951" i="13" s="1"/>
  <c r="I4952" i="13" s="1"/>
  <c r="K4973" i="14"/>
  <c r="L4973" i="14" s="1"/>
  <c r="I4974" i="14" s="1"/>
  <c r="M5140" i="13"/>
  <c r="J5136" i="14" a="1"/>
  <c r="J5136" i="14" s="1"/>
  <c r="N5137" i="14"/>
  <c r="M5141" i="14"/>
  <c r="N5138" i="13"/>
  <c r="J5137" i="13" a="1"/>
  <c r="J5137" i="13" s="1"/>
  <c r="K4952" i="13" l="1"/>
  <c r="L4952" i="13" s="1"/>
  <c r="I4953" i="13" s="1"/>
  <c r="N5138" i="14"/>
  <c r="J5137" i="14" a="1"/>
  <c r="J5137" i="14" s="1"/>
  <c r="J5138" i="13" a="1"/>
  <c r="J5138" i="13" s="1"/>
  <c r="N5139" i="13"/>
  <c r="K4974" i="14"/>
  <c r="L4974" i="14" s="1"/>
  <c r="I4975" i="14" s="1"/>
  <c r="M5141" i="13"/>
  <c r="M5142" i="14"/>
  <c r="K4975" i="14" l="1"/>
  <c r="L4975" i="14" s="1"/>
  <c r="I4976" i="14" s="1"/>
  <c r="K4953" i="13"/>
  <c r="L4953" i="13" s="1"/>
  <c r="I4954" i="13" s="1"/>
  <c r="N5139" i="14"/>
  <c r="J5138" i="14" a="1"/>
  <c r="J5138" i="14" s="1"/>
  <c r="M5142" i="13"/>
  <c r="M5143" i="14"/>
  <c r="N5140" i="13"/>
  <c r="J5139" i="13" a="1"/>
  <c r="J5139" i="13" s="1"/>
  <c r="K4976" i="14" l="1"/>
  <c r="L4976" i="14" s="1"/>
  <c r="I4977" i="14" s="1"/>
  <c r="M5143" i="13"/>
  <c r="J5140" i="13" a="1"/>
  <c r="J5140" i="13" s="1"/>
  <c r="N5141" i="13"/>
  <c r="K4954" i="13"/>
  <c r="L4954" i="13" s="1"/>
  <c r="I4955" i="13" s="1"/>
  <c r="M5144" i="14"/>
  <c r="N5140" i="14"/>
  <c r="J5139" i="14" a="1"/>
  <c r="J5139" i="14" s="1"/>
  <c r="K4955" i="13" l="1"/>
  <c r="L4955" i="13" s="1"/>
  <c r="I4956" i="13" s="1"/>
  <c r="K4977" i="14"/>
  <c r="L4977" i="14" s="1"/>
  <c r="I4978" i="14" s="1"/>
  <c r="J5140" i="14" a="1"/>
  <c r="J5140" i="14" s="1"/>
  <c r="N5141" i="14"/>
  <c r="M5144" i="13"/>
  <c r="N5142" i="13"/>
  <c r="J5141" i="13" a="1"/>
  <c r="J5141" i="13" s="1"/>
  <c r="M5145" i="14"/>
  <c r="K4978" i="14" l="1"/>
  <c r="L4978" i="14" s="1"/>
  <c r="I4979" i="14" s="1"/>
  <c r="K4956" i="13"/>
  <c r="L4956" i="13" s="1"/>
  <c r="I4957" i="13" s="1"/>
  <c r="N5142" i="14"/>
  <c r="J5141" i="14" a="1"/>
  <c r="J5141" i="14" s="1"/>
  <c r="J5142" i="13" a="1"/>
  <c r="J5142" i="13" s="1"/>
  <c r="N5143" i="13"/>
  <c r="M5146" i="14"/>
  <c r="M5145" i="13"/>
  <c r="K4957" i="13" l="1"/>
  <c r="L4957" i="13" s="1"/>
  <c r="I4958" i="13" s="1"/>
  <c r="K4979" i="14"/>
  <c r="L4979" i="14" s="1"/>
  <c r="I4980" i="14" s="1"/>
  <c r="M5147" i="14"/>
  <c r="N5144" i="13"/>
  <c r="J5143" i="13" a="1"/>
  <c r="J5143" i="13" s="1"/>
  <c r="M5146" i="13"/>
  <c r="N5143" i="14"/>
  <c r="J5142" i="14" a="1"/>
  <c r="J5142" i="14" s="1"/>
  <c r="K4958" i="13" l="1"/>
  <c r="L4958" i="13" s="1"/>
  <c r="I4959" i="13" s="1"/>
  <c r="K4980" i="14"/>
  <c r="L4980" i="14" s="1"/>
  <c r="I4981" i="14" s="1"/>
  <c r="N5144" i="14"/>
  <c r="J5143" i="14" a="1"/>
  <c r="J5143" i="14" s="1"/>
  <c r="J5144" i="13" a="1"/>
  <c r="J5144" i="13" s="1"/>
  <c r="N5145" i="13"/>
  <c r="M5147" i="13"/>
  <c r="M5148" i="14"/>
  <c r="K4959" i="13" l="1"/>
  <c r="L4959" i="13" s="1"/>
  <c r="I4960" i="13" s="1"/>
  <c r="M5149" i="14"/>
  <c r="N5146" i="13"/>
  <c r="J5145" i="13" a="1"/>
  <c r="J5145" i="13" s="1"/>
  <c r="K4981" i="14"/>
  <c r="L4981" i="14" s="1"/>
  <c r="I4982" i="14" s="1"/>
  <c r="M5148" i="13"/>
  <c r="J5144" i="14" a="1"/>
  <c r="J5144" i="14" s="1"/>
  <c r="N5145" i="14"/>
  <c r="K4960" i="13" l="1"/>
  <c r="L4960" i="13" s="1"/>
  <c r="I4961" i="13" s="1"/>
  <c r="M5149" i="13"/>
  <c r="N5146" i="14"/>
  <c r="J5145" i="14" a="1"/>
  <c r="J5145" i="14" s="1"/>
  <c r="M5150" i="14"/>
  <c r="K4982" i="14"/>
  <c r="L4982" i="14" s="1"/>
  <c r="I4983" i="14" s="1"/>
  <c r="J5146" i="13" a="1"/>
  <c r="J5146" i="13" s="1"/>
  <c r="N5147" i="13"/>
  <c r="K4983" i="14" l="1"/>
  <c r="L4983" i="14" s="1"/>
  <c r="I4984" i="14" s="1"/>
  <c r="K4961" i="13"/>
  <c r="L4961" i="13" s="1"/>
  <c r="I4962" i="13" s="1"/>
  <c r="N5148" i="13"/>
  <c r="J5147" i="13" a="1"/>
  <c r="J5147" i="13" s="1"/>
  <c r="M5151" i="14"/>
  <c r="M5150" i="13"/>
  <c r="N5147" i="14"/>
  <c r="J5146" i="14" a="1"/>
  <c r="J5146" i="14" s="1"/>
  <c r="K4984" i="14" l="1"/>
  <c r="L4984" i="14" s="1"/>
  <c r="I4985" i="14" s="1"/>
  <c r="M5152" i="14"/>
  <c r="N5148" i="14"/>
  <c r="J5147" i="14" a="1"/>
  <c r="J5147" i="14" s="1"/>
  <c r="K4962" i="13"/>
  <c r="L4962" i="13" s="1"/>
  <c r="I4963" i="13" s="1"/>
  <c r="M5151" i="13"/>
  <c r="J5148" i="13" a="1"/>
  <c r="J5148" i="13" s="1"/>
  <c r="N5149" i="13"/>
  <c r="K4985" i="14" l="1"/>
  <c r="L4985" i="14" s="1"/>
  <c r="I4986" i="14" s="1"/>
  <c r="N5150" i="13"/>
  <c r="J5149" i="13" a="1"/>
  <c r="J5149" i="13" s="1"/>
  <c r="M5153" i="14"/>
  <c r="K4963" i="13"/>
  <c r="L4963" i="13" s="1"/>
  <c r="I4964" i="13" s="1"/>
  <c r="M5152" i="13"/>
  <c r="J5148" i="14" a="1"/>
  <c r="J5148" i="14" s="1"/>
  <c r="N5149" i="14"/>
  <c r="K4964" i="13" l="1"/>
  <c r="L4964" i="13" s="1"/>
  <c r="I4965" i="13" s="1"/>
  <c r="K4986" i="14"/>
  <c r="L4986" i="14" s="1"/>
  <c r="I4987" i="14" s="1"/>
  <c r="J5150" i="13" a="1"/>
  <c r="J5150" i="13" s="1"/>
  <c r="N5151" i="13"/>
  <c r="N5150" i="14"/>
  <c r="J5149" i="14" a="1"/>
  <c r="J5149" i="14" s="1"/>
  <c r="M5153" i="13"/>
  <c r="M5154" i="14"/>
  <c r="K4965" i="13" l="1"/>
  <c r="L4965" i="13" s="1"/>
  <c r="I4966" i="13" s="1"/>
  <c r="M5155" i="14"/>
  <c r="K4987" i="14"/>
  <c r="L4987" i="14" s="1"/>
  <c r="I4988" i="14" s="1"/>
  <c r="N5151" i="14"/>
  <c r="J5150" i="14" a="1"/>
  <c r="J5150" i="14" s="1"/>
  <c r="N5152" i="13"/>
  <c r="J5151" i="13" a="1"/>
  <c r="J5151" i="13" s="1"/>
  <c r="M5154" i="13"/>
  <c r="K4988" i="14" l="1"/>
  <c r="L4988" i="14" s="1"/>
  <c r="I4989" i="14" s="1"/>
  <c r="K4966" i="13"/>
  <c r="L4966" i="13" s="1"/>
  <c r="I4967" i="13" s="1"/>
  <c r="N5152" i="14"/>
  <c r="J5151" i="14" a="1"/>
  <c r="J5151" i="14" s="1"/>
  <c r="M5156" i="14"/>
  <c r="M5155" i="13"/>
  <c r="J5152" i="13" a="1"/>
  <c r="J5152" i="13" s="1"/>
  <c r="N5153" i="13"/>
  <c r="K4989" i="14" l="1"/>
  <c r="L4989" i="14" s="1"/>
  <c r="I4990" i="14" s="1"/>
  <c r="N5154" i="13"/>
  <c r="J5153" i="13" a="1"/>
  <c r="J5153" i="13" s="1"/>
  <c r="M5157" i="14"/>
  <c r="K4967" i="13"/>
  <c r="L4967" i="13" s="1"/>
  <c r="I4968" i="13" s="1"/>
  <c r="M5156" i="13"/>
  <c r="J5152" i="14" a="1"/>
  <c r="J5152" i="14" s="1"/>
  <c r="N5153" i="14"/>
  <c r="K4968" i="13" l="1"/>
  <c r="L4968" i="13" s="1"/>
  <c r="I4969" i="13" s="1"/>
  <c r="K4990" i="14"/>
  <c r="L4990" i="14" s="1"/>
  <c r="I4991" i="14" s="1"/>
  <c r="N5154" i="14"/>
  <c r="J5153" i="14" a="1"/>
  <c r="J5153" i="14" s="1"/>
  <c r="J5154" i="13" a="1"/>
  <c r="J5154" i="13" s="1"/>
  <c r="N5155" i="13"/>
  <c r="M5158" i="14"/>
  <c r="M5157" i="13"/>
  <c r="K4991" i="14" l="1"/>
  <c r="L4991" i="14" s="1"/>
  <c r="I4992" i="14" s="1"/>
  <c r="K4969" i="13"/>
  <c r="L4969" i="13" s="1"/>
  <c r="I4970" i="13" s="1"/>
  <c r="N5156" i="13"/>
  <c r="J5155" i="13" a="1"/>
  <c r="J5155" i="13" s="1"/>
  <c r="M5158" i="13"/>
  <c r="M5159" i="14"/>
  <c r="J5154" i="14" a="1"/>
  <c r="J5154" i="14" s="1"/>
  <c r="N5155" i="14"/>
  <c r="K4970" i="13" l="1"/>
  <c r="L4970" i="13" s="1"/>
  <c r="I4971" i="13" s="1"/>
  <c r="K4992" i="14"/>
  <c r="L4992" i="14" s="1"/>
  <c r="I4993" i="14" s="1"/>
  <c r="M5159" i="13"/>
  <c r="N5156" i="14"/>
  <c r="J5155" i="14" a="1"/>
  <c r="J5155" i="14" s="1"/>
  <c r="M5160" i="14"/>
  <c r="J5156" i="13" a="1"/>
  <c r="J5156" i="13" s="1"/>
  <c r="N5157" i="13"/>
  <c r="K4993" i="14" l="1"/>
  <c r="L4993" i="14" s="1"/>
  <c r="I4994" i="14" s="1"/>
  <c r="K4971" i="13"/>
  <c r="L4971" i="13" s="1"/>
  <c r="I4972" i="13" s="1"/>
  <c r="N5158" i="13"/>
  <c r="J5157" i="13" a="1"/>
  <c r="J5157" i="13" s="1"/>
  <c r="J5156" i="14" a="1"/>
  <c r="J5156" i="14" s="1"/>
  <c r="N5157" i="14"/>
  <c r="M5161" i="14"/>
  <c r="M5160" i="13"/>
  <c r="K4994" i="14" l="1"/>
  <c r="L4994" i="14" s="1"/>
  <c r="I4995" i="14" s="1"/>
  <c r="J5157" i="14" a="1"/>
  <c r="J5157" i="14" s="1"/>
  <c r="N5158" i="14"/>
  <c r="K4972" i="13"/>
  <c r="L4972" i="13" s="1"/>
  <c r="I4973" i="13" s="1"/>
  <c r="M5161" i="13"/>
  <c r="M5162" i="14"/>
  <c r="J5158" i="13" a="1"/>
  <c r="J5158" i="13" s="1"/>
  <c r="N5159" i="13"/>
  <c r="K4973" i="13" l="1"/>
  <c r="L4973" i="13" s="1"/>
  <c r="I4974" i="13" s="1"/>
  <c r="K4995" i="14"/>
  <c r="L4995" i="14" s="1"/>
  <c r="I4996" i="14" s="1"/>
  <c r="N5160" i="13"/>
  <c r="J5159" i="13" a="1"/>
  <c r="J5159" i="13" s="1"/>
  <c r="N5159" i="14"/>
  <c r="J5158" i="14" a="1"/>
  <c r="J5158" i="14" s="1"/>
  <c r="M5162" i="13"/>
  <c r="M5163" i="14"/>
  <c r="K4996" i="14" l="1"/>
  <c r="L4996" i="14" s="1"/>
  <c r="I4997" i="14" s="1"/>
  <c r="K4974" i="13"/>
  <c r="L4974" i="13" s="1"/>
  <c r="I4975" i="13" s="1"/>
  <c r="N5160" i="14"/>
  <c r="J5159" i="14" a="1"/>
  <c r="J5159" i="14" s="1"/>
  <c r="M5164" i="14"/>
  <c r="M5163" i="13"/>
  <c r="J5160" i="13" a="1"/>
  <c r="J5160" i="13" s="1"/>
  <c r="N5161" i="13"/>
  <c r="K4997" i="14" l="1"/>
  <c r="L4997" i="14" s="1"/>
  <c r="I4998" i="14" s="1"/>
  <c r="N5162" i="13"/>
  <c r="J5161" i="13" a="1"/>
  <c r="J5161" i="13" s="1"/>
  <c r="M5165" i="14"/>
  <c r="K4975" i="13"/>
  <c r="L4975" i="13" s="1"/>
  <c r="I4976" i="13" s="1"/>
  <c r="M5164" i="13"/>
  <c r="J5160" i="14" a="1"/>
  <c r="J5160" i="14" s="1"/>
  <c r="N5161" i="14"/>
  <c r="K4976" i="13" l="1"/>
  <c r="L4976" i="13" s="1"/>
  <c r="I4977" i="13" s="1"/>
  <c r="K4998" i="14"/>
  <c r="L4998" i="14" s="1"/>
  <c r="I4999" i="14" s="1"/>
  <c r="J5161" i="14" a="1"/>
  <c r="J5161" i="14" s="1"/>
  <c r="N5162" i="14"/>
  <c r="J5162" i="13" a="1"/>
  <c r="J5162" i="13" s="1"/>
  <c r="N5163" i="13"/>
  <c r="M5165" i="13"/>
  <c r="M5166" i="14"/>
  <c r="K4977" i="13" l="1"/>
  <c r="L4977" i="13" s="1"/>
  <c r="I4978" i="13" s="1"/>
  <c r="M5167" i="14"/>
  <c r="N5164" i="13"/>
  <c r="J5163" i="13" a="1"/>
  <c r="J5163" i="13" s="1"/>
  <c r="K4999" i="14"/>
  <c r="L4999" i="14" s="1"/>
  <c r="I5000" i="14" s="1"/>
  <c r="J5162" i="14" a="1"/>
  <c r="J5162" i="14" s="1"/>
  <c r="N5163" i="14"/>
  <c r="M5166" i="13"/>
  <c r="K4978" i="13" l="1"/>
  <c r="L4978" i="13" s="1"/>
  <c r="I4979" i="13" s="1"/>
  <c r="M5167" i="13"/>
  <c r="M5168" i="14"/>
  <c r="K5000" i="14"/>
  <c r="L5000" i="14" s="1"/>
  <c r="I5001" i="14" s="1"/>
  <c r="N5164" i="14"/>
  <c r="J5163" i="14" a="1"/>
  <c r="J5163" i="14" s="1"/>
  <c r="J5164" i="13" a="1"/>
  <c r="J5164" i="13" s="1"/>
  <c r="N5165" i="13"/>
  <c r="K4979" i="13" l="1"/>
  <c r="L4979" i="13" s="1"/>
  <c r="I4980" i="13" s="1"/>
  <c r="N5166" i="13"/>
  <c r="J5165" i="13" a="1"/>
  <c r="J5165" i="13" s="1"/>
  <c r="K5001" i="14"/>
  <c r="L5001" i="14" s="1"/>
  <c r="I5002" i="14" s="1"/>
  <c r="M5168" i="13"/>
  <c r="J5164" i="14" a="1"/>
  <c r="J5164" i="14" s="1"/>
  <c r="N5165" i="14"/>
  <c r="M5169" i="14"/>
  <c r="K5002" i="14" l="1"/>
  <c r="L5002" i="14" s="1"/>
  <c r="I5003" i="14" s="1"/>
  <c r="K4980" i="13"/>
  <c r="L4980" i="13" s="1"/>
  <c r="I4981" i="13" s="1"/>
  <c r="M5170" i="14"/>
  <c r="M5169" i="13"/>
  <c r="J5166" i="13" a="1"/>
  <c r="J5166" i="13" s="1"/>
  <c r="N5167" i="13"/>
  <c r="J5165" i="14" a="1"/>
  <c r="J5165" i="14" s="1"/>
  <c r="N5166" i="14"/>
  <c r="K5003" i="14" l="1"/>
  <c r="L5003" i="14" s="1"/>
  <c r="I5004" i="14" s="1"/>
  <c r="N5167" i="14"/>
  <c r="J5166" i="14" a="1"/>
  <c r="J5166" i="14" s="1"/>
  <c r="K4981" i="13"/>
  <c r="L4981" i="13" s="1"/>
  <c r="I4982" i="13" s="1"/>
  <c r="M5170" i="13"/>
  <c r="N5168" i="13"/>
  <c r="J5167" i="13" a="1"/>
  <c r="J5167" i="13" s="1"/>
  <c r="M5171" i="14"/>
  <c r="K4982" i="13" l="1"/>
  <c r="L4982" i="13" s="1"/>
  <c r="I4983" i="13" s="1"/>
  <c r="K5004" i="14"/>
  <c r="L5004" i="14" s="1"/>
  <c r="I5005" i="14" s="1"/>
  <c r="M5171" i="13"/>
  <c r="M5172" i="14"/>
  <c r="N5168" i="14"/>
  <c r="J5167" i="14" a="1"/>
  <c r="J5167" i="14" s="1"/>
  <c r="J5168" i="13" a="1"/>
  <c r="J5168" i="13" s="1"/>
  <c r="N5169" i="13"/>
  <c r="K5005" i="14" l="1"/>
  <c r="L5005" i="14" s="1"/>
  <c r="I5006" i="14" s="1"/>
  <c r="K4983" i="13"/>
  <c r="L4983" i="13" s="1"/>
  <c r="I4984" i="13" s="1"/>
  <c r="M5173" i="14"/>
  <c r="N5170" i="13"/>
  <c r="J5169" i="13" a="1"/>
  <c r="J5169" i="13" s="1"/>
  <c r="J5168" i="14" a="1"/>
  <c r="J5168" i="14" s="1"/>
  <c r="N5169" i="14"/>
  <c r="M5172" i="13"/>
  <c r="K5006" i="14" l="1"/>
  <c r="L5006" i="14" s="1"/>
  <c r="I5007" i="14" s="1"/>
  <c r="J5170" i="13" a="1"/>
  <c r="J5170" i="13" s="1"/>
  <c r="N5171" i="13"/>
  <c r="M5173" i="13"/>
  <c r="K4984" i="13"/>
  <c r="L4984" i="13" s="1"/>
  <c r="I4985" i="13" s="1"/>
  <c r="J5169" i="14" a="1"/>
  <c r="J5169" i="14" s="1"/>
  <c r="N5170" i="14"/>
  <c r="M5174" i="14"/>
  <c r="K5007" i="14" l="1"/>
  <c r="L5007" i="14" s="1"/>
  <c r="I5008" i="14" s="1"/>
  <c r="K4985" i="13"/>
  <c r="L4985" i="13" s="1"/>
  <c r="I4986" i="13" s="1"/>
  <c r="M5175" i="14"/>
  <c r="N5172" i="13"/>
  <c r="J5171" i="13" a="1"/>
  <c r="J5171" i="13" s="1"/>
  <c r="J5170" i="14" a="1"/>
  <c r="J5170" i="14" s="1"/>
  <c r="N5171" i="14"/>
  <c r="M5174" i="13"/>
  <c r="K5008" i="14" l="1"/>
  <c r="L5008" i="14" s="1"/>
  <c r="I5009" i="14" s="1"/>
  <c r="M5175" i="13"/>
  <c r="J5172" i="13" a="1"/>
  <c r="J5172" i="13" s="1"/>
  <c r="N5173" i="13"/>
  <c r="K4986" i="13"/>
  <c r="L4986" i="13" s="1"/>
  <c r="I4987" i="13" s="1"/>
  <c r="N5172" i="14"/>
  <c r="J5171" i="14" a="1"/>
  <c r="J5171" i="14" s="1"/>
  <c r="M5176" i="14"/>
  <c r="K5009" i="14" l="1"/>
  <c r="L5009" i="14" s="1"/>
  <c r="I5010" i="14" s="1"/>
  <c r="J5172" i="14" a="1"/>
  <c r="J5172" i="14" s="1"/>
  <c r="N5173" i="14"/>
  <c r="M5177" i="14"/>
  <c r="K4987" i="13"/>
  <c r="L4987" i="13" s="1"/>
  <c r="I4988" i="13" s="1"/>
  <c r="M5176" i="13"/>
  <c r="N5174" i="13"/>
  <c r="J5173" i="13" a="1"/>
  <c r="J5173" i="13" s="1"/>
  <c r="K4988" i="13" l="1"/>
  <c r="L4988" i="13" s="1"/>
  <c r="I4989" i="13" s="1"/>
  <c r="K5010" i="14"/>
  <c r="L5010" i="14" s="1"/>
  <c r="I5011" i="14" s="1"/>
  <c r="J5173" i="14" a="1"/>
  <c r="J5173" i="14" s="1"/>
  <c r="N5174" i="14"/>
  <c r="J5174" i="13" a="1"/>
  <c r="J5174" i="13" s="1"/>
  <c r="N5175" i="13"/>
  <c r="M5177" i="13"/>
  <c r="M5178" i="14"/>
  <c r="K4989" i="13" l="1"/>
  <c r="L4989" i="13" s="1"/>
  <c r="I4990" i="13" s="1"/>
  <c r="N5176" i="13"/>
  <c r="J5175" i="13" a="1"/>
  <c r="J5175" i="13" s="1"/>
  <c r="K5011" i="14"/>
  <c r="L5011" i="14" s="1"/>
  <c r="I5012" i="14" s="1"/>
  <c r="M5179" i="14"/>
  <c r="N5175" i="14"/>
  <c r="J5174" i="14" a="1"/>
  <c r="J5174" i="14" s="1"/>
  <c r="M5178" i="13"/>
  <c r="K5012" i="14" l="1"/>
  <c r="L5012" i="14" s="1"/>
  <c r="I5013" i="14" s="1"/>
  <c r="K4990" i="13"/>
  <c r="L4990" i="13" s="1"/>
  <c r="I4991" i="13" s="1"/>
  <c r="J5176" i="13" a="1"/>
  <c r="J5176" i="13" s="1"/>
  <c r="N5177" i="13"/>
  <c r="M5179" i="13"/>
  <c r="M5180" i="14"/>
  <c r="N5176" i="14"/>
  <c r="J5175" i="14" a="1"/>
  <c r="J5175" i="14" s="1"/>
  <c r="K4991" i="13" l="1"/>
  <c r="L4991" i="13" s="1"/>
  <c r="I4992" i="13" s="1"/>
  <c r="K5013" i="14"/>
  <c r="L5013" i="14" s="1"/>
  <c r="I5014" i="14" s="1"/>
  <c r="J5176" i="14" a="1"/>
  <c r="J5176" i="14" s="1"/>
  <c r="N5177" i="14"/>
  <c r="M5180" i="13"/>
  <c r="N5178" i="13"/>
  <c r="J5177" i="13" a="1"/>
  <c r="J5177" i="13" s="1"/>
  <c r="M5181" i="14"/>
  <c r="K4992" i="13" l="1"/>
  <c r="L4992" i="13" s="1"/>
  <c r="I4993" i="13" s="1"/>
  <c r="J5178" i="13" a="1"/>
  <c r="J5178" i="13" s="1"/>
  <c r="N5179" i="13"/>
  <c r="M5182" i="14"/>
  <c r="M5181" i="13"/>
  <c r="K5014" i="14"/>
  <c r="L5014" i="14" s="1"/>
  <c r="I5015" i="14" s="1"/>
  <c r="J5177" i="14" a="1"/>
  <c r="J5177" i="14" s="1"/>
  <c r="N5178" i="14"/>
  <c r="K5015" i="14" l="1"/>
  <c r="L5015" i="14" s="1"/>
  <c r="I5016" i="14" s="1"/>
  <c r="K4993" i="13"/>
  <c r="L4993" i="13" s="1"/>
  <c r="I4994" i="13" s="1"/>
  <c r="N5180" i="13"/>
  <c r="J5179" i="13" a="1"/>
  <c r="J5179" i="13" s="1"/>
  <c r="M5182" i="13"/>
  <c r="J5178" i="14" a="1"/>
  <c r="J5178" i="14" s="1"/>
  <c r="N5179" i="14"/>
  <c r="M5183" i="14"/>
  <c r="K5016" i="14" l="1"/>
  <c r="L5016" i="14" s="1"/>
  <c r="I5017" i="14" s="1"/>
  <c r="M5183" i="13"/>
  <c r="M5184" i="14"/>
  <c r="K4994" i="13"/>
  <c r="L4994" i="13" s="1"/>
  <c r="I4995" i="13" s="1"/>
  <c r="N5180" i="14"/>
  <c r="J5179" i="14" a="1"/>
  <c r="J5179" i="14" s="1"/>
  <c r="J5180" i="13" a="1"/>
  <c r="J5180" i="13" s="1"/>
  <c r="N5181" i="13"/>
  <c r="K5017" i="14" l="1"/>
  <c r="L5017" i="14" s="1"/>
  <c r="I5018" i="14" s="1"/>
  <c r="N5182" i="13"/>
  <c r="J5181" i="13" a="1"/>
  <c r="J5181" i="13" s="1"/>
  <c r="M5184" i="13"/>
  <c r="K4995" i="13"/>
  <c r="L4995" i="13" s="1"/>
  <c r="I4996" i="13" s="1"/>
  <c r="J5180" i="14" a="1"/>
  <c r="J5180" i="14" s="1"/>
  <c r="N5181" i="14"/>
  <c r="M5185" i="14"/>
  <c r="K5018" i="14" l="1"/>
  <c r="L5018" i="14" s="1"/>
  <c r="I5019" i="14" s="1"/>
  <c r="J5181" i="14" a="1"/>
  <c r="J5181" i="14" s="1"/>
  <c r="N5182" i="14"/>
  <c r="J5182" i="13" a="1"/>
  <c r="J5182" i="13" s="1"/>
  <c r="N5183" i="13"/>
  <c r="M5186" i="14"/>
  <c r="M5185" i="13"/>
  <c r="K4996" i="13"/>
  <c r="L4996" i="13" s="1"/>
  <c r="I4997" i="13" s="1"/>
  <c r="K4997" i="13" l="1"/>
  <c r="L4997" i="13" s="1"/>
  <c r="I4998" i="13" s="1"/>
  <c r="K5019" i="14"/>
  <c r="L5019" i="14" s="1"/>
  <c r="I5020" i="14" s="1"/>
  <c r="M5187" i="14"/>
  <c r="N5183" i="14"/>
  <c r="J5182" i="14" a="1"/>
  <c r="J5182" i="14" s="1"/>
  <c r="M5186" i="13"/>
  <c r="N5184" i="13"/>
  <c r="J5183" i="13" a="1"/>
  <c r="J5183" i="13" s="1"/>
  <c r="K5020" i="14" l="1"/>
  <c r="L5020" i="14" s="1"/>
  <c r="I5021" i="14" s="1"/>
  <c r="K4998" i="13"/>
  <c r="L4998" i="13" s="1"/>
  <c r="I4999" i="13" s="1"/>
  <c r="N5184" i="14"/>
  <c r="J5183" i="14" a="1"/>
  <c r="J5183" i="14" s="1"/>
  <c r="M5187" i="13"/>
  <c r="J5184" i="13" a="1"/>
  <c r="J5184" i="13" s="1"/>
  <c r="N5185" i="13"/>
  <c r="M5188" i="14"/>
  <c r="K4999" i="13" l="1"/>
  <c r="L4999" i="13" s="1"/>
  <c r="I5000" i="13" s="1"/>
  <c r="K5021" i="14"/>
  <c r="L5021" i="14" s="1"/>
  <c r="I5022" i="14" s="1"/>
  <c r="N5186" i="13"/>
  <c r="J5185" i="13" a="1"/>
  <c r="J5185" i="13" s="1"/>
  <c r="M5189" i="14"/>
  <c r="M5188" i="13"/>
  <c r="J5184" i="14" a="1"/>
  <c r="J5184" i="14" s="1"/>
  <c r="N5185" i="14"/>
  <c r="K5022" i="14" l="1"/>
  <c r="L5022" i="14" s="1"/>
  <c r="I5023" i="14" s="1"/>
  <c r="J5185" i="14" a="1"/>
  <c r="J5185" i="14" s="1"/>
  <c r="N5186" i="14"/>
  <c r="M5190" i="14"/>
  <c r="M5189" i="13"/>
  <c r="J5186" i="13" a="1"/>
  <c r="J5186" i="13" s="1"/>
  <c r="N5187" i="13"/>
  <c r="K5000" i="13"/>
  <c r="L5000" i="13" s="1"/>
  <c r="I5001" i="13" s="1"/>
  <c r="K5001" i="13" l="1"/>
  <c r="L5001" i="13" s="1"/>
  <c r="I5002" i="13" s="1"/>
  <c r="K5023" i="14"/>
  <c r="L5023" i="14" s="1"/>
  <c r="I5024" i="14" s="1"/>
  <c r="J5186" i="14" a="1"/>
  <c r="J5186" i="14" s="1"/>
  <c r="N5187" i="14"/>
  <c r="M5190" i="13"/>
  <c r="N5188" i="13"/>
  <c r="J5187" i="13" a="1"/>
  <c r="J5187" i="13" s="1"/>
  <c r="M5191" i="14"/>
  <c r="K5002" i="13" l="1"/>
  <c r="L5002" i="13" s="1"/>
  <c r="I5003" i="13" s="1"/>
  <c r="M5192" i="14"/>
  <c r="M5191" i="13"/>
  <c r="K5024" i="14"/>
  <c r="L5024" i="14" s="1"/>
  <c r="I5025" i="14" s="1"/>
  <c r="N5188" i="14"/>
  <c r="J5187" i="14" a="1"/>
  <c r="J5187" i="14" s="1"/>
  <c r="J5188" i="13" a="1"/>
  <c r="J5188" i="13" s="1"/>
  <c r="N5189" i="13"/>
  <c r="K5003" i="13" l="1"/>
  <c r="L5003" i="13" s="1"/>
  <c r="I5004" i="13" s="1"/>
  <c r="N5190" i="13"/>
  <c r="J5189" i="13" a="1"/>
  <c r="J5189" i="13" s="1"/>
  <c r="K5025" i="14"/>
  <c r="L5025" i="14" s="1"/>
  <c r="I5026" i="14" s="1"/>
  <c r="M5193" i="14"/>
  <c r="J5188" i="14" a="1"/>
  <c r="J5188" i="14" s="1"/>
  <c r="N5189" i="14"/>
  <c r="M5192" i="13"/>
  <c r="K5026" i="14" l="1"/>
  <c r="L5026" i="14" s="1"/>
  <c r="I5027" i="14" s="1"/>
  <c r="K5004" i="13"/>
  <c r="L5004" i="13" s="1"/>
  <c r="I5005" i="13" s="1"/>
  <c r="M5194" i="14"/>
  <c r="M5193" i="13"/>
  <c r="J5190" i="13" a="1"/>
  <c r="J5190" i="13" s="1"/>
  <c r="N5191" i="13"/>
  <c r="J5189" i="14" a="1"/>
  <c r="J5189" i="14" s="1"/>
  <c r="N5190" i="14"/>
  <c r="K5005" i="13" l="1"/>
  <c r="L5005" i="13" s="1"/>
  <c r="I5006" i="13" s="1"/>
  <c r="K5027" i="14"/>
  <c r="L5027" i="14" s="1"/>
  <c r="I5028" i="14" s="1"/>
  <c r="N5191" i="14"/>
  <c r="J5190" i="14" a="1"/>
  <c r="J5190" i="14" s="1"/>
  <c r="M5194" i="13"/>
  <c r="N5192" i="13"/>
  <c r="J5191" i="13" a="1"/>
  <c r="J5191" i="13" s="1"/>
  <c r="M5195" i="14"/>
  <c r="K5006" i="13" l="1"/>
  <c r="L5006" i="13" s="1"/>
  <c r="I5007" i="13" s="1"/>
  <c r="J5192" i="13" a="1"/>
  <c r="J5192" i="13" s="1"/>
  <c r="N5193" i="13"/>
  <c r="M5195" i="13"/>
  <c r="K5028" i="14"/>
  <c r="L5028" i="14" s="1"/>
  <c r="I5029" i="14" s="1"/>
  <c r="M5196" i="14"/>
  <c r="N5192" i="14"/>
  <c r="J5191" i="14" a="1"/>
  <c r="J5191" i="14" s="1"/>
  <c r="K5007" i="13" l="1"/>
  <c r="L5007" i="13" s="1"/>
  <c r="I5008" i="13" s="1"/>
  <c r="N5194" i="13"/>
  <c r="J5193" i="13" a="1"/>
  <c r="J5193" i="13" s="1"/>
  <c r="K5029" i="14"/>
  <c r="L5029" i="14" s="1"/>
  <c r="I5030" i="14" s="1"/>
  <c r="J5192" i="14" a="1"/>
  <c r="J5192" i="14" s="1"/>
  <c r="N5193" i="14"/>
  <c r="M5197" i="14"/>
  <c r="M5196" i="13"/>
  <c r="K5030" i="14" l="1"/>
  <c r="L5030" i="14" s="1"/>
  <c r="I5031" i="14" s="1"/>
  <c r="K5008" i="13"/>
  <c r="L5008" i="13" s="1"/>
  <c r="I5009" i="13" s="1"/>
  <c r="J5193" i="14" a="1"/>
  <c r="J5193" i="14" s="1"/>
  <c r="N5194" i="14"/>
  <c r="M5197" i="13"/>
  <c r="J5194" i="13" a="1"/>
  <c r="J5194" i="13" s="1"/>
  <c r="N5195" i="13"/>
  <c r="M5198" i="14"/>
  <c r="K5009" i="13" l="1"/>
  <c r="L5009" i="13" s="1"/>
  <c r="I5010" i="13" s="1"/>
  <c r="K5031" i="14"/>
  <c r="L5031" i="14" s="1"/>
  <c r="I5032" i="14" s="1"/>
  <c r="N5196" i="13"/>
  <c r="J5195" i="13" a="1"/>
  <c r="J5195" i="13" s="1"/>
  <c r="M5199" i="14"/>
  <c r="M5198" i="13"/>
  <c r="J5194" i="14" a="1"/>
  <c r="J5194" i="14" s="1"/>
  <c r="N5195" i="14"/>
  <c r="K5010" i="13" l="1"/>
  <c r="L5010" i="13" s="1"/>
  <c r="I5011" i="13" s="1"/>
  <c r="M5199" i="13"/>
  <c r="N5196" i="14"/>
  <c r="J5195" i="14" a="1"/>
  <c r="J5195" i="14" s="1"/>
  <c r="M5200" i="14"/>
  <c r="K5032" i="14"/>
  <c r="L5032" i="14" s="1"/>
  <c r="I5033" i="14" s="1"/>
  <c r="J5196" i="13" a="1"/>
  <c r="J5196" i="13" s="1"/>
  <c r="N5197" i="13"/>
  <c r="K5033" i="14" l="1"/>
  <c r="L5033" i="14" s="1"/>
  <c r="I5034" i="14" s="1"/>
  <c r="K5011" i="13"/>
  <c r="L5011" i="13" s="1"/>
  <c r="I5012" i="13" s="1"/>
  <c r="N5198" i="13"/>
  <c r="J5197" i="13" a="1"/>
  <c r="J5197" i="13" s="1"/>
  <c r="M5201" i="14"/>
  <c r="M5200" i="13"/>
  <c r="J5196" i="14" a="1"/>
  <c r="J5196" i="14" s="1"/>
  <c r="N5197" i="14"/>
  <c r="K5034" i="14" l="1"/>
  <c r="L5034" i="14" s="1"/>
  <c r="I5035" i="14" s="1"/>
  <c r="J5197" i="14" a="1"/>
  <c r="J5197" i="14" s="1"/>
  <c r="N5198" i="14"/>
  <c r="K5012" i="13"/>
  <c r="L5012" i="13" s="1"/>
  <c r="I5013" i="13" s="1"/>
  <c r="M5202" i="14"/>
  <c r="M5201" i="13"/>
  <c r="J5198" i="13" a="1"/>
  <c r="J5198" i="13" s="1"/>
  <c r="N5199" i="13"/>
  <c r="K5013" i="13" l="1"/>
  <c r="L5013" i="13" s="1"/>
  <c r="I5014" i="13" s="1"/>
  <c r="K5035" i="14"/>
  <c r="L5035" i="14" s="1"/>
  <c r="I5036" i="14" s="1"/>
  <c r="N5200" i="13"/>
  <c r="J5199" i="13" a="1"/>
  <c r="J5199" i="13" s="1"/>
  <c r="M5203" i="14"/>
  <c r="N5199" i="14"/>
  <c r="J5198" i="14" a="1"/>
  <c r="J5198" i="14" s="1"/>
  <c r="M5202" i="13"/>
  <c r="K5036" i="14" l="1"/>
  <c r="L5036" i="14" s="1"/>
  <c r="I5037" i="14" s="1"/>
  <c r="K5014" i="13"/>
  <c r="L5014" i="13" s="1"/>
  <c r="I5015" i="13" s="1"/>
  <c r="M5203" i="13"/>
  <c r="M5204" i="14"/>
  <c r="N5200" i="14"/>
  <c r="J5199" i="14" a="1"/>
  <c r="J5199" i="14" s="1"/>
  <c r="J5200" i="13" a="1"/>
  <c r="J5200" i="13" s="1"/>
  <c r="N5201" i="13"/>
  <c r="K5015" i="13" l="1"/>
  <c r="L5015" i="13" s="1"/>
  <c r="I5016" i="13" s="1"/>
  <c r="K5037" i="14"/>
  <c r="L5037" i="14" s="1"/>
  <c r="I5038" i="14" s="1"/>
  <c r="N5202" i="13"/>
  <c r="J5201" i="13" a="1"/>
  <c r="J5201" i="13" s="1"/>
  <c r="M5205" i="14"/>
  <c r="J5200" i="14" a="1"/>
  <c r="J5200" i="14" s="1"/>
  <c r="N5201" i="14"/>
  <c r="M5204" i="13"/>
  <c r="K5016" i="13" l="1"/>
  <c r="L5016" i="13" s="1"/>
  <c r="I5017" i="13" s="1"/>
  <c r="M5205" i="13"/>
  <c r="M5206" i="14"/>
  <c r="K5038" i="14"/>
  <c r="L5038" i="14" s="1"/>
  <c r="I5039" i="14" s="1"/>
  <c r="J5201" i="14" a="1"/>
  <c r="J5201" i="14" s="1"/>
  <c r="N5202" i="14"/>
  <c r="J5202" i="13" a="1"/>
  <c r="J5202" i="13" s="1"/>
  <c r="N5203" i="13"/>
  <c r="K5017" i="13" l="1"/>
  <c r="L5017" i="13" s="1"/>
  <c r="I5018" i="13" s="1"/>
  <c r="N5204" i="13"/>
  <c r="J5203" i="13" a="1"/>
  <c r="J5203" i="13" s="1"/>
  <c r="K5039" i="14"/>
  <c r="L5039" i="14" s="1"/>
  <c r="I5040" i="14" s="1"/>
  <c r="M5206" i="13"/>
  <c r="M5207" i="14"/>
  <c r="J5202" i="14" a="1"/>
  <c r="J5202" i="14" s="1"/>
  <c r="N5203" i="14"/>
  <c r="K5040" i="14" l="1"/>
  <c r="L5040" i="14" s="1"/>
  <c r="I5041" i="14" s="1"/>
  <c r="K5018" i="13"/>
  <c r="L5018" i="13" s="1"/>
  <c r="I5019" i="13" s="1"/>
  <c r="N5204" i="14"/>
  <c r="J5203" i="14" a="1"/>
  <c r="J5203" i="14" s="1"/>
  <c r="M5207" i="13"/>
  <c r="J5204" i="13" a="1"/>
  <c r="J5204" i="13" s="1"/>
  <c r="N5205" i="13"/>
  <c r="M5208" i="14"/>
  <c r="K5041" i="14" l="1"/>
  <c r="L5041" i="14" s="1"/>
  <c r="I5042" i="14" s="1"/>
  <c r="N5206" i="13"/>
  <c r="J5205" i="13" a="1"/>
  <c r="J5205" i="13" s="1"/>
  <c r="M5209" i="14"/>
  <c r="M5208" i="13"/>
  <c r="K5019" i="13"/>
  <c r="L5019" i="13" s="1"/>
  <c r="I5020" i="13" s="1"/>
  <c r="J5204" i="14" a="1"/>
  <c r="J5204" i="14" s="1"/>
  <c r="N5205" i="14"/>
  <c r="K5020" i="13" l="1"/>
  <c r="L5020" i="13" s="1"/>
  <c r="I5021" i="13" s="1"/>
  <c r="K5042" i="14"/>
  <c r="L5042" i="14" s="1"/>
  <c r="I5043" i="14" s="1"/>
  <c r="J5205" i="14" a="1"/>
  <c r="J5205" i="14" s="1"/>
  <c r="N5206" i="14"/>
  <c r="M5209" i="13"/>
  <c r="J5206" i="13" a="1"/>
  <c r="J5206" i="13" s="1"/>
  <c r="N5207" i="13"/>
  <c r="M5210" i="14"/>
  <c r="K5021" i="13" l="1"/>
  <c r="L5021" i="13" s="1"/>
  <c r="I5022" i="13" s="1"/>
  <c r="N5208" i="13"/>
  <c r="J5207" i="13" a="1"/>
  <c r="J5207" i="13" s="1"/>
  <c r="M5211" i="14"/>
  <c r="M5210" i="13"/>
  <c r="K5043" i="14"/>
  <c r="L5043" i="14" s="1"/>
  <c r="I5044" i="14" s="1"/>
  <c r="N5207" i="14"/>
  <c r="J5206" i="14" a="1"/>
  <c r="J5206" i="14" s="1"/>
  <c r="K5044" i="14" l="1"/>
  <c r="L5044" i="14" s="1"/>
  <c r="I5045" i="14" s="1"/>
  <c r="K5022" i="13"/>
  <c r="L5022" i="13" s="1"/>
  <c r="I5023" i="13" s="1"/>
  <c r="J5208" i="13" a="1"/>
  <c r="J5208" i="13" s="1"/>
  <c r="N5209" i="13"/>
  <c r="M5211" i="13"/>
  <c r="N5208" i="14"/>
  <c r="J5207" i="14" a="1"/>
  <c r="J5207" i="14" s="1"/>
  <c r="M5212" i="14"/>
  <c r="K5023" i="13" l="1"/>
  <c r="L5023" i="13" s="1"/>
  <c r="I5024" i="13" s="1"/>
  <c r="K5045" i="14"/>
  <c r="L5045" i="14" s="1"/>
  <c r="I5046" i="14" s="1"/>
  <c r="M5213" i="14"/>
  <c r="M5212" i="13"/>
  <c r="N5210" i="13"/>
  <c r="J5209" i="13" a="1"/>
  <c r="J5209" i="13" s="1"/>
  <c r="J5208" i="14" a="1"/>
  <c r="J5208" i="14" s="1"/>
  <c r="N5209" i="14"/>
  <c r="K5046" i="14" l="1"/>
  <c r="L5046" i="14" s="1"/>
  <c r="I5047" i="14" s="1"/>
  <c r="J5209" i="14" a="1"/>
  <c r="J5209" i="14" s="1"/>
  <c r="N5210" i="14"/>
  <c r="M5213" i="13"/>
  <c r="M5214" i="14"/>
  <c r="J5210" i="13" a="1"/>
  <c r="J5210" i="13" s="1"/>
  <c r="N5211" i="13"/>
  <c r="K5024" i="13"/>
  <c r="L5024" i="13" s="1"/>
  <c r="I5025" i="13" s="1"/>
  <c r="K5047" i="14" l="1"/>
  <c r="L5047" i="14" s="1"/>
  <c r="I5048" i="14" s="1"/>
  <c r="N5212" i="13"/>
  <c r="J5211" i="13" a="1"/>
  <c r="J5211" i="13" s="1"/>
  <c r="M5215" i="14"/>
  <c r="J5210" i="14" a="1"/>
  <c r="J5210" i="14" s="1"/>
  <c r="N5211" i="14"/>
  <c r="K5025" i="13"/>
  <c r="L5025" i="13" s="1"/>
  <c r="I5026" i="13" s="1"/>
  <c r="M5214" i="13"/>
  <c r="K5026" i="13" l="1"/>
  <c r="L5026" i="13" s="1"/>
  <c r="I5027" i="13" s="1"/>
  <c r="K5048" i="14"/>
  <c r="L5048" i="14" s="1"/>
  <c r="I5049" i="14" s="1"/>
  <c r="N5212" i="14"/>
  <c r="J5211" i="14" a="1"/>
  <c r="J5211" i="14" s="1"/>
  <c r="J5212" i="13" a="1"/>
  <c r="J5212" i="13" s="1"/>
  <c r="N5213" i="13"/>
  <c r="M5215" i="13"/>
  <c r="M5216" i="14"/>
  <c r="K5027" i="13" l="1"/>
  <c r="L5027" i="13" s="1"/>
  <c r="I5028" i="13" s="1"/>
  <c r="M5217" i="14"/>
  <c r="N5214" i="13"/>
  <c r="J5213" i="13" a="1"/>
  <c r="J5213" i="13" s="1"/>
  <c r="K5049" i="14"/>
  <c r="L5049" i="14" s="1"/>
  <c r="I5050" i="14" s="1"/>
  <c r="M5216" i="13"/>
  <c r="J5212" i="14" a="1"/>
  <c r="J5212" i="14" s="1"/>
  <c r="N5213" i="14"/>
  <c r="K5028" i="13" l="1"/>
  <c r="L5028" i="13" s="1"/>
  <c r="I5029" i="13" s="1"/>
  <c r="J5213" i="14" a="1"/>
  <c r="J5213" i="14" s="1"/>
  <c r="N5214" i="14"/>
  <c r="K5050" i="14"/>
  <c r="L5050" i="14" s="1"/>
  <c r="I5051" i="14" s="1"/>
  <c r="M5218" i="14"/>
  <c r="M5217" i="13"/>
  <c r="J5214" i="13" a="1"/>
  <c r="J5214" i="13" s="1"/>
  <c r="N5215" i="13"/>
  <c r="K5051" i="14" l="1"/>
  <c r="L5051" i="14" s="1"/>
  <c r="I5052" i="14" s="1"/>
  <c r="K5029" i="13"/>
  <c r="L5029" i="13" s="1"/>
  <c r="I5030" i="13" s="1"/>
  <c r="N5216" i="13"/>
  <c r="J5215" i="13" a="1"/>
  <c r="J5215" i="13" s="1"/>
  <c r="M5219" i="14"/>
  <c r="N5215" i="14"/>
  <c r="J5214" i="14" a="1"/>
  <c r="J5214" i="14" s="1"/>
  <c r="M5218" i="13"/>
  <c r="K5052" i="14" l="1"/>
  <c r="L5052" i="14" s="1"/>
  <c r="I5053" i="14" s="1"/>
  <c r="M5220" i="14"/>
  <c r="N5216" i="14"/>
  <c r="J5215" i="14" a="1"/>
  <c r="J5215" i="14" s="1"/>
  <c r="M5219" i="13"/>
  <c r="K5030" i="13"/>
  <c r="L5030" i="13" s="1"/>
  <c r="I5031" i="13" s="1"/>
  <c r="J5216" i="13" a="1"/>
  <c r="J5216" i="13" s="1"/>
  <c r="N5217" i="13"/>
  <c r="K5053" i="14" l="1"/>
  <c r="L5053" i="14" s="1"/>
  <c r="I5054" i="14" s="1"/>
  <c r="K5031" i="13"/>
  <c r="L5031" i="13" s="1"/>
  <c r="I5032" i="13" s="1"/>
  <c r="N5218" i="13"/>
  <c r="J5217" i="13" a="1"/>
  <c r="J5217" i="13" s="1"/>
  <c r="M5220" i="13"/>
  <c r="M5221" i="14"/>
  <c r="J5216" i="14" a="1"/>
  <c r="J5216" i="14" s="1"/>
  <c r="N5217" i="14"/>
  <c r="K5054" i="14" l="1"/>
  <c r="L5054" i="14" s="1"/>
  <c r="I5055" i="14" s="1"/>
  <c r="J5217" i="14" a="1"/>
  <c r="J5217" i="14" s="1"/>
  <c r="N5218" i="14"/>
  <c r="M5221" i="13"/>
  <c r="K5032" i="13"/>
  <c r="L5032" i="13" s="1"/>
  <c r="I5033" i="13" s="1"/>
  <c r="M5222" i="14"/>
  <c r="J5218" i="13" a="1"/>
  <c r="J5218" i="13" s="1"/>
  <c r="N5219" i="13"/>
  <c r="K5033" i="13" l="1"/>
  <c r="L5033" i="13" s="1"/>
  <c r="I5034" i="13" s="1"/>
  <c r="K5055" i="14"/>
  <c r="L5055" i="14" s="1"/>
  <c r="I5056" i="14" s="1"/>
  <c r="N5220" i="13"/>
  <c r="J5219" i="13" a="1"/>
  <c r="J5219" i="13" s="1"/>
  <c r="J5218" i="14" a="1"/>
  <c r="J5218" i="14" s="1"/>
  <c r="N5219" i="14"/>
  <c r="M5223" i="14"/>
  <c r="M5222" i="13"/>
  <c r="K5034" i="13" l="1"/>
  <c r="L5034" i="13" s="1"/>
  <c r="I5035" i="13" s="1"/>
  <c r="N5220" i="14"/>
  <c r="J5219" i="14" a="1"/>
  <c r="J5219" i="14" s="1"/>
  <c r="K5056" i="14"/>
  <c r="L5056" i="14" s="1"/>
  <c r="I5057" i="14" s="1"/>
  <c r="M5223" i="13"/>
  <c r="M5224" i="14"/>
  <c r="J5220" i="13" a="1"/>
  <c r="J5220" i="13" s="1"/>
  <c r="N5221" i="13"/>
  <c r="K5057" i="14" l="1"/>
  <c r="L5057" i="14" s="1"/>
  <c r="I5058" i="14" s="1"/>
  <c r="K5035" i="13"/>
  <c r="L5035" i="13" s="1"/>
  <c r="I5036" i="13" s="1"/>
  <c r="J5220" i="14" a="1"/>
  <c r="J5220" i="14" s="1"/>
  <c r="N5221" i="14"/>
  <c r="N5222" i="13"/>
  <c r="J5221" i="13" a="1"/>
  <c r="J5221" i="13" s="1"/>
  <c r="M5224" i="13"/>
  <c r="M5225" i="14"/>
  <c r="K5058" i="14" l="1"/>
  <c r="L5058" i="14" s="1"/>
  <c r="I5059" i="14" s="1"/>
  <c r="J5221" i="14" a="1"/>
  <c r="J5221" i="14" s="1"/>
  <c r="N5222" i="14"/>
  <c r="J5222" i="13" a="1"/>
  <c r="J5222" i="13" s="1"/>
  <c r="N5223" i="13"/>
  <c r="K5036" i="13"/>
  <c r="L5036" i="13" s="1"/>
  <c r="I5037" i="13" s="1"/>
  <c r="M5226" i="14"/>
  <c r="M5225" i="13"/>
  <c r="K5059" i="14" l="1"/>
  <c r="L5059" i="14" s="1"/>
  <c r="I5060" i="14" s="1"/>
  <c r="M5226" i="13"/>
  <c r="M5227" i="14"/>
  <c r="N5223" i="14"/>
  <c r="J5222" i="14" a="1"/>
  <c r="J5222" i="14" s="1"/>
  <c r="N5224" i="13"/>
  <c r="J5223" i="13" a="1"/>
  <c r="J5223" i="13" s="1"/>
  <c r="K5037" i="13"/>
  <c r="L5037" i="13" s="1"/>
  <c r="I5038" i="13" s="1"/>
  <c r="K5038" i="13" l="1"/>
  <c r="L5038" i="13" s="1"/>
  <c r="I5039" i="13" s="1"/>
  <c r="K5060" i="14"/>
  <c r="L5060" i="14" s="1"/>
  <c r="I5061" i="14" s="1"/>
  <c r="M5227" i="13"/>
  <c r="N5224" i="14"/>
  <c r="J5223" i="14" a="1"/>
  <c r="J5223" i="14" s="1"/>
  <c r="J5224" i="13" a="1"/>
  <c r="J5224" i="13" s="1"/>
  <c r="N5225" i="13"/>
  <c r="M5228" i="14"/>
  <c r="K5039" i="13" l="1"/>
  <c r="L5039" i="13" s="1"/>
  <c r="I5040" i="13" s="1"/>
  <c r="N5226" i="13"/>
  <c r="J5225" i="13" a="1"/>
  <c r="J5225" i="13" s="1"/>
  <c r="J5224" i="14" a="1"/>
  <c r="J5224" i="14" s="1"/>
  <c r="N5225" i="14"/>
  <c r="K5061" i="14"/>
  <c r="L5061" i="14" s="1"/>
  <c r="I5062" i="14" s="1"/>
  <c r="M5229" i="14"/>
  <c r="M5228" i="13"/>
  <c r="K5062" i="14" l="1"/>
  <c r="L5062" i="14" s="1"/>
  <c r="I5063" i="14" s="1"/>
  <c r="K5040" i="13"/>
  <c r="L5040" i="13" s="1"/>
  <c r="I5041" i="13" s="1"/>
  <c r="J5226" i="13" a="1"/>
  <c r="J5226" i="13" s="1"/>
  <c r="N5227" i="13"/>
  <c r="M5229" i="13"/>
  <c r="M5230" i="14"/>
  <c r="J5225" i="14" a="1"/>
  <c r="J5225" i="14" s="1"/>
  <c r="N5226" i="14"/>
  <c r="K5063" i="14" l="1"/>
  <c r="L5063" i="14" s="1"/>
  <c r="I5064" i="14" s="1"/>
  <c r="J5226" i="14" a="1"/>
  <c r="J5226" i="14" s="1"/>
  <c r="N5227" i="14"/>
  <c r="M5230" i="13"/>
  <c r="K5041" i="13"/>
  <c r="L5041" i="13" s="1"/>
  <c r="I5042" i="13" s="1"/>
  <c r="M5231" i="14"/>
  <c r="N5228" i="13"/>
  <c r="J5227" i="13" a="1"/>
  <c r="J5227" i="13" s="1"/>
  <c r="K5042" i="13" l="1"/>
  <c r="L5042" i="13" s="1"/>
  <c r="I5043" i="13" s="1"/>
  <c r="K5064" i="14"/>
  <c r="L5064" i="14" s="1"/>
  <c r="I5065" i="14" s="1"/>
  <c r="N5228" i="14"/>
  <c r="J5227" i="14" a="1"/>
  <c r="J5227" i="14" s="1"/>
  <c r="J5228" i="13" a="1"/>
  <c r="J5228" i="13" s="1"/>
  <c r="N5229" i="13"/>
  <c r="M5231" i="13"/>
  <c r="M5232" i="14"/>
  <c r="K5065" i="14" l="1"/>
  <c r="L5065" i="14" s="1"/>
  <c r="I5066" i="14" s="1"/>
  <c r="K5043" i="13"/>
  <c r="L5043" i="13" s="1"/>
  <c r="I5044" i="13" s="1"/>
  <c r="M5232" i="13"/>
  <c r="N5230" i="13"/>
  <c r="J5229" i="13" a="1"/>
  <c r="J5229" i="13" s="1"/>
  <c r="M5233" i="14"/>
  <c r="J5228" i="14" a="1"/>
  <c r="J5228" i="14" s="1"/>
  <c r="N5229" i="14"/>
  <c r="K5044" i="13" l="1"/>
  <c r="L5044" i="13" s="1"/>
  <c r="I5045" i="13" s="1"/>
  <c r="K5066" i="14"/>
  <c r="L5066" i="14" s="1"/>
  <c r="I5067" i="14" s="1"/>
  <c r="J5230" i="13" a="1"/>
  <c r="J5230" i="13" s="1"/>
  <c r="N5231" i="13"/>
  <c r="J5229" i="14" a="1"/>
  <c r="J5229" i="14" s="1"/>
  <c r="N5230" i="14"/>
  <c r="M5233" i="13"/>
  <c r="M5234" i="14"/>
  <c r="K5067" i="14" l="1"/>
  <c r="L5067" i="14" s="1"/>
  <c r="I5068" i="14" s="1"/>
  <c r="K5045" i="13"/>
  <c r="L5045" i="13" s="1"/>
  <c r="I5046" i="13" s="1"/>
  <c r="M5234" i="13"/>
  <c r="M5235" i="14"/>
  <c r="N5231" i="14"/>
  <c r="J5230" i="14" a="1"/>
  <c r="J5230" i="14" s="1"/>
  <c r="N5232" i="13"/>
  <c r="J5231" i="13" a="1"/>
  <c r="J5231" i="13" s="1"/>
  <c r="K5068" i="14" l="1"/>
  <c r="L5068" i="14" s="1"/>
  <c r="I5069" i="14" s="1"/>
  <c r="J5232" i="13" a="1"/>
  <c r="J5232" i="13" s="1"/>
  <c r="N5233" i="13"/>
  <c r="M5236" i="14"/>
  <c r="K5046" i="13"/>
  <c r="L5046" i="13" s="1"/>
  <c r="I5047" i="13" s="1"/>
  <c r="M5235" i="13"/>
  <c r="N5232" i="14"/>
  <c r="J5231" i="14" a="1"/>
  <c r="J5231" i="14" s="1"/>
  <c r="K5047" i="13" l="1"/>
  <c r="L5047" i="13" s="1"/>
  <c r="I5048" i="13" s="1"/>
  <c r="K5069" i="14"/>
  <c r="L5069" i="14" s="1"/>
  <c r="I5070" i="14" s="1"/>
  <c r="N5234" i="13"/>
  <c r="J5233" i="13" a="1"/>
  <c r="J5233" i="13" s="1"/>
  <c r="J5232" i="14" a="1"/>
  <c r="J5232" i="14" s="1"/>
  <c r="N5233" i="14"/>
  <c r="M5236" i="13"/>
  <c r="M5237" i="14"/>
  <c r="K5048" i="13" l="1"/>
  <c r="L5048" i="13" s="1"/>
  <c r="I5049" i="13" s="1"/>
  <c r="M5238" i="14"/>
  <c r="J5233" i="14" a="1"/>
  <c r="J5233" i="14" s="1"/>
  <c r="N5234" i="14"/>
  <c r="K5070" i="14"/>
  <c r="L5070" i="14" s="1"/>
  <c r="I5071" i="14" s="1"/>
  <c r="M5237" i="13"/>
  <c r="J5234" i="13" a="1"/>
  <c r="J5234" i="13" s="1"/>
  <c r="N5235" i="13"/>
  <c r="K5049" i="13" l="1"/>
  <c r="L5049" i="13" s="1"/>
  <c r="I5050" i="13" s="1"/>
  <c r="N5236" i="13"/>
  <c r="J5235" i="13" a="1"/>
  <c r="J5235" i="13" s="1"/>
  <c r="M5239" i="14"/>
  <c r="K5071" i="14"/>
  <c r="L5071" i="14" s="1"/>
  <c r="I5072" i="14" s="1"/>
  <c r="J5234" i="14" a="1"/>
  <c r="J5234" i="14" s="1"/>
  <c r="N5235" i="14"/>
  <c r="M5238" i="13"/>
  <c r="K5050" i="13" l="1"/>
  <c r="L5050" i="13" s="1"/>
  <c r="I5051" i="13" s="1"/>
  <c r="M5239" i="13"/>
  <c r="K5072" i="14"/>
  <c r="L5072" i="14" s="1"/>
  <c r="I5073" i="14" s="1"/>
  <c r="J5236" i="13" a="1"/>
  <c r="J5236" i="13" s="1"/>
  <c r="N5237" i="13"/>
  <c r="N5236" i="14"/>
  <c r="J5235" i="14" a="1"/>
  <c r="J5235" i="14" s="1"/>
  <c r="M5240" i="14"/>
  <c r="K5073" i="14" l="1"/>
  <c r="L5073" i="14" s="1"/>
  <c r="I5074" i="14" s="1"/>
  <c r="K5051" i="13"/>
  <c r="L5051" i="13" s="1"/>
  <c r="I5052" i="13" s="1"/>
  <c r="M5241" i="14"/>
  <c r="N5238" i="13"/>
  <c r="J5237" i="13" a="1"/>
  <c r="J5237" i="13" s="1"/>
  <c r="M5240" i="13"/>
  <c r="J5236" i="14" a="1"/>
  <c r="J5236" i="14" s="1"/>
  <c r="N5237" i="14"/>
  <c r="K5052" i="13" l="1"/>
  <c r="L5052" i="13" s="1"/>
  <c r="I5053" i="13" s="1"/>
  <c r="J5237" i="14" a="1"/>
  <c r="J5237" i="14" s="1"/>
  <c r="N5238" i="14"/>
  <c r="J5238" i="13" a="1"/>
  <c r="J5238" i="13" s="1"/>
  <c r="N5239" i="13"/>
  <c r="M5241" i="13"/>
  <c r="M5242" i="14"/>
  <c r="K5074" i="14"/>
  <c r="L5074" i="14" s="1"/>
  <c r="I5075" i="14" s="1"/>
  <c r="K5053" i="13" l="1"/>
  <c r="L5053" i="13" s="1"/>
  <c r="I5054" i="13" s="1"/>
  <c r="K5075" i="14"/>
  <c r="L5075" i="14" s="1"/>
  <c r="I5076" i="14" s="1"/>
  <c r="M5242" i="13"/>
  <c r="N5239" i="14"/>
  <c r="J5238" i="14" a="1"/>
  <c r="J5238" i="14" s="1"/>
  <c r="M5243" i="14"/>
  <c r="N5240" i="13"/>
  <c r="J5239" i="13" a="1"/>
  <c r="J5239" i="13" s="1"/>
  <c r="K5054" i="13" l="1"/>
  <c r="L5054" i="13" s="1"/>
  <c r="I5055" i="13" s="1"/>
  <c r="N5240" i="14"/>
  <c r="J5239" i="14" a="1"/>
  <c r="J5239" i="14" s="1"/>
  <c r="J5240" i="13" a="1"/>
  <c r="J5240" i="13" s="1"/>
  <c r="N5241" i="13"/>
  <c r="K5076" i="14"/>
  <c r="L5076" i="14" s="1"/>
  <c r="I5077" i="14" s="1"/>
  <c r="M5243" i="13"/>
  <c r="M5244" i="14"/>
  <c r="K5077" i="14" l="1"/>
  <c r="L5077" i="14" s="1"/>
  <c r="I5078" i="14" s="1"/>
  <c r="K5055" i="13"/>
  <c r="L5055" i="13" s="1"/>
  <c r="I5056" i="13" s="1"/>
  <c r="M5245" i="14"/>
  <c r="J5240" i="14" a="1"/>
  <c r="J5240" i="14" s="1"/>
  <c r="N5241" i="14"/>
  <c r="N5242" i="13"/>
  <c r="J5241" i="13" a="1"/>
  <c r="J5241" i="13" s="1"/>
  <c r="M5244" i="13"/>
  <c r="K5056" i="13" l="1"/>
  <c r="L5056" i="13" s="1"/>
  <c r="I5057" i="13" s="1"/>
  <c r="K5078" i="14"/>
  <c r="L5078" i="14" s="1"/>
  <c r="I5079" i="14" s="1"/>
  <c r="J5241" i="14" a="1"/>
  <c r="J5241" i="14" s="1"/>
  <c r="N5242" i="14"/>
  <c r="M5245" i="13"/>
  <c r="M5246" i="14"/>
  <c r="J5242" i="13" a="1"/>
  <c r="J5242" i="13" s="1"/>
  <c r="N5243" i="13"/>
  <c r="K5079" i="14" l="1"/>
  <c r="L5079" i="14" s="1"/>
  <c r="I5080" i="14" s="1"/>
  <c r="K5057" i="13"/>
  <c r="L5057" i="13" s="1"/>
  <c r="I5058" i="13" s="1"/>
  <c r="N5244" i="13"/>
  <c r="J5243" i="13" a="1"/>
  <c r="J5243" i="13" s="1"/>
  <c r="M5247" i="14"/>
  <c r="M5246" i="13"/>
  <c r="J5242" i="14" a="1"/>
  <c r="J5242" i="14" s="1"/>
  <c r="N5243" i="14"/>
  <c r="K5080" i="14" l="1"/>
  <c r="L5080" i="14" s="1"/>
  <c r="I5081" i="14" s="1"/>
  <c r="N5244" i="14"/>
  <c r="J5243" i="14" a="1"/>
  <c r="J5243" i="14" s="1"/>
  <c r="M5248" i="14"/>
  <c r="K5058" i="13"/>
  <c r="L5058" i="13" s="1"/>
  <c r="I5059" i="13" s="1"/>
  <c r="M5247" i="13"/>
  <c r="J5244" i="13" a="1"/>
  <c r="J5244" i="13" s="1"/>
  <c r="N5245" i="13"/>
  <c r="K5059" i="13" l="1"/>
  <c r="L5059" i="13" s="1"/>
  <c r="I5060" i="13" s="1"/>
  <c r="K5081" i="14"/>
  <c r="L5081" i="14" s="1"/>
  <c r="I5082" i="14" s="1"/>
  <c r="N5246" i="13"/>
  <c r="J5245" i="13" a="1"/>
  <c r="J5245" i="13" s="1"/>
  <c r="J5244" i="14" a="1"/>
  <c r="J5244" i="14" s="1"/>
  <c r="N5245" i="14"/>
  <c r="M5248" i="13"/>
  <c r="M5249" i="14"/>
  <c r="K5082" i="14" l="1"/>
  <c r="L5082" i="14" s="1"/>
  <c r="I5083" i="14" s="1"/>
  <c r="K5060" i="13"/>
  <c r="L5060" i="13" s="1"/>
  <c r="I5061" i="13" s="1"/>
  <c r="J5245" i="14" a="1"/>
  <c r="J5245" i="14" s="1"/>
  <c r="N5246" i="14"/>
  <c r="M5250" i="14"/>
  <c r="M5249" i="13"/>
  <c r="J5246" i="13" a="1"/>
  <c r="J5246" i="13" s="1"/>
  <c r="N5247" i="13"/>
  <c r="N5248" i="13" l="1"/>
  <c r="J5247" i="13" a="1"/>
  <c r="J5247" i="13" s="1"/>
  <c r="M5251" i="14"/>
  <c r="M5250" i="13"/>
  <c r="K5061" i="13"/>
  <c r="L5061" i="13" s="1"/>
  <c r="I5062" i="13" s="1"/>
  <c r="N5247" i="14"/>
  <c r="J5246" i="14" a="1"/>
  <c r="J5246" i="14" s="1"/>
  <c r="K5083" i="14"/>
  <c r="L5083" i="14" s="1"/>
  <c r="I5084" i="14" s="1"/>
  <c r="M5251" i="13" l="1"/>
  <c r="K5062" i="13"/>
  <c r="L5062" i="13" s="1"/>
  <c r="I5063" i="13" s="1"/>
  <c r="M5252" i="14"/>
  <c r="K5084" i="14"/>
  <c r="L5084" i="14" s="1"/>
  <c r="I5085" i="14" s="1"/>
  <c r="N5248" i="14"/>
  <c r="J5247" i="14" a="1"/>
  <c r="J5247" i="14" s="1"/>
  <c r="J5248" i="13" a="1"/>
  <c r="J5248" i="13" s="1"/>
  <c r="N5249" i="13"/>
  <c r="K5085" i="14" l="1"/>
  <c r="L5085" i="14" s="1"/>
  <c r="I5086" i="14" s="1"/>
  <c r="N5250" i="13"/>
  <c r="J5249" i="13" a="1"/>
  <c r="J5249" i="13" s="1"/>
  <c r="K5063" i="13"/>
  <c r="L5063" i="13" s="1"/>
  <c r="I5064" i="13" s="1"/>
  <c r="J5248" i="14" a="1"/>
  <c r="J5248" i="14" s="1"/>
  <c r="N5249" i="14"/>
  <c r="M5253" i="14"/>
  <c r="M5252" i="13"/>
  <c r="K5064" i="13" l="1"/>
  <c r="L5064" i="13" s="1"/>
  <c r="I5065" i="13" s="1"/>
  <c r="K5086" i="14"/>
  <c r="L5086" i="14" s="1"/>
  <c r="I5087" i="14" s="1"/>
  <c r="J5249" i="14" a="1"/>
  <c r="J5249" i="14" s="1"/>
  <c r="N5250" i="14"/>
  <c r="M5253" i="13"/>
  <c r="J5250" i="13" a="1"/>
  <c r="J5250" i="13" s="1"/>
  <c r="N5251" i="13"/>
  <c r="M5254" i="14"/>
  <c r="K5087" i="14" l="1"/>
  <c r="L5087" i="14" s="1"/>
  <c r="I5088" i="14" s="1"/>
  <c r="K5065" i="13"/>
  <c r="L5065" i="13" s="1"/>
  <c r="I5066" i="13" s="1"/>
  <c r="J5250" i="14" a="1"/>
  <c r="J5250" i="14" s="1"/>
  <c r="N5251" i="14"/>
  <c r="M5255" i="14"/>
  <c r="M5254" i="13"/>
  <c r="N5252" i="13"/>
  <c r="J5251" i="13" a="1"/>
  <c r="J5251" i="13" s="1"/>
  <c r="K5066" i="13" l="1"/>
  <c r="L5066" i="13" s="1"/>
  <c r="I5067" i="13" s="1"/>
  <c r="K5088" i="14"/>
  <c r="L5088" i="14" s="1"/>
  <c r="I5089" i="14" s="1"/>
  <c r="M5255" i="13"/>
  <c r="J5252" i="13" a="1"/>
  <c r="J5252" i="13" s="1"/>
  <c r="N5253" i="13"/>
  <c r="M5256" i="14"/>
  <c r="N5252" i="14"/>
  <c r="J5251" i="14" a="1"/>
  <c r="J5251" i="14" s="1"/>
  <c r="K5089" i="14" l="1"/>
  <c r="L5089" i="14" s="1"/>
  <c r="I5090" i="14" s="1"/>
  <c r="K5067" i="13"/>
  <c r="L5067" i="13" s="1"/>
  <c r="I5068" i="13" s="1"/>
  <c r="N5254" i="13"/>
  <c r="J5253" i="13" a="1"/>
  <c r="J5253" i="13" s="1"/>
  <c r="J5252" i="14" a="1"/>
  <c r="J5252" i="14" s="1"/>
  <c r="N5253" i="14"/>
  <c r="M5257" i="14"/>
  <c r="M5256" i="13"/>
  <c r="K5068" i="13" l="1"/>
  <c r="L5068" i="13" s="1"/>
  <c r="I5069" i="13" s="1"/>
  <c r="K5090" i="14"/>
  <c r="L5090" i="14" s="1"/>
  <c r="I5091" i="14" s="1"/>
  <c r="J5253" i="14" a="1"/>
  <c r="J5253" i="14" s="1"/>
  <c r="N5254" i="14"/>
  <c r="M5257" i="13"/>
  <c r="M5258" i="14"/>
  <c r="J5254" i="13" a="1"/>
  <c r="J5254" i="13" s="1"/>
  <c r="N5255" i="13"/>
  <c r="K5091" i="14" l="1"/>
  <c r="L5091" i="14" s="1"/>
  <c r="I5092" i="14" s="1"/>
  <c r="K5069" i="13"/>
  <c r="L5069" i="13" s="1"/>
  <c r="I5070" i="13" s="1"/>
  <c r="M5259" i="14"/>
  <c r="N5256" i="13"/>
  <c r="J5255" i="13" a="1"/>
  <c r="J5255" i="13" s="1"/>
  <c r="M5258" i="13"/>
  <c r="N5255" i="14"/>
  <c r="J5254" i="14" a="1"/>
  <c r="J5254" i="14" s="1"/>
  <c r="K5070" i="13" l="1"/>
  <c r="L5070" i="13" s="1"/>
  <c r="I5071" i="13" s="1"/>
  <c r="J5256" i="13" a="1"/>
  <c r="J5256" i="13" s="1"/>
  <c r="N5257" i="13"/>
  <c r="N5256" i="14"/>
  <c r="J5255" i="14" a="1"/>
  <c r="J5255" i="14" s="1"/>
  <c r="M5259" i="13"/>
  <c r="M5260" i="14"/>
  <c r="K5092" i="14"/>
  <c r="L5092" i="14" s="1"/>
  <c r="I5093" i="14" s="1"/>
  <c r="K5071" i="13" l="1"/>
  <c r="L5071" i="13" s="1"/>
  <c r="I5072" i="13" s="1"/>
  <c r="N5258" i="13"/>
  <c r="J5257" i="13" a="1"/>
  <c r="J5257" i="13" s="1"/>
  <c r="K5093" i="14"/>
  <c r="L5093" i="14" s="1"/>
  <c r="I5094" i="14" s="1"/>
  <c r="M5260" i="13"/>
  <c r="M5261" i="14"/>
  <c r="J5256" i="14" a="1"/>
  <c r="J5256" i="14" s="1"/>
  <c r="N5257" i="14"/>
  <c r="K5072" i="13" l="1"/>
  <c r="L5072" i="13" s="1"/>
  <c r="I5073" i="13" s="1"/>
  <c r="K5094" i="14"/>
  <c r="L5094" i="14" s="1"/>
  <c r="I5095" i="14" s="1"/>
  <c r="J5257" i="14" a="1"/>
  <c r="J5257" i="14" s="1"/>
  <c r="N5258" i="14"/>
  <c r="M5261" i="13"/>
  <c r="J5258" i="13" a="1"/>
  <c r="J5258" i="13" s="1"/>
  <c r="N5259" i="13"/>
  <c r="M5262" i="14"/>
  <c r="K5095" i="14" l="1"/>
  <c r="L5095" i="14" s="1"/>
  <c r="I5096" i="14" s="1"/>
  <c r="K5073" i="13"/>
  <c r="L5073" i="13" s="1"/>
  <c r="I5074" i="13" s="1"/>
  <c r="J5258" i="14" a="1"/>
  <c r="J5258" i="14" s="1"/>
  <c r="N5259" i="14"/>
  <c r="N5260" i="13"/>
  <c r="J5259" i="13" a="1"/>
  <c r="J5259" i="13" s="1"/>
  <c r="M5263" i="14"/>
  <c r="M5262" i="13"/>
  <c r="K5074" i="13" l="1"/>
  <c r="L5074" i="13" s="1"/>
  <c r="I5075" i="13" s="1"/>
  <c r="K5096" i="14"/>
  <c r="L5096" i="14" s="1"/>
  <c r="I5097" i="14" s="1"/>
  <c r="N5260" i="14"/>
  <c r="J5259" i="14" a="1"/>
  <c r="J5259" i="14" s="1"/>
  <c r="M5264" i="14"/>
  <c r="M5263" i="13"/>
  <c r="J5260" i="13" a="1"/>
  <c r="J5260" i="13" s="1"/>
  <c r="N5261" i="13"/>
  <c r="K5097" i="14" l="1"/>
  <c r="L5097" i="14" s="1"/>
  <c r="I5098" i="14" s="1"/>
  <c r="K5075" i="13"/>
  <c r="L5075" i="13" s="1"/>
  <c r="I5076" i="13" s="1"/>
  <c r="M5265" i="14"/>
  <c r="N5262" i="13"/>
  <c r="J5261" i="13" a="1"/>
  <c r="J5261" i="13" s="1"/>
  <c r="M5264" i="13"/>
  <c r="J5260" i="14" a="1"/>
  <c r="J5260" i="14" s="1"/>
  <c r="N5261" i="14"/>
  <c r="K5076" i="13" l="1"/>
  <c r="L5076" i="13" s="1"/>
  <c r="I5077" i="13" s="1"/>
  <c r="K5098" i="14"/>
  <c r="L5098" i="14" s="1"/>
  <c r="I5099" i="14" s="1"/>
  <c r="J5261" i="14" a="1"/>
  <c r="J5261" i="14" s="1"/>
  <c r="N5262" i="14"/>
  <c r="J5262" i="13" a="1"/>
  <c r="J5262" i="13" s="1"/>
  <c r="N5263" i="13"/>
  <c r="M5265" i="13"/>
  <c r="M5266" i="14"/>
  <c r="K5077" i="13" l="1"/>
  <c r="L5077" i="13" s="1"/>
  <c r="I5078" i="13" s="1"/>
  <c r="N5264" i="13"/>
  <c r="J5263" i="13" a="1"/>
  <c r="J5263" i="13" s="1"/>
  <c r="M5267" i="14"/>
  <c r="K5099" i="14"/>
  <c r="L5099" i="14" s="1"/>
  <c r="I5100" i="14" s="1"/>
  <c r="N5263" i="14"/>
  <c r="J5262" i="14" a="1"/>
  <c r="J5262" i="14" s="1"/>
  <c r="M5266" i="13"/>
  <c r="K5100" i="14" l="1"/>
  <c r="L5100" i="14" s="1"/>
  <c r="I5101" i="14" s="1"/>
  <c r="K5078" i="13"/>
  <c r="L5078" i="13" s="1"/>
  <c r="I5079" i="13" s="1"/>
  <c r="J5264" i="13" a="1"/>
  <c r="J5264" i="13" s="1"/>
  <c r="N5265" i="13"/>
  <c r="M5267" i="13"/>
  <c r="N5264" i="14"/>
  <c r="J5263" i="14" a="1"/>
  <c r="J5263" i="14" s="1"/>
  <c r="M5268" i="14"/>
  <c r="K5079" i="13" l="1"/>
  <c r="L5079" i="13" s="1"/>
  <c r="I5080" i="13" s="1"/>
  <c r="K5101" i="14"/>
  <c r="L5101" i="14" s="1"/>
  <c r="I5102" i="14" s="1"/>
  <c r="M5269" i="14"/>
  <c r="M5268" i="13"/>
  <c r="N5266" i="13"/>
  <c r="J5265" i="13" a="1"/>
  <c r="J5265" i="13" s="1"/>
  <c r="J5264" i="14" a="1"/>
  <c r="J5264" i="14" s="1"/>
  <c r="N5265" i="14"/>
  <c r="K5102" i="14" l="1"/>
  <c r="L5102" i="14" s="1"/>
  <c r="I5103" i="14" s="1"/>
  <c r="K5080" i="13"/>
  <c r="L5080" i="13" s="1"/>
  <c r="I5081" i="13" s="1"/>
  <c r="J5265" i="14" a="1"/>
  <c r="J5265" i="14" s="1"/>
  <c r="N5266" i="14"/>
  <c r="M5269" i="13"/>
  <c r="M5270" i="14"/>
  <c r="J5266" i="13" a="1"/>
  <c r="J5266" i="13" s="1"/>
  <c r="N5267" i="13"/>
  <c r="K5103" i="14" l="1"/>
  <c r="L5103" i="14" s="1"/>
  <c r="I5104" i="14" s="1"/>
  <c r="N5268" i="13"/>
  <c r="J5267" i="13" a="1"/>
  <c r="J5267" i="13" s="1"/>
  <c r="K5081" i="13"/>
  <c r="L5081" i="13" s="1"/>
  <c r="I5082" i="13" s="1"/>
  <c r="M5270" i="13"/>
  <c r="M5271" i="14"/>
  <c r="J5266" i="14" a="1"/>
  <c r="J5266" i="14" s="1"/>
  <c r="N5267" i="14"/>
  <c r="K5082" i="13" l="1"/>
  <c r="L5082" i="13" s="1"/>
  <c r="I5083" i="13" s="1"/>
  <c r="K5104" i="14"/>
  <c r="L5104" i="14" s="1"/>
  <c r="I5105" i="14" s="1"/>
  <c r="N5268" i="14"/>
  <c r="J5267" i="14" a="1"/>
  <c r="J5267" i="14" s="1"/>
  <c r="M5271" i="13"/>
  <c r="J5268" i="13" a="1"/>
  <c r="J5268" i="13" s="1"/>
  <c r="N5269" i="13"/>
  <c r="M5272" i="14"/>
  <c r="K5105" i="14" l="1"/>
  <c r="L5105" i="14" s="1"/>
  <c r="I5106" i="14" s="1"/>
  <c r="K5083" i="13"/>
  <c r="L5083" i="13" s="1"/>
  <c r="I5084" i="13" s="1"/>
  <c r="M5273" i="14"/>
  <c r="M5272" i="13"/>
  <c r="N5270" i="13"/>
  <c r="J5269" i="13" a="1"/>
  <c r="J5269" i="13" s="1"/>
  <c r="J5268" i="14" a="1"/>
  <c r="J5268" i="14" s="1"/>
  <c r="N5269" i="14"/>
  <c r="K5106" i="14" l="1"/>
  <c r="L5106" i="14" s="1"/>
  <c r="I5107" i="14" s="1"/>
  <c r="J5269" i="14" a="1"/>
  <c r="J5269" i="14" s="1"/>
  <c r="N5270" i="14"/>
  <c r="M5273" i="13"/>
  <c r="K5084" i="13"/>
  <c r="L5084" i="13" s="1"/>
  <c r="I5085" i="13" s="1"/>
  <c r="J5270" i="13" a="1"/>
  <c r="J5270" i="13" s="1"/>
  <c r="N5271" i="13"/>
  <c r="M5274" i="14"/>
  <c r="K5107" i="14" l="1"/>
  <c r="L5107" i="14" s="1"/>
  <c r="I5108" i="14" s="1"/>
  <c r="K5085" i="13"/>
  <c r="L5085" i="13" s="1"/>
  <c r="I5086" i="13" s="1"/>
  <c r="M5275" i="14"/>
  <c r="N5271" i="14"/>
  <c r="J5270" i="14" a="1"/>
  <c r="J5270" i="14" s="1"/>
  <c r="N5272" i="13"/>
  <c r="J5271" i="13" a="1"/>
  <c r="J5271" i="13" s="1"/>
  <c r="M5274" i="13"/>
  <c r="K5108" i="14" l="1"/>
  <c r="L5108" i="14" s="1"/>
  <c r="I5109" i="14" s="1"/>
  <c r="N5272" i="14"/>
  <c r="J5271" i="14" a="1"/>
  <c r="J5271" i="14" s="1"/>
  <c r="K5086" i="13"/>
  <c r="L5086" i="13" s="1"/>
  <c r="I5087" i="13" s="1"/>
  <c r="M5275" i="13"/>
  <c r="J5272" i="13" a="1"/>
  <c r="J5272" i="13" s="1"/>
  <c r="N5273" i="13"/>
  <c r="M5276" i="14"/>
  <c r="K5087" i="13" l="1"/>
  <c r="L5087" i="13" s="1"/>
  <c r="I5088" i="13" s="1"/>
  <c r="K5109" i="14"/>
  <c r="L5109" i="14" s="1"/>
  <c r="I5110" i="14" s="1"/>
  <c r="M5276" i="13"/>
  <c r="J5272" i="14" a="1"/>
  <c r="J5272" i="14" s="1"/>
  <c r="N5273" i="14"/>
  <c r="M5277" i="14"/>
  <c r="N5274" i="13"/>
  <c r="J5273" i="13" a="1"/>
  <c r="J5273" i="13" s="1"/>
  <c r="K5110" i="14" l="1"/>
  <c r="L5110" i="14" s="1"/>
  <c r="I5111" i="14" s="1"/>
  <c r="K5088" i="13"/>
  <c r="L5088" i="13" s="1"/>
  <c r="I5089" i="13" s="1"/>
  <c r="J5274" i="13" a="1"/>
  <c r="J5274" i="13" s="1"/>
  <c r="N5275" i="13"/>
  <c r="M5278" i="14"/>
  <c r="J5273" i="14" a="1"/>
  <c r="J5273" i="14" s="1"/>
  <c r="N5274" i="14"/>
  <c r="M5277" i="13"/>
  <c r="K5089" i="13" l="1"/>
  <c r="L5089" i="13" s="1"/>
  <c r="I5090" i="13" s="1"/>
  <c r="K5111" i="14"/>
  <c r="L5111" i="14" s="1"/>
  <c r="I5112" i="14" s="1"/>
  <c r="M5279" i="14"/>
  <c r="M5278" i="13"/>
  <c r="N5276" i="13"/>
  <c r="J5275" i="13" a="1"/>
  <c r="J5275" i="13" s="1"/>
  <c r="J5274" i="14" a="1"/>
  <c r="J5274" i="14" s="1"/>
  <c r="N5275" i="14"/>
  <c r="K5112" i="14" l="1"/>
  <c r="L5112" i="14" s="1"/>
  <c r="I5113" i="14" s="1"/>
  <c r="K5090" i="13"/>
  <c r="L5090" i="13" s="1"/>
  <c r="I5091" i="13" s="1"/>
  <c r="N5276" i="14"/>
  <c r="J5275" i="14" a="1"/>
  <c r="J5275" i="14" s="1"/>
  <c r="M5279" i="13"/>
  <c r="J5276" i="13" a="1"/>
  <c r="J5276" i="13" s="1"/>
  <c r="N5277" i="13"/>
  <c r="M5280" i="14"/>
  <c r="K5113" i="14" l="1"/>
  <c r="L5113" i="14" s="1"/>
  <c r="I5114" i="14" s="1"/>
  <c r="M5281" i="14"/>
  <c r="M5280" i="13"/>
  <c r="K5091" i="13"/>
  <c r="L5091" i="13" s="1"/>
  <c r="I5092" i="13" s="1"/>
  <c r="N5278" i="13"/>
  <c r="J5277" i="13" a="1"/>
  <c r="J5277" i="13" s="1"/>
  <c r="J5276" i="14" a="1"/>
  <c r="J5276" i="14" s="1"/>
  <c r="N5277" i="14"/>
  <c r="K5114" i="14" l="1"/>
  <c r="L5114" i="14" s="1"/>
  <c r="I5115" i="14" s="1"/>
  <c r="J5277" i="14" a="1"/>
  <c r="J5277" i="14" s="1"/>
  <c r="N5278" i="14"/>
  <c r="K5092" i="13"/>
  <c r="L5092" i="13" s="1"/>
  <c r="I5093" i="13" s="1"/>
  <c r="M5282" i="14"/>
  <c r="M5281" i="13"/>
  <c r="J5278" i="13" a="1"/>
  <c r="J5278" i="13" s="1"/>
  <c r="N5279" i="13"/>
  <c r="K5093" i="13" l="1"/>
  <c r="L5093" i="13" s="1"/>
  <c r="I5094" i="13" s="1"/>
  <c r="K5115" i="14"/>
  <c r="L5115" i="14" s="1"/>
  <c r="I5116" i="14" s="1"/>
  <c r="N5280" i="13"/>
  <c r="J5279" i="13" a="1"/>
  <c r="J5279" i="13" s="1"/>
  <c r="M5283" i="14"/>
  <c r="N5279" i="14"/>
  <c r="J5278" i="14" a="1"/>
  <c r="J5278" i="14" s="1"/>
  <c r="M5282" i="13"/>
  <c r="K5116" i="14" l="1"/>
  <c r="L5116" i="14" s="1"/>
  <c r="I5117" i="14" s="1"/>
  <c r="K5094" i="13"/>
  <c r="L5094" i="13" s="1"/>
  <c r="I5095" i="13" s="1"/>
  <c r="M5283" i="13"/>
  <c r="M5284" i="14"/>
  <c r="N5280" i="14"/>
  <c r="J5279" i="14" a="1"/>
  <c r="J5279" i="14" s="1"/>
  <c r="J5280" i="13" a="1"/>
  <c r="J5280" i="13" s="1"/>
  <c r="N5281" i="13"/>
  <c r="K5095" i="13" l="1"/>
  <c r="L5095" i="13" s="1"/>
  <c r="I5096" i="13" s="1"/>
  <c r="K5117" i="14"/>
  <c r="L5117" i="14" s="1"/>
  <c r="I5118" i="14" s="1"/>
  <c r="N5282" i="13"/>
  <c r="J5281" i="13" a="1"/>
  <c r="J5281" i="13" s="1"/>
  <c r="M5285" i="14"/>
  <c r="J5280" i="14" a="1"/>
  <c r="J5280" i="14" s="1"/>
  <c r="N5281" i="14"/>
  <c r="M5284" i="13"/>
  <c r="K5118" i="14" l="1"/>
  <c r="L5118" i="14" s="1"/>
  <c r="I5119" i="14" s="1"/>
  <c r="K5096" i="13"/>
  <c r="L5096" i="13" s="1"/>
  <c r="I5097" i="13" s="1"/>
  <c r="M5286" i="14"/>
  <c r="M5285" i="13"/>
  <c r="J5281" i="14" a="1"/>
  <c r="J5281" i="14" s="1"/>
  <c r="N5282" i="14"/>
  <c r="J5282" i="13" a="1"/>
  <c r="J5282" i="13" s="1"/>
  <c r="N5283" i="13"/>
  <c r="K5097" i="13" l="1"/>
  <c r="L5097" i="13" s="1"/>
  <c r="I5098" i="13" s="1"/>
  <c r="K5119" i="14"/>
  <c r="L5119" i="14" s="1"/>
  <c r="I5120" i="14" s="1"/>
  <c r="N5284" i="13"/>
  <c r="J5283" i="13" a="1"/>
  <c r="J5283" i="13" s="1"/>
  <c r="M5286" i="13"/>
  <c r="J5282" i="14" a="1"/>
  <c r="J5282" i="14" s="1"/>
  <c r="N5283" i="14"/>
  <c r="M5287" i="14"/>
  <c r="K5120" i="14" l="1"/>
  <c r="L5120" i="14" s="1"/>
  <c r="I5121" i="14" s="1"/>
  <c r="K5098" i="13"/>
  <c r="L5098" i="13" s="1"/>
  <c r="I5099" i="13" s="1"/>
  <c r="M5287" i="13"/>
  <c r="M5288" i="14"/>
  <c r="N5284" i="14"/>
  <c r="J5283" i="14" a="1"/>
  <c r="J5283" i="14" s="1"/>
  <c r="J5284" i="13" a="1"/>
  <c r="J5284" i="13" s="1"/>
  <c r="N5285" i="13"/>
  <c r="K5099" i="13" l="1"/>
  <c r="L5099" i="13" s="1"/>
  <c r="I5100" i="13" s="1"/>
  <c r="K5121" i="14"/>
  <c r="L5121" i="14" s="1"/>
  <c r="I5122" i="14" s="1"/>
  <c r="N5286" i="13"/>
  <c r="J5285" i="13" a="1"/>
  <c r="J5285" i="13" s="1"/>
  <c r="M5289" i="14"/>
  <c r="J5284" i="14" a="1"/>
  <c r="J5284" i="14" s="1"/>
  <c r="N5285" i="14"/>
  <c r="M5288" i="13"/>
  <c r="K5122" i="14" l="1"/>
  <c r="L5122" i="14" s="1"/>
  <c r="I5123" i="14" s="1"/>
  <c r="K5100" i="13"/>
  <c r="L5100" i="13" s="1"/>
  <c r="I5101" i="13" s="1"/>
  <c r="M5289" i="13"/>
  <c r="M5290" i="14"/>
  <c r="J5285" i="14" a="1"/>
  <c r="J5285" i="14" s="1"/>
  <c r="N5286" i="14"/>
  <c r="J5286" i="13" a="1"/>
  <c r="J5286" i="13" s="1"/>
  <c r="N5287" i="13"/>
  <c r="K5101" i="13" l="1"/>
  <c r="L5101" i="13" s="1"/>
  <c r="I5102" i="13" s="1"/>
  <c r="K5123" i="14"/>
  <c r="L5123" i="14" s="1"/>
  <c r="I5124" i="14" s="1"/>
  <c r="N5288" i="13"/>
  <c r="J5287" i="13" a="1"/>
  <c r="J5287" i="13" s="1"/>
  <c r="M5291" i="14"/>
  <c r="N5287" i="14"/>
  <c r="J5286" i="14" a="1"/>
  <c r="J5286" i="14" s="1"/>
  <c r="M5290" i="13"/>
  <c r="K5102" i="13" l="1"/>
  <c r="L5102" i="13" s="1"/>
  <c r="I5103" i="13" s="1"/>
  <c r="M5292" i="14"/>
  <c r="M5291" i="13"/>
  <c r="K5124" i="14"/>
  <c r="L5124" i="14" s="1"/>
  <c r="I5125" i="14" s="1"/>
  <c r="N5288" i="14"/>
  <c r="J5287" i="14" a="1"/>
  <c r="J5287" i="14" s="1"/>
  <c r="J5288" i="13" a="1"/>
  <c r="J5288" i="13" s="1"/>
  <c r="N5289" i="13"/>
  <c r="K5125" i="14" l="1"/>
  <c r="L5125" i="14" s="1"/>
  <c r="I5126" i="14" s="1"/>
  <c r="K5103" i="13"/>
  <c r="L5103" i="13" s="1"/>
  <c r="I5104" i="13" s="1"/>
  <c r="N5290" i="13"/>
  <c r="J5289" i="13" a="1"/>
  <c r="J5289" i="13" s="1"/>
  <c r="M5293" i="14"/>
  <c r="J5288" i="14" a="1"/>
  <c r="J5288" i="14" s="1"/>
  <c r="N5289" i="14"/>
  <c r="M5292" i="13"/>
  <c r="K5126" i="14" l="1"/>
  <c r="L5126" i="14" s="1"/>
  <c r="I5127" i="14" s="1"/>
  <c r="J5289" i="14" a="1"/>
  <c r="J5289" i="14" s="1"/>
  <c r="N5290" i="14"/>
  <c r="M5293" i="13"/>
  <c r="M5294" i="14"/>
  <c r="K5104" i="13"/>
  <c r="L5104" i="13" s="1"/>
  <c r="I5105" i="13" s="1"/>
  <c r="J5290" i="13" a="1"/>
  <c r="J5290" i="13" s="1"/>
  <c r="N5291" i="13"/>
  <c r="K5105" i="13" l="1"/>
  <c r="L5105" i="13" s="1"/>
  <c r="I5106" i="13" s="1"/>
  <c r="K5127" i="14"/>
  <c r="L5127" i="14" s="1"/>
  <c r="I5128" i="14" s="1"/>
  <c r="N5292" i="13"/>
  <c r="J5291" i="13" a="1"/>
  <c r="J5291" i="13" s="1"/>
  <c r="M5295" i="14"/>
  <c r="J5290" i="14" a="1"/>
  <c r="J5290" i="14" s="1"/>
  <c r="N5291" i="14"/>
  <c r="M5294" i="13"/>
  <c r="K5128" i="14" l="1"/>
  <c r="L5128" i="14" s="1"/>
  <c r="I5129" i="14" s="1"/>
  <c r="K5106" i="13"/>
  <c r="L5106" i="13" s="1"/>
  <c r="I5107" i="13" s="1"/>
  <c r="M5295" i="13"/>
  <c r="N5292" i="14"/>
  <c r="J5291" i="14" a="1"/>
  <c r="J5291" i="14" s="1"/>
  <c r="M5296" i="14"/>
  <c r="J5292" i="13" a="1"/>
  <c r="J5292" i="13" s="1"/>
  <c r="N5293" i="13"/>
  <c r="K5107" i="13" l="1"/>
  <c r="L5107" i="13" s="1"/>
  <c r="I5108" i="13" s="1"/>
  <c r="K5129" i="14"/>
  <c r="L5129" i="14" s="1"/>
  <c r="I5130" i="14" s="1"/>
  <c r="N5294" i="13"/>
  <c r="J5293" i="13" a="1"/>
  <c r="J5293" i="13" s="1"/>
  <c r="J5292" i="14" a="1"/>
  <c r="J5292" i="14" s="1"/>
  <c r="N5293" i="14"/>
  <c r="M5297" i="14"/>
  <c r="M5296" i="13"/>
  <c r="K5108" i="13" l="1"/>
  <c r="L5108" i="13" s="1"/>
  <c r="I5109" i="13" s="1"/>
  <c r="J5293" i="14" a="1"/>
  <c r="J5293" i="14" s="1"/>
  <c r="N5294" i="14"/>
  <c r="K5130" i="14"/>
  <c r="L5130" i="14" s="1"/>
  <c r="I5131" i="14" s="1"/>
  <c r="M5297" i="13"/>
  <c r="M5298" i="14"/>
  <c r="J5294" i="13" a="1"/>
  <c r="J5294" i="13" s="1"/>
  <c r="N5295" i="13"/>
  <c r="K5131" i="14" l="1"/>
  <c r="L5131" i="14" s="1"/>
  <c r="I5132" i="14" s="1"/>
  <c r="K5109" i="13"/>
  <c r="L5109" i="13" s="1"/>
  <c r="I5110" i="13" s="1"/>
  <c r="N5296" i="13"/>
  <c r="J5295" i="13" a="1"/>
  <c r="J5295" i="13" s="1"/>
  <c r="N5295" i="14"/>
  <c r="J5294" i="14" a="1"/>
  <c r="J5294" i="14" s="1"/>
  <c r="M5298" i="13"/>
  <c r="M5299" i="14"/>
  <c r="K5132" i="14" l="1"/>
  <c r="L5132" i="14" s="1"/>
  <c r="I5133" i="14" s="1"/>
  <c r="K5110" i="13"/>
  <c r="L5110" i="13" s="1"/>
  <c r="I5111" i="13" s="1"/>
  <c r="N5296" i="14"/>
  <c r="J5295" i="14" a="1"/>
  <c r="J5295" i="14" s="1"/>
  <c r="M5299" i="13"/>
  <c r="M5300" i="14"/>
  <c r="J5296" i="13" a="1"/>
  <c r="J5296" i="13" s="1"/>
  <c r="N5297" i="13"/>
  <c r="K5133" i="14" l="1"/>
  <c r="L5133" i="14" s="1"/>
  <c r="I5134" i="14" s="1"/>
  <c r="N5298" i="13"/>
  <c r="J5297" i="13" a="1"/>
  <c r="J5297" i="13" s="1"/>
  <c r="K5111" i="13"/>
  <c r="L5111" i="13" s="1"/>
  <c r="I5112" i="13" s="1"/>
  <c r="M5300" i="13"/>
  <c r="M5301" i="14"/>
  <c r="J5296" i="14" a="1"/>
  <c r="J5296" i="14" s="1"/>
  <c r="N5297" i="14"/>
  <c r="K5112" i="13" l="1"/>
  <c r="L5112" i="13" s="1"/>
  <c r="I5113" i="13" s="1"/>
  <c r="K5134" i="14"/>
  <c r="L5134" i="14" s="1"/>
  <c r="I5135" i="14" s="1"/>
  <c r="J5297" i="14" a="1"/>
  <c r="J5297" i="14" s="1"/>
  <c r="N5298" i="14"/>
  <c r="M5301" i="13"/>
  <c r="J5298" i="13" a="1"/>
  <c r="J5298" i="13" s="1"/>
  <c r="N5299" i="13"/>
  <c r="M5302" i="14"/>
  <c r="K5113" i="13" l="1"/>
  <c r="L5113" i="13" s="1"/>
  <c r="I5114" i="13" s="1"/>
  <c r="M5302" i="13"/>
  <c r="M5303" i="14"/>
  <c r="K5135" i="14"/>
  <c r="L5135" i="14" s="1"/>
  <c r="I5136" i="14" s="1"/>
  <c r="N5300" i="13"/>
  <c r="J5299" i="13" a="1"/>
  <c r="J5299" i="13" s="1"/>
  <c r="J5298" i="14" a="1"/>
  <c r="J5298" i="14" s="1"/>
  <c r="N5299" i="14"/>
  <c r="K5114" i="13" l="1"/>
  <c r="L5114" i="13" s="1"/>
  <c r="I5115" i="13" s="1"/>
  <c r="K5136" i="14"/>
  <c r="L5136" i="14" s="1"/>
  <c r="I5137" i="14" s="1"/>
  <c r="N5300" i="14"/>
  <c r="J5299" i="14" a="1"/>
  <c r="J5299" i="14" s="1"/>
  <c r="M5303" i="13"/>
  <c r="J5300" i="13" a="1"/>
  <c r="J5300" i="13" s="1"/>
  <c r="N5301" i="13"/>
  <c r="M5304" i="14"/>
  <c r="K5115" i="13" l="1"/>
  <c r="L5115" i="13" s="1"/>
  <c r="I5116" i="13" s="1"/>
  <c r="M5304" i="13"/>
  <c r="K5137" i="14"/>
  <c r="L5137" i="14" s="1"/>
  <c r="I5138" i="14" s="1"/>
  <c r="N5302" i="13"/>
  <c r="J5301" i="13" a="1"/>
  <c r="J5301" i="13" s="1"/>
  <c r="M5305" i="14"/>
  <c r="J5300" i="14" a="1"/>
  <c r="J5300" i="14" s="1"/>
  <c r="N5301" i="14"/>
  <c r="K5138" i="14" l="1"/>
  <c r="L5138" i="14" s="1"/>
  <c r="I5139" i="14" s="1"/>
  <c r="K5116" i="13"/>
  <c r="L5116" i="13" s="1"/>
  <c r="I5117" i="13" s="1"/>
  <c r="M5305" i="13"/>
  <c r="J5301" i="14" a="1"/>
  <c r="J5301" i="14" s="1"/>
  <c r="N5302" i="14"/>
  <c r="J5302" i="13" a="1"/>
  <c r="J5302" i="13" s="1"/>
  <c r="N5303" i="13"/>
  <c r="M5306" i="14"/>
  <c r="K5139" i="14" l="1"/>
  <c r="L5139" i="14" s="1"/>
  <c r="I5140" i="14" s="1"/>
  <c r="N5303" i="14"/>
  <c r="J5302" i="14" a="1"/>
  <c r="J5302" i="14" s="1"/>
  <c r="K5117" i="13"/>
  <c r="L5117" i="13" s="1"/>
  <c r="I5118" i="13" s="1"/>
  <c r="M5307" i="14"/>
  <c r="N5304" i="13"/>
  <c r="J5303" i="13" a="1"/>
  <c r="J5303" i="13" s="1"/>
  <c r="M5306" i="13"/>
  <c r="K5118" i="13" l="1"/>
  <c r="L5118" i="13" s="1"/>
  <c r="I5119" i="13" s="1"/>
  <c r="K5140" i="14"/>
  <c r="L5140" i="14" s="1"/>
  <c r="I5141" i="14" s="1"/>
  <c r="M5308" i="14"/>
  <c r="M5307" i="13"/>
  <c r="N5304" i="14"/>
  <c r="J5303" i="14" a="1"/>
  <c r="J5303" i="14" s="1"/>
  <c r="J5304" i="13" a="1"/>
  <c r="J5304" i="13" s="1"/>
  <c r="N5305" i="13"/>
  <c r="K5119" i="13" l="1"/>
  <c r="L5119" i="13" s="1"/>
  <c r="I5120" i="13" s="1"/>
  <c r="N5306" i="13"/>
  <c r="J5305" i="13" a="1"/>
  <c r="J5305" i="13" s="1"/>
  <c r="M5308" i="13"/>
  <c r="K5141" i="14"/>
  <c r="L5141" i="14" s="1"/>
  <c r="I5142" i="14" s="1"/>
  <c r="J5304" i="14" a="1"/>
  <c r="J5304" i="14" s="1"/>
  <c r="N5305" i="14"/>
  <c r="M5309" i="14"/>
  <c r="K5142" i="14" l="1"/>
  <c r="L5142" i="14" s="1"/>
  <c r="I5143" i="14" s="1"/>
  <c r="K5120" i="13"/>
  <c r="L5120" i="13" s="1"/>
  <c r="I5121" i="13" s="1"/>
  <c r="J5306" i="13" a="1"/>
  <c r="J5306" i="13" s="1"/>
  <c r="N5307" i="13"/>
  <c r="J5305" i="14" a="1"/>
  <c r="J5305" i="14" s="1"/>
  <c r="N5306" i="14"/>
  <c r="M5309" i="13"/>
  <c r="M5310" i="14"/>
  <c r="K5121" i="13" l="1"/>
  <c r="L5121" i="13" s="1"/>
  <c r="I5122" i="13" s="1"/>
  <c r="K5143" i="14"/>
  <c r="L5143" i="14" s="1"/>
  <c r="I5144" i="14" s="1"/>
  <c r="J5306" i="14" a="1"/>
  <c r="J5306" i="14" s="1"/>
  <c r="N5307" i="14"/>
  <c r="M5311" i="14"/>
  <c r="N5308" i="13"/>
  <c r="J5307" i="13" a="1"/>
  <c r="J5307" i="13" s="1"/>
  <c r="M5310" i="13"/>
  <c r="K5122" i="13" l="1"/>
  <c r="L5122" i="13" s="1"/>
  <c r="I5123" i="13" s="1"/>
  <c r="K5144" i="14"/>
  <c r="L5144" i="14" s="1"/>
  <c r="I5145" i="14" s="1"/>
  <c r="J5308" i="13" a="1"/>
  <c r="J5308" i="13" s="1"/>
  <c r="N5309" i="13"/>
  <c r="M5311" i="13"/>
  <c r="M5312" i="14"/>
  <c r="N5308" i="14"/>
  <c r="J5307" i="14" a="1"/>
  <c r="J5307" i="14" s="1"/>
  <c r="K5145" i="14" l="1"/>
  <c r="L5145" i="14" s="1"/>
  <c r="I5146" i="14" s="1"/>
  <c r="K5123" i="13"/>
  <c r="L5123" i="13" s="1"/>
  <c r="I5124" i="13" s="1"/>
  <c r="J5308" i="14" a="1"/>
  <c r="J5308" i="14" s="1"/>
  <c r="N5309" i="14"/>
  <c r="M5312" i="13"/>
  <c r="N5310" i="13"/>
  <c r="J5309" i="13" a="1"/>
  <c r="J5309" i="13" s="1"/>
  <c r="M5313" i="14"/>
  <c r="K5124" i="13" l="1"/>
  <c r="L5124" i="13" s="1"/>
  <c r="I5125" i="13" s="1"/>
  <c r="K5146" i="14"/>
  <c r="L5146" i="14" s="1"/>
  <c r="I5147" i="14" s="1"/>
  <c r="M5313" i="13"/>
  <c r="J5310" i="13" a="1"/>
  <c r="J5310" i="13" s="1"/>
  <c r="N5311" i="13"/>
  <c r="M5314" i="14"/>
  <c r="J5309" i="14" a="1"/>
  <c r="J5309" i="14" s="1"/>
  <c r="N5310" i="14"/>
  <c r="K5147" i="14" l="1"/>
  <c r="L5147" i="14" s="1"/>
  <c r="I5148" i="14" s="1"/>
  <c r="K5125" i="13"/>
  <c r="L5125" i="13" s="1"/>
  <c r="I5126" i="13" s="1"/>
  <c r="N5312" i="13"/>
  <c r="J5311" i="13" a="1"/>
  <c r="J5311" i="13" s="1"/>
  <c r="N5311" i="14"/>
  <c r="J5310" i="14" a="1"/>
  <c r="J5310" i="14" s="1"/>
  <c r="M5315" i="14"/>
  <c r="M5314" i="13"/>
  <c r="K5148" i="14" l="1"/>
  <c r="L5148" i="14" s="1"/>
  <c r="I5149" i="14" s="1"/>
  <c r="N5312" i="14"/>
  <c r="J5311" i="14" a="1"/>
  <c r="J5311" i="14" s="1"/>
  <c r="K5126" i="13"/>
  <c r="L5126" i="13" s="1"/>
  <c r="I5127" i="13" s="1"/>
  <c r="M5315" i="13"/>
  <c r="M5316" i="14"/>
  <c r="J5312" i="13" a="1"/>
  <c r="J5312" i="13" s="1"/>
  <c r="N5313" i="13"/>
  <c r="K5127" i="13" l="1"/>
  <c r="L5127" i="13" s="1"/>
  <c r="I5128" i="13" s="1"/>
  <c r="K5149" i="14"/>
  <c r="L5149" i="14" s="1"/>
  <c r="I5150" i="14" s="1"/>
  <c r="J5312" i="14" a="1"/>
  <c r="J5312" i="14" s="1"/>
  <c r="N5313" i="14"/>
  <c r="N5314" i="13"/>
  <c r="J5313" i="13" a="1"/>
  <c r="J5313" i="13" s="1"/>
  <c r="M5316" i="13"/>
  <c r="M5317" i="14"/>
  <c r="K5150" i="14" l="1"/>
  <c r="L5150" i="14" s="1"/>
  <c r="I5151" i="14" s="1"/>
  <c r="K5128" i="13"/>
  <c r="L5128" i="13" s="1"/>
  <c r="I5129" i="13" s="1"/>
  <c r="J5314" i="13" a="1"/>
  <c r="J5314" i="13" s="1"/>
  <c r="N5315" i="13"/>
  <c r="J5313" i="14" a="1"/>
  <c r="J5313" i="14" s="1"/>
  <c r="N5314" i="14"/>
  <c r="M5318" i="14"/>
  <c r="M5317" i="13"/>
  <c r="K5151" i="14" l="1"/>
  <c r="L5151" i="14" s="1"/>
  <c r="I5152" i="14" s="1"/>
  <c r="J5314" i="14" a="1"/>
  <c r="J5314" i="14" s="1"/>
  <c r="N5315" i="14"/>
  <c r="K5129" i="13"/>
  <c r="L5129" i="13" s="1"/>
  <c r="I5130" i="13" s="1"/>
  <c r="N5316" i="13"/>
  <c r="J5315" i="13" a="1"/>
  <c r="J5315" i="13" s="1"/>
  <c r="M5318" i="13"/>
  <c r="M5319" i="14"/>
  <c r="K5152" i="14" l="1"/>
  <c r="L5152" i="14" s="1"/>
  <c r="I5153" i="14" s="1"/>
  <c r="N5316" i="14"/>
  <c r="J5315" i="14" a="1"/>
  <c r="J5315" i="14" s="1"/>
  <c r="J5316" i="13" a="1"/>
  <c r="J5316" i="13" s="1"/>
  <c r="N5317" i="13"/>
  <c r="M5319" i="13"/>
  <c r="M5320" i="14"/>
  <c r="K5130" i="13"/>
  <c r="L5130" i="13" s="1"/>
  <c r="I5131" i="13" s="1"/>
  <c r="K5153" i="14" l="1"/>
  <c r="L5153" i="14" s="1"/>
  <c r="I5154" i="14" s="1"/>
  <c r="M5320" i="13"/>
  <c r="M5321" i="14"/>
  <c r="J5316" i="14" a="1"/>
  <c r="J5316" i="14" s="1"/>
  <c r="N5317" i="14"/>
  <c r="K5131" i="13"/>
  <c r="L5131" i="13" s="1"/>
  <c r="I5132" i="13" s="1"/>
  <c r="N5318" i="13"/>
  <c r="J5317" i="13" a="1"/>
  <c r="J5317" i="13" s="1"/>
  <c r="K5132" i="13" l="1"/>
  <c r="L5132" i="13" s="1"/>
  <c r="I5133" i="13" s="1"/>
  <c r="K5154" i="14"/>
  <c r="L5154" i="14" s="1"/>
  <c r="I5155" i="14" s="1"/>
  <c r="J5317" i="14" a="1"/>
  <c r="J5317" i="14" s="1"/>
  <c r="N5318" i="14"/>
  <c r="M5321" i="13"/>
  <c r="J5318" i="13" a="1"/>
  <c r="J5318" i="13" s="1"/>
  <c r="N5319" i="13"/>
  <c r="M5322" i="14"/>
  <c r="K5133" i="13" l="1"/>
  <c r="L5133" i="13" s="1"/>
  <c r="I5134" i="13" s="1"/>
  <c r="N5320" i="13"/>
  <c r="J5319" i="13" a="1"/>
  <c r="J5319" i="13" s="1"/>
  <c r="M5323" i="14"/>
  <c r="M5322" i="13"/>
  <c r="K5155" i="14"/>
  <c r="L5155" i="14" s="1"/>
  <c r="I5156" i="14" s="1"/>
  <c r="N5319" i="14"/>
  <c r="J5318" i="14" a="1"/>
  <c r="J5318" i="14" s="1"/>
  <c r="K5156" i="14" l="1"/>
  <c r="L5156" i="14" s="1"/>
  <c r="I5157" i="14" s="1"/>
  <c r="K5134" i="13"/>
  <c r="L5134" i="13" s="1"/>
  <c r="I5135" i="13" s="1"/>
  <c r="M5323" i="13"/>
  <c r="J5320" i="13" a="1"/>
  <c r="J5320" i="13" s="1"/>
  <c r="N5321" i="13"/>
  <c r="N5320" i="14"/>
  <c r="J5319" i="14" a="1"/>
  <c r="J5319" i="14" s="1"/>
  <c r="M5324" i="14"/>
  <c r="K5135" i="13" l="1"/>
  <c r="L5135" i="13" s="1"/>
  <c r="I5136" i="13" s="1"/>
  <c r="K5157" i="14"/>
  <c r="L5157" i="14" s="1"/>
  <c r="I5158" i="14" s="1"/>
  <c r="N5322" i="13"/>
  <c r="J5321" i="13" a="1"/>
  <c r="J5321" i="13" s="1"/>
  <c r="M5325" i="14"/>
  <c r="J5320" i="14" a="1"/>
  <c r="J5320" i="14" s="1"/>
  <c r="N5321" i="14"/>
  <c r="M5324" i="13"/>
  <c r="K5136" i="13" l="1"/>
  <c r="L5136" i="13" s="1"/>
  <c r="I5137" i="13" s="1"/>
  <c r="M5325" i="13"/>
  <c r="M5326" i="14"/>
  <c r="K5158" i="14"/>
  <c r="L5158" i="14" s="1"/>
  <c r="I5159" i="14" s="1"/>
  <c r="J5321" i="14" a="1"/>
  <c r="J5321" i="14" s="1"/>
  <c r="N5322" i="14"/>
  <c r="J5322" i="13" a="1"/>
  <c r="J5322" i="13" s="1"/>
  <c r="N5323" i="13"/>
  <c r="K5137" i="13" l="1"/>
  <c r="L5137" i="13" s="1"/>
  <c r="I5138" i="13" s="1"/>
  <c r="N5324" i="13"/>
  <c r="J5323" i="13" a="1"/>
  <c r="J5323" i="13" s="1"/>
  <c r="K5159" i="14"/>
  <c r="L5159" i="14" s="1"/>
  <c r="I5160" i="14" s="1"/>
  <c r="M5326" i="13"/>
  <c r="J5322" i="14" a="1"/>
  <c r="J5322" i="14" s="1"/>
  <c r="N5323" i="14"/>
  <c r="M5327" i="14"/>
  <c r="K5160" i="14" l="1"/>
  <c r="L5160" i="14" s="1"/>
  <c r="I5161" i="14" s="1"/>
  <c r="K5138" i="13"/>
  <c r="L5138" i="13" s="1"/>
  <c r="I5139" i="13" s="1"/>
  <c r="M5328" i="14"/>
  <c r="M5327" i="13"/>
  <c r="J5324" i="13" a="1"/>
  <c r="J5324" i="13" s="1"/>
  <c r="N5325" i="13"/>
  <c r="N5324" i="14"/>
  <c r="J5323" i="14" a="1"/>
  <c r="J5323" i="14" s="1"/>
  <c r="K5161" i="14" l="1"/>
  <c r="L5161" i="14" s="1"/>
  <c r="I5162" i="14" s="1"/>
  <c r="J5324" i="14" a="1"/>
  <c r="J5324" i="14" s="1"/>
  <c r="N5325" i="14"/>
  <c r="M5328" i="13"/>
  <c r="K5139" i="13"/>
  <c r="L5139" i="13" s="1"/>
  <c r="I5140" i="13" s="1"/>
  <c r="N5326" i="13"/>
  <c r="J5325" i="13" a="1"/>
  <c r="J5325" i="13" s="1"/>
  <c r="M5329" i="14"/>
  <c r="K5162" i="14" l="1"/>
  <c r="L5162" i="14" s="1"/>
  <c r="I5163" i="14" s="1"/>
  <c r="J5325" i="14" a="1"/>
  <c r="J5325" i="14" s="1"/>
  <c r="N5326" i="14"/>
  <c r="K5140" i="13"/>
  <c r="L5140" i="13" s="1"/>
  <c r="I5141" i="13" s="1"/>
  <c r="M5330" i="14"/>
  <c r="M5329" i="13"/>
  <c r="J5326" i="13" a="1"/>
  <c r="J5326" i="13" s="1"/>
  <c r="N5327" i="13"/>
  <c r="K5141" i="13" l="1"/>
  <c r="L5141" i="13" s="1"/>
  <c r="I5142" i="13" s="1"/>
  <c r="K5163" i="14"/>
  <c r="L5163" i="14" s="1"/>
  <c r="I5164" i="14" s="1"/>
  <c r="N5328" i="13"/>
  <c r="J5327" i="13" a="1"/>
  <c r="J5327" i="13" s="1"/>
  <c r="M5331" i="14"/>
  <c r="N5327" i="14"/>
  <c r="J5326" i="14" a="1"/>
  <c r="J5326" i="14" s="1"/>
  <c r="M5330" i="13"/>
  <c r="K5142" i="13" l="1"/>
  <c r="L5142" i="13" s="1"/>
  <c r="I5143" i="13" s="1"/>
  <c r="M5331" i="13"/>
  <c r="K5164" i="14"/>
  <c r="L5164" i="14" s="1"/>
  <c r="I5165" i="14" s="1"/>
  <c r="M5332" i="14"/>
  <c r="N5328" i="14"/>
  <c r="J5327" i="14" a="1"/>
  <c r="J5327" i="14" s="1"/>
  <c r="J5328" i="13" a="1"/>
  <c r="J5328" i="13" s="1"/>
  <c r="N5329" i="13"/>
  <c r="K5165" i="14" l="1"/>
  <c r="L5165" i="14" s="1"/>
  <c r="I5166" i="14" s="1"/>
  <c r="K5143" i="13"/>
  <c r="L5143" i="13" s="1"/>
  <c r="I5144" i="13" s="1"/>
  <c r="N5330" i="13"/>
  <c r="J5329" i="13" a="1"/>
  <c r="J5329" i="13" s="1"/>
  <c r="M5333" i="14"/>
  <c r="M5332" i="13"/>
  <c r="J5328" i="14" a="1"/>
  <c r="J5328" i="14" s="1"/>
  <c r="N5329" i="14"/>
  <c r="K5144" i="13" l="1"/>
  <c r="L5144" i="13" s="1"/>
  <c r="I5145" i="13" s="1"/>
  <c r="K5166" i="14"/>
  <c r="L5166" i="14" s="1"/>
  <c r="I5167" i="14" s="1"/>
  <c r="J5329" i="14" a="1"/>
  <c r="J5329" i="14" s="1"/>
  <c r="N5330" i="14"/>
  <c r="M5334" i="14"/>
  <c r="M5333" i="13"/>
  <c r="J5330" i="13" a="1"/>
  <c r="J5330" i="13" s="1"/>
  <c r="N5331" i="13"/>
  <c r="K5167" i="14" l="1"/>
  <c r="L5167" i="14" s="1"/>
  <c r="I5168" i="14" s="1"/>
  <c r="K5145" i="13"/>
  <c r="L5145" i="13" s="1"/>
  <c r="I5146" i="13" s="1"/>
  <c r="N5332" i="13"/>
  <c r="J5331" i="13" a="1"/>
  <c r="J5331" i="13" s="1"/>
  <c r="M5335" i="14"/>
  <c r="J5330" i="14" a="1"/>
  <c r="J5330" i="14" s="1"/>
  <c r="N5331" i="14"/>
  <c r="M5334" i="13"/>
  <c r="K5146" i="13" l="1"/>
  <c r="L5146" i="13" s="1"/>
  <c r="I5147" i="13" s="1"/>
  <c r="K5168" i="14"/>
  <c r="L5168" i="14" s="1"/>
  <c r="I5169" i="14" s="1"/>
  <c r="M5335" i="13"/>
  <c r="N5332" i="14"/>
  <c r="J5331" i="14" a="1"/>
  <c r="J5331" i="14" s="1"/>
  <c r="M5336" i="14"/>
  <c r="J5332" i="13" a="1"/>
  <c r="J5332" i="13" s="1"/>
  <c r="N5333" i="13"/>
  <c r="K5169" i="14" l="1"/>
  <c r="L5169" i="14" s="1"/>
  <c r="I5170" i="14" s="1"/>
  <c r="K5147" i="13"/>
  <c r="L5147" i="13" s="1"/>
  <c r="I5148" i="13" s="1"/>
  <c r="N5334" i="13"/>
  <c r="J5333" i="13" a="1"/>
  <c r="J5333" i="13" s="1"/>
  <c r="J5332" i="14" a="1"/>
  <c r="J5332" i="14" s="1"/>
  <c r="N5333" i="14"/>
  <c r="M5337" i="14"/>
  <c r="M5336" i="13"/>
  <c r="K5170" i="14" l="1"/>
  <c r="L5170" i="14" s="1"/>
  <c r="I5171" i="14" s="1"/>
  <c r="M5337" i="13"/>
  <c r="J5333" i="14" a="1"/>
  <c r="J5333" i="14" s="1"/>
  <c r="N5334" i="14"/>
  <c r="K5148" i="13"/>
  <c r="L5148" i="13" s="1"/>
  <c r="I5149" i="13" s="1"/>
  <c r="M5338" i="14"/>
  <c r="J5334" i="13" a="1"/>
  <c r="J5334" i="13" s="1"/>
  <c r="N5335" i="13"/>
  <c r="K5171" i="14" l="1"/>
  <c r="L5171" i="14" s="1"/>
  <c r="I5172" i="14" s="1"/>
  <c r="N5336" i="13"/>
  <c r="J5335" i="13" a="1"/>
  <c r="J5335" i="13" s="1"/>
  <c r="M5338" i="13"/>
  <c r="K5149" i="13"/>
  <c r="L5149" i="13" s="1"/>
  <c r="I5150" i="13" s="1"/>
  <c r="M5339" i="14"/>
  <c r="N5335" i="14"/>
  <c r="J5334" i="14" a="1"/>
  <c r="J5334" i="14" s="1"/>
  <c r="K5150" i="13" l="1"/>
  <c r="L5150" i="13" s="1"/>
  <c r="I5151" i="13" s="1"/>
  <c r="K5172" i="14"/>
  <c r="L5172" i="14" s="1"/>
  <c r="I5173" i="14" s="1"/>
  <c r="J5336" i="13" a="1"/>
  <c r="J5336" i="13" s="1"/>
  <c r="N5337" i="13"/>
  <c r="N5336" i="14"/>
  <c r="J5335" i="14" a="1"/>
  <c r="J5335" i="14" s="1"/>
  <c r="M5339" i="13"/>
  <c r="M5340" i="14"/>
  <c r="K5151" i="13" l="1"/>
  <c r="L5151" i="13" s="1"/>
  <c r="I5152" i="13" s="1"/>
  <c r="K5173" i="14"/>
  <c r="L5173" i="14" s="1"/>
  <c r="I5174" i="14" s="1"/>
  <c r="J5336" i="14" a="1"/>
  <c r="J5336" i="14" s="1"/>
  <c r="N5337" i="14"/>
  <c r="M5341" i="14"/>
  <c r="N5338" i="13"/>
  <c r="J5337" i="13" a="1"/>
  <c r="J5337" i="13" s="1"/>
  <c r="M5340" i="13"/>
  <c r="K5152" i="13" l="1"/>
  <c r="L5152" i="13" s="1"/>
  <c r="I5153" i="13" s="1"/>
  <c r="J5338" i="13" a="1"/>
  <c r="J5338" i="13" s="1"/>
  <c r="N5339" i="13"/>
  <c r="M5341" i="13"/>
  <c r="M5342" i="14"/>
  <c r="K5174" i="14"/>
  <c r="L5174" i="14" s="1"/>
  <c r="I5175" i="14" s="1"/>
  <c r="J5337" i="14" a="1"/>
  <c r="J5337" i="14" s="1"/>
  <c r="N5338" i="14"/>
  <c r="K5175" i="14" l="1"/>
  <c r="L5175" i="14" s="1"/>
  <c r="I5176" i="14" s="1"/>
  <c r="K5153" i="13"/>
  <c r="L5153" i="13" s="1"/>
  <c r="I5154" i="13" s="1"/>
  <c r="J5338" i="14" a="1"/>
  <c r="J5338" i="14" s="1"/>
  <c r="N5339" i="14"/>
  <c r="M5343" i="14"/>
  <c r="N5340" i="13"/>
  <c r="J5339" i="13" a="1"/>
  <c r="J5339" i="13" s="1"/>
  <c r="M5342" i="13"/>
  <c r="K5154" i="13" l="1"/>
  <c r="L5154" i="13" s="1"/>
  <c r="I5155" i="13" s="1"/>
  <c r="K5176" i="14"/>
  <c r="L5176" i="14" s="1"/>
  <c r="I5177" i="14" s="1"/>
  <c r="M5343" i="13"/>
  <c r="M5344" i="14"/>
  <c r="N5340" i="14"/>
  <c r="J5339" i="14" a="1"/>
  <c r="J5339" i="14" s="1"/>
  <c r="J5340" i="13" a="1"/>
  <c r="J5340" i="13" s="1"/>
  <c r="N5341" i="13"/>
  <c r="K5155" i="13" l="1"/>
  <c r="L5155" i="13" s="1"/>
  <c r="I5156" i="13" s="1"/>
  <c r="N5342" i="13"/>
  <c r="J5341" i="13" a="1"/>
  <c r="J5341" i="13" s="1"/>
  <c r="K5177" i="14"/>
  <c r="L5177" i="14" s="1"/>
  <c r="I5178" i="14" s="1"/>
  <c r="M5345" i="14"/>
  <c r="J5340" i="14" a="1"/>
  <c r="J5340" i="14" s="1"/>
  <c r="N5341" i="14"/>
  <c r="M5344" i="13"/>
  <c r="K5178" i="14" l="1"/>
  <c r="L5178" i="14" s="1"/>
  <c r="I5179" i="14" s="1"/>
  <c r="K5156" i="13"/>
  <c r="L5156" i="13" s="1"/>
  <c r="I5157" i="13" s="1"/>
  <c r="M5346" i="14"/>
  <c r="M5345" i="13"/>
  <c r="J5342" i="13" a="1"/>
  <c r="J5342" i="13" s="1"/>
  <c r="N5343" i="13"/>
  <c r="J5341" i="14" a="1"/>
  <c r="J5341" i="14" s="1"/>
  <c r="N5342" i="14"/>
  <c r="K5179" i="14" l="1"/>
  <c r="L5179" i="14" s="1"/>
  <c r="I5180" i="14" s="1"/>
  <c r="N5343" i="14"/>
  <c r="J5342" i="14" a="1"/>
  <c r="J5342" i="14" s="1"/>
  <c r="K5157" i="13"/>
  <c r="L5157" i="13" s="1"/>
  <c r="I5158" i="13" s="1"/>
  <c r="M5346" i="13"/>
  <c r="M5347" i="14"/>
  <c r="N5344" i="13"/>
  <c r="J5343" i="13" a="1"/>
  <c r="J5343" i="13" s="1"/>
  <c r="K5158" i="13" l="1"/>
  <c r="L5158" i="13" s="1"/>
  <c r="I5159" i="13" s="1"/>
  <c r="K5180" i="14"/>
  <c r="L5180" i="14" s="1"/>
  <c r="I5181" i="14" s="1"/>
  <c r="M5347" i="13"/>
  <c r="N5344" i="14"/>
  <c r="J5343" i="14" a="1"/>
  <c r="J5343" i="14" s="1"/>
  <c r="J5344" i="13" a="1"/>
  <c r="J5344" i="13" s="1"/>
  <c r="N5345" i="13"/>
  <c r="M5348" i="14"/>
  <c r="K5181" i="14" l="1"/>
  <c r="L5181" i="14" s="1"/>
  <c r="I5182" i="14" s="1"/>
  <c r="K5159" i="13"/>
  <c r="L5159" i="13" s="1"/>
  <c r="I5160" i="13" s="1"/>
  <c r="J5344" i="14" a="1"/>
  <c r="J5344" i="14" s="1"/>
  <c r="N5345" i="14"/>
  <c r="M5349" i="14"/>
  <c r="N5346" i="13"/>
  <c r="J5345" i="13" a="1"/>
  <c r="J5345" i="13" s="1"/>
  <c r="M5348" i="13"/>
  <c r="K5182" i="14" l="1"/>
  <c r="L5182" i="14" s="1"/>
  <c r="I5183" i="14" s="1"/>
  <c r="M5349" i="13"/>
  <c r="M5350" i="14"/>
  <c r="K5160" i="13"/>
  <c r="L5160" i="13" s="1"/>
  <c r="I5161" i="13" s="1"/>
  <c r="J5345" i="14" a="1"/>
  <c r="J5345" i="14" s="1"/>
  <c r="N5346" i="14"/>
  <c r="J5346" i="13" a="1"/>
  <c r="J5346" i="13" s="1"/>
  <c r="N5347" i="13"/>
  <c r="K5183" i="14" l="1"/>
  <c r="L5183" i="14" s="1"/>
  <c r="I5184" i="14" s="1"/>
  <c r="N5348" i="13"/>
  <c r="J5347" i="13" a="1"/>
  <c r="J5347" i="13" s="1"/>
  <c r="K5161" i="13"/>
  <c r="L5161" i="13" s="1"/>
  <c r="I5162" i="13" s="1"/>
  <c r="M5350" i="13"/>
  <c r="N5347" i="14"/>
  <c r="J5346" i="14" a="1"/>
  <c r="J5346" i="14" s="1"/>
  <c r="M5351" i="14"/>
  <c r="K5184" i="14" l="1"/>
  <c r="L5184" i="14" s="1"/>
  <c r="I5185" i="14" s="1"/>
  <c r="M5351" i="13"/>
  <c r="M5352" i="14"/>
  <c r="J5348" i="13" a="1"/>
  <c r="J5348" i="13" s="1"/>
  <c r="N5349" i="13"/>
  <c r="N5348" i="14"/>
  <c r="J5347" i="14" a="1"/>
  <c r="J5347" i="14" s="1"/>
  <c r="K5162" i="13"/>
  <c r="L5162" i="13" s="1"/>
  <c r="I5163" i="13" s="1"/>
  <c r="K5185" i="14" l="1"/>
  <c r="L5185" i="14" s="1"/>
  <c r="I5186" i="14" s="1"/>
  <c r="K5163" i="13"/>
  <c r="L5163" i="13" s="1"/>
  <c r="I5164" i="13" s="1"/>
  <c r="N5350" i="13"/>
  <c r="J5349" i="13" a="1"/>
  <c r="J5349" i="13" s="1"/>
  <c r="M5352" i="13"/>
  <c r="J5348" i="14" a="1"/>
  <c r="J5348" i="14" s="1"/>
  <c r="N5349" i="14"/>
  <c r="M5353" i="14"/>
  <c r="K5186" i="14" l="1"/>
  <c r="L5186" i="14" s="1"/>
  <c r="I5187" i="14" s="1"/>
  <c r="M5353" i="13"/>
  <c r="M5354" i="14"/>
  <c r="K5164" i="13"/>
  <c r="L5164" i="13" s="1"/>
  <c r="I5165" i="13" s="1"/>
  <c r="J5349" i="14" a="1"/>
  <c r="J5349" i="14" s="1"/>
  <c r="N5350" i="14"/>
  <c r="J5350" i="13" a="1"/>
  <c r="J5350" i="13" s="1"/>
  <c r="N5351" i="13"/>
  <c r="K5187" i="14" l="1"/>
  <c r="L5187" i="14" s="1"/>
  <c r="I5188" i="14" s="1"/>
  <c r="N5352" i="13"/>
  <c r="J5351" i="13" a="1"/>
  <c r="J5351" i="13" s="1"/>
  <c r="M5354" i="13"/>
  <c r="K5165" i="13"/>
  <c r="L5165" i="13" s="1"/>
  <c r="I5166" i="13" s="1"/>
  <c r="N5351" i="14"/>
  <c r="J5350" i="14" a="1"/>
  <c r="J5350" i="14" s="1"/>
  <c r="M5355" i="14"/>
  <c r="K5166" i="13" l="1"/>
  <c r="L5166" i="13" s="1"/>
  <c r="I5167" i="13" s="1"/>
  <c r="K5188" i="14"/>
  <c r="L5188" i="14" s="1"/>
  <c r="I5189" i="14" s="1"/>
  <c r="M5356" i="14"/>
  <c r="J5352" i="13" a="1"/>
  <c r="J5352" i="13" s="1"/>
  <c r="N5353" i="13"/>
  <c r="M5355" i="13"/>
  <c r="N5352" i="14"/>
  <c r="J5351" i="14" a="1"/>
  <c r="J5351" i="14" s="1"/>
  <c r="K5189" i="14" l="1"/>
  <c r="L5189" i="14" s="1"/>
  <c r="I5190" i="14" s="1"/>
  <c r="K5167" i="13"/>
  <c r="L5167" i="13" s="1"/>
  <c r="I5168" i="13" s="1"/>
  <c r="N5354" i="13"/>
  <c r="J5353" i="13" a="1"/>
  <c r="J5353" i="13" s="1"/>
  <c r="J5352" i="14" a="1"/>
  <c r="J5352" i="14" s="1"/>
  <c r="N5353" i="14"/>
  <c r="M5356" i="13"/>
  <c r="M5357" i="14"/>
  <c r="K5168" i="13" l="1"/>
  <c r="L5168" i="13" s="1"/>
  <c r="I5169" i="13" s="1"/>
  <c r="K5190" i="14"/>
  <c r="L5190" i="14" s="1"/>
  <c r="I5191" i="14" s="1"/>
  <c r="J5353" i="14" a="1"/>
  <c r="J5353" i="14" s="1"/>
  <c r="N5354" i="14"/>
  <c r="M5358" i="14"/>
  <c r="M5357" i="13"/>
  <c r="J5354" i="13" a="1"/>
  <c r="J5354" i="13" s="1"/>
  <c r="N5355" i="13"/>
  <c r="K5191" i="14" l="1"/>
  <c r="L5191" i="14" s="1"/>
  <c r="I5192" i="14" s="1"/>
  <c r="K5169" i="13"/>
  <c r="L5169" i="13" s="1"/>
  <c r="I5170" i="13" s="1"/>
  <c r="J5354" i="14" a="1"/>
  <c r="J5354" i="14" s="1"/>
  <c r="N5355" i="14"/>
  <c r="N5356" i="13"/>
  <c r="J5355" i="13" a="1"/>
  <c r="J5355" i="13" s="1"/>
  <c r="M5359" i="14"/>
  <c r="M5358" i="13"/>
  <c r="K5170" i="13" l="1"/>
  <c r="L5170" i="13" s="1"/>
  <c r="I5171" i="13" s="1"/>
  <c r="K5192" i="14"/>
  <c r="L5192" i="14" s="1"/>
  <c r="I5193" i="14" s="1"/>
  <c r="J5356" i="13" a="1"/>
  <c r="J5356" i="13" s="1"/>
  <c r="N5357" i="13"/>
  <c r="M5359" i="13"/>
  <c r="N5356" i="14"/>
  <c r="J5355" i="14" a="1"/>
  <c r="J5355" i="14" s="1"/>
  <c r="M5360" i="14"/>
  <c r="K5193" i="14" l="1"/>
  <c r="L5193" i="14" s="1"/>
  <c r="I5194" i="14" s="1"/>
  <c r="K5171" i="13"/>
  <c r="L5171" i="13" s="1"/>
  <c r="I5172" i="13" s="1"/>
  <c r="M5361" i="14"/>
  <c r="M5360" i="13"/>
  <c r="N5358" i="13"/>
  <c r="J5357" i="13" a="1"/>
  <c r="J5357" i="13" s="1"/>
  <c r="J5356" i="14" a="1"/>
  <c r="J5356" i="14" s="1"/>
  <c r="N5357" i="14"/>
  <c r="K5194" i="14" l="1"/>
  <c r="L5194" i="14" s="1"/>
  <c r="I5195" i="14" s="1"/>
  <c r="J5357" i="14" a="1"/>
  <c r="J5357" i="14" s="1"/>
  <c r="N5358" i="14"/>
  <c r="M5361" i="13"/>
  <c r="K5172" i="13"/>
  <c r="L5172" i="13" s="1"/>
  <c r="I5173" i="13" s="1"/>
  <c r="J5358" i="13" a="1"/>
  <c r="J5358" i="13" s="1"/>
  <c r="N5359" i="13"/>
  <c r="M5362" i="14"/>
  <c r="K5173" i="13" l="1"/>
  <c r="L5173" i="13" s="1"/>
  <c r="I5174" i="13" s="1"/>
  <c r="K5195" i="14"/>
  <c r="L5195" i="14" s="1"/>
  <c r="I5196" i="14" s="1"/>
  <c r="M5363" i="14"/>
  <c r="N5359" i="14"/>
  <c r="J5358" i="14" a="1"/>
  <c r="J5358" i="14" s="1"/>
  <c r="N5360" i="13"/>
  <c r="J5359" i="13" a="1"/>
  <c r="J5359" i="13" s="1"/>
  <c r="M5362" i="13"/>
  <c r="K5174" i="13" l="1"/>
  <c r="L5174" i="13" s="1"/>
  <c r="I5175" i="13" s="1"/>
  <c r="N5360" i="14"/>
  <c r="J5359" i="14" a="1"/>
  <c r="J5359" i="14" s="1"/>
  <c r="K5196" i="14"/>
  <c r="L5196" i="14" s="1"/>
  <c r="I5197" i="14" s="1"/>
  <c r="M5363" i="13"/>
  <c r="J5360" i="13" a="1"/>
  <c r="J5360" i="13" s="1"/>
  <c r="N5361" i="13"/>
  <c r="M5364" i="14"/>
  <c r="K5197" i="14" l="1"/>
  <c r="L5197" i="14" s="1"/>
  <c r="I5198" i="14" s="1"/>
  <c r="K5175" i="13"/>
  <c r="L5175" i="13" s="1"/>
  <c r="I5176" i="13" s="1"/>
  <c r="M5365" i="14"/>
  <c r="J5360" i="14" a="1"/>
  <c r="J5360" i="14" s="1"/>
  <c r="N5361" i="14"/>
  <c r="N5362" i="13"/>
  <c r="J5361" i="13" a="1"/>
  <c r="J5361" i="13" s="1"/>
  <c r="M5364" i="13"/>
  <c r="K5176" i="13" l="1"/>
  <c r="L5176" i="13" s="1"/>
  <c r="I5177" i="13" s="1"/>
  <c r="K5198" i="14"/>
  <c r="L5198" i="14" s="1"/>
  <c r="I5199" i="14" s="1"/>
  <c r="J5361" i="14" a="1"/>
  <c r="J5361" i="14" s="1"/>
  <c r="N5362" i="14"/>
  <c r="M5366" i="14"/>
  <c r="M5365" i="13"/>
  <c r="J5362" i="13" a="1"/>
  <c r="J5362" i="13" s="1"/>
  <c r="N5363" i="13"/>
  <c r="K5177" i="13" l="1"/>
  <c r="L5177" i="13" s="1"/>
  <c r="I5178" i="13" s="1"/>
  <c r="N5364" i="13"/>
  <c r="J5363" i="13" a="1"/>
  <c r="J5363" i="13" s="1"/>
  <c r="M5367" i="14"/>
  <c r="K5199" i="14"/>
  <c r="L5199" i="14" s="1"/>
  <c r="I5200" i="14" s="1"/>
  <c r="J5362" i="14" a="1"/>
  <c r="J5362" i="14" s="1"/>
  <c r="N5363" i="14"/>
  <c r="M5366" i="13"/>
  <c r="K5200" i="14" l="1"/>
  <c r="L5200" i="14" s="1"/>
  <c r="I5201" i="14" s="1"/>
  <c r="K5178" i="13"/>
  <c r="L5178" i="13" s="1"/>
  <c r="I5179" i="13" s="1"/>
  <c r="J5364" i="13" a="1"/>
  <c r="J5364" i="13" s="1"/>
  <c r="N5365" i="13"/>
  <c r="M5367" i="13"/>
  <c r="N5364" i="14"/>
  <c r="J5363" i="14" a="1"/>
  <c r="J5363" i="14" s="1"/>
  <c r="M5368" i="14"/>
  <c r="K5179" i="13" l="1"/>
  <c r="L5179" i="13" s="1"/>
  <c r="I5180" i="13" s="1"/>
  <c r="K5201" i="14"/>
  <c r="L5201" i="14" s="1"/>
  <c r="I5202" i="14" s="1"/>
  <c r="M5369" i="14"/>
  <c r="M5368" i="13"/>
  <c r="N5366" i="13"/>
  <c r="J5365" i="13" a="1"/>
  <c r="J5365" i="13" s="1"/>
  <c r="J5364" i="14" a="1"/>
  <c r="J5364" i="14" s="1"/>
  <c r="N5365" i="14"/>
  <c r="K5180" i="13" l="1"/>
  <c r="L5180" i="13" s="1"/>
  <c r="I5181" i="13" s="1"/>
  <c r="J5365" i="14" a="1"/>
  <c r="J5365" i="14" s="1"/>
  <c r="N5366" i="14"/>
  <c r="M5369" i="13"/>
  <c r="K5202" i="14"/>
  <c r="L5202" i="14" s="1"/>
  <c r="I5203" i="14" s="1"/>
  <c r="J5366" i="13" a="1"/>
  <c r="J5366" i="13" s="1"/>
  <c r="N5367" i="13"/>
  <c r="M5370" i="14"/>
  <c r="K5181" i="13" l="1"/>
  <c r="L5181" i="13" s="1"/>
  <c r="I5182" i="13" s="1"/>
  <c r="M5371" i="14"/>
  <c r="N5367" i="14"/>
  <c r="J5366" i="14" a="1"/>
  <c r="J5366" i="14" s="1"/>
  <c r="K5203" i="14"/>
  <c r="L5203" i="14" s="1"/>
  <c r="I5204" i="14" s="1"/>
  <c r="N5368" i="13"/>
  <c r="J5367" i="13" a="1"/>
  <c r="J5367" i="13" s="1"/>
  <c r="M5370" i="13"/>
  <c r="K5182" i="13" l="1"/>
  <c r="L5182" i="13" s="1"/>
  <c r="I5183" i="13" s="1"/>
  <c r="M5371" i="13"/>
  <c r="K5204" i="14"/>
  <c r="L5204" i="14" s="1"/>
  <c r="I5205" i="14" s="1"/>
  <c r="M5372" i="14"/>
  <c r="J5368" i="13" a="1"/>
  <c r="J5368" i="13" s="1"/>
  <c r="N5369" i="13"/>
  <c r="N5368" i="14"/>
  <c r="J5367" i="14" a="1"/>
  <c r="J5367" i="14" s="1"/>
  <c r="K5205" i="14" l="1"/>
  <c r="L5205" i="14" s="1"/>
  <c r="I5206" i="14" s="1"/>
  <c r="K5183" i="13"/>
  <c r="L5183" i="13" s="1"/>
  <c r="I5184" i="13" s="1"/>
  <c r="J5368" i="14" a="1"/>
  <c r="J5368" i="14" s="1"/>
  <c r="N5369" i="14"/>
  <c r="M5373" i="14"/>
  <c r="M5372" i="13"/>
  <c r="N5370" i="13"/>
  <c r="J5369" i="13" a="1"/>
  <c r="J5369" i="13" s="1"/>
  <c r="K5206" i="14" l="1"/>
  <c r="L5206" i="14" s="1"/>
  <c r="I5207" i="14" s="1"/>
  <c r="J5370" i="13" a="1"/>
  <c r="J5370" i="13" s="1"/>
  <c r="N5371" i="13"/>
  <c r="M5374" i="14"/>
  <c r="K5184" i="13"/>
  <c r="L5184" i="13" s="1"/>
  <c r="I5185" i="13" s="1"/>
  <c r="M5373" i="13"/>
  <c r="J5369" i="14" a="1"/>
  <c r="J5369" i="14" s="1"/>
  <c r="N5370" i="14"/>
  <c r="K5185" i="13" l="1"/>
  <c r="L5185" i="13" s="1"/>
  <c r="I5186" i="13" s="1"/>
  <c r="K5207" i="14"/>
  <c r="L5207" i="14" s="1"/>
  <c r="I5208" i="14" s="1"/>
  <c r="J5370" i="14" a="1"/>
  <c r="J5370" i="14" s="1"/>
  <c r="N5371" i="14"/>
  <c r="N5372" i="13"/>
  <c r="J5371" i="13" a="1"/>
  <c r="J5371" i="13" s="1"/>
  <c r="M5375" i="14"/>
  <c r="M5374" i="13"/>
  <c r="K5186" i="13" l="1"/>
  <c r="L5186" i="13" s="1"/>
  <c r="I5187" i="13" s="1"/>
  <c r="M5375" i="13"/>
  <c r="K5208" i="14"/>
  <c r="L5208" i="14" s="1"/>
  <c r="I5209" i="14" s="1"/>
  <c r="J5372" i="13" a="1"/>
  <c r="J5372" i="13" s="1"/>
  <c r="N5373" i="13"/>
  <c r="N5372" i="14"/>
  <c r="J5371" i="14" a="1"/>
  <c r="J5371" i="14" s="1"/>
  <c r="M5376" i="14"/>
  <c r="K5209" i="14" l="1"/>
  <c r="L5209" i="14" s="1"/>
  <c r="I5210" i="14" s="1"/>
  <c r="K5187" i="13"/>
  <c r="L5187" i="13" s="1"/>
  <c r="I5188" i="13" s="1"/>
  <c r="M5377" i="14"/>
  <c r="N5374" i="13"/>
  <c r="J5373" i="13" a="1"/>
  <c r="J5373" i="13" s="1"/>
  <c r="M5376" i="13"/>
  <c r="J5372" i="14" a="1"/>
  <c r="J5372" i="14" s="1"/>
  <c r="N5373" i="14"/>
  <c r="K5188" i="13" l="1"/>
  <c r="L5188" i="13" s="1"/>
  <c r="I5189" i="13" s="1"/>
  <c r="K5210" i="14"/>
  <c r="L5210" i="14" s="1"/>
  <c r="I5211" i="14" s="1"/>
  <c r="J5373" i="14" a="1"/>
  <c r="J5373" i="14" s="1"/>
  <c r="N5374" i="14"/>
  <c r="J5374" i="13" a="1"/>
  <c r="J5374" i="13" s="1"/>
  <c r="N5375" i="13"/>
  <c r="M5377" i="13"/>
  <c r="M5378" i="14"/>
  <c r="K5211" i="14" l="1"/>
  <c r="L5211" i="14" s="1"/>
  <c r="I5212" i="14" s="1"/>
  <c r="K5189" i="13"/>
  <c r="L5189" i="13" s="1"/>
  <c r="I5190" i="13" s="1"/>
  <c r="N5376" i="13"/>
  <c r="J5375" i="13" a="1"/>
  <c r="J5375" i="13" s="1"/>
  <c r="M5379" i="14"/>
  <c r="N5375" i="14"/>
  <c r="J5374" i="14" a="1"/>
  <c r="J5374" i="14" s="1"/>
  <c r="M5378" i="13"/>
  <c r="N5376" i="14" l="1"/>
  <c r="J5375" i="14" a="1"/>
  <c r="J5375" i="14" s="1"/>
  <c r="M5379" i="13"/>
  <c r="M5380" i="14"/>
  <c r="K5190" i="13"/>
  <c r="L5190" i="13" s="1"/>
  <c r="I5191" i="13" s="1"/>
  <c r="J5376" i="13" a="1"/>
  <c r="J5376" i="13" s="1"/>
  <c r="N5377" i="13"/>
  <c r="K5212" i="14"/>
  <c r="L5212" i="14" s="1"/>
  <c r="I5213" i="14" s="1"/>
  <c r="N5378" i="13" l="1"/>
  <c r="J5377" i="13" a="1"/>
  <c r="J5377" i="13" s="1"/>
  <c r="K5191" i="13"/>
  <c r="L5191" i="13" s="1"/>
  <c r="I5192" i="13" s="1"/>
  <c r="M5380" i="13"/>
  <c r="K5213" i="14"/>
  <c r="L5213" i="14" s="1"/>
  <c r="I5214" i="14" s="1"/>
  <c r="M5381" i="14"/>
  <c r="J5376" i="14" a="1"/>
  <c r="J5376" i="14" s="1"/>
  <c r="N5377" i="14"/>
  <c r="J5377" i="14" l="1" a="1"/>
  <c r="J5377" i="14" s="1"/>
  <c r="N5378" i="14"/>
  <c r="K5214" i="14"/>
  <c r="L5214" i="14" s="1"/>
  <c r="I5215" i="14" s="1"/>
  <c r="K5192" i="13"/>
  <c r="L5192" i="13" s="1"/>
  <c r="I5193" i="13" s="1"/>
  <c r="M5382" i="14"/>
  <c r="M5381" i="13"/>
  <c r="J5378" i="13" a="1"/>
  <c r="J5378" i="13" s="1"/>
  <c r="N5379" i="13"/>
  <c r="K5215" i="14" l="1"/>
  <c r="L5215" i="14" s="1"/>
  <c r="I5216" i="14" s="1"/>
  <c r="N5380" i="13"/>
  <c r="J5379" i="13" a="1"/>
  <c r="J5379" i="13" s="1"/>
  <c r="M5383" i="14"/>
  <c r="M5382" i="13"/>
  <c r="K5193" i="13"/>
  <c r="L5193" i="13" s="1"/>
  <c r="I5194" i="13" s="1"/>
  <c r="J5378" i="14" a="1"/>
  <c r="J5378" i="14" s="1"/>
  <c r="N5379" i="14"/>
  <c r="K5194" i="13" l="1"/>
  <c r="L5194" i="13" s="1"/>
  <c r="I5195" i="13" s="1"/>
  <c r="K5216" i="14"/>
  <c r="L5216" i="14" s="1"/>
  <c r="I5217" i="14" s="1"/>
  <c r="J5380" i="13" a="1"/>
  <c r="J5380" i="13" s="1"/>
  <c r="N5381" i="13"/>
  <c r="N5380" i="14"/>
  <c r="J5379" i="14" a="1"/>
  <c r="J5379" i="14" s="1"/>
  <c r="M5383" i="13"/>
  <c r="M5384" i="14"/>
  <c r="K5217" i="14" l="1"/>
  <c r="L5217" i="14" s="1"/>
  <c r="I5218" i="14" s="1"/>
  <c r="K5195" i="13"/>
  <c r="L5195" i="13" s="1"/>
  <c r="I5196" i="13" s="1"/>
  <c r="M5385" i="14"/>
  <c r="J5380" i="14" a="1"/>
  <c r="J5380" i="14" s="1"/>
  <c r="N5381" i="14"/>
  <c r="N5382" i="13"/>
  <c r="J5381" i="13" a="1"/>
  <c r="J5381" i="13" s="1"/>
  <c r="M5384" i="13"/>
  <c r="K5218" i="14" l="1"/>
  <c r="L5218" i="14" s="1"/>
  <c r="I5219" i="14" s="1"/>
  <c r="K5196" i="13"/>
  <c r="L5196" i="13" s="1"/>
  <c r="I5197" i="13" s="1"/>
  <c r="J5381" i="14" a="1"/>
  <c r="J5381" i="14" s="1"/>
  <c r="N5382" i="14"/>
  <c r="M5385" i="13"/>
  <c r="J5382" i="13" a="1"/>
  <c r="J5382" i="13" s="1"/>
  <c r="N5383" i="13"/>
  <c r="M5386" i="14"/>
  <c r="K5219" i="14" l="1"/>
  <c r="L5219" i="14" s="1"/>
  <c r="I5220" i="14" s="1"/>
  <c r="M5387" i="14"/>
  <c r="N5384" i="13"/>
  <c r="J5383" i="13" a="1"/>
  <c r="J5383" i="13" s="1"/>
  <c r="M5386" i="13"/>
  <c r="K5197" i="13"/>
  <c r="L5197" i="13" s="1"/>
  <c r="I5198" i="13" s="1"/>
  <c r="N5383" i="14"/>
  <c r="J5382" i="14" a="1"/>
  <c r="J5382" i="14" s="1"/>
  <c r="K5198" i="13" l="1"/>
  <c r="L5198" i="13" s="1"/>
  <c r="I5199" i="13" s="1"/>
  <c r="K5220" i="14"/>
  <c r="L5220" i="14" s="1"/>
  <c r="I5221" i="14" s="1"/>
  <c r="M5387" i="13"/>
  <c r="N5384" i="14"/>
  <c r="J5383" i="14" a="1"/>
  <c r="J5383" i="14" s="1"/>
  <c r="M5388" i="14"/>
  <c r="J5384" i="13" a="1"/>
  <c r="J5384" i="13" s="1"/>
  <c r="N5385" i="13"/>
  <c r="K5221" i="14" l="1"/>
  <c r="L5221" i="14" s="1"/>
  <c r="I5222" i="14" s="1"/>
  <c r="K5199" i="13"/>
  <c r="L5199" i="13" s="1"/>
  <c r="I5200" i="13" s="1"/>
  <c r="N5386" i="13"/>
  <c r="J5385" i="13" a="1"/>
  <c r="J5385" i="13" s="1"/>
  <c r="J5384" i="14" a="1"/>
  <c r="J5384" i="14" s="1"/>
  <c r="N5385" i="14"/>
  <c r="M5389" i="14"/>
  <c r="M5388" i="13"/>
  <c r="K5200" i="13" l="1"/>
  <c r="L5200" i="13" s="1"/>
  <c r="I5201" i="13" s="1"/>
  <c r="K5222" i="14"/>
  <c r="L5222" i="14" s="1"/>
  <c r="I5223" i="14" s="1"/>
  <c r="J5385" i="14" a="1"/>
  <c r="J5385" i="14" s="1"/>
  <c r="N5386" i="14"/>
  <c r="M5389" i="13"/>
  <c r="M5390" i="14"/>
  <c r="J5386" i="13" a="1"/>
  <c r="J5386" i="13" s="1"/>
  <c r="N5387" i="13"/>
  <c r="K5223" i="14" l="1"/>
  <c r="L5223" i="14" s="1"/>
  <c r="I5224" i="14" s="1"/>
  <c r="K5201" i="13"/>
  <c r="L5201" i="13" s="1"/>
  <c r="I5202" i="13" s="1"/>
  <c r="N5388" i="13"/>
  <c r="J5387" i="13" a="1"/>
  <c r="J5387" i="13" s="1"/>
  <c r="M5390" i="13"/>
  <c r="N5387" i="14"/>
  <c r="J5386" i="14" a="1"/>
  <c r="J5386" i="14" s="1"/>
  <c r="M5391" i="14"/>
  <c r="K5202" i="13" l="1"/>
  <c r="L5202" i="13" s="1"/>
  <c r="I5203" i="13" s="1"/>
  <c r="K5224" i="14"/>
  <c r="L5224" i="14" s="1"/>
  <c r="I5225" i="14" s="1"/>
  <c r="M5391" i="13"/>
  <c r="M5392" i="14"/>
  <c r="N5388" i="14"/>
  <c r="J5387" i="14" a="1"/>
  <c r="J5387" i="14" s="1"/>
  <c r="J5388" i="13" a="1"/>
  <c r="J5388" i="13" s="1"/>
  <c r="N5389" i="13"/>
  <c r="K5225" i="14" l="1"/>
  <c r="L5225" i="14" s="1"/>
  <c r="I5226" i="14" s="1"/>
  <c r="K5203" i="13"/>
  <c r="L5203" i="13" s="1"/>
  <c r="I5204" i="13" s="1"/>
  <c r="N5390" i="13"/>
  <c r="J5389" i="13" a="1"/>
  <c r="J5389" i="13" s="1"/>
  <c r="M5393" i="14"/>
  <c r="J5388" i="14" a="1"/>
  <c r="J5388" i="14" s="1"/>
  <c r="N5389" i="14"/>
  <c r="M5392" i="13"/>
  <c r="K5204" i="13" l="1"/>
  <c r="L5204" i="13" s="1"/>
  <c r="I5205" i="13" s="1"/>
  <c r="K5226" i="14"/>
  <c r="L5226" i="14" s="1"/>
  <c r="I5227" i="14" s="1"/>
  <c r="J5389" i="14" a="1"/>
  <c r="J5389" i="14" s="1"/>
  <c r="N5390" i="14"/>
  <c r="M5393" i="13"/>
  <c r="M5394" i="14"/>
  <c r="J5390" i="13" a="1"/>
  <c r="J5390" i="13" s="1"/>
  <c r="N5391" i="13"/>
  <c r="K5205" i="13" l="1"/>
  <c r="L5205" i="13" s="1"/>
  <c r="I5206" i="13" s="1"/>
  <c r="N5392" i="13"/>
  <c r="J5391" i="13" a="1"/>
  <c r="J5391" i="13" s="1"/>
  <c r="M5394" i="13"/>
  <c r="K5227" i="14"/>
  <c r="L5227" i="14" s="1"/>
  <c r="I5228" i="14" s="1"/>
  <c r="N5391" i="14"/>
  <c r="J5390" i="14" a="1"/>
  <c r="J5390" i="14" s="1"/>
  <c r="M5395" i="14"/>
  <c r="K5228" i="14" l="1"/>
  <c r="L5228" i="14" s="1"/>
  <c r="I5229" i="14" s="1"/>
  <c r="K5206" i="13"/>
  <c r="L5206" i="13" s="1"/>
  <c r="I5207" i="13" s="1"/>
  <c r="J5392" i="13" a="1"/>
  <c r="J5392" i="13" s="1"/>
  <c r="N5393" i="13"/>
  <c r="M5396" i="14"/>
  <c r="M5395" i="13"/>
  <c r="N5392" i="14"/>
  <c r="J5391" i="14" a="1"/>
  <c r="J5391" i="14" s="1"/>
  <c r="K5207" i="13" l="1"/>
  <c r="L5207" i="13" s="1"/>
  <c r="I5208" i="13" s="1"/>
  <c r="K5229" i="14"/>
  <c r="L5229" i="14" s="1"/>
  <c r="I5230" i="14" s="1"/>
  <c r="M5396" i="13"/>
  <c r="J5392" i="14" a="1"/>
  <c r="J5392" i="14" s="1"/>
  <c r="N5393" i="14"/>
  <c r="M5397" i="14"/>
  <c r="N5394" i="13"/>
  <c r="J5393" i="13" a="1"/>
  <c r="J5393" i="13" s="1"/>
  <c r="K5208" i="13" l="1"/>
  <c r="L5208" i="13" s="1"/>
  <c r="I5209" i="13" s="1"/>
  <c r="J5393" i="14" a="1"/>
  <c r="J5393" i="14" s="1"/>
  <c r="N5394" i="14"/>
  <c r="K5230" i="14"/>
  <c r="L5230" i="14" s="1"/>
  <c r="I5231" i="14" s="1"/>
  <c r="M5398" i="14"/>
  <c r="M5397" i="13"/>
  <c r="J5394" i="13" a="1"/>
  <c r="J5394" i="13" s="1"/>
  <c r="N5395" i="13"/>
  <c r="K5231" i="14" l="1"/>
  <c r="L5231" i="14" s="1"/>
  <c r="I5232" i="14" s="1"/>
  <c r="K5209" i="13"/>
  <c r="L5209" i="13" s="1"/>
  <c r="I5210" i="13" s="1"/>
  <c r="N5396" i="13"/>
  <c r="J5395" i="13" a="1"/>
  <c r="J5395" i="13" s="1"/>
  <c r="M5399" i="14"/>
  <c r="J5394" i="14" a="1"/>
  <c r="J5394" i="14" s="1"/>
  <c r="N5395" i="14"/>
  <c r="M5398" i="13"/>
  <c r="K5210" i="13" l="1"/>
  <c r="L5210" i="13" s="1"/>
  <c r="I5211" i="13" s="1"/>
  <c r="K5232" i="14"/>
  <c r="L5232" i="14" s="1"/>
  <c r="I5233" i="14" s="1"/>
  <c r="M5399" i="13"/>
  <c r="M5400" i="14"/>
  <c r="N5396" i="14"/>
  <c r="J5395" i="14" a="1"/>
  <c r="J5395" i="14" s="1"/>
  <c r="J5396" i="13" a="1"/>
  <c r="J5396" i="13" s="1"/>
  <c r="N5397" i="13"/>
  <c r="K5233" i="14" l="1"/>
  <c r="L5233" i="14" s="1"/>
  <c r="I5234" i="14" s="1"/>
  <c r="K5211" i="13"/>
  <c r="L5211" i="13" s="1"/>
  <c r="I5212" i="13" s="1"/>
  <c r="N5398" i="13"/>
  <c r="J5397" i="13" a="1"/>
  <c r="J5397" i="13" s="1"/>
  <c r="M5401" i="14"/>
  <c r="J5396" i="14" a="1"/>
  <c r="J5396" i="14" s="1"/>
  <c r="N5397" i="14"/>
  <c r="M5400" i="13"/>
  <c r="K5212" i="13" l="1"/>
  <c r="L5212" i="13" s="1"/>
  <c r="I5213" i="13" s="1"/>
  <c r="K5234" i="14"/>
  <c r="L5234" i="14" s="1"/>
  <c r="I5235" i="14" s="1"/>
  <c r="J5397" i="14" a="1"/>
  <c r="J5397" i="14" s="1"/>
  <c r="N5398" i="14"/>
  <c r="M5401" i="13"/>
  <c r="M5402" i="14"/>
  <c r="J5398" i="13" a="1"/>
  <c r="J5398" i="13" s="1"/>
  <c r="N5399" i="13"/>
  <c r="K5235" i="14" l="1"/>
  <c r="L5235" i="14" s="1"/>
  <c r="I5236" i="14" s="1"/>
  <c r="K5213" i="13"/>
  <c r="L5213" i="13" s="1"/>
  <c r="I5214" i="13" s="1"/>
  <c r="N5400" i="13"/>
  <c r="J5399" i="13" a="1"/>
  <c r="J5399" i="13" s="1"/>
  <c r="M5402" i="13"/>
  <c r="N5399" i="14"/>
  <c r="J5398" i="14" a="1"/>
  <c r="J5398" i="14" s="1"/>
  <c r="M5403" i="14"/>
  <c r="K5214" i="13" l="1"/>
  <c r="L5214" i="13" s="1"/>
  <c r="I5215" i="13" s="1"/>
  <c r="K5236" i="14"/>
  <c r="L5236" i="14" s="1"/>
  <c r="I5237" i="14" s="1"/>
  <c r="M5403" i="13"/>
  <c r="M5404" i="14"/>
  <c r="N5400" i="14"/>
  <c r="J5399" i="14" a="1"/>
  <c r="J5399" i="14" s="1"/>
  <c r="J5400" i="13" a="1"/>
  <c r="J5400" i="13" s="1"/>
  <c r="N5401" i="13"/>
  <c r="K5215" i="13" l="1"/>
  <c r="L5215" i="13" s="1"/>
  <c r="I5216" i="13" s="1"/>
  <c r="K5237" i="14"/>
  <c r="L5237" i="14" s="1"/>
  <c r="I5238" i="14" s="1"/>
  <c r="N5402" i="13"/>
  <c r="J5401" i="13" a="1"/>
  <c r="J5401" i="13" s="1"/>
  <c r="M5405" i="14"/>
  <c r="J5400" i="14" a="1"/>
  <c r="J5400" i="14" s="1"/>
  <c r="N5401" i="14"/>
  <c r="M5404" i="13"/>
  <c r="K5238" i="14" l="1"/>
  <c r="L5238" i="14" s="1"/>
  <c r="I5239" i="14" s="1"/>
  <c r="K5216" i="13"/>
  <c r="L5216" i="13" s="1"/>
  <c r="I5217" i="13" s="1"/>
  <c r="J5401" i="14" a="1"/>
  <c r="J5401" i="14" s="1"/>
  <c r="N5402" i="14"/>
  <c r="M5405" i="13"/>
  <c r="M5406" i="14"/>
  <c r="J5402" i="13" a="1"/>
  <c r="J5402" i="13" s="1"/>
  <c r="N5403" i="13"/>
  <c r="K5239" i="14" l="1"/>
  <c r="L5239" i="14" s="1"/>
  <c r="I5240" i="14" s="1"/>
  <c r="N5404" i="13"/>
  <c r="J5403" i="13" a="1"/>
  <c r="J5403" i="13" s="1"/>
  <c r="M5406" i="13"/>
  <c r="K5217" i="13"/>
  <c r="L5217" i="13" s="1"/>
  <c r="I5218" i="13" s="1"/>
  <c r="M5407" i="14"/>
  <c r="J5402" i="14" a="1"/>
  <c r="J5402" i="14" s="1"/>
  <c r="N5403" i="14"/>
  <c r="K5218" i="13" l="1"/>
  <c r="L5218" i="13" s="1"/>
  <c r="I5219" i="13" s="1"/>
  <c r="K5240" i="14"/>
  <c r="L5240" i="14" s="1"/>
  <c r="I5241" i="14" s="1"/>
  <c r="J5404" i="13" a="1"/>
  <c r="J5404" i="13" s="1"/>
  <c r="N5405" i="13"/>
  <c r="N5404" i="14"/>
  <c r="J5403" i="14" a="1"/>
  <c r="J5403" i="14" s="1"/>
  <c r="M5407" i="13"/>
  <c r="M5408" i="14"/>
  <c r="K5241" i="14" l="1"/>
  <c r="L5241" i="14" s="1"/>
  <c r="I5242" i="14" s="1"/>
  <c r="K5219" i="13"/>
  <c r="L5219" i="13" s="1"/>
  <c r="I5220" i="13" s="1"/>
  <c r="M5408" i="13"/>
  <c r="M5409" i="14"/>
  <c r="J5404" i="14" a="1"/>
  <c r="J5404" i="14" s="1"/>
  <c r="N5405" i="14"/>
  <c r="N5406" i="13"/>
  <c r="J5405" i="13" a="1"/>
  <c r="J5405" i="13" s="1"/>
  <c r="K5242" i="14" l="1"/>
  <c r="L5242" i="14" s="1"/>
  <c r="I5243" i="14" s="1"/>
  <c r="K5220" i="13"/>
  <c r="L5220" i="13" s="1"/>
  <c r="I5221" i="13" s="1"/>
  <c r="J5406" i="13" a="1"/>
  <c r="J5406" i="13" s="1"/>
  <c r="N5407" i="13"/>
  <c r="M5410" i="14"/>
  <c r="J5405" i="14" a="1"/>
  <c r="J5405" i="14" s="1"/>
  <c r="N5406" i="14"/>
  <c r="M5409" i="13"/>
  <c r="K5221" i="13" l="1"/>
  <c r="L5221" i="13" s="1"/>
  <c r="I5222" i="13" s="1"/>
  <c r="K5243" i="14"/>
  <c r="L5243" i="14" s="1"/>
  <c r="I5244" i="14" s="1"/>
  <c r="N5407" i="14"/>
  <c r="J5406" i="14" a="1"/>
  <c r="J5406" i="14" s="1"/>
  <c r="M5411" i="14"/>
  <c r="M5410" i="13"/>
  <c r="N5408" i="13"/>
  <c r="J5407" i="13" a="1"/>
  <c r="J5407" i="13" s="1"/>
  <c r="K5222" i="13" l="1"/>
  <c r="L5222" i="13" s="1"/>
  <c r="I5223" i="13" s="1"/>
  <c r="J5408" i="13" a="1"/>
  <c r="J5408" i="13" s="1"/>
  <c r="N5409" i="13"/>
  <c r="K5244" i="14"/>
  <c r="L5244" i="14" s="1"/>
  <c r="I5245" i="14" s="1"/>
  <c r="M5412" i="14"/>
  <c r="M5411" i="13"/>
  <c r="N5408" i="14"/>
  <c r="J5407" i="14" a="1"/>
  <c r="J5407" i="14" s="1"/>
  <c r="K5245" i="14" l="1"/>
  <c r="L5245" i="14" s="1"/>
  <c r="I5246" i="14" s="1"/>
  <c r="K5223" i="13"/>
  <c r="L5223" i="13" s="1"/>
  <c r="I5224" i="13" s="1"/>
  <c r="N5410" i="13"/>
  <c r="J5409" i="13" a="1"/>
  <c r="J5409" i="13" s="1"/>
  <c r="J5408" i="14" a="1"/>
  <c r="J5408" i="14" s="1"/>
  <c r="N5409" i="14"/>
  <c r="M5413" i="14"/>
  <c r="M5412" i="13"/>
  <c r="K5246" i="14" l="1"/>
  <c r="L5246" i="14" s="1"/>
  <c r="I5247" i="14" s="1"/>
  <c r="M5413" i="13"/>
  <c r="J5409" i="14" a="1"/>
  <c r="J5409" i="14" s="1"/>
  <c r="N5410" i="14"/>
  <c r="K5224" i="13"/>
  <c r="L5224" i="13" s="1"/>
  <c r="I5225" i="13" s="1"/>
  <c r="M5414" i="14"/>
  <c r="J5410" i="13" a="1"/>
  <c r="J5410" i="13" s="1"/>
  <c r="N5411" i="13"/>
  <c r="K5247" i="14" l="1"/>
  <c r="L5247" i="14" s="1"/>
  <c r="I5248" i="14" s="1"/>
  <c r="N5412" i="13"/>
  <c r="J5411" i="13" a="1"/>
  <c r="J5411" i="13" s="1"/>
  <c r="M5414" i="13"/>
  <c r="K5225" i="13"/>
  <c r="L5225" i="13" s="1"/>
  <c r="I5226" i="13" s="1"/>
  <c r="M5415" i="14"/>
  <c r="J5410" i="14" a="1"/>
  <c r="J5410" i="14" s="1"/>
  <c r="N5411" i="14"/>
  <c r="K5226" i="13" l="1"/>
  <c r="L5226" i="13" s="1"/>
  <c r="I5227" i="13" s="1"/>
  <c r="K5248" i="14"/>
  <c r="L5248" i="14" s="1"/>
  <c r="I5249" i="14" s="1"/>
  <c r="N5412" i="14"/>
  <c r="J5411" i="14" a="1"/>
  <c r="J5411" i="14" s="1"/>
  <c r="J5412" i="13" a="1"/>
  <c r="J5412" i="13" s="1"/>
  <c r="N5413" i="13"/>
  <c r="M5415" i="13"/>
  <c r="M5416" i="14"/>
  <c r="K5249" i="14" l="1"/>
  <c r="L5249" i="14" s="1"/>
  <c r="I5250" i="14" s="1"/>
  <c r="K5227" i="13"/>
  <c r="L5227" i="13" s="1"/>
  <c r="I5228" i="13" s="1"/>
  <c r="N5414" i="13"/>
  <c r="J5413" i="13" a="1"/>
  <c r="J5413" i="13" s="1"/>
  <c r="M5417" i="14"/>
  <c r="M5416" i="13"/>
  <c r="J5412" i="14" a="1"/>
  <c r="J5412" i="14" s="1"/>
  <c r="N5413" i="14"/>
  <c r="K5250" i="14" l="1"/>
  <c r="L5250" i="14" s="1"/>
  <c r="I5251" i="14" s="1"/>
  <c r="J5413" i="14" a="1"/>
  <c r="J5413" i="14" s="1"/>
  <c r="N5414" i="14"/>
  <c r="K5228" i="13"/>
  <c r="L5228" i="13" s="1"/>
  <c r="I5229" i="13" s="1"/>
  <c r="M5418" i="14"/>
  <c r="M5417" i="13"/>
  <c r="J5414" i="13" a="1"/>
  <c r="J5414" i="13" s="1"/>
  <c r="N5415" i="13"/>
  <c r="K5229" i="13" l="1"/>
  <c r="L5229" i="13" s="1"/>
  <c r="I5230" i="13" s="1"/>
  <c r="K5251" i="14"/>
  <c r="L5251" i="14" s="1"/>
  <c r="I5252" i="14" s="1"/>
  <c r="N5416" i="13"/>
  <c r="J5415" i="13" a="1"/>
  <c r="J5415" i="13" s="1"/>
  <c r="M5419" i="14"/>
  <c r="N5415" i="14"/>
  <c r="J5414" i="14" a="1"/>
  <c r="J5414" i="14" s="1"/>
  <c r="M5418" i="13"/>
  <c r="K5252" i="14" l="1"/>
  <c r="L5252" i="14" s="1"/>
  <c r="I5253" i="14" s="1"/>
  <c r="K5230" i="13"/>
  <c r="L5230" i="13" s="1"/>
  <c r="I5231" i="13" s="1"/>
  <c r="M5419" i="13"/>
  <c r="M5420" i="14"/>
  <c r="N5416" i="14"/>
  <c r="J5415" i="14" a="1"/>
  <c r="J5415" i="14" s="1"/>
  <c r="J5416" i="13" a="1"/>
  <c r="J5416" i="13" s="1"/>
  <c r="N5417" i="13"/>
  <c r="K5231" i="13" l="1"/>
  <c r="L5231" i="13" s="1"/>
  <c r="I5232" i="13" s="1"/>
  <c r="K5253" i="14"/>
  <c r="L5253" i="14" s="1"/>
  <c r="I5254" i="14" s="1"/>
  <c r="J5416" i="14" a="1"/>
  <c r="J5416" i="14" s="1"/>
  <c r="N5417" i="14"/>
  <c r="M5421" i="14"/>
  <c r="N5418" i="13"/>
  <c r="J5417" i="13" a="1"/>
  <c r="J5417" i="13" s="1"/>
  <c r="M5420" i="13"/>
  <c r="K5232" i="13" l="1"/>
  <c r="L5232" i="13" s="1"/>
  <c r="I5233" i="13" s="1"/>
  <c r="J5418" i="13" a="1"/>
  <c r="J5418" i="13" s="1"/>
  <c r="N5419" i="13"/>
  <c r="M5421" i="13"/>
  <c r="M5422" i="14"/>
  <c r="K5254" i="14"/>
  <c r="L5254" i="14" s="1"/>
  <c r="I5255" i="14" s="1"/>
  <c r="J5417" i="14" a="1"/>
  <c r="J5417" i="14" s="1"/>
  <c r="N5418" i="14"/>
  <c r="K5255" i="14" l="1"/>
  <c r="L5255" i="14" s="1"/>
  <c r="I5256" i="14" s="1"/>
  <c r="K5233" i="13"/>
  <c r="L5233" i="13" s="1"/>
  <c r="I5234" i="13" s="1"/>
  <c r="N5419" i="14"/>
  <c r="J5418" i="14" a="1"/>
  <c r="J5418" i="14" s="1"/>
  <c r="M5423" i="14"/>
  <c r="N5420" i="13"/>
  <c r="J5419" i="13" a="1"/>
  <c r="J5419" i="13" s="1"/>
  <c r="M5422" i="13"/>
  <c r="K5234" i="13" l="1"/>
  <c r="L5234" i="13" s="1"/>
  <c r="I5235" i="13" s="1"/>
  <c r="K5256" i="14"/>
  <c r="L5256" i="14" s="1"/>
  <c r="I5257" i="14" s="1"/>
  <c r="M5423" i="13"/>
  <c r="M5424" i="14"/>
  <c r="J5420" i="13" a="1"/>
  <c r="J5420" i="13" s="1"/>
  <c r="N5421" i="13"/>
  <c r="N5420" i="14"/>
  <c r="J5419" i="14" a="1"/>
  <c r="J5419" i="14" s="1"/>
  <c r="K5235" i="13" l="1"/>
  <c r="L5235" i="13" s="1"/>
  <c r="I5236" i="13" s="1"/>
  <c r="M5425" i="14"/>
  <c r="J5420" i="14" a="1"/>
  <c r="J5420" i="14" s="1"/>
  <c r="N5421" i="14"/>
  <c r="K5257" i="14"/>
  <c r="L5257" i="14" s="1"/>
  <c r="I5258" i="14" s="1"/>
  <c r="N5422" i="13"/>
  <c r="J5421" i="13" a="1"/>
  <c r="J5421" i="13" s="1"/>
  <c r="M5424" i="13"/>
  <c r="K5258" i="14" l="1"/>
  <c r="L5258" i="14" s="1"/>
  <c r="I5259" i="14" s="1"/>
  <c r="K5236" i="13"/>
  <c r="L5236" i="13" s="1"/>
  <c r="I5237" i="13" s="1"/>
  <c r="M5426" i="14"/>
  <c r="M5425" i="13"/>
  <c r="N5422" i="14"/>
  <c r="J5421" i="14" a="1"/>
  <c r="J5421" i="14" s="1"/>
  <c r="J5422" i="13" a="1"/>
  <c r="J5422" i="13" s="1"/>
  <c r="N5423" i="13"/>
  <c r="K5237" i="13" l="1"/>
  <c r="L5237" i="13" s="1"/>
  <c r="I5238" i="13" s="1"/>
  <c r="K5259" i="14"/>
  <c r="L5259" i="14" s="1"/>
  <c r="I5260" i="14" s="1"/>
  <c r="N5424" i="13"/>
  <c r="J5423" i="13" a="1"/>
  <c r="J5423" i="13" s="1"/>
  <c r="M5426" i="13"/>
  <c r="M5427" i="14"/>
  <c r="N5423" i="14"/>
  <c r="J5422" i="14" a="1"/>
  <c r="J5422" i="14" s="1"/>
  <c r="K5238" i="13" l="1"/>
  <c r="L5238" i="13" s="1"/>
  <c r="I5239" i="13" s="1"/>
  <c r="M5427" i="13"/>
  <c r="N5424" i="14"/>
  <c r="J5423" i="14" a="1"/>
  <c r="J5423" i="14" s="1"/>
  <c r="K5260" i="14"/>
  <c r="L5260" i="14" s="1"/>
  <c r="I5261" i="14" s="1"/>
  <c r="M5428" i="14"/>
  <c r="J5424" i="13" a="1"/>
  <c r="J5424" i="13" s="1"/>
  <c r="N5425" i="13"/>
  <c r="K5239" i="13" l="1"/>
  <c r="L5239" i="13" s="1"/>
  <c r="I5240" i="13" s="1"/>
  <c r="N5426" i="13"/>
  <c r="J5425" i="13" a="1"/>
  <c r="J5425" i="13" s="1"/>
  <c r="K5261" i="14"/>
  <c r="L5261" i="14" s="1"/>
  <c r="I5262" i="14" s="1"/>
  <c r="M5428" i="13"/>
  <c r="M5429" i="14"/>
  <c r="J5424" i="14" a="1"/>
  <c r="J5424" i="14" s="1"/>
  <c r="N5425" i="14"/>
  <c r="K5262" i="14" l="1"/>
  <c r="L5262" i="14" s="1"/>
  <c r="I5263" i="14" s="1"/>
  <c r="K5240" i="13"/>
  <c r="L5240" i="13" s="1"/>
  <c r="I5241" i="13" s="1"/>
  <c r="N5426" i="14"/>
  <c r="J5425" i="14" a="1"/>
  <c r="J5425" i="14" s="1"/>
  <c r="M5429" i="13"/>
  <c r="J5426" i="13" a="1"/>
  <c r="J5426" i="13" s="1"/>
  <c r="N5427" i="13"/>
  <c r="M5430" i="14"/>
  <c r="K5263" i="14" l="1"/>
  <c r="L5263" i="14" s="1"/>
  <c r="I5264" i="14" s="1"/>
  <c r="K5241" i="13"/>
  <c r="L5241" i="13" s="1"/>
  <c r="I5242" i="13" s="1"/>
  <c r="M5431" i="14"/>
  <c r="N5428" i="13"/>
  <c r="J5427" i="13" a="1"/>
  <c r="J5427" i="13" s="1"/>
  <c r="M5430" i="13"/>
  <c r="N5427" i="14"/>
  <c r="J5426" i="14" a="1"/>
  <c r="J5426" i="14" s="1"/>
  <c r="K5242" i="13" l="1"/>
  <c r="L5242" i="13" s="1"/>
  <c r="I5243" i="13" s="1"/>
  <c r="K5264" i="14"/>
  <c r="L5264" i="14" s="1"/>
  <c r="I5265" i="14" s="1"/>
  <c r="J5428" i="13" a="1"/>
  <c r="J5428" i="13" s="1"/>
  <c r="N5429" i="13"/>
  <c r="N5428" i="14"/>
  <c r="J5427" i="14" a="1"/>
  <c r="J5427" i="14" s="1"/>
  <c r="M5431" i="13"/>
  <c r="M5432" i="14"/>
  <c r="K5243" i="13" l="1"/>
  <c r="L5243" i="13" s="1"/>
  <c r="I5244" i="13" s="1"/>
  <c r="J5428" i="14" a="1"/>
  <c r="J5428" i="14" s="1"/>
  <c r="N5429" i="14"/>
  <c r="M5432" i="13"/>
  <c r="M5433" i="14"/>
  <c r="K5265" i="14"/>
  <c r="L5265" i="14" s="1"/>
  <c r="I5266" i="14" s="1"/>
  <c r="N5430" i="13"/>
  <c r="J5429" i="13" a="1"/>
  <c r="J5429" i="13" s="1"/>
  <c r="K5266" i="14" l="1"/>
  <c r="L5266" i="14" s="1"/>
  <c r="I5267" i="14" s="1"/>
  <c r="K5244" i="13"/>
  <c r="L5244" i="13" s="1"/>
  <c r="I5245" i="13" s="1"/>
  <c r="N5430" i="14"/>
  <c r="J5429" i="14" a="1"/>
  <c r="J5429" i="14" s="1"/>
  <c r="M5434" i="14"/>
  <c r="J5430" i="13" a="1"/>
  <c r="J5430" i="13" s="1"/>
  <c r="N5431" i="13"/>
  <c r="M5433" i="13"/>
  <c r="K5267" i="14" l="1"/>
  <c r="L5267" i="14" s="1"/>
  <c r="I5268" i="14" s="1"/>
  <c r="M5434" i="13"/>
  <c r="M5435" i="14"/>
  <c r="K5245" i="13"/>
  <c r="L5245" i="13" s="1"/>
  <c r="I5246" i="13" s="1"/>
  <c r="N5432" i="13"/>
  <c r="J5431" i="13" a="1"/>
  <c r="J5431" i="13" s="1"/>
  <c r="N5431" i="14"/>
  <c r="J5430" i="14" a="1"/>
  <c r="J5430" i="14" s="1"/>
  <c r="K5268" i="14" l="1"/>
  <c r="L5268" i="14" s="1"/>
  <c r="I5269" i="14" s="1"/>
  <c r="M5435" i="13"/>
  <c r="N5432" i="14"/>
  <c r="J5431" i="14" a="1"/>
  <c r="J5431" i="14" s="1"/>
  <c r="K5246" i="13"/>
  <c r="L5246" i="13" s="1"/>
  <c r="I5247" i="13" s="1"/>
  <c r="J5432" i="13" a="1"/>
  <c r="J5432" i="13" s="1"/>
  <c r="N5433" i="13"/>
  <c r="M5436" i="14"/>
  <c r="K5269" i="14" l="1"/>
  <c r="L5269" i="14" s="1"/>
  <c r="I5270" i="14" s="1"/>
  <c r="N5434" i="13"/>
  <c r="J5433" i="13" a="1"/>
  <c r="J5433" i="13" s="1"/>
  <c r="M5437" i="14"/>
  <c r="K5247" i="13"/>
  <c r="L5247" i="13" s="1"/>
  <c r="I5248" i="13" s="1"/>
  <c r="M5436" i="13"/>
  <c r="J5432" i="14" a="1"/>
  <c r="J5432" i="14" s="1"/>
  <c r="N5433" i="14"/>
  <c r="K5248" i="13" l="1"/>
  <c r="L5248" i="13" s="1"/>
  <c r="I5249" i="13" s="1"/>
  <c r="K5270" i="14"/>
  <c r="L5270" i="14" s="1"/>
  <c r="I5271" i="14" s="1"/>
  <c r="N5434" i="14"/>
  <c r="J5433" i="14" a="1"/>
  <c r="J5433" i="14" s="1"/>
  <c r="J5434" i="13" a="1"/>
  <c r="J5434" i="13" s="1"/>
  <c r="N5435" i="13"/>
  <c r="M5437" i="13"/>
  <c r="M5438" i="14"/>
  <c r="K5249" i="13" l="1"/>
  <c r="L5249" i="13" s="1"/>
  <c r="I5250" i="13" s="1"/>
  <c r="K5271" i="14"/>
  <c r="L5271" i="14" s="1"/>
  <c r="I5272" i="14" s="1"/>
  <c r="M5438" i="13"/>
  <c r="M5439" i="14"/>
  <c r="N5436" i="13"/>
  <c r="J5435" i="13" a="1"/>
  <c r="J5435" i="13" s="1"/>
  <c r="N5435" i="14"/>
  <c r="J5434" i="14" a="1"/>
  <c r="J5434" i="14" s="1"/>
  <c r="K5250" i="13" l="1"/>
  <c r="L5250" i="13" s="1"/>
  <c r="I5251" i="13" s="1"/>
  <c r="N5436" i="14"/>
  <c r="J5435" i="14" a="1"/>
  <c r="J5435" i="14" s="1"/>
  <c r="M5440" i="14"/>
  <c r="K5272" i="14"/>
  <c r="L5272" i="14" s="1"/>
  <c r="I5273" i="14" s="1"/>
  <c r="M5439" i="13"/>
  <c r="J5436" i="13" a="1"/>
  <c r="J5436" i="13" s="1"/>
  <c r="N5437" i="13"/>
  <c r="K5273" i="14" l="1"/>
  <c r="L5273" i="14" s="1"/>
  <c r="I5274" i="14" s="1"/>
  <c r="K5251" i="13"/>
  <c r="L5251" i="13" s="1"/>
  <c r="I5252" i="13" s="1"/>
  <c r="N5438" i="13"/>
  <c r="J5437" i="13" a="1"/>
  <c r="J5437" i="13" s="1"/>
  <c r="J5436" i="14" a="1"/>
  <c r="J5436" i="14" s="1"/>
  <c r="N5437" i="14"/>
  <c r="M5441" i="14"/>
  <c r="M5440" i="13"/>
  <c r="K5274" i="14" l="1"/>
  <c r="L5274" i="14" s="1"/>
  <c r="I5275" i="14" s="1"/>
  <c r="M5441" i="13"/>
  <c r="N5438" i="14"/>
  <c r="J5437" i="14" a="1"/>
  <c r="J5437" i="14" s="1"/>
  <c r="K5252" i="13"/>
  <c r="L5252" i="13" s="1"/>
  <c r="I5253" i="13" s="1"/>
  <c r="M5442" i="14"/>
  <c r="J5438" i="13" a="1"/>
  <c r="J5438" i="13" s="1"/>
  <c r="N5439" i="13"/>
  <c r="K5275" i="14" l="1"/>
  <c r="L5275" i="14" s="1"/>
  <c r="I5276" i="14" s="1"/>
  <c r="N5440" i="13"/>
  <c r="J5439" i="13" a="1"/>
  <c r="J5439" i="13" s="1"/>
  <c r="K5253" i="13"/>
  <c r="L5253" i="13" s="1"/>
  <c r="I5254" i="13" s="1"/>
  <c r="M5442" i="13"/>
  <c r="M5443" i="14"/>
  <c r="N5439" i="14"/>
  <c r="J5438" i="14" a="1"/>
  <c r="J5438" i="14" s="1"/>
  <c r="K5254" i="13" l="1"/>
  <c r="L5254" i="13" s="1"/>
  <c r="I5255" i="13" s="1"/>
  <c r="K5276" i="14"/>
  <c r="L5276" i="14" s="1"/>
  <c r="I5277" i="14" s="1"/>
  <c r="J5440" i="13" a="1"/>
  <c r="J5440" i="13" s="1"/>
  <c r="N5441" i="13"/>
  <c r="N5440" i="14"/>
  <c r="J5439" i="14" a="1"/>
  <c r="J5439" i="14" s="1"/>
  <c r="M5443" i="13"/>
  <c r="M5444" i="14"/>
  <c r="K5277" i="14" l="1"/>
  <c r="L5277" i="14" s="1"/>
  <c r="I5278" i="14" s="1"/>
  <c r="K5255" i="13"/>
  <c r="L5255" i="13" s="1"/>
  <c r="I5256" i="13" s="1"/>
  <c r="J5440" i="14" a="1"/>
  <c r="J5440" i="14" s="1"/>
  <c r="N5441" i="14"/>
  <c r="N5442" i="13"/>
  <c r="J5441" i="13" a="1"/>
  <c r="J5441" i="13" s="1"/>
  <c r="M5445" i="14"/>
  <c r="M5444" i="13"/>
  <c r="K5278" i="14" l="1"/>
  <c r="L5278" i="14" s="1"/>
  <c r="I5279" i="14" s="1"/>
  <c r="K5256" i="13"/>
  <c r="L5256" i="13" s="1"/>
  <c r="I5257" i="13" s="1"/>
  <c r="M5446" i="14"/>
  <c r="M5445" i="13"/>
  <c r="J5442" i="13" a="1"/>
  <c r="J5442" i="13" s="1"/>
  <c r="N5443" i="13"/>
  <c r="N5442" i="14"/>
  <c r="J5441" i="14" a="1"/>
  <c r="J5441" i="14" s="1"/>
  <c r="K5257" i="13" l="1"/>
  <c r="L5257" i="13" s="1"/>
  <c r="I5258" i="13" s="1"/>
  <c r="K5279" i="14"/>
  <c r="L5279" i="14" s="1"/>
  <c r="I5280" i="14" s="1"/>
  <c r="N5443" i="14"/>
  <c r="J5442" i="14" a="1"/>
  <c r="J5442" i="14" s="1"/>
  <c r="M5446" i="13"/>
  <c r="N5444" i="13"/>
  <c r="J5443" i="13" a="1"/>
  <c r="J5443" i="13" s="1"/>
  <c r="M5447" i="14"/>
  <c r="K5258" i="13" l="1"/>
  <c r="L5258" i="13" s="1"/>
  <c r="I5259" i="13" s="1"/>
  <c r="K5280" i="14"/>
  <c r="L5280" i="14" s="1"/>
  <c r="I5281" i="14" s="1"/>
  <c r="M5447" i="13"/>
  <c r="M5448" i="14"/>
  <c r="J5444" i="13" a="1"/>
  <c r="J5444" i="13" s="1"/>
  <c r="N5445" i="13"/>
  <c r="N5444" i="14"/>
  <c r="J5443" i="14" a="1"/>
  <c r="J5443" i="14" s="1"/>
  <c r="K5281" i="14" l="1"/>
  <c r="L5281" i="14" s="1"/>
  <c r="I5282" i="14" s="1"/>
  <c r="K5259" i="13"/>
  <c r="L5259" i="13" s="1"/>
  <c r="I5260" i="13" s="1"/>
  <c r="J5444" i="14" a="1"/>
  <c r="J5444" i="14" s="1"/>
  <c r="N5445" i="14"/>
  <c r="M5449" i="14"/>
  <c r="N5446" i="13"/>
  <c r="J5445" i="13" a="1"/>
  <c r="J5445" i="13" s="1"/>
  <c r="M5448" i="13"/>
  <c r="K5282" i="14" l="1"/>
  <c r="L5282" i="14" s="1"/>
  <c r="I5283" i="14" s="1"/>
  <c r="J5446" i="13" a="1"/>
  <c r="J5446" i="13" s="1"/>
  <c r="N5447" i="13"/>
  <c r="M5449" i="13"/>
  <c r="M5450" i="14"/>
  <c r="K5260" i="13"/>
  <c r="L5260" i="13" s="1"/>
  <c r="I5261" i="13" s="1"/>
  <c r="N5446" i="14"/>
  <c r="J5445" i="14" a="1"/>
  <c r="J5445" i="14" s="1"/>
  <c r="K5261" i="13" l="1"/>
  <c r="L5261" i="13" s="1"/>
  <c r="I5262" i="13" s="1"/>
  <c r="K5283" i="14"/>
  <c r="L5283" i="14" s="1"/>
  <c r="I5284" i="14" s="1"/>
  <c r="M5451" i="14"/>
  <c r="N5448" i="13"/>
  <c r="J5447" i="13" a="1"/>
  <c r="J5447" i="13" s="1"/>
  <c r="N5447" i="14"/>
  <c r="J5446" i="14" a="1"/>
  <c r="J5446" i="14" s="1"/>
  <c r="M5450" i="13"/>
  <c r="K5262" i="13" l="1"/>
  <c r="L5262" i="13" s="1"/>
  <c r="I5263" i="13" s="1"/>
  <c r="J5448" i="13" a="1"/>
  <c r="J5448" i="13" s="1"/>
  <c r="N5449" i="13"/>
  <c r="M5451" i="13"/>
  <c r="K5284" i="14"/>
  <c r="L5284" i="14" s="1"/>
  <c r="I5285" i="14" s="1"/>
  <c r="N5448" i="14"/>
  <c r="J5447" i="14" a="1"/>
  <c r="J5447" i="14" s="1"/>
  <c r="M5452" i="14"/>
  <c r="K5285" i="14" l="1"/>
  <c r="L5285" i="14" s="1"/>
  <c r="I5286" i="14" s="1"/>
  <c r="K5263" i="13"/>
  <c r="L5263" i="13" s="1"/>
  <c r="I5264" i="13" s="1"/>
  <c r="N5450" i="13"/>
  <c r="J5449" i="13" a="1"/>
  <c r="J5449" i="13" s="1"/>
  <c r="M5453" i="14"/>
  <c r="J5448" i="14" a="1"/>
  <c r="J5448" i="14" s="1"/>
  <c r="N5449" i="14"/>
  <c r="M5452" i="13"/>
  <c r="K5264" i="13" l="1"/>
  <c r="L5264" i="13" s="1"/>
  <c r="I5265" i="13" s="1"/>
  <c r="K5286" i="14"/>
  <c r="L5286" i="14" s="1"/>
  <c r="I5287" i="14" s="1"/>
  <c r="N5450" i="14"/>
  <c r="J5449" i="14" a="1"/>
  <c r="J5449" i="14" s="1"/>
  <c r="M5454" i="14"/>
  <c r="M5453" i="13"/>
  <c r="J5450" i="13" a="1"/>
  <c r="J5450" i="13" s="1"/>
  <c r="N5451" i="13"/>
  <c r="K5287" i="14" l="1"/>
  <c r="L5287" i="14" s="1"/>
  <c r="I5288" i="14" s="1"/>
  <c r="N5452" i="13"/>
  <c r="J5451" i="13" a="1"/>
  <c r="J5451" i="13" s="1"/>
  <c r="M5455" i="14"/>
  <c r="M5454" i="13"/>
  <c r="N5451" i="14"/>
  <c r="J5450" i="14" a="1"/>
  <c r="J5450" i="14" s="1"/>
  <c r="K5265" i="13"/>
  <c r="L5265" i="13" s="1"/>
  <c r="I5266" i="13" s="1"/>
  <c r="K5266" i="13" l="1"/>
  <c r="L5266" i="13" s="1"/>
  <c r="I5267" i="13" s="1"/>
  <c r="K5288" i="14"/>
  <c r="L5288" i="14" s="1"/>
  <c r="I5289" i="14" s="1"/>
  <c r="M5455" i="13"/>
  <c r="J5452" i="13" a="1"/>
  <c r="J5452" i="13" s="1"/>
  <c r="N5453" i="13"/>
  <c r="N5452" i="14"/>
  <c r="J5451" i="14" a="1"/>
  <c r="J5451" i="14" s="1"/>
  <c r="M5456" i="14"/>
  <c r="K5267" i="13" l="1"/>
  <c r="L5267" i="13" s="1"/>
  <c r="I5268" i="13" s="1"/>
  <c r="M5457" i="14"/>
  <c r="N5454" i="13"/>
  <c r="J5453" i="13" a="1"/>
  <c r="J5453" i="13" s="1"/>
  <c r="K5289" i="14"/>
  <c r="L5289" i="14" s="1"/>
  <c r="I5290" i="14" s="1"/>
  <c r="J5452" i="14" a="1"/>
  <c r="J5452" i="14" s="1"/>
  <c r="N5453" i="14"/>
  <c r="M5456" i="13"/>
  <c r="K5268" i="13" l="1"/>
  <c r="L5268" i="13" s="1"/>
  <c r="I5269" i="13" s="1"/>
  <c r="M5457" i="13"/>
  <c r="M5458" i="14"/>
  <c r="N5454" i="14"/>
  <c r="J5453" i="14" a="1"/>
  <c r="J5453" i="14" s="1"/>
  <c r="K5290" i="14"/>
  <c r="L5290" i="14" s="1"/>
  <c r="I5291" i="14" s="1"/>
  <c r="J5454" i="13" a="1"/>
  <c r="J5454" i="13" s="1"/>
  <c r="N5455" i="13"/>
  <c r="K5291" i="14" l="1"/>
  <c r="L5291" i="14" s="1"/>
  <c r="I5292" i="14" s="1"/>
  <c r="K5269" i="13"/>
  <c r="L5269" i="13" s="1"/>
  <c r="I5270" i="13" s="1"/>
  <c r="J5454" i="14" a="1"/>
  <c r="J5454" i="14" s="1"/>
  <c r="N5455" i="14"/>
  <c r="M5458" i="13"/>
  <c r="N5456" i="13"/>
  <c r="J5455" i="13" a="1"/>
  <c r="J5455" i="13" s="1"/>
  <c r="M5459" i="14"/>
  <c r="K5292" i="14" l="1"/>
  <c r="L5292" i="14" s="1"/>
  <c r="I5293" i="14" s="1"/>
  <c r="N5456" i="14"/>
  <c r="J5455" i="14" a="1"/>
  <c r="J5455" i="14" s="1"/>
  <c r="M5459" i="13"/>
  <c r="M5460" i="14"/>
  <c r="K5270" i="13"/>
  <c r="L5270" i="13" s="1"/>
  <c r="I5271" i="13" s="1"/>
  <c r="J5456" i="13" a="1"/>
  <c r="J5456" i="13" s="1"/>
  <c r="N5457" i="13"/>
  <c r="K5271" i="13" l="1"/>
  <c r="L5271" i="13" s="1"/>
  <c r="I5272" i="13" s="1"/>
  <c r="K5293" i="14"/>
  <c r="L5293" i="14" s="1"/>
  <c r="I5294" i="14" s="1"/>
  <c r="J5456" i="14" a="1"/>
  <c r="J5456" i="14" s="1"/>
  <c r="N5457" i="14"/>
  <c r="M5461" i="14"/>
  <c r="N5458" i="13"/>
  <c r="J5457" i="13" a="1"/>
  <c r="J5457" i="13" s="1"/>
  <c r="M5460" i="13"/>
  <c r="K5294" i="14" l="1"/>
  <c r="L5294" i="14" s="1"/>
  <c r="I5295" i="14" s="1"/>
  <c r="K5272" i="13"/>
  <c r="L5272" i="13" s="1"/>
  <c r="I5273" i="13" s="1"/>
  <c r="J5458" i="13" a="1"/>
  <c r="J5458" i="13" s="1"/>
  <c r="N5459" i="13"/>
  <c r="M5461" i="13"/>
  <c r="M5462" i="14"/>
  <c r="J5457" i="14" a="1"/>
  <c r="J5457" i="14" s="1"/>
  <c r="N5458" i="14"/>
  <c r="K5295" i="14" l="1"/>
  <c r="L5295" i="14" s="1"/>
  <c r="I5296" i="14" s="1"/>
  <c r="M5463" i="14"/>
  <c r="J5458" i="14" a="1"/>
  <c r="J5458" i="14" s="1"/>
  <c r="N5459" i="14"/>
  <c r="M5462" i="13"/>
  <c r="K5273" i="13"/>
  <c r="L5273" i="13" s="1"/>
  <c r="I5274" i="13" s="1"/>
  <c r="N5460" i="13"/>
  <c r="J5459" i="13" a="1"/>
  <c r="J5459" i="13" s="1"/>
  <c r="K5274" i="13" l="1"/>
  <c r="L5274" i="13" s="1"/>
  <c r="I5275" i="13" s="1"/>
  <c r="K5296" i="14"/>
  <c r="L5296" i="14" s="1"/>
  <c r="I5297" i="14" s="1"/>
  <c r="N5460" i="14"/>
  <c r="J5459" i="14" a="1"/>
  <c r="J5459" i="14" s="1"/>
  <c r="M5463" i="13"/>
  <c r="J5460" i="13" a="1"/>
  <c r="J5460" i="13" s="1"/>
  <c r="N5461" i="13"/>
  <c r="M5464" i="14"/>
  <c r="K5275" i="13" l="1"/>
  <c r="L5275" i="13" s="1"/>
  <c r="I5276" i="13" s="1"/>
  <c r="K5297" i="14"/>
  <c r="L5297" i="14" s="1"/>
  <c r="I5298" i="14" s="1"/>
  <c r="N5462" i="13"/>
  <c r="J5461" i="13" a="1"/>
  <c r="J5461" i="13" s="1"/>
  <c r="M5465" i="14"/>
  <c r="M5464" i="13"/>
  <c r="J5460" i="14" a="1"/>
  <c r="J5460" i="14" s="1"/>
  <c r="N5461" i="14"/>
  <c r="K5298" i="14" l="1"/>
  <c r="L5298" i="14" s="1"/>
  <c r="I5299" i="14" s="1"/>
  <c r="K5276" i="13"/>
  <c r="L5276" i="13" s="1"/>
  <c r="I5277" i="13" s="1"/>
  <c r="J5461" i="14" a="1"/>
  <c r="J5461" i="14" s="1"/>
  <c r="N5462" i="14"/>
  <c r="M5466" i="14"/>
  <c r="M5465" i="13"/>
  <c r="J5462" i="13" a="1"/>
  <c r="J5462" i="13" s="1"/>
  <c r="N5463" i="13"/>
  <c r="K5299" i="14" l="1"/>
  <c r="L5299" i="14" s="1"/>
  <c r="I5300" i="14" s="1"/>
  <c r="N5464" i="13"/>
  <c r="J5463" i="13" a="1"/>
  <c r="J5463" i="13" s="1"/>
  <c r="M5467" i="14"/>
  <c r="K5277" i="13"/>
  <c r="L5277" i="13" s="1"/>
  <c r="I5278" i="13" s="1"/>
  <c r="N5463" i="14"/>
  <c r="J5462" i="14" a="1"/>
  <c r="J5462" i="14" s="1"/>
  <c r="M5466" i="13"/>
  <c r="K5278" i="13" l="1"/>
  <c r="L5278" i="13" s="1"/>
  <c r="I5279" i="13" s="1"/>
  <c r="K5300" i="14"/>
  <c r="L5300" i="14" s="1"/>
  <c r="I5301" i="14" s="1"/>
  <c r="M5467" i="13"/>
  <c r="J5464" i="13" a="1"/>
  <c r="J5464" i="13" s="1"/>
  <c r="N5465" i="13"/>
  <c r="N5464" i="14"/>
  <c r="J5463" i="14" a="1"/>
  <c r="J5463" i="14" s="1"/>
  <c r="M5468" i="14"/>
  <c r="K5279" i="13" l="1"/>
  <c r="L5279" i="13" s="1"/>
  <c r="I5280" i="13" s="1"/>
  <c r="N5466" i="13"/>
  <c r="J5465" i="13" a="1"/>
  <c r="J5465" i="13" s="1"/>
  <c r="K5301" i="14"/>
  <c r="L5301" i="14" s="1"/>
  <c r="I5302" i="14" s="1"/>
  <c r="M5469" i="14"/>
  <c r="J5464" i="14" a="1"/>
  <c r="J5464" i="14" s="1"/>
  <c r="N5465" i="14"/>
  <c r="M5468" i="13"/>
  <c r="K5302" i="14" l="1"/>
  <c r="L5302" i="14" s="1"/>
  <c r="I5303" i="14" s="1"/>
  <c r="K5280" i="13"/>
  <c r="L5280" i="13" s="1"/>
  <c r="I5281" i="13" s="1"/>
  <c r="N5466" i="14"/>
  <c r="J5465" i="14" a="1"/>
  <c r="J5465" i="14" s="1"/>
  <c r="M5469" i="13"/>
  <c r="M5470" i="14"/>
  <c r="J5466" i="13" a="1"/>
  <c r="J5466" i="13" s="1"/>
  <c r="N5467" i="13"/>
  <c r="K5281" i="13" l="1"/>
  <c r="L5281" i="13" s="1"/>
  <c r="I5282" i="13" s="1"/>
  <c r="K5303" i="14"/>
  <c r="L5303" i="14" s="1"/>
  <c r="I5304" i="14" s="1"/>
  <c r="N5468" i="13"/>
  <c r="J5467" i="13" a="1"/>
  <c r="J5467" i="13" s="1"/>
  <c r="M5470" i="13"/>
  <c r="M5471" i="14"/>
  <c r="N5467" i="14"/>
  <c r="J5466" i="14" a="1"/>
  <c r="J5466" i="14" s="1"/>
  <c r="K5282" i="13" l="1"/>
  <c r="L5282" i="13" s="1"/>
  <c r="I5283" i="13" s="1"/>
  <c r="M5471" i="13"/>
  <c r="K5304" i="14"/>
  <c r="L5304" i="14" s="1"/>
  <c r="I5305" i="14" s="1"/>
  <c r="N5468" i="14"/>
  <c r="J5467" i="14" a="1"/>
  <c r="J5467" i="14" s="1"/>
  <c r="M5472" i="14"/>
  <c r="J5468" i="13" a="1"/>
  <c r="J5468" i="13" s="1"/>
  <c r="N5469" i="13"/>
  <c r="K5305" i="14" l="1"/>
  <c r="L5305" i="14" s="1"/>
  <c r="I5306" i="14" s="1"/>
  <c r="K5283" i="13"/>
  <c r="L5283" i="13" s="1"/>
  <c r="I5284" i="13" s="1"/>
  <c r="J5468" i="14" a="1"/>
  <c r="J5468" i="14" s="1"/>
  <c r="N5469" i="14"/>
  <c r="M5472" i="13"/>
  <c r="N5470" i="13"/>
  <c r="J5469" i="13" a="1"/>
  <c r="J5469" i="13" s="1"/>
  <c r="M5473" i="14"/>
  <c r="K5284" i="13" l="1"/>
  <c r="L5284" i="13" s="1"/>
  <c r="I5285" i="13" s="1"/>
  <c r="K5306" i="14"/>
  <c r="L5306" i="14" s="1"/>
  <c r="I5307" i="14" s="1"/>
  <c r="N5470" i="14"/>
  <c r="J5469" i="14" a="1"/>
  <c r="J5469" i="14" s="1"/>
  <c r="M5474" i="14"/>
  <c r="M5473" i="13"/>
  <c r="J5470" i="13" a="1"/>
  <c r="J5470" i="13" s="1"/>
  <c r="N5471" i="13"/>
  <c r="K5285" i="13" l="1"/>
  <c r="L5285" i="13" s="1"/>
  <c r="I5286" i="13" s="1"/>
  <c r="M5474" i="13"/>
  <c r="N5472" i="13"/>
  <c r="J5471" i="13" a="1"/>
  <c r="J5471" i="13" s="1"/>
  <c r="M5475" i="14"/>
  <c r="K5307" i="14"/>
  <c r="L5307" i="14" s="1"/>
  <c r="I5308" i="14" s="1"/>
  <c r="N5471" i="14"/>
  <c r="J5470" i="14" a="1"/>
  <c r="J5470" i="14" s="1"/>
  <c r="K5286" i="13" l="1"/>
  <c r="L5286" i="13" s="1"/>
  <c r="I5287" i="13" s="1"/>
  <c r="K5308" i="14"/>
  <c r="L5308" i="14" s="1"/>
  <c r="I5309" i="14" s="1"/>
  <c r="N5472" i="14"/>
  <c r="J5471" i="14" a="1"/>
  <c r="J5471" i="14" s="1"/>
  <c r="M5476" i="14"/>
  <c r="M5475" i="13"/>
  <c r="J5472" i="13" a="1"/>
  <c r="J5472" i="13" s="1"/>
  <c r="N5473" i="13"/>
  <c r="K5309" i="14" l="1"/>
  <c r="L5309" i="14" s="1"/>
  <c r="I5310" i="14" s="1"/>
  <c r="K5287" i="13"/>
  <c r="L5287" i="13" s="1"/>
  <c r="I5288" i="13" s="1"/>
  <c r="M5476" i="13"/>
  <c r="N5474" i="13"/>
  <c r="J5473" i="13" a="1"/>
  <c r="J5473" i="13" s="1"/>
  <c r="M5477" i="14"/>
  <c r="J5472" i="14" a="1"/>
  <c r="J5472" i="14" s="1"/>
  <c r="N5473" i="14"/>
  <c r="K5288" i="13" l="1"/>
  <c r="L5288" i="13" s="1"/>
  <c r="I5289" i="13" s="1"/>
  <c r="K5310" i="14"/>
  <c r="L5310" i="14" s="1"/>
  <c r="I5311" i="14" s="1"/>
  <c r="N5474" i="14"/>
  <c r="J5473" i="14" a="1"/>
  <c r="J5473" i="14" s="1"/>
  <c r="J5474" i="13" a="1"/>
  <c r="J5474" i="13" s="1"/>
  <c r="N5475" i="13"/>
  <c r="M5477" i="13"/>
  <c r="M5478" i="14"/>
  <c r="K5311" i="14" l="1"/>
  <c r="L5311" i="14" s="1"/>
  <c r="I5312" i="14" s="1"/>
  <c r="K5289" i="13"/>
  <c r="L5289" i="13" s="1"/>
  <c r="I5290" i="13" s="1"/>
  <c r="J5475" i="13" a="1"/>
  <c r="J5475" i="13" s="1"/>
  <c r="N5476" i="13"/>
  <c r="M5479" i="14"/>
  <c r="M5478" i="13"/>
  <c r="N5475" i="14"/>
  <c r="J5474" i="14" a="1"/>
  <c r="J5474" i="14" s="1"/>
  <c r="K5312" i="14" l="1"/>
  <c r="L5312" i="14" s="1"/>
  <c r="I5313" i="14" s="1"/>
  <c r="M5480" i="14"/>
  <c r="K5290" i="13"/>
  <c r="L5290" i="13" s="1"/>
  <c r="I5291" i="13" s="1"/>
  <c r="N5476" i="14"/>
  <c r="J5475" i="14" a="1"/>
  <c r="J5475" i="14" s="1"/>
  <c r="J5476" i="13" a="1"/>
  <c r="J5476" i="13" s="1"/>
  <c r="N5477" i="13"/>
  <c r="M5479" i="13"/>
  <c r="K5313" i="14" l="1"/>
  <c r="L5313" i="14" s="1"/>
  <c r="I5314" i="14" s="1"/>
  <c r="K5291" i="13"/>
  <c r="L5291" i="13" s="1"/>
  <c r="I5292" i="13" s="1"/>
  <c r="N5478" i="13"/>
  <c r="J5477" i="13" a="1"/>
  <c r="J5477" i="13" s="1"/>
  <c r="M5480" i="13"/>
  <c r="J5476" i="14" a="1"/>
  <c r="J5476" i="14" s="1"/>
  <c r="N5477" i="14"/>
  <c r="M5481" i="14"/>
  <c r="K5314" i="14" l="1"/>
  <c r="L5314" i="14" s="1"/>
  <c r="I5315" i="14" s="1"/>
  <c r="M5482" i="14"/>
  <c r="M5481" i="13"/>
  <c r="K5292" i="13"/>
  <c r="L5292" i="13" s="1"/>
  <c r="I5293" i="13" s="1"/>
  <c r="N5478" i="14"/>
  <c r="J5477" i="14" a="1"/>
  <c r="J5477" i="14" s="1"/>
  <c r="J5478" i="13" a="1"/>
  <c r="J5478" i="13" s="1"/>
  <c r="N5479" i="13"/>
  <c r="K5315" i="14" l="1"/>
  <c r="L5315" i="14" s="1"/>
  <c r="I5316" i="14" s="1"/>
  <c r="J5479" i="13" a="1"/>
  <c r="J5479" i="13" s="1"/>
  <c r="N5480" i="13"/>
  <c r="M5483" i="14"/>
  <c r="K5293" i="13"/>
  <c r="L5293" i="13" s="1"/>
  <c r="I5294" i="13" s="1"/>
  <c r="N5479" i="14"/>
  <c r="J5478" i="14" a="1"/>
  <c r="J5478" i="14" s="1"/>
  <c r="M5482" i="13"/>
  <c r="K5294" i="13" l="1"/>
  <c r="L5294" i="13" s="1"/>
  <c r="I5295" i="13" s="1"/>
  <c r="K5316" i="14"/>
  <c r="L5316" i="14" s="1"/>
  <c r="I5317" i="14" s="1"/>
  <c r="J5480" i="13" a="1"/>
  <c r="J5480" i="13" s="1"/>
  <c r="N5481" i="13"/>
  <c r="M5483" i="13"/>
  <c r="N5480" i="14"/>
  <c r="J5479" i="14" a="1"/>
  <c r="J5479" i="14" s="1"/>
  <c r="M5484" i="14"/>
  <c r="K5317" i="14" l="1"/>
  <c r="L5317" i="14" s="1"/>
  <c r="I5318" i="14" s="1"/>
  <c r="K5295" i="13"/>
  <c r="L5295" i="13" s="1"/>
  <c r="I5296" i="13" s="1"/>
  <c r="M5485" i="14"/>
  <c r="M5484" i="13"/>
  <c r="N5482" i="13"/>
  <c r="J5481" i="13" a="1"/>
  <c r="J5481" i="13" s="1"/>
  <c r="J5480" i="14" a="1"/>
  <c r="J5480" i="14" s="1"/>
  <c r="N5481" i="14"/>
  <c r="K5318" i="14" l="1"/>
  <c r="L5318" i="14" s="1"/>
  <c r="I5319" i="14" s="1"/>
  <c r="N5482" i="14"/>
  <c r="J5481" i="14" a="1"/>
  <c r="J5481" i="14" s="1"/>
  <c r="M5485" i="13"/>
  <c r="K5296" i="13"/>
  <c r="L5296" i="13" s="1"/>
  <c r="I5297" i="13" s="1"/>
  <c r="M5486" i="14"/>
  <c r="J5482" i="13" a="1"/>
  <c r="J5482" i="13" s="1"/>
  <c r="N5483" i="13"/>
  <c r="K5297" i="13" l="1"/>
  <c r="L5297" i="13" s="1"/>
  <c r="I5298" i="13" s="1"/>
  <c r="K5319" i="14"/>
  <c r="L5319" i="14" s="1"/>
  <c r="I5320" i="14" s="1"/>
  <c r="N5483" i="14"/>
  <c r="J5482" i="14" a="1"/>
  <c r="J5482" i="14" s="1"/>
  <c r="J5483" i="13" a="1"/>
  <c r="J5483" i="13" s="1"/>
  <c r="N5484" i="13"/>
  <c r="M5487" i="14"/>
  <c r="M5486" i="13"/>
  <c r="K5320" i="14" l="1"/>
  <c r="L5320" i="14" s="1"/>
  <c r="I5321" i="14" s="1"/>
  <c r="K5298" i="13"/>
  <c r="L5298" i="13" s="1"/>
  <c r="I5299" i="13" s="1"/>
  <c r="J5484" i="13" a="1"/>
  <c r="J5484" i="13" s="1"/>
  <c r="N5485" i="13"/>
  <c r="M5487" i="13"/>
  <c r="M5488" i="14"/>
  <c r="N5484" i="14"/>
  <c r="J5483" i="14" a="1"/>
  <c r="J5483" i="14" s="1"/>
  <c r="K5299" i="13" l="1"/>
  <c r="L5299" i="13" s="1"/>
  <c r="I5300" i="13" s="1"/>
  <c r="J5484" i="14" a="1"/>
  <c r="J5484" i="14" s="1"/>
  <c r="N5485" i="14"/>
  <c r="M5488" i="13"/>
  <c r="M5489" i="14"/>
  <c r="N5486" i="13"/>
  <c r="J5485" i="13" a="1"/>
  <c r="J5485" i="13" s="1"/>
  <c r="K5321" i="14"/>
  <c r="L5321" i="14" s="1"/>
  <c r="I5322" i="14" s="1"/>
  <c r="K5322" i="14" l="1"/>
  <c r="L5322" i="14" s="1"/>
  <c r="I5323" i="14" s="1"/>
  <c r="K5300" i="13"/>
  <c r="L5300" i="13" s="1"/>
  <c r="I5301" i="13" s="1"/>
  <c r="M5490" i="14"/>
  <c r="N5486" i="14"/>
  <c r="J5485" i="14" a="1"/>
  <c r="J5485" i="14" s="1"/>
  <c r="M5489" i="13"/>
  <c r="J5486" i="13" a="1"/>
  <c r="J5486" i="13" s="1"/>
  <c r="N5487" i="13"/>
  <c r="K5301" i="13" l="1"/>
  <c r="L5301" i="13" s="1"/>
  <c r="I5302" i="13" s="1"/>
  <c r="K5323" i="14"/>
  <c r="L5323" i="14" s="1"/>
  <c r="I5324" i="14" s="1"/>
  <c r="J5487" i="13" a="1"/>
  <c r="J5487" i="13" s="1"/>
  <c r="N5488" i="13"/>
  <c r="N5487" i="14"/>
  <c r="J5486" i="14" a="1"/>
  <c r="J5486" i="14" s="1"/>
  <c r="M5491" i="14"/>
  <c r="M5490" i="13"/>
  <c r="K5324" i="14" l="1"/>
  <c r="L5324" i="14" s="1"/>
  <c r="I5325" i="14" s="1"/>
  <c r="K5302" i="13"/>
  <c r="L5302" i="13" s="1"/>
  <c r="I5303" i="13" s="1"/>
  <c r="M5491" i="13"/>
  <c r="N5488" i="14"/>
  <c r="J5487" i="14" a="1"/>
  <c r="J5487" i="14" s="1"/>
  <c r="J5488" i="13" a="1"/>
  <c r="J5488" i="13" s="1"/>
  <c r="N5489" i="13"/>
  <c r="M5492" i="14"/>
  <c r="K5325" i="14" l="1"/>
  <c r="L5325" i="14" s="1"/>
  <c r="I5326" i="14" s="1"/>
  <c r="M5493" i="14"/>
  <c r="J5488" i="14" a="1"/>
  <c r="J5488" i="14" s="1"/>
  <c r="N5489" i="14"/>
  <c r="K5303" i="13"/>
  <c r="L5303" i="13" s="1"/>
  <c r="I5304" i="13" s="1"/>
  <c r="N5490" i="13"/>
  <c r="J5489" i="13" a="1"/>
  <c r="J5489" i="13" s="1"/>
  <c r="M5492" i="13"/>
  <c r="K5326" i="14" l="1"/>
  <c r="L5326" i="14" s="1"/>
  <c r="I5327" i="14" s="1"/>
  <c r="J5490" i="13" a="1"/>
  <c r="J5490" i="13" s="1"/>
  <c r="N5491" i="13"/>
  <c r="M5493" i="13"/>
  <c r="K5304" i="13"/>
  <c r="L5304" i="13" s="1"/>
  <c r="I5305" i="13" s="1"/>
  <c r="M5494" i="14"/>
  <c r="N5490" i="14"/>
  <c r="J5489" i="14" a="1"/>
  <c r="J5489" i="14" s="1"/>
  <c r="K5305" i="13" l="1"/>
  <c r="L5305" i="13" s="1"/>
  <c r="I5306" i="13" s="1"/>
  <c r="K5327" i="14"/>
  <c r="L5327" i="14" s="1"/>
  <c r="I5328" i="14" s="1"/>
  <c r="J5491" i="13" a="1"/>
  <c r="J5491" i="13" s="1"/>
  <c r="N5492" i="13"/>
  <c r="N5491" i="14"/>
  <c r="J5490" i="14" a="1"/>
  <c r="J5490" i="14" s="1"/>
  <c r="M5495" i="14"/>
  <c r="M5494" i="13"/>
  <c r="K5328" i="14" l="1"/>
  <c r="L5328" i="14" s="1"/>
  <c r="I5329" i="14" s="1"/>
  <c r="K5306" i="13"/>
  <c r="L5306" i="13" s="1"/>
  <c r="I5307" i="13" s="1"/>
  <c r="M5495" i="13"/>
  <c r="N5492" i="14"/>
  <c r="J5491" i="14" a="1"/>
  <c r="J5491" i="14" s="1"/>
  <c r="J5492" i="13" a="1"/>
  <c r="J5492" i="13" s="1"/>
  <c r="N5493" i="13"/>
  <c r="M5496" i="14"/>
  <c r="K5307" i="13" l="1"/>
  <c r="L5307" i="13" s="1"/>
  <c r="I5308" i="13" s="1"/>
  <c r="K5329" i="14"/>
  <c r="L5329" i="14" s="1"/>
  <c r="I5330" i="14" s="1"/>
  <c r="J5492" i="14" a="1"/>
  <c r="J5492" i="14" s="1"/>
  <c r="N5493" i="14"/>
  <c r="M5497" i="14"/>
  <c r="N5494" i="13"/>
  <c r="J5493" i="13" a="1"/>
  <c r="J5493" i="13" s="1"/>
  <c r="M5496" i="13"/>
  <c r="K5330" i="14" l="1"/>
  <c r="L5330" i="14" s="1"/>
  <c r="I5331" i="14" s="1"/>
  <c r="K5308" i="13"/>
  <c r="L5308" i="13" s="1"/>
  <c r="I5309" i="13" s="1"/>
  <c r="N5494" i="14"/>
  <c r="J5493" i="14" a="1"/>
  <c r="J5493" i="14" s="1"/>
  <c r="M5497" i="13"/>
  <c r="J5494" i="13" a="1"/>
  <c r="J5494" i="13" s="1"/>
  <c r="N5495" i="13"/>
  <c r="M5498" i="14"/>
  <c r="K5331" i="14" l="1"/>
  <c r="L5331" i="14" s="1"/>
  <c r="I5332" i="14" s="1"/>
  <c r="K5309" i="13"/>
  <c r="L5309" i="13" s="1"/>
  <c r="I5310" i="13" s="1"/>
  <c r="M5499" i="14"/>
  <c r="M5498" i="13"/>
  <c r="J5495" i="13" a="1"/>
  <c r="J5495" i="13" s="1"/>
  <c r="N5496" i="13"/>
  <c r="N5495" i="14"/>
  <c r="J5494" i="14" a="1"/>
  <c r="J5494" i="14" s="1"/>
  <c r="K5310" i="13" l="1"/>
  <c r="L5310" i="13" s="1"/>
  <c r="I5311" i="13" s="1"/>
  <c r="K5332" i="14"/>
  <c r="L5332" i="14" s="1"/>
  <c r="I5333" i="14" s="1"/>
  <c r="N5496" i="14"/>
  <c r="J5495" i="14" a="1"/>
  <c r="J5495" i="14" s="1"/>
  <c r="M5499" i="13"/>
  <c r="J5496" i="13" a="1"/>
  <c r="J5496" i="13" s="1"/>
  <c r="N5497" i="13"/>
  <c r="M5500" i="14"/>
  <c r="K5311" i="13" l="1"/>
  <c r="L5311" i="13" s="1"/>
  <c r="I5312" i="13" s="1"/>
  <c r="K5333" i="14"/>
  <c r="L5333" i="14" s="1"/>
  <c r="I5334" i="14" s="1"/>
  <c r="N5498" i="13"/>
  <c r="J5497" i="13" a="1"/>
  <c r="J5497" i="13" s="1"/>
  <c r="M5501" i="14"/>
  <c r="M5500" i="13"/>
  <c r="J5496" i="14" a="1"/>
  <c r="J5496" i="14" s="1"/>
  <c r="N5497" i="14"/>
  <c r="K5334" i="14" l="1"/>
  <c r="L5334" i="14" s="1"/>
  <c r="I5335" i="14" s="1"/>
  <c r="K5312" i="13"/>
  <c r="L5312" i="13" s="1"/>
  <c r="I5313" i="13" s="1"/>
  <c r="N5498" i="14"/>
  <c r="J5497" i="14" a="1"/>
  <c r="J5497" i="14" s="1"/>
  <c r="M5502" i="14"/>
  <c r="M5501" i="13"/>
  <c r="J5498" i="13" a="1"/>
  <c r="J5498" i="13" s="1"/>
  <c r="N5499" i="13"/>
  <c r="K5313" i="13" l="1"/>
  <c r="L5313" i="13" s="1"/>
  <c r="I5314" i="13" s="1"/>
  <c r="K5335" i="14"/>
  <c r="L5335" i="14" s="1"/>
  <c r="I5336" i="14" s="1"/>
  <c r="J5499" i="13" a="1"/>
  <c r="J5499" i="13" s="1"/>
  <c r="N5500" i="13"/>
  <c r="M5503" i="14"/>
  <c r="M5502" i="13"/>
  <c r="N5499" i="14"/>
  <c r="J5498" i="14" a="1"/>
  <c r="J5498" i="14" s="1"/>
  <c r="K5336" i="14" l="1"/>
  <c r="L5336" i="14" s="1"/>
  <c r="I5337" i="14" s="1"/>
  <c r="K5314" i="13"/>
  <c r="L5314" i="13" s="1"/>
  <c r="I5315" i="13" s="1"/>
  <c r="N5500" i="14"/>
  <c r="J5499" i="14" a="1"/>
  <c r="J5499" i="14" s="1"/>
  <c r="M5504" i="14"/>
  <c r="J5500" i="13" a="1"/>
  <c r="J5500" i="13" s="1"/>
  <c r="N5501" i="13"/>
  <c r="M5503" i="13"/>
  <c r="K5315" i="13" l="1"/>
  <c r="L5315" i="13" s="1"/>
  <c r="I5316" i="13" s="1"/>
  <c r="K5337" i="14"/>
  <c r="L5337" i="14" s="1"/>
  <c r="I5338" i="14" s="1"/>
  <c r="N5502" i="13"/>
  <c r="J5501" i="13" a="1"/>
  <c r="J5501" i="13" s="1"/>
  <c r="M5505" i="14"/>
  <c r="M5504" i="13"/>
  <c r="J5500" i="14" a="1"/>
  <c r="J5500" i="14" s="1"/>
  <c r="N5501" i="14"/>
  <c r="K5316" i="13" l="1"/>
  <c r="L5316" i="13" s="1"/>
  <c r="I5317" i="13" s="1"/>
  <c r="M5505" i="13"/>
  <c r="N5502" i="14"/>
  <c r="J5501" i="14" a="1"/>
  <c r="J5501" i="14" s="1"/>
  <c r="M5506" i="14"/>
  <c r="K5338" i="14"/>
  <c r="L5338" i="14" s="1"/>
  <c r="I5339" i="14" s="1"/>
  <c r="J5502" i="13" a="1"/>
  <c r="J5502" i="13" s="1"/>
  <c r="N5503" i="13"/>
  <c r="K5339" i="14" l="1"/>
  <c r="L5339" i="14" s="1"/>
  <c r="I5340" i="14" s="1"/>
  <c r="K5317" i="13"/>
  <c r="L5317" i="13" s="1"/>
  <c r="I5318" i="13" s="1"/>
  <c r="J5503" i="13" a="1"/>
  <c r="J5503" i="13" s="1"/>
  <c r="N5504" i="13"/>
  <c r="M5507" i="14"/>
  <c r="M5506" i="13"/>
  <c r="N5503" i="14"/>
  <c r="J5502" i="14" a="1"/>
  <c r="J5502" i="14" s="1"/>
  <c r="K5340" i="14" l="1"/>
  <c r="L5340" i="14" s="1"/>
  <c r="I5341" i="14" s="1"/>
  <c r="K5318" i="13"/>
  <c r="L5318" i="13" s="1"/>
  <c r="I5319" i="13" s="1"/>
  <c r="M5508" i="14"/>
  <c r="J5504" i="13" a="1"/>
  <c r="J5504" i="13" s="1"/>
  <c r="N5505" i="13"/>
  <c r="N5504" i="14"/>
  <c r="J5503" i="14" a="1"/>
  <c r="J5503" i="14" s="1"/>
  <c r="M5507" i="13"/>
  <c r="K5341" i="14" l="1"/>
  <c r="L5341" i="14" s="1"/>
  <c r="I5342" i="14" s="1"/>
  <c r="N5506" i="13"/>
  <c r="J5505" i="13" a="1"/>
  <c r="J5505" i="13" s="1"/>
  <c r="K5319" i="13"/>
  <c r="L5319" i="13" s="1"/>
  <c r="I5320" i="13" s="1"/>
  <c r="M5508" i="13"/>
  <c r="M5509" i="14"/>
  <c r="J5504" i="14" a="1"/>
  <c r="J5504" i="14" s="1"/>
  <c r="N5505" i="14"/>
  <c r="K5320" i="13" l="1"/>
  <c r="L5320" i="13" s="1"/>
  <c r="I5321" i="13" s="1"/>
  <c r="K5342" i="14"/>
  <c r="L5342" i="14" s="1"/>
  <c r="I5343" i="14" s="1"/>
  <c r="J5506" i="13" a="1"/>
  <c r="J5506" i="13" s="1"/>
  <c r="N5507" i="13"/>
  <c r="N5506" i="14"/>
  <c r="J5505" i="14" a="1"/>
  <c r="J5505" i="14" s="1"/>
  <c r="M5509" i="13"/>
  <c r="M5510" i="14"/>
  <c r="K5343" i="14" l="1"/>
  <c r="L5343" i="14" s="1"/>
  <c r="I5344" i="14" s="1"/>
  <c r="K5321" i="13"/>
  <c r="L5321" i="13" s="1"/>
  <c r="I5322" i="13" s="1"/>
  <c r="M5510" i="13"/>
  <c r="M5511" i="14"/>
  <c r="N5507" i="14"/>
  <c r="J5506" i="14" a="1"/>
  <c r="J5506" i="14" s="1"/>
  <c r="J5507" i="13" a="1"/>
  <c r="J5507" i="13" s="1"/>
  <c r="N5508" i="13"/>
  <c r="K5322" i="13" l="1"/>
  <c r="L5322" i="13" s="1"/>
  <c r="I5323" i="13" s="1"/>
  <c r="K5344" i="14"/>
  <c r="L5344" i="14" s="1"/>
  <c r="I5345" i="14" s="1"/>
  <c r="J5508" i="13" a="1"/>
  <c r="J5508" i="13" s="1"/>
  <c r="N5509" i="13"/>
  <c r="M5512" i="14"/>
  <c r="N5508" i="14"/>
  <c r="J5507" i="14" a="1"/>
  <c r="J5507" i="14" s="1"/>
  <c r="M5511" i="13"/>
  <c r="K5345" i="14" l="1"/>
  <c r="L5345" i="14" s="1"/>
  <c r="I5346" i="14" s="1"/>
  <c r="K5323" i="13"/>
  <c r="L5323" i="13" s="1"/>
  <c r="I5324" i="13" s="1"/>
  <c r="J5508" i="14" a="1"/>
  <c r="J5508" i="14" s="1"/>
  <c r="N5509" i="14"/>
  <c r="M5512" i="13"/>
  <c r="M5513" i="14"/>
  <c r="N5510" i="13"/>
  <c r="J5509" i="13" a="1"/>
  <c r="J5509" i="13" s="1"/>
  <c r="M5513" i="13" l="1"/>
  <c r="K5324" i="13"/>
  <c r="L5324" i="13" s="1"/>
  <c r="I5325" i="13" s="1"/>
  <c r="J5510" i="13" a="1"/>
  <c r="J5510" i="13" s="1"/>
  <c r="N5511" i="13"/>
  <c r="M5514" i="14"/>
  <c r="N5510" i="14"/>
  <c r="J5509" i="14" a="1"/>
  <c r="J5509" i="14" s="1"/>
  <c r="K5346" i="14"/>
  <c r="L5346" i="14" s="1"/>
  <c r="I5347" i="14" s="1"/>
  <c r="N5511" i="14" l="1"/>
  <c r="J5510" i="14" a="1"/>
  <c r="J5510" i="14" s="1"/>
  <c r="M5515" i="14"/>
  <c r="K5347" i="14"/>
  <c r="L5347" i="14" s="1"/>
  <c r="I5348" i="14" s="1"/>
  <c r="K5325" i="13"/>
  <c r="L5325" i="13" s="1"/>
  <c r="I5326" i="13" s="1"/>
  <c r="J5511" i="13" a="1"/>
  <c r="J5511" i="13" s="1"/>
  <c r="N5512" i="13"/>
  <c r="M5514" i="13"/>
  <c r="K5348" i="14" l="1"/>
  <c r="L5348" i="14" s="1"/>
  <c r="I5349" i="14" s="1"/>
  <c r="J5512" i="13" a="1"/>
  <c r="J5512" i="13" s="1"/>
  <c r="N5513" i="13"/>
  <c r="M5515" i="13"/>
  <c r="K5326" i="13"/>
  <c r="L5326" i="13" s="1"/>
  <c r="I5327" i="13" s="1"/>
  <c r="M5516" i="14"/>
  <c r="N5512" i="14"/>
  <c r="J5511" i="14" a="1"/>
  <c r="J5511" i="14" s="1"/>
  <c r="K5327" i="13" l="1"/>
  <c r="L5327" i="13" s="1"/>
  <c r="I5328" i="13" s="1"/>
  <c r="K5349" i="14"/>
  <c r="L5349" i="14" s="1"/>
  <c r="I5350" i="14" s="1"/>
  <c r="N5514" i="13"/>
  <c r="J5513" i="13" a="1"/>
  <c r="J5513" i="13" s="1"/>
  <c r="J5512" i="14" a="1"/>
  <c r="J5512" i="14" s="1"/>
  <c r="N5513" i="14"/>
  <c r="M5517" i="14"/>
  <c r="M5516" i="13"/>
  <c r="K5328" i="13" l="1"/>
  <c r="L5328" i="13" s="1"/>
  <c r="I5329" i="13" s="1"/>
  <c r="M5517" i="13"/>
  <c r="N5514" i="14"/>
  <c r="J5513" i="14" a="1"/>
  <c r="J5513" i="14" s="1"/>
  <c r="K5350" i="14"/>
  <c r="L5350" i="14" s="1"/>
  <c r="I5351" i="14" s="1"/>
  <c r="M5518" i="14"/>
  <c r="J5514" i="13" a="1"/>
  <c r="J5514" i="13" s="1"/>
  <c r="N5515" i="13"/>
  <c r="K5329" i="13" l="1"/>
  <c r="L5329" i="13" s="1"/>
  <c r="I5330" i="13" s="1"/>
  <c r="J5515" i="13" a="1"/>
  <c r="J5515" i="13" s="1"/>
  <c r="N5516" i="13"/>
  <c r="K5351" i="14"/>
  <c r="L5351" i="14" s="1"/>
  <c r="I5352" i="14" s="1"/>
  <c r="M5518" i="13"/>
  <c r="M5519" i="14"/>
  <c r="N5515" i="14"/>
  <c r="J5514" i="14" a="1"/>
  <c r="J5514" i="14" s="1"/>
  <c r="K5330" i="13" l="1"/>
  <c r="L5330" i="13" s="1"/>
  <c r="I5331" i="13" s="1"/>
  <c r="K5352" i="14"/>
  <c r="L5352" i="14" s="1"/>
  <c r="I5353" i="14" s="1"/>
  <c r="J5516" i="13" a="1"/>
  <c r="J5516" i="13" s="1"/>
  <c r="N5517" i="13"/>
  <c r="N5516" i="14"/>
  <c r="J5515" i="14" a="1"/>
  <c r="J5515" i="14" s="1"/>
  <c r="M5519" i="13"/>
  <c r="M5520" i="14"/>
  <c r="K5331" i="13" l="1"/>
  <c r="L5331" i="13" s="1"/>
  <c r="I5332" i="13" s="1"/>
  <c r="J5516" i="14" a="1"/>
  <c r="J5516" i="14" s="1"/>
  <c r="N5517" i="14"/>
  <c r="K5353" i="14"/>
  <c r="L5353" i="14" s="1"/>
  <c r="I5354" i="14" s="1"/>
  <c r="N5518" i="13"/>
  <c r="J5517" i="13" a="1"/>
  <c r="J5517" i="13" s="1"/>
  <c r="M5521" i="14"/>
  <c r="M5520" i="13"/>
  <c r="K5354" i="14" l="1"/>
  <c r="L5354" i="14" s="1"/>
  <c r="I5355" i="14" s="1"/>
  <c r="K5332" i="13"/>
  <c r="L5332" i="13" s="1"/>
  <c r="I5333" i="13" s="1"/>
  <c r="N5518" i="14"/>
  <c r="J5517" i="14" a="1"/>
  <c r="J5517" i="14" s="1"/>
  <c r="M5521" i="13"/>
  <c r="M5522" i="14"/>
  <c r="J5518" i="13" a="1"/>
  <c r="J5518" i="13" s="1"/>
  <c r="N5519" i="13"/>
  <c r="K5355" i="14" l="1"/>
  <c r="L5355" i="14" s="1"/>
  <c r="I5356" i="14" s="1"/>
  <c r="J5519" i="13" a="1"/>
  <c r="J5519" i="13" s="1"/>
  <c r="N5520" i="13"/>
  <c r="K5333" i="13"/>
  <c r="L5333" i="13" s="1"/>
  <c r="I5334" i="13" s="1"/>
  <c r="M5522" i="13"/>
  <c r="M5523" i="14"/>
  <c r="J5518" i="14" a="1"/>
  <c r="J5518" i="14" s="1"/>
  <c r="N5519" i="14"/>
  <c r="K5334" i="13" l="1"/>
  <c r="L5334" i="13" s="1"/>
  <c r="I5335" i="13" s="1"/>
  <c r="K5356" i="14"/>
  <c r="L5356" i="14" s="1"/>
  <c r="I5357" i="14" s="1"/>
  <c r="M5523" i="13"/>
  <c r="N5520" i="14"/>
  <c r="J5519" i="14" a="1"/>
  <c r="J5519" i="14" s="1"/>
  <c r="J5520" i="13" a="1"/>
  <c r="J5520" i="13" s="1"/>
  <c r="N5521" i="13"/>
  <c r="M5524" i="14"/>
  <c r="K5335" i="13" l="1"/>
  <c r="L5335" i="13" s="1"/>
  <c r="I5336" i="13" s="1"/>
  <c r="M5525" i="14"/>
  <c r="K5357" i="14"/>
  <c r="L5357" i="14" s="1"/>
  <c r="I5358" i="14" s="1"/>
  <c r="J5520" i="14" a="1"/>
  <c r="J5520" i="14" s="1"/>
  <c r="N5521" i="14"/>
  <c r="N5522" i="13"/>
  <c r="J5521" i="13" a="1"/>
  <c r="J5521" i="13" s="1"/>
  <c r="M5524" i="13"/>
  <c r="K5358" i="14" l="1"/>
  <c r="L5358" i="14" s="1"/>
  <c r="I5359" i="14" s="1"/>
  <c r="K5336" i="13"/>
  <c r="L5336" i="13" s="1"/>
  <c r="I5337" i="13" s="1"/>
  <c r="M5525" i="13"/>
  <c r="J5521" i="14" a="1"/>
  <c r="J5521" i="14" s="1"/>
  <c r="N5522" i="14"/>
  <c r="M5526" i="14"/>
  <c r="J5522" i="13" a="1"/>
  <c r="J5522" i="13" s="1"/>
  <c r="N5523" i="13"/>
  <c r="K5359" i="14" l="1"/>
  <c r="L5359" i="14" s="1"/>
  <c r="I5360" i="14" s="1"/>
  <c r="J5522" i="14" a="1"/>
  <c r="J5522" i="14" s="1"/>
  <c r="N5523" i="14"/>
  <c r="J5523" i="13" a="1"/>
  <c r="J5523" i="13" s="1"/>
  <c r="N5524" i="13"/>
  <c r="K5337" i="13"/>
  <c r="L5337" i="13" s="1"/>
  <c r="I5338" i="13" s="1"/>
  <c r="M5527" i="14"/>
  <c r="M5526" i="13"/>
  <c r="K5360" i="14" l="1"/>
  <c r="L5360" i="14" s="1"/>
  <c r="I5361" i="14" s="1"/>
  <c r="J5524" i="13" a="1"/>
  <c r="J5524" i="13" s="1"/>
  <c r="N5525" i="13"/>
  <c r="M5528" i="14"/>
  <c r="N5524" i="14"/>
  <c r="J5523" i="14" a="1"/>
  <c r="J5523" i="14" s="1"/>
  <c r="K5338" i="13"/>
  <c r="L5338" i="13" s="1"/>
  <c r="I5339" i="13" s="1"/>
  <c r="M5527" i="13"/>
  <c r="K5339" i="13" l="1"/>
  <c r="L5339" i="13" s="1"/>
  <c r="I5340" i="13" s="1"/>
  <c r="K5361" i="14"/>
  <c r="L5361" i="14" s="1"/>
  <c r="I5362" i="14" s="1"/>
  <c r="N5526" i="13"/>
  <c r="J5525" i="13" a="1"/>
  <c r="J5525" i="13" s="1"/>
  <c r="M5528" i="13"/>
  <c r="J5524" i="14" a="1"/>
  <c r="J5524" i="14" s="1"/>
  <c r="N5525" i="14"/>
  <c r="M5529" i="14"/>
  <c r="K5340" i="13" l="1"/>
  <c r="L5340" i="13" s="1"/>
  <c r="I5341" i="13" s="1"/>
  <c r="K5362" i="14"/>
  <c r="L5362" i="14" s="1"/>
  <c r="I5363" i="14" s="1"/>
  <c r="J5526" i="13" a="1"/>
  <c r="J5526" i="13" s="1"/>
  <c r="N5527" i="13"/>
  <c r="M5529" i="13"/>
  <c r="M5530" i="14"/>
  <c r="J5525" i="14" a="1"/>
  <c r="J5525" i="14" s="1"/>
  <c r="N5526" i="14"/>
  <c r="K5363" i="14" l="1"/>
  <c r="L5363" i="14" s="1"/>
  <c r="I5364" i="14" s="1"/>
  <c r="K5341" i="13"/>
  <c r="L5341" i="13" s="1"/>
  <c r="I5342" i="13" s="1"/>
  <c r="N5527" i="14"/>
  <c r="J5526" i="14" a="1"/>
  <c r="J5526" i="14" s="1"/>
  <c r="M5530" i="13"/>
  <c r="M5531" i="14"/>
  <c r="J5527" i="13" a="1"/>
  <c r="J5527" i="13" s="1"/>
  <c r="N5528" i="13"/>
  <c r="K5364" i="14" l="1"/>
  <c r="L5364" i="14" s="1"/>
  <c r="I5365" i="14" s="1"/>
  <c r="J5528" i="13" a="1"/>
  <c r="J5528" i="13" s="1"/>
  <c r="N5529" i="13"/>
  <c r="K5342" i="13"/>
  <c r="L5342" i="13" s="1"/>
  <c r="I5343" i="13" s="1"/>
  <c r="M5531" i="13"/>
  <c r="M5532" i="14"/>
  <c r="N5528" i="14"/>
  <c r="J5527" i="14" a="1"/>
  <c r="J5527" i="14" s="1"/>
  <c r="K5343" i="13" l="1"/>
  <c r="L5343" i="13" s="1"/>
  <c r="I5344" i="13" s="1"/>
  <c r="K5365" i="14"/>
  <c r="L5365" i="14" s="1"/>
  <c r="I5366" i="14" s="1"/>
  <c r="N5530" i="13"/>
  <c r="J5529" i="13" a="1"/>
  <c r="J5529" i="13" s="1"/>
  <c r="M5532" i="13"/>
  <c r="J5528" i="14" a="1"/>
  <c r="J5528" i="14" s="1"/>
  <c r="N5529" i="14"/>
  <c r="M5533" i="14"/>
  <c r="K5344" i="13" l="1"/>
  <c r="L5344" i="13" s="1"/>
  <c r="I5345" i="13" s="1"/>
  <c r="N5530" i="14"/>
  <c r="J5529" i="14" a="1"/>
  <c r="J5529" i="14" s="1"/>
  <c r="M5534" i="14"/>
  <c r="M5533" i="13"/>
  <c r="K5366" i="14"/>
  <c r="L5366" i="14" s="1"/>
  <c r="I5367" i="14" s="1"/>
  <c r="J5530" i="13" a="1"/>
  <c r="J5530" i="13" s="1"/>
  <c r="N5531" i="13"/>
  <c r="K5367" i="14" l="1"/>
  <c r="L5367" i="14" s="1"/>
  <c r="I5368" i="14" s="1"/>
  <c r="K5345" i="13"/>
  <c r="L5345" i="13" s="1"/>
  <c r="I5346" i="13" s="1"/>
  <c r="J5531" i="13" a="1"/>
  <c r="J5531" i="13" s="1"/>
  <c r="N5532" i="13"/>
  <c r="N5531" i="14"/>
  <c r="J5530" i="14" a="1"/>
  <c r="J5530" i="14" s="1"/>
  <c r="M5534" i="13"/>
  <c r="M5535" i="14"/>
  <c r="K5346" i="13" l="1"/>
  <c r="L5346" i="13" s="1"/>
  <c r="I5347" i="13" s="1"/>
  <c r="K5368" i="14"/>
  <c r="L5368" i="14" s="1"/>
  <c r="I5369" i="14" s="1"/>
  <c r="M5535" i="13"/>
  <c r="M5536" i="14"/>
  <c r="N5532" i="14"/>
  <c r="J5531" i="14" a="1"/>
  <c r="J5531" i="14" s="1"/>
  <c r="J5532" i="13" a="1"/>
  <c r="J5532" i="13" s="1"/>
  <c r="N5533" i="13"/>
  <c r="K5347" i="13" l="1"/>
  <c r="L5347" i="13" s="1"/>
  <c r="I5348" i="13" s="1"/>
  <c r="N5534" i="13"/>
  <c r="J5533" i="13" a="1"/>
  <c r="J5533" i="13" s="1"/>
  <c r="M5537" i="14"/>
  <c r="K5369" i="14"/>
  <c r="L5369" i="14" s="1"/>
  <c r="I5370" i="14" s="1"/>
  <c r="J5532" i="14" a="1"/>
  <c r="J5532" i="14" s="1"/>
  <c r="N5533" i="14"/>
  <c r="M5536" i="13"/>
  <c r="K5370" i="14" l="1"/>
  <c r="L5370" i="14" s="1"/>
  <c r="I5371" i="14" s="1"/>
  <c r="K5348" i="13"/>
  <c r="L5348" i="13" s="1"/>
  <c r="I5349" i="13" s="1"/>
  <c r="J5534" i="13" a="1"/>
  <c r="J5534" i="13" s="1"/>
  <c r="N5535" i="13"/>
  <c r="M5537" i="13"/>
  <c r="N5534" i="14"/>
  <c r="J5533" i="14" a="1"/>
  <c r="J5533" i="14" s="1"/>
  <c r="M5538" i="14"/>
  <c r="K5349" i="13" l="1"/>
  <c r="L5349" i="13" s="1"/>
  <c r="I5350" i="13" s="1"/>
  <c r="K5371" i="14"/>
  <c r="L5371" i="14" s="1"/>
  <c r="I5372" i="14" s="1"/>
  <c r="M5539" i="14"/>
  <c r="M5538" i="13"/>
  <c r="J5535" i="13" a="1"/>
  <c r="J5535" i="13" s="1"/>
  <c r="N5536" i="13"/>
  <c r="N5535" i="14"/>
  <c r="J5534" i="14" a="1"/>
  <c r="J5534" i="14" s="1"/>
  <c r="K5372" i="14" l="1"/>
  <c r="L5372" i="14" s="1"/>
  <c r="I5373" i="14" s="1"/>
  <c r="K5350" i="13"/>
  <c r="L5350" i="13" s="1"/>
  <c r="I5351" i="13" s="1"/>
  <c r="J5536" i="13" a="1"/>
  <c r="J5536" i="13" s="1"/>
  <c r="N5537" i="13"/>
  <c r="N5536" i="14"/>
  <c r="J5535" i="14" a="1"/>
  <c r="J5535" i="14" s="1"/>
  <c r="M5539" i="13"/>
  <c r="M5540" i="14"/>
  <c r="K5351" i="13" l="1"/>
  <c r="L5351" i="13" s="1"/>
  <c r="I5352" i="13" s="1"/>
  <c r="K5373" i="14"/>
  <c r="L5373" i="14" s="1"/>
  <c r="I5374" i="14" s="1"/>
  <c r="N5538" i="13"/>
  <c r="J5537" i="13" a="1"/>
  <c r="J5537" i="13" s="1"/>
  <c r="M5540" i="13"/>
  <c r="M5541" i="14"/>
  <c r="J5536" i="14" a="1"/>
  <c r="J5536" i="14" s="1"/>
  <c r="N5537" i="14"/>
  <c r="K5374" i="14" l="1"/>
  <c r="L5374" i="14" s="1"/>
  <c r="I5375" i="14" s="1"/>
  <c r="K5352" i="13"/>
  <c r="L5352" i="13" s="1"/>
  <c r="I5353" i="13" s="1"/>
  <c r="N5538" i="14"/>
  <c r="J5537" i="14" a="1"/>
  <c r="J5537" i="14" s="1"/>
  <c r="M5541" i="13"/>
  <c r="M5542" i="14"/>
  <c r="J5538" i="13" a="1"/>
  <c r="J5538" i="13" s="1"/>
  <c r="N5539" i="13"/>
  <c r="K5375" i="14" l="1"/>
  <c r="L5375" i="14" s="1"/>
  <c r="I5376" i="14" s="1"/>
  <c r="J5539" i="13" a="1"/>
  <c r="J5539" i="13" s="1"/>
  <c r="N5540" i="13"/>
  <c r="M5542" i="13"/>
  <c r="K5353" i="13"/>
  <c r="L5353" i="13" s="1"/>
  <c r="I5354" i="13" s="1"/>
  <c r="M5543" i="14"/>
  <c r="N5539" i="14"/>
  <c r="J5538" i="14" a="1"/>
  <c r="J5538" i="14" s="1"/>
  <c r="K5376" i="14" l="1"/>
  <c r="L5376" i="14" s="1"/>
  <c r="I5377" i="14" s="1"/>
  <c r="J5540" i="13" a="1"/>
  <c r="J5540" i="13" s="1"/>
  <c r="N5541" i="13"/>
  <c r="N5540" i="14"/>
  <c r="J5539" i="14" a="1"/>
  <c r="J5539" i="14" s="1"/>
  <c r="K5354" i="13"/>
  <c r="L5354" i="13" s="1"/>
  <c r="I5355" i="13" s="1"/>
  <c r="M5544" i="14"/>
  <c r="M5543" i="13"/>
  <c r="K5355" i="13" l="1"/>
  <c r="L5355" i="13" s="1"/>
  <c r="I5356" i="13" s="1"/>
  <c r="K5377" i="14"/>
  <c r="L5377" i="14" s="1"/>
  <c r="I5378" i="14" s="1"/>
  <c r="N5542" i="13"/>
  <c r="J5541" i="13" a="1"/>
  <c r="J5541" i="13" s="1"/>
  <c r="M5544" i="13"/>
  <c r="M5545" i="14"/>
  <c r="J5540" i="14" a="1"/>
  <c r="J5540" i="14" s="1"/>
  <c r="N5541" i="14"/>
  <c r="K5378" i="14" l="1"/>
  <c r="L5378" i="14" s="1"/>
  <c r="I5379" i="14" s="1"/>
  <c r="K5356" i="13"/>
  <c r="L5356" i="13" s="1"/>
  <c r="I5357" i="13" s="1"/>
  <c r="N5542" i="14"/>
  <c r="J5541" i="14" a="1"/>
  <c r="J5541" i="14" s="1"/>
  <c r="M5545" i="13"/>
  <c r="M5546" i="14"/>
  <c r="J5542" i="13" a="1"/>
  <c r="J5542" i="13" s="1"/>
  <c r="N5543" i="13"/>
  <c r="K5379" i="14" l="1"/>
  <c r="L5379" i="14" s="1"/>
  <c r="I5380" i="14" s="1"/>
  <c r="J5543" i="13" a="1"/>
  <c r="J5543" i="13" s="1"/>
  <c r="N5544" i="13"/>
  <c r="M5546" i="13"/>
  <c r="K5357" i="13"/>
  <c r="L5357" i="13" s="1"/>
  <c r="I5358" i="13" s="1"/>
  <c r="M5547" i="14"/>
  <c r="N5543" i="14"/>
  <c r="J5542" i="14" a="1"/>
  <c r="J5542" i="14" s="1"/>
  <c r="K5380" i="14" l="1"/>
  <c r="L5380" i="14" s="1"/>
  <c r="I5381" i="14" s="1"/>
  <c r="K5358" i="13"/>
  <c r="L5358" i="13" s="1"/>
  <c r="I5359" i="13" s="1"/>
  <c r="J5544" i="13" a="1"/>
  <c r="J5544" i="13" s="1"/>
  <c r="N5545" i="13"/>
  <c r="N5544" i="14"/>
  <c r="J5543" i="14" a="1"/>
  <c r="J5543" i="14" s="1"/>
  <c r="M5548" i="14"/>
  <c r="M5547" i="13"/>
  <c r="K5359" i="13" l="1"/>
  <c r="L5359" i="13" s="1"/>
  <c r="I5360" i="13" s="1"/>
  <c r="K5381" i="14"/>
  <c r="L5381" i="14" s="1"/>
  <c r="I5382" i="14" s="1"/>
  <c r="M5548" i="13"/>
  <c r="J5544" i="14" a="1"/>
  <c r="J5544" i="14" s="1"/>
  <c r="N5545" i="14"/>
  <c r="M5549" i="14"/>
  <c r="N5546" i="13"/>
  <c r="J5545" i="13" a="1"/>
  <c r="J5545" i="13" s="1"/>
  <c r="K5382" i="14" l="1"/>
  <c r="L5382" i="14" s="1"/>
  <c r="I5383" i="14" s="1"/>
  <c r="K5360" i="13"/>
  <c r="L5360" i="13" s="1"/>
  <c r="I5361" i="13" s="1"/>
  <c r="N5546" i="14"/>
  <c r="J5545" i="14" a="1"/>
  <c r="J5545" i="14" s="1"/>
  <c r="M5549" i="13"/>
  <c r="J5546" i="13" a="1"/>
  <c r="J5546" i="13" s="1"/>
  <c r="N5547" i="13"/>
  <c r="M5550" i="14"/>
  <c r="K5361" i="13" l="1"/>
  <c r="L5361" i="13" s="1"/>
  <c r="I5362" i="13" s="1"/>
  <c r="K5383" i="14"/>
  <c r="L5383" i="14" s="1"/>
  <c r="I5384" i="14" s="1"/>
  <c r="M5550" i="13"/>
  <c r="J5547" i="13" a="1"/>
  <c r="J5547" i="13" s="1"/>
  <c r="N5548" i="13"/>
  <c r="M5551" i="14"/>
  <c r="N5547" i="14"/>
  <c r="J5546" i="14" a="1"/>
  <c r="J5546" i="14" s="1"/>
  <c r="J5548" i="13" l="1" a="1"/>
  <c r="J5548" i="13" s="1"/>
  <c r="N5549" i="13"/>
  <c r="N5548" i="14"/>
  <c r="J5547" i="14" a="1"/>
  <c r="J5547" i="14" s="1"/>
  <c r="K5384" i="14"/>
  <c r="L5384" i="14" s="1"/>
  <c r="I5385" i="14" s="1"/>
  <c r="M5552" i="14"/>
  <c r="M5551" i="13"/>
  <c r="K5362" i="13"/>
  <c r="L5362" i="13" s="1"/>
  <c r="I5363" i="13" s="1"/>
  <c r="K5363" i="13" l="1"/>
  <c r="L5363" i="13" s="1"/>
  <c r="I5364" i="13" s="1"/>
  <c r="M5553" i="14"/>
  <c r="J5548" i="14" a="1"/>
  <c r="J5548" i="14" s="1"/>
  <c r="N5549" i="14"/>
  <c r="M5552" i="13"/>
  <c r="N5550" i="13"/>
  <c r="J5549" i="13" a="1"/>
  <c r="J5549" i="13" s="1"/>
  <c r="K5385" i="14"/>
  <c r="L5385" i="14" s="1"/>
  <c r="I5386" i="14" s="1"/>
  <c r="K5364" i="13" l="1"/>
  <c r="L5364" i="13" s="1"/>
  <c r="I5365" i="13" s="1"/>
  <c r="J5550" i="13" a="1"/>
  <c r="J5550" i="13" s="1"/>
  <c r="N5551" i="13"/>
  <c r="M5553" i="13"/>
  <c r="M5554" i="14"/>
  <c r="K5386" i="14"/>
  <c r="L5386" i="14" s="1"/>
  <c r="I5387" i="14" s="1"/>
  <c r="N5550" i="14"/>
  <c r="J5549" i="14" a="1"/>
  <c r="J5549" i="14" s="1"/>
  <c r="K5387" i="14" l="1"/>
  <c r="L5387" i="14" s="1"/>
  <c r="I5388" i="14" s="1"/>
  <c r="K5365" i="13"/>
  <c r="L5365" i="13" s="1"/>
  <c r="I5366" i="13" s="1"/>
  <c r="M5555" i="14"/>
  <c r="J5551" i="13" a="1"/>
  <c r="J5551" i="13" s="1"/>
  <c r="N5552" i="13"/>
  <c r="N5551" i="14"/>
  <c r="J5550" i="14" a="1"/>
  <c r="J5550" i="14" s="1"/>
  <c r="M5554" i="13"/>
  <c r="K5366" i="13" l="1"/>
  <c r="L5366" i="13" s="1"/>
  <c r="I5367" i="13" s="1"/>
  <c r="K5388" i="14"/>
  <c r="L5388" i="14" s="1"/>
  <c r="I5389" i="14" s="1"/>
  <c r="J5552" i="13" a="1"/>
  <c r="J5552" i="13" s="1"/>
  <c r="N5553" i="13"/>
  <c r="M5555" i="13"/>
  <c r="N5552" i="14"/>
  <c r="J5551" i="14" a="1"/>
  <c r="J5551" i="14" s="1"/>
  <c r="M5556" i="14"/>
  <c r="K5389" i="14" l="1"/>
  <c r="L5389" i="14" s="1"/>
  <c r="I5390" i="14" s="1"/>
  <c r="K5367" i="13"/>
  <c r="L5367" i="13" s="1"/>
  <c r="I5368" i="13" s="1"/>
  <c r="N5554" i="13"/>
  <c r="J5553" i="13" a="1"/>
  <c r="J5553" i="13" s="1"/>
  <c r="M5557" i="14"/>
  <c r="M5556" i="13"/>
  <c r="J5552" i="14" a="1"/>
  <c r="J5552" i="14" s="1"/>
  <c r="N5553" i="14"/>
  <c r="K5368" i="13" l="1"/>
  <c r="L5368" i="13" s="1"/>
  <c r="I5369" i="13" s="1"/>
  <c r="K5390" i="14"/>
  <c r="L5390" i="14" s="1"/>
  <c r="I5391" i="14" s="1"/>
  <c r="N5554" i="14"/>
  <c r="J5553" i="14" a="1"/>
  <c r="J5553" i="14" s="1"/>
  <c r="M5558" i="14"/>
  <c r="M5557" i="13"/>
  <c r="J5554" i="13" a="1"/>
  <c r="J5554" i="13" s="1"/>
  <c r="N5555" i="13"/>
  <c r="K5391" i="14" l="1"/>
  <c r="L5391" i="14" s="1"/>
  <c r="I5392" i="14" s="1"/>
  <c r="K5369" i="13"/>
  <c r="L5369" i="13" s="1"/>
  <c r="I5370" i="13" s="1"/>
  <c r="J5555" i="13" a="1"/>
  <c r="J5555" i="13" s="1"/>
  <c r="N5556" i="13"/>
  <c r="M5559" i="14"/>
  <c r="M5558" i="13"/>
  <c r="N5555" i="14"/>
  <c r="J5554" i="14" a="1"/>
  <c r="J5554" i="14" s="1"/>
  <c r="K5370" i="13" l="1"/>
  <c r="L5370" i="13" s="1"/>
  <c r="I5371" i="13" s="1"/>
  <c r="K5392" i="14"/>
  <c r="L5392" i="14" s="1"/>
  <c r="I5393" i="14" s="1"/>
  <c r="M5560" i="14"/>
  <c r="J5556" i="13" a="1"/>
  <c r="J5556" i="13" s="1"/>
  <c r="N5557" i="13"/>
  <c r="N5556" i="14"/>
  <c r="J5555" i="14" a="1"/>
  <c r="J5555" i="14" s="1"/>
  <c r="M5559" i="13"/>
  <c r="K5371" i="13" l="1"/>
  <c r="L5371" i="13" s="1"/>
  <c r="I5372" i="13" s="1"/>
  <c r="N5558" i="13"/>
  <c r="J5557" i="13" a="1"/>
  <c r="J5557" i="13" s="1"/>
  <c r="M5560" i="13"/>
  <c r="K5393" i="14"/>
  <c r="L5393" i="14" s="1"/>
  <c r="I5394" i="14" s="1"/>
  <c r="J5556" i="14" a="1"/>
  <c r="J5556" i="14" s="1"/>
  <c r="N5557" i="14"/>
  <c r="M5561" i="14"/>
  <c r="K5394" i="14" l="1"/>
  <c r="L5394" i="14" s="1"/>
  <c r="I5395" i="14" s="1"/>
  <c r="K5372" i="13"/>
  <c r="L5372" i="13" s="1"/>
  <c r="I5373" i="13" s="1"/>
  <c r="J5558" i="13" a="1"/>
  <c r="J5558" i="13" s="1"/>
  <c r="N5559" i="13"/>
  <c r="N5558" i="14"/>
  <c r="J5557" i="14" a="1"/>
  <c r="J5557" i="14" s="1"/>
  <c r="M5561" i="13"/>
  <c r="M5562" i="14"/>
  <c r="K5373" i="13" l="1"/>
  <c r="L5373" i="13" s="1"/>
  <c r="I5374" i="13" s="1"/>
  <c r="K5395" i="14"/>
  <c r="L5395" i="14" s="1"/>
  <c r="I5396" i="14" s="1"/>
  <c r="N5559" i="14"/>
  <c r="J5558" i="14" a="1"/>
  <c r="J5558" i="14" s="1"/>
  <c r="J5559" i="13" a="1"/>
  <c r="J5559" i="13" s="1"/>
  <c r="N5560" i="13"/>
  <c r="M5563" i="14"/>
  <c r="M5562" i="13"/>
  <c r="K5396" i="14" l="1"/>
  <c r="L5396" i="14" s="1"/>
  <c r="I5397" i="14" s="1"/>
  <c r="K5374" i="13"/>
  <c r="L5374" i="13" s="1"/>
  <c r="I5375" i="13" s="1"/>
  <c r="J5560" i="13" a="1"/>
  <c r="J5560" i="13" s="1"/>
  <c r="N5561" i="13"/>
  <c r="M5563" i="13"/>
  <c r="M5564" i="14"/>
  <c r="N5560" i="14"/>
  <c r="J5559" i="14" a="1"/>
  <c r="J5559" i="14" s="1"/>
  <c r="K5397" i="14" l="1"/>
  <c r="L5397" i="14" s="1"/>
  <c r="I5398" i="14" s="1"/>
  <c r="K5375" i="13"/>
  <c r="L5375" i="13" s="1"/>
  <c r="I5376" i="13" s="1"/>
  <c r="M5564" i="13"/>
  <c r="N5562" i="13"/>
  <c r="J5561" i="13" a="1"/>
  <c r="J5561" i="13" s="1"/>
  <c r="J5560" i="14" a="1"/>
  <c r="J5560" i="14" s="1"/>
  <c r="N5561" i="14"/>
  <c r="M5565" i="14"/>
  <c r="K5376" i="13" l="1"/>
  <c r="L5376" i="13" s="1"/>
  <c r="I5377" i="13" s="1"/>
  <c r="K5398" i="14"/>
  <c r="L5398" i="14" s="1"/>
  <c r="I5399" i="14" s="1"/>
  <c r="N5562" i="14"/>
  <c r="J5561" i="14" a="1"/>
  <c r="J5561" i="14" s="1"/>
  <c r="M5565" i="13"/>
  <c r="M5566" i="14"/>
  <c r="J5562" i="13" a="1"/>
  <c r="J5562" i="13" s="1"/>
  <c r="N5563" i="13"/>
  <c r="K5399" i="14" l="1"/>
  <c r="L5399" i="14" s="1"/>
  <c r="I5400" i="14" s="1"/>
  <c r="K5377" i="13"/>
  <c r="L5377" i="13" s="1"/>
  <c r="I5378" i="13" s="1"/>
  <c r="J5563" i="13" a="1"/>
  <c r="J5563" i="13" s="1"/>
  <c r="N5564" i="13"/>
  <c r="M5566" i="13"/>
  <c r="M5567" i="14"/>
  <c r="N5563" i="14"/>
  <c r="J5562" i="14" a="1"/>
  <c r="J5562" i="14" s="1"/>
  <c r="K5378" i="13" l="1"/>
  <c r="L5378" i="13" s="1"/>
  <c r="I5379" i="13" s="1"/>
  <c r="K5400" i="14"/>
  <c r="L5400" i="14" s="1"/>
  <c r="I5401" i="14" s="1"/>
  <c r="N5564" i="14"/>
  <c r="J5563" i="14" a="1"/>
  <c r="J5563" i="14" s="1"/>
  <c r="M5567" i="13"/>
  <c r="J5564" i="13" a="1"/>
  <c r="J5564" i="13" s="1"/>
  <c r="N5565" i="13"/>
  <c r="M5568" i="14"/>
  <c r="K5379" i="13" l="1"/>
  <c r="L5379" i="13" s="1"/>
  <c r="I5380" i="13" s="1"/>
  <c r="M5569" i="14"/>
  <c r="M5568" i="13"/>
  <c r="K5401" i="14"/>
  <c r="L5401" i="14" s="1"/>
  <c r="I5402" i="14" s="1"/>
  <c r="N5566" i="13"/>
  <c r="J5565" i="13" a="1"/>
  <c r="J5565" i="13" s="1"/>
  <c r="J5564" i="14" a="1"/>
  <c r="J5564" i="14" s="1"/>
  <c r="N5565" i="14"/>
  <c r="K5380" i="13" l="1"/>
  <c r="L5380" i="13" s="1"/>
  <c r="I5381" i="13" s="1"/>
  <c r="N5566" i="14"/>
  <c r="J5565" i="14" a="1"/>
  <c r="J5565" i="14" s="1"/>
  <c r="M5570" i="14"/>
  <c r="K5402" i="14"/>
  <c r="L5402" i="14" s="1"/>
  <c r="I5403" i="14" s="1"/>
  <c r="M5569" i="13"/>
  <c r="J5566" i="13" a="1"/>
  <c r="J5566" i="13" s="1"/>
  <c r="N5567" i="13"/>
  <c r="K5403" i="14" l="1"/>
  <c r="L5403" i="14" s="1"/>
  <c r="I5404" i="14" s="1"/>
  <c r="K5381" i="13"/>
  <c r="L5381" i="13" s="1"/>
  <c r="I5382" i="13" s="1"/>
  <c r="J5567" i="13" a="1"/>
  <c r="J5567" i="13" s="1"/>
  <c r="N5568" i="13"/>
  <c r="N5567" i="14"/>
  <c r="J5566" i="14" a="1"/>
  <c r="J5566" i="14" s="1"/>
  <c r="M5571" i="14"/>
  <c r="M5570" i="13"/>
  <c r="K5404" i="14" l="1"/>
  <c r="L5404" i="14" s="1"/>
  <c r="I5405" i="14" s="1"/>
  <c r="N5568" i="14"/>
  <c r="J5567" i="14" a="1"/>
  <c r="J5567" i="14" s="1"/>
  <c r="K5382" i="13"/>
  <c r="L5382" i="13" s="1"/>
  <c r="I5383" i="13" s="1"/>
  <c r="J5568" i="13" a="1"/>
  <c r="J5568" i="13" s="1"/>
  <c r="N5569" i="13"/>
  <c r="M5571" i="13"/>
  <c r="M5572" i="14"/>
  <c r="K5383" i="13" l="1"/>
  <c r="L5383" i="13" s="1"/>
  <c r="I5384" i="13" s="1"/>
  <c r="K5405" i="14"/>
  <c r="L5405" i="14" s="1"/>
  <c r="I5406" i="14" s="1"/>
  <c r="N5570" i="13"/>
  <c r="J5569" i="13" a="1"/>
  <c r="J5569" i="13" s="1"/>
  <c r="J5568" i="14" a="1"/>
  <c r="J5568" i="14" s="1"/>
  <c r="N5569" i="14"/>
  <c r="M5573" i="14"/>
  <c r="M5572" i="13"/>
  <c r="K5406" i="14" l="1"/>
  <c r="L5406" i="14" s="1"/>
  <c r="I5407" i="14" s="1"/>
  <c r="K5384" i="13"/>
  <c r="L5384" i="13" s="1"/>
  <c r="I5385" i="13" s="1"/>
  <c r="N5570" i="14"/>
  <c r="J5569" i="14" a="1"/>
  <c r="J5569" i="14" s="1"/>
  <c r="M5573" i="13"/>
  <c r="M5574" i="14"/>
  <c r="J5570" i="13" a="1"/>
  <c r="J5570" i="13" s="1"/>
  <c r="N5571" i="13"/>
  <c r="K5385" i="13" l="1"/>
  <c r="L5385" i="13" s="1"/>
  <c r="I5386" i="13" s="1"/>
  <c r="K5407" i="14"/>
  <c r="L5407" i="14" s="1"/>
  <c r="I5408" i="14" s="1"/>
  <c r="M5574" i="13"/>
  <c r="J5571" i="13" a="1"/>
  <c r="J5571" i="13" s="1"/>
  <c r="N5572" i="13"/>
  <c r="M5575" i="14"/>
  <c r="N5571" i="14"/>
  <c r="J5570" i="14" a="1"/>
  <c r="J5570" i="14" s="1"/>
  <c r="K5408" i="14" l="1"/>
  <c r="L5408" i="14" s="1"/>
  <c r="I5409" i="14" s="1"/>
  <c r="K5386" i="13"/>
  <c r="L5386" i="13" s="1"/>
  <c r="I5387" i="13" s="1"/>
  <c r="J5572" i="13" a="1"/>
  <c r="J5572" i="13" s="1"/>
  <c r="N5573" i="13"/>
  <c r="N5572" i="14"/>
  <c r="J5571" i="14" a="1"/>
  <c r="J5571" i="14" s="1"/>
  <c r="M5576" i="14"/>
  <c r="M5575" i="13"/>
  <c r="K5387" i="13" l="1"/>
  <c r="L5387" i="13" s="1"/>
  <c r="I5388" i="13" s="1"/>
  <c r="K5409" i="14"/>
  <c r="L5409" i="14" s="1"/>
  <c r="I5410" i="14" s="1"/>
  <c r="J5572" i="14" a="1"/>
  <c r="J5572" i="14" s="1"/>
  <c r="N5573" i="14"/>
  <c r="N5574" i="13"/>
  <c r="J5573" i="13" a="1"/>
  <c r="J5573" i="13" s="1"/>
  <c r="M5576" i="13"/>
  <c r="M5577" i="14"/>
  <c r="K5410" i="14" l="1"/>
  <c r="L5410" i="14" s="1"/>
  <c r="I5411" i="14" s="1"/>
  <c r="K5388" i="13"/>
  <c r="L5388" i="13" s="1"/>
  <c r="I5389" i="13" s="1"/>
  <c r="J5574" i="13" a="1"/>
  <c r="J5574" i="13" s="1"/>
  <c r="N5575" i="13"/>
  <c r="M5577" i="13"/>
  <c r="N5574" i="14"/>
  <c r="J5573" i="14" a="1"/>
  <c r="J5573" i="14" s="1"/>
  <c r="M5578" i="14"/>
  <c r="K5389" i="13" l="1"/>
  <c r="L5389" i="13" s="1"/>
  <c r="I5390" i="13" s="1"/>
  <c r="K5411" i="14"/>
  <c r="L5411" i="14" s="1"/>
  <c r="I5412" i="14" s="1"/>
  <c r="M5579" i="14"/>
  <c r="N5575" i="14"/>
  <c r="J5574" i="14" a="1"/>
  <c r="J5574" i="14" s="1"/>
  <c r="M5578" i="13"/>
  <c r="J5575" i="13" a="1"/>
  <c r="J5575" i="13" s="1"/>
  <c r="N5576" i="13"/>
  <c r="K5412" i="14" l="1"/>
  <c r="L5412" i="14" s="1"/>
  <c r="I5413" i="14" s="1"/>
  <c r="K5390" i="13"/>
  <c r="L5390" i="13" s="1"/>
  <c r="I5391" i="13" s="1"/>
  <c r="N5576" i="14"/>
  <c r="J5575" i="14" a="1"/>
  <c r="J5575" i="14" s="1"/>
  <c r="J5576" i="13" a="1"/>
  <c r="J5576" i="13" s="1"/>
  <c r="N5577" i="13"/>
  <c r="M5579" i="13"/>
  <c r="M5580" i="14"/>
  <c r="K5391" i="13" l="1"/>
  <c r="L5391" i="13" s="1"/>
  <c r="I5392" i="13" s="1"/>
  <c r="K5413" i="14"/>
  <c r="L5413" i="14" s="1"/>
  <c r="I5414" i="14" s="1"/>
  <c r="N5578" i="13"/>
  <c r="J5577" i="13" a="1"/>
  <c r="J5577" i="13" s="1"/>
  <c r="M5581" i="14"/>
  <c r="M5580" i="13"/>
  <c r="J5576" i="14" a="1"/>
  <c r="J5576" i="14" s="1"/>
  <c r="N5577" i="14"/>
  <c r="K5414" i="14" l="1"/>
  <c r="L5414" i="14" s="1"/>
  <c r="I5415" i="14" s="1"/>
  <c r="K5392" i="13"/>
  <c r="L5392" i="13" s="1"/>
  <c r="I5393" i="13" s="1"/>
  <c r="N5578" i="14"/>
  <c r="J5577" i="14" a="1"/>
  <c r="J5577" i="14" s="1"/>
  <c r="M5582" i="14"/>
  <c r="M5581" i="13"/>
  <c r="J5578" i="13" a="1"/>
  <c r="J5578" i="13" s="1"/>
  <c r="N5579" i="13"/>
  <c r="K5393" i="13" l="1"/>
  <c r="L5393" i="13" s="1"/>
  <c r="I5394" i="13" s="1"/>
  <c r="N5579" i="14"/>
  <c r="J5578" i="14" a="1"/>
  <c r="J5578" i="14" s="1"/>
  <c r="J5579" i="13" a="1"/>
  <c r="J5579" i="13" s="1"/>
  <c r="N5580" i="13"/>
  <c r="M5583" i="14"/>
  <c r="M5582" i="13"/>
  <c r="K5415" i="14"/>
  <c r="L5415" i="14" s="1"/>
  <c r="I5416" i="14" s="1"/>
  <c r="K5416" i="14" l="1"/>
  <c r="L5416" i="14" s="1"/>
  <c r="I5417" i="14" s="1"/>
  <c r="K5394" i="13"/>
  <c r="L5394" i="13" s="1"/>
  <c r="I5395" i="13" s="1"/>
  <c r="N5580" i="14"/>
  <c r="J5579" i="14" a="1"/>
  <c r="J5579" i="14" s="1"/>
  <c r="M5584" i="14"/>
  <c r="J5580" i="13" a="1"/>
  <c r="J5580" i="13" s="1"/>
  <c r="N5581" i="13"/>
  <c r="M5583" i="13"/>
  <c r="K5395" i="13" l="1"/>
  <c r="L5395" i="13" s="1"/>
  <c r="I5396" i="13" s="1"/>
  <c r="K5417" i="14"/>
  <c r="L5417" i="14" s="1"/>
  <c r="I5418" i="14" s="1"/>
  <c r="N5582" i="13"/>
  <c r="J5581" i="13" a="1"/>
  <c r="J5581" i="13" s="1"/>
  <c r="M5585" i="14"/>
  <c r="M5584" i="13"/>
  <c r="J5580" i="14" a="1"/>
  <c r="J5580" i="14" s="1"/>
  <c r="N5581" i="14"/>
  <c r="K5418" i="14" l="1"/>
  <c r="L5418" i="14" s="1"/>
  <c r="I5419" i="14" s="1"/>
  <c r="K5396" i="13"/>
  <c r="L5396" i="13" s="1"/>
  <c r="I5397" i="13" s="1"/>
  <c r="N5582" i="14"/>
  <c r="J5581" i="14" a="1"/>
  <c r="J5581" i="14" s="1"/>
  <c r="M5586" i="14"/>
  <c r="M5585" i="13"/>
  <c r="J5582" i="13" a="1"/>
  <c r="J5582" i="13" s="1"/>
  <c r="N5583" i="13"/>
  <c r="K5419" i="14" l="1"/>
  <c r="L5419" i="14" s="1"/>
  <c r="I5420" i="14" s="1"/>
  <c r="J5583" i="13" a="1"/>
  <c r="J5583" i="13" s="1"/>
  <c r="N5584" i="13"/>
  <c r="M5587" i="14"/>
  <c r="M5586" i="13"/>
  <c r="K5397" i="13"/>
  <c r="L5397" i="13" s="1"/>
  <c r="I5398" i="13" s="1"/>
  <c r="J5582" i="14" a="1"/>
  <c r="J5582" i="14" s="1"/>
  <c r="N5583" i="14"/>
  <c r="K5398" i="13" l="1"/>
  <c r="L5398" i="13" s="1"/>
  <c r="I5399" i="13" s="1"/>
  <c r="K5420" i="14"/>
  <c r="L5420" i="14" s="1"/>
  <c r="I5421" i="14" s="1"/>
  <c r="N5584" i="14"/>
  <c r="J5583" i="14" a="1"/>
  <c r="J5583" i="14" s="1"/>
  <c r="J5584" i="13" a="1"/>
  <c r="J5584" i="13" s="1"/>
  <c r="N5585" i="13"/>
  <c r="M5587" i="13"/>
  <c r="M5588" i="14"/>
  <c r="K5421" i="14" l="1"/>
  <c r="L5421" i="14" s="1"/>
  <c r="I5422" i="14" s="1"/>
  <c r="K5399" i="13"/>
  <c r="L5399" i="13" s="1"/>
  <c r="I5400" i="13" s="1"/>
  <c r="N5586" i="13"/>
  <c r="J5585" i="13" a="1"/>
  <c r="J5585" i="13" s="1"/>
  <c r="M5589" i="14"/>
  <c r="M5588" i="13"/>
  <c r="J5584" i="14" a="1"/>
  <c r="J5584" i="14" s="1"/>
  <c r="N5585" i="14"/>
  <c r="K5400" i="13" l="1"/>
  <c r="L5400" i="13" s="1"/>
  <c r="I5401" i="13" s="1"/>
  <c r="K5422" i="14"/>
  <c r="L5422" i="14" s="1"/>
  <c r="I5423" i="14" s="1"/>
  <c r="M5590" i="14"/>
  <c r="J5585" i="14" a="1"/>
  <c r="J5585" i="14" s="1"/>
  <c r="N5586" i="14"/>
  <c r="M5589" i="13"/>
  <c r="J5586" i="13" a="1"/>
  <c r="J5586" i="13" s="1"/>
  <c r="N5587" i="13"/>
  <c r="K5423" i="14" l="1"/>
  <c r="L5423" i="14" s="1"/>
  <c r="I5424" i="14" s="1"/>
  <c r="K5401" i="13"/>
  <c r="L5401" i="13" s="1"/>
  <c r="I5402" i="13" s="1"/>
  <c r="J5587" i="13" a="1"/>
  <c r="J5587" i="13" s="1"/>
  <c r="N5588" i="13"/>
  <c r="J5586" i="14" a="1"/>
  <c r="J5586" i="14" s="1"/>
  <c r="N5587" i="14"/>
  <c r="M5591" i="14"/>
  <c r="M5590" i="13"/>
  <c r="K5402" i="13" l="1"/>
  <c r="L5402" i="13" s="1"/>
  <c r="I5403" i="13" s="1"/>
  <c r="K5424" i="14"/>
  <c r="L5424" i="14" s="1"/>
  <c r="I5425" i="14" s="1"/>
  <c r="N5588" i="14"/>
  <c r="J5587" i="14" a="1"/>
  <c r="J5587" i="14" s="1"/>
  <c r="M5591" i="13"/>
  <c r="J5588" i="13" a="1"/>
  <c r="J5588" i="13" s="1"/>
  <c r="N5589" i="13"/>
  <c r="M5592" i="14"/>
  <c r="K5425" i="14" l="1"/>
  <c r="L5425" i="14" s="1"/>
  <c r="I5426" i="14" s="1"/>
  <c r="K5403" i="13"/>
  <c r="L5403" i="13" s="1"/>
  <c r="I5404" i="13" s="1"/>
  <c r="N5590" i="13"/>
  <c r="J5589" i="13" a="1"/>
  <c r="J5589" i="13" s="1"/>
  <c r="M5593" i="14"/>
  <c r="M5592" i="13"/>
  <c r="J5588" i="14" a="1"/>
  <c r="J5588" i="14" s="1"/>
  <c r="N5589" i="14"/>
  <c r="K5404" i="13" l="1"/>
  <c r="L5404" i="13" s="1"/>
  <c r="I5405" i="13" s="1"/>
  <c r="K5426" i="14"/>
  <c r="L5426" i="14" s="1"/>
  <c r="I5427" i="14" s="1"/>
  <c r="J5589" i="14" a="1"/>
  <c r="J5589" i="14" s="1"/>
  <c r="N5590" i="14"/>
  <c r="M5593" i="13"/>
  <c r="M5594" i="14"/>
  <c r="J5590" i="13" a="1"/>
  <c r="J5590" i="13" s="1"/>
  <c r="N5591" i="13"/>
  <c r="K5427" i="14" l="1"/>
  <c r="L5427" i="14" s="1"/>
  <c r="I5428" i="14" s="1"/>
  <c r="K5405" i="13"/>
  <c r="L5405" i="13" s="1"/>
  <c r="I5406" i="13" s="1"/>
  <c r="J5591" i="13" a="1"/>
  <c r="J5591" i="13" s="1"/>
  <c r="N5592" i="13"/>
  <c r="M5595" i="14"/>
  <c r="M5594" i="13"/>
  <c r="N5591" i="14"/>
  <c r="J5590" i="14" a="1"/>
  <c r="J5590" i="14" s="1"/>
  <c r="K5406" i="13" l="1"/>
  <c r="L5406" i="13" s="1"/>
  <c r="I5407" i="13" s="1"/>
  <c r="K5428" i="14"/>
  <c r="L5428" i="14" s="1"/>
  <c r="I5429" i="14" s="1"/>
  <c r="N5592" i="14"/>
  <c r="J5591" i="14" a="1"/>
  <c r="J5591" i="14" s="1"/>
  <c r="M5596" i="14"/>
  <c r="J5592" i="13" a="1"/>
  <c r="J5592" i="13" s="1"/>
  <c r="N5593" i="13"/>
  <c r="M5595" i="13"/>
  <c r="K5429" i="14" l="1"/>
  <c r="L5429" i="14" s="1"/>
  <c r="I5430" i="14" s="1"/>
  <c r="K5407" i="13"/>
  <c r="L5407" i="13" s="1"/>
  <c r="I5408" i="13" s="1"/>
  <c r="N5594" i="13"/>
  <c r="J5593" i="13" a="1"/>
  <c r="J5593" i="13" s="1"/>
  <c r="M5596" i="13"/>
  <c r="M5597" i="14"/>
  <c r="J5592" i="14" a="1"/>
  <c r="J5592" i="14" s="1"/>
  <c r="N5593" i="14"/>
  <c r="K5408" i="13" l="1"/>
  <c r="L5408" i="13" s="1"/>
  <c r="I5409" i="13" s="1"/>
  <c r="K5430" i="14"/>
  <c r="L5430" i="14" s="1"/>
  <c r="I5431" i="14" s="1"/>
  <c r="N5594" i="14"/>
  <c r="J5593" i="14" a="1"/>
  <c r="J5593" i="14" s="1"/>
  <c r="M5597" i="13"/>
  <c r="M5598" i="14"/>
  <c r="J5594" i="13" a="1"/>
  <c r="J5594" i="13" s="1"/>
  <c r="N5595" i="13"/>
  <c r="K5431" i="14" l="1"/>
  <c r="L5431" i="14" s="1"/>
  <c r="I5432" i="14" s="1"/>
  <c r="K5409" i="13"/>
  <c r="L5409" i="13" s="1"/>
  <c r="I5410" i="13" s="1"/>
  <c r="J5595" i="13" a="1"/>
  <c r="J5595" i="13" s="1"/>
  <c r="N5596" i="13"/>
  <c r="M5598" i="13"/>
  <c r="M5599" i="14"/>
  <c r="N5595" i="14"/>
  <c r="J5594" i="14" a="1"/>
  <c r="J5594" i="14" s="1"/>
  <c r="K5410" i="13" l="1"/>
  <c r="L5410" i="13" s="1"/>
  <c r="I5411" i="13" s="1"/>
  <c r="K5432" i="14"/>
  <c r="L5432" i="14" s="1"/>
  <c r="I5433" i="14" s="1"/>
  <c r="N5596" i="14"/>
  <c r="J5595" i="14" a="1"/>
  <c r="J5595" i="14" s="1"/>
  <c r="M5599" i="13"/>
  <c r="M5600" i="14"/>
  <c r="J5596" i="13" a="1"/>
  <c r="J5596" i="13" s="1"/>
  <c r="N5597" i="13"/>
  <c r="K5433" i="14" l="1"/>
  <c r="L5433" i="14" s="1"/>
  <c r="I5434" i="14" s="1"/>
  <c r="K5411" i="13"/>
  <c r="L5411" i="13" s="1"/>
  <c r="I5412" i="13" s="1"/>
  <c r="M5600" i="13"/>
  <c r="N5598" i="13"/>
  <c r="J5597" i="13" a="1"/>
  <c r="J5597" i="13" s="1"/>
  <c r="M5601" i="14"/>
  <c r="J5596" i="14" a="1"/>
  <c r="J5596" i="14" s="1"/>
  <c r="N5597" i="14"/>
  <c r="K5412" i="13" l="1"/>
  <c r="L5412" i="13" s="1"/>
  <c r="I5413" i="13" s="1"/>
  <c r="K5434" i="14"/>
  <c r="L5434" i="14" s="1"/>
  <c r="I5435" i="14" s="1"/>
  <c r="J5598" i="13" a="1"/>
  <c r="J5598" i="13" s="1"/>
  <c r="N5599" i="13"/>
  <c r="J5597" i="14" a="1"/>
  <c r="J5597" i="14" s="1"/>
  <c r="N5598" i="14"/>
  <c r="M5602" i="14"/>
  <c r="M5601" i="13"/>
  <c r="K5435" i="14" l="1"/>
  <c r="L5435" i="14" s="1"/>
  <c r="I5436" i="14" s="1"/>
  <c r="K5413" i="13"/>
  <c r="L5413" i="13" s="1"/>
  <c r="I5414" i="13" s="1"/>
  <c r="N5599" i="14"/>
  <c r="J5598" i="14" a="1"/>
  <c r="J5598" i="14" s="1"/>
  <c r="J5599" i="13" a="1"/>
  <c r="J5599" i="13" s="1"/>
  <c r="N5600" i="13"/>
  <c r="M5602" i="13"/>
  <c r="M5603" i="14"/>
  <c r="K5414" i="13" l="1"/>
  <c r="L5414" i="13" s="1"/>
  <c r="I5415" i="13" s="1"/>
  <c r="K5436" i="14"/>
  <c r="L5436" i="14" s="1"/>
  <c r="I5437" i="14" s="1"/>
  <c r="J5600" i="13" a="1"/>
  <c r="J5600" i="13" s="1"/>
  <c r="N5601" i="13"/>
  <c r="M5604" i="14"/>
  <c r="M5603" i="13"/>
  <c r="J5599" i="14" a="1"/>
  <c r="J5599" i="14" s="1"/>
  <c r="N5600" i="14"/>
  <c r="K5437" i="14" l="1"/>
  <c r="L5437" i="14" s="1"/>
  <c r="I5438" i="14" s="1"/>
  <c r="K5415" i="13"/>
  <c r="L5415" i="13" s="1"/>
  <c r="I5416" i="13" s="1"/>
  <c r="J5600" i="14" a="1"/>
  <c r="J5600" i="14" s="1"/>
  <c r="N5601" i="14"/>
  <c r="M5605" i="14"/>
  <c r="N5602" i="13"/>
  <c r="J5601" i="13" a="1"/>
  <c r="J5601" i="13" s="1"/>
  <c r="M5604" i="13"/>
  <c r="K5416" i="13" l="1"/>
  <c r="L5416" i="13" s="1"/>
  <c r="I5417" i="13" s="1"/>
  <c r="K5438" i="14"/>
  <c r="L5438" i="14" s="1"/>
  <c r="I5439" i="14" s="1"/>
  <c r="M5606" i="14"/>
  <c r="J5602" i="13" a="1"/>
  <c r="J5602" i="13" s="1"/>
  <c r="N5603" i="13"/>
  <c r="M5605" i="13"/>
  <c r="J5601" i="14" a="1"/>
  <c r="J5601" i="14" s="1"/>
  <c r="N5602" i="14"/>
  <c r="K5439" i="14" l="1"/>
  <c r="L5439" i="14" s="1"/>
  <c r="I5440" i="14" s="1"/>
  <c r="K5417" i="13"/>
  <c r="L5417" i="13" s="1"/>
  <c r="I5418" i="13" s="1"/>
  <c r="J5603" i="13" a="1"/>
  <c r="J5603" i="13" s="1"/>
  <c r="N5604" i="13"/>
  <c r="N5603" i="14"/>
  <c r="J5602" i="14" a="1"/>
  <c r="J5602" i="14" s="1"/>
  <c r="M5606" i="13"/>
  <c r="M5607" i="14"/>
  <c r="K5418" i="13" l="1"/>
  <c r="L5418" i="13" s="1"/>
  <c r="I5419" i="13" s="1"/>
  <c r="K5440" i="14"/>
  <c r="L5440" i="14" s="1"/>
  <c r="I5441" i="14" s="1"/>
  <c r="J5603" i="14" a="1"/>
  <c r="J5603" i="14" s="1"/>
  <c r="N5604" i="14"/>
  <c r="J5604" i="13" a="1"/>
  <c r="J5604" i="13" s="1"/>
  <c r="N5605" i="13"/>
  <c r="M5608" i="14"/>
  <c r="M5607" i="13"/>
  <c r="K5441" i="14" l="1"/>
  <c r="L5441" i="14" s="1"/>
  <c r="I5442" i="14" s="1"/>
  <c r="K5419" i="13"/>
  <c r="L5419" i="13" s="1"/>
  <c r="I5420" i="13" s="1"/>
  <c r="N5606" i="13"/>
  <c r="J5605" i="13" a="1"/>
  <c r="J5605" i="13" s="1"/>
  <c r="J5604" i="14" a="1"/>
  <c r="J5604" i="14" s="1"/>
  <c r="N5605" i="14"/>
  <c r="M5608" i="13"/>
  <c r="M5609" i="14"/>
  <c r="K5420" i="13" l="1"/>
  <c r="L5420" i="13" s="1"/>
  <c r="I5421" i="13" s="1"/>
  <c r="K5442" i="14"/>
  <c r="L5442" i="14" s="1"/>
  <c r="I5443" i="14" s="1"/>
  <c r="N5606" i="14"/>
  <c r="J5605" i="14" a="1"/>
  <c r="J5605" i="14" s="1"/>
  <c r="M5610" i="14"/>
  <c r="M5609" i="13"/>
  <c r="J5606" i="13" a="1"/>
  <c r="J5606" i="13" s="1"/>
  <c r="N5607" i="13"/>
  <c r="K5443" i="14" l="1"/>
  <c r="L5443" i="14" s="1"/>
  <c r="I5444" i="14" s="1"/>
  <c r="M5610" i="13"/>
  <c r="J5607" i="13" a="1"/>
  <c r="J5607" i="13" s="1"/>
  <c r="N5608" i="13"/>
  <c r="N5607" i="14"/>
  <c r="J5606" i="14" a="1"/>
  <c r="J5606" i="14" s="1"/>
  <c r="K5421" i="13"/>
  <c r="L5421" i="13" s="1"/>
  <c r="I5422" i="13" s="1"/>
  <c r="M5611" i="14"/>
  <c r="K5422" i="13" l="1"/>
  <c r="L5422" i="13" s="1"/>
  <c r="I5423" i="13" s="1"/>
  <c r="K5444" i="14"/>
  <c r="L5444" i="14" s="1"/>
  <c r="I5445" i="14" s="1"/>
  <c r="M5612" i="14"/>
  <c r="J5607" i="14" a="1"/>
  <c r="J5607" i="14" s="1"/>
  <c r="N5608" i="14"/>
  <c r="M5611" i="13"/>
  <c r="J5608" i="13" a="1"/>
  <c r="J5608" i="13" s="1"/>
  <c r="N5609" i="13"/>
  <c r="K5445" i="14" l="1"/>
  <c r="L5445" i="14" s="1"/>
  <c r="I5446" i="14" s="1"/>
  <c r="K5423" i="13"/>
  <c r="L5423" i="13" s="1"/>
  <c r="I5424" i="13" s="1"/>
  <c r="N5609" i="14"/>
  <c r="J5608" i="14" a="1"/>
  <c r="J5608" i="14" s="1"/>
  <c r="N5610" i="13"/>
  <c r="J5609" i="13" a="1"/>
  <c r="J5609" i="13" s="1"/>
  <c r="M5613" i="14"/>
  <c r="M5612" i="13"/>
  <c r="K5424" i="13" l="1"/>
  <c r="L5424" i="13" s="1"/>
  <c r="I5425" i="13" s="1"/>
  <c r="K5446" i="14"/>
  <c r="L5446" i="14" s="1"/>
  <c r="I5447" i="14" s="1"/>
  <c r="J5610" i="13" a="1"/>
  <c r="J5610" i="13" s="1"/>
  <c r="N5611" i="13"/>
  <c r="M5613" i="13"/>
  <c r="M5614" i="14"/>
  <c r="N5610" i="14"/>
  <c r="J5609" i="14" a="1"/>
  <c r="J5609" i="14" s="1"/>
  <c r="K5447" i="14" l="1"/>
  <c r="L5447" i="14" s="1"/>
  <c r="I5448" i="14" s="1"/>
  <c r="K5425" i="13"/>
  <c r="L5425" i="13" s="1"/>
  <c r="I5426" i="13" s="1"/>
  <c r="N5611" i="14"/>
  <c r="J5610" i="14" a="1"/>
  <c r="J5610" i="14" s="1"/>
  <c r="M5614" i="13"/>
  <c r="J5611" i="13" a="1"/>
  <c r="J5611" i="13" s="1"/>
  <c r="N5612" i="13"/>
  <c r="M5615" i="14"/>
  <c r="K5448" i="14" l="1"/>
  <c r="L5448" i="14" s="1"/>
  <c r="I5449" i="14" s="1"/>
  <c r="J5612" i="13" a="1"/>
  <c r="J5612" i="13" s="1"/>
  <c r="N5613" i="13"/>
  <c r="M5616" i="14"/>
  <c r="K5426" i="13"/>
  <c r="L5426" i="13" s="1"/>
  <c r="I5427" i="13" s="1"/>
  <c r="M5615" i="13"/>
  <c r="J5611" i="14" a="1"/>
  <c r="J5611" i="14" s="1"/>
  <c r="N5612" i="14"/>
  <c r="K5427" i="13" l="1"/>
  <c r="L5427" i="13" s="1"/>
  <c r="I5428" i="13" s="1"/>
  <c r="K5449" i="14"/>
  <c r="L5449" i="14" s="1"/>
  <c r="I5450" i="14" s="1"/>
  <c r="N5614" i="13"/>
  <c r="J5613" i="13" a="1"/>
  <c r="J5613" i="13" s="1"/>
  <c r="N5613" i="14"/>
  <c r="J5612" i="14" a="1"/>
  <c r="J5612" i="14" s="1"/>
  <c r="M5616" i="13"/>
  <c r="M5617" i="14"/>
  <c r="K5450" i="14" l="1"/>
  <c r="L5450" i="14" s="1"/>
  <c r="I5451" i="14" s="1"/>
  <c r="K5428" i="13"/>
  <c r="L5428" i="13" s="1"/>
  <c r="I5429" i="13" s="1"/>
  <c r="N5614" i="14"/>
  <c r="J5613" i="14" a="1"/>
  <c r="J5613" i="14" s="1"/>
  <c r="M5618" i="14"/>
  <c r="M5617" i="13"/>
  <c r="J5614" i="13" a="1"/>
  <c r="J5614" i="13" s="1"/>
  <c r="N5615" i="13"/>
  <c r="K5429" i="13" l="1"/>
  <c r="L5429" i="13" s="1"/>
  <c r="I5430" i="13" s="1"/>
  <c r="K5451" i="14"/>
  <c r="L5451" i="14" s="1"/>
  <c r="I5452" i="14" s="1"/>
  <c r="J5615" i="13" a="1"/>
  <c r="J5615" i="13" s="1"/>
  <c r="N5616" i="13"/>
  <c r="M5619" i="14"/>
  <c r="M5618" i="13"/>
  <c r="N5615" i="14"/>
  <c r="J5614" i="14" a="1"/>
  <c r="J5614" i="14" s="1"/>
  <c r="K5430" i="13" l="1"/>
  <c r="L5430" i="13" s="1"/>
  <c r="I5431" i="13" s="1"/>
  <c r="K5452" i="14"/>
  <c r="L5452" i="14" s="1"/>
  <c r="I5453" i="14" s="1"/>
  <c r="J5615" i="14" a="1"/>
  <c r="J5615" i="14" s="1"/>
  <c r="N5616" i="14"/>
  <c r="M5620" i="14"/>
  <c r="J5616" i="13" a="1"/>
  <c r="J5616" i="13" s="1"/>
  <c r="N5617" i="13"/>
  <c r="M5619" i="13"/>
  <c r="K5453" i="14" l="1"/>
  <c r="L5453" i="14" s="1"/>
  <c r="I5454" i="14" s="1"/>
  <c r="K5431" i="13"/>
  <c r="L5431" i="13" s="1"/>
  <c r="I5432" i="13" s="1"/>
  <c r="N5618" i="13"/>
  <c r="J5617" i="13" a="1"/>
  <c r="J5617" i="13" s="1"/>
  <c r="M5620" i="13"/>
  <c r="M5621" i="14"/>
  <c r="N5617" i="14"/>
  <c r="J5616" i="14" a="1"/>
  <c r="J5616" i="14" s="1"/>
  <c r="K5432" i="13" l="1"/>
  <c r="L5432" i="13" s="1"/>
  <c r="I5433" i="13" s="1"/>
  <c r="K5454" i="14"/>
  <c r="L5454" i="14" s="1"/>
  <c r="I5455" i="14" s="1"/>
  <c r="N5618" i="14"/>
  <c r="J5617" i="14" a="1"/>
  <c r="J5617" i="14" s="1"/>
  <c r="M5621" i="13"/>
  <c r="M5622" i="14"/>
  <c r="J5618" i="13" a="1"/>
  <c r="J5618" i="13" s="1"/>
  <c r="N5619" i="13"/>
  <c r="K5455" i="14" l="1"/>
  <c r="L5455" i="14" s="1"/>
  <c r="I5456" i="14" s="1"/>
  <c r="K5433" i="13"/>
  <c r="L5433" i="13" s="1"/>
  <c r="I5434" i="13" s="1"/>
  <c r="J5619" i="13" a="1"/>
  <c r="J5619" i="13" s="1"/>
  <c r="N5620" i="13"/>
  <c r="M5622" i="13"/>
  <c r="M5623" i="14"/>
  <c r="N5619" i="14"/>
  <c r="J5618" i="14" a="1"/>
  <c r="J5618" i="14" s="1"/>
  <c r="K5434" i="13" l="1"/>
  <c r="L5434" i="13" s="1"/>
  <c r="I5435" i="13" s="1"/>
  <c r="J5619" i="14" a="1"/>
  <c r="J5619" i="14" s="1"/>
  <c r="N5620" i="14"/>
  <c r="M5623" i="13"/>
  <c r="J5620" i="13" a="1"/>
  <c r="J5620" i="13" s="1"/>
  <c r="N5621" i="13"/>
  <c r="M5624" i="14"/>
  <c r="K5456" i="14"/>
  <c r="L5456" i="14" s="1"/>
  <c r="I5457" i="14" s="1"/>
  <c r="K5457" i="14" l="1"/>
  <c r="L5457" i="14" s="1"/>
  <c r="I5458" i="14" s="1"/>
  <c r="K5435" i="13"/>
  <c r="L5435" i="13" s="1"/>
  <c r="I5436" i="13" s="1"/>
  <c r="N5622" i="13"/>
  <c r="J5621" i="13" a="1"/>
  <c r="J5621" i="13" s="1"/>
  <c r="N5621" i="14"/>
  <c r="J5620" i="14" a="1"/>
  <c r="J5620" i="14" s="1"/>
  <c r="M5625" i="14"/>
  <c r="M5624" i="13"/>
  <c r="K5458" i="14" l="1"/>
  <c r="L5458" i="14" s="1"/>
  <c r="I5459" i="14" s="1"/>
  <c r="N5622" i="14"/>
  <c r="J5621" i="14" a="1"/>
  <c r="J5621" i="14" s="1"/>
  <c r="K5436" i="13"/>
  <c r="L5436" i="13" s="1"/>
  <c r="I5437" i="13" s="1"/>
  <c r="M5625" i="13"/>
  <c r="M5626" i="14"/>
  <c r="J5622" i="13" a="1"/>
  <c r="J5622" i="13" s="1"/>
  <c r="N5623" i="13"/>
  <c r="K5437" i="13" l="1"/>
  <c r="L5437" i="13" s="1"/>
  <c r="I5438" i="13" s="1"/>
  <c r="K5459" i="14"/>
  <c r="L5459" i="14" s="1"/>
  <c r="I5460" i="14" s="1"/>
  <c r="N5623" i="14"/>
  <c r="J5622" i="14" a="1"/>
  <c r="J5622" i="14" s="1"/>
  <c r="J5623" i="13" a="1"/>
  <c r="J5623" i="13" s="1"/>
  <c r="N5624" i="13"/>
  <c r="M5626" i="13"/>
  <c r="M5627" i="14"/>
  <c r="K5460" i="14" l="1"/>
  <c r="L5460" i="14" s="1"/>
  <c r="I5461" i="14" s="1"/>
  <c r="K5438" i="13"/>
  <c r="L5438" i="13" s="1"/>
  <c r="I5439" i="13" s="1"/>
  <c r="J5624" i="13" a="1"/>
  <c r="J5624" i="13" s="1"/>
  <c r="N5625" i="13"/>
  <c r="M5628" i="14"/>
  <c r="M5627" i="13"/>
  <c r="J5623" i="14" a="1"/>
  <c r="J5623" i="14" s="1"/>
  <c r="N5624" i="14"/>
  <c r="K5439" i="13" l="1"/>
  <c r="L5439" i="13" s="1"/>
  <c r="I5440" i="13" s="1"/>
  <c r="K5461" i="14"/>
  <c r="L5461" i="14" s="1"/>
  <c r="I5462" i="14" s="1"/>
  <c r="M5628" i="13"/>
  <c r="N5625" i="14"/>
  <c r="J5624" i="14" a="1"/>
  <c r="J5624" i="14" s="1"/>
  <c r="M5629" i="14"/>
  <c r="N5626" i="13"/>
  <c r="J5625" i="13" a="1"/>
  <c r="J5625" i="13" s="1"/>
  <c r="K5462" i="14" l="1"/>
  <c r="L5462" i="14" s="1"/>
  <c r="I5463" i="14" s="1"/>
  <c r="K5440" i="13"/>
  <c r="L5440" i="13" s="1"/>
  <c r="I5441" i="13" s="1"/>
  <c r="N5626" i="14"/>
  <c r="J5625" i="14" a="1"/>
  <c r="J5625" i="14" s="1"/>
  <c r="J5626" i="13" a="1"/>
  <c r="J5626" i="13" s="1"/>
  <c r="N5627" i="13"/>
  <c r="M5630" i="14"/>
  <c r="M5629" i="13"/>
  <c r="K5441" i="13" l="1"/>
  <c r="L5441" i="13" s="1"/>
  <c r="I5442" i="13" s="1"/>
  <c r="K5463" i="14"/>
  <c r="L5463" i="14" s="1"/>
  <c r="I5464" i="14" s="1"/>
  <c r="J5627" i="13" a="1"/>
  <c r="J5627" i="13" s="1"/>
  <c r="N5628" i="13"/>
  <c r="M5630" i="13"/>
  <c r="M5631" i="14"/>
  <c r="N5627" i="14"/>
  <c r="J5626" i="14" a="1"/>
  <c r="J5626" i="14" s="1"/>
  <c r="K5464" i="14" l="1"/>
  <c r="L5464" i="14" s="1"/>
  <c r="I5465" i="14" s="1"/>
  <c r="K5442" i="13"/>
  <c r="L5442" i="13" s="1"/>
  <c r="I5443" i="13" s="1"/>
  <c r="J5627" i="14" a="1"/>
  <c r="J5627" i="14" s="1"/>
  <c r="N5628" i="14"/>
  <c r="M5631" i="13"/>
  <c r="M5632" i="14"/>
  <c r="J5628" i="13" a="1"/>
  <c r="J5628" i="13" s="1"/>
  <c r="N5629" i="13"/>
  <c r="K5443" i="13" l="1"/>
  <c r="L5443" i="13" s="1"/>
  <c r="I5444" i="13" s="1"/>
  <c r="K5465" i="14"/>
  <c r="L5465" i="14" s="1"/>
  <c r="I5466" i="14" s="1"/>
  <c r="N5630" i="13"/>
  <c r="J5629" i="13" a="1"/>
  <c r="J5629" i="13" s="1"/>
  <c r="M5632" i="13"/>
  <c r="N5629" i="14"/>
  <c r="J5628" i="14" a="1"/>
  <c r="J5628" i="14" s="1"/>
  <c r="M5633" i="14"/>
  <c r="K5466" i="14" l="1"/>
  <c r="L5466" i="14" s="1"/>
  <c r="I5467" i="14" s="1"/>
  <c r="K5444" i="13"/>
  <c r="L5444" i="13" s="1"/>
  <c r="I5445" i="13" s="1"/>
  <c r="M5634" i="14"/>
  <c r="M5633" i="13"/>
  <c r="N5630" i="14"/>
  <c r="J5629" i="14" a="1"/>
  <c r="J5629" i="14" s="1"/>
  <c r="J5630" i="13" a="1"/>
  <c r="J5630" i="13" s="1"/>
  <c r="N5631" i="13"/>
  <c r="K5445" i="13" l="1"/>
  <c r="L5445" i="13" s="1"/>
  <c r="I5446" i="13" s="1"/>
  <c r="K5467" i="14"/>
  <c r="L5467" i="14" s="1"/>
  <c r="I5468" i="14" s="1"/>
  <c r="J5631" i="13" a="1"/>
  <c r="J5631" i="13" s="1"/>
  <c r="N5632" i="13"/>
  <c r="M5634" i="13"/>
  <c r="N5631" i="14"/>
  <c r="J5630" i="14" a="1"/>
  <c r="J5630" i="14" s="1"/>
  <c r="M5635" i="14"/>
  <c r="K5446" i="13" l="1"/>
  <c r="L5446" i="13" s="1"/>
  <c r="I5447" i="13" s="1"/>
  <c r="K5468" i="14"/>
  <c r="L5468" i="14" s="1"/>
  <c r="I5469" i="14" s="1"/>
  <c r="J5632" i="13" a="1"/>
  <c r="J5632" i="13" s="1"/>
  <c r="N5633" i="13"/>
  <c r="M5636" i="14"/>
  <c r="M5635" i="13"/>
  <c r="J5631" i="14" a="1"/>
  <c r="J5631" i="14" s="1"/>
  <c r="N5632" i="14"/>
  <c r="K5469" i="14" l="1"/>
  <c r="L5469" i="14" s="1"/>
  <c r="I5470" i="14" s="1"/>
  <c r="K5447" i="13"/>
  <c r="L5447" i="13" s="1"/>
  <c r="I5448" i="13" s="1"/>
  <c r="N5633" i="14"/>
  <c r="J5632" i="14" a="1"/>
  <c r="J5632" i="14" s="1"/>
  <c r="M5637" i="14"/>
  <c r="N5634" i="13"/>
  <c r="J5633" i="13" a="1"/>
  <c r="J5633" i="13" s="1"/>
  <c r="M5636" i="13"/>
  <c r="K5448" i="13" l="1"/>
  <c r="L5448" i="13" s="1"/>
  <c r="I5449" i="13" s="1"/>
  <c r="K5470" i="14"/>
  <c r="L5470" i="14" s="1"/>
  <c r="I5471" i="14" s="1"/>
  <c r="M5638" i="14"/>
  <c r="M5637" i="13"/>
  <c r="J5634" i="13" a="1"/>
  <c r="J5634" i="13" s="1"/>
  <c r="N5635" i="13"/>
  <c r="N5634" i="14"/>
  <c r="J5633" i="14" a="1"/>
  <c r="J5633" i="14" s="1"/>
  <c r="K5471" i="14" l="1"/>
  <c r="L5471" i="14" s="1"/>
  <c r="I5472" i="14" s="1"/>
  <c r="K5449" i="13"/>
  <c r="L5449" i="13" s="1"/>
  <c r="I5450" i="13" s="1"/>
  <c r="N5635" i="14"/>
  <c r="J5634" i="14" a="1"/>
  <c r="J5634" i="14" s="1"/>
  <c r="M5638" i="13"/>
  <c r="J5635" i="13" a="1"/>
  <c r="J5635" i="13" s="1"/>
  <c r="N5636" i="13"/>
  <c r="M5639" i="14"/>
  <c r="K5450" i="13" l="1"/>
  <c r="L5450" i="13" s="1"/>
  <c r="I5451" i="13" s="1"/>
  <c r="K5472" i="14"/>
  <c r="L5472" i="14" s="1"/>
  <c r="I5473" i="14" s="1"/>
  <c r="J5636" i="13" a="1"/>
  <c r="J5636" i="13" s="1"/>
  <c r="N5637" i="13"/>
  <c r="M5640" i="14"/>
  <c r="M5639" i="13"/>
  <c r="J5635" i="14" a="1"/>
  <c r="J5635" i="14" s="1"/>
  <c r="N5636" i="14"/>
  <c r="K5473" i="14" l="1"/>
  <c r="L5473" i="14" s="1"/>
  <c r="I5474" i="14" s="1"/>
  <c r="K5451" i="13"/>
  <c r="L5451" i="13" s="1"/>
  <c r="I5452" i="13" s="1"/>
  <c r="N5637" i="14"/>
  <c r="J5636" i="14" a="1"/>
  <c r="J5636" i="14" s="1"/>
  <c r="M5641" i="14"/>
  <c r="N5638" i="13"/>
  <c r="J5637" i="13" a="1"/>
  <c r="J5637" i="13" s="1"/>
  <c r="M5640" i="13"/>
  <c r="K5452" i="13" l="1"/>
  <c r="L5452" i="13" s="1"/>
  <c r="I5453" i="13" s="1"/>
  <c r="K5474" i="14"/>
  <c r="L5474" i="14" s="1"/>
  <c r="I5475" i="14" s="1"/>
  <c r="M5642" i="14"/>
  <c r="M5641" i="13"/>
  <c r="J5638" i="13" a="1"/>
  <c r="J5638" i="13" s="1"/>
  <c r="N5639" i="13"/>
  <c r="N5638" i="14"/>
  <c r="J5637" i="14" a="1"/>
  <c r="J5637" i="14" s="1"/>
  <c r="K5475" i="14" l="1"/>
  <c r="L5475" i="14" s="1"/>
  <c r="I5476" i="14" s="1"/>
  <c r="K5453" i="13"/>
  <c r="L5453" i="13" s="1"/>
  <c r="I5454" i="13" s="1"/>
  <c r="N5639" i="14"/>
  <c r="J5638" i="14" a="1"/>
  <c r="J5638" i="14" s="1"/>
  <c r="M5642" i="13"/>
  <c r="J5639" i="13" a="1"/>
  <c r="J5639" i="13" s="1"/>
  <c r="N5640" i="13"/>
  <c r="M5643" i="14"/>
  <c r="K5476" i="14" l="1"/>
  <c r="L5476" i="14" s="1"/>
  <c r="I5477" i="14" s="1"/>
  <c r="M5644" i="14"/>
  <c r="M5643" i="13"/>
  <c r="K5454" i="13"/>
  <c r="L5454" i="13" s="1"/>
  <c r="I5455" i="13" s="1"/>
  <c r="J5640" i="13" a="1"/>
  <c r="J5640" i="13" s="1"/>
  <c r="N5641" i="13"/>
  <c r="J5639" i="14" a="1"/>
  <c r="J5639" i="14" s="1"/>
  <c r="N5640" i="14"/>
  <c r="K5455" i="13" l="1"/>
  <c r="L5455" i="13" s="1"/>
  <c r="I5456" i="13" s="1"/>
  <c r="K5477" i="14"/>
  <c r="L5477" i="14" s="1"/>
  <c r="I5478" i="14" s="1"/>
  <c r="N5641" i="14"/>
  <c r="J5640" i="14" a="1"/>
  <c r="J5640" i="14" s="1"/>
  <c r="M5645" i="14"/>
  <c r="N5642" i="13"/>
  <c r="J5641" i="13" a="1"/>
  <c r="J5641" i="13" s="1"/>
  <c r="M5644" i="13"/>
  <c r="K5478" i="14" l="1"/>
  <c r="L5478" i="14" s="1"/>
  <c r="I5479" i="14" s="1"/>
  <c r="K5456" i="13"/>
  <c r="L5456" i="13" s="1"/>
  <c r="I5457" i="13" s="1"/>
  <c r="J5642" i="13" a="1"/>
  <c r="J5642" i="13" s="1"/>
  <c r="N5643" i="13"/>
  <c r="M5645" i="13"/>
  <c r="M5646" i="14"/>
  <c r="J5641" i="14" a="1"/>
  <c r="J5641" i="14" s="1"/>
  <c r="N5642" i="14"/>
  <c r="K5457" i="13" l="1"/>
  <c r="L5457" i="13" s="1"/>
  <c r="I5458" i="13" s="1"/>
  <c r="K5479" i="14"/>
  <c r="L5479" i="14" s="1"/>
  <c r="I5480" i="14" s="1"/>
  <c r="N5643" i="14"/>
  <c r="J5642" i="14" a="1"/>
  <c r="J5642" i="14" s="1"/>
  <c r="M5646" i="13"/>
  <c r="J5643" i="13" a="1"/>
  <c r="J5643" i="13" s="1"/>
  <c r="N5644" i="13"/>
  <c r="M5647" i="14"/>
  <c r="K5458" i="13" l="1"/>
  <c r="L5458" i="13" s="1"/>
  <c r="I5459" i="13" s="1"/>
  <c r="J5644" i="13" a="1"/>
  <c r="J5644" i="13" s="1"/>
  <c r="N5645" i="13"/>
  <c r="M5648" i="14"/>
  <c r="M5647" i="13"/>
  <c r="K5480" i="14"/>
  <c r="L5480" i="14" s="1"/>
  <c r="I5481" i="14" s="1"/>
  <c r="J5643" i="14" a="1"/>
  <c r="J5643" i="14" s="1"/>
  <c r="N5644" i="14"/>
  <c r="K5481" i="14" l="1"/>
  <c r="L5481" i="14" s="1"/>
  <c r="I5482" i="14" s="1"/>
  <c r="K5459" i="13"/>
  <c r="L5459" i="13" s="1"/>
  <c r="I5460" i="13" s="1"/>
  <c r="N5646" i="13"/>
  <c r="J5645" i="13" a="1"/>
  <c r="J5645" i="13" s="1"/>
  <c r="M5648" i="13"/>
  <c r="J5644" i="14" a="1"/>
  <c r="J5644" i="14" s="1"/>
  <c r="N5645" i="14"/>
  <c r="M5649" i="14"/>
  <c r="K5460" i="13" l="1"/>
  <c r="L5460" i="13" s="1"/>
  <c r="I5461" i="13" s="1"/>
  <c r="K5482" i="14"/>
  <c r="L5482" i="14" s="1"/>
  <c r="I5483" i="14" s="1"/>
  <c r="J5645" i="14" a="1"/>
  <c r="J5645" i="14" s="1"/>
  <c r="N5646" i="14"/>
  <c r="M5650" i="14"/>
  <c r="M5649" i="13"/>
  <c r="J5646" i="13" a="1"/>
  <c r="J5646" i="13" s="1"/>
  <c r="N5647" i="13"/>
  <c r="K5483" i="14" l="1"/>
  <c r="L5483" i="14" s="1"/>
  <c r="I5484" i="14" s="1"/>
  <c r="K5461" i="13"/>
  <c r="L5461" i="13" s="1"/>
  <c r="I5462" i="13" s="1"/>
  <c r="J5647" i="13" a="1"/>
  <c r="J5647" i="13" s="1"/>
  <c r="N5648" i="13"/>
  <c r="M5651" i="14"/>
  <c r="N5647" i="14"/>
  <c r="J5646" i="14" a="1"/>
  <c r="J5646" i="14" s="1"/>
  <c r="M5650" i="13"/>
  <c r="K5462" i="13" l="1"/>
  <c r="L5462" i="13" s="1"/>
  <c r="I5463" i="13" s="1"/>
  <c r="K5484" i="14"/>
  <c r="L5484" i="14" s="1"/>
  <c r="I5485" i="14" s="1"/>
  <c r="M5651" i="13"/>
  <c r="M5652" i="14"/>
  <c r="J5648" i="13" a="1"/>
  <c r="J5648" i="13" s="1"/>
  <c r="N5649" i="13"/>
  <c r="J5647" i="14" a="1"/>
  <c r="J5647" i="14" s="1"/>
  <c r="N5648" i="14"/>
  <c r="K5485" i="14" l="1"/>
  <c r="L5485" i="14" s="1"/>
  <c r="I5486" i="14" s="1"/>
  <c r="K5463" i="13"/>
  <c r="L5463" i="13" s="1"/>
  <c r="I5464" i="13" s="1"/>
  <c r="J5648" i="14" a="1"/>
  <c r="J5648" i="14" s="1"/>
  <c r="N5649" i="14"/>
  <c r="M5653" i="14"/>
  <c r="N5650" i="13"/>
  <c r="J5649" i="13" a="1"/>
  <c r="J5649" i="13" s="1"/>
  <c r="M5652" i="13"/>
  <c r="K5464" i="13" l="1"/>
  <c r="L5464" i="13" s="1"/>
  <c r="I5465" i="13" s="1"/>
  <c r="K5486" i="14"/>
  <c r="L5486" i="14" s="1"/>
  <c r="I5487" i="14" s="1"/>
  <c r="M5653" i="13"/>
  <c r="M5654" i="14"/>
  <c r="J5649" i="14" a="1"/>
  <c r="J5649" i="14" s="1"/>
  <c r="N5650" i="14"/>
  <c r="J5650" i="13" a="1"/>
  <c r="J5650" i="13" s="1"/>
  <c r="N5651" i="13"/>
  <c r="K5487" i="14" l="1"/>
  <c r="L5487" i="14" s="1"/>
  <c r="I5488" i="14" s="1"/>
  <c r="K5465" i="13"/>
  <c r="L5465" i="13" s="1"/>
  <c r="I5466" i="13" s="1"/>
  <c r="M5655" i="14"/>
  <c r="N5651" i="14"/>
  <c r="J5650" i="14" a="1"/>
  <c r="J5650" i="14" s="1"/>
  <c r="J5651" i="13" a="1"/>
  <c r="J5651" i="13" s="1"/>
  <c r="N5652" i="13"/>
  <c r="M5654" i="13"/>
  <c r="K5466" i="13" l="1"/>
  <c r="L5466" i="13" s="1"/>
  <c r="I5467" i="13" s="1"/>
  <c r="K5488" i="14"/>
  <c r="L5488" i="14" s="1"/>
  <c r="I5489" i="14" s="1"/>
  <c r="J5651" i="14" a="1"/>
  <c r="J5651" i="14" s="1"/>
  <c r="N5652" i="14"/>
  <c r="J5652" i="13" a="1"/>
  <c r="J5652" i="13" s="1"/>
  <c r="N5653" i="13"/>
  <c r="M5656" i="14"/>
  <c r="M5655" i="13"/>
  <c r="K5489" i="14" l="1"/>
  <c r="L5489" i="14" s="1"/>
  <c r="I5490" i="14" s="1"/>
  <c r="K5467" i="13"/>
  <c r="L5467" i="13" s="1"/>
  <c r="I5468" i="13" s="1"/>
  <c r="N5654" i="13"/>
  <c r="J5653" i="13" a="1"/>
  <c r="J5653" i="13" s="1"/>
  <c r="J5652" i="14" a="1"/>
  <c r="J5652" i="14" s="1"/>
  <c r="N5653" i="14"/>
  <c r="M5656" i="13"/>
  <c r="M5657" i="14"/>
  <c r="K5468" i="13" l="1"/>
  <c r="L5468" i="13" s="1"/>
  <c r="I5469" i="13" s="1"/>
  <c r="K5490" i="14"/>
  <c r="L5490" i="14" s="1"/>
  <c r="I5491" i="14" s="1"/>
  <c r="M5658" i="14"/>
  <c r="N5654" i="14"/>
  <c r="J5653" i="14" a="1"/>
  <c r="J5653" i="14" s="1"/>
  <c r="M5657" i="13"/>
  <c r="J5654" i="13" a="1"/>
  <c r="J5654" i="13" s="1"/>
  <c r="N5655" i="13"/>
  <c r="K5491" i="14" l="1"/>
  <c r="L5491" i="14" s="1"/>
  <c r="I5492" i="14" s="1"/>
  <c r="K5469" i="13"/>
  <c r="L5469" i="13" s="1"/>
  <c r="I5470" i="13" s="1"/>
  <c r="N5655" i="14"/>
  <c r="J5654" i="14" a="1"/>
  <c r="J5654" i="14" s="1"/>
  <c r="J5655" i="13" a="1"/>
  <c r="J5655" i="13" s="1"/>
  <c r="N5656" i="13"/>
  <c r="M5658" i="13"/>
  <c r="M5659" i="14"/>
  <c r="K5470" i="13" l="1"/>
  <c r="L5470" i="13" s="1"/>
  <c r="I5471" i="13" s="1"/>
  <c r="K5492" i="14"/>
  <c r="L5492" i="14" s="1"/>
  <c r="I5493" i="14" s="1"/>
  <c r="M5660" i="14"/>
  <c r="J5656" i="13" a="1"/>
  <c r="J5656" i="13" s="1"/>
  <c r="N5657" i="13"/>
  <c r="M5659" i="13"/>
  <c r="J5655" i="14" a="1"/>
  <c r="J5655" i="14" s="1"/>
  <c r="N5656" i="14"/>
  <c r="K5493" i="14" l="1"/>
  <c r="L5493" i="14" s="1"/>
  <c r="I5494" i="14" s="1"/>
  <c r="K5471" i="13"/>
  <c r="L5471" i="13" s="1"/>
  <c r="I5472" i="13" s="1"/>
  <c r="N5657" i="14"/>
  <c r="J5656" i="14" a="1"/>
  <c r="J5656" i="14" s="1"/>
  <c r="N5658" i="13"/>
  <c r="J5657" i="13" a="1"/>
  <c r="J5657" i="13" s="1"/>
  <c r="M5661" i="14"/>
  <c r="M5660" i="13"/>
  <c r="K5472" i="13" l="1"/>
  <c r="L5472" i="13" s="1"/>
  <c r="I5473" i="13" s="1"/>
  <c r="K5494" i="14"/>
  <c r="L5494" i="14" s="1"/>
  <c r="I5495" i="14" s="1"/>
  <c r="J5658" i="13" a="1"/>
  <c r="J5658" i="13" s="1"/>
  <c r="N5659" i="13"/>
  <c r="M5661" i="13"/>
  <c r="M5662" i="14"/>
  <c r="J5657" i="14" a="1"/>
  <c r="J5657" i="14" s="1"/>
  <c r="N5658" i="14"/>
  <c r="K5495" i="14" l="1"/>
  <c r="L5495" i="14" s="1"/>
  <c r="I5496" i="14" s="1"/>
  <c r="K5473" i="13"/>
  <c r="L5473" i="13" s="1"/>
  <c r="I5474" i="13" s="1"/>
  <c r="N5659" i="14"/>
  <c r="J5658" i="14" a="1"/>
  <c r="J5658" i="14" s="1"/>
  <c r="M5662" i="13"/>
  <c r="J5659" i="13" a="1"/>
  <c r="J5659" i="13" s="1"/>
  <c r="N5660" i="13"/>
  <c r="M5663" i="14"/>
  <c r="K5474" i="13" l="1"/>
  <c r="L5474" i="13" s="1"/>
  <c r="I5475" i="13" s="1"/>
  <c r="K5496" i="14"/>
  <c r="L5496" i="14" s="1"/>
  <c r="I5497" i="14" s="1"/>
  <c r="M5664" i="14"/>
  <c r="J5660" i="13" a="1"/>
  <c r="J5660" i="13" s="1"/>
  <c r="N5661" i="13"/>
  <c r="M5663" i="13"/>
  <c r="J5659" i="14" a="1"/>
  <c r="J5659" i="14" s="1"/>
  <c r="N5660" i="14"/>
  <c r="K5497" i="14" l="1"/>
  <c r="L5497" i="14" s="1"/>
  <c r="I5498" i="14" s="1"/>
  <c r="K5475" i="13"/>
  <c r="L5475" i="13" s="1"/>
  <c r="I5476" i="13" s="1"/>
  <c r="J5660" i="14" a="1"/>
  <c r="J5660" i="14" s="1"/>
  <c r="N5661" i="14"/>
  <c r="N5662" i="13"/>
  <c r="J5661" i="13" a="1"/>
  <c r="J5661" i="13" s="1"/>
  <c r="M5664" i="13"/>
  <c r="M5665" i="14"/>
  <c r="K5476" i="13" l="1"/>
  <c r="L5476" i="13" s="1"/>
  <c r="I5477" i="13" s="1"/>
  <c r="K5498" i="14"/>
  <c r="L5498" i="14" s="1"/>
  <c r="I5499" i="14" s="1"/>
  <c r="M5666" i="14"/>
  <c r="J5662" i="13" a="1"/>
  <c r="J5662" i="13" s="1"/>
  <c r="N5663" i="13"/>
  <c r="M5665" i="13"/>
  <c r="J5661" i="14" a="1"/>
  <c r="J5661" i="14" s="1"/>
  <c r="N5662" i="14"/>
  <c r="K5499" i="14" l="1"/>
  <c r="L5499" i="14" s="1"/>
  <c r="I5500" i="14" s="1"/>
  <c r="K5477" i="13"/>
  <c r="L5477" i="13" s="1"/>
  <c r="I5478" i="13" s="1"/>
  <c r="J5663" i="13" a="1"/>
  <c r="J5663" i="13" s="1"/>
  <c r="N5664" i="13"/>
  <c r="N5663" i="14"/>
  <c r="J5662" i="14" a="1"/>
  <c r="J5662" i="14" s="1"/>
  <c r="M5666" i="13"/>
  <c r="M5667" i="14"/>
  <c r="K5478" i="13" l="1"/>
  <c r="L5478" i="13" s="1"/>
  <c r="I5479" i="13" s="1"/>
  <c r="K5500" i="14"/>
  <c r="L5500" i="14" s="1"/>
  <c r="I5501" i="14" s="1"/>
  <c r="J5663" i="14" a="1"/>
  <c r="J5663" i="14" s="1"/>
  <c r="N5664" i="14"/>
  <c r="J5664" i="13" a="1"/>
  <c r="J5664" i="13" s="1"/>
  <c r="N5665" i="13"/>
  <c r="M5668" i="14"/>
  <c r="M5667" i="13"/>
  <c r="K5501" i="14" l="1"/>
  <c r="L5501" i="14" s="1"/>
  <c r="I5502" i="14" s="1"/>
  <c r="K5479" i="13"/>
  <c r="L5479" i="13" s="1"/>
  <c r="I5480" i="13" s="1"/>
  <c r="N5666" i="13"/>
  <c r="J5665" i="13" a="1"/>
  <c r="J5665" i="13" s="1"/>
  <c r="J5664" i="14" a="1"/>
  <c r="J5664" i="14" s="1"/>
  <c r="N5665" i="14"/>
  <c r="M5668" i="13"/>
  <c r="M5669" i="14"/>
  <c r="K5480" i="13" l="1"/>
  <c r="L5480" i="13" s="1"/>
  <c r="I5481" i="13" s="1"/>
  <c r="K5502" i="14"/>
  <c r="L5502" i="14" s="1"/>
  <c r="I5503" i="14" s="1"/>
  <c r="M5670" i="14"/>
  <c r="J5665" i="14" a="1"/>
  <c r="J5665" i="14" s="1"/>
  <c r="N5666" i="14"/>
  <c r="M5669" i="13"/>
  <c r="J5666" i="13" a="1"/>
  <c r="J5666" i="13" s="1"/>
  <c r="N5667" i="13"/>
  <c r="K5503" i="14" l="1"/>
  <c r="L5503" i="14" s="1"/>
  <c r="I5504" i="14" s="1"/>
  <c r="K5481" i="13"/>
  <c r="L5481" i="13" s="1"/>
  <c r="I5482" i="13" s="1"/>
  <c r="N5667" i="14"/>
  <c r="J5666" i="14" a="1"/>
  <c r="J5666" i="14" s="1"/>
  <c r="J5667" i="13" a="1"/>
  <c r="J5667" i="13" s="1"/>
  <c r="N5668" i="13"/>
  <c r="M5670" i="13"/>
  <c r="M5671" i="14"/>
  <c r="K5482" i="13" l="1"/>
  <c r="L5482" i="13" s="1"/>
  <c r="I5483" i="13" s="1"/>
  <c r="K5504" i="14"/>
  <c r="L5504" i="14" s="1"/>
  <c r="I5505" i="14" s="1"/>
  <c r="J5668" i="13" a="1"/>
  <c r="J5668" i="13" s="1"/>
  <c r="N5669" i="13"/>
  <c r="M5672" i="14"/>
  <c r="M5671" i="13"/>
  <c r="J5667" i="14" a="1"/>
  <c r="J5667" i="14" s="1"/>
  <c r="N5668" i="14"/>
  <c r="K5505" i="14" l="1"/>
  <c r="L5505" i="14" s="1"/>
  <c r="I5506" i="14" s="1"/>
  <c r="K5483" i="13"/>
  <c r="L5483" i="13" s="1"/>
  <c r="I5484" i="13" s="1"/>
  <c r="M5673" i="14"/>
  <c r="N5670" i="13"/>
  <c r="J5669" i="13" a="1"/>
  <c r="J5669" i="13" s="1"/>
  <c r="J5668" i="14" a="1"/>
  <c r="J5668" i="14" s="1"/>
  <c r="N5669" i="14"/>
  <c r="M5672" i="13"/>
  <c r="K5484" i="13" l="1"/>
  <c r="L5484" i="13" s="1"/>
  <c r="I5485" i="13" s="1"/>
  <c r="K5506" i="14"/>
  <c r="L5506" i="14" s="1"/>
  <c r="I5507" i="14" s="1"/>
  <c r="J5670" i="13" a="1"/>
  <c r="J5670" i="13" s="1"/>
  <c r="N5671" i="13"/>
  <c r="N5670" i="14"/>
  <c r="J5669" i="14" a="1"/>
  <c r="J5669" i="14" s="1"/>
  <c r="M5674" i="14"/>
  <c r="M5673" i="13"/>
  <c r="K5507" i="14" l="1"/>
  <c r="L5507" i="14" s="1"/>
  <c r="I5508" i="14" s="1"/>
  <c r="K5485" i="13"/>
  <c r="L5485" i="13" s="1"/>
  <c r="I5486" i="13" s="1"/>
  <c r="M5674" i="13"/>
  <c r="N5671" i="14"/>
  <c r="J5670" i="14" a="1"/>
  <c r="J5670" i="14" s="1"/>
  <c r="J5671" i="13" a="1"/>
  <c r="J5671" i="13" s="1"/>
  <c r="N5672" i="13"/>
  <c r="M5675" i="14"/>
  <c r="K5486" i="13" l="1"/>
  <c r="L5486" i="13" s="1"/>
  <c r="I5487" i="13" s="1"/>
  <c r="K5508" i="14"/>
  <c r="L5508" i="14" s="1"/>
  <c r="I5509" i="14" s="1"/>
  <c r="J5671" i="14" a="1"/>
  <c r="J5671" i="14" s="1"/>
  <c r="N5672" i="14"/>
  <c r="J5672" i="13" a="1"/>
  <c r="J5672" i="13" s="1"/>
  <c r="N5673" i="13"/>
  <c r="M5676" i="14"/>
  <c r="M5675" i="13"/>
  <c r="K5509" i="14" l="1"/>
  <c r="L5509" i="14" s="1"/>
  <c r="I5510" i="14" s="1"/>
  <c r="K5487" i="13"/>
  <c r="L5487" i="13" s="1"/>
  <c r="I5488" i="13" s="1"/>
  <c r="N5674" i="13"/>
  <c r="J5673" i="13" a="1"/>
  <c r="J5673" i="13" s="1"/>
  <c r="N5673" i="14"/>
  <c r="J5672" i="14" a="1"/>
  <c r="J5672" i="14" s="1"/>
  <c r="M5676" i="13"/>
  <c r="M5677" i="14"/>
  <c r="K5488" i="13" l="1"/>
  <c r="L5488" i="13" s="1"/>
  <c r="I5489" i="13" s="1"/>
  <c r="K5510" i="14"/>
  <c r="L5510" i="14" s="1"/>
  <c r="I5511" i="14" s="1"/>
  <c r="N5674" i="14"/>
  <c r="J5673" i="14" a="1"/>
  <c r="J5673" i="14" s="1"/>
  <c r="M5678" i="14"/>
  <c r="M5677" i="13"/>
  <c r="J5674" i="13" a="1"/>
  <c r="J5674" i="13" s="1"/>
  <c r="N5675" i="13"/>
  <c r="K5511" i="14" l="1"/>
  <c r="L5511" i="14" s="1"/>
  <c r="I5512" i="14" s="1"/>
  <c r="K5489" i="13"/>
  <c r="L5489" i="13" s="1"/>
  <c r="I5490" i="13" s="1"/>
  <c r="J5675" i="13" a="1"/>
  <c r="J5675" i="13" s="1"/>
  <c r="N5676" i="13"/>
  <c r="M5679" i="14"/>
  <c r="M5678" i="13"/>
  <c r="N5675" i="14"/>
  <c r="J5674" i="14" a="1"/>
  <c r="J5674" i="14" s="1"/>
  <c r="K5490" i="13" l="1"/>
  <c r="L5490" i="13" s="1"/>
  <c r="I5491" i="13" s="1"/>
  <c r="K5512" i="14"/>
  <c r="L5512" i="14" s="1"/>
  <c r="I5513" i="14" s="1"/>
  <c r="J5675" i="14" a="1"/>
  <c r="J5675" i="14" s="1"/>
  <c r="N5676" i="14"/>
  <c r="M5680" i="14"/>
  <c r="J5676" i="13" a="1"/>
  <c r="J5676" i="13" s="1"/>
  <c r="N5677" i="13"/>
  <c r="M5679" i="13"/>
  <c r="K5513" i="14" l="1"/>
  <c r="L5513" i="14" s="1"/>
  <c r="I5514" i="14" s="1"/>
  <c r="K5491" i="13"/>
  <c r="L5491" i="13" s="1"/>
  <c r="I5492" i="13" s="1"/>
  <c r="M5680" i="13"/>
  <c r="M5681" i="14"/>
  <c r="N5678" i="13"/>
  <c r="J5677" i="13" a="1"/>
  <c r="J5677" i="13" s="1"/>
  <c r="J5676" i="14" a="1"/>
  <c r="J5676" i="14" s="1"/>
  <c r="N5677" i="14"/>
  <c r="K5492" i="13" l="1"/>
  <c r="L5492" i="13" s="1"/>
  <c r="I5493" i="13" s="1"/>
  <c r="K5514" i="14"/>
  <c r="L5514" i="14" s="1"/>
  <c r="I5515" i="14" s="1"/>
  <c r="M5682" i="14"/>
  <c r="N5678" i="14"/>
  <c r="J5677" i="14" a="1"/>
  <c r="J5677" i="14" s="1"/>
  <c r="M5681" i="13"/>
  <c r="J5678" i="13" a="1"/>
  <c r="J5678" i="13" s="1"/>
  <c r="N5679" i="13"/>
  <c r="K5515" i="14" l="1"/>
  <c r="L5515" i="14" s="1"/>
  <c r="I5516" i="14" s="1"/>
  <c r="K5493" i="13"/>
  <c r="L5493" i="13" s="1"/>
  <c r="I5494" i="13" s="1"/>
  <c r="N5679" i="14"/>
  <c r="J5678" i="14" a="1"/>
  <c r="J5678" i="14" s="1"/>
  <c r="J5679" i="13" a="1"/>
  <c r="J5679" i="13" s="1"/>
  <c r="N5680" i="13"/>
  <c r="M5682" i="13"/>
  <c r="M5683" i="14"/>
  <c r="K5494" i="13" l="1"/>
  <c r="L5494" i="13" s="1"/>
  <c r="I5495" i="13" s="1"/>
  <c r="K5516" i="14"/>
  <c r="L5516" i="14" s="1"/>
  <c r="I5517" i="14" s="1"/>
  <c r="J5680" i="13" a="1"/>
  <c r="J5680" i="13" s="1"/>
  <c r="N5681" i="13"/>
  <c r="M5684" i="14"/>
  <c r="M5683" i="13"/>
  <c r="J5679" i="14" a="1"/>
  <c r="J5679" i="14" s="1"/>
  <c r="N5680" i="14"/>
  <c r="K5517" i="14" l="1"/>
  <c r="L5517" i="14" s="1"/>
  <c r="I5518" i="14" s="1"/>
  <c r="K5495" i="13"/>
  <c r="L5495" i="13" s="1"/>
  <c r="I5496" i="13" s="1"/>
  <c r="J5680" i="14" a="1"/>
  <c r="J5680" i="14" s="1"/>
  <c r="N5681" i="14"/>
  <c r="M5685" i="14"/>
  <c r="N5682" i="13"/>
  <c r="J5681" i="13" a="1"/>
  <c r="J5681" i="13" s="1"/>
  <c r="M5684" i="13"/>
  <c r="K5496" i="13" l="1"/>
  <c r="L5496" i="13" s="1"/>
  <c r="I5497" i="13" s="1"/>
  <c r="K5518" i="14"/>
  <c r="L5518" i="14" s="1"/>
  <c r="I5519" i="14" s="1"/>
  <c r="M5685" i="13"/>
  <c r="M5686" i="14"/>
  <c r="J5682" i="13" a="1"/>
  <c r="J5682" i="13" s="1"/>
  <c r="N5683" i="13"/>
  <c r="J5681" i="14" a="1"/>
  <c r="J5681" i="14" s="1"/>
  <c r="N5682" i="14"/>
  <c r="K5497" i="13" l="1"/>
  <c r="L5497" i="13" s="1"/>
  <c r="I5498" i="13" s="1"/>
  <c r="N5683" i="14"/>
  <c r="J5682" i="14" a="1"/>
  <c r="J5682" i="14" s="1"/>
  <c r="M5687" i="14"/>
  <c r="K5519" i="14"/>
  <c r="L5519" i="14" s="1"/>
  <c r="I5520" i="14" s="1"/>
  <c r="J5683" i="13" a="1"/>
  <c r="J5683" i="13" s="1"/>
  <c r="N5684" i="13"/>
  <c r="M5686" i="13"/>
  <c r="K5520" i="14" l="1"/>
  <c r="L5520" i="14" s="1"/>
  <c r="I5521" i="14" s="1"/>
  <c r="K5498" i="13"/>
  <c r="L5498" i="13" s="1"/>
  <c r="I5499" i="13" s="1"/>
  <c r="M5687" i="13"/>
  <c r="J5683" i="14" a="1"/>
  <c r="J5683" i="14" s="1"/>
  <c r="N5684" i="14"/>
  <c r="J5684" i="13" a="1"/>
  <c r="J5684" i="13" s="1"/>
  <c r="N5685" i="13"/>
  <c r="M5688" i="14"/>
  <c r="K5499" i="13" l="1"/>
  <c r="L5499" i="13" s="1"/>
  <c r="I5500" i="13" s="1"/>
  <c r="K5521" i="14"/>
  <c r="L5521" i="14" s="1"/>
  <c r="I5522" i="14" s="1"/>
  <c r="J5684" i="14" a="1"/>
  <c r="J5684" i="14" s="1"/>
  <c r="N5685" i="14"/>
  <c r="M5689" i="14"/>
  <c r="N5686" i="13"/>
  <c r="J5685" i="13" a="1"/>
  <c r="J5685" i="13" s="1"/>
  <c r="M5688" i="13"/>
  <c r="K5522" i="14" l="1"/>
  <c r="L5522" i="14" s="1"/>
  <c r="I5523" i="14" s="1"/>
  <c r="K5500" i="13"/>
  <c r="L5500" i="13" s="1"/>
  <c r="I5501" i="13" s="1"/>
  <c r="M5689" i="13"/>
  <c r="M5690" i="14"/>
  <c r="J5686" i="13" a="1"/>
  <c r="J5686" i="13" s="1"/>
  <c r="N5687" i="13"/>
  <c r="N5686" i="14"/>
  <c r="J5685" i="14" a="1"/>
  <c r="J5685" i="14" s="1"/>
  <c r="K5501" i="13" l="1"/>
  <c r="L5501" i="13" s="1"/>
  <c r="I5502" i="13" s="1"/>
  <c r="K5523" i="14"/>
  <c r="L5523" i="14" s="1"/>
  <c r="I5524" i="14" s="1"/>
  <c r="N5687" i="14"/>
  <c r="J5686" i="14" a="1"/>
  <c r="J5686" i="14" s="1"/>
  <c r="M5691" i="14"/>
  <c r="J5687" i="13" a="1"/>
  <c r="J5687" i="13" s="1"/>
  <c r="N5688" i="13"/>
  <c r="M5690" i="13"/>
  <c r="K5524" i="14" l="1"/>
  <c r="L5524" i="14" s="1"/>
  <c r="I5525" i="14" s="1"/>
  <c r="K5502" i="13"/>
  <c r="L5502" i="13" s="1"/>
  <c r="I5503" i="13" s="1"/>
  <c r="M5691" i="13"/>
  <c r="M5692" i="14"/>
  <c r="J5688" i="13" a="1"/>
  <c r="J5688" i="13" s="1"/>
  <c r="N5689" i="13"/>
  <c r="J5687" i="14" a="1"/>
  <c r="J5687" i="14" s="1"/>
  <c r="N5688" i="14"/>
  <c r="K5503" i="13" l="1"/>
  <c r="L5503" i="13" s="1"/>
  <c r="I5504" i="13" s="1"/>
  <c r="K5525" i="14"/>
  <c r="L5525" i="14" s="1"/>
  <c r="I5526" i="14" s="1"/>
  <c r="J5688" i="14" a="1"/>
  <c r="J5688" i="14" s="1"/>
  <c r="N5689" i="14"/>
  <c r="M5693" i="14"/>
  <c r="N5690" i="13"/>
  <c r="J5689" i="13" a="1"/>
  <c r="J5689" i="13" s="1"/>
  <c r="M5692" i="13"/>
  <c r="K5526" i="14" l="1"/>
  <c r="L5526" i="14" s="1"/>
  <c r="I5527" i="14" s="1"/>
  <c r="K5504" i="13"/>
  <c r="L5504" i="13" s="1"/>
  <c r="I5505" i="13" s="1"/>
  <c r="M5693" i="13"/>
  <c r="M5694" i="14"/>
  <c r="J5690" i="13" a="1"/>
  <c r="J5690" i="13" s="1"/>
  <c r="N5691" i="13"/>
  <c r="J5689" i="14" a="1"/>
  <c r="J5689" i="14" s="1"/>
  <c r="N5690" i="14"/>
  <c r="K5505" i="13" l="1"/>
  <c r="L5505" i="13" s="1"/>
  <c r="I5506" i="13" s="1"/>
  <c r="K5527" i="14"/>
  <c r="L5527" i="14" s="1"/>
  <c r="I5528" i="14" s="1"/>
  <c r="J5691" i="13" a="1"/>
  <c r="J5691" i="13" s="1"/>
  <c r="N5692" i="13"/>
  <c r="N5691" i="14"/>
  <c r="J5690" i="14" a="1"/>
  <c r="J5690" i="14" s="1"/>
  <c r="M5695" i="14"/>
  <c r="M5694" i="13"/>
  <c r="K5528" i="14" l="1"/>
  <c r="L5528" i="14" s="1"/>
  <c r="I5529" i="14" s="1"/>
  <c r="K5506" i="13"/>
  <c r="L5506" i="13" s="1"/>
  <c r="I5507" i="13" s="1"/>
  <c r="M5695" i="13"/>
  <c r="J5691" i="14" a="1"/>
  <c r="J5691" i="14" s="1"/>
  <c r="N5692" i="14"/>
  <c r="J5692" i="13" a="1"/>
  <c r="J5692" i="13" s="1"/>
  <c r="N5693" i="13"/>
  <c r="M5696" i="14"/>
  <c r="K5507" i="13" l="1"/>
  <c r="L5507" i="13" s="1"/>
  <c r="I5508" i="13" s="1"/>
  <c r="K5529" i="14"/>
  <c r="L5529" i="14" s="1"/>
  <c r="I5530" i="14" s="1"/>
  <c r="J5692" i="14" a="1"/>
  <c r="J5692" i="14" s="1"/>
  <c r="N5693" i="14"/>
  <c r="N5694" i="13"/>
  <c r="J5693" i="13" a="1"/>
  <c r="J5693" i="13" s="1"/>
  <c r="M5697" i="14"/>
  <c r="M5696" i="13"/>
  <c r="K5530" i="14" l="1"/>
  <c r="L5530" i="14" s="1"/>
  <c r="I5531" i="14" s="1"/>
  <c r="K5508" i="13"/>
  <c r="L5508" i="13" s="1"/>
  <c r="I5509" i="13" s="1"/>
  <c r="M5697" i="13"/>
  <c r="J5694" i="13" a="1"/>
  <c r="J5694" i="13" s="1"/>
  <c r="N5695" i="13"/>
  <c r="N5694" i="14"/>
  <c r="J5693" i="14" a="1"/>
  <c r="J5693" i="14" s="1"/>
  <c r="M5698" i="14"/>
  <c r="K5509" i="13" l="1"/>
  <c r="L5509" i="13" s="1"/>
  <c r="I5510" i="13" s="1"/>
  <c r="K5531" i="14"/>
  <c r="L5531" i="14" s="1"/>
  <c r="I5532" i="14" s="1"/>
  <c r="J5695" i="13" a="1"/>
  <c r="J5695" i="13" s="1"/>
  <c r="N5696" i="13"/>
  <c r="M5699" i="14"/>
  <c r="N5695" i="14"/>
  <c r="J5694" i="14" a="1"/>
  <c r="J5694" i="14" s="1"/>
  <c r="M5698" i="13"/>
  <c r="K5532" i="14" l="1"/>
  <c r="L5532" i="14" s="1"/>
  <c r="I5533" i="14" s="1"/>
  <c r="K5510" i="13"/>
  <c r="L5510" i="13" s="1"/>
  <c r="I5511" i="13" s="1"/>
  <c r="J5695" i="14" a="1"/>
  <c r="J5695" i="14" s="1"/>
  <c r="N5696" i="14"/>
  <c r="M5699" i="13"/>
  <c r="M5700" i="14"/>
  <c r="J5696" i="13" a="1"/>
  <c r="J5696" i="13" s="1"/>
  <c r="N5697" i="13"/>
  <c r="K5511" i="13" l="1"/>
  <c r="L5511" i="13" s="1"/>
  <c r="I5512" i="13" s="1"/>
  <c r="K5533" i="14"/>
  <c r="L5533" i="14" s="1"/>
  <c r="I5534" i="14" s="1"/>
  <c r="N5698" i="13"/>
  <c r="J5697" i="13" a="1"/>
  <c r="J5697" i="13" s="1"/>
  <c r="M5700" i="13"/>
  <c r="J5696" i="14" a="1"/>
  <c r="J5696" i="14" s="1"/>
  <c r="N5697" i="14"/>
  <c r="M5701" i="14"/>
  <c r="K5512" i="13" l="1"/>
  <c r="L5512" i="13" s="1"/>
  <c r="I5513" i="13" s="1"/>
  <c r="J5697" i="14" a="1"/>
  <c r="J5697" i="14" s="1"/>
  <c r="N5698" i="14"/>
  <c r="M5702" i="14"/>
  <c r="M5701" i="13"/>
  <c r="K5534" i="14"/>
  <c r="L5534" i="14" s="1"/>
  <c r="I5535" i="14" s="1"/>
  <c r="J5698" i="13" a="1"/>
  <c r="J5698" i="13" s="1"/>
  <c r="N5699" i="13"/>
  <c r="K5535" i="14" l="1"/>
  <c r="L5535" i="14" s="1"/>
  <c r="I5536" i="14" s="1"/>
  <c r="K5513" i="13"/>
  <c r="L5513" i="13" s="1"/>
  <c r="I5514" i="13" s="1"/>
  <c r="N5699" i="14"/>
  <c r="J5698" i="14" a="1"/>
  <c r="J5698" i="14" s="1"/>
  <c r="J5699" i="13" a="1"/>
  <c r="J5699" i="13" s="1"/>
  <c r="N5700" i="13"/>
  <c r="M5702" i="13"/>
  <c r="M5703" i="14"/>
  <c r="K5536" i="14" l="1"/>
  <c r="L5536" i="14" s="1"/>
  <c r="I5537" i="14" s="1"/>
  <c r="J5700" i="13" a="1"/>
  <c r="J5700" i="13" s="1"/>
  <c r="N5701" i="13"/>
  <c r="K5514" i="13"/>
  <c r="L5514" i="13" s="1"/>
  <c r="I5515" i="13" s="1"/>
  <c r="M5704" i="14"/>
  <c r="M5703" i="13"/>
  <c r="J5699" i="14" a="1"/>
  <c r="J5699" i="14" s="1"/>
  <c r="N5700" i="14"/>
  <c r="K5515" i="13" l="1"/>
  <c r="L5515" i="13" s="1"/>
  <c r="I5516" i="13" s="1"/>
  <c r="K5537" i="14"/>
  <c r="L5537" i="14" s="1"/>
  <c r="I5538" i="14" s="1"/>
  <c r="J5700" i="14" a="1"/>
  <c r="J5700" i="14" s="1"/>
  <c r="N5701" i="14"/>
  <c r="N5702" i="13"/>
  <c r="J5701" i="13" a="1"/>
  <c r="J5701" i="13" s="1"/>
  <c r="M5705" i="14"/>
  <c r="M5704" i="13"/>
  <c r="K5538" i="14" l="1"/>
  <c r="L5538" i="14" s="1"/>
  <c r="I5539" i="14" s="1"/>
  <c r="K5516" i="13"/>
  <c r="L5516" i="13" s="1"/>
  <c r="I5517" i="13" s="1"/>
  <c r="J5702" i="13" a="1"/>
  <c r="J5702" i="13" s="1"/>
  <c r="N5703" i="13"/>
  <c r="N5702" i="14"/>
  <c r="J5701" i="14" a="1"/>
  <c r="J5701" i="14" s="1"/>
  <c r="M5705" i="13"/>
  <c r="M5706" i="14"/>
  <c r="K5517" i="13" l="1"/>
  <c r="L5517" i="13" s="1"/>
  <c r="I5518" i="13" s="1"/>
  <c r="K5539" i="14"/>
  <c r="L5539" i="14" s="1"/>
  <c r="I5540" i="14" s="1"/>
  <c r="N5703" i="14"/>
  <c r="J5702" i="14" a="1"/>
  <c r="J5702" i="14" s="1"/>
  <c r="J5703" i="13" a="1"/>
  <c r="J5703" i="13" s="1"/>
  <c r="N5704" i="13"/>
  <c r="M5707" i="14"/>
  <c r="M5706" i="13"/>
  <c r="K5540" i="14" l="1"/>
  <c r="L5540" i="14" s="1"/>
  <c r="I5541" i="14" s="1"/>
  <c r="K5518" i="13"/>
  <c r="L5518" i="13" s="1"/>
  <c r="I5519" i="13" s="1"/>
  <c r="J5704" i="13" a="1"/>
  <c r="J5704" i="13" s="1"/>
  <c r="N5705" i="13"/>
  <c r="M5707" i="13"/>
  <c r="M5708" i="14"/>
  <c r="J5703" i="14" a="1"/>
  <c r="J5703" i="14" s="1"/>
  <c r="N5704" i="14"/>
  <c r="K5519" i="13" l="1"/>
  <c r="L5519" i="13" s="1"/>
  <c r="I5520" i="13" s="1"/>
  <c r="K5541" i="14"/>
  <c r="L5541" i="14" s="1"/>
  <c r="I5542" i="14" s="1"/>
  <c r="J5704" i="14" a="1"/>
  <c r="J5704" i="14" s="1"/>
  <c r="N5705" i="14"/>
  <c r="M5708" i="13"/>
  <c r="N5706" i="13"/>
  <c r="J5705" i="13" a="1"/>
  <c r="J5705" i="13" s="1"/>
  <c r="M5709" i="14"/>
  <c r="K5542" i="14" l="1"/>
  <c r="L5542" i="14" s="1"/>
  <c r="I5543" i="14" s="1"/>
  <c r="K5520" i="13"/>
  <c r="L5520" i="13" s="1"/>
  <c r="I5521" i="13" s="1"/>
  <c r="M5710" i="14"/>
  <c r="M5709" i="13"/>
  <c r="J5706" i="13" a="1"/>
  <c r="J5706" i="13" s="1"/>
  <c r="N5707" i="13"/>
  <c r="J5705" i="14" a="1"/>
  <c r="J5705" i="14" s="1"/>
  <c r="N5706" i="14"/>
  <c r="K5521" i="13" l="1"/>
  <c r="L5521" i="13" s="1"/>
  <c r="I5522" i="13" s="1"/>
  <c r="K5543" i="14"/>
  <c r="L5543" i="14" s="1"/>
  <c r="I5544" i="14" s="1"/>
  <c r="N5707" i="14"/>
  <c r="J5706" i="14" a="1"/>
  <c r="J5706" i="14" s="1"/>
  <c r="M5710" i="13"/>
  <c r="J5707" i="13" a="1"/>
  <c r="J5707" i="13" s="1"/>
  <c r="N5708" i="13"/>
  <c r="M5711" i="14"/>
  <c r="K5544" i="14" l="1"/>
  <c r="L5544" i="14" s="1"/>
  <c r="I5545" i="14" s="1"/>
  <c r="K5522" i="13"/>
  <c r="L5522" i="13" s="1"/>
  <c r="I5523" i="13" s="1"/>
  <c r="J5708" i="13" a="1"/>
  <c r="J5708" i="13" s="1"/>
  <c r="N5709" i="13"/>
  <c r="M5712" i="14"/>
  <c r="M5711" i="13"/>
  <c r="J5707" i="14" a="1"/>
  <c r="J5707" i="14" s="1"/>
  <c r="N5708" i="14"/>
  <c r="K5523" i="13" l="1"/>
  <c r="L5523" i="13" s="1"/>
  <c r="I5524" i="13" s="1"/>
  <c r="K5545" i="14"/>
  <c r="L5545" i="14" s="1"/>
  <c r="I5546" i="14" s="1"/>
  <c r="J5708" i="14" a="1"/>
  <c r="J5708" i="14" s="1"/>
  <c r="N5709" i="14"/>
  <c r="M5713" i="14"/>
  <c r="N5710" i="13"/>
  <c r="J5709" i="13" a="1"/>
  <c r="J5709" i="13" s="1"/>
  <c r="M5712" i="13"/>
  <c r="J5710" i="13" l="1" a="1"/>
  <c r="J5710" i="13" s="1"/>
  <c r="N5711" i="13"/>
  <c r="M5713" i="13"/>
  <c r="M5714" i="14"/>
  <c r="K5546" i="14"/>
  <c r="L5546" i="14" s="1"/>
  <c r="I5547" i="14" s="1"/>
  <c r="N5710" i="14"/>
  <c r="J5709" i="14" a="1"/>
  <c r="J5709" i="14" s="1"/>
  <c r="K5524" i="13"/>
  <c r="L5524" i="13" s="1"/>
  <c r="I5525" i="13" s="1"/>
  <c r="K5525" i="13" l="1"/>
  <c r="L5525" i="13" s="1"/>
  <c r="I5526" i="13" s="1"/>
  <c r="K5547" i="14"/>
  <c r="L5547" i="14" s="1"/>
  <c r="I5548" i="14" s="1"/>
  <c r="M5714" i="13"/>
  <c r="J5711" i="13" a="1"/>
  <c r="J5711" i="13" s="1"/>
  <c r="N5712" i="13"/>
  <c r="N5711" i="14"/>
  <c r="J5710" i="14" a="1"/>
  <c r="J5710" i="14" s="1"/>
  <c r="M5715" i="14"/>
  <c r="K5526" i="13" l="1"/>
  <c r="L5526" i="13" s="1"/>
  <c r="I5527" i="13" s="1"/>
  <c r="J5712" i="13" a="1"/>
  <c r="J5712" i="13" s="1"/>
  <c r="N5713" i="13"/>
  <c r="K5548" i="14"/>
  <c r="L5548" i="14" s="1"/>
  <c r="I5549" i="14" s="1"/>
  <c r="M5716" i="14"/>
  <c r="J5711" i="14" a="1"/>
  <c r="J5711" i="14" s="1"/>
  <c r="N5712" i="14"/>
  <c r="M5715" i="13"/>
  <c r="K5549" i="14" l="1"/>
  <c r="L5549" i="14" s="1"/>
  <c r="I5550" i="14" s="1"/>
  <c r="K5527" i="13"/>
  <c r="L5527" i="13" s="1"/>
  <c r="I5528" i="13" s="1"/>
  <c r="N5714" i="13"/>
  <c r="J5713" i="13" a="1"/>
  <c r="J5713" i="13" s="1"/>
  <c r="M5717" i="14"/>
  <c r="M5716" i="13"/>
  <c r="J5712" i="14" a="1"/>
  <c r="J5712" i="14" s="1"/>
  <c r="N5713" i="14"/>
  <c r="K5528" i="13" l="1"/>
  <c r="L5528" i="13" s="1"/>
  <c r="I5529" i="13" s="1"/>
  <c r="K5550" i="14"/>
  <c r="L5550" i="14" s="1"/>
  <c r="I5551" i="14" s="1"/>
  <c r="J5713" i="14" a="1"/>
  <c r="J5713" i="14" s="1"/>
  <c r="N5714" i="14"/>
  <c r="M5718" i="14"/>
  <c r="M5717" i="13"/>
  <c r="J5714" i="13" a="1"/>
  <c r="J5714" i="13" s="1"/>
  <c r="N5715" i="13"/>
  <c r="K5551" i="14" l="1"/>
  <c r="L5551" i="14" s="1"/>
  <c r="I5552" i="14" s="1"/>
  <c r="K5529" i="13"/>
  <c r="L5529" i="13" s="1"/>
  <c r="I5530" i="13" s="1"/>
  <c r="J5715" i="13" a="1"/>
  <c r="J5715" i="13" s="1"/>
  <c r="N5716" i="13"/>
  <c r="M5719" i="14"/>
  <c r="N5715" i="14"/>
  <c r="J5714" i="14" a="1"/>
  <c r="J5714" i="14" s="1"/>
  <c r="M5718" i="13"/>
  <c r="K5530" i="13" l="1"/>
  <c r="L5530" i="13" s="1"/>
  <c r="I5531" i="13" s="1"/>
  <c r="K5552" i="14"/>
  <c r="L5552" i="14" s="1"/>
  <c r="I5553" i="14" s="1"/>
  <c r="J5715" i="14" a="1"/>
  <c r="J5715" i="14" s="1"/>
  <c r="N5716" i="14"/>
  <c r="M5719" i="13"/>
  <c r="M5720" i="14"/>
  <c r="J5716" i="13" a="1"/>
  <c r="J5716" i="13" s="1"/>
  <c r="N5717" i="13"/>
  <c r="K5553" i="14" l="1"/>
  <c r="L5553" i="14" s="1"/>
  <c r="I5554" i="14" s="1"/>
  <c r="K5531" i="13"/>
  <c r="L5531" i="13" s="1"/>
  <c r="I5532" i="13" s="1"/>
  <c r="N5718" i="13"/>
  <c r="J5717" i="13" a="1"/>
  <c r="J5717" i="13" s="1"/>
  <c r="M5720" i="13"/>
  <c r="J5716" i="14" a="1"/>
  <c r="J5716" i="14" s="1"/>
  <c r="N5717" i="14"/>
  <c r="M5721" i="14"/>
  <c r="K5532" i="13" l="1"/>
  <c r="L5532" i="13" s="1"/>
  <c r="I5533" i="13" s="1"/>
  <c r="K5554" i="14"/>
  <c r="L5554" i="14" s="1"/>
  <c r="I5555" i="14" s="1"/>
  <c r="N5718" i="14"/>
  <c r="J5717" i="14" a="1"/>
  <c r="J5717" i="14" s="1"/>
  <c r="M5722" i="14"/>
  <c r="M5721" i="13"/>
  <c r="J5718" i="13" a="1"/>
  <c r="J5718" i="13" s="1"/>
  <c r="N5719" i="13"/>
  <c r="K5555" i="14" l="1"/>
  <c r="L5555" i="14" s="1"/>
  <c r="I5556" i="14" s="1"/>
  <c r="K5533" i="13"/>
  <c r="L5533" i="13" s="1"/>
  <c r="I5534" i="13" s="1"/>
  <c r="J5719" i="13" a="1"/>
  <c r="J5719" i="13" s="1"/>
  <c r="N5720" i="13"/>
  <c r="M5723" i="14"/>
  <c r="M5722" i="13"/>
  <c r="N5719" i="14"/>
  <c r="J5718" i="14" a="1"/>
  <c r="J5718" i="14" s="1"/>
  <c r="K5534" i="13" l="1"/>
  <c r="L5534" i="13" s="1"/>
  <c r="I5535" i="13" s="1"/>
  <c r="K5556" i="14"/>
  <c r="L5556" i="14" s="1"/>
  <c r="I5557" i="14" s="1"/>
  <c r="J5719" i="14" a="1"/>
  <c r="J5719" i="14" s="1"/>
  <c r="N5720" i="14"/>
  <c r="M5724" i="14"/>
  <c r="J5720" i="13" a="1"/>
  <c r="J5720" i="13" s="1"/>
  <c r="N5721" i="13"/>
  <c r="M5723" i="13"/>
  <c r="K5557" i="14" l="1"/>
  <c r="L5557" i="14" s="1"/>
  <c r="I5558" i="14" s="1"/>
  <c r="K5535" i="13"/>
  <c r="L5535" i="13" s="1"/>
  <c r="I5536" i="13" s="1"/>
  <c r="M5724" i="13"/>
  <c r="M5725" i="14"/>
  <c r="J5720" i="14" a="1"/>
  <c r="J5720" i="14" s="1"/>
  <c r="N5721" i="14"/>
  <c r="N5722" i="13"/>
  <c r="J5721" i="13" a="1"/>
  <c r="J5721" i="13" s="1"/>
  <c r="K5536" i="13" l="1"/>
  <c r="L5536" i="13" s="1"/>
  <c r="I5537" i="13" s="1"/>
  <c r="K5558" i="14"/>
  <c r="L5558" i="14" s="1"/>
  <c r="I5559" i="14" s="1"/>
  <c r="M5726" i="14"/>
  <c r="J5722" i="13" a="1"/>
  <c r="J5722" i="13" s="1"/>
  <c r="N5723" i="13"/>
  <c r="J5721" i="14" a="1"/>
  <c r="J5721" i="14" s="1"/>
  <c r="N5722" i="14"/>
  <c r="M5725" i="13"/>
  <c r="K5559" i="14" l="1"/>
  <c r="L5559" i="14" s="1"/>
  <c r="I5560" i="14" s="1"/>
  <c r="K5537" i="13"/>
  <c r="L5537" i="13" s="1"/>
  <c r="I5538" i="13" s="1"/>
  <c r="J5723" i="13" a="1"/>
  <c r="J5723" i="13" s="1"/>
  <c r="N5724" i="13"/>
  <c r="N5723" i="14"/>
  <c r="J5722" i="14" a="1"/>
  <c r="J5722" i="14" s="1"/>
  <c r="M5726" i="13"/>
  <c r="M5727" i="14"/>
  <c r="K5538" i="13" l="1"/>
  <c r="L5538" i="13" s="1"/>
  <c r="I5539" i="13" s="1"/>
  <c r="K5560" i="14"/>
  <c r="L5560" i="14" s="1"/>
  <c r="I5561" i="14" s="1"/>
  <c r="J5723" i="14" a="1"/>
  <c r="J5723" i="14" s="1"/>
  <c r="N5724" i="14"/>
  <c r="J5724" i="13" a="1"/>
  <c r="J5724" i="13" s="1"/>
  <c r="N5725" i="13"/>
  <c r="M5728" i="14"/>
  <c r="M5727" i="13"/>
  <c r="K5561" i="14" l="1"/>
  <c r="L5561" i="14" s="1"/>
  <c r="I5562" i="14" s="1"/>
  <c r="K5539" i="13"/>
  <c r="L5539" i="13" s="1"/>
  <c r="I5540" i="13" s="1"/>
  <c r="N5726" i="13"/>
  <c r="J5725" i="13" a="1"/>
  <c r="J5725" i="13" s="1"/>
  <c r="J5724" i="14" a="1"/>
  <c r="J5724" i="14" s="1"/>
  <c r="N5725" i="14"/>
  <c r="M5728" i="13"/>
  <c r="M5729" i="14"/>
  <c r="K5540" i="13" l="1"/>
  <c r="L5540" i="13" s="1"/>
  <c r="I5541" i="13" s="1"/>
  <c r="K5562" i="14"/>
  <c r="L5562" i="14" s="1"/>
  <c r="I5563" i="14" s="1"/>
  <c r="M5730" i="14"/>
  <c r="J5725" i="14" a="1"/>
  <c r="J5725" i="14" s="1"/>
  <c r="N5726" i="14"/>
  <c r="M5729" i="13"/>
  <c r="J5726" i="13" a="1"/>
  <c r="J5726" i="13" s="1"/>
  <c r="N5727" i="13"/>
  <c r="K5563" i="14" l="1"/>
  <c r="L5563" i="14" s="1"/>
  <c r="I5564" i="14" s="1"/>
  <c r="K5541" i="13"/>
  <c r="L5541" i="13" s="1"/>
  <c r="I5542" i="13" s="1"/>
  <c r="N5727" i="14"/>
  <c r="J5726" i="14" a="1"/>
  <c r="J5726" i="14" s="1"/>
  <c r="J5727" i="13" a="1"/>
  <c r="J5727" i="13" s="1"/>
  <c r="N5728" i="13"/>
  <c r="M5730" i="13"/>
  <c r="M5731" i="14"/>
  <c r="K5542" i="13" l="1"/>
  <c r="L5542" i="13" s="1"/>
  <c r="I5543" i="13" s="1"/>
  <c r="M5731" i="13"/>
  <c r="K5564" i="14"/>
  <c r="L5564" i="14" s="1"/>
  <c r="I5565" i="14" s="1"/>
  <c r="J5728" i="13" a="1"/>
  <c r="J5728" i="13" s="1"/>
  <c r="N5729" i="13"/>
  <c r="J5727" i="14" a="1"/>
  <c r="J5727" i="14" s="1"/>
  <c r="N5728" i="14"/>
  <c r="M5732" i="14"/>
  <c r="K5565" i="14" l="1"/>
  <c r="L5565" i="14" s="1"/>
  <c r="I5566" i="14" s="1"/>
  <c r="K5543" i="13"/>
  <c r="L5543" i="13" s="1"/>
  <c r="I5544" i="13" s="1"/>
  <c r="N5730" i="13"/>
  <c r="J5729" i="13" a="1"/>
  <c r="J5729" i="13" s="1"/>
  <c r="M5732" i="13"/>
  <c r="J5728" i="14" a="1"/>
  <c r="J5728" i="14" s="1"/>
  <c r="N5729" i="14"/>
  <c r="M5733" i="14"/>
  <c r="K5544" i="13" l="1"/>
  <c r="L5544" i="13" s="1"/>
  <c r="I5545" i="13" s="1"/>
  <c r="K5566" i="14"/>
  <c r="L5566" i="14" s="1"/>
  <c r="I5567" i="14" s="1"/>
  <c r="M5734" i="14"/>
  <c r="J5729" i="14" a="1"/>
  <c r="J5729" i="14" s="1"/>
  <c r="N5730" i="14"/>
  <c r="M5733" i="13"/>
  <c r="J5730" i="13" a="1"/>
  <c r="J5730" i="13" s="1"/>
  <c r="N5731" i="13"/>
  <c r="K5567" i="14" l="1"/>
  <c r="L5567" i="14" s="1"/>
  <c r="I5568" i="14" s="1"/>
  <c r="K5545" i="13"/>
  <c r="L5545" i="13" s="1"/>
  <c r="I5546" i="13" s="1"/>
  <c r="J5731" i="13" a="1"/>
  <c r="J5731" i="13" s="1"/>
  <c r="N5732" i="13"/>
  <c r="N5731" i="14"/>
  <c r="J5730" i="14" a="1"/>
  <c r="J5730" i="14" s="1"/>
  <c r="M5734" i="13"/>
  <c r="M5735" i="14"/>
  <c r="K5546" i="13" l="1"/>
  <c r="L5546" i="13" s="1"/>
  <c r="I5547" i="13" s="1"/>
  <c r="K5568" i="14"/>
  <c r="L5568" i="14" s="1"/>
  <c r="I5569" i="14" s="1"/>
  <c r="J5731" i="14" a="1"/>
  <c r="J5731" i="14" s="1"/>
  <c r="N5732" i="14"/>
  <c r="M5736" i="14"/>
  <c r="J5732" i="13" a="1"/>
  <c r="J5732" i="13" s="1"/>
  <c r="N5733" i="13"/>
  <c r="M5735" i="13"/>
  <c r="K5569" i="14" l="1"/>
  <c r="L5569" i="14" s="1"/>
  <c r="I5570" i="14" s="1"/>
  <c r="K5547" i="13"/>
  <c r="L5547" i="13" s="1"/>
  <c r="I5548" i="13" s="1"/>
  <c r="N5734" i="13"/>
  <c r="J5733" i="13" a="1"/>
  <c r="J5733" i="13" s="1"/>
  <c r="M5736" i="13"/>
  <c r="M5737" i="14"/>
  <c r="J5732" i="14" a="1"/>
  <c r="J5732" i="14" s="1"/>
  <c r="N5733" i="14"/>
  <c r="K5548" i="13" l="1"/>
  <c r="L5548" i="13" s="1"/>
  <c r="I5549" i="13" s="1"/>
  <c r="K5570" i="14"/>
  <c r="L5570" i="14" s="1"/>
  <c r="I5571" i="14" s="1"/>
  <c r="J5733" i="14" a="1"/>
  <c r="J5733" i="14" s="1"/>
  <c r="N5734" i="14"/>
  <c r="M5737" i="13"/>
  <c r="M5738" i="14"/>
  <c r="J5734" i="13" a="1"/>
  <c r="J5734" i="13" s="1"/>
  <c r="N5735" i="13"/>
  <c r="K5571" i="14" l="1"/>
  <c r="L5571" i="14" s="1"/>
  <c r="I5572" i="14" s="1"/>
  <c r="K5549" i="13"/>
  <c r="L5549" i="13" s="1"/>
  <c r="I5550" i="13" s="1"/>
  <c r="J5735" i="13" a="1"/>
  <c r="J5735" i="13" s="1"/>
  <c r="N5736" i="13"/>
  <c r="M5738" i="13"/>
  <c r="N5735" i="14"/>
  <c r="J5734" i="14" a="1"/>
  <c r="J5734" i="14" s="1"/>
  <c r="M5739" i="14"/>
  <c r="K5550" i="13" l="1"/>
  <c r="L5550" i="13" s="1"/>
  <c r="I5551" i="13" s="1"/>
  <c r="K5572" i="14"/>
  <c r="L5572" i="14" s="1"/>
  <c r="I5573" i="14" s="1"/>
  <c r="J5735" i="14" a="1"/>
  <c r="J5735" i="14" s="1"/>
  <c r="N5736" i="14"/>
  <c r="M5740" i="14"/>
  <c r="M5739" i="13"/>
  <c r="J5736" i="13" a="1"/>
  <c r="J5736" i="13" s="1"/>
  <c r="N5737" i="13"/>
  <c r="K5551" i="13" l="1"/>
  <c r="L5551" i="13" s="1"/>
  <c r="I5552" i="13" s="1"/>
  <c r="N5738" i="13"/>
  <c r="J5737" i="13" a="1"/>
  <c r="J5737" i="13" s="1"/>
  <c r="M5741" i="14"/>
  <c r="K5573" i="14"/>
  <c r="L5573" i="14" s="1"/>
  <c r="I5574" i="14" s="1"/>
  <c r="J5736" i="14" a="1"/>
  <c r="J5736" i="14" s="1"/>
  <c r="N5737" i="14"/>
  <c r="M5740" i="13"/>
  <c r="K5574" i="14" l="1"/>
  <c r="L5574" i="14" s="1"/>
  <c r="I5575" i="14" s="1"/>
  <c r="K5552" i="13"/>
  <c r="L5552" i="13" s="1"/>
  <c r="I5553" i="13" s="1"/>
  <c r="M5741" i="13"/>
  <c r="J5738" i="13" a="1"/>
  <c r="J5738" i="13" s="1"/>
  <c r="N5739" i="13"/>
  <c r="J5737" i="14" a="1"/>
  <c r="J5737" i="14" s="1"/>
  <c r="N5738" i="14"/>
  <c r="M5742" i="14"/>
  <c r="K5553" i="13" l="1"/>
  <c r="L5553" i="13" s="1"/>
  <c r="I5554" i="13" s="1"/>
  <c r="K5575" i="14"/>
  <c r="L5575" i="14" s="1"/>
  <c r="I5576" i="14" s="1"/>
  <c r="J5739" i="13" a="1"/>
  <c r="J5739" i="13" s="1"/>
  <c r="N5740" i="13"/>
  <c r="N5739" i="14"/>
  <c r="J5738" i="14" a="1"/>
  <c r="J5738" i="14" s="1"/>
  <c r="M5743" i="14"/>
  <c r="M5742" i="13"/>
  <c r="K5576" i="14" l="1"/>
  <c r="L5576" i="14" s="1"/>
  <c r="I5577" i="14" s="1"/>
  <c r="K5554" i="13"/>
  <c r="L5554" i="13" s="1"/>
  <c r="I5555" i="13" s="1"/>
  <c r="J5739" i="14" a="1"/>
  <c r="J5739" i="14" s="1"/>
  <c r="N5740" i="14"/>
  <c r="J5740" i="13" a="1"/>
  <c r="J5740" i="13" s="1"/>
  <c r="N5741" i="13"/>
  <c r="M5743" i="13"/>
  <c r="M5744" i="14"/>
  <c r="K5555" i="13" l="1"/>
  <c r="L5555" i="13" s="1"/>
  <c r="I5556" i="13" s="1"/>
  <c r="K5577" i="14"/>
  <c r="L5577" i="14" s="1"/>
  <c r="I5578" i="14" s="1"/>
  <c r="N5742" i="13"/>
  <c r="J5741" i="13" a="1"/>
  <c r="J5741" i="13" s="1"/>
  <c r="J5740" i="14" a="1"/>
  <c r="J5740" i="14" s="1"/>
  <c r="N5741" i="14"/>
  <c r="M5745" i="14"/>
  <c r="M5744" i="13"/>
  <c r="K5578" i="14" l="1"/>
  <c r="L5578" i="14" s="1"/>
  <c r="I5579" i="14" s="1"/>
  <c r="K5556" i="13"/>
  <c r="L5556" i="13" s="1"/>
  <c r="I5557" i="13" s="1"/>
  <c r="M5745" i="13"/>
  <c r="N5742" i="14"/>
  <c r="J5741" i="14" a="1"/>
  <c r="J5741" i="14" s="1"/>
  <c r="M5746" i="14"/>
  <c r="J5742" i="13" a="1"/>
  <c r="J5742" i="13" s="1"/>
  <c r="N5743" i="13"/>
  <c r="K5557" i="13" l="1"/>
  <c r="L5557" i="13" s="1"/>
  <c r="I5558" i="13" s="1"/>
  <c r="K5579" i="14"/>
  <c r="L5579" i="14" s="1"/>
  <c r="I5580" i="14" s="1"/>
  <c r="J5743" i="13" a="1"/>
  <c r="J5743" i="13" s="1"/>
  <c r="N5744" i="13"/>
  <c r="N5743" i="14"/>
  <c r="J5742" i="14" a="1"/>
  <c r="J5742" i="14" s="1"/>
  <c r="M5747" i="14"/>
  <c r="M5746" i="13"/>
  <c r="K5580" i="14" l="1"/>
  <c r="L5580" i="14" s="1"/>
  <c r="I5581" i="14" s="1"/>
  <c r="K5558" i="13"/>
  <c r="L5558" i="13" s="1"/>
  <c r="I5559" i="13" s="1"/>
  <c r="J5743" i="14" a="1"/>
  <c r="J5743" i="14" s="1"/>
  <c r="N5744" i="14"/>
  <c r="J5744" i="13" a="1"/>
  <c r="J5744" i="13" s="1"/>
  <c r="N5745" i="13"/>
  <c r="M5747" i="13"/>
  <c r="M5748" i="14"/>
  <c r="K5559" i="13" l="1"/>
  <c r="L5559" i="13" s="1"/>
  <c r="I5560" i="13" s="1"/>
  <c r="K5581" i="14"/>
  <c r="L5581" i="14" s="1"/>
  <c r="I5582" i="14" s="1"/>
  <c r="N5746" i="13"/>
  <c r="J5745" i="13" a="1"/>
  <c r="J5745" i="13" s="1"/>
  <c r="J5744" i="14" a="1"/>
  <c r="J5744" i="14" s="1"/>
  <c r="N5745" i="14"/>
  <c r="M5749" i="14"/>
  <c r="M5748" i="13"/>
  <c r="K5582" i="14" l="1"/>
  <c r="L5582" i="14" s="1"/>
  <c r="I5583" i="14" s="1"/>
  <c r="K5560" i="13"/>
  <c r="L5560" i="13" s="1"/>
  <c r="I5561" i="13" s="1"/>
  <c r="J5745" i="14" a="1"/>
  <c r="J5745" i="14" s="1"/>
  <c r="N5746" i="14"/>
  <c r="M5749" i="13"/>
  <c r="M5750" i="14"/>
  <c r="J5746" i="13" a="1"/>
  <c r="J5746" i="13" s="1"/>
  <c r="N5747" i="13"/>
  <c r="K5561" i="13" l="1"/>
  <c r="L5561" i="13" s="1"/>
  <c r="I5562" i="13" s="1"/>
  <c r="K5583" i="14"/>
  <c r="L5583" i="14" s="1"/>
  <c r="I5584" i="14" s="1"/>
  <c r="J5747" i="13" a="1"/>
  <c r="J5747" i="13" s="1"/>
  <c r="N5748" i="13"/>
  <c r="M5750" i="13"/>
  <c r="N5747" i="14"/>
  <c r="J5746" i="14" a="1"/>
  <c r="J5746" i="14" s="1"/>
  <c r="M5751" i="14"/>
  <c r="K5584" i="14" l="1"/>
  <c r="L5584" i="14" s="1"/>
  <c r="I5585" i="14" s="1"/>
  <c r="K5562" i="13"/>
  <c r="L5562" i="13" s="1"/>
  <c r="I5563" i="13" s="1"/>
  <c r="M5752" i="14"/>
  <c r="M5751" i="13"/>
  <c r="J5748" i="13" a="1"/>
  <c r="J5748" i="13" s="1"/>
  <c r="N5749" i="13"/>
  <c r="J5747" i="14" a="1"/>
  <c r="J5747" i="14" s="1"/>
  <c r="N5748" i="14"/>
  <c r="K5563" i="13" l="1"/>
  <c r="L5563" i="13" s="1"/>
  <c r="I5564" i="13" s="1"/>
  <c r="K5585" i="14"/>
  <c r="L5585" i="14" s="1"/>
  <c r="I5586" i="14" s="1"/>
  <c r="J5748" i="14" a="1"/>
  <c r="J5748" i="14" s="1"/>
  <c r="N5749" i="14"/>
  <c r="M5752" i="13"/>
  <c r="N5750" i="13"/>
  <c r="J5749" i="13" a="1"/>
  <c r="J5749" i="13" s="1"/>
  <c r="M5753" i="14"/>
  <c r="K5586" i="14" l="1"/>
  <c r="L5586" i="14" s="1"/>
  <c r="I5587" i="14" s="1"/>
  <c r="K5564" i="13"/>
  <c r="L5564" i="13" s="1"/>
  <c r="I5565" i="13" s="1"/>
  <c r="M5754" i="14"/>
  <c r="M5753" i="13"/>
  <c r="J5750" i="13" a="1"/>
  <c r="J5750" i="13" s="1"/>
  <c r="N5751" i="13"/>
  <c r="N5750" i="14"/>
  <c r="J5749" i="14" a="1"/>
  <c r="J5749" i="14" s="1"/>
  <c r="K5565" i="13" l="1"/>
  <c r="L5565" i="13" s="1"/>
  <c r="I5566" i="13" s="1"/>
  <c r="K5587" i="14"/>
  <c r="L5587" i="14" s="1"/>
  <c r="I5588" i="14" s="1"/>
  <c r="N5751" i="14"/>
  <c r="J5750" i="14" a="1"/>
  <c r="J5750" i="14" s="1"/>
  <c r="M5754" i="13"/>
  <c r="J5751" i="13" a="1"/>
  <c r="J5751" i="13" s="1"/>
  <c r="N5752" i="13"/>
  <c r="M5755" i="14"/>
  <c r="K5588" i="14" l="1"/>
  <c r="L5588" i="14" s="1"/>
  <c r="I5589" i="14" s="1"/>
  <c r="K5566" i="13"/>
  <c r="L5566" i="13" s="1"/>
  <c r="I5567" i="13" s="1"/>
  <c r="J5752" i="13" a="1"/>
  <c r="J5752" i="13" s="1"/>
  <c r="N5753" i="13"/>
  <c r="M5756" i="14"/>
  <c r="M5755" i="13"/>
  <c r="J5751" i="14" a="1"/>
  <c r="J5751" i="14" s="1"/>
  <c r="N5752" i="14"/>
  <c r="K5567" i="13" l="1"/>
  <c r="L5567" i="13" s="1"/>
  <c r="I5568" i="13" s="1"/>
  <c r="K5589" i="14"/>
  <c r="L5589" i="14" s="1"/>
  <c r="I5590" i="14" s="1"/>
  <c r="J5752" i="14" a="1"/>
  <c r="J5752" i="14" s="1"/>
  <c r="N5753" i="14"/>
  <c r="M5757" i="14"/>
  <c r="N5754" i="13"/>
  <c r="J5753" i="13" a="1"/>
  <c r="J5753" i="13" s="1"/>
  <c r="M5756" i="13"/>
  <c r="K5590" i="14" l="1"/>
  <c r="L5590" i="14" s="1"/>
  <c r="I5591" i="14" s="1"/>
  <c r="K5568" i="13"/>
  <c r="L5568" i="13" s="1"/>
  <c r="I5569" i="13" s="1"/>
  <c r="M5757" i="13"/>
  <c r="M5758" i="14"/>
  <c r="J5754" i="13" a="1"/>
  <c r="J5754" i="13" s="1"/>
  <c r="N5755" i="13"/>
  <c r="J5753" i="14" a="1"/>
  <c r="J5753" i="14" s="1"/>
  <c r="N5754" i="14"/>
  <c r="K5569" i="13" l="1"/>
  <c r="L5569" i="13" s="1"/>
  <c r="I5570" i="13" s="1"/>
  <c r="K5591" i="14"/>
  <c r="L5591" i="14" s="1"/>
  <c r="I5592" i="14" s="1"/>
  <c r="N5755" i="14"/>
  <c r="J5754" i="14" a="1"/>
  <c r="J5754" i="14" s="1"/>
  <c r="M5759" i="14"/>
  <c r="J5755" i="13" a="1"/>
  <c r="J5755" i="13" s="1"/>
  <c r="N5756" i="13"/>
  <c r="M5758" i="13"/>
  <c r="K5592" i="14" l="1"/>
  <c r="L5592" i="14" s="1"/>
  <c r="I5593" i="14" s="1"/>
  <c r="K5570" i="13"/>
  <c r="L5570" i="13" s="1"/>
  <c r="I5571" i="13" s="1"/>
  <c r="M5759" i="13"/>
  <c r="M5760" i="14"/>
  <c r="J5756" i="13" a="1"/>
  <c r="J5756" i="13" s="1"/>
  <c r="N5757" i="13"/>
  <c r="J5755" i="14" a="1"/>
  <c r="J5755" i="14" s="1"/>
  <c r="N5756" i="14"/>
  <c r="K5571" i="13" l="1"/>
  <c r="L5571" i="13" s="1"/>
  <c r="I5572" i="13" s="1"/>
  <c r="K5593" i="14"/>
  <c r="L5593" i="14" s="1"/>
  <c r="I5594" i="14" s="1"/>
  <c r="J5756" i="14" a="1"/>
  <c r="J5756" i="14" s="1"/>
  <c r="N5757" i="14"/>
  <c r="M5761" i="14"/>
  <c r="N5758" i="13"/>
  <c r="J5757" i="13" a="1"/>
  <c r="J5757" i="13" s="1"/>
  <c r="M5760" i="13"/>
  <c r="K5594" i="14" l="1"/>
  <c r="L5594" i="14" s="1"/>
  <c r="I5595" i="14" s="1"/>
  <c r="K5572" i="13"/>
  <c r="L5572" i="13" s="1"/>
  <c r="I5573" i="13" s="1"/>
  <c r="M5761" i="13"/>
  <c r="M5762" i="14"/>
  <c r="N5758" i="14"/>
  <c r="J5757" i="14" a="1"/>
  <c r="J5757" i="14" s="1"/>
  <c r="J5758" i="13" a="1"/>
  <c r="J5758" i="13" s="1"/>
  <c r="N5759" i="13"/>
  <c r="K5573" i="13" l="1"/>
  <c r="L5573" i="13" s="1"/>
  <c r="I5574" i="13" s="1"/>
  <c r="K5595" i="14"/>
  <c r="L5595" i="14" s="1"/>
  <c r="I5596" i="14" s="1"/>
  <c r="M5763" i="14"/>
  <c r="J5759" i="13" a="1"/>
  <c r="J5759" i="13" s="1"/>
  <c r="N5760" i="13"/>
  <c r="N5759" i="14"/>
  <c r="J5758" i="14" a="1"/>
  <c r="J5758" i="14" s="1"/>
  <c r="M5762" i="13"/>
  <c r="K5596" i="14" l="1"/>
  <c r="L5596" i="14" s="1"/>
  <c r="I5597" i="14" s="1"/>
  <c r="K5574" i="13"/>
  <c r="L5574" i="13" s="1"/>
  <c r="I5575" i="13" s="1"/>
  <c r="J5760" i="13" a="1"/>
  <c r="J5760" i="13" s="1"/>
  <c r="N5761" i="13"/>
  <c r="M5763" i="13"/>
  <c r="J5759" i="14" a="1"/>
  <c r="J5759" i="14" s="1"/>
  <c r="N5760" i="14"/>
  <c r="M5764" i="14"/>
  <c r="K5575" i="13" l="1"/>
  <c r="L5575" i="13" s="1"/>
  <c r="I5576" i="13" s="1"/>
  <c r="K5597" i="14"/>
  <c r="L5597" i="14" s="1"/>
  <c r="I5598" i="14" s="1"/>
  <c r="J5760" i="14" a="1"/>
  <c r="J5760" i="14" s="1"/>
  <c r="N5761" i="14"/>
  <c r="M5765" i="14"/>
  <c r="M5764" i="13"/>
  <c r="N5762" i="13"/>
  <c r="J5761" i="13" a="1"/>
  <c r="J5761" i="13" s="1"/>
  <c r="K5598" i="14" l="1"/>
  <c r="L5598" i="14" s="1"/>
  <c r="I5599" i="14" s="1"/>
  <c r="K5576" i="13"/>
  <c r="L5576" i="13" s="1"/>
  <c r="I5577" i="13" s="1"/>
  <c r="M5766" i="14"/>
  <c r="J5762" i="13" a="1"/>
  <c r="J5762" i="13" s="1"/>
  <c r="N5763" i="13"/>
  <c r="J5761" i="14" a="1"/>
  <c r="J5761" i="14" s="1"/>
  <c r="N5762" i="14"/>
  <c r="M5765" i="13"/>
  <c r="K5577" i="13" l="1"/>
  <c r="L5577" i="13" s="1"/>
  <c r="I5578" i="13" s="1"/>
  <c r="K5599" i="14"/>
  <c r="L5599" i="14" s="1"/>
  <c r="I5600" i="14" s="1"/>
  <c r="J5763" i="13" a="1"/>
  <c r="J5763" i="13" s="1"/>
  <c r="N5764" i="13"/>
  <c r="N5763" i="14"/>
  <c r="J5762" i="14" a="1"/>
  <c r="J5762" i="14" s="1"/>
  <c r="M5766" i="13"/>
  <c r="M5767" i="14"/>
  <c r="K5600" i="14" l="1"/>
  <c r="L5600" i="14" s="1"/>
  <c r="I5601" i="14" s="1"/>
  <c r="K5578" i="13"/>
  <c r="L5578" i="13" s="1"/>
  <c r="I5579" i="13" s="1"/>
  <c r="J5763" i="14" a="1"/>
  <c r="J5763" i="14" s="1"/>
  <c r="N5764" i="14"/>
  <c r="J5764" i="13" a="1"/>
  <c r="J5764" i="13" s="1"/>
  <c r="N5765" i="13"/>
  <c r="M5768" i="14"/>
  <c r="M5767" i="13"/>
  <c r="K5579" i="13" l="1"/>
  <c r="L5579" i="13" s="1"/>
  <c r="I5580" i="13" s="1"/>
  <c r="K5601" i="14"/>
  <c r="L5601" i="14" s="1"/>
  <c r="I5602" i="14" s="1"/>
  <c r="N5766" i="13"/>
  <c r="J5765" i="13" a="1"/>
  <c r="J5765" i="13" s="1"/>
  <c r="J5764" i="14" a="1"/>
  <c r="J5764" i="14" s="1"/>
  <c r="N5765" i="14"/>
  <c r="M5768" i="13"/>
  <c r="M5769" i="14"/>
  <c r="K5602" i="14" l="1"/>
  <c r="L5602" i="14" s="1"/>
  <c r="I5603" i="14" s="1"/>
  <c r="K5580" i="13"/>
  <c r="L5580" i="13" s="1"/>
  <c r="I5581" i="13" s="1"/>
  <c r="N5766" i="14"/>
  <c r="J5765" i="14" a="1"/>
  <c r="J5765" i="14" s="1"/>
  <c r="M5770" i="14"/>
  <c r="M5769" i="13"/>
  <c r="J5766" i="13" a="1"/>
  <c r="J5766" i="13" s="1"/>
  <c r="N5767" i="13"/>
  <c r="K5581" i="13" l="1"/>
  <c r="L5581" i="13" s="1"/>
  <c r="I5582" i="13" s="1"/>
  <c r="K5603" i="14"/>
  <c r="L5603" i="14" s="1"/>
  <c r="I5604" i="14" s="1"/>
  <c r="J5767" i="13" a="1"/>
  <c r="J5767" i="13" s="1"/>
  <c r="N5768" i="13"/>
  <c r="M5771" i="14"/>
  <c r="M5770" i="13"/>
  <c r="N5767" i="14"/>
  <c r="J5766" i="14" a="1"/>
  <c r="J5766" i="14" s="1"/>
  <c r="K5604" i="14" l="1"/>
  <c r="L5604" i="14" s="1"/>
  <c r="I5605" i="14" s="1"/>
  <c r="K5582" i="13"/>
  <c r="L5582" i="13" s="1"/>
  <c r="I5583" i="13" s="1"/>
  <c r="J5767" i="14" a="1"/>
  <c r="J5767" i="14" s="1"/>
  <c r="N5768" i="14"/>
  <c r="M5772" i="14"/>
  <c r="J5768" i="13" a="1"/>
  <c r="J5768" i="13" s="1"/>
  <c r="N5769" i="13"/>
  <c r="M5771" i="13"/>
  <c r="K5583" i="13" l="1"/>
  <c r="L5583" i="13" s="1"/>
  <c r="I5584" i="13" s="1"/>
  <c r="K5605" i="14"/>
  <c r="L5605" i="14" s="1"/>
  <c r="I5606" i="14" s="1"/>
  <c r="M5772" i="13"/>
  <c r="M5773" i="14"/>
  <c r="N5770" i="13"/>
  <c r="J5769" i="13" a="1"/>
  <c r="J5769" i="13" s="1"/>
  <c r="J5768" i="14" a="1"/>
  <c r="J5768" i="14" s="1"/>
  <c r="N5769" i="14"/>
  <c r="K5606" i="14" l="1"/>
  <c r="L5606" i="14" s="1"/>
  <c r="I5607" i="14" s="1"/>
  <c r="K5584" i="13"/>
  <c r="L5584" i="13" s="1"/>
  <c r="I5585" i="13" s="1"/>
  <c r="J5769" i="14" a="1"/>
  <c r="J5769" i="14" s="1"/>
  <c r="N5770" i="14"/>
  <c r="M5774" i="14"/>
  <c r="M5773" i="13"/>
  <c r="J5770" i="13" a="1"/>
  <c r="J5770" i="13" s="1"/>
  <c r="N5771" i="13"/>
  <c r="K5585" i="13" l="1"/>
  <c r="L5585" i="13" s="1"/>
  <c r="I5586" i="13" s="1"/>
  <c r="K5607" i="14"/>
  <c r="L5607" i="14" s="1"/>
  <c r="I5608" i="14" s="1"/>
  <c r="J5771" i="13" a="1"/>
  <c r="J5771" i="13" s="1"/>
  <c r="N5772" i="13"/>
  <c r="M5775" i="14"/>
  <c r="N5771" i="14"/>
  <c r="J5770" i="14" a="1"/>
  <c r="J5770" i="14" s="1"/>
  <c r="M5774" i="13"/>
  <c r="K5608" i="14" l="1"/>
  <c r="L5608" i="14" s="1"/>
  <c r="I5609" i="14" s="1"/>
  <c r="K5586" i="13"/>
  <c r="L5586" i="13" s="1"/>
  <c r="I5587" i="13" s="1"/>
  <c r="J5771" i="14" a="1"/>
  <c r="J5771" i="14" s="1"/>
  <c r="N5772" i="14"/>
  <c r="M5775" i="13"/>
  <c r="M5776" i="14"/>
  <c r="J5772" i="13" a="1"/>
  <c r="J5772" i="13" s="1"/>
  <c r="N5773" i="13"/>
  <c r="K5587" i="13" l="1"/>
  <c r="L5587" i="13" s="1"/>
  <c r="I5588" i="13" s="1"/>
  <c r="K5609" i="14"/>
  <c r="L5609" i="14" s="1"/>
  <c r="I5610" i="14" s="1"/>
  <c r="N5774" i="13"/>
  <c r="J5773" i="13" a="1"/>
  <c r="J5773" i="13" s="1"/>
  <c r="M5776" i="13"/>
  <c r="J5772" i="14" a="1"/>
  <c r="J5772" i="14" s="1"/>
  <c r="N5773" i="14"/>
  <c r="M5777" i="14"/>
  <c r="K5610" i="14" l="1"/>
  <c r="L5610" i="14" s="1"/>
  <c r="I5611" i="14" s="1"/>
  <c r="K5588" i="13"/>
  <c r="L5588" i="13" s="1"/>
  <c r="I5589" i="13" s="1"/>
  <c r="M5778" i="14"/>
  <c r="M5777" i="13"/>
  <c r="N5774" i="14"/>
  <c r="J5773" i="14" a="1"/>
  <c r="J5773" i="14" s="1"/>
  <c r="J5774" i="13" a="1"/>
  <c r="J5774" i="13" s="1"/>
  <c r="N5775" i="13"/>
  <c r="K5589" i="13" l="1"/>
  <c r="L5589" i="13" s="1"/>
  <c r="I5590" i="13" s="1"/>
  <c r="K5611" i="14"/>
  <c r="L5611" i="14" s="1"/>
  <c r="I5612" i="14" s="1"/>
  <c r="J5775" i="13" a="1"/>
  <c r="J5775" i="13" s="1"/>
  <c r="N5776" i="13"/>
  <c r="M5778" i="13"/>
  <c r="N5775" i="14"/>
  <c r="J5774" i="14" a="1"/>
  <c r="J5774" i="14" s="1"/>
  <c r="M5779" i="14"/>
  <c r="K5612" i="14" l="1"/>
  <c r="L5612" i="14" s="1"/>
  <c r="I5613" i="14" s="1"/>
  <c r="K5590" i="13"/>
  <c r="L5590" i="13" s="1"/>
  <c r="I5591" i="13" s="1"/>
  <c r="J5775" i="14" a="1"/>
  <c r="J5775" i="14" s="1"/>
  <c r="N5776" i="14"/>
  <c r="M5780" i="14"/>
  <c r="M5779" i="13"/>
  <c r="J5776" i="13" a="1"/>
  <c r="J5776" i="13" s="1"/>
  <c r="N5777" i="13"/>
  <c r="K5591" i="13" l="1"/>
  <c r="L5591" i="13" s="1"/>
  <c r="I5592" i="13" s="1"/>
  <c r="K5613" i="14"/>
  <c r="L5613" i="14" s="1"/>
  <c r="I5614" i="14" s="1"/>
  <c r="N5778" i="13"/>
  <c r="J5777" i="13" a="1"/>
  <c r="J5777" i="13" s="1"/>
  <c r="M5781" i="14"/>
  <c r="J5776" i="14" a="1"/>
  <c r="J5776" i="14" s="1"/>
  <c r="N5777" i="14"/>
  <c r="M5780" i="13"/>
  <c r="K5614" i="14" l="1"/>
  <c r="L5614" i="14" s="1"/>
  <c r="I5615" i="14" s="1"/>
  <c r="K5592" i="13"/>
  <c r="L5592" i="13" s="1"/>
  <c r="I5593" i="13" s="1"/>
  <c r="M5781" i="13"/>
  <c r="M5782" i="14"/>
  <c r="J5777" i="14" a="1"/>
  <c r="J5777" i="14" s="1"/>
  <c r="N5778" i="14"/>
  <c r="J5778" i="13" a="1"/>
  <c r="J5778" i="13" s="1"/>
  <c r="N5779" i="13"/>
  <c r="K5593" i="13" l="1"/>
  <c r="L5593" i="13" s="1"/>
  <c r="I5594" i="13" s="1"/>
  <c r="K5615" i="14"/>
  <c r="L5615" i="14" s="1"/>
  <c r="I5616" i="14" s="1"/>
  <c r="J5779" i="13" a="1"/>
  <c r="J5779" i="13" s="1"/>
  <c r="N5780" i="13"/>
  <c r="M5783" i="14"/>
  <c r="N5779" i="14"/>
  <c r="J5778" i="14" a="1"/>
  <c r="J5778" i="14" s="1"/>
  <c r="M5782" i="13"/>
  <c r="K5616" i="14" l="1"/>
  <c r="L5616" i="14" s="1"/>
  <c r="I5617" i="14" s="1"/>
  <c r="K5594" i="13"/>
  <c r="L5594" i="13" s="1"/>
  <c r="I5595" i="13" s="1"/>
  <c r="J5779" i="14" a="1"/>
  <c r="J5779" i="14" s="1"/>
  <c r="N5780" i="14"/>
  <c r="M5783" i="13"/>
  <c r="M5784" i="14"/>
  <c r="J5780" i="13" a="1"/>
  <c r="J5780" i="13" s="1"/>
  <c r="N5781" i="13"/>
  <c r="K5595" i="13" l="1"/>
  <c r="L5595" i="13" s="1"/>
  <c r="I5596" i="13" s="1"/>
  <c r="K5617" i="14"/>
  <c r="L5617" i="14" s="1"/>
  <c r="I5618" i="14" s="1"/>
  <c r="N5782" i="13"/>
  <c r="J5781" i="13" a="1"/>
  <c r="J5781" i="13" s="1"/>
  <c r="M5784" i="13"/>
  <c r="M5785" i="14"/>
  <c r="J5780" i="14" a="1"/>
  <c r="J5780" i="14" s="1"/>
  <c r="N5781" i="14"/>
  <c r="K5618" i="14" l="1"/>
  <c r="L5618" i="14" s="1"/>
  <c r="I5619" i="14" s="1"/>
  <c r="K5596" i="13"/>
  <c r="L5596" i="13" s="1"/>
  <c r="I5597" i="13" s="1"/>
  <c r="N5782" i="14"/>
  <c r="J5781" i="14" a="1"/>
  <c r="J5781" i="14" s="1"/>
  <c r="M5785" i="13"/>
  <c r="M5786" i="14"/>
  <c r="J5782" i="13" a="1"/>
  <c r="J5782" i="13" s="1"/>
  <c r="N5783" i="13"/>
  <c r="K5597" i="13" l="1"/>
  <c r="L5597" i="13" s="1"/>
  <c r="I5598" i="13" s="1"/>
  <c r="K5619" i="14"/>
  <c r="L5619" i="14" s="1"/>
  <c r="I5620" i="14" s="1"/>
  <c r="J5783" i="13" a="1"/>
  <c r="J5783" i="13" s="1"/>
  <c r="N5784" i="13"/>
  <c r="M5786" i="13"/>
  <c r="M5787" i="14"/>
  <c r="N5783" i="14"/>
  <c r="J5782" i="14" a="1"/>
  <c r="J5782" i="14" s="1"/>
  <c r="K5620" i="14" l="1"/>
  <c r="L5620" i="14" s="1"/>
  <c r="I5621" i="14" s="1"/>
  <c r="K5598" i="13"/>
  <c r="L5598" i="13" s="1"/>
  <c r="I5599" i="13" s="1"/>
  <c r="J5783" i="14" a="1"/>
  <c r="J5783" i="14" s="1"/>
  <c r="N5784" i="14"/>
  <c r="M5787" i="13"/>
  <c r="J5784" i="13" a="1"/>
  <c r="J5784" i="13" s="1"/>
  <c r="N5785" i="13"/>
  <c r="M5788" i="14"/>
  <c r="K5599" i="13" l="1"/>
  <c r="L5599" i="13" s="1"/>
  <c r="I5600" i="13" s="1"/>
  <c r="K5621" i="14"/>
  <c r="L5621" i="14" s="1"/>
  <c r="I5622" i="14" s="1"/>
  <c r="M5789" i="14"/>
  <c r="M5788" i="13"/>
  <c r="N5786" i="13"/>
  <c r="J5785" i="13" a="1"/>
  <c r="J5785" i="13" s="1"/>
  <c r="J5784" i="14" a="1"/>
  <c r="J5784" i="14" s="1"/>
  <c r="N5785" i="14"/>
  <c r="K5622" i="14" l="1"/>
  <c r="L5622" i="14" s="1"/>
  <c r="I5623" i="14" s="1"/>
  <c r="K5600" i="13"/>
  <c r="L5600" i="13" s="1"/>
  <c r="I5601" i="13" s="1"/>
  <c r="J5785" i="14" a="1"/>
  <c r="J5785" i="14" s="1"/>
  <c r="N5786" i="14"/>
  <c r="M5789" i="13"/>
  <c r="M5790" i="14"/>
  <c r="J5786" i="13" a="1"/>
  <c r="J5786" i="13" s="1"/>
  <c r="N5787" i="13"/>
  <c r="K5601" i="13" l="1"/>
  <c r="L5601" i="13" s="1"/>
  <c r="I5602" i="13" s="1"/>
  <c r="K5623" i="14"/>
  <c r="L5623" i="14" s="1"/>
  <c r="I5624" i="14" s="1"/>
  <c r="J5787" i="13" a="1"/>
  <c r="J5787" i="13" s="1"/>
  <c r="N5788" i="13"/>
  <c r="M5790" i="13"/>
  <c r="N5787" i="14"/>
  <c r="J5786" i="14" a="1"/>
  <c r="J5786" i="14" s="1"/>
  <c r="M5791" i="14"/>
  <c r="K5624" i="14" l="1"/>
  <c r="L5624" i="14" s="1"/>
  <c r="I5625" i="14" s="1"/>
  <c r="K5602" i="13"/>
  <c r="L5602" i="13" s="1"/>
  <c r="I5603" i="13" s="1"/>
  <c r="J5787" i="14" a="1"/>
  <c r="J5787" i="14" s="1"/>
  <c r="N5788" i="14"/>
  <c r="M5792" i="14"/>
  <c r="M5791" i="13"/>
  <c r="J5788" i="13" a="1"/>
  <c r="J5788" i="13" s="1"/>
  <c r="N5789" i="13"/>
  <c r="K5603" i="13" l="1"/>
  <c r="L5603" i="13" s="1"/>
  <c r="I5604" i="13" s="1"/>
  <c r="K5625" i="14"/>
  <c r="L5625" i="14" s="1"/>
  <c r="I5626" i="14" s="1"/>
  <c r="N5790" i="13"/>
  <c r="J5789" i="13" a="1"/>
  <c r="J5789" i="13" s="1"/>
  <c r="M5793" i="14"/>
  <c r="J5788" i="14" a="1"/>
  <c r="J5788" i="14" s="1"/>
  <c r="N5789" i="14"/>
  <c r="M5792" i="13"/>
  <c r="K5626" i="14" l="1"/>
  <c r="L5626" i="14" s="1"/>
  <c r="I5627" i="14" s="1"/>
  <c r="K5604" i="13"/>
  <c r="L5604" i="13" s="1"/>
  <c r="I5605" i="13" s="1"/>
  <c r="J5789" i="14" a="1"/>
  <c r="J5789" i="14" s="1"/>
  <c r="N5790" i="14"/>
  <c r="M5793" i="13"/>
  <c r="M5794" i="14"/>
  <c r="J5790" i="13" a="1"/>
  <c r="J5790" i="13" s="1"/>
  <c r="N5791" i="13"/>
  <c r="K5605" i="13" l="1"/>
  <c r="L5605" i="13" s="1"/>
  <c r="I5606" i="13" s="1"/>
  <c r="K5627" i="14"/>
  <c r="L5627" i="14" s="1"/>
  <c r="I5628" i="14" s="1"/>
  <c r="J5791" i="13" a="1"/>
  <c r="J5791" i="13" s="1"/>
  <c r="N5792" i="13"/>
  <c r="M5794" i="13"/>
  <c r="N5791" i="14"/>
  <c r="J5790" i="14" a="1"/>
  <c r="J5790" i="14" s="1"/>
  <c r="M5795" i="14"/>
  <c r="K5628" i="14" l="1"/>
  <c r="L5628" i="14" s="1"/>
  <c r="I5629" i="14" s="1"/>
  <c r="K5606" i="13"/>
  <c r="L5606" i="13" s="1"/>
  <c r="I5607" i="13" s="1"/>
  <c r="M5796" i="14"/>
  <c r="J5792" i="13" a="1"/>
  <c r="J5792" i="13" s="1"/>
  <c r="N5793" i="13"/>
  <c r="M5795" i="13"/>
  <c r="J5791" i="14" a="1"/>
  <c r="J5791" i="14" s="1"/>
  <c r="N5792" i="14"/>
  <c r="K5607" i="13" l="1"/>
  <c r="L5607" i="13" s="1"/>
  <c r="I5608" i="13" s="1"/>
  <c r="K5629" i="14"/>
  <c r="L5629" i="14" s="1"/>
  <c r="I5630" i="14" s="1"/>
  <c r="N5794" i="13"/>
  <c r="J5793" i="13" a="1"/>
  <c r="J5793" i="13" s="1"/>
  <c r="J5792" i="14" a="1"/>
  <c r="J5792" i="14" s="1"/>
  <c r="N5793" i="14"/>
  <c r="M5796" i="13"/>
  <c r="M5797" i="14"/>
  <c r="K5630" i="14" l="1"/>
  <c r="L5630" i="14" s="1"/>
  <c r="I5631" i="14" s="1"/>
  <c r="K5608" i="13"/>
  <c r="L5608" i="13" s="1"/>
  <c r="I5609" i="13" s="1"/>
  <c r="M5798" i="14"/>
  <c r="J5793" i="14" a="1"/>
  <c r="J5793" i="14" s="1"/>
  <c r="N5794" i="14"/>
  <c r="M5797" i="13"/>
  <c r="J5794" i="13" a="1"/>
  <c r="J5794" i="13" s="1"/>
  <c r="N5795" i="13"/>
  <c r="K5609" i="13" l="1"/>
  <c r="L5609" i="13" s="1"/>
  <c r="I5610" i="13" s="1"/>
  <c r="K5631" i="14"/>
  <c r="L5631" i="14" s="1"/>
  <c r="I5632" i="14" s="1"/>
  <c r="N5795" i="14"/>
  <c r="J5794" i="14" a="1"/>
  <c r="J5794" i="14" s="1"/>
  <c r="J5795" i="13" a="1"/>
  <c r="J5795" i="13" s="1"/>
  <c r="N5796" i="13"/>
  <c r="M5798" i="13"/>
  <c r="M5799" i="14"/>
  <c r="K5632" i="14" l="1"/>
  <c r="L5632" i="14" s="1"/>
  <c r="I5633" i="14" s="1"/>
  <c r="K5610" i="13"/>
  <c r="L5610" i="13" s="1"/>
  <c r="I5611" i="13" s="1"/>
  <c r="M5800" i="14"/>
  <c r="J5796" i="13" a="1"/>
  <c r="J5796" i="13" s="1"/>
  <c r="N5797" i="13"/>
  <c r="M5799" i="13"/>
  <c r="J5795" i="14" a="1"/>
  <c r="J5795" i="14" s="1"/>
  <c r="N5796" i="14"/>
  <c r="K5611" i="13" l="1"/>
  <c r="L5611" i="13" s="1"/>
  <c r="I5612" i="13" s="1"/>
  <c r="K5633" i="14"/>
  <c r="L5633" i="14" s="1"/>
  <c r="I5634" i="14" s="1"/>
  <c r="J5796" i="14" a="1"/>
  <c r="J5796" i="14" s="1"/>
  <c r="N5797" i="14"/>
  <c r="N5798" i="13"/>
  <c r="J5797" i="13" a="1"/>
  <c r="J5797" i="13" s="1"/>
  <c r="M5800" i="13"/>
  <c r="M5801" i="14"/>
  <c r="K5634" i="14" l="1"/>
  <c r="L5634" i="14" s="1"/>
  <c r="I5635" i="14" s="1"/>
  <c r="K5612" i="13"/>
  <c r="L5612" i="13" s="1"/>
  <c r="I5613" i="13" s="1"/>
  <c r="M5802" i="14"/>
  <c r="J5798" i="13" a="1"/>
  <c r="J5798" i="13" s="1"/>
  <c r="N5799" i="13"/>
  <c r="J5797" i="14" a="1"/>
  <c r="J5797" i="14" s="1"/>
  <c r="N5798" i="14"/>
  <c r="M5801" i="13"/>
  <c r="K5635" i="14" l="1"/>
  <c r="L5635" i="14" s="1"/>
  <c r="I5636" i="14" s="1"/>
  <c r="J5799" i="13" a="1"/>
  <c r="J5799" i="13" s="1"/>
  <c r="N5800" i="13"/>
  <c r="N5799" i="14"/>
  <c r="J5798" i="14" a="1"/>
  <c r="J5798" i="14" s="1"/>
  <c r="M5802" i="13"/>
  <c r="K5613" i="13"/>
  <c r="L5613" i="13" s="1"/>
  <c r="I5614" i="13" s="1"/>
  <c r="M5803" i="14"/>
  <c r="K5636" i="14" l="1"/>
  <c r="L5636" i="14" s="1"/>
  <c r="I5637" i="14" s="1"/>
  <c r="J5800" i="13" a="1"/>
  <c r="J5800" i="13" s="1"/>
  <c r="N5801" i="13"/>
  <c r="M5804" i="14"/>
  <c r="M5803" i="13"/>
  <c r="K5614" i="13"/>
  <c r="L5614" i="13" s="1"/>
  <c r="I5615" i="13" s="1"/>
  <c r="J5799" i="14" a="1"/>
  <c r="J5799" i="14" s="1"/>
  <c r="N5800" i="14"/>
  <c r="K5615" i="13" l="1"/>
  <c r="L5615" i="13" s="1"/>
  <c r="I5616" i="13" s="1"/>
  <c r="K5637" i="14"/>
  <c r="L5637" i="14" s="1"/>
  <c r="I5638" i="14" s="1"/>
  <c r="J5800" i="14" a="1"/>
  <c r="J5800" i="14" s="1"/>
  <c r="N5801" i="14"/>
  <c r="N5802" i="13"/>
  <c r="J5801" i="13" a="1"/>
  <c r="J5801" i="13" s="1"/>
  <c r="M5804" i="13"/>
  <c r="M5805" i="14"/>
  <c r="K5616" i="13" l="1"/>
  <c r="L5616" i="13" s="1"/>
  <c r="I5617" i="13" s="1"/>
  <c r="M5806" i="14"/>
  <c r="K5638" i="14"/>
  <c r="L5638" i="14" s="1"/>
  <c r="I5639" i="14" s="1"/>
  <c r="J5801" i="14" a="1"/>
  <c r="J5801" i="14" s="1"/>
  <c r="N5802" i="14"/>
  <c r="J5802" i="13" a="1"/>
  <c r="J5802" i="13" s="1"/>
  <c r="N5803" i="13"/>
  <c r="M5805" i="13"/>
  <c r="K5639" i="14" l="1"/>
  <c r="L5639" i="14" s="1"/>
  <c r="I5640" i="14" s="1"/>
  <c r="K5617" i="13"/>
  <c r="L5617" i="13" s="1"/>
  <c r="I5618" i="13" s="1"/>
  <c r="J5803" i="13" a="1"/>
  <c r="J5803" i="13" s="1"/>
  <c r="N5804" i="13"/>
  <c r="N5803" i="14"/>
  <c r="J5802" i="14" a="1"/>
  <c r="J5802" i="14" s="1"/>
  <c r="M5806" i="13"/>
  <c r="M5807" i="14"/>
  <c r="K5618" i="13" l="1"/>
  <c r="L5618" i="13" s="1"/>
  <c r="I5619" i="13" s="1"/>
  <c r="K5640" i="14"/>
  <c r="L5640" i="14" s="1"/>
  <c r="I5641" i="14" s="1"/>
  <c r="J5803" i="14" a="1"/>
  <c r="J5803" i="14" s="1"/>
  <c r="N5804" i="14"/>
  <c r="M5808" i="14"/>
  <c r="J5804" i="13" a="1"/>
  <c r="J5804" i="13" s="1"/>
  <c r="N5805" i="13"/>
  <c r="M5807" i="13"/>
  <c r="K5619" i="13" l="1"/>
  <c r="L5619" i="13" s="1"/>
  <c r="I5620" i="13" s="1"/>
  <c r="N5806" i="13"/>
  <c r="J5805" i="13" a="1"/>
  <c r="J5805" i="13" s="1"/>
  <c r="M5809" i="14"/>
  <c r="M5808" i="13"/>
  <c r="K5641" i="14"/>
  <c r="L5641" i="14" s="1"/>
  <c r="I5642" i="14" s="1"/>
  <c r="J5804" i="14" a="1"/>
  <c r="J5804" i="14" s="1"/>
  <c r="N5805" i="14"/>
  <c r="K5642" i="14" l="1"/>
  <c r="L5642" i="14" s="1"/>
  <c r="I5643" i="14" s="1"/>
  <c r="K5620" i="13"/>
  <c r="L5620" i="13" s="1"/>
  <c r="I5621" i="13" s="1"/>
  <c r="J5806" i="13" a="1"/>
  <c r="J5806" i="13" s="1"/>
  <c r="N5807" i="13"/>
  <c r="J5805" i="14" a="1"/>
  <c r="J5805" i="14" s="1"/>
  <c r="N5806" i="14"/>
  <c r="M5809" i="13"/>
  <c r="M5810" i="14"/>
  <c r="K5643" i="14" l="1"/>
  <c r="L5643" i="14" s="1"/>
  <c r="I5644" i="14" s="1"/>
  <c r="N5807" i="14"/>
  <c r="J5806" i="14" a="1"/>
  <c r="J5806" i="14" s="1"/>
  <c r="K5621" i="13"/>
  <c r="L5621" i="13" s="1"/>
  <c r="I5622" i="13" s="1"/>
  <c r="J5807" i="13" a="1"/>
  <c r="J5807" i="13" s="1"/>
  <c r="N5808" i="13"/>
  <c r="M5811" i="14"/>
  <c r="M5810" i="13"/>
  <c r="K5622" i="13" l="1"/>
  <c r="L5622" i="13" s="1"/>
  <c r="I5623" i="13" s="1"/>
  <c r="K5644" i="14"/>
  <c r="L5644" i="14" s="1"/>
  <c r="I5645" i="14" s="1"/>
  <c r="J5808" i="13" a="1"/>
  <c r="J5808" i="13" s="1"/>
  <c r="N5809" i="13"/>
  <c r="M5811" i="13"/>
  <c r="J5807" i="14" a="1"/>
  <c r="J5807" i="14" s="1"/>
  <c r="N5808" i="14"/>
  <c r="M5812" i="14"/>
  <c r="K5645" i="14" l="1"/>
  <c r="L5645" i="14" s="1"/>
  <c r="I5646" i="14" s="1"/>
  <c r="K5623" i="13"/>
  <c r="L5623" i="13" s="1"/>
  <c r="I5624" i="13" s="1"/>
  <c r="J5808" i="14" a="1"/>
  <c r="J5808" i="14" s="1"/>
  <c r="N5809" i="14"/>
  <c r="M5813" i="14"/>
  <c r="M5812" i="13"/>
  <c r="N5810" i="13"/>
  <c r="J5809" i="13" a="1"/>
  <c r="J5809" i="13" s="1"/>
  <c r="K5624" i="13" l="1"/>
  <c r="L5624" i="13" s="1"/>
  <c r="I5625" i="13" s="1"/>
  <c r="M5814" i="14"/>
  <c r="J5810" i="13" a="1"/>
  <c r="J5810" i="13" s="1"/>
  <c r="N5811" i="13"/>
  <c r="M5813" i="13"/>
  <c r="N5810" i="14"/>
  <c r="J5809" i="14" a="1"/>
  <c r="J5809" i="14" s="1"/>
  <c r="K5646" i="14"/>
  <c r="L5646" i="14" s="1"/>
  <c r="I5647" i="14" s="1"/>
  <c r="K5625" i="13" l="1"/>
  <c r="L5625" i="13" s="1"/>
  <c r="I5626" i="13" s="1"/>
  <c r="K5647" i="14"/>
  <c r="L5647" i="14" s="1"/>
  <c r="I5648" i="14" s="1"/>
  <c r="M5814" i="13"/>
  <c r="M5815" i="14"/>
  <c r="J5811" i="13" a="1"/>
  <c r="J5811" i="13" s="1"/>
  <c r="N5812" i="13"/>
  <c r="N5811" i="14"/>
  <c r="J5810" i="14" a="1"/>
  <c r="J5810" i="14" s="1"/>
  <c r="K5648" i="14" l="1"/>
  <c r="L5648" i="14" s="1"/>
  <c r="I5649" i="14" s="1"/>
  <c r="K5626" i="13"/>
  <c r="L5626" i="13" s="1"/>
  <c r="I5627" i="13" s="1"/>
  <c r="J5811" i="14" a="1"/>
  <c r="J5811" i="14" s="1"/>
  <c r="N5812" i="14"/>
  <c r="M5816" i="14"/>
  <c r="J5812" i="13" a="1"/>
  <c r="J5812" i="13" s="1"/>
  <c r="N5813" i="13"/>
  <c r="M5815" i="13"/>
  <c r="M5817" i="14" l="1"/>
  <c r="K5627" i="13"/>
  <c r="L5627" i="13" s="1"/>
  <c r="I5628" i="13" s="1"/>
  <c r="M5816" i="13"/>
  <c r="N5814" i="13"/>
  <c r="J5813" i="13" a="1"/>
  <c r="J5813" i="13" s="1"/>
  <c r="J5812" i="14" a="1"/>
  <c r="J5812" i="14" s="1"/>
  <c r="N5813" i="14"/>
  <c r="K5649" i="14"/>
  <c r="L5649" i="14" s="1"/>
  <c r="I5650" i="14" s="1"/>
  <c r="K5650" i="14" l="1"/>
  <c r="L5650" i="14" s="1"/>
  <c r="I5651" i="14" s="1"/>
  <c r="K5628" i="13"/>
  <c r="L5628" i="13" s="1"/>
  <c r="I5629" i="13" s="1"/>
  <c r="J5813" i="14" a="1"/>
  <c r="J5813" i="14" s="1"/>
  <c r="N5814" i="14"/>
  <c r="M5817" i="13"/>
  <c r="M5818" i="14"/>
  <c r="J5814" i="13" a="1"/>
  <c r="J5814" i="13" s="1"/>
  <c r="N5815" i="13"/>
  <c r="K5629" i="13" l="1"/>
  <c r="L5629" i="13" s="1"/>
  <c r="I5630" i="13" s="1"/>
  <c r="K5651" i="14"/>
  <c r="L5651" i="14" s="1"/>
  <c r="I5652" i="14" s="1"/>
  <c r="J5815" i="13" a="1"/>
  <c r="J5815" i="13" s="1"/>
  <c r="N5816" i="13"/>
  <c r="M5818" i="13"/>
  <c r="N5815" i="14"/>
  <c r="J5814" i="14" a="1"/>
  <c r="J5814" i="14" s="1"/>
  <c r="M5819" i="14"/>
  <c r="K5630" i="13" l="1"/>
  <c r="L5630" i="13" s="1"/>
  <c r="I5631" i="13" s="1"/>
  <c r="M5820" i="14"/>
  <c r="M5819" i="13"/>
  <c r="K5652" i="14"/>
  <c r="L5652" i="14" s="1"/>
  <c r="I5653" i="14" s="1"/>
  <c r="J5816" i="13" a="1"/>
  <c r="J5816" i="13" s="1"/>
  <c r="N5817" i="13"/>
  <c r="J5815" i="14" a="1"/>
  <c r="J5815" i="14" s="1"/>
  <c r="N5816" i="14"/>
  <c r="K5631" i="13" l="1"/>
  <c r="L5631" i="13" s="1"/>
  <c r="I5632" i="13" s="1"/>
  <c r="J5816" i="14" a="1"/>
  <c r="J5816" i="14" s="1"/>
  <c r="N5817" i="14"/>
  <c r="K5653" i="14"/>
  <c r="L5653" i="14" s="1"/>
  <c r="I5654" i="14" s="1"/>
  <c r="M5821" i="14"/>
  <c r="N5818" i="13"/>
  <c r="J5817" i="13" a="1"/>
  <c r="J5817" i="13" s="1"/>
  <c r="M5820" i="13"/>
  <c r="K5654" i="14" l="1"/>
  <c r="L5654" i="14" s="1"/>
  <c r="I5655" i="14" s="1"/>
  <c r="K5632" i="13"/>
  <c r="L5632" i="13" s="1"/>
  <c r="I5633" i="13" s="1"/>
  <c r="M5821" i="13"/>
  <c r="M5822" i="14"/>
  <c r="N5818" i="14"/>
  <c r="J5817" i="14" a="1"/>
  <c r="J5817" i="14" s="1"/>
  <c r="J5818" i="13" a="1"/>
  <c r="J5818" i="13" s="1"/>
  <c r="N5819" i="13"/>
  <c r="K5633" i="13" l="1"/>
  <c r="L5633" i="13" s="1"/>
  <c r="I5634" i="13" s="1"/>
  <c r="K5655" i="14"/>
  <c r="L5655" i="14" s="1"/>
  <c r="I5656" i="14" s="1"/>
  <c r="J5819" i="13" a="1"/>
  <c r="J5819" i="13" s="1"/>
  <c r="N5820" i="13"/>
  <c r="M5823" i="14"/>
  <c r="N5819" i="14"/>
  <c r="J5818" i="14" a="1"/>
  <c r="J5818" i="14" s="1"/>
  <c r="M5822" i="13"/>
  <c r="K5656" i="14" l="1"/>
  <c r="L5656" i="14" s="1"/>
  <c r="I5657" i="14" s="1"/>
  <c r="K5634" i="13"/>
  <c r="L5634" i="13" s="1"/>
  <c r="I5635" i="13" s="1"/>
  <c r="M5823" i="13"/>
  <c r="M5824" i="14"/>
  <c r="J5820" i="13" a="1"/>
  <c r="J5820" i="13" s="1"/>
  <c r="N5821" i="13"/>
  <c r="J5819" i="14" a="1"/>
  <c r="J5819" i="14" s="1"/>
  <c r="N5820" i="14"/>
  <c r="K5657" i="14" l="1"/>
  <c r="L5657" i="14" s="1"/>
  <c r="I5658" i="14" s="1"/>
  <c r="J5820" i="14" a="1"/>
  <c r="J5820" i="14" s="1"/>
  <c r="N5821" i="14"/>
  <c r="M5825" i="14"/>
  <c r="K5635" i="13"/>
  <c r="L5635" i="13" s="1"/>
  <c r="I5636" i="13" s="1"/>
  <c r="N5822" i="13"/>
  <c r="J5821" i="13" a="1"/>
  <c r="J5821" i="13" s="1"/>
  <c r="M5824" i="13"/>
  <c r="K5658" i="14" l="1"/>
  <c r="L5658" i="14" s="1"/>
  <c r="I5659" i="14" s="1"/>
  <c r="K5636" i="13"/>
  <c r="L5636" i="13" s="1"/>
  <c r="I5637" i="13" s="1"/>
  <c r="M5825" i="13"/>
  <c r="N5822" i="14"/>
  <c r="J5821" i="14" a="1"/>
  <c r="J5821" i="14" s="1"/>
  <c r="M5826" i="14"/>
  <c r="J5822" i="13" a="1"/>
  <c r="J5822" i="13" s="1"/>
  <c r="N5823" i="13"/>
  <c r="K5637" i="13" l="1"/>
  <c r="L5637" i="13" s="1"/>
  <c r="I5638" i="13" s="1"/>
  <c r="K5659" i="14"/>
  <c r="L5659" i="14" s="1"/>
  <c r="I5660" i="14" s="1"/>
  <c r="J5823" i="13" a="1"/>
  <c r="J5823" i="13" s="1"/>
  <c r="N5824" i="13"/>
  <c r="N5823" i="14"/>
  <c r="J5822" i="14" a="1"/>
  <c r="J5822" i="14" s="1"/>
  <c r="M5827" i="14"/>
  <c r="M5826" i="13"/>
  <c r="K5660" i="14" l="1"/>
  <c r="L5660" i="14" s="1"/>
  <c r="I5661" i="14" s="1"/>
  <c r="K5638" i="13"/>
  <c r="L5638" i="13" s="1"/>
  <c r="I5639" i="13" s="1"/>
  <c r="J5823" i="14" a="1"/>
  <c r="J5823" i="14" s="1"/>
  <c r="N5824" i="14"/>
  <c r="J5824" i="13" a="1"/>
  <c r="J5824" i="13" s="1"/>
  <c r="N5825" i="13"/>
  <c r="M5827" i="13"/>
  <c r="M5828" i="14"/>
  <c r="K5639" i="13" l="1"/>
  <c r="L5639" i="13" s="1"/>
  <c r="I5640" i="13" s="1"/>
  <c r="K5661" i="14"/>
  <c r="L5661" i="14" s="1"/>
  <c r="I5662" i="14" s="1"/>
  <c r="N5826" i="13"/>
  <c r="J5825" i="13" a="1"/>
  <c r="J5825" i="13" s="1"/>
  <c r="M5829" i="14"/>
  <c r="J5824" i="14" a="1"/>
  <c r="J5824" i="14" s="1"/>
  <c r="N5825" i="14"/>
  <c r="M5828" i="13"/>
  <c r="K5662" i="14" l="1"/>
  <c r="L5662" i="14" s="1"/>
  <c r="I5663" i="14" s="1"/>
  <c r="K5640" i="13"/>
  <c r="L5640" i="13" s="1"/>
  <c r="I5641" i="13" s="1"/>
  <c r="N5826" i="14"/>
  <c r="J5825" i="14" a="1"/>
  <c r="J5825" i="14" s="1"/>
  <c r="M5829" i="13"/>
  <c r="M5830" i="14"/>
  <c r="J5826" i="13" a="1"/>
  <c r="J5826" i="13" s="1"/>
  <c r="N5827" i="13"/>
  <c r="K5641" i="13" l="1"/>
  <c r="L5641" i="13" s="1"/>
  <c r="I5642" i="13" s="1"/>
  <c r="K5663" i="14"/>
  <c r="L5663" i="14" s="1"/>
  <c r="I5664" i="14" s="1"/>
  <c r="J5827" i="13" a="1"/>
  <c r="J5827" i="13" s="1"/>
  <c r="N5828" i="13"/>
  <c r="M5830" i="13"/>
  <c r="M5831" i="14"/>
  <c r="N5827" i="14"/>
  <c r="J5826" i="14" a="1"/>
  <c r="J5826" i="14" s="1"/>
  <c r="K5664" i="14" l="1"/>
  <c r="L5664" i="14" s="1"/>
  <c r="I5665" i="14" s="1"/>
  <c r="K5642" i="13"/>
  <c r="L5642" i="13" s="1"/>
  <c r="I5643" i="13" s="1"/>
  <c r="J5827" i="14" a="1"/>
  <c r="J5827" i="14" s="1"/>
  <c r="N5828" i="14"/>
  <c r="M5831" i="13"/>
  <c r="J5828" i="13" a="1"/>
  <c r="J5828" i="13" s="1"/>
  <c r="N5829" i="13"/>
  <c r="M5832" i="14"/>
  <c r="K5643" i="13" l="1"/>
  <c r="L5643" i="13" s="1"/>
  <c r="I5644" i="13" s="1"/>
  <c r="K5665" i="14"/>
  <c r="L5665" i="14" s="1"/>
  <c r="I5666" i="14" s="1"/>
  <c r="M5833" i="14"/>
  <c r="N5830" i="13"/>
  <c r="J5829" i="13" a="1"/>
  <c r="J5829" i="13" s="1"/>
  <c r="M5832" i="13"/>
  <c r="J5828" i="14" a="1"/>
  <c r="J5828" i="14" s="1"/>
  <c r="N5829" i="14"/>
  <c r="K5666" i="14" l="1"/>
  <c r="L5666" i="14" s="1"/>
  <c r="I5667" i="14" s="1"/>
  <c r="K5644" i="13"/>
  <c r="L5644" i="13" s="1"/>
  <c r="I5645" i="13" s="1"/>
  <c r="J5830" i="13" a="1"/>
  <c r="J5830" i="13" s="1"/>
  <c r="N5831" i="13"/>
  <c r="J5829" i="14" a="1"/>
  <c r="J5829" i="14" s="1"/>
  <c r="N5830" i="14"/>
  <c r="M5833" i="13"/>
  <c r="M5834" i="14"/>
  <c r="K5645" i="13" l="1"/>
  <c r="L5645" i="13" s="1"/>
  <c r="I5646" i="13" s="1"/>
  <c r="K5667" i="14"/>
  <c r="L5667" i="14" s="1"/>
  <c r="I5668" i="14" s="1"/>
  <c r="N5831" i="14"/>
  <c r="J5830" i="14" a="1"/>
  <c r="J5830" i="14" s="1"/>
  <c r="J5831" i="13" a="1"/>
  <c r="J5831" i="13" s="1"/>
  <c r="N5832" i="13"/>
  <c r="M5835" i="14"/>
  <c r="M5834" i="13"/>
  <c r="K5668" i="14" l="1"/>
  <c r="L5668" i="14" s="1"/>
  <c r="I5669" i="14" s="1"/>
  <c r="K5646" i="13"/>
  <c r="L5646" i="13" s="1"/>
  <c r="I5647" i="13" s="1"/>
  <c r="J5832" i="13" a="1"/>
  <c r="J5832" i="13" s="1"/>
  <c r="N5833" i="13"/>
  <c r="M5835" i="13"/>
  <c r="M5836" i="14"/>
  <c r="J5831" i="14" a="1"/>
  <c r="J5831" i="14" s="1"/>
  <c r="N5832" i="14"/>
  <c r="K5647" i="13" l="1"/>
  <c r="L5647" i="13" s="1"/>
  <c r="I5648" i="13" s="1"/>
  <c r="K5669" i="14"/>
  <c r="L5669" i="14" s="1"/>
  <c r="I5670" i="14" s="1"/>
  <c r="J5832" i="14" a="1"/>
  <c r="J5832" i="14" s="1"/>
  <c r="N5833" i="14"/>
  <c r="M5836" i="13"/>
  <c r="N5834" i="13"/>
  <c r="J5833" i="13" a="1"/>
  <c r="J5833" i="13" s="1"/>
  <c r="M5837" i="14"/>
  <c r="K5670" i="14" l="1"/>
  <c r="L5670" i="14" s="1"/>
  <c r="I5671" i="14" s="1"/>
  <c r="K5648" i="13"/>
  <c r="L5648" i="13" s="1"/>
  <c r="I5649" i="13" s="1"/>
  <c r="M5838" i="14"/>
  <c r="M5837" i="13"/>
  <c r="J5834" i="13" a="1"/>
  <c r="J5834" i="13" s="1"/>
  <c r="N5835" i="13"/>
  <c r="N5834" i="14"/>
  <c r="J5833" i="14" a="1"/>
  <c r="J5833" i="14" s="1"/>
  <c r="K5649" i="13" l="1"/>
  <c r="L5649" i="13" s="1"/>
  <c r="I5650" i="13" s="1"/>
  <c r="K5671" i="14"/>
  <c r="L5671" i="14" s="1"/>
  <c r="I5672" i="14" s="1"/>
  <c r="N5835" i="14"/>
  <c r="J5834" i="14" a="1"/>
  <c r="J5834" i="14" s="1"/>
  <c r="M5838" i="13"/>
  <c r="J5835" i="13" a="1"/>
  <c r="J5835" i="13" s="1"/>
  <c r="N5836" i="13"/>
  <c r="M5839" i="14"/>
  <c r="K5672" i="14" l="1"/>
  <c r="L5672" i="14" s="1"/>
  <c r="I5673" i="14" s="1"/>
  <c r="K5650" i="13"/>
  <c r="L5650" i="13" s="1"/>
  <c r="I5651" i="13" s="1"/>
  <c r="J5836" i="13" a="1"/>
  <c r="J5836" i="13" s="1"/>
  <c r="N5837" i="13"/>
  <c r="M5840" i="14"/>
  <c r="M5839" i="13"/>
  <c r="J5835" i="14" a="1"/>
  <c r="J5835" i="14" s="1"/>
  <c r="N5836" i="14"/>
  <c r="K5651" i="13" l="1"/>
  <c r="L5651" i="13" s="1"/>
  <c r="I5652" i="13" s="1"/>
  <c r="K5673" i="14"/>
  <c r="L5673" i="14" s="1"/>
  <c r="I5674" i="14" s="1"/>
  <c r="J5836" i="14" a="1"/>
  <c r="J5836" i="14" s="1"/>
  <c r="N5837" i="14"/>
  <c r="M5841" i="14"/>
  <c r="N5838" i="13"/>
  <c r="J5837" i="13" a="1"/>
  <c r="J5837" i="13" s="1"/>
  <c r="M5840" i="13"/>
  <c r="K5674" i="14" l="1"/>
  <c r="L5674" i="14" s="1"/>
  <c r="I5675" i="14" s="1"/>
  <c r="K5652" i="13"/>
  <c r="L5652" i="13" s="1"/>
  <c r="I5653" i="13" s="1"/>
  <c r="J5838" i="13" a="1"/>
  <c r="J5838" i="13" s="1"/>
  <c r="N5839" i="13"/>
  <c r="M5841" i="13"/>
  <c r="M5842" i="14"/>
  <c r="N5838" i="14"/>
  <c r="J5837" i="14" a="1"/>
  <c r="J5837" i="14" s="1"/>
  <c r="K5653" i="13" l="1"/>
  <c r="L5653" i="13" s="1"/>
  <c r="I5654" i="13" s="1"/>
  <c r="K5675" i="14"/>
  <c r="L5675" i="14" s="1"/>
  <c r="I5676" i="14" s="1"/>
  <c r="N5839" i="14"/>
  <c r="J5838" i="14" a="1"/>
  <c r="J5838" i="14" s="1"/>
  <c r="M5842" i="13"/>
  <c r="J5839" i="13" a="1"/>
  <c r="J5839" i="13" s="1"/>
  <c r="N5840" i="13"/>
  <c r="M5843" i="14"/>
  <c r="K5676" i="14" l="1"/>
  <c r="L5676" i="14" s="1"/>
  <c r="I5677" i="14" s="1"/>
  <c r="K5654" i="13"/>
  <c r="L5654" i="13" s="1"/>
  <c r="I5655" i="13" s="1"/>
  <c r="J5840" i="13" a="1"/>
  <c r="J5840" i="13" s="1"/>
  <c r="N5841" i="13"/>
  <c r="M5844" i="14"/>
  <c r="M5843" i="13"/>
  <c r="J5839" i="14" a="1"/>
  <c r="J5839" i="14" s="1"/>
  <c r="N5840" i="14"/>
  <c r="K5655" i="13" l="1"/>
  <c r="L5655" i="13" s="1"/>
  <c r="I5656" i="13" s="1"/>
  <c r="K5677" i="14"/>
  <c r="L5677" i="14" s="1"/>
  <c r="I5678" i="14" s="1"/>
  <c r="N5841" i="14"/>
  <c r="J5840" i="14" a="1"/>
  <c r="J5840" i="14" s="1"/>
  <c r="M5845" i="14"/>
  <c r="N5842" i="13"/>
  <c r="J5841" i="13" a="1"/>
  <c r="J5841" i="13" s="1"/>
  <c r="M5844" i="13"/>
  <c r="K5678" i="14" l="1"/>
  <c r="L5678" i="14" s="1"/>
  <c r="I5679" i="14" s="1"/>
  <c r="K5656" i="13"/>
  <c r="L5656" i="13" s="1"/>
  <c r="I5657" i="13" s="1"/>
  <c r="M5845" i="13"/>
  <c r="M5846" i="14"/>
  <c r="J5842" i="13" a="1"/>
  <c r="J5842" i="13" s="1"/>
  <c r="N5843" i="13"/>
  <c r="N5842" i="14"/>
  <c r="J5841" i="14" a="1"/>
  <c r="J5841" i="14" s="1"/>
  <c r="K5657" i="13" l="1"/>
  <c r="L5657" i="13" s="1"/>
  <c r="I5658" i="13" s="1"/>
  <c r="K5679" i="14"/>
  <c r="L5679" i="14" s="1"/>
  <c r="I5680" i="14" s="1"/>
  <c r="J5842" i="14" a="1"/>
  <c r="J5842" i="14" s="1"/>
  <c r="N5843" i="14"/>
  <c r="M5847" i="14"/>
  <c r="J5843" i="13" a="1"/>
  <c r="J5843" i="13" s="1"/>
  <c r="N5844" i="13"/>
  <c r="M5846" i="13"/>
  <c r="K5680" i="14" l="1"/>
  <c r="L5680" i="14" s="1"/>
  <c r="I5681" i="14" s="1"/>
  <c r="K5658" i="13"/>
  <c r="L5658" i="13" s="1"/>
  <c r="I5659" i="13" s="1"/>
  <c r="J5844" i="13" a="1"/>
  <c r="J5844" i="13" s="1"/>
  <c r="N5845" i="13"/>
  <c r="M5848" i="14"/>
  <c r="M5847" i="13"/>
  <c r="N5844" i="14"/>
  <c r="J5843" i="14" a="1"/>
  <c r="J5843" i="14" s="1"/>
  <c r="K5659" i="13" l="1"/>
  <c r="L5659" i="13" s="1"/>
  <c r="I5660" i="13" s="1"/>
  <c r="K5681" i="14"/>
  <c r="L5681" i="14" s="1"/>
  <c r="I5682" i="14" s="1"/>
  <c r="M5849" i="14"/>
  <c r="N5845" i="14"/>
  <c r="J5844" i="14" a="1"/>
  <c r="J5844" i="14" s="1"/>
  <c r="N5846" i="13"/>
  <c r="J5845" i="13" a="1"/>
  <c r="J5845" i="13" s="1"/>
  <c r="M5848" i="13"/>
  <c r="K5682" i="14" l="1"/>
  <c r="L5682" i="14" s="1"/>
  <c r="I5683" i="14" s="1"/>
  <c r="K5660" i="13"/>
  <c r="L5660" i="13" s="1"/>
  <c r="I5661" i="13" s="1"/>
  <c r="M5849" i="13"/>
  <c r="N5846" i="14"/>
  <c r="J5845" i="14" a="1"/>
  <c r="J5845" i="14" s="1"/>
  <c r="J5846" i="13" a="1"/>
  <c r="J5846" i="13" s="1"/>
  <c r="N5847" i="13"/>
  <c r="M5850" i="14"/>
  <c r="K5661" i="13" l="1"/>
  <c r="L5661" i="13" s="1"/>
  <c r="I5662" i="13" s="1"/>
  <c r="K5683" i="14"/>
  <c r="L5683" i="14" s="1"/>
  <c r="I5684" i="14" s="1"/>
  <c r="J5846" i="14" a="1"/>
  <c r="J5846" i="14" s="1"/>
  <c r="N5847" i="14"/>
  <c r="J5847" i="13" a="1"/>
  <c r="J5847" i="13" s="1"/>
  <c r="N5848" i="13"/>
  <c r="M5851" i="14"/>
  <c r="M5850" i="13"/>
  <c r="K5684" i="14" l="1"/>
  <c r="L5684" i="14" s="1"/>
  <c r="I5685" i="14" s="1"/>
  <c r="K5662" i="13"/>
  <c r="L5662" i="13" s="1"/>
  <c r="I5663" i="13" s="1"/>
  <c r="J5848" i="13" a="1"/>
  <c r="J5848" i="13" s="1"/>
  <c r="N5849" i="13"/>
  <c r="N5848" i="14"/>
  <c r="J5847" i="14" a="1"/>
  <c r="J5847" i="14" s="1"/>
  <c r="M5851" i="13"/>
  <c r="M5852" i="14"/>
  <c r="K5663" i="13" l="1"/>
  <c r="L5663" i="13" s="1"/>
  <c r="I5664" i="13" s="1"/>
  <c r="K5685" i="14"/>
  <c r="L5685" i="14" s="1"/>
  <c r="I5686" i="14" s="1"/>
  <c r="N5849" i="14"/>
  <c r="J5848" i="14" a="1"/>
  <c r="J5848" i="14" s="1"/>
  <c r="M5853" i="14"/>
  <c r="N5850" i="13"/>
  <c r="J5849" i="13" a="1"/>
  <c r="J5849" i="13" s="1"/>
  <c r="M5852" i="13"/>
  <c r="K5686" i="14" l="1"/>
  <c r="L5686" i="14" s="1"/>
  <c r="I5687" i="14" s="1"/>
  <c r="K5664" i="13"/>
  <c r="L5664" i="13" s="1"/>
  <c r="I5665" i="13" s="1"/>
  <c r="M5853" i="13"/>
  <c r="M5854" i="14"/>
  <c r="J5850" i="13" a="1"/>
  <c r="J5850" i="13" s="1"/>
  <c r="N5851" i="13"/>
  <c r="N5850" i="14"/>
  <c r="J5849" i="14" a="1"/>
  <c r="J5849" i="14" s="1"/>
  <c r="K5665" i="13" l="1"/>
  <c r="L5665" i="13" s="1"/>
  <c r="I5666" i="13" s="1"/>
  <c r="K5687" i="14"/>
  <c r="L5687" i="14" s="1"/>
  <c r="I5688" i="14" s="1"/>
  <c r="M5855" i="14"/>
  <c r="J5850" i="14" a="1"/>
  <c r="J5850" i="14" s="1"/>
  <c r="N5851" i="14"/>
  <c r="J5851" i="13" a="1"/>
  <c r="J5851" i="13" s="1"/>
  <c r="N5852" i="13"/>
  <c r="M5854" i="13"/>
  <c r="K5688" i="14" l="1"/>
  <c r="L5688" i="14" s="1"/>
  <c r="I5689" i="14" s="1"/>
  <c r="K5666" i="13"/>
  <c r="L5666" i="13" s="1"/>
  <c r="I5667" i="13" s="1"/>
  <c r="N5852" i="14"/>
  <c r="J5851" i="14" a="1"/>
  <c r="J5851" i="14" s="1"/>
  <c r="J5852" i="13" a="1"/>
  <c r="J5852" i="13" s="1"/>
  <c r="N5853" i="13"/>
  <c r="M5855" i="13"/>
  <c r="M5856" i="14"/>
  <c r="K5667" i="13" l="1"/>
  <c r="L5667" i="13" s="1"/>
  <c r="I5668" i="13" s="1"/>
  <c r="K5689" i="14"/>
  <c r="L5689" i="14" s="1"/>
  <c r="I5690" i="14" s="1"/>
  <c r="M5857" i="14"/>
  <c r="N5854" i="13"/>
  <c r="J5853" i="13" a="1"/>
  <c r="J5853" i="13" s="1"/>
  <c r="M5856" i="13"/>
  <c r="N5853" i="14"/>
  <c r="J5852" i="14" a="1"/>
  <c r="J5852" i="14" s="1"/>
  <c r="K5690" i="14" l="1"/>
  <c r="L5690" i="14" s="1"/>
  <c r="I5691" i="14" s="1"/>
  <c r="K5668" i="13"/>
  <c r="L5668" i="13" s="1"/>
  <c r="I5669" i="13" s="1"/>
  <c r="N5854" i="14"/>
  <c r="J5853" i="14" a="1"/>
  <c r="J5853" i="14" s="1"/>
  <c r="J5854" i="13" a="1"/>
  <c r="J5854" i="13" s="1"/>
  <c r="N5855" i="13"/>
  <c r="M5857" i="13"/>
  <c r="M5858" i="14"/>
  <c r="K5669" i="13" l="1"/>
  <c r="L5669" i="13" s="1"/>
  <c r="I5670" i="13" s="1"/>
  <c r="K5691" i="14"/>
  <c r="L5691" i="14" s="1"/>
  <c r="I5692" i="14" s="1"/>
  <c r="J5855" i="13" a="1"/>
  <c r="J5855" i="13" s="1"/>
  <c r="N5856" i="13"/>
  <c r="M5859" i="14"/>
  <c r="M5858" i="13"/>
  <c r="J5854" i="14" a="1"/>
  <c r="J5854" i="14" s="1"/>
  <c r="N5855" i="14"/>
  <c r="K5692" i="14" l="1"/>
  <c r="L5692" i="14" s="1"/>
  <c r="I5693" i="14" s="1"/>
  <c r="K5670" i="13"/>
  <c r="L5670" i="13" s="1"/>
  <c r="I5671" i="13" s="1"/>
  <c r="M5860" i="14"/>
  <c r="J5856" i="13" a="1"/>
  <c r="J5856" i="13" s="1"/>
  <c r="N5857" i="13"/>
  <c r="N5856" i="14"/>
  <c r="J5855" i="14" a="1"/>
  <c r="J5855" i="14" s="1"/>
  <c r="M5859" i="13"/>
  <c r="K5671" i="13" l="1"/>
  <c r="L5671" i="13" s="1"/>
  <c r="I5672" i="13" s="1"/>
  <c r="K5693" i="14"/>
  <c r="L5693" i="14" s="1"/>
  <c r="I5694" i="14" s="1"/>
  <c r="N5858" i="13"/>
  <c r="J5857" i="13" a="1"/>
  <c r="J5857" i="13" s="1"/>
  <c r="M5860" i="13"/>
  <c r="M5861" i="14"/>
  <c r="N5857" i="14"/>
  <c r="J5856" i="14" a="1"/>
  <c r="J5856" i="14" s="1"/>
  <c r="K5694" i="14" l="1"/>
  <c r="L5694" i="14" s="1"/>
  <c r="I5695" i="14" s="1"/>
  <c r="K5672" i="13"/>
  <c r="L5672" i="13" s="1"/>
  <c r="I5673" i="13" s="1"/>
  <c r="M5861" i="13"/>
  <c r="N5858" i="14"/>
  <c r="J5857" i="14" a="1"/>
  <c r="J5857" i="14" s="1"/>
  <c r="M5862" i="14"/>
  <c r="J5858" i="13" a="1"/>
  <c r="J5858" i="13" s="1"/>
  <c r="N5859" i="13"/>
  <c r="K5673" i="13" l="1"/>
  <c r="L5673" i="13" s="1"/>
  <c r="I5674" i="13" s="1"/>
  <c r="K5695" i="14"/>
  <c r="L5695" i="14" s="1"/>
  <c r="I5696" i="14" s="1"/>
  <c r="J5859" i="13" a="1"/>
  <c r="J5859" i="13" s="1"/>
  <c r="N5860" i="13"/>
  <c r="J5858" i="14" a="1"/>
  <c r="J5858" i="14" s="1"/>
  <c r="N5859" i="14"/>
  <c r="M5863" i="14"/>
  <c r="M5862" i="13"/>
  <c r="K5696" i="14" l="1"/>
  <c r="L5696" i="14" s="1"/>
  <c r="I5697" i="14" s="1"/>
  <c r="K5674" i="13"/>
  <c r="L5674" i="13" s="1"/>
  <c r="I5675" i="13" s="1"/>
  <c r="N5860" i="14"/>
  <c r="J5859" i="14" a="1"/>
  <c r="J5859" i="14" s="1"/>
  <c r="M5863" i="13"/>
  <c r="M5864" i="14"/>
  <c r="J5860" i="13" a="1"/>
  <c r="J5860" i="13" s="1"/>
  <c r="N5861" i="13"/>
  <c r="K5675" i="13" l="1"/>
  <c r="L5675" i="13" s="1"/>
  <c r="I5676" i="13" s="1"/>
  <c r="K5697" i="14"/>
  <c r="L5697" i="14" s="1"/>
  <c r="I5698" i="14" s="1"/>
  <c r="M5864" i="13"/>
  <c r="N5862" i="13"/>
  <c r="J5861" i="13" a="1"/>
  <c r="J5861" i="13" s="1"/>
  <c r="M5865" i="14"/>
  <c r="N5861" i="14"/>
  <c r="J5860" i="14" a="1"/>
  <c r="J5860" i="14" s="1"/>
  <c r="K5698" i="14" l="1"/>
  <c r="L5698" i="14" s="1"/>
  <c r="I5699" i="14" s="1"/>
  <c r="K5676" i="13"/>
  <c r="L5676" i="13" s="1"/>
  <c r="I5677" i="13" s="1"/>
  <c r="N5862" i="14"/>
  <c r="J5861" i="14" a="1"/>
  <c r="J5861" i="14" s="1"/>
  <c r="M5865" i="13"/>
  <c r="J5862" i="13" a="1"/>
  <c r="J5862" i="13" s="1"/>
  <c r="N5863" i="13"/>
  <c r="M5866" i="14"/>
  <c r="K5677" i="13" l="1"/>
  <c r="L5677" i="13" s="1"/>
  <c r="I5678" i="13" s="1"/>
  <c r="K5699" i="14"/>
  <c r="L5699" i="14" s="1"/>
  <c r="I5700" i="14" s="1"/>
  <c r="M5867" i="14"/>
  <c r="M5866" i="13"/>
  <c r="J5863" i="13" a="1"/>
  <c r="J5863" i="13" s="1"/>
  <c r="N5864" i="13"/>
  <c r="J5862" i="14" a="1"/>
  <c r="J5862" i="14" s="1"/>
  <c r="N5863" i="14"/>
  <c r="K5700" i="14" l="1"/>
  <c r="L5700" i="14" s="1"/>
  <c r="I5701" i="14" s="1"/>
  <c r="K5678" i="13"/>
  <c r="L5678" i="13" s="1"/>
  <c r="I5679" i="13" s="1"/>
  <c r="N5864" i="14"/>
  <c r="J5863" i="14" a="1"/>
  <c r="J5863" i="14" s="1"/>
  <c r="M5867" i="13"/>
  <c r="J5864" i="13" a="1"/>
  <c r="J5864" i="13" s="1"/>
  <c r="N5865" i="13"/>
  <c r="M5868" i="14"/>
  <c r="K5679" i="13" l="1"/>
  <c r="L5679" i="13" s="1"/>
  <c r="I5680" i="13" s="1"/>
  <c r="K5701" i="14"/>
  <c r="L5701" i="14" s="1"/>
  <c r="I5702" i="14" s="1"/>
  <c r="M5869" i="14"/>
  <c r="M5868" i="13"/>
  <c r="N5866" i="13"/>
  <c r="J5865" i="13" a="1"/>
  <c r="J5865" i="13" s="1"/>
  <c r="J5864" i="14" a="1"/>
  <c r="J5864" i="14" s="1"/>
  <c r="N5865" i="14"/>
  <c r="K5702" i="14" l="1"/>
  <c r="L5702" i="14" s="1"/>
  <c r="I5703" i="14" s="1"/>
  <c r="K5680" i="13"/>
  <c r="L5680" i="13" s="1"/>
  <c r="I5681" i="13" s="1"/>
  <c r="M5869" i="13"/>
  <c r="N5866" i="14"/>
  <c r="J5865" i="14" a="1"/>
  <c r="J5865" i="14" s="1"/>
  <c r="J5866" i="13" a="1"/>
  <c r="J5866" i="13" s="1"/>
  <c r="N5867" i="13"/>
  <c r="M5870" i="14"/>
  <c r="K5681" i="13" l="1"/>
  <c r="L5681" i="13" s="1"/>
  <c r="I5682" i="13" s="1"/>
  <c r="K5703" i="14"/>
  <c r="L5703" i="14" s="1"/>
  <c r="I5704" i="14" s="1"/>
  <c r="J5866" i="14" a="1"/>
  <c r="J5866" i="14" s="1"/>
  <c r="N5867" i="14"/>
  <c r="J5867" i="13" a="1"/>
  <c r="J5867" i="13" s="1"/>
  <c r="N5868" i="13"/>
  <c r="M5871" i="14"/>
  <c r="M5870" i="13"/>
  <c r="K5704" i="14" l="1"/>
  <c r="L5704" i="14" s="1"/>
  <c r="I5705" i="14" s="1"/>
  <c r="K5682" i="13"/>
  <c r="L5682" i="13" s="1"/>
  <c r="I5683" i="13" s="1"/>
  <c r="J5868" i="13" a="1"/>
  <c r="J5868" i="13" s="1"/>
  <c r="N5869" i="13"/>
  <c r="J5867" i="14" a="1"/>
  <c r="J5867" i="14" s="1"/>
  <c r="N5868" i="14"/>
  <c r="M5871" i="13"/>
  <c r="M5872" i="14"/>
  <c r="K5683" i="13" l="1"/>
  <c r="L5683" i="13" s="1"/>
  <c r="I5684" i="13" s="1"/>
  <c r="K5705" i="14"/>
  <c r="L5705" i="14" s="1"/>
  <c r="I5706" i="14" s="1"/>
  <c r="J5868" i="14" a="1"/>
  <c r="J5868" i="14" s="1"/>
  <c r="N5869" i="14"/>
  <c r="M5873" i="14"/>
  <c r="N5870" i="13"/>
  <c r="J5869" i="13" a="1"/>
  <c r="J5869" i="13" s="1"/>
  <c r="M5872" i="13"/>
  <c r="K5706" i="14" l="1"/>
  <c r="L5706" i="14" s="1"/>
  <c r="I5707" i="14" s="1"/>
  <c r="K5684" i="13"/>
  <c r="L5684" i="13" s="1"/>
  <c r="I5685" i="13" s="1"/>
  <c r="M5873" i="13"/>
  <c r="M5874" i="14"/>
  <c r="N5870" i="14"/>
  <c r="J5869" i="14" a="1"/>
  <c r="J5869" i="14" s="1"/>
  <c r="J5870" i="13" a="1"/>
  <c r="J5870" i="13" s="1"/>
  <c r="N5871" i="13"/>
  <c r="K5685" i="13" l="1"/>
  <c r="L5685" i="13" s="1"/>
  <c r="I5686" i="13" s="1"/>
  <c r="K5707" i="14"/>
  <c r="L5707" i="14" s="1"/>
  <c r="I5708" i="14" s="1"/>
  <c r="J5871" i="13" a="1"/>
  <c r="J5871" i="13" s="1"/>
  <c r="N5872" i="13"/>
  <c r="M5875" i="14"/>
  <c r="J5870" i="14" a="1"/>
  <c r="J5870" i="14" s="1"/>
  <c r="N5871" i="14"/>
  <c r="M5874" i="13"/>
  <c r="K5708" i="14" l="1"/>
  <c r="L5708" i="14" s="1"/>
  <c r="I5709" i="14" s="1"/>
  <c r="K5686" i="13"/>
  <c r="L5686" i="13" s="1"/>
  <c r="I5687" i="13" s="1"/>
  <c r="M5875" i="13"/>
  <c r="M5876" i="14"/>
  <c r="J5871" i="14" a="1"/>
  <c r="J5871" i="14" s="1"/>
  <c r="N5872" i="14"/>
  <c r="J5872" i="13" a="1"/>
  <c r="J5872" i="13" s="1"/>
  <c r="N5873" i="13"/>
  <c r="K5687" i="13" l="1"/>
  <c r="L5687" i="13" s="1"/>
  <c r="I5688" i="13" s="1"/>
  <c r="K5709" i="14"/>
  <c r="L5709" i="14" s="1"/>
  <c r="I5710" i="14" s="1"/>
  <c r="N5874" i="13"/>
  <c r="J5873" i="13" a="1"/>
  <c r="J5873" i="13" s="1"/>
  <c r="M5877" i="14"/>
  <c r="N5873" i="14"/>
  <c r="J5872" i="14" a="1"/>
  <c r="J5872" i="14" s="1"/>
  <c r="M5876" i="13"/>
  <c r="K5710" i="14" l="1"/>
  <c r="L5710" i="14" s="1"/>
  <c r="I5711" i="14" s="1"/>
  <c r="K5688" i="13"/>
  <c r="L5688" i="13" s="1"/>
  <c r="I5689" i="13" s="1"/>
  <c r="M5877" i="13"/>
  <c r="M5878" i="14"/>
  <c r="N5874" i="14"/>
  <c r="J5873" i="14" a="1"/>
  <c r="J5873" i="14" s="1"/>
  <c r="J5874" i="13" a="1"/>
  <c r="J5874" i="13" s="1"/>
  <c r="N5875" i="13"/>
  <c r="K5689" i="13" l="1"/>
  <c r="L5689" i="13" s="1"/>
  <c r="I5690" i="13" s="1"/>
  <c r="K5711" i="14"/>
  <c r="L5711" i="14" s="1"/>
  <c r="I5712" i="14" s="1"/>
  <c r="J5875" i="13" a="1"/>
  <c r="J5875" i="13" s="1"/>
  <c r="N5876" i="13"/>
  <c r="M5879" i="14"/>
  <c r="J5874" i="14" a="1"/>
  <c r="J5874" i="14" s="1"/>
  <c r="N5875" i="14"/>
  <c r="M5878" i="13"/>
  <c r="K5712" i="14" l="1"/>
  <c r="L5712" i="14" s="1"/>
  <c r="I5713" i="14" s="1"/>
  <c r="K5690" i="13"/>
  <c r="L5690" i="13" s="1"/>
  <c r="I5691" i="13" s="1"/>
  <c r="M5880" i="14"/>
  <c r="M5879" i="13"/>
  <c r="N5876" i="14"/>
  <c r="J5875" i="14" a="1"/>
  <c r="J5875" i="14" s="1"/>
  <c r="J5876" i="13" a="1"/>
  <c r="J5876" i="13" s="1"/>
  <c r="N5877" i="13"/>
  <c r="K5691" i="13" l="1"/>
  <c r="L5691" i="13" s="1"/>
  <c r="I5692" i="13" s="1"/>
  <c r="K5713" i="14"/>
  <c r="L5713" i="14" s="1"/>
  <c r="I5714" i="14" s="1"/>
  <c r="N5878" i="13"/>
  <c r="J5877" i="13" a="1"/>
  <c r="J5877" i="13" s="1"/>
  <c r="M5880" i="13"/>
  <c r="M5881" i="14"/>
  <c r="N5877" i="14"/>
  <c r="J5876" i="14" a="1"/>
  <c r="J5876" i="14" s="1"/>
  <c r="K5714" i="14" l="1"/>
  <c r="L5714" i="14" s="1"/>
  <c r="I5715" i="14" s="1"/>
  <c r="K5692" i="13"/>
  <c r="L5692" i="13" s="1"/>
  <c r="I5693" i="13" s="1"/>
  <c r="N5878" i="14"/>
  <c r="J5877" i="14" a="1"/>
  <c r="J5877" i="14" s="1"/>
  <c r="M5881" i="13"/>
  <c r="M5882" i="14"/>
  <c r="J5878" i="13" a="1"/>
  <c r="J5878" i="13" s="1"/>
  <c r="N5879" i="13"/>
  <c r="K5693" i="13" l="1"/>
  <c r="L5693" i="13" s="1"/>
  <c r="I5694" i="13" s="1"/>
  <c r="K5715" i="14"/>
  <c r="L5715" i="14" s="1"/>
  <c r="I5716" i="14" s="1"/>
  <c r="M5882" i="13"/>
  <c r="J5879" i="13" a="1"/>
  <c r="J5879" i="13" s="1"/>
  <c r="N5880" i="13"/>
  <c r="M5883" i="14"/>
  <c r="J5878" i="14" a="1"/>
  <c r="J5878" i="14" s="1"/>
  <c r="N5879" i="14"/>
  <c r="K5716" i="14" l="1"/>
  <c r="L5716" i="14" s="1"/>
  <c r="I5717" i="14" s="1"/>
  <c r="K5694" i="13"/>
  <c r="L5694" i="13" s="1"/>
  <c r="I5695" i="13" s="1"/>
  <c r="N5880" i="14"/>
  <c r="J5879" i="14" a="1"/>
  <c r="J5879" i="14" s="1"/>
  <c r="J5880" i="13" a="1"/>
  <c r="J5880" i="13" s="1"/>
  <c r="N5881" i="13"/>
  <c r="M5884" i="14"/>
  <c r="M5883" i="13"/>
  <c r="K5695" i="13" l="1"/>
  <c r="L5695" i="13" s="1"/>
  <c r="I5696" i="13" s="1"/>
  <c r="K5717" i="14"/>
  <c r="L5717" i="14" s="1"/>
  <c r="I5718" i="14" s="1"/>
  <c r="N5882" i="13"/>
  <c r="J5881" i="13" a="1"/>
  <c r="J5881" i="13" s="1"/>
  <c r="M5885" i="14"/>
  <c r="M5884" i="13"/>
  <c r="N5881" i="14"/>
  <c r="J5880" i="14" a="1"/>
  <c r="J5880" i="14" s="1"/>
  <c r="K5718" i="14" l="1"/>
  <c r="L5718" i="14" s="1"/>
  <c r="I5719" i="14" s="1"/>
  <c r="K5696" i="13"/>
  <c r="L5696" i="13" s="1"/>
  <c r="I5697" i="13" s="1"/>
  <c r="N5882" i="14"/>
  <c r="J5881" i="14" a="1"/>
  <c r="J5881" i="14" s="1"/>
  <c r="M5886" i="14"/>
  <c r="M5885" i="13"/>
  <c r="J5882" i="13" a="1"/>
  <c r="J5882" i="13" s="1"/>
  <c r="N5883" i="13"/>
  <c r="K5697" i="13" l="1"/>
  <c r="L5697" i="13" s="1"/>
  <c r="I5698" i="13" s="1"/>
  <c r="K5719" i="14"/>
  <c r="L5719" i="14" s="1"/>
  <c r="I5720" i="14" s="1"/>
  <c r="M5887" i="14"/>
  <c r="J5883" i="13" a="1"/>
  <c r="J5883" i="13" s="1"/>
  <c r="N5884" i="13"/>
  <c r="M5886" i="13"/>
  <c r="J5882" i="14" a="1"/>
  <c r="J5882" i="14" s="1"/>
  <c r="N5883" i="14"/>
  <c r="K5720" i="14" l="1"/>
  <c r="L5720" i="14" s="1"/>
  <c r="I5721" i="14" s="1"/>
  <c r="K5698" i="13"/>
  <c r="L5698" i="13" s="1"/>
  <c r="I5699" i="13" s="1"/>
  <c r="N5884" i="14"/>
  <c r="J5883" i="14" a="1"/>
  <c r="J5883" i="14" s="1"/>
  <c r="J5884" i="13" a="1"/>
  <c r="J5884" i="13" s="1"/>
  <c r="N5885" i="13"/>
  <c r="M5887" i="13"/>
  <c r="M5888" i="14"/>
  <c r="K5699" i="13" l="1"/>
  <c r="L5699" i="13" s="1"/>
  <c r="I5700" i="13" s="1"/>
  <c r="K5721" i="14"/>
  <c r="L5721" i="14" s="1"/>
  <c r="I5722" i="14" s="1"/>
  <c r="N5886" i="13"/>
  <c r="J5885" i="13" a="1"/>
  <c r="J5885" i="13" s="1"/>
  <c r="M5889" i="14"/>
  <c r="M5888" i="13"/>
  <c r="N5885" i="14"/>
  <c r="J5884" i="14" a="1"/>
  <c r="J5884" i="14" s="1"/>
  <c r="K5722" i="14" l="1"/>
  <c r="L5722" i="14" s="1"/>
  <c r="I5723" i="14" s="1"/>
  <c r="K5700" i="13"/>
  <c r="L5700" i="13" s="1"/>
  <c r="I5701" i="13" s="1"/>
  <c r="N5886" i="14"/>
  <c r="J5885" i="14" a="1"/>
  <c r="J5885" i="14" s="1"/>
  <c r="M5890" i="14"/>
  <c r="M5889" i="13"/>
  <c r="J5886" i="13" a="1"/>
  <c r="J5886" i="13" s="1"/>
  <c r="N5887" i="13"/>
  <c r="K5701" i="13" l="1"/>
  <c r="L5701" i="13" s="1"/>
  <c r="I5702" i="13" s="1"/>
  <c r="K5723" i="14"/>
  <c r="L5723" i="14" s="1"/>
  <c r="I5724" i="14" s="1"/>
  <c r="M5891" i="14"/>
  <c r="J5887" i="13" a="1"/>
  <c r="J5887" i="13" s="1"/>
  <c r="N5888" i="13"/>
  <c r="M5890" i="13"/>
  <c r="J5886" i="14" a="1"/>
  <c r="J5886" i="14" s="1"/>
  <c r="N5887" i="14"/>
  <c r="K5702" i="13" l="1"/>
  <c r="L5702" i="13" s="1"/>
  <c r="I5703" i="13" s="1"/>
  <c r="J5888" i="13" a="1"/>
  <c r="J5888" i="13" s="1"/>
  <c r="N5889" i="13"/>
  <c r="K5724" i="14"/>
  <c r="L5724" i="14" s="1"/>
  <c r="I5725" i="14" s="1"/>
  <c r="N5888" i="14"/>
  <c r="J5887" i="14" a="1"/>
  <c r="J5887" i="14" s="1"/>
  <c r="M5892" i="14"/>
  <c r="M5891" i="13"/>
  <c r="K5725" i="14" l="1"/>
  <c r="L5725" i="14" s="1"/>
  <c r="I5726" i="14" s="1"/>
  <c r="K5703" i="13"/>
  <c r="L5703" i="13" s="1"/>
  <c r="I5704" i="13" s="1"/>
  <c r="N5890" i="13"/>
  <c r="J5889" i="13" a="1"/>
  <c r="J5889" i="13" s="1"/>
  <c r="N5889" i="14"/>
  <c r="J5888" i="14" a="1"/>
  <c r="J5888" i="14" s="1"/>
  <c r="M5893" i="14"/>
  <c r="M5892" i="13"/>
  <c r="K5704" i="13" l="1"/>
  <c r="L5704" i="13" s="1"/>
  <c r="I5705" i="13" s="1"/>
  <c r="K5726" i="14"/>
  <c r="L5726" i="14" s="1"/>
  <c r="I5727" i="14" s="1"/>
  <c r="N5890" i="14"/>
  <c r="J5889" i="14" a="1"/>
  <c r="J5889" i="14" s="1"/>
  <c r="M5893" i="13"/>
  <c r="M5894" i="14"/>
  <c r="J5890" i="13" a="1"/>
  <c r="J5890" i="13" s="1"/>
  <c r="N5891" i="13"/>
  <c r="K5727" i="14" l="1"/>
  <c r="L5727" i="14" s="1"/>
  <c r="I5728" i="14" s="1"/>
  <c r="K5705" i="13"/>
  <c r="L5705" i="13" s="1"/>
  <c r="I5706" i="13" s="1"/>
  <c r="M5894" i="13"/>
  <c r="J5891" i="13" a="1"/>
  <c r="J5891" i="13" s="1"/>
  <c r="N5892" i="13"/>
  <c r="M5895" i="14"/>
  <c r="J5890" i="14" a="1"/>
  <c r="J5890" i="14" s="1"/>
  <c r="N5891" i="14"/>
  <c r="K5706" i="13" l="1"/>
  <c r="L5706" i="13" s="1"/>
  <c r="I5707" i="13" s="1"/>
  <c r="K5728" i="14"/>
  <c r="L5728" i="14" s="1"/>
  <c r="I5729" i="14" s="1"/>
  <c r="N5892" i="14"/>
  <c r="J5891" i="14" a="1"/>
  <c r="J5891" i="14" s="1"/>
  <c r="J5892" i="13" a="1"/>
  <c r="J5892" i="13" s="1"/>
  <c r="N5893" i="13"/>
  <c r="M5896" i="14"/>
  <c r="M5895" i="13"/>
  <c r="K5729" i="14" l="1"/>
  <c r="L5729" i="14" s="1"/>
  <c r="I5730" i="14" s="1"/>
  <c r="K5707" i="13"/>
  <c r="L5707" i="13" s="1"/>
  <c r="I5708" i="13" s="1"/>
  <c r="N5894" i="13"/>
  <c r="J5893" i="13" a="1"/>
  <c r="J5893" i="13" s="1"/>
  <c r="M5896" i="13"/>
  <c r="M5897" i="14"/>
  <c r="N5893" i="14"/>
  <c r="J5892" i="14" a="1"/>
  <c r="J5892" i="14" s="1"/>
  <c r="K5708" i="13" l="1"/>
  <c r="L5708" i="13" s="1"/>
  <c r="I5709" i="13" s="1"/>
  <c r="K5730" i="14"/>
  <c r="L5730" i="14" s="1"/>
  <c r="I5731" i="14" s="1"/>
  <c r="M5897" i="13"/>
  <c r="N5894" i="14"/>
  <c r="J5893" i="14" a="1"/>
  <c r="J5893" i="14" s="1"/>
  <c r="M5898" i="14"/>
  <c r="J5894" i="13" a="1"/>
  <c r="J5894" i="13" s="1"/>
  <c r="N5895" i="13"/>
  <c r="K5709" i="13" l="1"/>
  <c r="L5709" i="13" s="1"/>
  <c r="I5710" i="13" s="1"/>
  <c r="K5731" i="14"/>
  <c r="L5731" i="14" s="1"/>
  <c r="I5732" i="14" s="1"/>
  <c r="J5894" i="14" a="1"/>
  <c r="J5894" i="14" s="1"/>
  <c r="N5895" i="14"/>
  <c r="J5895" i="13" a="1"/>
  <c r="J5895" i="13" s="1"/>
  <c r="N5896" i="13"/>
  <c r="M5899" i="14"/>
  <c r="M5898" i="13"/>
  <c r="K5732" i="14" l="1"/>
  <c r="L5732" i="14" s="1"/>
  <c r="I5733" i="14" s="1"/>
  <c r="K5710" i="13"/>
  <c r="L5710" i="13" s="1"/>
  <c r="I5711" i="13" s="1"/>
  <c r="J5896" i="13" a="1"/>
  <c r="J5896" i="13" s="1"/>
  <c r="N5897" i="13"/>
  <c r="M5900" i="14"/>
  <c r="M5899" i="13"/>
  <c r="N5896" i="14"/>
  <c r="J5895" i="14" a="1"/>
  <c r="J5895" i="14" s="1"/>
  <c r="K5711" i="13" l="1"/>
  <c r="L5711" i="13" s="1"/>
  <c r="I5712" i="13" s="1"/>
  <c r="K5733" i="14"/>
  <c r="L5733" i="14" s="1"/>
  <c r="I5734" i="14" s="1"/>
  <c r="M5901" i="14"/>
  <c r="N5897" i="14"/>
  <c r="J5896" i="14" a="1"/>
  <c r="J5896" i="14" s="1"/>
  <c r="N5898" i="13"/>
  <c r="J5897" i="13" a="1"/>
  <c r="J5897" i="13" s="1"/>
  <c r="M5900" i="13"/>
  <c r="K5734" i="14" l="1"/>
  <c r="L5734" i="14" s="1"/>
  <c r="I5735" i="14" s="1"/>
  <c r="K5712" i="13"/>
  <c r="L5712" i="13" s="1"/>
  <c r="I5713" i="13" s="1"/>
  <c r="M5901" i="13"/>
  <c r="N5898" i="14"/>
  <c r="J5897" i="14" a="1"/>
  <c r="J5897" i="14" s="1"/>
  <c r="J5898" i="13" a="1"/>
  <c r="J5898" i="13" s="1"/>
  <c r="N5899" i="13"/>
  <c r="M5902" i="14"/>
  <c r="K5713" i="13" l="1"/>
  <c r="L5713" i="13" s="1"/>
  <c r="I5714" i="13" s="1"/>
  <c r="K5735" i="14"/>
  <c r="L5735" i="14" s="1"/>
  <c r="I5736" i="14" s="1"/>
  <c r="M5903" i="14"/>
  <c r="J5898" i="14" a="1"/>
  <c r="J5898" i="14" s="1"/>
  <c r="N5899" i="14"/>
  <c r="J5899" i="13" a="1"/>
  <c r="J5899" i="13" s="1"/>
  <c r="N5900" i="13"/>
  <c r="M5902" i="13"/>
  <c r="K5736" i="14" l="1"/>
  <c r="L5736" i="14" s="1"/>
  <c r="I5737" i="14" s="1"/>
  <c r="K5714" i="13"/>
  <c r="L5714" i="13" s="1"/>
  <c r="I5715" i="13" s="1"/>
  <c r="N5900" i="14"/>
  <c r="J5899" i="14" a="1"/>
  <c r="J5899" i="14" s="1"/>
  <c r="J5900" i="13" a="1"/>
  <c r="J5900" i="13" s="1"/>
  <c r="N5901" i="13"/>
  <c r="M5903" i="13"/>
  <c r="M5904" i="14"/>
  <c r="K5715" i="13" l="1"/>
  <c r="L5715" i="13" s="1"/>
  <c r="I5716" i="13" s="1"/>
  <c r="K5737" i="14"/>
  <c r="L5737" i="14" s="1"/>
  <c r="I5738" i="14" s="1"/>
  <c r="N5902" i="13"/>
  <c r="J5901" i="13" a="1"/>
  <c r="J5901" i="13" s="1"/>
  <c r="M5905" i="14"/>
  <c r="M5904" i="13"/>
  <c r="N5901" i="14"/>
  <c r="J5900" i="14" a="1"/>
  <c r="J5900" i="14" s="1"/>
  <c r="K5738" i="14" l="1"/>
  <c r="L5738" i="14" s="1"/>
  <c r="I5739" i="14" s="1"/>
  <c r="K5716" i="13"/>
  <c r="L5716" i="13" s="1"/>
  <c r="I5717" i="13" s="1"/>
  <c r="N5902" i="14"/>
  <c r="J5901" i="14" a="1"/>
  <c r="J5901" i="14" s="1"/>
  <c r="M5906" i="14"/>
  <c r="M5905" i="13"/>
  <c r="J5902" i="13" a="1"/>
  <c r="J5902" i="13" s="1"/>
  <c r="N5903" i="13"/>
  <c r="K5717" i="13" l="1"/>
  <c r="L5717" i="13" s="1"/>
  <c r="I5718" i="13" s="1"/>
  <c r="K5739" i="14"/>
  <c r="L5739" i="14" s="1"/>
  <c r="I5740" i="14" s="1"/>
  <c r="J5903" i="13" a="1"/>
  <c r="J5903" i="13" s="1"/>
  <c r="N5904" i="13"/>
  <c r="M5907" i="14"/>
  <c r="M5906" i="13"/>
  <c r="J5902" i="14" a="1"/>
  <c r="J5902" i="14" s="1"/>
  <c r="N5903" i="14"/>
  <c r="K5740" i="14" l="1"/>
  <c r="L5740" i="14" s="1"/>
  <c r="I5741" i="14" s="1"/>
  <c r="K5718" i="13"/>
  <c r="L5718" i="13" s="1"/>
  <c r="I5719" i="13" s="1"/>
  <c r="N5904" i="14"/>
  <c r="J5903" i="14" a="1"/>
  <c r="J5903" i="14" s="1"/>
  <c r="M5908" i="14"/>
  <c r="J5904" i="13" a="1"/>
  <c r="J5904" i="13" s="1"/>
  <c r="N5905" i="13"/>
  <c r="M5907" i="13"/>
  <c r="K5719" i="13" l="1"/>
  <c r="L5719" i="13" s="1"/>
  <c r="I5720" i="13" s="1"/>
  <c r="K5741" i="14"/>
  <c r="L5741" i="14" s="1"/>
  <c r="I5742" i="14" s="1"/>
  <c r="M5909" i="14"/>
  <c r="N5906" i="13"/>
  <c r="J5905" i="13" a="1"/>
  <c r="J5905" i="13" s="1"/>
  <c r="M5908" i="13"/>
  <c r="N5905" i="14"/>
  <c r="J5904" i="14" a="1"/>
  <c r="J5904" i="14" s="1"/>
  <c r="K5742" i="14" l="1"/>
  <c r="L5742" i="14" s="1"/>
  <c r="I5743" i="14" s="1"/>
  <c r="K5720" i="13"/>
  <c r="L5720" i="13" s="1"/>
  <c r="I5721" i="13" s="1"/>
  <c r="J5906" i="13" a="1"/>
  <c r="J5906" i="13" s="1"/>
  <c r="N5907" i="13"/>
  <c r="M5909" i="13"/>
  <c r="N5906" i="14"/>
  <c r="J5905" i="14" a="1"/>
  <c r="J5905" i="14" s="1"/>
  <c r="M5910" i="14"/>
  <c r="K5721" i="13" l="1"/>
  <c r="L5721" i="13" s="1"/>
  <c r="I5722" i="13" s="1"/>
  <c r="K5743" i="14"/>
  <c r="L5743" i="14" s="1"/>
  <c r="I5744" i="14" s="1"/>
  <c r="J5906" i="14" a="1"/>
  <c r="J5906" i="14" s="1"/>
  <c r="N5907" i="14"/>
  <c r="M5911" i="14"/>
  <c r="M5910" i="13"/>
  <c r="J5907" i="13" a="1"/>
  <c r="J5907" i="13" s="1"/>
  <c r="N5908" i="13"/>
  <c r="K5744" i="14" l="1"/>
  <c r="L5744" i="14" s="1"/>
  <c r="I5745" i="14" s="1"/>
  <c r="K5722" i="13"/>
  <c r="L5722" i="13" s="1"/>
  <c r="I5723" i="13" s="1"/>
  <c r="J5908" i="13" a="1"/>
  <c r="J5908" i="13" s="1"/>
  <c r="N5909" i="13"/>
  <c r="M5912" i="14"/>
  <c r="N5908" i="14"/>
  <c r="J5907" i="14" a="1"/>
  <c r="J5907" i="14" s="1"/>
  <c r="M5911" i="13"/>
  <c r="K5723" i="13" l="1"/>
  <c r="L5723" i="13" s="1"/>
  <c r="I5724" i="13" s="1"/>
  <c r="K5745" i="14"/>
  <c r="L5745" i="14" s="1"/>
  <c r="I5746" i="14" s="1"/>
  <c r="M5913" i="14"/>
  <c r="N5909" i="14"/>
  <c r="J5908" i="14" a="1"/>
  <c r="J5908" i="14" s="1"/>
  <c r="M5912" i="13"/>
  <c r="N5910" i="13"/>
  <c r="J5909" i="13" a="1"/>
  <c r="J5909" i="13" s="1"/>
  <c r="K5746" i="14" l="1"/>
  <c r="L5746" i="14" s="1"/>
  <c r="I5747" i="14" s="1"/>
  <c r="K5724" i="13"/>
  <c r="L5724" i="13" s="1"/>
  <c r="I5725" i="13" s="1"/>
  <c r="N5910" i="14"/>
  <c r="J5909" i="14" a="1"/>
  <c r="J5909" i="14" s="1"/>
  <c r="M5913" i="13"/>
  <c r="J5910" i="13" a="1"/>
  <c r="J5910" i="13" s="1"/>
  <c r="N5911" i="13"/>
  <c r="M5914" i="14"/>
  <c r="K5725" i="13" l="1"/>
  <c r="L5725" i="13" s="1"/>
  <c r="I5726" i="13" s="1"/>
  <c r="K5747" i="14"/>
  <c r="L5747" i="14" s="1"/>
  <c r="I5748" i="14" s="1"/>
  <c r="J5911" i="13" a="1"/>
  <c r="J5911" i="13" s="1"/>
  <c r="N5912" i="13"/>
  <c r="M5915" i="14"/>
  <c r="M5914" i="13"/>
  <c r="J5910" i="14" a="1"/>
  <c r="J5910" i="14" s="1"/>
  <c r="N5911" i="14"/>
  <c r="K5748" i="14" l="1"/>
  <c r="L5748" i="14" s="1"/>
  <c r="I5749" i="14" s="1"/>
  <c r="K5726" i="13"/>
  <c r="L5726" i="13" s="1"/>
  <c r="I5727" i="13" s="1"/>
  <c r="N5912" i="14"/>
  <c r="J5911" i="14" a="1"/>
  <c r="J5911" i="14" s="1"/>
  <c r="M5916" i="14"/>
  <c r="J5912" i="13" a="1"/>
  <c r="J5912" i="13" s="1"/>
  <c r="N5913" i="13"/>
  <c r="M5915" i="13"/>
  <c r="K5727" i="13" l="1"/>
  <c r="L5727" i="13" s="1"/>
  <c r="I5728" i="13" s="1"/>
  <c r="K5749" i="14"/>
  <c r="L5749" i="14" s="1"/>
  <c r="I5750" i="14" s="1"/>
  <c r="M5917" i="14"/>
  <c r="N5914" i="13"/>
  <c r="J5913" i="13" a="1"/>
  <c r="J5913" i="13" s="1"/>
  <c r="M5916" i="13"/>
  <c r="N5913" i="14"/>
  <c r="J5912" i="14" a="1"/>
  <c r="J5912" i="14" s="1"/>
  <c r="K5750" i="14" l="1"/>
  <c r="L5750" i="14" s="1"/>
  <c r="I5751" i="14" s="1"/>
  <c r="K5728" i="13"/>
  <c r="L5728" i="13" s="1"/>
  <c r="I5729" i="13" s="1"/>
  <c r="N5914" i="14"/>
  <c r="J5913" i="14" a="1"/>
  <c r="J5913" i="14" s="1"/>
  <c r="M5917" i="13"/>
  <c r="J5914" i="13" a="1"/>
  <c r="J5914" i="13" s="1"/>
  <c r="N5915" i="13"/>
  <c r="M5918" i="14"/>
  <c r="K5729" i="13" l="1"/>
  <c r="L5729" i="13" s="1"/>
  <c r="I5730" i="13" s="1"/>
  <c r="K5751" i="14"/>
  <c r="L5751" i="14" s="1"/>
  <c r="I5752" i="14" s="1"/>
  <c r="M5919" i="14"/>
  <c r="J5915" i="13" a="1"/>
  <c r="J5915" i="13" s="1"/>
  <c r="N5916" i="13"/>
  <c r="M5918" i="13"/>
  <c r="J5914" i="14" a="1"/>
  <c r="J5914" i="14" s="1"/>
  <c r="N5915" i="14"/>
  <c r="K5752" i="14" l="1"/>
  <c r="L5752" i="14" s="1"/>
  <c r="I5753" i="14" s="1"/>
  <c r="K5730" i="13"/>
  <c r="L5730" i="13" s="1"/>
  <c r="I5731" i="13" s="1"/>
  <c r="J5916" i="13" a="1"/>
  <c r="J5916" i="13" s="1"/>
  <c r="N5917" i="13"/>
  <c r="N5916" i="14"/>
  <c r="J5915" i="14" a="1"/>
  <c r="J5915" i="14" s="1"/>
  <c r="M5919" i="13"/>
  <c r="M5920" i="14"/>
  <c r="K5731" i="13" l="1"/>
  <c r="L5731" i="13" s="1"/>
  <c r="I5732" i="13" s="1"/>
  <c r="K5753" i="14"/>
  <c r="L5753" i="14" s="1"/>
  <c r="I5754" i="14" s="1"/>
  <c r="N5917" i="14"/>
  <c r="J5916" i="14" a="1"/>
  <c r="J5916" i="14" s="1"/>
  <c r="N5918" i="13"/>
  <c r="J5917" i="13" a="1"/>
  <c r="J5917" i="13" s="1"/>
  <c r="M5921" i="14"/>
  <c r="M5920" i="13"/>
  <c r="K5754" i="14" l="1"/>
  <c r="L5754" i="14" s="1"/>
  <c r="I5755" i="14" s="1"/>
  <c r="K5732" i="13"/>
  <c r="L5732" i="13" s="1"/>
  <c r="I5733" i="13" s="1"/>
  <c r="J5918" i="13" a="1"/>
  <c r="J5918" i="13" s="1"/>
  <c r="N5919" i="13"/>
  <c r="M5921" i="13"/>
  <c r="M5922" i="14"/>
  <c r="N5918" i="14"/>
  <c r="J5917" i="14" a="1"/>
  <c r="J5917" i="14" s="1"/>
  <c r="K5733" i="13" l="1"/>
  <c r="L5733" i="13" s="1"/>
  <c r="I5734" i="13" s="1"/>
  <c r="K5755" i="14"/>
  <c r="L5755" i="14" s="1"/>
  <c r="I5756" i="14" s="1"/>
  <c r="J5918" i="14" a="1"/>
  <c r="J5918" i="14" s="1"/>
  <c r="N5919" i="14"/>
  <c r="M5922" i="13"/>
  <c r="J5919" i="13" a="1"/>
  <c r="J5919" i="13" s="1"/>
  <c r="N5920" i="13"/>
  <c r="M5923" i="14"/>
  <c r="K5756" i="14" l="1"/>
  <c r="L5756" i="14" s="1"/>
  <c r="I5757" i="14" s="1"/>
  <c r="K5734" i="13"/>
  <c r="L5734" i="13" s="1"/>
  <c r="I5735" i="13" s="1"/>
  <c r="M5924" i="14"/>
  <c r="M5923" i="13"/>
  <c r="N5920" i="14"/>
  <c r="J5919" i="14" a="1"/>
  <c r="J5919" i="14" s="1"/>
  <c r="J5920" i="13" a="1"/>
  <c r="J5920" i="13" s="1"/>
  <c r="N5921" i="13"/>
  <c r="K5735" i="13" l="1"/>
  <c r="L5735" i="13" s="1"/>
  <c r="I5736" i="13" s="1"/>
  <c r="K5757" i="14"/>
  <c r="L5757" i="14" s="1"/>
  <c r="I5758" i="14" s="1"/>
  <c r="N5922" i="13"/>
  <c r="J5921" i="13" a="1"/>
  <c r="J5921" i="13" s="1"/>
  <c r="M5924" i="13"/>
  <c r="M5925" i="14"/>
  <c r="N5921" i="14"/>
  <c r="J5920" i="14" a="1"/>
  <c r="J5920" i="14" s="1"/>
  <c r="K5758" i="14" l="1"/>
  <c r="L5758" i="14" s="1"/>
  <c r="I5759" i="14" s="1"/>
  <c r="K5736" i="13"/>
  <c r="L5736" i="13" s="1"/>
  <c r="I5737" i="13" s="1"/>
  <c r="M5925" i="13"/>
  <c r="N5922" i="14"/>
  <c r="J5921" i="14" a="1"/>
  <c r="J5921" i="14" s="1"/>
  <c r="M5926" i="14"/>
  <c r="J5922" i="13" a="1"/>
  <c r="J5922" i="13" s="1"/>
  <c r="N5923" i="13"/>
  <c r="K5737" i="13" l="1"/>
  <c r="L5737" i="13" s="1"/>
  <c r="I5738" i="13" s="1"/>
  <c r="K5759" i="14"/>
  <c r="L5759" i="14" s="1"/>
  <c r="I5760" i="14" s="1"/>
  <c r="J5922" i="14" a="1"/>
  <c r="J5922" i="14" s="1"/>
  <c r="N5923" i="14"/>
  <c r="J5923" i="13" a="1"/>
  <c r="J5923" i="13" s="1"/>
  <c r="N5924" i="13"/>
  <c r="M5927" i="14"/>
  <c r="M5926" i="13"/>
  <c r="K5760" i="14" l="1"/>
  <c r="L5760" i="14" s="1"/>
  <c r="I5761" i="14" s="1"/>
  <c r="K5738" i="13"/>
  <c r="L5738" i="13" s="1"/>
  <c r="I5739" i="13" s="1"/>
  <c r="J5924" i="13" a="1"/>
  <c r="J5924" i="13" s="1"/>
  <c r="N5925" i="13"/>
  <c r="N5924" i="14"/>
  <c r="J5923" i="14" a="1"/>
  <c r="J5923" i="14" s="1"/>
  <c r="M5927" i="13"/>
  <c r="M5928" i="14"/>
  <c r="K5739" i="13" l="1"/>
  <c r="L5739" i="13" s="1"/>
  <c r="I5740" i="13" s="1"/>
  <c r="K5761" i="14"/>
  <c r="L5761" i="14" s="1"/>
  <c r="I5762" i="14" s="1"/>
  <c r="N5925" i="14"/>
  <c r="J5924" i="14" a="1"/>
  <c r="J5924" i="14" s="1"/>
  <c r="N5926" i="13"/>
  <c r="J5925" i="13" a="1"/>
  <c r="J5925" i="13" s="1"/>
  <c r="M5929" i="14"/>
  <c r="M5928" i="13"/>
  <c r="K5762" i="14" l="1"/>
  <c r="L5762" i="14" s="1"/>
  <c r="I5763" i="14" s="1"/>
  <c r="K5740" i="13"/>
  <c r="L5740" i="13" s="1"/>
  <c r="I5741" i="13" s="1"/>
  <c r="J5926" i="13" a="1"/>
  <c r="J5926" i="13" s="1"/>
  <c r="N5927" i="13"/>
  <c r="M5929" i="13"/>
  <c r="M5930" i="14"/>
  <c r="N5926" i="14"/>
  <c r="J5925" i="14" a="1"/>
  <c r="J5925" i="14" s="1"/>
  <c r="K5741" i="13" l="1"/>
  <c r="L5741" i="13" s="1"/>
  <c r="I5742" i="13" s="1"/>
  <c r="K5763" i="14"/>
  <c r="L5763" i="14" s="1"/>
  <c r="I5764" i="14" s="1"/>
  <c r="J5926" i="14" a="1"/>
  <c r="J5926" i="14" s="1"/>
  <c r="N5927" i="14"/>
  <c r="M5930" i="13"/>
  <c r="J5927" i="13" a="1"/>
  <c r="J5927" i="13" s="1"/>
  <c r="N5928" i="13"/>
  <c r="M5931" i="14"/>
  <c r="K5764" i="14" l="1"/>
  <c r="L5764" i="14" s="1"/>
  <c r="I5765" i="14" s="1"/>
  <c r="K5742" i="13"/>
  <c r="L5742" i="13" s="1"/>
  <c r="I5743" i="13" s="1"/>
  <c r="J5928" i="13" a="1"/>
  <c r="J5928" i="13" s="1"/>
  <c r="N5929" i="13"/>
  <c r="M5932" i="14"/>
  <c r="M5931" i="13"/>
  <c r="N5928" i="14"/>
  <c r="J5927" i="14" a="1"/>
  <c r="J5927" i="14" s="1"/>
  <c r="K5743" i="13" l="1"/>
  <c r="L5743" i="13" s="1"/>
  <c r="I5744" i="13" s="1"/>
  <c r="K5765" i="14"/>
  <c r="L5765" i="14" s="1"/>
  <c r="I5766" i="14" s="1"/>
  <c r="J5928" i="14" a="1"/>
  <c r="J5928" i="14" s="1"/>
  <c r="N5929" i="14"/>
  <c r="N5930" i="13"/>
  <c r="J5929" i="13" a="1"/>
  <c r="J5929" i="13" s="1"/>
  <c r="M5933" i="14"/>
  <c r="M5932" i="13"/>
  <c r="K5766" i="14" l="1"/>
  <c r="L5766" i="14" s="1"/>
  <c r="I5767" i="14" s="1"/>
  <c r="K5744" i="13"/>
  <c r="L5744" i="13" s="1"/>
  <c r="I5745" i="13" s="1"/>
  <c r="J5930" i="13" a="1"/>
  <c r="J5930" i="13" s="1"/>
  <c r="N5931" i="13"/>
  <c r="N5930" i="14"/>
  <c r="J5929" i="14" a="1"/>
  <c r="J5929" i="14" s="1"/>
  <c r="M5933" i="13"/>
  <c r="M5934" i="14"/>
  <c r="K5745" i="13" l="1"/>
  <c r="L5745" i="13" s="1"/>
  <c r="I5746" i="13" s="1"/>
  <c r="K5767" i="14"/>
  <c r="L5767" i="14" s="1"/>
  <c r="I5768" i="14" s="1"/>
  <c r="J5930" i="14" a="1"/>
  <c r="J5930" i="14" s="1"/>
  <c r="N5931" i="14"/>
  <c r="M5935" i="14"/>
  <c r="J5931" i="13" a="1"/>
  <c r="J5931" i="13" s="1"/>
  <c r="N5932" i="13"/>
  <c r="M5934" i="13"/>
  <c r="K5768" i="14" l="1"/>
  <c r="L5768" i="14" s="1"/>
  <c r="I5769" i="14" s="1"/>
  <c r="K5746" i="13"/>
  <c r="L5746" i="13" s="1"/>
  <c r="I5747" i="13" s="1"/>
  <c r="J5932" i="13" a="1"/>
  <c r="J5932" i="13" s="1"/>
  <c r="N5933" i="13"/>
  <c r="M5935" i="13"/>
  <c r="M5936" i="14"/>
  <c r="J5931" i="14" a="1"/>
  <c r="J5931" i="14" s="1"/>
  <c r="N5932" i="14"/>
  <c r="K5747" i="13" l="1"/>
  <c r="L5747" i="13" s="1"/>
  <c r="I5748" i="13" s="1"/>
  <c r="K5769" i="14"/>
  <c r="L5769" i="14" s="1"/>
  <c r="I5770" i="14" s="1"/>
  <c r="N5933" i="14"/>
  <c r="J5932" i="14" a="1"/>
  <c r="J5932" i="14" s="1"/>
  <c r="M5936" i="13"/>
  <c r="N5934" i="13"/>
  <c r="J5933" i="13" a="1"/>
  <c r="J5933" i="13" s="1"/>
  <c r="M5937" i="14"/>
  <c r="K5770" i="14" l="1"/>
  <c r="L5770" i="14" s="1"/>
  <c r="I5771" i="14" s="1"/>
  <c r="K5748" i="13"/>
  <c r="L5748" i="13" s="1"/>
  <c r="I5749" i="13" s="1"/>
  <c r="M5937" i="13"/>
  <c r="J5934" i="13" a="1"/>
  <c r="J5934" i="13" s="1"/>
  <c r="N5935" i="13"/>
  <c r="M5938" i="14"/>
  <c r="J5933" i="14" a="1"/>
  <c r="J5933" i="14" s="1"/>
  <c r="N5934" i="14"/>
  <c r="K5749" i="13" l="1"/>
  <c r="L5749" i="13" s="1"/>
  <c r="I5750" i="13" s="1"/>
  <c r="K5771" i="14"/>
  <c r="L5771" i="14" s="1"/>
  <c r="I5772" i="14" s="1"/>
  <c r="J5935" i="13" a="1"/>
  <c r="J5935" i="13" s="1"/>
  <c r="N5936" i="13"/>
  <c r="J5934" i="14" a="1"/>
  <c r="J5934" i="14" s="1"/>
  <c r="N5935" i="14"/>
  <c r="M5939" i="14"/>
  <c r="M5938" i="13"/>
  <c r="K5772" i="14" l="1"/>
  <c r="L5772" i="14" s="1"/>
  <c r="I5773" i="14" s="1"/>
  <c r="K5750" i="13"/>
  <c r="L5750" i="13" s="1"/>
  <c r="I5751" i="13" s="1"/>
  <c r="N5936" i="14"/>
  <c r="J5935" i="14" a="1"/>
  <c r="J5935" i="14" s="1"/>
  <c r="J5936" i="13" a="1"/>
  <c r="J5936" i="13" s="1"/>
  <c r="N5937" i="13"/>
  <c r="M5939" i="13"/>
  <c r="M5940" i="14"/>
  <c r="K5751" i="13" l="1"/>
  <c r="L5751" i="13" s="1"/>
  <c r="I5752" i="13" s="1"/>
  <c r="K5773" i="14"/>
  <c r="L5773" i="14" s="1"/>
  <c r="I5774" i="14" s="1"/>
  <c r="N5938" i="13"/>
  <c r="J5937" i="13" a="1"/>
  <c r="J5937" i="13" s="1"/>
  <c r="M5941" i="14"/>
  <c r="M5940" i="13"/>
  <c r="J5936" i="14" a="1"/>
  <c r="J5936" i="14" s="1"/>
  <c r="N5937" i="14"/>
  <c r="K5774" i="14" l="1"/>
  <c r="L5774" i="14" s="1"/>
  <c r="I5775" i="14" s="1"/>
  <c r="K5752" i="13"/>
  <c r="L5752" i="13" s="1"/>
  <c r="I5753" i="13" s="1"/>
  <c r="J5937" i="14" a="1"/>
  <c r="J5937" i="14" s="1"/>
  <c r="N5938" i="14"/>
  <c r="M5942" i="14"/>
  <c r="M5941" i="13"/>
  <c r="J5938" i="13" a="1"/>
  <c r="J5938" i="13" s="1"/>
  <c r="N5939" i="13"/>
  <c r="K5753" i="13" l="1"/>
  <c r="L5753" i="13" s="1"/>
  <c r="I5754" i="13" s="1"/>
  <c r="K5775" i="14"/>
  <c r="L5775" i="14" s="1"/>
  <c r="I5776" i="14" s="1"/>
  <c r="J5939" i="13" a="1"/>
  <c r="J5939" i="13" s="1"/>
  <c r="N5940" i="13"/>
  <c r="M5943" i="14"/>
  <c r="J5938" i="14" a="1"/>
  <c r="J5938" i="14" s="1"/>
  <c r="N5939" i="14"/>
  <c r="M5942" i="13"/>
  <c r="K5776" i="14" l="1"/>
  <c r="L5776" i="14" s="1"/>
  <c r="I5777" i="14" s="1"/>
  <c r="K5754" i="13"/>
  <c r="L5754" i="13" s="1"/>
  <c r="I5755" i="13" s="1"/>
  <c r="N5940" i="14"/>
  <c r="J5939" i="14" a="1"/>
  <c r="J5939" i="14" s="1"/>
  <c r="M5943" i="13"/>
  <c r="M5944" i="14"/>
  <c r="J5940" i="13" a="1"/>
  <c r="J5940" i="13" s="1"/>
  <c r="N5941" i="13"/>
  <c r="K5755" i="13" l="1"/>
  <c r="L5755" i="13" s="1"/>
  <c r="I5756" i="13" s="1"/>
  <c r="K5777" i="14"/>
  <c r="L5777" i="14" s="1"/>
  <c r="I5778" i="14" s="1"/>
  <c r="N5942" i="13"/>
  <c r="J5941" i="13" a="1"/>
  <c r="J5941" i="13" s="1"/>
  <c r="M5944" i="13"/>
  <c r="M5945" i="14"/>
  <c r="J5940" i="14" a="1"/>
  <c r="J5940" i="14" s="1"/>
  <c r="N5941" i="14"/>
  <c r="K5778" i="14" l="1"/>
  <c r="L5778" i="14" s="1"/>
  <c r="I5779" i="14" s="1"/>
  <c r="K5756" i="13"/>
  <c r="L5756" i="13" s="1"/>
  <c r="I5757" i="13" s="1"/>
  <c r="J5941" i="14" a="1"/>
  <c r="J5941" i="14" s="1"/>
  <c r="N5942" i="14"/>
  <c r="M5945" i="13"/>
  <c r="M5946" i="14"/>
  <c r="J5942" i="13" a="1"/>
  <c r="J5942" i="13" s="1"/>
  <c r="N5943" i="13"/>
  <c r="K5757" i="13" l="1"/>
  <c r="L5757" i="13" s="1"/>
  <c r="I5758" i="13" s="1"/>
  <c r="K5779" i="14"/>
  <c r="L5779" i="14" s="1"/>
  <c r="I5780" i="14" s="1"/>
  <c r="J5943" i="13" a="1"/>
  <c r="J5943" i="13" s="1"/>
  <c r="N5944" i="13"/>
  <c r="M5946" i="13"/>
  <c r="N5943" i="14"/>
  <c r="J5942" i="14" a="1"/>
  <c r="J5942" i="14" s="1"/>
  <c r="M5947" i="14"/>
  <c r="K5780" i="14" l="1"/>
  <c r="L5780" i="14" s="1"/>
  <c r="I5781" i="14" s="1"/>
  <c r="K5758" i="13"/>
  <c r="L5758" i="13" s="1"/>
  <c r="I5759" i="13" s="1"/>
  <c r="M5948" i="14"/>
  <c r="M5947" i="13"/>
  <c r="J5944" i="13" a="1"/>
  <c r="J5944" i="13" s="1"/>
  <c r="N5945" i="13"/>
  <c r="N5944" i="14"/>
  <c r="J5943" i="14" a="1"/>
  <c r="J5943" i="14" s="1"/>
  <c r="K5759" i="13" l="1"/>
  <c r="L5759" i="13" s="1"/>
  <c r="I5760" i="13" s="1"/>
  <c r="K5781" i="14"/>
  <c r="L5781" i="14" s="1"/>
  <c r="I5782" i="14" s="1"/>
  <c r="J5944" i="14" a="1"/>
  <c r="J5944" i="14" s="1"/>
  <c r="N5945" i="14"/>
  <c r="M5948" i="13"/>
  <c r="N5946" i="13"/>
  <c r="J5945" i="13" a="1"/>
  <c r="J5945" i="13" s="1"/>
  <c r="M5949" i="14"/>
  <c r="K5782" i="14" l="1"/>
  <c r="L5782" i="14" s="1"/>
  <c r="I5783" i="14" s="1"/>
  <c r="K5760" i="13"/>
  <c r="L5760" i="13" s="1"/>
  <c r="I5761" i="13" s="1"/>
  <c r="M5950" i="14"/>
  <c r="M5949" i="13"/>
  <c r="N5946" i="14"/>
  <c r="J5945" i="14" a="1"/>
  <c r="J5945" i="14" s="1"/>
  <c r="J5946" i="13" a="1"/>
  <c r="J5946" i="13" s="1"/>
  <c r="N5947" i="13"/>
  <c r="K5761" i="13" l="1"/>
  <c r="L5761" i="13" s="1"/>
  <c r="I5762" i="13" s="1"/>
  <c r="K5783" i="14"/>
  <c r="L5783" i="14" s="1"/>
  <c r="I5784" i="14" s="1"/>
  <c r="J5947" i="13" a="1"/>
  <c r="J5947" i="13" s="1"/>
  <c r="N5948" i="13"/>
  <c r="M5950" i="13"/>
  <c r="M5951" i="14"/>
  <c r="N5947" i="14"/>
  <c r="J5946" i="14" a="1"/>
  <c r="J5946" i="14" s="1"/>
  <c r="K5784" i="14" l="1"/>
  <c r="L5784" i="14" s="1"/>
  <c r="I5785" i="14" s="1"/>
  <c r="K5762" i="13"/>
  <c r="L5762" i="13" s="1"/>
  <c r="I5763" i="13" s="1"/>
  <c r="N5948" i="14"/>
  <c r="J5947" i="14" a="1"/>
  <c r="J5947" i="14" s="1"/>
  <c r="M5951" i="13"/>
  <c r="J5948" i="13" a="1"/>
  <c r="J5948" i="13" s="1"/>
  <c r="N5949" i="13"/>
  <c r="M5952" i="14"/>
  <c r="K5763" i="13" l="1"/>
  <c r="L5763" i="13" s="1"/>
  <c r="I5764" i="13" s="1"/>
  <c r="K5785" i="14"/>
  <c r="L5785" i="14" s="1"/>
  <c r="I5786" i="14" s="1"/>
  <c r="M5953" i="14"/>
  <c r="N5950" i="13"/>
  <c r="J5949" i="13" a="1"/>
  <c r="J5949" i="13" s="1"/>
  <c r="M5952" i="13"/>
  <c r="J5948" i="14" a="1"/>
  <c r="J5948" i="14" s="1"/>
  <c r="N5949" i="14"/>
  <c r="K5786" i="14" l="1"/>
  <c r="L5786" i="14" s="1"/>
  <c r="I5787" i="14" s="1"/>
  <c r="K5764" i="13"/>
  <c r="L5764" i="13" s="1"/>
  <c r="I5765" i="13" s="1"/>
  <c r="J5950" i="13" a="1"/>
  <c r="J5950" i="13" s="1"/>
  <c r="N5951" i="13"/>
  <c r="N5950" i="14"/>
  <c r="J5949" i="14" a="1"/>
  <c r="J5949" i="14" s="1"/>
  <c r="M5953" i="13"/>
  <c r="M5954" i="14"/>
  <c r="K5765" i="13" l="1"/>
  <c r="L5765" i="13" s="1"/>
  <c r="I5766" i="13" s="1"/>
  <c r="K5787" i="14"/>
  <c r="L5787" i="14" s="1"/>
  <c r="I5788" i="14" s="1"/>
  <c r="N5951" i="14"/>
  <c r="J5950" i="14" a="1"/>
  <c r="J5950" i="14" s="1"/>
  <c r="J5951" i="13" a="1"/>
  <c r="J5951" i="13" s="1"/>
  <c r="N5952" i="13"/>
  <c r="M5955" i="14"/>
  <c r="M5954" i="13"/>
  <c r="K5788" i="14" l="1"/>
  <c r="L5788" i="14" s="1"/>
  <c r="I5789" i="14" s="1"/>
  <c r="K5766" i="13"/>
  <c r="L5766" i="13" s="1"/>
  <c r="I5767" i="13" s="1"/>
  <c r="J5952" i="13" a="1"/>
  <c r="J5952" i="13" s="1"/>
  <c r="N5953" i="13"/>
  <c r="M5955" i="13"/>
  <c r="M5956" i="14"/>
  <c r="N5952" i="14"/>
  <c r="J5951" i="14" a="1"/>
  <c r="J5951" i="14" s="1"/>
  <c r="K5767" i="13" l="1"/>
  <c r="L5767" i="13" s="1"/>
  <c r="I5768" i="13" s="1"/>
  <c r="K5789" i="14"/>
  <c r="L5789" i="14" s="1"/>
  <c r="I5790" i="14" s="1"/>
  <c r="J5952" i="14" a="1"/>
  <c r="J5952" i="14" s="1"/>
  <c r="N5953" i="14"/>
  <c r="M5956" i="13"/>
  <c r="N5954" i="13"/>
  <c r="J5953" i="13" a="1"/>
  <c r="J5953" i="13" s="1"/>
  <c r="M5957" i="14"/>
  <c r="K5790" i="14" l="1"/>
  <c r="L5790" i="14" s="1"/>
  <c r="I5791" i="14" s="1"/>
  <c r="K5768" i="13"/>
  <c r="L5768" i="13" s="1"/>
  <c r="I5769" i="13" s="1"/>
  <c r="M5958" i="14"/>
  <c r="M5957" i="13"/>
  <c r="J5954" i="13" a="1"/>
  <c r="J5954" i="13" s="1"/>
  <c r="N5955" i="13"/>
  <c r="N5954" i="14"/>
  <c r="J5953" i="14" a="1"/>
  <c r="J5953" i="14" s="1"/>
  <c r="K5769" i="13" l="1"/>
  <c r="L5769" i="13" s="1"/>
  <c r="I5770" i="13" s="1"/>
  <c r="K5791" i="14"/>
  <c r="L5791" i="14" s="1"/>
  <c r="I5792" i="14" s="1"/>
  <c r="N5955" i="14"/>
  <c r="J5954" i="14" a="1"/>
  <c r="J5954" i="14" s="1"/>
  <c r="M5958" i="13"/>
  <c r="J5955" i="13" a="1"/>
  <c r="J5955" i="13" s="1"/>
  <c r="N5956" i="13"/>
  <c r="M5959" i="14"/>
  <c r="K5792" i="14" l="1"/>
  <c r="L5792" i="14" s="1"/>
  <c r="I5793" i="14" s="1"/>
  <c r="K5770" i="13"/>
  <c r="L5770" i="13" s="1"/>
  <c r="I5771" i="13" s="1"/>
  <c r="J5956" i="13" a="1"/>
  <c r="J5956" i="13" s="1"/>
  <c r="N5957" i="13"/>
  <c r="M5960" i="14"/>
  <c r="M5959" i="13"/>
  <c r="J5955" i="14" a="1"/>
  <c r="J5955" i="14" s="1"/>
  <c r="N5956" i="14"/>
  <c r="K5771" i="13" l="1"/>
  <c r="L5771" i="13" s="1"/>
  <c r="I5772" i="13" s="1"/>
  <c r="K5793" i="14"/>
  <c r="L5793" i="14" s="1"/>
  <c r="I5794" i="14" s="1"/>
  <c r="J5956" i="14" a="1"/>
  <c r="J5956" i="14" s="1"/>
  <c r="N5957" i="14"/>
  <c r="M5961" i="14"/>
  <c r="N5958" i="13"/>
  <c r="J5957" i="13" a="1"/>
  <c r="J5957" i="13" s="1"/>
  <c r="M5960" i="13"/>
  <c r="K5794" i="14" l="1"/>
  <c r="L5794" i="14" s="1"/>
  <c r="I5795" i="14" s="1"/>
  <c r="K5772" i="13"/>
  <c r="L5772" i="13" s="1"/>
  <c r="I5773" i="13" s="1"/>
  <c r="M5961" i="13"/>
  <c r="M5962" i="14"/>
  <c r="N5958" i="14"/>
  <c r="J5957" i="14" a="1"/>
  <c r="J5957" i="14" s="1"/>
  <c r="J5958" i="13" a="1"/>
  <c r="J5958" i="13" s="1"/>
  <c r="N5959" i="13"/>
  <c r="K5773" i="13" l="1"/>
  <c r="L5773" i="13" s="1"/>
  <c r="I5774" i="13" s="1"/>
  <c r="K5795" i="14"/>
  <c r="L5795" i="14" s="1"/>
  <c r="I5796" i="14" s="1"/>
  <c r="J5959" i="13" a="1"/>
  <c r="J5959" i="13" s="1"/>
  <c r="N5960" i="13"/>
  <c r="M5963" i="14"/>
  <c r="N5959" i="14"/>
  <c r="J5958" i="14" a="1"/>
  <c r="J5958" i="14" s="1"/>
  <c r="M5962" i="13"/>
  <c r="K5796" i="14" l="1"/>
  <c r="L5796" i="14" s="1"/>
  <c r="I5797" i="14" s="1"/>
  <c r="K5774" i="13"/>
  <c r="L5774" i="13" s="1"/>
  <c r="I5775" i="13" s="1"/>
  <c r="J5959" i="14" a="1"/>
  <c r="J5959" i="14" s="1"/>
  <c r="N5960" i="14"/>
  <c r="M5963" i="13"/>
  <c r="M5964" i="14"/>
  <c r="J5960" i="13" a="1"/>
  <c r="J5960" i="13" s="1"/>
  <c r="N5961" i="13"/>
  <c r="K5775" i="13" l="1"/>
  <c r="L5775" i="13" s="1"/>
  <c r="I5776" i="13" s="1"/>
  <c r="K5797" i="14"/>
  <c r="L5797" i="14" s="1"/>
  <c r="I5798" i="14" s="1"/>
  <c r="N5962" i="13"/>
  <c r="J5961" i="13" a="1"/>
  <c r="J5961" i="13" s="1"/>
  <c r="M5964" i="13"/>
  <c r="J5960" i="14" a="1"/>
  <c r="J5960" i="14" s="1"/>
  <c r="N5961" i="14"/>
  <c r="M5965" i="14"/>
  <c r="K5798" i="14" l="1"/>
  <c r="L5798" i="14" s="1"/>
  <c r="I5799" i="14" s="1"/>
  <c r="K5776" i="13"/>
  <c r="L5776" i="13" s="1"/>
  <c r="I5777" i="13" s="1"/>
  <c r="N5962" i="14"/>
  <c r="J5961" i="14" a="1"/>
  <c r="J5961" i="14" s="1"/>
  <c r="M5966" i="14"/>
  <c r="M5965" i="13"/>
  <c r="J5962" i="13" a="1"/>
  <c r="J5962" i="13" s="1"/>
  <c r="N5963" i="13"/>
  <c r="K5777" i="13" l="1"/>
  <c r="L5777" i="13" s="1"/>
  <c r="I5778" i="13" s="1"/>
  <c r="K5799" i="14"/>
  <c r="L5799" i="14" s="1"/>
  <c r="I5800" i="14" s="1"/>
  <c r="M5967" i="14"/>
  <c r="J5963" i="13" a="1"/>
  <c r="J5963" i="13" s="1"/>
  <c r="N5964" i="13"/>
  <c r="M5966" i="13"/>
  <c r="N5963" i="14"/>
  <c r="J5962" i="14" a="1"/>
  <c r="J5962" i="14" s="1"/>
  <c r="K5800" i="14" l="1"/>
  <c r="L5800" i="14" s="1"/>
  <c r="I5801" i="14" s="1"/>
  <c r="K5778" i="13"/>
  <c r="L5778" i="13" s="1"/>
  <c r="I5779" i="13" s="1"/>
  <c r="J5964" i="13" a="1"/>
  <c r="J5964" i="13" s="1"/>
  <c r="N5965" i="13"/>
  <c r="J5963" i="14" a="1"/>
  <c r="J5963" i="14" s="1"/>
  <c r="N5964" i="14"/>
  <c r="M5967" i="13"/>
  <c r="M5968" i="14"/>
  <c r="K5779" i="13" l="1"/>
  <c r="L5779" i="13" s="1"/>
  <c r="I5780" i="13" s="1"/>
  <c r="K5801" i="14"/>
  <c r="L5801" i="14" s="1"/>
  <c r="I5802" i="14" s="1"/>
  <c r="J5964" i="14" a="1"/>
  <c r="J5964" i="14" s="1"/>
  <c r="N5965" i="14"/>
  <c r="M5969" i="14"/>
  <c r="N5966" i="13"/>
  <c r="J5965" i="13" a="1"/>
  <c r="J5965" i="13" s="1"/>
  <c r="M5968" i="13"/>
  <c r="K5802" i="14" l="1"/>
  <c r="L5802" i="14" s="1"/>
  <c r="I5803" i="14" s="1"/>
  <c r="K5780" i="13"/>
  <c r="L5780" i="13" s="1"/>
  <c r="I5781" i="13" s="1"/>
  <c r="M5969" i="13"/>
  <c r="M5970" i="14"/>
  <c r="J5966" i="13" a="1"/>
  <c r="J5966" i="13" s="1"/>
  <c r="N5967" i="13"/>
  <c r="N5966" i="14"/>
  <c r="J5965" i="14" a="1"/>
  <c r="J5965" i="14" s="1"/>
  <c r="K5781" i="13" l="1"/>
  <c r="L5781" i="13" s="1"/>
  <c r="I5782" i="13" s="1"/>
  <c r="K5803" i="14"/>
  <c r="L5803" i="14" s="1"/>
  <c r="I5804" i="14" s="1"/>
  <c r="N5967" i="14"/>
  <c r="J5966" i="14" a="1"/>
  <c r="J5966" i="14" s="1"/>
  <c r="M5971" i="14"/>
  <c r="J5967" i="13" a="1"/>
  <c r="J5967" i="13" s="1"/>
  <c r="N5968" i="13"/>
  <c r="M5970" i="13"/>
  <c r="K5804" i="14" l="1"/>
  <c r="L5804" i="14" s="1"/>
  <c r="I5805" i="14" s="1"/>
  <c r="K5782" i="13"/>
  <c r="L5782" i="13" s="1"/>
  <c r="I5783" i="13" s="1"/>
  <c r="J5968" i="13" a="1"/>
  <c r="J5968" i="13" s="1"/>
  <c r="N5969" i="13"/>
  <c r="M5971" i="13"/>
  <c r="M5972" i="14"/>
  <c r="J5967" i="14" a="1"/>
  <c r="J5967" i="14" s="1"/>
  <c r="N5968" i="14"/>
  <c r="K5783" i="13" l="1"/>
  <c r="L5783" i="13" s="1"/>
  <c r="I5784" i="13" s="1"/>
  <c r="K5805" i="14"/>
  <c r="L5805" i="14" s="1"/>
  <c r="I5806" i="14" s="1"/>
  <c r="J5968" i="14" a="1"/>
  <c r="J5968" i="14" s="1"/>
  <c r="N5969" i="14"/>
  <c r="M5972" i="13"/>
  <c r="N5970" i="13"/>
  <c r="J5969" i="13" a="1"/>
  <c r="J5969" i="13" s="1"/>
  <c r="M5973" i="14"/>
  <c r="K5806" i="14" l="1"/>
  <c r="L5806" i="14" s="1"/>
  <c r="I5807" i="14" s="1"/>
  <c r="K5784" i="13"/>
  <c r="L5784" i="13" s="1"/>
  <c r="I5785" i="13" s="1"/>
  <c r="J5970" i="13" a="1"/>
  <c r="J5970" i="13" s="1"/>
  <c r="N5971" i="13"/>
  <c r="M5974" i="14"/>
  <c r="M5973" i="13"/>
  <c r="N5970" i="14"/>
  <c r="J5969" i="14" a="1"/>
  <c r="J5969" i="14" s="1"/>
  <c r="K5785" i="13" l="1"/>
  <c r="L5785" i="13" s="1"/>
  <c r="I5786" i="13" s="1"/>
  <c r="K5807" i="14"/>
  <c r="L5807" i="14" s="1"/>
  <c r="I5808" i="14" s="1"/>
  <c r="M5975" i="14"/>
  <c r="J5971" i="13" a="1"/>
  <c r="J5971" i="13" s="1"/>
  <c r="N5972" i="13"/>
  <c r="N5971" i="14"/>
  <c r="J5970" i="14" a="1"/>
  <c r="J5970" i="14" s="1"/>
  <c r="M5974" i="13"/>
  <c r="K5808" i="14" l="1"/>
  <c r="L5808" i="14" s="1"/>
  <c r="I5809" i="14" s="1"/>
  <c r="K5786" i="13"/>
  <c r="L5786" i="13" s="1"/>
  <c r="I5787" i="13" s="1"/>
  <c r="J5972" i="13" a="1"/>
  <c r="J5972" i="13" s="1"/>
  <c r="N5973" i="13"/>
  <c r="M5975" i="13"/>
  <c r="J5971" i="14" a="1"/>
  <c r="J5971" i="14" s="1"/>
  <c r="N5972" i="14"/>
  <c r="M5976" i="14"/>
  <c r="K5787" i="13" l="1"/>
  <c r="L5787" i="13" s="1"/>
  <c r="I5788" i="13" s="1"/>
  <c r="K5809" i="14"/>
  <c r="L5809" i="14" s="1"/>
  <c r="I5810" i="14" s="1"/>
  <c r="M5977" i="14"/>
  <c r="M5976" i="13"/>
  <c r="N5974" i="13"/>
  <c r="J5973" i="13" a="1"/>
  <c r="J5973" i="13" s="1"/>
  <c r="J5972" i="14" a="1"/>
  <c r="J5972" i="14" s="1"/>
  <c r="N5973" i="14"/>
  <c r="K5810" i="14" l="1"/>
  <c r="L5810" i="14" s="1"/>
  <c r="I5811" i="14" s="1"/>
  <c r="K5788" i="13"/>
  <c r="L5788" i="13" s="1"/>
  <c r="I5789" i="13" s="1"/>
  <c r="M5977" i="13"/>
  <c r="M5978" i="14"/>
  <c r="N5974" i="14"/>
  <c r="J5973" i="14" a="1"/>
  <c r="J5973" i="14" s="1"/>
  <c r="J5974" i="13" a="1"/>
  <c r="J5974" i="13" s="1"/>
  <c r="N5975" i="13"/>
  <c r="K5789" i="13" l="1"/>
  <c r="L5789" i="13" s="1"/>
  <c r="I5790" i="13" s="1"/>
  <c r="K5811" i="14"/>
  <c r="L5811" i="14" s="1"/>
  <c r="I5812" i="14" s="1"/>
  <c r="M5979" i="14"/>
  <c r="J5975" i="13" a="1"/>
  <c r="J5975" i="13" s="1"/>
  <c r="N5976" i="13"/>
  <c r="N5975" i="14"/>
  <c r="J5974" i="14" a="1"/>
  <c r="J5974" i="14" s="1"/>
  <c r="M5978" i="13"/>
  <c r="K5812" i="14" l="1"/>
  <c r="L5812" i="14" s="1"/>
  <c r="I5813" i="14" s="1"/>
  <c r="K5790" i="13"/>
  <c r="L5790" i="13" s="1"/>
  <c r="I5791" i="13" s="1"/>
  <c r="J5976" i="13" a="1"/>
  <c r="J5976" i="13" s="1"/>
  <c r="N5977" i="13"/>
  <c r="M5979" i="13"/>
  <c r="J5975" i="14" a="1"/>
  <c r="J5975" i="14" s="1"/>
  <c r="N5976" i="14"/>
  <c r="M5980" i="14"/>
  <c r="K5791" i="13" l="1"/>
  <c r="L5791" i="13" s="1"/>
  <c r="I5792" i="13" s="1"/>
  <c r="K5813" i="14"/>
  <c r="L5813" i="14" s="1"/>
  <c r="I5814" i="14" s="1"/>
  <c r="M5981" i="14"/>
  <c r="M5980" i="13"/>
  <c r="N5978" i="13"/>
  <c r="J5977" i="13" a="1"/>
  <c r="J5977" i="13" s="1"/>
  <c r="J5976" i="14" a="1"/>
  <c r="J5976" i="14" s="1"/>
  <c r="N5977" i="14"/>
  <c r="K5814" i="14" l="1"/>
  <c r="L5814" i="14" s="1"/>
  <c r="I5815" i="14" s="1"/>
  <c r="K5792" i="13"/>
  <c r="L5792" i="13" s="1"/>
  <c r="I5793" i="13" s="1"/>
  <c r="N5978" i="14"/>
  <c r="J5977" i="14" a="1"/>
  <c r="J5977" i="14" s="1"/>
  <c r="M5981" i="13"/>
  <c r="M5982" i="14"/>
  <c r="J5978" i="13" a="1"/>
  <c r="J5978" i="13" s="1"/>
  <c r="N5979" i="13"/>
  <c r="K5793" i="13" l="1"/>
  <c r="L5793" i="13" s="1"/>
  <c r="I5794" i="13" s="1"/>
  <c r="K5815" i="14"/>
  <c r="L5815" i="14" s="1"/>
  <c r="I5816" i="14" s="1"/>
  <c r="J5979" i="13" a="1"/>
  <c r="J5979" i="13" s="1"/>
  <c r="N5980" i="13"/>
  <c r="M5982" i="13"/>
  <c r="M5983" i="14"/>
  <c r="N5979" i="14"/>
  <c r="J5978" i="14" a="1"/>
  <c r="J5978" i="14" s="1"/>
  <c r="K5816" i="14" l="1"/>
  <c r="L5816" i="14" s="1"/>
  <c r="I5817" i="14" s="1"/>
  <c r="K5794" i="13"/>
  <c r="L5794" i="13" s="1"/>
  <c r="I5795" i="13" s="1"/>
  <c r="J5979" i="14" a="1"/>
  <c r="J5979" i="14" s="1"/>
  <c r="N5980" i="14"/>
  <c r="M5983" i="13"/>
  <c r="J5980" i="13" a="1"/>
  <c r="J5980" i="13" s="1"/>
  <c r="N5981" i="13"/>
  <c r="M5984" i="14"/>
  <c r="K5795" i="13" l="1"/>
  <c r="L5795" i="13" s="1"/>
  <c r="I5796" i="13" s="1"/>
  <c r="K5817" i="14"/>
  <c r="L5817" i="14" s="1"/>
  <c r="I5818" i="14" s="1"/>
  <c r="M5985" i="14"/>
  <c r="M5984" i="13"/>
  <c r="J5980" i="14" a="1"/>
  <c r="J5980" i="14" s="1"/>
  <c r="N5981" i="14"/>
  <c r="N5982" i="13"/>
  <c r="J5981" i="13" a="1"/>
  <c r="J5981" i="13" s="1"/>
  <c r="K5818" i="14" l="1"/>
  <c r="L5818" i="14" s="1"/>
  <c r="I5819" i="14" s="1"/>
  <c r="K5796" i="13"/>
  <c r="L5796" i="13" s="1"/>
  <c r="I5797" i="13" s="1"/>
  <c r="M5985" i="13"/>
  <c r="N5982" i="14"/>
  <c r="J5981" i="14" a="1"/>
  <c r="J5981" i="14" s="1"/>
  <c r="M5986" i="14"/>
  <c r="J5982" i="13" a="1"/>
  <c r="J5982" i="13" s="1"/>
  <c r="N5983" i="13"/>
  <c r="K5797" i="13" l="1"/>
  <c r="L5797" i="13" s="1"/>
  <c r="I5798" i="13" s="1"/>
  <c r="K5819" i="14"/>
  <c r="L5819" i="14" s="1"/>
  <c r="I5820" i="14" s="1"/>
  <c r="N5983" i="14"/>
  <c r="J5982" i="14" a="1"/>
  <c r="J5982" i="14" s="1"/>
  <c r="J5983" i="13" a="1"/>
  <c r="J5983" i="13" s="1"/>
  <c r="N5984" i="13"/>
  <c r="M5987" i="14"/>
  <c r="M5986" i="13"/>
  <c r="K5820" i="14" l="1"/>
  <c r="L5820" i="14" s="1"/>
  <c r="I5821" i="14" s="1"/>
  <c r="K5798" i="13"/>
  <c r="L5798" i="13" s="1"/>
  <c r="I5799" i="13" s="1"/>
  <c r="J5984" i="13" a="1"/>
  <c r="J5984" i="13" s="1"/>
  <c r="N5985" i="13"/>
  <c r="M5987" i="13"/>
  <c r="M5988" i="14"/>
  <c r="J5983" i="14" a="1"/>
  <c r="J5983" i="14" s="1"/>
  <c r="N5984" i="14"/>
  <c r="K5799" i="13" l="1"/>
  <c r="L5799" i="13" s="1"/>
  <c r="I5800" i="13" s="1"/>
  <c r="K5821" i="14"/>
  <c r="L5821" i="14" s="1"/>
  <c r="I5822" i="14" s="1"/>
  <c r="J5984" i="14" a="1"/>
  <c r="J5984" i="14" s="1"/>
  <c r="N5985" i="14"/>
  <c r="M5988" i="13"/>
  <c r="N5986" i="13"/>
  <c r="J5985" i="13" a="1"/>
  <c r="J5985" i="13" s="1"/>
  <c r="M5989" i="14"/>
  <c r="K5822" i="14" l="1"/>
  <c r="L5822" i="14" s="1"/>
  <c r="I5823" i="14" s="1"/>
  <c r="K5800" i="13"/>
  <c r="L5800" i="13" s="1"/>
  <c r="I5801" i="13" s="1"/>
  <c r="J5986" i="13" a="1"/>
  <c r="J5986" i="13" s="1"/>
  <c r="N5987" i="13"/>
  <c r="M5990" i="14"/>
  <c r="M5989" i="13"/>
  <c r="J5985" i="14" a="1"/>
  <c r="J5985" i="14" s="1"/>
  <c r="N5986" i="14"/>
  <c r="K5801" i="13" l="1"/>
  <c r="L5801" i="13" s="1"/>
  <c r="I5802" i="13" s="1"/>
  <c r="K5823" i="14"/>
  <c r="L5823" i="14" s="1"/>
  <c r="I5824" i="14" s="1"/>
  <c r="M5991" i="14"/>
  <c r="J5987" i="13" a="1"/>
  <c r="J5987" i="13" s="1"/>
  <c r="N5988" i="13"/>
  <c r="N5987" i="14"/>
  <c r="J5986" i="14" a="1"/>
  <c r="J5986" i="14" s="1"/>
  <c r="M5990" i="13"/>
  <c r="K5824" i="14" l="1"/>
  <c r="L5824" i="14" s="1"/>
  <c r="I5825" i="14" s="1"/>
  <c r="K5802" i="13"/>
  <c r="L5802" i="13" s="1"/>
  <c r="I5803" i="13" s="1"/>
  <c r="J5988" i="13" a="1"/>
  <c r="J5988" i="13" s="1"/>
  <c r="N5989" i="13"/>
  <c r="M5991" i="13"/>
  <c r="J5987" i="14" a="1"/>
  <c r="J5987" i="14" s="1"/>
  <c r="N5988" i="14"/>
  <c r="M5992" i="14"/>
  <c r="K5803" i="13" l="1"/>
  <c r="L5803" i="13" s="1"/>
  <c r="I5804" i="13" s="1"/>
  <c r="K5825" i="14"/>
  <c r="L5825" i="14" s="1"/>
  <c r="I5826" i="14" s="1"/>
  <c r="J5988" i="14" a="1"/>
  <c r="J5988" i="14" s="1"/>
  <c r="N5989" i="14"/>
  <c r="M5993" i="14"/>
  <c r="M5992" i="13"/>
  <c r="N5990" i="13"/>
  <c r="J5989" i="13" a="1"/>
  <c r="J5989" i="13" s="1"/>
  <c r="K5826" i="14" l="1"/>
  <c r="L5826" i="14" s="1"/>
  <c r="I5827" i="14" s="1"/>
  <c r="K5804" i="13"/>
  <c r="L5804" i="13" s="1"/>
  <c r="I5805" i="13" s="1"/>
  <c r="M5994" i="14"/>
  <c r="J5990" i="13" a="1"/>
  <c r="J5990" i="13" s="1"/>
  <c r="N5991" i="13"/>
  <c r="N5990" i="14"/>
  <c r="J5989" i="14" a="1"/>
  <c r="J5989" i="14" s="1"/>
  <c r="M5993" i="13"/>
  <c r="K5805" i="13" l="1"/>
  <c r="L5805" i="13" s="1"/>
  <c r="I5806" i="13" s="1"/>
  <c r="K5827" i="14"/>
  <c r="L5827" i="14" s="1"/>
  <c r="I5828" i="14" s="1"/>
  <c r="J5991" i="13" a="1"/>
  <c r="J5991" i="13" s="1"/>
  <c r="N5992" i="13"/>
  <c r="M5994" i="13"/>
  <c r="N5991" i="14"/>
  <c r="J5990" i="14" a="1"/>
  <c r="J5990" i="14" s="1"/>
  <c r="M5995" i="14"/>
  <c r="K5828" i="14" l="1"/>
  <c r="L5828" i="14" s="1"/>
  <c r="I5829" i="14" s="1"/>
  <c r="K5806" i="13"/>
  <c r="L5806" i="13" s="1"/>
  <c r="I5807" i="13" s="1"/>
  <c r="J5991" i="14" a="1"/>
  <c r="J5991" i="14" s="1"/>
  <c r="N5992" i="14"/>
  <c r="M5996" i="14"/>
  <c r="M5995" i="13"/>
  <c r="J5992" i="13" a="1"/>
  <c r="J5992" i="13" s="1"/>
  <c r="N5993" i="13"/>
  <c r="K5807" i="13" l="1"/>
  <c r="L5807" i="13" s="1"/>
  <c r="I5808" i="13" s="1"/>
  <c r="K5829" i="14"/>
  <c r="L5829" i="14" s="1"/>
  <c r="I5830" i="14" s="1"/>
  <c r="N5994" i="13"/>
  <c r="J5993" i="13" a="1"/>
  <c r="J5993" i="13" s="1"/>
  <c r="M5997" i="14"/>
  <c r="J5992" i="14" a="1"/>
  <c r="J5992" i="14" s="1"/>
  <c r="N5993" i="14"/>
  <c r="M5996" i="13"/>
  <c r="K5830" i="14" l="1"/>
  <c r="L5830" i="14" s="1"/>
  <c r="I5831" i="14" s="1"/>
  <c r="K5808" i="13"/>
  <c r="L5808" i="13" s="1"/>
  <c r="I5809" i="13" s="1"/>
  <c r="M5997" i="13"/>
  <c r="M5998" i="14"/>
  <c r="J5993" i="14" a="1"/>
  <c r="J5993" i="14" s="1"/>
  <c r="N5994" i="14"/>
  <c r="J5994" i="13" a="1"/>
  <c r="J5994" i="13" s="1"/>
  <c r="N5995" i="13"/>
  <c r="K5809" i="13" l="1"/>
  <c r="L5809" i="13" s="1"/>
  <c r="I5810" i="13" s="1"/>
  <c r="K5831" i="14"/>
  <c r="L5831" i="14" s="1"/>
  <c r="I5832" i="14" s="1"/>
  <c r="J5995" i="13" a="1"/>
  <c r="J5995" i="13" s="1"/>
  <c r="N5996" i="13"/>
  <c r="M5999" i="14"/>
  <c r="N5995" i="14"/>
  <c r="J5994" i="14" a="1"/>
  <c r="J5994" i="14" s="1"/>
  <c r="M5998" i="13"/>
  <c r="K5832" i="14" l="1"/>
  <c r="L5832" i="14" s="1"/>
  <c r="I5833" i="14" s="1"/>
  <c r="K5810" i="13"/>
  <c r="L5810" i="13" s="1"/>
  <c r="I5811" i="13" s="1"/>
  <c r="J5995" i="14" a="1"/>
  <c r="J5995" i="14" s="1"/>
  <c r="N5996" i="14"/>
  <c r="M5999" i="13"/>
  <c r="M6000" i="14"/>
  <c r="J5996" i="13" a="1"/>
  <c r="J5996" i="13" s="1"/>
  <c r="N5997" i="13"/>
  <c r="K5811" i="13" l="1"/>
  <c r="L5811" i="13" s="1"/>
  <c r="I5812" i="13" s="1"/>
  <c r="K5833" i="14"/>
  <c r="L5833" i="14" s="1"/>
  <c r="I5834" i="14" s="1"/>
  <c r="M6000" i="13"/>
  <c r="N5998" i="13"/>
  <c r="J5997" i="13" a="1"/>
  <c r="J5997" i="13" s="1"/>
  <c r="M6001" i="14"/>
  <c r="J5996" i="14" a="1"/>
  <c r="J5996" i="14" s="1"/>
  <c r="N5997" i="14"/>
  <c r="K5834" i="14" l="1"/>
  <c r="L5834" i="14" s="1"/>
  <c r="I5835" i="14" s="1"/>
  <c r="K5812" i="13"/>
  <c r="L5812" i="13" s="1"/>
  <c r="I5813" i="13" s="1"/>
  <c r="J5998" i="13" a="1"/>
  <c r="J5998" i="13" s="1"/>
  <c r="N5999" i="13"/>
  <c r="M6001" i="13"/>
  <c r="N5998" i="14"/>
  <c r="J5997" i="14" a="1"/>
  <c r="J5997" i="14" s="1"/>
  <c r="M6002" i="14"/>
  <c r="K5813" i="13" l="1"/>
  <c r="L5813" i="13" s="1"/>
  <c r="I5814" i="13" s="1"/>
  <c r="K5835" i="14"/>
  <c r="L5835" i="14" s="1"/>
  <c r="I5836" i="14" s="1"/>
  <c r="J5999" i="13" a="1"/>
  <c r="J5999" i="13" s="1"/>
  <c r="N6000" i="13"/>
  <c r="M6003" i="14"/>
  <c r="M6002" i="13"/>
  <c r="N5999" i="14"/>
  <c r="J5998" i="14" a="1"/>
  <c r="J5998" i="14" s="1"/>
  <c r="K5836" i="14" l="1"/>
  <c r="L5836" i="14" s="1"/>
  <c r="I5837" i="14" s="1"/>
  <c r="K5814" i="13"/>
  <c r="L5814" i="13" s="1"/>
  <c r="I5815" i="13" s="1"/>
  <c r="J5999" i="14" a="1"/>
  <c r="J5999" i="14" s="1"/>
  <c r="N6000" i="14"/>
  <c r="M6004" i="14"/>
  <c r="J6000" i="13" a="1"/>
  <c r="J6000" i="13" s="1"/>
  <c r="N6001" i="13"/>
  <c r="M6003" i="13"/>
  <c r="K5815" i="13" l="1"/>
  <c r="L5815" i="13" s="1"/>
  <c r="I5816" i="13" s="1"/>
  <c r="K5837" i="14"/>
  <c r="L5837" i="14" s="1"/>
  <c r="I5838" i="14" s="1"/>
  <c r="M6005" i="14"/>
  <c r="N6002" i="13"/>
  <c r="J6001" i="13" a="1"/>
  <c r="J6001" i="13" s="1"/>
  <c r="M6004" i="13"/>
  <c r="J6000" i="14" a="1"/>
  <c r="J6000" i="14" s="1"/>
  <c r="N6001" i="14"/>
  <c r="K5838" i="14" l="1"/>
  <c r="L5838" i="14" s="1"/>
  <c r="I5839" i="14" s="1"/>
  <c r="K5816" i="13"/>
  <c r="L5816" i="13" s="1"/>
  <c r="I5817" i="13" s="1"/>
  <c r="J6002" i="13" a="1"/>
  <c r="J6002" i="13" s="1"/>
  <c r="N6003" i="13"/>
  <c r="N6002" i="14"/>
  <c r="J6001" i="14" a="1"/>
  <c r="J6001" i="14" s="1"/>
  <c r="M6005" i="13"/>
  <c r="M6006" i="14"/>
  <c r="K5817" i="13" l="1"/>
  <c r="L5817" i="13" s="1"/>
  <c r="I5818" i="13" s="1"/>
  <c r="K5839" i="14"/>
  <c r="L5839" i="14" s="1"/>
  <c r="I5840" i="14" s="1"/>
  <c r="N6003" i="14"/>
  <c r="J6002" i="14" a="1"/>
  <c r="J6002" i="14" s="1"/>
  <c r="J6003" i="13" a="1"/>
  <c r="J6003" i="13" s="1"/>
  <c r="N6004" i="13"/>
  <c r="M6007" i="14"/>
  <c r="M6006" i="13"/>
  <c r="K5840" i="14" l="1"/>
  <c r="L5840" i="14" s="1"/>
  <c r="I5841" i="14" s="1"/>
  <c r="K5818" i="13"/>
  <c r="L5818" i="13" s="1"/>
  <c r="I5819" i="13" s="1"/>
  <c r="J6004" i="13" a="1"/>
  <c r="J6004" i="13" s="1"/>
  <c r="N6005" i="13"/>
  <c r="M6007" i="13"/>
  <c r="M6008" i="14"/>
  <c r="J6003" i="14" a="1"/>
  <c r="J6003" i="14" s="1"/>
  <c r="N6004" i="14"/>
  <c r="K5819" i="13" l="1"/>
  <c r="L5819" i="13" s="1"/>
  <c r="I5820" i="13" s="1"/>
  <c r="K5841" i="14"/>
  <c r="L5841" i="14" s="1"/>
  <c r="I5842" i="14" s="1"/>
  <c r="J6004" i="14" a="1"/>
  <c r="J6004" i="14" s="1"/>
  <c r="N6005" i="14"/>
  <c r="M6008" i="13"/>
  <c r="N6006" i="13"/>
  <c r="J6005" i="13" a="1"/>
  <c r="J6005" i="13" s="1"/>
  <c r="M6009" i="14"/>
  <c r="K5842" i="14" l="1"/>
  <c r="L5842" i="14" s="1"/>
  <c r="I5843" i="14" s="1"/>
  <c r="K5820" i="13"/>
  <c r="L5820" i="13" s="1"/>
  <c r="I5821" i="13" s="1"/>
  <c r="M6009" i="13"/>
  <c r="M6010" i="14"/>
  <c r="N6006" i="14"/>
  <c r="J6005" i="14" a="1"/>
  <c r="J6005" i="14" s="1"/>
  <c r="J6006" i="13" a="1"/>
  <c r="J6006" i="13" s="1"/>
  <c r="N6007" i="13"/>
  <c r="K5821" i="13" l="1"/>
  <c r="L5821" i="13" s="1"/>
  <c r="I5822" i="13" s="1"/>
  <c r="K5843" i="14"/>
  <c r="L5843" i="14" s="1"/>
  <c r="I5844" i="14" s="1"/>
  <c r="J6007" i="13" a="1"/>
  <c r="J6007" i="13" s="1"/>
  <c r="N6008" i="13"/>
  <c r="M6011" i="14"/>
  <c r="N6007" i="14"/>
  <c r="J6006" i="14" a="1"/>
  <c r="J6006" i="14" s="1"/>
  <c r="M6010" i="13"/>
  <c r="K5844" i="14" l="1"/>
  <c r="L5844" i="14" s="1"/>
  <c r="I5845" i="14" s="1"/>
  <c r="K5822" i="13"/>
  <c r="L5822" i="13" s="1"/>
  <c r="I5823" i="13" s="1"/>
  <c r="M6012" i="14"/>
  <c r="N6008" i="14"/>
  <c r="J6007" i="14" a="1"/>
  <c r="J6007" i="14" s="1"/>
  <c r="M6011" i="13"/>
  <c r="J6008" i="13" a="1"/>
  <c r="J6008" i="13" s="1"/>
  <c r="N6009" i="13"/>
  <c r="K5823" i="13" l="1"/>
  <c r="L5823" i="13" s="1"/>
  <c r="I5824" i="13" s="1"/>
  <c r="K5845" i="14"/>
  <c r="L5845" i="14" s="1"/>
  <c r="I5846" i="14" s="1"/>
  <c r="N6010" i="13"/>
  <c r="J6009" i="13" a="1"/>
  <c r="J6009" i="13" s="1"/>
  <c r="N6009" i="14"/>
  <c r="J6008" i="14" a="1"/>
  <c r="J6008" i="14" s="1"/>
  <c r="M6013" i="14"/>
  <c r="M6012" i="13"/>
  <c r="K5846" i="14" l="1"/>
  <c r="L5846" i="14" s="1"/>
  <c r="I5847" i="14" s="1"/>
  <c r="K5824" i="13"/>
  <c r="L5824" i="13" s="1"/>
  <c r="I5825" i="13" s="1"/>
  <c r="M6013" i="13"/>
  <c r="N6010" i="14"/>
  <c r="J6009" i="14" a="1"/>
  <c r="J6009" i="14" s="1"/>
  <c r="M6014" i="14"/>
  <c r="J6010" i="13" a="1"/>
  <c r="J6010" i="13" s="1"/>
  <c r="N6011" i="13"/>
  <c r="K5825" i="13" l="1"/>
  <c r="L5825" i="13" s="1"/>
  <c r="I5826" i="13" s="1"/>
  <c r="K5847" i="14"/>
  <c r="L5847" i="14" s="1"/>
  <c r="I5848" i="14" s="1"/>
  <c r="J6010" i="14" a="1"/>
  <c r="J6010" i="14" s="1"/>
  <c r="N6011" i="14"/>
  <c r="M6015" i="14"/>
  <c r="J6011" i="13" a="1"/>
  <c r="J6011" i="13" s="1"/>
  <c r="N6012" i="13"/>
  <c r="M6014" i="13"/>
  <c r="K5848" i="14" l="1"/>
  <c r="L5848" i="14" s="1"/>
  <c r="I5849" i="14" s="1"/>
  <c r="K5826" i="13"/>
  <c r="L5826" i="13" s="1"/>
  <c r="I5827" i="13" s="1"/>
  <c r="M6016" i="14"/>
  <c r="M6015" i="13"/>
  <c r="N6012" i="14"/>
  <c r="J6011" i="14" a="1"/>
  <c r="J6011" i="14" s="1"/>
  <c r="J6012" i="13" a="1"/>
  <c r="J6012" i="13" s="1"/>
  <c r="N6013" i="13"/>
  <c r="K5827" i="13" l="1"/>
  <c r="L5827" i="13" s="1"/>
  <c r="I5828" i="13" s="1"/>
  <c r="K5849" i="14"/>
  <c r="L5849" i="14" s="1"/>
  <c r="I5850" i="14" s="1"/>
  <c r="N6014" i="13"/>
  <c r="J6013" i="13" a="1"/>
  <c r="J6013" i="13" s="1"/>
  <c r="M6016" i="13"/>
  <c r="M6017" i="14"/>
  <c r="J6012" i="14" a="1"/>
  <c r="J6012" i="14" s="1"/>
  <c r="N6013" i="14"/>
  <c r="K5850" i="14" l="1"/>
  <c r="L5850" i="14" s="1"/>
  <c r="I5851" i="14" s="1"/>
  <c r="K5828" i="13"/>
  <c r="L5828" i="13" s="1"/>
  <c r="I5829" i="13" s="1"/>
  <c r="N6014" i="14"/>
  <c r="J6013" i="14" a="1"/>
  <c r="J6013" i="14" s="1"/>
  <c r="M6017" i="13"/>
  <c r="M6018" i="14"/>
  <c r="J6014" i="13" a="1"/>
  <c r="J6014" i="13" s="1"/>
  <c r="N6015" i="13"/>
  <c r="K5829" i="13" l="1"/>
  <c r="L5829" i="13" s="1"/>
  <c r="I5830" i="13" s="1"/>
  <c r="K5851" i="14"/>
  <c r="L5851" i="14" s="1"/>
  <c r="I5852" i="14" s="1"/>
  <c r="J6015" i="13" a="1"/>
  <c r="J6015" i="13" s="1"/>
  <c r="N6016" i="13"/>
  <c r="M6018" i="13"/>
  <c r="M6019" i="14"/>
  <c r="J6014" i="14" a="1"/>
  <c r="J6014" i="14" s="1"/>
  <c r="N6015" i="14"/>
  <c r="K5852" i="14" l="1"/>
  <c r="L5852" i="14" s="1"/>
  <c r="I5853" i="14" s="1"/>
  <c r="K5830" i="13"/>
  <c r="L5830" i="13" s="1"/>
  <c r="I5831" i="13" s="1"/>
  <c r="J6015" i="14" a="1"/>
  <c r="J6015" i="14" s="1"/>
  <c r="N6016" i="14"/>
  <c r="M6019" i="13"/>
  <c r="J6016" i="13" a="1"/>
  <c r="J6016" i="13" s="1"/>
  <c r="N6017" i="13"/>
  <c r="M6020" i="14"/>
  <c r="K5831" i="13" l="1"/>
  <c r="L5831" i="13" s="1"/>
  <c r="I5832" i="13" s="1"/>
  <c r="K5853" i="14"/>
  <c r="L5853" i="14" s="1"/>
  <c r="I5854" i="14" s="1"/>
  <c r="N6018" i="13"/>
  <c r="J6017" i="13" a="1"/>
  <c r="J6017" i="13" s="1"/>
  <c r="M6021" i="14"/>
  <c r="M6020" i="13"/>
  <c r="J6016" i="14" a="1"/>
  <c r="J6016" i="14" s="1"/>
  <c r="N6017" i="14"/>
  <c r="K5854" i="14" l="1"/>
  <c r="L5854" i="14" s="1"/>
  <c r="I5855" i="14" s="1"/>
  <c r="K5832" i="13"/>
  <c r="L5832" i="13" s="1"/>
  <c r="I5833" i="13" s="1"/>
  <c r="N6018" i="14"/>
  <c r="J6017" i="14" a="1"/>
  <c r="J6017" i="14" s="1"/>
  <c r="M6022" i="14"/>
  <c r="M6021" i="13"/>
  <c r="J6018" i="13" a="1"/>
  <c r="J6018" i="13" s="1"/>
  <c r="N6019" i="13"/>
  <c r="K5833" i="13" l="1"/>
  <c r="L5833" i="13" s="1"/>
  <c r="I5834" i="13" s="1"/>
  <c r="K5855" i="14"/>
  <c r="L5855" i="14" s="1"/>
  <c r="I5856" i="14" s="1"/>
  <c r="J6019" i="13" a="1"/>
  <c r="J6019" i="13" s="1"/>
  <c r="N6020" i="13"/>
  <c r="M6023" i="14"/>
  <c r="M6022" i="13"/>
  <c r="J6018" i="14" a="1"/>
  <c r="J6018" i="14" s="1"/>
  <c r="N6019" i="14"/>
  <c r="K5856" i="14" l="1"/>
  <c r="L5856" i="14" s="1"/>
  <c r="I5857" i="14" s="1"/>
  <c r="K5834" i="13"/>
  <c r="L5834" i="13" s="1"/>
  <c r="I5835" i="13" s="1"/>
  <c r="N6020" i="14"/>
  <c r="J6019" i="14" a="1"/>
  <c r="J6019" i="14" s="1"/>
  <c r="M6024" i="14"/>
  <c r="J6020" i="13" a="1"/>
  <c r="J6020" i="13" s="1"/>
  <c r="N6021" i="13"/>
  <c r="M6023" i="13"/>
  <c r="K5835" i="13" l="1"/>
  <c r="L5835" i="13" s="1"/>
  <c r="I5836" i="13" s="1"/>
  <c r="K5857" i="14"/>
  <c r="L5857" i="14" s="1"/>
  <c r="I5858" i="14" s="1"/>
  <c r="M6025" i="14"/>
  <c r="N6022" i="13"/>
  <c r="J6021" i="13" a="1"/>
  <c r="J6021" i="13" s="1"/>
  <c r="M6024" i="13"/>
  <c r="N6021" i="14"/>
  <c r="J6020" i="14" a="1"/>
  <c r="J6020" i="14" s="1"/>
  <c r="K5858" i="14" l="1"/>
  <c r="L5858" i="14" s="1"/>
  <c r="I5859" i="14" s="1"/>
  <c r="K5836" i="13"/>
  <c r="L5836" i="13" s="1"/>
  <c r="I5837" i="13" s="1"/>
  <c r="J6022" i="13" a="1"/>
  <c r="J6022" i="13" s="1"/>
  <c r="N6023" i="13"/>
  <c r="N6022" i="14"/>
  <c r="J6021" i="14" a="1"/>
  <c r="J6021" i="14" s="1"/>
  <c r="M6025" i="13"/>
  <c r="M6026" i="14"/>
  <c r="K5837" i="13" l="1"/>
  <c r="L5837" i="13" s="1"/>
  <c r="I5838" i="13" s="1"/>
  <c r="K5859" i="14"/>
  <c r="L5859" i="14" s="1"/>
  <c r="I5860" i="14" s="1"/>
  <c r="M6027" i="14"/>
  <c r="J6022" i="14" a="1"/>
  <c r="J6022" i="14" s="1"/>
  <c r="N6023" i="14"/>
  <c r="J6023" i="13" a="1"/>
  <c r="J6023" i="13" s="1"/>
  <c r="N6024" i="13"/>
  <c r="M6026" i="13"/>
  <c r="K5860" i="14" l="1"/>
  <c r="L5860" i="14" s="1"/>
  <c r="I5861" i="14" s="1"/>
  <c r="K5838" i="13"/>
  <c r="L5838" i="13" s="1"/>
  <c r="I5839" i="13" s="1"/>
  <c r="N6024" i="14"/>
  <c r="J6023" i="14" a="1"/>
  <c r="J6023" i="14" s="1"/>
  <c r="J6024" i="13" a="1"/>
  <c r="J6024" i="13" s="1"/>
  <c r="N6025" i="13"/>
  <c r="M6028" i="14"/>
  <c r="M6027" i="13"/>
  <c r="K5839" i="13" l="1"/>
  <c r="L5839" i="13" s="1"/>
  <c r="I5840" i="13" s="1"/>
  <c r="K5861" i="14"/>
  <c r="L5861" i="14" s="1"/>
  <c r="I5862" i="14" s="1"/>
  <c r="N6026" i="13"/>
  <c r="J6025" i="13" a="1"/>
  <c r="J6025" i="13" s="1"/>
  <c r="M6028" i="13"/>
  <c r="M6029" i="14"/>
  <c r="N6025" i="14"/>
  <c r="J6024" i="14" a="1"/>
  <c r="J6024" i="14" s="1"/>
  <c r="K5862" i="14" l="1"/>
  <c r="L5862" i="14" s="1"/>
  <c r="I5863" i="14" s="1"/>
  <c r="K5840" i="13"/>
  <c r="L5840" i="13" s="1"/>
  <c r="I5841" i="13" s="1"/>
  <c r="M6029" i="13"/>
  <c r="N6026" i="14"/>
  <c r="J6025" i="14" a="1"/>
  <c r="J6025" i="14" s="1"/>
  <c r="M6030" i="14"/>
  <c r="J6026" i="13" a="1"/>
  <c r="J6026" i="13" s="1"/>
  <c r="N6027" i="13"/>
  <c r="K5841" i="13" l="1"/>
  <c r="L5841" i="13" s="1"/>
  <c r="I5842" i="13" s="1"/>
  <c r="K5863" i="14"/>
  <c r="L5863" i="14" s="1"/>
  <c r="I5864" i="14" s="1"/>
  <c r="J6027" i="13" a="1"/>
  <c r="J6027" i="13" s="1"/>
  <c r="N6028" i="13"/>
  <c r="J6026" i="14" a="1"/>
  <c r="J6026" i="14" s="1"/>
  <c r="N6027" i="14"/>
  <c r="M6031" i="14"/>
  <c r="M6030" i="13"/>
  <c r="K5864" i="14" l="1"/>
  <c r="L5864" i="14" s="1"/>
  <c r="I5865" i="14" s="1"/>
  <c r="K5842" i="13"/>
  <c r="L5842" i="13" s="1"/>
  <c r="I5843" i="13" s="1"/>
  <c r="N6028" i="14"/>
  <c r="J6027" i="14" a="1"/>
  <c r="J6027" i="14" s="1"/>
  <c r="M6031" i="13"/>
  <c r="M6032" i="14"/>
  <c r="J6028" i="13" a="1"/>
  <c r="J6028" i="13" s="1"/>
  <c r="N6029" i="13"/>
  <c r="K5843" i="13" l="1"/>
  <c r="L5843" i="13" s="1"/>
  <c r="I5844" i="13" s="1"/>
  <c r="K5865" i="14"/>
  <c r="L5865" i="14" s="1"/>
  <c r="I5866" i="14" s="1"/>
  <c r="N6030" i="13"/>
  <c r="J6029" i="13" a="1"/>
  <c r="J6029" i="13" s="1"/>
  <c r="M6032" i="13"/>
  <c r="M6033" i="14"/>
  <c r="N6029" i="14"/>
  <c r="J6028" i="14" a="1"/>
  <c r="J6028" i="14" s="1"/>
  <c r="K5866" i="14" l="1"/>
  <c r="L5866" i="14" s="1"/>
  <c r="I5867" i="14" s="1"/>
  <c r="K5844" i="13"/>
  <c r="L5844" i="13" s="1"/>
  <c r="I5845" i="13" s="1"/>
  <c r="M6033" i="13"/>
  <c r="N6030" i="14"/>
  <c r="J6029" i="14" a="1"/>
  <c r="J6029" i="14" s="1"/>
  <c r="M6034" i="14"/>
  <c r="J6030" i="13" a="1"/>
  <c r="J6030" i="13" s="1"/>
  <c r="N6031" i="13"/>
  <c r="K5867" i="14" l="1"/>
  <c r="L5867" i="14" s="1"/>
  <c r="I5868" i="14" s="1"/>
  <c r="J6031" i="13" a="1"/>
  <c r="J6031" i="13" s="1"/>
  <c r="N6032" i="13"/>
  <c r="K5845" i="13"/>
  <c r="L5845" i="13" s="1"/>
  <c r="I5846" i="13" s="1"/>
  <c r="J6030" i="14" a="1"/>
  <c r="J6030" i="14" s="1"/>
  <c r="N6031" i="14"/>
  <c r="M6035" i="14"/>
  <c r="M6034" i="13"/>
  <c r="K5846" i="13" l="1"/>
  <c r="L5846" i="13" s="1"/>
  <c r="I5847" i="13" s="1"/>
  <c r="K5868" i="14"/>
  <c r="L5868" i="14" s="1"/>
  <c r="I5869" i="14" s="1"/>
  <c r="N6032" i="14"/>
  <c r="J6031" i="14" a="1"/>
  <c r="J6031" i="14" s="1"/>
  <c r="J6032" i="13" a="1"/>
  <c r="J6032" i="13" s="1"/>
  <c r="N6033" i="13"/>
  <c r="M6035" i="13"/>
  <c r="M6036" i="14"/>
  <c r="K5869" i="14" l="1"/>
  <c r="L5869" i="14" s="1"/>
  <c r="I5870" i="14" s="1"/>
  <c r="K5847" i="13"/>
  <c r="L5847" i="13" s="1"/>
  <c r="I5848" i="13" s="1"/>
  <c r="N6034" i="13"/>
  <c r="J6033" i="13" a="1"/>
  <c r="J6033" i="13" s="1"/>
  <c r="M6037" i="14"/>
  <c r="M6036" i="13"/>
  <c r="J6032" i="14" a="1"/>
  <c r="J6032" i="14" s="1"/>
  <c r="N6033" i="14"/>
  <c r="K5848" i="13" l="1"/>
  <c r="L5848" i="13" s="1"/>
  <c r="I5849" i="13" s="1"/>
  <c r="K5870" i="14"/>
  <c r="L5870" i="14" s="1"/>
  <c r="I5871" i="14" s="1"/>
  <c r="N6034" i="14"/>
  <c r="J6033" i="14" a="1"/>
  <c r="J6033" i="14" s="1"/>
  <c r="M6038" i="14"/>
  <c r="M6037" i="13"/>
  <c r="J6034" i="13" a="1"/>
  <c r="J6034" i="13" s="1"/>
  <c r="N6035" i="13"/>
  <c r="K5871" i="14" l="1"/>
  <c r="L5871" i="14" s="1"/>
  <c r="I5872" i="14" s="1"/>
  <c r="K5849" i="13"/>
  <c r="L5849" i="13" s="1"/>
  <c r="I5850" i="13" s="1"/>
  <c r="J6035" i="13" a="1"/>
  <c r="J6035" i="13" s="1"/>
  <c r="N6036" i="13"/>
  <c r="M6039" i="14"/>
  <c r="M6038" i="13"/>
  <c r="J6034" i="14" a="1"/>
  <c r="J6034" i="14" s="1"/>
  <c r="N6035" i="14"/>
  <c r="K5850" i="13" l="1"/>
  <c r="L5850" i="13" s="1"/>
  <c r="I5851" i="13" s="1"/>
  <c r="K5872" i="14"/>
  <c r="L5872" i="14" s="1"/>
  <c r="I5873" i="14" s="1"/>
  <c r="N6036" i="14"/>
  <c r="J6035" i="14" a="1"/>
  <c r="J6035" i="14" s="1"/>
  <c r="M6040" i="14"/>
  <c r="J6036" i="13" a="1"/>
  <c r="J6036" i="13" s="1"/>
  <c r="N6037" i="13"/>
  <c r="M6039" i="13"/>
  <c r="K5873" i="14" l="1"/>
  <c r="L5873" i="14" s="1"/>
  <c r="I5874" i="14" s="1"/>
  <c r="K5851" i="13"/>
  <c r="L5851" i="13" s="1"/>
  <c r="I5852" i="13" s="1"/>
  <c r="N6038" i="13"/>
  <c r="J6037" i="13" a="1"/>
  <c r="J6037" i="13" s="1"/>
  <c r="M6041" i="14"/>
  <c r="M6040" i="13"/>
  <c r="N6037" i="14"/>
  <c r="J6036" i="14" a="1"/>
  <c r="J6036" i="14" s="1"/>
  <c r="K5852" i="13" l="1"/>
  <c r="L5852" i="13" s="1"/>
  <c r="I5853" i="13" s="1"/>
  <c r="K5874" i="14"/>
  <c r="L5874" i="14" s="1"/>
  <c r="I5875" i="14" s="1"/>
  <c r="M6042" i="14"/>
  <c r="N6038" i="14"/>
  <c r="J6037" i="14" a="1"/>
  <c r="J6037" i="14" s="1"/>
  <c r="M6041" i="13"/>
  <c r="J6038" i="13" a="1"/>
  <c r="J6038" i="13" s="1"/>
  <c r="N6039" i="13"/>
  <c r="K5875" i="14" l="1"/>
  <c r="L5875" i="14" s="1"/>
  <c r="I5876" i="14" s="1"/>
  <c r="K5853" i="13"/>
  <c r="L5853" i="13" s="1"/>
  <c r="I5854" i="13" s="1"/>
  <c r="J6038" i="14" a="1"/>
  <c r="J6038" i="14" s="1"/>
  <c r="N6039" i="14"/>
  <c r="J6039" i="13" a="1"/>
  <c r="J6039" i="13" s="1"/>
  <c r="N6040" i="13"/>
  <c r="M6042" i="13"/>
  <c r="M6043" i="14"/>
  <c r="K5854" i="13" l="1"/>
  <c r="L5854" i="13" s="1"/>
  <c r="I5855" i="13" s="1"/>
  <c r="K5876" i="14"/>
  <c r="L5876" i="14" s="1"/>
  <c r="I5877" i="14" s="1"/>
  <c r="J6040" i="13" a="1"/>
  <c r="J6040" i="13" s="1"/>
  <c r="N6041" i="13"/>
  <c r="M6044" i="14"/>
  <c r="N6040" i="14"/>
  <c r="J6039" i="14" a="1"/>
  <c r="J6039" i="14" s="1"/>
  <c r="M6043" i="13"/>
  <c r="K5877" i="14" l="1"/>
  <c r="L5877" i="14" s="1"/>
  <c r="I5878" i="14" s="1"/>
  <c r="K5855" i="13"/>
  <c r="L5855" i="13" s="1"/>
  <c r="I5856" i="13" s="1"/>
  <c r="M6045" i="14"/>
  <c r="N6041" i="14"/>
  <c r="J6040" i="14" a="1"/>
  <c r="J6040" i="14" s="1"/>
  <c r="M6044" i="13"/>
  <c r="N6042" i="13"/>
  <c r="J6041" i="13" a="1"/>
  <c r="J6041" i="13" s="1"/>
  <c r="K5856" i="13" l="1"/>
  <c r="L5856" i="13" s="1"/>
  <c r="I5857" i="13" s="1"/>
  <c r="K5878" i="14"/>
  <c r="L5878" i="14" s="1"/>
  <c r="I5879" i="14" s="1"/>
  <c r="N6042" i="14"/>
  <c r="J6041" i="14" a="1"/>
  <c r="J6041" i="14" s="1"/>
  <c r="M6045" i="13"/>
  <c r="J6042" i="13" a="1"/>
  <c r="J6042" i="13" s="1"/>
  <c r="N6043" i="13"/>
  <c r="M6046" i="14"/>
  <c r="K5879" i="14" l="1"/>
  <c r="L5879" i="14" s="1"/>
  <c r="I5880" i="14" s="1"/>
  <c r="K5857" i="13"/>
  <c r="L5857" i="13" s="1"/>
  <c r="I5858" i="13" s="1"/>
  <c r="M6047" i="14"/>
  <c r="J6043" i="13" a="1"/>
  <c r="J6043" i="13" s="1"/>
  <c r="N6044" i="13"/>
  <c r="M6046" i="13"/>
  <c r="J6042" i="14" a="1"/>
  <c r="J6042" i="14" s="1"/>
  <c r="N6043" i="14"/>
  <c r="K5858" i="13" l="1"/>
  <c r="L5858" i="13" s="1"/>
  <c r="I5859" i="13" s="1"/>
  <c r="K5880" i="14"/>
  <c r="L5880" i="14" s="1"/>
  <c r="I5881" i="14" s="1"/>
  <c r="J6044" i="13" a="1"/>
  <c r="J6044" i="13" s="1"/>
  <c r="N6045" i="13"/>
  <c r="N6044" i="14"/>
  <c r="J6043" i="14" a="1"/>
  <c r="J6043" i="14" s="1"/>
  <c r="M6048" i="14"/>
  <c r="M6047" i="13"/>
  <c r="K5881" i="14" l="1"/>
  <c r="L5881" i="14" s="1"/>
  <c r="I5882" i="14" s="1"/>
  <c r="K5859" i="13"/>
  <c r="L5859" i="13" s="1"/>
  <c r="I5860" i="13" s="1"/>
  <c r="J6044" i="14" a="1"/>
  <c r="J6044" i="14" s="1"/>
  <c r="N6045" i="14"/>
  <c r="M6048" i="13"/>
  <c r="N6046" i="13"/>
  <c r="J6045" i="13" a="1"/>
  <c r="J6045" i="13" s="1"/>
  <c r="M6049" i="14"/>
  <c r="K5860" i="13" l="1"/>
  <c r="L5860" i="13" s="1"/>
  <c r="I5861" i="13" s="1"/>
  <c r="K5882" i="14"/>
  <c r="L5882" i="14" s="1"/>
  <c r="I5883" i="14" s="1"/>
  <c r="M6049" i="13"/>
  <c r="M6050" i="14"/>
  <c r="N6046" i="14"/>
  <c r="J6045" i="14" a="1"/>
  <c r="J6045" i="14" s="1"/>
  <c r="J6046" i="13" a="1"/>
  <c r="J6046" i="13" s="1"/>
  <c r="N6047" i="13"/>
  <c r="K5883" i="14" l="1"/>
  <c r="L5883" i="14" s="1"/>
  <c r="I5884" i="14" s="1"/>
  <c r="K5861" i="13"/>
  <c r="L5861" i="13" s="1"/>
  <c r="I5862" i="13" s="1"/>
  <c r="J6047" i="13" a="1"/>
  <c r="J6047" i="13" s="1"/>
  <c r="N6048" i="13"/>
  <c r="M6051" i="14"/>
  <c r="J6046" i="14" a="1"/>
  <c r="J6046" i="14" s="1"/>
  <c r="N6047" i="14"/>
  <c r="M6050" i="13"/>
  <c r="K5862" i="13" l="1"/>
  <c r="L5862" i="13" s="1"/>
  <c r="I5863" i="13" s="1"/>
  <c r="K5884" i="14"/>
  <c r="L5884" i="14" s="1"/>
  <c r="I5885" i="14" s="1"/>
  <c r="N6048" i="14"/>
  <c r="J6047" i="14" a="1"/>
  <c r="J6047" i="14" s="1"/>
  <c r="M6051" i="13"/>
  <c r="M6052" i="14"/>
  <c r="J6048" i="13" a="1"/>
  <c r="J6048" i="13" s="1"/>
  <c r="N6049" i="13"/>
  <c r="K5885" i="14" l="1"/>
  <c r="L5885" i="14" s="1"/>
  <c r="I5886" i="14" s="1"/>
  <c r="K5863" i="13"/>
  <c r="L5863" i="13" s="1"/>
  <c r="I5864" i="13" s="1"/>
  <c r="N6050" i="13"/>
  <c r="J6049" i="13" a="1"/>
  <c r="J6049" i="13" s="1"/>
  <c r="M6052" i="13"/>
  <c r="M6053" i="14"/>
  <c r="J6048" i="14" a="1"/>
  <c r="J6048" i="14" s="1"/>
  <c r="N6049" i="14"/>
  <c r="K5864" i="13" l="1"/>
  <c r="L5864" i="13" s="1"/>
  <c r="I5865" i="13" s="1"/>
  <c r="K5886" i="14"/>
  <c r="L5886" i="14" s="1"/>
  <c r="I5887" i="14" s="1"/>
  <c r="N6050" i="14"/>
  <c r="J6049" i="14" a="1"/>
  <c r="J6049" i="14" s="1"/>
  <c r="M6053" i="13"/>
  <c r="M6054" i="14"/>
  <c r="J6050" i="13" a="1"/>
  <c r="J6050" i="13" s="1"/>
  <c r="N6051" i="13"/>
  <c r="K5887" i="14" l="1"/>
  <c r="L5887" i="14" s="1"/>
  <c r="I5888" i="14" s="1"/>
  <c r="K5865" i="13"/>
  <c r="L5865" i="13" s="1"/>
  <c r="I5866" i="13" s="1"/>
  <c r="J6051" i="13" a="1"/>
  <c r="J6051" i="13" s="1"/>
  <c r="N6052" i="13"/>
  <c r="M6054" i="13"/>
  <c r="M6055" i="14"/>
  <c r="J6050" i="14" a="1"/>
  <c r="J6050" i="14" s="1"/>
  <c r="N6051" i="14"/>
  <c r="K5866" i="13" l="1"/>
  <c r="L5866" i="13" s="1"/>
  <c r="I5867" i="13" s="1"/>
  <c r="K5888" i="14"/>
  <c r="L5888" i="14" s="1"/>
  <c r="I5889" i="14" s="1"/>
  <c r="N6052" i="14"/>
  <c r="J6051" i="14" a="1"/>
  <c r="J6051" i="14" s="1"/>
  <c r="M6055" i="13"/>
  <c r="J6052" i="13" a="1"/>
  <c r="J6052" i="13" s="1"/>
  <c r="N6053" i="13"/>
  <c r="M6056" i="14"/>
  <c r="K5889" i="14" l="1"/>
  <c r="L5889" i="14" s="1"/>
  <c r="I5890" i="14" s="1"/>
  <c r="K5867" i="13"/>
  <c r="L5867" i="13" s="1"/>
  <c r="I5868" i="13" s="1"/>
  <c r="M6057" i="14"/>
  <c r="M6056" i="13"/>
  <c r="N6054" i="13"/>
  <c r="J6053" i="13" a="1"/>
  <c r="J6053" i="13" s="1"/>
  <c r="N6053" i="14"/>
  <c r="J6052" i="14" a="1"/>
  <c r="J6052" i="14" s="1"/>
  <c r="K5868" i="13" l="1"/>
  <c r="L5868" i="13" s="1"/>
  <c r="I5869" i="13" s="1"/>
  <c r="K5890" i="14"/>
  <c r="L5890" i="14" s="1"/>
  <c r="I5891" i="14" s="1"/>
  <c r="M6057" i="13"/>
  <c r="N6054" i="14"/>
  <c r="J6053" i="14" a="1"/>
  <c r="J6053" i="14" s="1"/>
  <c r="J6054" i="13" a="1"/>
  <c r="J6054" i="13" s="1"/>
  <c r="N6055" i="13"/>
  <c r="M6058" i="14"/>
  <c r="K5869" i="13" l="1"/>
  <c r="L5869" i="13" s="1"/>
  <c r="I5870" i="13" s="1"/>
  <c r="J6054" i="14" a="1"/>
  <c r="J6054" i="14" s="1"/>
  <c r="N6055" i="14"/>
  <c r="J6055" i="13" a="1"/>
  <c r="J6055" i="13" s="1"/>
  <c r="N6056" i="13"/>
  <c r="M6059" i="14"/>
  <c r="K5891" i="14"/>
  <c r="L5891" i="14" s="1"/>
  <c r="I5892" i="14" s="1"/>
  <c r="M6058" i="13"/>
  <c r="K5870" i="13" l="1"/>
  <c r="L5870" i="13" s="1"/>
  <c r="I5871" i="13" s="1"/>
  <c r="K5892" i="14"/>
  <c r="L5892" i="14" s="1"/>
  <c r="I5893" i="14" s="1"/>
  <c r="M6059" i="13"/>
  <c r="M6060" i="14"/>
  <c r="N6056" i="14"/>
  <c r="J6055" i="14" a="1"/>
  <c r="J6055" i="14" s="1"/>
  <c r="J6056" i="13" a="1"/>
  <c r="J6056" i="13" s="1"/>
  <c r="N6057" i="13"/>
  <c r="K5893" i="14" l="1"/>
  <c r="L5893" i="14" s="1"/>
  <c r="I5894" i="14" s="1"/>
  <c r="K5871" i="13"/>
  <c r="L5871" i="13" s="1"/>
  <c r="I5872" i="13" s="1"/>
  <c r="N6058" i="13"/>
  <c r="J6057" i="13" a="1"/>
  <c r="J6057" i="13" s="1"/>
  <c r="M6061" i="14"/>
  <c r="N6057" i="14"/>
  <c r="J6056" i="14" a="1"/>
  <c r="J6056" i="14" s="1"/>
  <c r="M6060" i="13"/>
  <c r="K5894" i="14" l="1"/>
  <c r="L5894" i="14" s="1"/>
  <c r="I5895" i="14" s="1"/>
  <c r="M6062" i="14"/>
  <c r="M6061" i="13"/>
  <c r="K5872" i="13"/>
  <c r="L5872" i="13" s="1"/>
  <c r="I5873" i="13" s="1"/>
  <c r="N6058" i="14"/>
  <c r="J6057" i="14" a="1"/>
  <c r="J6057" i="14" s="1"/>
  <c r="J6058" i="13" a="1"/>
  <c r="J6058" i="13" s="1"/>
  <c r="N6059" i="13"/>
  <c r="K5873" i="13" l="1"/>
  <c r="L5873" i="13" s="1"/>
  <c r="I5874" i="13" s="1"/>
  <c r="K5895" i="14"/>
  <c r="L5895" i="14" s="1"/>
  <c r="I5896" i="14" s="1"/>
  <c r="M6063" i="14"/>
  <c r="J6059" i="13" a="1"/>
  <c r="J6059" i="13" s="1"/>
  <c r="N6060" i="13"/>
  <c r="J6058" i="14" a="1"/>
  <c r="J6058" i="14" s="1"/>
  <c r="N6059" i="14"/>
  <c r="M6062" i="13"/>
  <c r="K5896" i="14" l="1"/>
  <c r="L5896" i="14" s="1"/>
  <c r="I5897" i="14" s="1"/>
  <c r="K5874" i="13"/>
  <c r="L5874" i="13" s="1"/>
  <c r="I5875" i="13" s="1"/>
  <c r="J6060" i="13" a="1"/>
  <c r="J6060" i="13" s="1"/>
  <c r="N6061" i="13"/>
  <c r="M6063" i="13"/>
  <c r="N6060" i="14"/>
  <c r="J6059" i="14" a="1"/>
  <c r="J6059" i="14" s="1"/>
  <c r="M6064" i="14"/>
  <c r="K5875" i="13" l="1"/>
  <c r="L5875" i="13" s="1"/>
  <c r="I5876" i="13" s="1"/>
  <c r="K5897" i="14"/>
  <c r="L5897" i="14" s="1"/>
  <c r="I5898" i="14" s="1"/>
  <c r="N6061" i="14"/>
  <c r="J6060" i="14" a="1"/>
  <c r="J6060" i="14" s="1"/>
  <c r="M6065" i="14"/>
  <c r="M6064" i="13"/>
  <c r="N6062" i="13"/>
  <c r="J6061" i="13" a="1"/>
  <c r="J6061" i="13" s="1"/>
  <c r="K5898" i="14" l="1"/>
  <c r="L5898" i="14" s="1"/>
  <c r="I5899" i="14" s="1"/>
  <c r="K5876" i="13"/>
  <c r="L5876" i="13" s="1"/>
  <c r="I5877" i="13" s="1"/>
  <c r="J6062" i="13" a="1"/>
  <c r="J6062" i="13" s="1"/>
  <c r="N6063" i="13"/>
  <c r="M6066" i="14"/>
  <c r="M6065" i="13"/>
  <c r="N6062" i="14"/>
  <c r="J6061" i="14" a="1"/>
  <c r="J6061" i="14" s="1"/>
  <c r="K5877" i="13" l="1"/>
  <c r="L5877" i="13" s="1"/>
  <c r="I5878" i="13" s="1"/>
  <c r="K5899" i="14"/>
  <c r="L5899" i="14" s="1"/>
  <c r="I5900" i="14" s="1"/>
  <c r="J6062" i="14" a="1"/>
  <c r="J6062" i="14" s="1"/>
  <c r="N6063" i="14"/>
  <c r="J6063" i="13" a="1"/>
  <c r="J6063" i="13" s="1"/>
  <c r="N6064" i="13"/>
  <c r="M6067" i="14"/>
  <c r="M6066" i="13"/>
  <c r="K5900" i="14" l="1"/>
  <c r="L5900" i="14" s="1"/>
  <c r="I5901" i="14" s="1"/>
  <c r="K5878" i="13"/>
  <c r="L5878" i="13" s="1"/>
  <c r="I5879" i="13" s="1"/>
  <c r="J6064" i="13" a="1"/>
  <c r="J6064" i="13" s="1"/>
  <c r="N6065" i="13"/>
  <c r="M6067" i="13"/>
  <c r="N6064" i="14"/>
  <c r="J6063" i="14" a="1"/>
  <c r="J6063" i="14" s="1"/>
  <c r="M6068" i="14"/>
  <c r="K5879" i="13" l="1"/>
  <c r="L5879" i="13" s="1"/>
  <c r="I5880" i="13" s="1"/>
  <c r="K5901" i="14"/>
  <c r="L5901" i="14" s="1"/>
  <c r="I5902" i="14" s="1"/>
  <c r="M6069" i="14"/>
  <c r="J6064" i="14" a="1"/>
  <c r="J6064" i="14" s="1"/>
  <c r="N6065" i="14"/>
  <c r="M6068" i="13"/>
  <c r="N6066" i="13"/>
  <c r="J6065" i="13" a="1"/>
  <c r="J6065" i="13" s="1"/>
  <c r="K5902" i="14" l="1"/>
  <c r="L5902" i="14" s="1"/>
  <c r="I5903" i="14" s="1"/>
  <c r="K5880" i="13"/>
  <c r="L5880" i="13" s="1"/>
  <c r="I5881" i="13" s="1"/>
  <c r="N6066" i="14"/>
  <c r="J6065" i="14" a="1"/>
  <c r="J6065" i="14" s="1"/>
  <c r="M6069" i="13"/>
  <c r="J6066" i="13" a="1"/>
  <c r="J6066" i="13" s="1"/>
  <c r="N6067" i="13"/>
  <c r="M6070" i="14"/>
  <c r="K5881" i="13" l="1"/>
  <c r="L5881" i="13" s="1"/>
  <c r="I5882" i="13" s="1"/>
  <c r="K5903" i="14"/>
  <c r="L5903" i="14" s="1"/>
  <c r="I5904" i="14" s="1"/>
  <c r="J6067" i="13" a="1"/>
  <c r="J6067" i="13" s="1"/>
  <c r="N6068" i="13"/>
  <c r="M6071" i="14"/>
  <c r="M6070" i="13"/>
  <c r="J6066" i="14" a="1"/>
  <c r="J6066" i="14" s="1"/>
  <c r="N6067" i="14"/>
  <c r="K5904" i="14" l="1"/>
  <c r="L5904" i="14" s="1"/>
  <c r="I5905" i="14" s="1"/>
  <c r="K5882" i="13"/>
  <c r="L5882" i="13" s="1"/>
  <c r="I5883" i="13" s="1"/>
  <c r="N6068" i="14"/>
  <c r="J6067" i="14" a="1"/>
  <c r="J6067" i="14" s="1"/>
  <c r="M6072" i="14"/>
  <c r="J6068" i="13" a="1"/>
  <c r="J6068" i="13" s="1"/>
  <c r="N6069" i="13"/>
  <c r="M6071" i="13"/>
  <c r="K5883" i="13" l="1"/>
  <c r="L5883" i="13" s="1"/>
  <c r="I5884" i="13" s="1"/>
  <c r="K5905" i="14"/>
  <c r="L5905" i="14" s="1"/>
  <c r="I5906" i="14" s="1"/>
  <c r="M6073" i="14"/>
  <c r="N6070" i="13"/>
  <c r="J6069" i="13" a="1"/>
  <c r="J6069" i="13" s="1"/>
  <c r="M6072" i="13"/>
  <c r="N6069" i="14"/>
  <c r="J6068" i="14" a="1"/>
  <c r="J6068" i="14" s="1"/>
  <c r="K5906" i="14" l="1"/>
  <c r="L5906" i="14" s="1"/>
  <c r="I5907" i="14" s="1"/>
  <c r="K5884" i="13"/>
  <c r="L5884" i="13" s="1"/>
  <c r="I5885" i="13" s="1"/>
  <c r="N6070" i="14"/>
  <c r="J6069" i="14" a="1"/>
  <c r="J6069" i="14" s="1"/>
  <c r="M6073" i="13"/>
  <c r="J6070" i="13" a="1"/>
  <c r="J6070" i="13" s="1"/>
  <c r="N6071" i="13"/>
  <c r="M6074" i="14"/>
  <c r="K5885" i="13" l="1"/>
  <c r="L5885" i="13" s="1"/>
  <c r="I5886" i="13" s="1"/>
  <c r="K5907" i="14"/>
  <c r="L5907" i="14" s="1"/>
  <c r="I5908" i="14" s="1"/>
  <c r="J6071" i="13" a="1"/>
  <c r="J6071" i="13" s="1"/>
  <c r="N6072" i="13"/>
  <c r="M6075" i="14"/>
  <c r="M6074" i="13"/>
  <c r="J6070" i="14" a="1"/>
  <c r="J6070" i="14" s="1"/>
  <c r="N6071" i="14"/>
  <c r="K5908" i="14" l="1"/>
  <c r="L5908" i="14" s="1"/>
  <c r="I5909" i="14" s="1"/>
  <c r="K5886" i="13"/>
  <c r="L5886" i="13" s="1"/>
  <c r="I5887" i="13" s="1"/>
  <c r="N6072" i="14"/>
  <c r="J6071" i="14" a="1"/>
  <c r="J6071" i="14" s="1"/>
  <c r="M6076" i="14"/>
  <c r="J6072" i="13" a="1"/>
  <c r="J6072" i="13" s="1"/>
  <c r="N6073" i="13"/>
  <c r="M6075" i="13"/>
  <c r="K5887" i="13" l="1"/>
  <c r="L5887" i="13" s="1"/>
  <c r="I5888" i="13" s="1"/>
  <c r="K5909" i="14"/>
  <c r="L5909" i="14" s="1"/>
  <c r="I5910" i="14" s="1"/>
  <c r="N6074" i="13"/>
  <c r="J6073" i="13" a="1"/>
  <c r="J6073" i="13" s="1"/>
  <c r="M6077" i="14"/>
  <c r="M6076" i="13"/>
  <c r="N6073" i="14"/>
  <c r="J6072" i="14" a="1"/>
  <c r="J6072" i="14" s="1"/>
  <c r="K5910" i="14" l="1"/>
  <c r="L5910" i="14" s="1"/>
  <c r="I5911" i="14" s="1"/>
  <c r="K5888" i="13"/>
  <c r="L5888" i="13" s="1"/>
  <c r="I5889" i="13" s="1"/>
  <c r="N6074" i="14"/>
  <c r="J6073" i="14" a="1"/>
  <c r="J6073" i="14" s="1"/>
  <c r="M6078" i="14"/>
  <c r="M6077" i="13"/>
  <c r="J6074" i="13" a="1"/>
  <c r="J6074" i="13" s="1"/>
  <c r="N6075" i="13"/>
  <c r="K5889" i="13" l="1"/>
  <c r="L5889" i="13" s="1"/>
  <c r="I5890" i="13" s="1"/>
  <c r="K5911" i="14"/>
  <c r="L5911" i="14" s="1"/>
  <c r="I5912" i="14" s="1"/>
  <c r="M6079" i="14"/>
  <c r="J6075" i="13" a="1"/>
  <c r="J6075" i="13" s="1"/>
  <c r="N6076" i="13"/>
  <c r="M6078" i="13"/>
  <c r="J6074" i="14" a="1"/>
  <c r="J6074" i="14" s="1"/>
  <c r="N6075" i="14"/>
  <c r="K5912" i="14" l="1"/>
  <c r="L5912" i="14" s="1"/>
  <c r="I5913" i="14" s="1"/>
  <c r="K5890" i="13"/>
  <c r="L5890" i="13" s="1"/>
  <c r="I5891" i="13" s="1"/>
  <c r="J6076" i="13" a="1"/>
  <c r="J6076" i="13" s="1"/>
  <c r="N6077" i="13"/>
  <c r="N6076" i="14"/>
  <c r="J6075" i="14" a="1"/>
  <c r="J6075" i="14" s="1"/>
  <c r="M6080" i="14"/>
  <c r="M6079" i="13"/>
  <c r="K5891" i="13" l="1"/>
  <c r="L5891" i="13" s="1"/>
  <c r="I5892" i="13" s="1"/>
  <c r="K5913" i="14"/>
  <c r="L5913" i="14" s="1"/>
  <c r="I5914" i="14" s="1"/>
  <c r="M6080" i="13"/>
  <c r="N6077" i="14"/>
  <c r="J6076" i="14" a="1"/>
  <c r="J6076" i="14" s="1"/>
  <c r="M6081" i="14"/>
  <c r="N6078" i="13"/>
  <c r="J6077" i="13" a="1"/>
  <c r="J6077" i="13" s="1"/>
  <c r="K5914" i="14" l="1"/>
  <c r="L5914" i="14" s="1"/>
  <c r="I5915" i="14" s="1"/>
  <c r="K5892" i="13"/>
  <c r="L5892" i="13" s="1"/>
  <c r="I5893" i="13" s="1"/>
  <c r="N6078" i="14"/>
  <c r="J6077" i="14" a="1"/>
  <c r="J6077" i="14" s="1"/>
  <c r="J6078" i="13" a="1"/>
  <c r="J6078" i="13" s="1"/>
  <c r="N6079" i="13"/>
  <c r="M6081" i="13"/>
  <c r="M6082" i="14"/>
  <c r="K5893" i="13" l="1"/>
  <c r="L5893" i="13" s="1"/>
  <c r="I5894" i="13" s="1"/>
  <c r="K5915" i="14"/>
  <c r="L5915" i="14" s="1"/>
  <c r="I5916" i="14" s="1"/>
  <c r="M6083" i="14"/>
  <c r="J6079" i="13" a="1"/>
  <c r="J6079" i="13" s="1"/>
  <c r="N6080" i="13"/>
  <c r="M6082" i="13"/>
  <c r="J6078" i="14" a="1"/>
  <c r="J6078" i="14" s="1"/>
  <c r="N6079" i="14"/>
  <c r="K5916" i="14" l="1"/>
  <c r="L5916" i="14" s="1"/>
  <c r="I5917" i="14" s="1"/>
  <c r="K5894" i="13"/>
  <c r="L5894" i="13" s="1"/>
  <c r="I5895" i="13" s="1"/>
  <c r="J6080" i="13" a="1"/>
  <c r="J6080" i="13" s="1"/>
  <c r="N6081" i="13"/>
  <c r="J6079" i="14" a="1"/>
  <c r="J6079" i="14" s="1"/>
  <c r="N6080" i="14"/>
  <c r="M6083" i="13"/>
  <c r="M6084" i="14"/>
  <c r="K5895" i="13" l="1"/>
  <c r="L5895" i="13" s="1"/>
  <c r="I5896" i="13" s="1"/>
  <c r="K5917" i="14"/>
  <c r="L5917" i="14" s="1"/>
  <c r="I5918" i="14" s="1"/>
  <c r="M6085" i="14"/>
  <c r="J6080" i="14" a="1"/>
  <c r="J6080" i="14" s="1"/>
  <c r="N6081" i="14"/>
  <c r="N6082" i="13"/>
  <c r="J6081" i="13" a="1"/>
  <c r="J6081" i="13" s="1"/>
  <c r="M6084" i="13"/>
  <c r="K5918" i="14" l="1"/>
  <c r="L5918" i="14" s="1"/>
  <c r="I5919" i="14" s="1"/>
  <c r="K5896" i="13"/>
  <c r="L5896" i="13" s="1"/>
  <c r="I5897" i="13" s="1"/>
  <c r="M6085" i="13"/>
  <c r="N6082" i="14"/>
  <c r="J6081" i="14" a="1"/>
  <c r="J6081" i="14" s="1"/>
  <c r="J6082" i="13" a="1"/>
  <c r="J6082" i="13" s="1"/>
  <c r="N6083" i="13"/>
  <c r="M6086" i="14"/>
  <c r="K5897" i="13" l="1"/>
  <c r="L5897" i="13" s="1"/>
  <c r="I5898" i="13" s="1"/>
  <c r="K5919" i="14"/>
  <c r="L5919" i="14" s="1"/>
  <c r="I5920" i="14" s="1"/>
  <c r="J6082" i="14" a="1"/>
  <c r="J6082" i="14" s="1"/>
  <c r="N6083" i="14"/>
  <c r="J6083" i="13" a="1"/>
  <c r="J6083" i="13" s="1"/>
  <c r="N6084" i="13"/>
  <c r="M6087" i="14"/>
  <c r="M6086" i="13"/>
  <c r="K5920" i="14" l="1"/>
  <c r="L5920" i="14" s="1"/>
  <c r="I5921" i="14" s="1"/>
  <c r="K5898" i="13"/>
  <c r="L5898" i="13" s="1"/>
  <c r="I5899" i="13" s="1"/>
  <c r="J6084" i="13" a="1"/>
  <c r="J6084" i="13" s="1"/>
  <c r="N6085" i="13"/>
  <c r="J6083" i="14" a="1"/>
  <c r="J6083" i="14" s="1"/>
  <c r="N6084" i="14"/>
  <c r="M6087" i="13"/>
  <c r="M6088" i="14"/>
  <c r="K5899" i="13" l="1"/>
  <c r="L5899" i="13" s="1"/>
  <c r="I5900" i="13" s="1"/>
  <c r="K5921" i="14"/>
  <c r="L5921" i="14" s="1"/>
  <c r="I5922" i="14" s="1"/>
  <c r="M6089" i="14"/>
  <c r="N6085" i="14"/>
  <c r="J6084" i="14" a="1"/>
  <c r="J6084" i="14" s="1"/>
  <c r="N6086" i="13"/>
  <c r="J6085" i="13" a="1"/>
  <c r="J6085" i="13" s="1"/>
  <c r="M6088" i="13"/>
  <c r="K5922" i="14" l="1"/>
  <c r="L5922" i="14" s="1"/>
  <c r="I5923" i="14" s="1"/>
  <c r="K5900" i="13"/>
  <c r="L5900" i="13" s="1"/>
  <c r="I5901" i="13" s="1"/>
  <c r="M6089" i="13"/>
  <c r="N6086" i="14"/>
  <c r="J6085" i="14" a="1"/>
  <c r="J6085" i="14" s="1"/>
  <c r="J6086" i="13" a="1"/>
  <c r="J6086" i="13" s="1"/>
  <c r="N6087" i="13"/>
  <c r="M6090" i="14"/>
  <c r="K5901" i="13" l="1"/>
  <c r="L5901" i="13" s="1"/>
  <c r="I5902" i="13" s="1"/>
  <c r="K5923" i="14"/>
  <c r="L5923" i="14" s="1"/>
  <c r="I5924" i="14" s="1"/>
  <c r="J6086" i="14" a="1"/>
  <c r="J6086" i="14" s="1"/>
  <c r="N6087" i="14"/>
  <c r="J6087" i="13" a="1"/>
  <c r="J6087" i="13" s="1"/>
  <c r="N6088" i="13"/>
  <c r="M6091" i="14"/>
  <c r="M6090" i="13"/>
  <c r="K5924" i="14" l="1"/>
  <c r="L5924" i="14" s="1"/>
  <c r="I5925" i="14" s="1"/>
  <c r="K5902" i="13"/>
  <c r="L5902" i="13" s="1"/>
  <c r="I5903" i="13" s="1"/>
  <c r="J6088" i="13" a="1"/>
  <c r="J6088" i="13" s="1"/>
  <c r="N6089" i="13"/>
  <c r="N6088" i="14"/>
  <c r="J6087" i="14" a="1"/>
  <c r="J6087" i="14" s="1"/>
  <c r="M6091" i="13"/>
  <c r="M6092" i="14"/>
  <c r="K5903" i="13" l="1"/>
  <c r="L5903" i="13" s="1"/>
  <c r="I5904" i="13" s="1"/>
  <c r="K5925" i="14"/>
  <c r="L5925" i="14" s="1"/>
  <c r="I5926" i="14" s="1"/>
  <c r="N6089" i="14"/>
  <c r="J6088" i="14" a="1"/>
  <c r="J6088" i="14" s="1"/>
  <c r="N6090" i="13"/>
  <c r="J6089" i="13" a="1"/>
  <c r="J6089" i="13" s="1"/>
  <c r="M6093" i="14"/>
  <c r="M6092" i="13"/>
  <c r="K5926" i="14" l="1"/>
  <c r="L5926" i="14" s="1"/>
  <c r="I5927" i="14" s="1"/>
  <c r="K5904" i="13"/>
  <c r="L5904" i="13" s="1"/>
  <c r="I5905" i="13" s="1"/>
  <c r="J6090" i="13" a="1"/>
  <c r="J6090" i="13" s="1"/>
  <c r="N6091" i="13"/>
  <c r="M6093" i="13"/>
  <c r="M6094" i="14"/>
  <c r="N6090" i="14"/>
  <c r="J6089" i="14" a="1"/>
  <c r="J6089" i="14" s="1"/>
  <c r="K5905" i="13" l="1"/>
  <c r="L5905" i="13" s="1"/>
  <c r="I5906" i="13" s="1"/>
  <c r="K5927" i="14"/>
  <c r="L5927" i="14" s="1"/>
  <c r="I5928" i="14" s="1"/>
  <c r="J6090" i="14" a="1"/>
  <c r="J6090" i="14" s="1"/>
  <c r="N6091" i="14"/>
  <c r="M6094" i="13"/>
  <c r="J6091" i="13" a="1"/>
  <c r="J6091" i="13" s="1"/>
  <c r="N6092" i="13"/>
  <c r="M6095" i="14"/>
  <c r="K5928" i="14" l="1"/>
  <c r="L5928" i="14" s="1"/>
  <c r="I5929" i="14" s="1"/>
  <c r="K5906" i="13"/>
  <c r="L5906" i="13" s="1"/>
  <c r="I5907" i="13" s="1"/>
  <c r="J6092" i="13" a="1"/>
  <c r="J6092" i="13" s="1"/>
  <c r="N6093" i="13"/>
  <c r="M6096" i="14"/>
  <c r="M6095" i="13"/>
  <c r="N6092" i="14"/>
  <c r="J6091" i="14" a="1"/>
  <c r="J6091" i="14" s="1"/>
  <c r="K5907" i="13" l="1"/>
  <c r="L5907" i="13" s="1"/>
  <c r="I5908" i="13" s="1"/>
  <c r="K5929" i="14"/>
  <c r="L5929" i="14" s="1"/>
  <c r="I5930" i="14" s="1"/>
  <c r="M6097" i="14"/>
  <c r="N6093" i="14"/>
  <c r="J6092" i="14" a="1"/>
  <c r="J6092" i="14" s="1"/>
  <c r="N6094" i="13"/>
  <c r="J6093" i="13" a="1"/>
  <c r="J6093" i="13" s="1"/>
  <c r="M6096" i="13"/>
  <c r="K5930" i="14" l="1"/>
  <c r="L5930" i="14" s="1"/>
  <c r="I5931" i="14" s="1"/>
  <c r="K5908" i="13"/>
  <c r="L5908" i="13" s="1"/>
  <c r="I5909" i="13" s="1"/>
  <c r="N6094" i="14"/>
  <c r="J6093" i="14" a="1"/>
  <c r="J6093" i="14" s="1"/>
  <c r="M6097" i="13"/>
  <c r="J6094" i="13" a="1"/>
  <c r="J6094" i="13" s="1"/>
  <c r="N6095" i="13"/>
  <c r="M6098" i="14"/>
  <c r="K5909" i="13" l="1"/>
  <c r="L5909" i="13" s="1"/>
  <c r="I5910" i="13" s="1"/>
  <c r="K5931" i="14"/>
  <c r="L5931" i="14" s="1"/>
  <c r="I5932" i="14" s="1"/>
  <c r="M6099" i="14"/>
  <c r="J6095" i="13" a="1"/>
  <c r="J6095" i="13" s="1"/>
  <c r="N6096" i="13"/>
  <c r="M6098" i="13"/>
  <c r="J6094" i="14" a="1"/>
  <c r="J6094" i="14" s="1"/>
  <c r="N6095" i="14"/>
  <c r="K5932" i="14" l="1"/>
  <c r="L5932" i="14" s="1"/>
  <c r="I5933" i="14" s="1"/>
  <c r="K5910" i="13"/>
  <c r="L5910" i="13" s="1"/>
  <c r="I5911" i="13" s="1"/>
  <c r="J6096" i="13" a="1"/>
  <c r="J6096" i="13" s="1"/>
  <c r="N6097" i="13"/>
  <c r="N6096" i="14"/>
  <c r="J6095" i="14" a="1"/>
  <c r="J6095" i="14" s="1"/>
  <c r="M6099" i="13"/>
  <c r="M6100" i="14"/>
  <c r="K5911" i="13" l="1"/>
  <c r="L5911" i="13" s="1"/>
  <c r="I5912" i="13" s="1"/>
  <c r="K5933" i="14"/>
  <c r="L5933" i="14" s="1"/>
  <c r="I5934" i="14" s="1"/>
  <c r="M6101" i="14"/>
  <c r="J6096" i="14" a="1"/>
  <c r="J6096" i="14" s="1"/>
  <c r="N6097" i="14"/>
  <c r="N6098" i="13"/>
  <c r="J6097" i="13" a="1"/>
  <c r="J6097" i="13" s="1"/>
  <c r="M6100" i="13"/>
  <c r="K5934" i="14" l="1"/>
  <c r="L5934" i="14" s="1"/>
  <c r="I5935" i="14" s="1"/>
  <c r="K5912" i="13"/>
  <c r="L5912" i="13" s="1"/>
  <c r="I5913" i="13" s="1"/>
  <c r="N6098" i="14"/>
  <c r="J6097" i="14" a="1"/>
  <c r="J6097" i="14" s="1"/>
  <c r="M6101" i="13"/>
  <c r="J6098" i="13" a="1"/>
  <c r="J6098" i="13" s="1"/>
  <c r="N6099" i="13"/>
  <c r="M6102" i="14"/>
  <c r="K5913" i="13" l="1"/>
  <c r="L5913" i="13" s="1"/>
  <c r="I5914" i="13" s="1"/>
  <c r="K5935" i="14"/>
  <c r="L5935" i="14" s="1"/>
  <c r="I5936" i="14" s="1"/>
  <c r="J6099" i="13" a="1"/>
  <c r="J6099" i="13" s="1"/>
  <c r="N6100" i="13"/>
  <c r="M6103" i="14"/>
  <c r="M6102" i="13"/>
  <c r="J6098" i="14" a="1"/>
  <c r="J6098" i="14" s="1"/>
  <c r="N6099" i="14"/>
  <c r="K5936" i="14" l="1"/>
  <c r="L5936" i="14" s="1"/>
  <c r="I5937" i="14" s="1"/>
  <c r="K5914" i="13"/>
  <c r="L5914" i="13" s="1"/>
  <c r="I5915" i="13" s="1"/>
  <c r="J6099" i="14" a="1"/>
  <c r="J6099" i="14" s="1"/>
  <c r="N6100" i="14"/>
  <c r="M6104" i="14"/>
  <c r="J6100" i="13" a="1"/>
  <c r="J6100" i="13" s="1"/>
  <c r="N6101" i="13"/>
  <c r="M6103" i="13"/>
  <c r="K5915" i="13" l="1"/>
  <c r="L5915" i="13" s="1"/>
  <c r="I5916" i="13" s="1"/>
  <c r="K5937" i="14"/>
  <c r="L5937" i="14" s="1"/>
  <c r="I5938" i="14" s="1"/>
  <c r="M6105" i="14"/>
  <c r="N6102" i="13"/>
  <c r="J6101" i="13" a="1"/>
  <c r="J6101" i="13" s="1"/>
  <c r="M6104" i="13"/>
  <c r="N6101" i="14"/>
  <c r="J6100" i="14" a="1"/>
  <c r="J6100" i="14" s="1"/>
  <c r="K5938" i="14" l="1"/>
  <c r="L5938" i="14" s="1"/>
  <c r="I5939" i="14" s="1"/>
  <c r="K5916" i="13"/>
  <c r="L5916" i="13" s="1"/>
  <c r="I5917" i="13" s="1"/>
  <c r="N6102" i="14"/>
  <c r="J6101" i="14" a="1"/>
  <c r="J6101" i="14" s="1"/>
  <c r="M6105" i="13"/>
  <c r="J6102" i="13" a="1"/>
  <c r="J6102" i="13" s="1"/>
  <c r="N6103" i="13"/>
  <c r="M6106" i="14"/>
  <c r="K5917" i="13" l="1"/>
  <c r="L5917" i="13" s="1"/>
  <c r="I5918" i="13" s="1"/>
  <c r="K5939" i="14"/>
  <c r="L5939" i="14" s="1"/>
  <c r="I5940" i="14" s="1"/>
  <c r="J6103" i="13" a="1"/>
  <c r="J6103" i="13" s="1"/>
  <c r="N6104" i="13"/>
  <c r="M6107" i="14"/>
  <c r="M6106" i="13"/>
  <c r="J6102" i="14" a="1"/>
  <c r="J6102" i="14" s="1"/>
  <c r="N6103" i="14"/>
  <c r="K5940" i="14" l="1"/>
  <c r="L5940" i="14" s="1"/>
  <c r="I5941" i="14" s="1"/>
  <c r="K5918" i="13"/>
  <c r="L5918" i="13" s="1"/>
  <c r="I5919" i="13" s="1"/>
  <c r="J6103" i="14" a="1"/>
  <c r="J6103" i="14" s="1"/>
  <c r="N6104" i="14"/>
  <c r="M6108" i="14"/>
  <c r="J6104" i="13" a="1"/>
  <c r="J6104" i="13" s="1"/>
  <c r="N6105" i="13"/>
  <c r="M6107" i="13"/>
  <c r="K5919" i="13" l="1"/>
  <c r="L5919" i="13" s="1"/>
  <c r="I5920" i="13" s="1"/>
  <c r="K5941" i="14"/>
  <c r="L5941" i="14" s="1"/>
  <c r="I5942" i="14" s="1"/>
  <c r="N6106" i="13"/>
  <c r="J6105" i="13" a="1"/>
  <c r="J6105" i="13" s="1"/>
  <c r="M6109" i="14"/>
  <c r="M6108" i="13"/>
  <c r="N6105" i="14"/>
  <c r="J6104" i="14" a="1"/>
  <c r="J6104" i="14" s="1"/>
  <c r="K5942" i="14" l="1"/>
  <c r="L5942" i="14" s="1"/>
  <c r="I5943" i="14" s="1"/>
  <c r="K5920" i="13"/>
  <c r="L5920" i="13" s="1"/>
  <c r="I5921" i="13" s="1"/>
  <c r="N6106" i="14"/>
  <c r="J6105" i="14" a="1"/>
  <c r="J6105" i="14" s="1"/>
  <c r="M6110" i="14"/>
  <c r="M6109" i="13"/>
  <c r="J6106" i="13" a="1"/>
  <c r="J6106" i="13" s="1"/>
  <c r="N6107" i="13"/>
  <c r="K5921" i="13" l="1"/>
  <c r="L5921" i="13" s="1"/>
  <c r="I5922" i="13" s="1"/>
  <c r="K5943" i="14"/>
  <c r="L5943" i="14" s="1"/>
  <c r="I5944" i="14" s="1"/>
  <c r="J6107" i="13" a="1"/>
  <c r="J6107" i="13" s="1"/>
  <c r="N6108" i="13"/>
  <c r="M6111" i="14"/>
  <c r="M6110" i="13"/>
  <c r="J6106" i="14" a="1"/>
  <c r="J6106" i="14" s="1"/>
  <c r="N6107" i="14"/>
  <c r="K5944" i="14" l="1"/>
  <c r="L5944" i="14" s="1"/>
  <c r="I5945" i="14" s="1"/>
  <c r="K5922" i="13"/>
  <c r="L5922" i="13" s="1"/>
  <c r="I5923" i="13" s="1"/>
  <c r="J6107" i="14" a="1"/>
  <c r="J6107" i="14" s="1"/>
  <c r="N6108" i="14"/>
  <c r="M6112" i="14"/>
  <c r="J6108" i="13" a="1"/>
  <c r="J6108" i="13" s="1"/>
  <c r="N6109" i="13"/>
  <c r="M6111" i="13"/>
  <c r="K5923" i="13" l="1"/>
  <c r="L5923" i="13" s="1"/>
  <c r="I5924" i="13" s="1"/>
  <c r="K5945" i="14"/>
  <c r="L5945" i="14" s="1"/>
  <c r="I5946" i="14" s="1"/>
  <c r="N6110" i="13"/>
  <c r="J6109" i="13" a="1"/>
  <c r="J6109" i="13" s="1"/>
  <c r="M6113" i="14"/>
  <c r="M6112" i="13"/>
  <c r="N6109" i="14"/>
  <c r="J6108" i="14" a="1"/>
  <c r="J6108" i="14" s="1"/>
  <c r="K5946" i="14" l="1"/>
  <c r="L5946" i="14" s="1"/>
  <c r="I5947" i="14" s="1"/>
  <c r="K5924" i="13"/>
  <c r="L5924" i="13" s="1"/>
  <c r="I5925" i="13" s="1"/>
  <c r="N6110" i="14"/>
  <c r="J6109" i="14" a="1"/>
  <c r="J6109" i="14" s="1"/>
  <c r="M6114" i="14"/>
  <c r="M6113" i="13"/>
  <c r="J6110" i="13" a="1"/>
  <c r="J6110" i="13" s="1"/>
  <c r="N6111" i="13"/>
  <c r="K5925" i="13" l="1"/>
  <c r="L5925" i="13" s="1"/>
  <c r="I5926" i="13" s="1"/>
  <c r="K5947" i="14"/>
  <c r="L5947" i="14" s="1"/>
  <c r="I5948" i="14" s="1"/>
  <c r="J6111" i="13" a="1"/>
  <c r="J6111" i="13" s="1"/>
  <c r="N6112" i="13"/>
  <c r="M6115" i="14"/>
  <c r="M6114" i="13"/>
  <c r="J6110" i="14" a="1"/>
  <c r="J6110" i="14" s="1"/>
  <c r="N6111" i="14"/>
  <c r="K5948" i="14" l="1"/>
  <c r="L5948" i="14" s="1"/>
  <c r="I5949" i="14" s="1"/>
  <c r="K5926" i="13"/>
  <c r="L5926" i="13" s="1"/>
  <c r="I5927" i="13" s="1"/>
  <c r="J6111" i="14" a="1"/>
  <c r="J6111" i="14" s="1"/>
  <c r="N6112" i="14"/>
  <c r="M6116" i="14"/>
  <c r="J6112" i="13" a="1"/>
  <c r="J6112" i="13" s="1"/>
  <c r="N6113" i="13"/>
  <c r="M6115" i="13"/>
  <c r="K5927" i="13" l="1"/>
  <c r="L5927" i="13" s="1"/>
  <c r="I5928" i="13" s="1"/>
  <c r="K5949" i="14"/>
  <c r="L5949" i="14" s="1"/>
  <c r="I5950" i="14" s="1"/>
  <c r="M6117" i="14"/>
  <c r="N6114" i="13"/>
  <c r="J6113" i="13" a="1"/>
  <c r="J6113" i="13" s="1"/>
  <c r="M6116" i="13"/>
  <c r="N6113" i="14"/>
  <c r="J6112" i="14" a="1"/>
  <c r="J6112" i="14" s="1"/>
  <c r="K5928" i="13" l="1"/>
  <c r="L5928" i="13" s="1"/>
  <c r="I5929" i="13" s="1"/>
  <c r="K5950" i="14"/>
  <c r="L5950" i="14" s="1"/>
  <c r="I5951" i="14" s="1"/>
  <c r="N6114" i="14"/>
  <c r="J6113" i="14" a="1"/>
  <c r="J6113" i="14" s="1"/>
  <c r="M6117" i="13"/>
  <c r="J6114" i="13" a="1"/>
  <c r="J6114" i="13" s="1"/>
  <c r="N6115" i="13"/>
  <c r="M6118" i="14"/>
  <c r="K5951" i="14" l="1"/>
  <c r="L5951" i="14" s="1"/>
  <c r="I5952" i="14" s="1"/>
  <c r="K5929" i="13"/>
  <c r="L5929" i="13" s="1"/>
  <c r="I5930" i="13" s="1"/>
  <c r="J6115" i="13" a="1"/>
  <c r="J6115" i="13" s="1"/>
  <c r="N6116" i="13"/>
  <c r="M6119" i="14"/>
  <c r="M6118" i="13"/>
  <c r="J6114" i="14" a="1"/>
  <c r="J6114" i="14" s="1"/>
  <c r="N6115" i="14"/>
  <c r="K5930" i="13" l="1"/>
  <c r="L5930" i="13" s="1"/>
  <c r="I5931" i="13" s="1"/>
  <c r="K5952" i="14"/>
  <c r="L5952" i="14" s="1"/>
  <c r="I5953" i="14" s="1"/>
  <c r="M6120" i="14"/>
  <c r="J6116" i="13" a="1"/>
  <c r="J6116" i="13" s="1"/>
  <c r="N6117" i="13"/>
  <c r="J6115" i="14" a="1"/>
  <c r="J6115" i="14" s="1"/>
  <c r="N6116" i="14"/>
  <c r="M6119" i="13"/>
  <c r="K5953" i="14" l="1"/>
  <c r="L5953" i="14" s="1"/>
  <c r="I5954" i="14" s="1"/>
  <c r="K5931" i="13"/>
  <c r="L5931" i="13" s="1"/>
  <c r="I5932" i="13" s="1"/>
  <c r="N6118" i="13"/>
  <c r="J6117" i="13" a="1"/>
  <c r="J6117" i="13" s="1"/>
  <c r="J6116" i="14" a="1"/>
  <c r="J6116" i="14" s="1"/>
  <c r="N6117" i="14"/>
  <c r="M6121" i="14"/>
  <c r="M6120" i="13"/>
  <c r="K5932" i="13" l="1"/>
  <c r="L5932" i="13" s="1"/>
  <c r="I5933" i="13" s="1"/>
  <c r="K5954" i="14"/>
  <c r="L5954" i="14" s="1"/>
  <c r="I5955" i="14" s="1"/>
  <c r="M6121" i="13"/>
  <c r="N6118" i="14"/>
  <c r="J6117" i="14" a="1"/>
  <c r="J6117" i="14" s="1"/>
  <c r="M6122" i="14"/>
  <c r="J6118" i="13" a="1"/>
  <c r="J6118" i="13" s="1"/>
  <c r="N6119" i="13"/>
  <c r="K5955" i="14" l="1"/>
  <c r="L5955" i="14" s="1"/>
  <c r="I5956" i="14" s="1"/>
  <c r="K5933" i="13"/>
  <c r="L5933" i="13" s="1"/>
  <c r="I5934" i="13" s="1"/>
  <c r="J6118" i="14" a="1"/>
  <c r="J6118" i="14" s="1"/>
  <c r="N6119" i="14"/>
  <c r="J6119" i="13" a="1"/>
  <c r="J6119" i="13" s="1"/>
  <c r="N6120" i="13"/>
  <c r="M6123" i="14"/>
  <c r="M6122" i="13"/>
  <c r="K5934" i="13" l="1"/>
  <c r="L5934" i="13" s="1"/>
  <c r="I5935" i="13" s="1"/>
  <c r="K5956" i="14"/>
  <c r="L5956" i="14" s="1"/>
  <c r="I5957" i="14" s="1"/>
  <c r="J6120" i="13" a="1"/>
  <c r="J6120" i="13" s="1"/>
  <c r="N6121" i="13"/>
  <c r="J6119" i="14" a="1"/>
  <c r="J6119" i="14" s="1"/>
  <c r="N6120" i="14"/>
  <c r="M6123" i="13"/>
  <c r="M6124" i="14"/>
  <c r="K5957" i="14" l="1"/>
  <c r="L5957" i="14" s="1"/>
  <c r="I5958" i="14" s="1"/>
  <c r="K5935" i="13"/>
  <c r="L5935" i="13" s="1"/>
  <c r="I5936" i="13" s="1"/>
  <c r="M6125" i="14"/>
  <c r="N6121" i="14"/>
  <c r="J6120" i="14" a="1"/>
  <c r="J6120" i="14" s="1"/>
  <c r="N6122" i="13"/>
  <c r="J6121" i="13" a="1"/>
  <c r="J6121" i="13" s="1"/>
  <c r="M6124" i="13"/>
  <c r="K5936" i="13" l="1"/>
  <c r="L5936" i="13" s="1"/>
  <c r="I5937" i="13" s="1"/>
  <c r="K5958" i="14"/>
  <c r="L5958" i="14" s="1"/>
  <c r="I5959" i="14" s="1"/>
  <c r="N6122" i="14"/>
  <c r="J6121" i="14" a="1"/>
  <c r="J6121" i="14" s="1"/>
  <c r="M6125" i="13"/>
  <c r="J6122" i="13" a="1"/>
  <c r="J6122" i="13" s="1"/>
  <c r="N6123" i="13"/>
  <c r="M6126" i="14"/>
  <c r="K5959" i="14" l="1"/>
  <c r="L5959" i="14" s="1"/>
  <c r="I5960" i="14" s="1"/>
  <c r="K5937" i="13"/>
  <c r="L5937" i="13" s="1"/>
  <c r="I5938" i="13" s="1"/>
  <c r="J6123" i="13" a="1"/>
  <c r="J6123" i="13" s="1"/>
  <c r="N6124" i="13"/>
  <c r="M6127" i="14"/>
  <c r="M6126" i="13"/>
  <c r="J6122" i="14" a="1"/>
  <c r="J6122" i="14" s="1"/>
  <c r="N6123" i="14"/>
  <c r="K5938" i="13" l="1"/>
  <c r="L5938" i="13" s="1"/>
  <c r="I5939" i="13" s="1"/>
  <c r="K5960" i="14"/>
  <c r="L5960" i="14" s="1"/>
  <c r="I5961" i="14" s="1"/>
  <c r="J6123" i="14" a="1"/>
  <c r="J6123" i="14" s="1"/>
  <c r="N6124" i="14"/>
  <c r="M6128" i="14"/>
  <c r="J6124" i="13" a="1"/>
  <c r="J6124" i="13" s="1"/>
  <c r="N6125" i="13"/>
  <c r="M6127" i="13"/>
  <c r="K5961" i="14" l="1"/>
  <c r="L5961" i="14" s="1"/>
  <c r="I5962" i="14" s="1"/>
  <c r="K5939" i="13"/>
  <c r="L5939" i="13" s="1"/>
  <c r="I5940" i="13" s="1"/>
  <c r="M6129" i="14"/>
  <c r="M6128" i="13"/>
  <c r="J6124" i="14" a="1"/>
  <c r="J6124" i="14" s="1"/>
  <c r="N6125" i="14"/>
  <c r="N6126" i="13"/>
  <c r="J6125" i="13" a="1"/>
  <c r="J6125" i="13" s="1"/>
  <c r="K5940" i="13" l="1"/>
  <c r="L5940" i="13" s="1"/>
  <c r="I5941" i="13" s="1"/>
  <c r="K5962" i="14"/>
  <c r="L5962" i="14" s="1"/>
  <c r="I5963" i="14" s="1"/>
  <c r="M6129" i="13"/>
  <c r="J6126" i="13" a="1"/>
  <c r="J6126" i="13" s="1"/>
  <c r="N6127" i="13"/>
  <c r="N6126" i="14"/>
  <c r="J6125" i="14" a="1"/>
  <c r="J6125" i="14" s="1"/>
  <c r="M6130" i="14"/>
  <c r="K5963" i="14" l="1"/>
  <c r="L5963" i="14" s="1"/>
  <c r="I5964" i="14" s="1"/>
  <c r="K5941" i="13"/>
  <c r="L5941" i="13" s="1"/>
  <c r="I5942" i="13" s="1"/>
  <c r="J6127" i="13" a="1"/>
  <c r="J6127" i="13" s="1"/>
  <c r="N6128" i="13"/>
  <c r="M6131" i="14"/>
  <c r="J6126" i="14" a="1"/>
  <c r="J6126" i="14" s="1"/>
  <c r="N6127" i="14"/>
  <c r="M6130" i="13"/>
  <c r="K5942" i="13" l="1"/>
  <c r="L5942" i="13" s="1"/>
  <c r="I5943" i="13" s="1"/>
  <c r="K5964" i="14"/>
  <c r="L5964" i="14" s="1"/>
  <c r="I5965" i="14" s="1"/>
  <c r="M6131" i="13"/>
  <c r="M6132" i="14"/>
  <c r="J6128" i="13" a="1"/>
  <c r="J6128" i="13" s="1"/>
  <c r="N6129" i="13"/>
  <c r="N6128" i="14"/>
  <c r="J6127" i="14" a="1"/>
  <c r="J6127" i="14" s="1"/>
  <c r="K5965" i="14" l="1"/>
  <c r="L5965" i="14" s="1"/>
  <c r="I5966" i="14" s="1"/>
  <c r="K5943" i="13"/>
  <c r="L5943" i="13" s="1"/>
  <c r="I5944" i="13" s="1"/>
  <c r="J6128" i="14" a="1"/>
  <c r="J6128" i="14" s="1"/>
  <c r="N6129" i="14"/>
  <c r="M6133" i="14"/>
  <c r="N6130" i="13"/>
  <c r="J6129" i="13" a="1"/>
  <c r="J6129" i="13" s="1"/>
  <c r="M6132" i="13"/>
  <c r="K5944" i="13" l="1"/>
  <c r="L5944" i="13" s="1"/>
  <c r="I5945" i="13" s="1"/>
  <c r="K5966" i="14"/>
  <c r="L5966" i="14" s="1"/>
  <c r="I5967" i="14" s="1"/>
  <c r="M6133" i="13"/>
  <c r="M6134" i="14"/>
  <c r="N6130" i="14"/>
  <c r="J6129" i="14" a="1"/>
  <c r="J6129" i="14" s="1"/>
  <c r="J6130" i="13" a="1"/>
  <c r="J6130" i="13" s="1"/>
  <c r="N6131" i="13"/>
  <c r="K5967" i="14" l="1"/>
  <c r="L5967" i="14" s="1"/>
  <c r="I5968" i="14" s="1"/>
  <c r="K5945" i="13"/>
  <c r="L5945" i="13" s="1"/>
  <c r="I5946" i="13" s="1"/>
  <c r="J6131" i="13" a="1"/>
  <c r="J6131" i="13" s="1"/>
  <c r="N6132" i="13"/>
  <c r="M6135" i="14"/>
  <c r="N6131" i="14"/>
  <c r="J6130" i="14" a="1"/>
  <c r="J6130" i="14" s="1"/>
  <c r="M6134" i="13"/>
  <c r="K5946" i="13" l="1"/>
  <c r="L5946" i="13" s="1"/>
  <c r="I5947" i="13" s="1"/>
  <c r="K5968" i="14"/>
  <c r="L5968" i="14" s="1"/>
  <c r="I5969" i="14" s="1"/>
  <c r="N6132" i="14"/>
  <c r="J6131" i="14" a="1"/>
  <c r="J6131" i="14" s="1"/>
  <c r="M6135" i="13"/>
  <c r="M6136" i="14"/>
  <c r="J6132" i="13" a="1"/>
  <c r="J6132" i="13" s="1"/>
  <c r="N6133" i="13"/>
  <c r="K5969" i="14" l="1"/>
  <c r="L5969" i="14" s="1"/>
  <c r="I5970" i="14" s="1"/>
  <c r="K5947" i="13"/>
  <c r="L5947" i="13" s="1"/>
  <c r="I5948" i="13" s="1"/>
  <c r="N6134" i="13"/>
  <c r="J6133" i="13" a="1"/>
  <c r="J6133" i="13" s="1"/>
  <c r="M6136" i="13"/>
  <c r="M6137" i="14"/>
  <c r="J6132" i="14" a="1"/>
  <c r="J6132" i="14" s="1"/>
  <c r="N6133" i="14"/>
  <c r="K5948" i="13" l="1"/>
  <c r="L5948" i="13" s="1"/>
  <c r="I5949" i="13" s="1"/>
  <c r="K5970" i="14"/>
  <c r="L5970" i="14" s="1"/>
  <c r="I5971" i="14" s="1"/>
  <c r="N6134" i="14"/>
  <c r="J6133" i="14" a="1"/>
  <c r="J6133" i="14" s="1"/>
  <c r="M6137" i="13"/>
  <c r="M6138" i="14"/>
  <c r="J6134" i="13" a="1"/>
  <c r="J6134" i="13" s="1"/>
  <c r="N6135" i="13"/>
  <c r="K5971" i="14" l="1"/>
  <c r="L5971" i="14" s="1"/>
  <c r="I5972" i="14" s="1"/>
  <c r="K5949" i="13"/>
  <c r="L5949" i="13" s="1"/>
  <c r="I5950" i="13" s="1"/>
  <c r="J6135" i="13" a="1"/>
  <c r="J6135" i="13" s="1"/>
  <c r="N6136" i="13"/>
  <c r="M6138" i="13"/>
  <c r="M6139" i="14"/>
  <c r="N6135" i="14"/>
  <c r="J6134" i="14" a="1"/>
  <c r="J6134" i="14" s="1"/>
  <c r="K5950" i="13" l="1"/>
  <c r="L5950" i="13" s="1"/>
  <c r="I5951" i="13" s="1"/>
  <c r="K5972" i="14"/>
  <c r="L5972" i="14" s="1"/>
  <c r="I5973" i="14" s="1"/>
  <c r="N6136" i="14"/>
  <c r="J6135" i="14" a="1"/>
  <c r="J6135" i="14" s="1"/>
  <c r="M6139" i="13"/>
  <c r="J6136" i="13" a="1"/>
  <c r="J6136" i="13" s="1"/>
  <c r="N6137" i="13"/>
  <c r="M6140" i="14"/>
  <c r="K5973" i="14" l="1"/>
  <c r="L5973" i="14" s="1"/>
  <c r="I5974" i="14" s="1"/>
  <c r="K5951" i="13"/>
  <c r="L5951" i="13" s="1"/>
  <c r="I5952" i="13" s="1"/>
  <c r="N6138" i="13"/>
  <c r="J6137" i="13" a="1"/>
  <c r="J6137" i="13" s="1"/>
  <c r="M6141" i="14"/>
  <c r="M6140" i="13"/>
  <c r="J6136" i="14" a="1"/>
  <c r="J6136" i="14" s="1"/>
  <c r="N6137" i="14"/>
  <c r="K5952" i="13" l="1"/>
  <c r="L5952" i="13" s="1"/>
  <c r="I5953" i="13" s="1"/>
  <c r="K5974" i="14"/>
  <c r="L5974" i="14" s="1"/>
  <c r="I5975" i="14" s="1"/>
  <c r="N6138" i="14"/>
  <c r="J6137" i="14" a="1"/>
  <c r="J6137" i="14" s="1"/>
  <c r="M6142" i="14"/>
  <c r="M6141" i="13"/>
  <c r="J6138" i="13" a="1"/>
  <c r="J6138" i="13" s="1"/>
  <c r="N6139" i="13"/>
  <c r="K5975" i="14" l="1"/>
  <c r="L5975" i="14" s="1"/>
  <c r="I5976" i="14" s="1"/>
  <c r="K5953" i="13"/>
  <c r="L5953" i="13" s="1"/>
  <c r="I5954" i="13" s="1"/>
  <c r="J6139" i="13" a="1"/>
  <c r="J6139" i="13" s="1"/>
  <c r="N6140" i="13"/>
  <c r="M6143" i="14"/>
  <c r="M6142" i="13"/>
  <c r="N6139" i="14"/>
  <c r="J6138" i="14" a="1"/>
  <c r="J6138" i="14" s="1"/>
  <c r="K5954" i="13" l="1"/>
  <c r="L5954" i="13" s="1"/>
  <c r="I5955" i="13" s="1"/>
  <c r="K5976" i="14"/>
  <c r="L5976" i="14" s="1"/>
  <c r="I5977" i="14" s="1"/>
  <c r="N6140" i="14"/>
  <c r="J6139" i="14" a="1"/>
  <c r="J6139" i="14" s="1"/>
  <c r="M6144" i="14"/>
  <c r="J6140" i="13" a="1"/>
  <c r="J6140" i="13" s="1"/>
  <c r="N6141" i="13"/>
  <c r="M6143" i="13"/>
  <c r="K5977" i="14" l="1"/>
  <c r="L5977" i="14" s="1"/>
  <c r="I5978" i="14" s="1"/>
  <c r="K5955" i="13"/>
  <c r="L5955" i="13" s="1"/>
  <c r="I5956" i="13" s="1"/>
  <c r="M6145" i="14"/>
  <c r="N6142" i="13"/>
  <c r="J6141" i="13" a="1"/>
  <c r="J6141" i="13" s="1"/>
  <c r="M6144" i="13"/>
  <c r="J6140" i="14" a="1"/>
  <c r="J6140" i="14" s="1"/>
  <c r="N6141" i="14"/>
  <c r="K5956" i="13" l="1"/>
  <c r="L5956" i="13" s="1"/>
  <c r="I5957" i="13" s="1"/>
  <c r="K5978" i="14"/>
  <c r="L5978" i="14" s="1"/>
  <c r="I5979" i="14" s="1"/>
  <c r="J6142" i="13" a="1"/>
  <c r="J6142" i="13" s="1"/>
  <c r="N6143" i="13"/>
  <c r="N6142" i="14"/>
  <c r="J6141" i="14" a="1"/>
  <c r="J6141" i="14" s="1"/>
  <c r="M6145" i="13"/>
  <c r="M6146" i="14"/>
  <c r="K5979" i="14" l="1"/>
  <c r="L5979" i="14" s="1"/>
  <c r="I5980" i="14" s="1"/>
  <c r="K5957" i="13"/>
  <c r="L5957" i="13" s="1"/>
  <c r="I5958" i="13" s="1"/>
  <c r="N6143" i="14"/>
  <c r="J6142" i="14" a="1"/>
  <c r="J6142" i="14" s="1"/>
  <c r="M6147" i="14"/>
  <c r="J6143" i="13" a="1"/>
  <c r="J6143" i="13" s="1"/>
  <c r="N6144" i="13"/>
  <c r="M6146" i="13"/>
  <c r="K5958" i="13" l="1"/>
  <c r="L5958" i="13" s="1"/>
  <c r="I5959" i="13" s="1"/>
  <c r="K5980" i="14"/>
  <c r="L5980" i="14" s="1"/>
  <c r="I5981" i="14" s="1"/>
  <c r="J6144" i="13" a="1"/>
  <c r="J6144" i="13" s="1"/>
  <c r="N6145" i="13"/>
  <c r="M6147" i="13"/>
  <c r="M6148" i="14"/>
  <c r="N6144" i="14"/>
  <c r="J6143" i="14" a="1"/>
  <c r="J6143" i="14" s="1"/>
  <c r="K5981" i="14" l="1"/>
  <c r="L5981" i="14" s="1"/>
  <c r="I5982" i="14" s="1"/>
  <c r="K5959" i="13"/>
  <c r="L5959" i="13" s="1"/>
  <c r="I5960" i="13" s="1"/>
  <c r="J6144" i="14" a="1"/>
  <c r="J6144" i="14" s="1"/>
  <c r="N6145" i="14"/>
  <c r="M6148" i="13"/>
  <c r="N6146" i="13"/>
  <c r="J6145" i="13" a="1"/>
  <c r="J6145" i="13" s="1"/>
  <c r="M6149" i="14"/>
  <c r="K5960" i="13" l="1"/>
  <c r="L5960" i="13" s="1"/>
  <c r="I5961" i="13" s="1"/>
  <c r="K5982" i="14"/>
  <c r="L5982" i="14" s="1"/>
  <c r="I5983" i="14" s="1"/>
  <c r="M6150" i="14"/>
  <c r="M6149" i="13"/>
  <c r="J6146" i="13" a="1"/>
  <c r="J6146" i="13" s="1"/>
  <c r="N6147" i="13"/>
  <c r="N6146" i="14"/>
  <c r="J6145" i="14" a="1"/>
  <c r="J6145" i="14" s="1"/>
  <c r="K5961" i="13" l="1"/>
  <c r="L5961" i="13" s="1"/>
  <c r="I5962" i="13" s="1"/>
  <c r="N6147" i="14"/>
  <c r="J6146" i="14" a="1"/>
  <c r="J6146" i="14" s="1"/>
  <c r="M6150" i="13"/>
  <c r="K5983" i="14"/>
  <c r="L5983" i="14" s="1"/>
  <c r="I5984" i="14" s="1"/>
  <c r="J6147" i="13" a="1"/>
  <c r="J6147" i="13" s="1"/>
  <c r="N6148" i="13"/>
  <c r="M6151" i="14"/>
  <c r="K5984" i="14" l="1"/>
  <c r="L5984" i="14" s="1"/>
  <c r="I5985" i="14" s="1"/>
  <c r="K5962" i="13"/>
  <c r="L5962" i="13" s="1"/>
  <c r="I5963" i="13" s="1"/>
  <c r="M6152" i="14"/>
  <c r="N6148" i="14"/>
  <c r="J6147" i="14" a="1"/>
  <c r="J6147" i="14" s="1"/>
  <c r="J6148" i="13" a="1"/>
  <c r="J6148" i="13" s="1"/>
  <c r="N6149" i="13"/>
  <c r="M6151" i="13"/>
  <c r="K5963" i="13" l="1"/>
  <c r="L5963" i="13" s="1"/>
  <c r="I5964" i="13" s="1"/>
  <c r="K5985" i="14"/>
  <c r="L5985" i="14" s="1"/>
  <c r="I5986" i="14" s="1"/>
  <c r="J6148" i="14" a="1"/>
  <c r="J6148" i="14" s="1"/>
  <c r="N6149" i="14"/>
  <c r="N6150" i="13"/>
  <c r="J6149" i="13" a="1"/>
  <c r="J6149" i="13" s="1"/>
  <c r="M6153" i="14"/>
  <c r="M6152" i="13"/>
  <c r="K5986" i="14" l="1"/>
  <c r="L5986" i="14" s="1"/>
  <c r="I5987" i="14" s="1"/>
  <c r="K5964" i="13"/>
  <c r="L5964" i="13" s="1"/>
  <c r="I5965" i="13" s="1"/>
  <c r="J6150" i="13" a="1"/>
  <c r="J6150" i="13" s="1"/>
  <c r="N6151" i="13"/>
  <c r="N6150" i="14"/>
  <c r="J6149" i="14" a="1"/>
  <c r="J6149" i="14" s="1"/>
  <c r="M6153" i="13"/>
  <c r="M6154" i="14"/>
  <c r="K5965" i="13" l="1"/>
  <c r="L5965" i="13" s="1"/>
  <c r="I5966" i="13" s="1"/>
  <c r="K5987" i="14"/>
  <c r="L5987" i="14" s="1"/>
  <c r="I5988" i="14" s="1"/>
  <c r="M6155" i="14"/>
  <c r="N6151" i="14"/>
  <c r="J6150" i="14" a="1"/>
  <c r="J6150" i="14" s="1"/>
  <c r="J6151" i="13" a="1"/>
  <c r="J6151" i="13" s="1"/>
  <c r="N6152" i="13"/>
  <c r="M6154" i="13"/>
  <c r="K5988" i="14" l="1"/>
  <c r="L5988" i="14" s="1"/>
  <c r="I5989" i="14" s="1"/>
  <c r="K5966" i="13"/>
  <c r="L5966" i="13" s="1"/>
  <c r="I5967" i="13" s="1"/>
  <c r="M6155" i="13"/>
  <c r="N6152" i="14"/>
  <c r="J6151" i="14" a="1"/>
  <c r="J6151" i="14" s="1"/>
  <c r="J6152" i="13" a="1"/>
  <c r="J6152" i="13" s="1"/>
  <c r="N6153" i="13"/>
  <c r="M6156" i="14"/>
  <c r="K5967" i="13" l="1"/>
  <c r="L5967" i="13" s="1"/>
  <c r="I5968" i="13" s="1"/>
  <c r="K5989" i="14"/>
  <c r="L5989" i="14" s="1"/>
  <c r="I5990" i="14" s="1"/>
  <c r="M6157" i="14"/>
  <c r="J6152" i="14" a="1"/>
  <c r="J6152" i="14" s="1"/>
  <c r="N6153" i="14"/>
  <c r="N6154" i="13"/>
  <c r="J6153" i="13" a="1"/>
  <c r="J6153" i="13" s="1"/>
  <c r="M6156" i="13"/>
  <c r="K5990" i="14" l="1"/>
  <c r="L5990" i="14" s="1"/>
  <c r="I5991" i="14" s="1"/>
  <c r="K5968" i="13"/>
  <c r="L5968" i="13" s="1"/>
  <c r="I5969" i="13" s="1"/>
  <c r="M6157" i="13"/>
  <c r="N6154" i="14"/>
  <c r="J6153" i="14" a="1"/>
  <c r="J6153" i="14" s="1"/>
  <c r="M6158" i="14"/>
  <c r="J6154" i="13" a="1"/>
  <c r="J6154" i="13" s="1"/>
  <c r="N6155" i="13"/>
  <c r="K5969" i="13" l="1"/>
  <c r="L5969" i="13" s="1"/>
  <c r="I5970" i="13" s="1"/>
  <c r="K5991" i="14"/>
  <c r="L5991" i="14" s="1"/>
  <c r="I5992" i="14" s="1"/>
  <c r="N6155" i="14"/>
  <c r="J6154" i="14" a="1"/>
  <c r="J6154" i="14" s="1"/>
  <c r="J6155" i="13" a="1"/>
  <c r="J6155" i="13" s="1"/>
  <c r="N6156" i="13"/>
  <c r="M6159" i="14"/>
  <c r="M6158" i="13"/>
  <c r="K5992" i="14" l="1"/>
  <c r="L5992" i="14" s="1"/>
  <c r="I5993" i="14" s="1"/>
  <c r="K5970" i="13"/>
  <c r="L5970" i="13" s="1"/>
  <c r="I5971" i="13" s="1"/>
  <c r="J6156" i="13" a="1"/>
  <c r="J6156" i="13" s="1"/>
  <c r="N6157" i="13"/>
  <c r="M6159" i="13"/>
  <c r="M6160" i="14"/>
  <c r="N6156" i="14"/>
  <c r="J6155" i="14" a="1"/>
  <c r="J6155" i="14" s="1"/>
  <c r="K5971" i="13" l="1"/>
  <c r="L5971" i="13" s="1"/>
  <c r="I5972" i="13" s="1"/>
  <c r="K5993" i="14"/>
  <c r="L5993" i="14" s="1"/>
  <c r="I5994" i="14" s="1"/>
  <c r="J6156" i="14" a="1"/>
  <c r="J6156" i="14" s="1"/>
  <c r="N6157" i="14"/>
  <c r="M6160" i="13"/>
  <c r="N6158" i="13"/>
  <c r="J6157" i="13" a="1"/>
  <c r="J6157" i="13" s="1"/>
  <c r="M6161" i="14"/>
  <c r="K5994" i="14" l="1"/>
  <c r="L5994" i="14" s="1"/>
  <c r="I5995" i="14" s="1"/>
  <c r="K5972" i="13"/>
  <c r="L5972" i="13" s="1"/>
  <c r="I5973" i="13" s="1"/>
  <c r="M6161" i="13"/>
  <c r="J6158" i="13" a="1"/>
  <c r="J6158" i="13" s="1"/>
  <c r="N6159" i="13"/>
  <c r="M6162" i="14"/>
  <c r="N6158" i="14"/>
  <c r="J6157" i="14" a="1"/>
  <c r="J6157" i="14" s="1"/>
  <c r="K5973" i="13" l="1"/>
  <c r="L5973" i="13" s="1"/>
  <c r="I5974" i="13" s="1"/>
  <c r="K5995" i="14"/>
  <c r="L5995" i="14" s="1"/>
  <c r="I5996" i="14" s="1"/>
  <c r="J6159" i="13" a="1"/>
  <c r="J6159" i="13" s="1"/>
  <c r="N6160" i="13"/>
  <c r="J6158" i="14" a="1"/>
  <c r="J6158" i="14" s="1"/>
  <c r="N6159" i="14"/>
  <c r="M6163" i="14"/>
  <c r="M6162" i="13"/>
  <c r="K5996" i="14" l="1"/>
  <c r="L5996" i="14" s="1"/>
  <c r="I5997" i="14" s="1"/>
  <c r="K5974" i="13"/>
  <c r="L5974" i="13" s="1"/>
  <c r="I5975" i="13" s="1"/>
  <c r="N6160" i="14"/>
  <c r="J6159" i="14" a="1"/>
  <c r="J6159" i="14" s="1"/>
  <c r="M6163" i="13"/>
  <c r="J6160" i="13" a="1"/>
  <c r="J6160" i="13" s="1"/>
  <c r="N6161" i="13"/>
  <c r="M6164" i="14"/>
  <c r="K5975" i="13" l="1"/>
  <c r="L5975" i="13" s="1"/>
  <c r="I5976" i="13" s="1"/>
  <c r="K5997" i="14"/>
  <c r="L5997" i="14" s="1"/>
  <c r="I5998" i="14" s="1"/>
  <c r="M6165" i="14"/>
  <c r="M6164" i="13"/>
  <c r="N6162" i="13"/>
  <c r="J6161" i="13" a="1"/>
  <c r="J6161" i="13" s="1"/>
  <c r="J6160" i="14" a="1"/>
  <c r="J6160" i="14" s="1"/>
  <c r="N6161" i="14"/>
  <c r="K5998" i="14" l="1"/>
  <c r="L5998" i="14" s="1"/>
  <c r="I5999" i="14" s="1"/>
  <c r="K5976" i="13"/>
  <c r="L5976" i="13" s="1"/>
  <c r="I5977" i="13" s="1"/>
  <c r="J6161" i="14" a="1"/>
  <c r="J6161" i="14" s="1"/>
  <c r="N6162" i="14"/>
  <c r="M6165" i="13"/>
  <c r="J6162" i="13" a="1"/>
  <c r="J6162" i="13" s="1"/>
  <c r="N6163" i="13"/>
  <c r="M6166" i="14"/>
  <c r="K5977" i="13" l="1"/>
  <c r="L5977" i="13" s="1"/>
  <c r="I5978" i="13" s="1"/>
  <c r="K5999" i="14"/>
  <c r="L5999" i="14" s="1"/>
  <c r="I6000" i="14" s="1"/>
  <c r="J6163" i="13" a="1"/>
  <c r="J6163" i="13" s="1"/>
  <c r="N6164" i="13"/>
  <c r="M6167" i="14"/>
  <c r="M6166" i="13"/>
  <c r="N6163" i="14"/>
  <c r="J6162" i="14" a="1"/>
  <c r="J6162" i="14" s="1"/>
  <c r="K6000" i="14" l="1"/>
  <c r="L6000" i="14" s="1"/>
  <c r="I6001" i="14" s="1"/>
  <c r="K5978" i="13"/>
  <c r="L5978" i="13" s="1"/>
  <c r="I5979" i="13" s="1"/>
  <c r="N6164" i="14"/>
  <c r="J6163" i="14" a="1"/>
  <c r="J6163" i="14" s="1"/>
  <c r="M6168" i="14"/>
  <c r="J6164" i="13" a="1"/>
  <c r="J6164" i="13" s="1"/>
  <c r="N6165" i="13"/>
  <c r="M6167" i="13"/>
  <c r="K5979" i="13" l="1"/>
  <c r="L5979" i="13" s="1"/>
  <c r="I5980" i="13" s="1"/>
  <c r="K6001" i="14"/>
  <c r="L6001" i="14" s="1"/>
  <c r="I6002" i="14" s="1"/>
  <c r="N6166" i="13"/>
  <c r="J6165" i="13" a="1"/>
  <c r="J6165" i="13" s="1"/>
  <c r="M6168" i="13"/>
  <c r="M6169" i="14"/>
  <c r="J6164" i="14" a="1"/>
  <c r="J6164" i="14" s="1"/>
  <c r="N6165" i="14"/>
  <c r="K6002" i="14" l="1"/>
  <c r="L6002" i="14" s="1"/>
  <c r="I6003" i="14" s="1"/>
  <c r="K5980" i="13"/>
  <c r="L5980" i="13" s="1"/>
  <c r="I5981" i="13" s="1"/>
  <c r="N6166" i="14"/>
  <c r="J6165" i="14" a="1"/>
  <c r="J6165" i="14" s="1"/>
  <c r="M6169" i="13"/>
  <c r="M6170" i="14"/>
  <c r="J6166" i="13" a="1"/>
  <c r="J6166" i="13" s="1"/>
  <c r="N6167" i="13"/>
  <c r="K5981" i="13" l="1"/>
  <c r="L5981" i="13" s="1"/>
  <c r="I5982" i="13" s="1"/>
  <c r="K6003" i="14"/>
  <c r="L6003" i="14" s="1"/>
  <c r="I6004" i="14" s="1"/>
  <c r="J6167" i="13" a="1"/>
  <c r="J6167" i="13" s="1"/>
  <c r="N6168" i="13"/>
  <c r="M6170" i="13"/>
  <c r="M6171" i="14"/>
  <c r="N6167" i="14"/>
  <c r="J6166" i="14" a="1"/>
  <c r="J6166" i="14" s="1"/>
  <c r="K6004" i="14" l="1"/>
  <c r="L6004" i="14" s="1"/>
  <c r="I6005" i="14" s="1"/>
  <c r="K5982" i="13"/>
  <c r="L5982" i="13" s="1"/>
  <c r="I5983" i="13" s="1"/>
  <c r="N6168" i="14"/>
  <c r="J6167" i="14" a="1"/>
  <c r="J6167" i="14" s="1"/>
  <c r="M6171" i="13"/>
  <c r="J6168" i="13" a="1"/>
  <c r="J6168" i="13" s="1"/>
  <c r="N6169" i="13"/>
  <c r="M6172" i="14"/>
  <c r="K5983" i="13" l="1"/>
  <c r="L5983" i="13" s="1"/>
  <c r="I5984" i="13" s="1"/>
  <c r="K6005" i="14"/>
  <c r="L6005" i="14" s="1"/>
  <c r="I6006" i="14" s="1"/>
  <c r="N6170" i="13"/>
  <c r="J6169" i="13" a="1"/>
  <c r="J6169" i="13" s="1"/>
  <c r="M6173" i="14"/>
  <c r="M6172" i="13"/>
  <c r="J6168" i="14" a="1"/>
  <c r="J6168" i="14" s="1"/>
  <c r="N6169" i="14"/>
  <c r="K6006" i="14" l="1"/>
  <c r="L6006" i="14" s="1"/>
  <c r="I6007" i="14" s="1"/>
  <c r="K5984" i="13"/>
  <c r="L5984" i="13" s="1"/>
  <c r="I5985" i="13" s="1"/>
  <c r="N6170" i="14"/>
  <c r="J6169" i="14" a="1"/>
  <c r="J6169" i="14" s="1"/>
  <c r="M6174" i="14"/>
  <c r="M6173" i="13"/>
  <c r="J6170" i="13" a="1"/>
  <c r="J6170" i="13" s="1"/>
  <c r="N6171" i="13"/>
  <c r="K5985" i="13" l="1"/>
  <c r="L5985" i="13" s="1"/>
  <c r="I5986" i="13" s="1"/>
  <c r="K6007" i="14"/>
  <c r="L6007" i="14" s="1"/>
  <c r="I6008" i="14" s="1"/>
  <c r="J6171" i="13" a="1"/>
  <c r="J6171" i="13" s="1"/>
  <c r="N6172" i="13"/>
  <c r="M6175" i="14"/>
  <c r="M6174" i="13"/>
  <c r="N6171" i="14"/>
  <c r="J6170" i="14" a="1"/>
  <c r="J6170" i="14" s="1"/>
  <c r="K6008" i="14" l="1"/>
  <c r="L6008" i="14" s="1"/>
  <c r="I6009" i="14" s="1"/>
  <c r="K5986" i="13"/>
  <c r="L5986" i="13" s="1"/>
  <c r="I5987" i="13" s="1"/>
  <c r="N6172" i="14"/>
  <c r="J6171" i="14" a="1"/>
  <c r="J6171" i="14" s="1"/>
  <c r="M6176" i="14"/>
  <c r="N6173" i="13"/>
  <c r="J6172" i="13" a="1"/>
  <c r="J6172" i="13" s="1"/>
  <c r="M6175" i="13"/>
  <c r="K5987" i="13" l="1"/>
  <c r="L5987" i="13" s="1"/>
  <c r="I5988" i="13" s="1"/>
  <c r="K6009" i="14"/>
  <c r="L6009" i="14" s="1"/>
  <c r="I6010" i="14" s="1"/>
  <c r="M6176" i="13"/>
  <c r="M6177" i="14"/>
  <c r="N6174" i="13"/>
  <c r="J6173" i="13" a="1"/>
  <c r="J6173" i="13" s="1"/>
  <c r="J6172" i="14" a="1"/>
  <c r="J6172" i="14" s="1"/>
  <c r="N6173" i="14"/>
  <c r="K6010" i="14" l="1"/>
  <c r="L6010" i="14" s="1"/>
  <c r="I6011" i="14" s="1"/>
  <c r="K5988" i="13"/>
  <c r="L5988" i="13" s="1"/>
  <c r="I5989" i="13" s="1"/>
  <c r="N6174" i="14"/>
  <c r="J6173" i="14" a="1"/>
  <c r="J6173" i="14" s="1"/>
  <c r="M6178" i="14"/>
  <c r="M6177" i="13"/>
  <c r="J6174" i="13" a="1"/>
  <c r="J6174" i="13" s="1"/>
  <c r="N6175" i="13"/>
  <c r="K5989" i="13" l="1"/>
  <c r="L5989" i="13" s="1"/>
  <c r="I5990" i="13" s="1"/>
  <c r="K6011" i="14"/>
  <c r="L6011" i="14" s="1"/>
  <c r="I6012" i="14" s="1"/>
  <c r="N6176" i="13"/>
  <c r="J6175" i="13" a="1"/>
  <c r="J6175" i="13" s="1"/>
  <c r="M6179" i="14"/>
  <c r="M6178" i="13"/>
  <c r="N6175" i="14"/>
  <c r="J6174" i="14" a="1"/>
  <c r="J6174" i="14" s="1"/>
  <c r="K6012" i="14" l="1"/>
  <c r="L6012" i="14" s="1"/>
  <c r="I6013" i="14" s="1"/>
  <c r="K5990" i="13"/>
  <c r="L5990" i="13" s="1"/>
  <c r="I5991" i="13" s="1"/>
  <c r="N6176" i="14"/>
  <c r="J6175" i="14" a="1"/>
  <c r="J6175" i="14" s="1"/>
  <c r="M6180" i="14"/>
  <c r="M6179" i="13"/>
  <c r="J6176" i="13" a="1"/>
  <c r="J6176" i="13" s="1"/>
  <c r="N6177" i="13"/>
  <c r="K5991" i="13" l="1"/>
  <c r="L5991" i="13" s="1"/>
  <c r="I5992" i="13" s="1"/>
  <c r="K6013" i="14"/>
  <c r="L6013" i="14" s="1"/>
  <c r="I6014" i="14" s="1"/>
  <c r="M6181" i="14"/>
  <c r="N6178" i="13"/>
  <c r="J6177" i="13" a="1"/>
  <c r="J6177" i="13" s="1"/>
  <c r="M6180" i="13"/>
  <c r="J6176" i="14" a="1"/>
  <c r="J6176" i="14" s="1"/>
  <c r="N6177" i="14"/>
  <c r="K6014" i="14" l="1"/>
  <c r="L6014" i="14" s="1"/>
  <c r="I6015" i="14" s="1"/>
  <c r="K5992" i="13"/>
  <c r="L5992" i="13" s="1"/>
  <c r="I5993" i="13" s="1"/>
  <c r="N6178" i="14"/>
  <c r="J6177" i="14" a="1"/>
  <c r="J6177" i="14" s="1"/>
  <c r="J6178" i="13" a="1"/>
  <c r="J6178" i="13" s="1"/>
  <c r="N6179" i="13"/>
  <c r="M6182" i="14"/>
  <c r="M6181" i="13"/>
  <c r="K5993" i="13" l="1"/>
  <c r="L5993" i="13" s="1"/>
  <c r="I5994" i="13" s="1"/>
  <c r="K6015" i="14"/>
  <c r="L6015" i="14" s="1"/>
  <c r="I6016" i="14" s="1"/>
  <c r="J6179" i="13" a="1"/>
  <c r="J6179" i="13" s="1"/>
  <c r="N6180" i="13"/>
  <c r="M6182" i="13"/>
  <c r="M6183" i="14"/>
  <c r="N6179" i="14"/>
  <c r="J6178" i="14" a="1"/>
  <c r="J6178" i="14" s="1"/>
  <c r="K6016" i="14" l="1"/>
  <c r="L6016" i="14" s="1"/>
  <c r="I6017" i="14" s="1"/>
  <c r="K5994" i="13"/>
  <c r="L5994" i="13" s="1"/>
  <c r="I5995" i="13" s="1"/>
  <c r="M6183" i="13"/>
  <c r="N6180" i="14"/>
  <c r="J6179" i="14" a="1"/>
  <c r="J6179" i="14" s="1"/>
  <c r="N6181" i="13"/>
  <c r="J6180" i="13" a="1"/>
  <c r="J6180" i="13" s="1"/>
  <c r="M6184" i="14"/>
  <c r="K5995" i="13" l="1"/>
  <c r="L5995" i="13" s="1"/>
  <c r="I5996" i="13" s="1"/>
  <c r="K6017" i="14"/>
  <c r="L6017" i="14" s="1"/>
  <c r="I6018" i="14" s="1"/>
  <c r="M6185" i="14"/>
  <c r="J6180" i="14" a="1"/>
  <c r="J6180" i="14" s="1"/>
  <c r="N6181" i="14"/>
  <c r="N6182" i="13"/>
  <c r="J6181" i="13" a="1"/>
  <c r="J6181" i="13" s="1"/>
  <c r="M6184" i="13"/>
  <c r="K6018" i="14" l="1"/>
  <c r="L6018" i="14" s="1"/>
  <c r="I6019" i="14" s="1"/>
  <c r="K5996" i="13"/>
  <c r="L5996" i="13" s="1"/>
  <c r="I5997" i="13" s="1"/>
  <c r="M6185" i="13"/>
  <c r="N6182" i="14"/>
  <c r="J6181" i="14" a="1"/>
  <c r="J6181" i="14" s="1"/>
  <c r="M6186" i="14"/>
  <c r="J6182" i="13" a="1"/>
  <c r="J6182" i="13" s="1"/>
  <c r="N6183" i="13"/>
  <c r="K5997" i="13" l="1"/>
  <c r="L5997" i="13" s="1"/>
  <c r="I5998" i="13" s="1"/>
  <c r="K6019" i="14"/>
  <c r="L6019" i="14" s="1"/>
  <c r="I6020" i="14" s="1"/>
  <c r="N6183" i="14"/>
  <c r="J6182" i="14" a="1"/>
  <c r="J6182" i="14" s="1"/>
  <c r="N6184" i="13"/>
  <c r="J6183" i="13" a="1"/>
  <c r="J6183" i="13" s="1"/>
  <c r="M6187" i="14"/>
  <c r="M6186" i="13"/>
  <c r="K6020" i="14" l="1"/>
  <c r="L6020" i="14" s="1"/>
  <c r="I6021" i="14" s="1"/>
  <c r="K5998" i="13"/>
  <c r="L5998" i="13" s="1"/>
  <c r="I5999" i="13" s="1"/>
  <c r="N6185" i="13"/>
  <c r="J6184" i="13" a="1"/>
  <c r="J6184" i="13" s="1"/>
  <c r="M6187" i="13"/>
  <c r="M6188" i="14"/>
  <c r="N6184" i="14"/>
  <c r="J6183" i="14" a="1"/>
  <c r="J6183" i="14" s="1"/>
  <c r="K5999" i="13" l="1"/>
  <c r="L5999" i="13" s="1"/>
  <c r="I6000" i="13" s="1"/>
  <c r="K6021" i="14"/>
  <c r="L6021" i="14" s="1"/>
  <c r="I6022" i="14" s="1"/>
  <c r="M6188" i="13"/>
  <c r="J6184" i="14" a="1"/>
  <c r="J6184" i="14" s="1"/>
  <c r="N6185" i="14"/>
  <c r="M6189" i="14"/>
  <c r="N6186" i="13"/>
  <c r="J6185" i="13" a="1"/>
  <c r="J6185" i="13" s="1"/>
  <c r="K6022" i="14" l="1"/>
  <c r="L6022" i="14" s="1"/>
  <c r="I6023" i="14" s="1"/>
  <c r="K6000" i="13"/>
  <c r="L6000" i="13" s="1"/>
  <c r="I6001" i="13" s="1"/>
  <c r="N6186" i="14"/>
  <c r="J6185" i="14" a="1"/>
  <c r="J6185" i="14" s="1"/>
  <c r="M6190" i="14"/>
  <c r="J6186" i="13" a="1"/>
  <c r="J6186" i="13" s="1"/>
  <c r="N6187" i="13"/>
  <c r="M6189" i="13"/>
  <c r="K6001" i="13" l="1"/>
  <c r="L6001" i="13" s="1"/>
  <c r="I6002" i="13" s="1"/>
  <c r="K6023" i="14"/>
  <c r="L6023" i="14" s="1"/>
  <c r="I6024" i="14" s="1"/>
  <c r="N6188" i="13"/>
  <c r="J6187" i="13" a="1"/>
  <c r="J6187" i="13" s="1"/>
  <c r="M6190" i="13"/>
  <c r="M6191" i="14"/>
  <c r="N6187" i="14"/>
  <c r="J6186" i="14" a="1"/>
  <c r="J6186" i="14" s="1"/>
  <c r="K6024" i="14" l="1"/>
  <c r="L6024" i="14" s="1"/>
  <c r="I6025" i="14" s="1"/>
  <c r="K6002" i="13"/>
  <c r="L6002" i="13" s="1"/>
  <c r="I6003" i="13" s="1"/>
  <c r="M6191" i="13"/>
  <c r="N6188" i="14"/>
  <c r="J6187" i="14" a="1"/>
  <c r="J6187" i="14" s="1"/>
  <c r="M6192" i="14"/>
  <c r="N6189" i="13"/>
  <c r="J6188" i="13" a="1"/>
  <c r="J6188" i="13" s="1"/>
  <c r="K6003" i="13" l="1"/>
  <c r="L6003" i="13" s="1"/>
  <c r="I6004" i="13" s="1"/>
  <c r="K6025" i="14"/>
  <c r="L6025" i="14" s="1"/>
  <c r="I6026" i="14" s="1"/>
  <c r="N6189" i="14"/>
  <c r="J6188" i="14" a="1"/>
  <c r="J6188" i="14" s="1"/>
  <c r="M6193" i="14"/>
  <c r="N6190" i="13"/>
  <c r="J6189" i="13" a="1"/>
  <c r="J6189" i="13" s="1"/>
  <c r="M6192" i="13"/>
  <c r="K6026" i="14" l="1"/>
  <c r="L6026" i="14" s="1"/>
  <c r="I6027" i="14" s="1"/>
  <c r="K6004" i="13"/>
  <c r="L6004" i="13" s="1"/>
  <c r="I6005" i="13" s="1"/>
  <c r="M6194" i="14"/>
  <c r="M6193" i="13"/>
  <c r="J6190" i="13" a="1"/>
  <c r="J6190" i="13" s="1"/>
  <c r="N6191" i="13"/>
  <c r="J6189" i="14" a="1"/>
  <c r="J6189" i="14" s="1"/>
  <c r="N6190" i="14"/>
  <c r="K6005" i="13" l="1"/>
  <c r="L6005" i="13" s="1"/>
  <c r="I6006" i="13" s="1"/>
  <c r="K6027" i="14"/>
  <c r="L6027" i="14" s="1"/>
  <c r="I6028" i="14" s="1"/>
  <c r="N6191" i="14"/>
  <c r="J6190" i="14" a="1"/>
  <c r="J6190" i="14" s="1"/>
  <c r="M6194" i="13"/>
  <c r="N6192" i="13"/>
  <c r="J6191" i="13" a="1"/>
  <c r="J6191" i="13" s="1"/>
  <c r="M6195" i="14"/>
  <c r="K6028" i="14" l="1"/>
  <c r="L6028" i="14" s="1"/>
  <c r="I6029" i="14" s="1"/>
  <c r="K6006" i="13"/>
  <c r="L6006" i="13" s="1"/>
  <c r="I6007" i="13" s="1"/>
  <c r="M6196" i="14"/>
  <c r="M6195" i="13"/>
  <c r="N6193" i="13"/>
  <c r="J6192" i="13" a="1"/>
  <c r="J6192" i="13" s="1"/>
  <c r="J6191" i="14" a="1"/>
  <c r="J6191" i="14" s="1"/>
  <c r="N6192" i="14"/>
  <c r="K6007" i="13" l="1"/>
  <c r="L6007" i="13" s="1"/>
  <c r="I6008" i="13" s="1"/>
  <c r="K6029" i="14"/>
  <c r="L6029" i="14" s="1"/>
  <c r="I6030" i="14" s="1"/>
  <c r="J6192" i="14" a="1"/>
  <c r="J6192" i="14" s="1"/>
  <c r="N6193" i="14"/>
  <c r="M6196" i="13"/>
  <c r="N6194" i="13"/>
  <c r="J6193" i="13" a="1"/>
  <c r="J6193" i="13" s="1"/>
  <c r="M6197" i="14"/>
  <c r="K6030" i="14" l="1"/>
  <c r="L6030" i="14" s="1"/>
  <c r="I6031" i="14" s="1"/>
  <c r="K6008" i="13"/>
  <c r="L6008" i="13" s="1"/>
  <c r="I6009" i="13" s="1"/>
  <c r="M6198" i="14"/>
  <c r="M6197" i="13"/>
  <c r="J6194" i="13" a="1"/>
  <c r="J6194" i="13" s="1"/>
  <c r="N6195" i="13"/>
  <c r="J6193" i="14" a="1"/>
  <c r="J6193" i="14" s="1"/>
  <c r="N6194" i="14"/>
  <c r="K6009" i="13" l="1"/>
  <c r="L6009" i="13" s="1"/>
  <c r="I6010" i="13" s="1"/>
  <c r="K6031" i="14"/>
  <c r="L6031" i="14" s="1"/>
  <c r="I6032" i="14" s="1"/>
  <c r="N6195" i="14"/>
  <c r="J6194" i="14" a="1"/>
  <c r="J6194" i="14" s="1"/>
  <c r="M6198" i="13"/>
  <c r="N6196" i="13"/>
  <c r="J6195" i="13" a="1"/>
  <c r="J6195" i="13" s="1"/>
  <c r="M6199" i="14"/>
  <c r="K6032" i="14" l="1"/>
  <c r="L6032" i="14" s="1"/>
  <c r="I6033" i="14" s="1"/>
  <c r="K6010" i="13"/>
  <c r="L6010" i="13" s="1"/>
  <c r="I6011" i="13" s="1"/>
  <c r="M6199" i="13"/>
  <c r="N6197" i="13"/>
  <c r="J6196" i="13" a="1"/>
  <c r="J6196" i="13" s="1"/>
  <c r="M6200" i="14"/>
  <c r="J6195" i="14" a="1"/>
  <c r="J6195" i="14" s="1"/>
  <c r="N6196" i="14"/>
  <c r="K6011" i="13" l="1"/>
  <c r="L6011" i="13" s="1"/>
  <c r="I6012" i="13" s="1"/>
  <c r="K6033" i="14"/>
  <c r="L6033" i="14" s="1"/>
  <c r="I6034" i="14" s="1"/>
  <c r="N6198" i="13"/>
  <c r="J6197" i="13" a="1"/>
  <c r="J6197" i="13" s="1"/>
  <c r="J6196" i="14" a="1"/>
  <c r="J6196" i="14" s="1"/>
  <c r="N6197" i="14"/>
  <c r="M6201" i="14"/>
  <c r="M6200" i="13"/>
  <c r="K6034" i="14" l="1"/>
  <c r="L6034" i="14" s="1"/>
  <c r="I6035" i="14" s="1"/>
  <c r="K6012" i="13"/>
  <c r="L6012" i="13" s="1"/>
  <c r="I6013" i="13" s="1"/>
  <c r="M6201" i="13"/>
  <c r="J6197" i="14" a="1"/>
  <c r="J6197" i="14" s="1"/>
  <c r="N6198" i="14"/>
  <c r="M6202" i="14"/>
  <c r="J6198" i="13" a="1"/>
  <c r="J6198" i="13" s="1"/>
  <c r="N6199" i="13"/>
  <c r="K6013" i="13" l="1"/>
  <c r="L6013" i="13" s="1"/>
  <c r="I6014" i="13" s="1"/>
  <c r="K6035" i="14"/>
  <c r="L6035" i="14" s="1"/>
  <c r="I6036" i="14" s="1"/>
  <c r="N6199" i="14"/>
  <c r="J6198" i="14" a="1"/>
  <c r="J6198" i="14" s="1"/>
  <c r="N6200" i="13"/>
  <c r="J6199" i="13" a="1"/>
  <c r="J6199" i="13" s="1"/>
  <c r="M6203" i="14"/>
  <c r="M6202" i="13"/>
  <c r="K6036" i="14" l="1"/>
  <c r="L6036" i="14" s="1"/>
  <c r="I6037" i="14" s="1"/>
  <c r="K6014" i="13"/>
  <c r="L6014" i="13" s="1"/>
  <c r="I6015" i="13" s="1"/>
  <c r="N6201" i="13"/>
  <c r="J6200" i="13" a="1"/>
  <c r="J6200" i="13" s="1"/>
  <c r="M6203" i="13"/>
  <c r="M6204" i="14"/>
  <c r="J6199" i="14" a="1"/>
  <c r="J6199" i="14" s="1"/>
  <c r="N6200" i="14"/>
  <c r="K6015" i="13" l="1"/>
  <c r="L6015" i="13" s="1"/>
  <c r="I6016" i="13" s="1"/>
  <c r="J6200" i="14" a="1"/>
  <c r="J6200" i="14" s="1"/>
  <c r="N6201" i="14"/>
  <c r="M6204" i="13"/>
  <c r="M6205" i="14"/>
  <c r="N6202" i="13"/>
  <c r="J6201" i="13" a="1"/>
  <c r="J6201" i="13" s="1"/>
  <c r="K6037" i="14"/>
  <c r="L6037" i="14" s="1"/>
  <c r="I6038" i="14" s="1"/>
  <c r="K6038" i="14" l="1"/>
  <c r="L6038" i="14" s="1"/>
  <c r="I6039" i="14" s="1"/>
  <c r="K6016" i="13"/>
  <c r="L6016" i="13" s="1"/>
  <c r="I6017" i="13" s="1"/>
  <c r="M6206" i="14"/>
  <c r="N6202" i="14"/>
  <c r="J6201" i="14" a="1"/>
  <c r="J6201" i="14" s="1"/>
  <c r="M6205" i="13"/>
  <c r="J6202" i="13" a="1"/>
  <c r="J6202" i="13" s="1"/>
  <c r="N6203" i="13"/>
  <c r="K6039" i="14" l="1"/>
  <c r="L6039" i="14" s="1"/>
  <c r="I6040" i="14" s="1"/>
  <c r="N6204" i="13"/>
  <c r="J6203" i="13" a="1"/>
  <c r="J6203" i="13" s="1"/>
  <c r="N6203" i="14"/>
  <c r="J6202" i="14" a="1"/>
  <c r="J6202" i="14" s="1"/>
  <c r="K6017" i="13"/>
  <c r="L6017" i="13" s="1"/>
  <c r="I6018" i="13" s="1"/>
  <c r="M6206" i="13"/>
  <c r="M6207" i="14"/>
  <c r="K6040" i="14" l="1"/>
  <c r="L6040" i="14" s="1"/>
  <c r="I6041" i="14" s="1"/>
  <c r="M6208" i="14"/>
  <c r="N6205" i="13"/>
  <c r="J6204" i="13" a="1"/>
  <c r="J6204" i="13" s="1"/>
  <c r="M6207" i="13"/>
  <c r="K6018" i="13"/>
  <c r="L6018" i="13" s="1"/>
  <c r="I6019" i="13" s="1"/>
  <c r="J6203" i="14" a="1"/>
  <c r="J6203" i="14" s="1"/>
  <c r="N6204" i="14"/>
  <c r="K6019" i="13" l="1"/>
  <c r="L6019" i="13" s="1"/>
  <c r="I6020" i="13" s="1"/>
  <c r="K6041" i="14"/>
  <c r="L6041" i="14" s="1"/>
  <c r="I6042" i="14" s="1"/>
  <c r="N6205" i="14"/>
  <c r="J6204" i="14" a="1"/>
  <c r="J6204" i="14" s="1"/>
  <c r="M6208" i="13"/>
  <c r="M6209" i="14"/>
  <c r="N6206" i="13"/>
  <c r="J6205" i="13" a="1"/>
  <c r="J6205" i="13" s="1"/>
  <c r="K6020" i="13" l="1"/>
  <c r="L6020" i="13" s="1"/>
  <c r="I6021" i="13" s="1"/>
  <c r="M6209" i="13"/>
  <c r="K6042" i="14"/>
  <c r="L6042" i="14" s="1"/>
  <c r="I6043" i="14" s="1"/>
  <c r="M6210" i="14"/>
  <c r="J6206" i="13" a="1"/>
  <c r="J6206" i="13" s="1"/>
  <c r="N6207" i="13"/>
  <c r="N6206" i="14"/>
  <c r="J6205" i="14" a="1"/>
  <c r="J6205" i="14" s="1"/>
  <c r="K6043" i="14" l="1"/>
  <c r="L6043" i="14" s="1"/>
  <c r="I6044" i="14" s="1"/>
  <c r="K6021" i="13"/>
  <c r="L6021" i="13" s="1"/>
  <c r="I6022" i="13" s="1"/>
  <c r="N6207" i="14"/>
  <c r="J6206" i="14" a="1"/>
  <c r="J6206" i="14" s="1"/>
  <c r="M6211" i="14"/>
  <c r="M6210" i="13"/>
  <c r="N6208" i="13"/>
  <c r="J6207" i="13" a="1"/>
  <c r="J6207" i="13" s="1"/>
  <c r="K6022" i="13" l="1"/>
  <c r="L6022" i="13" s="1"/>
  <c r="I6023" i="13" s="1"/>
  <c r="K6044" i="14"/>
  <c r="L6044" i="14" s="1"/>
  <c r="I6045" i="14" s="1"/>
  <c r="N6209" i="13"/>
  <c r="J6208" i="13" a="1"/>
  <c r="J6208" i="13" s="1"/>
  <c r="M6212" i="14"/>
  <c r="M6211" i="13"/>
  <c r="J6207" i="14" a="1"/>
  <c r="J6207" i="14" s="1"/>
  <c r="N6208" i="14"/>
  <c r="K6045" i="14" l="1"/>
  <c r="L6045" i="14" s="1"/>
  <c r="I6046" i="14" s="1"/>
  <c r="K6023" i="13"/>
  <c r="L6023" i="13" s="1"/>
  <c r="I6024" i="13" s="1"/>
  <c r="N6209" i="14"/>
  <c r="J6208" i="14" a="1"/>
  <c r="J6208" i="14" s="1"/>
  <c r="M6213" i="14"/>
  <c r="M6212" i="13"/>
  <c r="N6210" i="13"/>
  <c r="J6209" i="13" a="1"/>
  <c r="J6209" i="13" s="1"/>
  <c r="K6024" i="13" l="1"/>
  <c r="L6024" i="13" s="1"/>
  <c r="I6025" i="13" s="1"/>
  <c r="K6046" i="14"/>
  <c r="L6046" i="14" s="1"/>
  <c r="I6047" i="14" s="1"/>
  <c r="M6214" i="14"/>
  <c r="J6210" i="13" a="1"/>
  <c r="J6210" i="13" s="1"/>
  <c r="N6211" i="13"/>
  <c r="M6213" i="13"/>
  <c r="N6210" i="14"/>
  <c r="J6209" i="14" a="1"/>
  <c r="J6209" i="14" s="1"/>
  <c r="K6025" i="13" l="1"/>
  <c r="L6025" i="13" s="1"/>
  <c r="I6026" i="13" s="1"/>
  <c r="N6212" i="13"/>
  <c r="J6211" i="13" a="1"/>
  <c r="J6211" i="13" s="1"/>
  <c r="K6047" i="14"/>
  <c r="L6047" i="14" s="1"/>
  <c r="I6048" i="14" s="1"/>
  <c r="N6211" i="14"/>
  <c r="J6210" i="14" a="1"/>
  <c r="J6210" i="14" s="1"/>
  <c r="M6214" i="13"/>
  <c r="M6215" i="14"/>
  <c r="K6048" i="14" l="1"/>
  <c r="L6048" i="14" s="1"/>
  <c r="I6049" i="14" s="1"/>
  <c r="K6026" i="13"/>
  <c r="L6026" i="13" s="1"/>
  <c r="I6027" i="13" s="1"/>
  <c r="M6216" i="14"/>
  <c r="N6213" i="13"/>
  <c r="J6212" i="13" a="1"/>
  <c r="J6212" i="13" s="1"/>
  <c r="J6211" i="14" a="1"/>
  <c r="J6211" i="14" s="1"/>
  <c r="N6212" i="14"/>
  <c r="M6215" i="13"/>
  <c r="K6027" i="13" l="1"/>
  <c r="L6027" i="13" s="1"/>
  <c r="I6028" i="13" s="1"/>
  <c r="K6049" i="14"/>
  <c r="L6049" i="14" s="1"/>
  <c r="I6050" i="14" s="1"/>
  <c r="N6214" i="13"/>
  <c r="J6213" i="13" a="1"/>
  <c r="J6213" i="13" s="1"/>
  <c r="N6213" i="14"/>
  <c r="J6212" i="14" a="1"/>
  <c r="J6212" i="14" s="1"/>
  <c r="M6217" i="14"/>
  <c r="M6216" i="13"/>
  <c r="K6050" i="14" l="1"/>
  <c r="L6050" i="14" s="1"/>
  <c r="I6051" i="14" s="1"/>
  <c r="K6028" i="13"/>
  <c r="L6028" i="13" s="1"/>
  <c r="I6029" i="13" s="1"/>
  <c r="N6214" i="14"/>
  <c r="J6213" i="14" a="1"/>
  <c r="J6213" i="14" s="1"/>
  <c r="M6217" i="13"/>
  <c r="M6218" i="14"/>
  <c r="J6214" i="13" a="1"/>
  <c r="J6214" i="13" s="1"/>
  <c r="N6215" i="13"/>
  <c r="K6029" i="13" l="1"/>
  <c r="L6029" i="13" s="1"/>
  <c r="I6030" i="13" s="1"/>
  <c r="K6051" i="14"/>
  <c r="L6051" i="14" s="1"/>
  <c r="I6052" i="14" s="1"/>
  <c r="N6216" i="13"/>
  <c r="J6215" i="13" a="1"/>
  <c r="J6215" i="13" s="1"/>
  <c r="M6218" i="13"/>
  <c r="M6219" i="14"/>
  <c r="N6215" i="14"/>
  <c r="J6214" i="14" a="1"/>
  <c r="J6214" i="14" s="1"/>
  <c r="K6052" i="14" l="1"/>
  <c r="L6052" i="14" s="1"/>
  <c r="I6053" i="14" s="1"/>
  <c r="K6030" i="13"/>
  <c r="L6030" i="13" s="1"/>
  <c r="I6031" i="13" s="1"/>
  <c r="J6215" i="14" a="1"/>
  <c r="J6215" i="14" s="1"/>
  <c r="N6216" i="14"/>
  <c r="M6219" i="13"/>
  <c r="M6220" i="14"/>
  <c r="N6217" i="13"/>
  <c r="J6216" i="13" a="1"/>
  <c r="J6216" i="13" s="1"/>
  <c r="K6031" i="13" l="1"/>
  <c r="L6031" i="13" s="1"/>
  <c r="I6032" i="13" s="1"/>
  <c r="K6053" i="14"/>
  <c r="L6053" i="14" s="1"/>
  <c r="I6054" i="14" s="1"/>
  <c r="M6220" i="13"/>
  <c r="N6218" i="13"/>
  <c r="J6217" i="13" a="1"/>
  <c r="J6217" i="13" s="1"/>
  <c r="N6217" i="14"/>
  <c r="J6216" i="14" a="1"/>
  <c r="J6216" i="14" s="1"/>
  <c r="M6221" i="14"/>
  <c r="K6054" i="14" l="1"/>
  <c r="L6054" i="14" s="1"/>
  <c r="I6055" i="14" s="1"/>
  <c r="K6032" i="13"/>
  <c r="L6032" i="13" s="1"/>
  <c r="I6033" i="13" s="1"/>
  <c r="M6222" i="14"/>
  <c r="J6218" i="13" a="1"/>
  <c r="J6218" i="13" s="1"/>
  <c r="N6219" i="13"/>
  <c r="M6221" i="13"/>
  <c r="N6218" i="14"/>
  <c r="J6217" i="14" a="1"/>
  <c r="J6217" i="14" s="1"/>
  <c r="K6033" i="13" l="1"/>
  <c r="L6033" i="13" s="1"/>
  <c r="I6034" i="13" s="1"/>
  <c r="K6055" i="14"/>
  <c r="L6055" i="14" s="1"/>
  <c r="I6056" i="14" s="1"/>
  <c r="N6220" i="13"/>
  <c r="J6219" i="13" a="1"/>
  <c r="J6219" i="13" s="1"/>
  <c r="N6219" i="14"/>
  <c r="J6218" i="14" a="1"/>
  <c r="J6218" i="14" s="1"/>
  <c r="M6222" i="13"/>
  <c r="M6223" i="14"/>
  <c r="K6056" i="14" l="1"/>
  <c r="L6056" i="14" s="1"/>
  <c r="I6057" i="14" s="1"/>
  <c r="K6034" i="13"/>
  <c r="L6034" i="13" s="1"/>
  <c r="I6035" i="13" s="1"/>
  <c r="J6219" i="14" a="1"/>
  <c r="J6219" i="14" s="1"/>
  <c r="N6220" i="14"/>
  <c r="M6224" i="14"/>
  <c r="M6223" i="13"/>
  <c r="N6221" i="13"/>
  <c r="J6220" i="13" a="1"/>
  <c r="J6220" i="13" s="1"/>
  <c r="K6035" i="13" l="1"/>
  <c r="L6035" i="13" s="1"/>
  <c r="I6036" i="13" s="1"/>
  <c r="K6057" i="14"/>
  <c r="L6057" i="14" s="1"/>
  <c r="I6058" i="14" s="1"/>
  <c r="N6222" i="13"/>
  <c r="J6221" i="13" a="1"/>
  <c r="J6221" i="13" s="1"/>
  <c r="M6225" i="14"/>
  <c r="J6220" i="14" a="1"/>
  <c r="J6220" i="14" s="1"/>
  <c r="N6221" i="14"/>
  <c r="M6224" i="13"/>
  <c r="K6058" i="14" l="1"/>
  <c r="L6058" i="14" s="1"/>
  <c r="I6059" i="14" s="1"/>
  <c r="K6036" i="13"/>
  <c r="L6036" i="13" s="1"/>
  <c r="I6037" i="13" s="1"/>
  <c r="M6225" i="13"/>
  <c r="M6226" i="14"/>
  <c r="N6222" i="14"/>
  <c r="J6221" i="14" a="1"/>
  <c r="J6221" i="14" s="1"/>
  <c r="J6222" i="13" a="1"/>
  <c r="J6222" i="13" s="1"/>
  <c r="N6223" i="13"/>
  <c r="K6037" i="13" l="1"/>
  <c r="L6037" i="13" s="1"/>
  <c r="I6038" i="13" s="1"/>
  <c r="K6059" i="14"/>
  <c r="L6059" i="14" s="1"/>
  <c r="I6060" i="14" s="1"/>
  <c r="N6224" i="13"/>
  <c r="J6223" i="13" a="1"/>
  <c r="J6223" i="13" s="1"/>
  <c r="M6227" i="14"/>
  <c r="N6223" i="14"/>
  <c r="J6222" i="14" a="1"/>
  <c r="J6222" i="14" s="1"/>
  <c r="M6226" i="13"/>
  <c r="K6060" i="14" l="1"/>
  <c r="L6060" i="14" s="1"/>
  <c r="I6061" i="14" s="1"/>
  <c r="K6038" i="13"/>
  <c r="L6038" i="13" s="1"/>
  <c r="I6039" i="13" s="1"/>
  <c r="M6227" i="13"/>
  <c r="M6228" i="14"/>
  <c r="J6223" i="14" a="1"/>
  <c r="J6223" i="14" s="1"/>
  <c r="N6224" i="14"/>
  <c r="J6224" i="13" a="1"/>
  <c r="J6224" i="13" s="1"/>
  <c r="N6225" i="13"/>
  <c r="K6039" i="13" l="1"/>
  <c r="L6039" i="13" s="1"/>
  <c r="I6040" i="13" s="1"/>
  <c r="K6061" i="14"/>
  <c r="L6061" i="14" s="1"/>
  <c r="I6062" i="14" s="1"/>
  <c r="N6226" i="13"/>
  <c r="J6225" i="13" a="1"/>
  <c r="J6225" i="13" s="1"/>
  <c r="M6229" i="14"/>
  <c r="J6224" i="14" a="1"/>
  <c r="J6224" i="14" s="1"/>
  <c r="N6225" i="14"/>
  <c r="M6228" i="13"/>
  <c r="K6062" i="14" l="1"/>
  <c r="L6062" i="14" s="1"/>
  <c r="I6063" i="14" s="1"/>
  <c r="K6040" i="13"/>
  <c r="L6040" i="13" s="1"/>
  <c r="I6041" i="13" s="1"/>
  <c r="M6229" i="13"/>
  <c r="M6230" i="14"/>
  <c r="N6226" i="14"/>
  <c r="J6225" i="14" a="1"/>
  <c r="J6225" i="14" s="1"/>
  <c r="J6226" i="13" a="1"/>
  <c r="J6226" i="13" s="1"/>
  <c r="N6227" i="13"/>
  <c r="K6041" i="13" l="1"/>
  <c r="L6041" i="13" s="1"/>
  <c r="I6042" i="13" s="1"/>
  <c r="K6063" i="14"/>
  <c r="L6063" i="14" s="1"/>
  <c r="I6064" i="14" s="1"/>
  <c r="J6227" i="13" a="1"/>
  <c r="J6227" i="13" s="1"/>
  <c r="N6228" i="13"/>
  <c r="M6231" i="14"/>
  <c r="N6227" i="14"/>
  <c r="J6226" i="14" a="1"/>
  <c r="J6226" i="14" s="1"/>
  <c r="M6230" i="13"/>
  <c r="K6064" i="14" l="1"/>
  <c r="L6064" i="14" s="1"/>
  <c r="I6065" i="14" s="1"/>
  <c r="K6042" i="13"/>
  <c r="L6042" i="13" s="1"/>
  <c r="I6043" i="13" s="1"/>
  <c r="M6231" i="13"/>
  <c r="J6227" i="14" a="1"/>
  <c r="J6227" i="14" s="1"/>
  <c r="N6228" i="14"/>
  <c r="M6232" i="14"/>
  <c r="N6229" i="13"/>
  <c r="J6228" i="13" a="1"/>
  <c r="J6228" i="13" s="1"/>
  <c r="K6043" i="13" l="1"/>
  <c r="L6043" i="13" s="1"/>
  <c r="I6044" i="13" s="1"/>
  <c r="K6065" i="14"/>
  <c r="L6065" i="14" s="1"/>
  <c r="I6066" i="14" s="1"/>
  <c r="J6228" i="14" a="1"/>
  <c r="J6228" i="14" s="1"/>
  <c r="N6229" i="14"/>
  <c r="N6230" i="13"/>
  <c r="J6229" i="13" a="1"/>
  <c r="J6229" i="13" s="1"/>
  <c r="M6233" i="14"/>
  <c r="M6232" i="13"/>
  <c r="K6066" i="14" l="1"/>
  <c r="L6066" i="14" s="1"/>
  <c r="I6067" i="14" s="1"/>
  <c r="K6044" i="13"/>
  <c r="L6044" i="13" s="1"/>
  <c r="I6045" i="13" s="1"/>
  <c r="J6230" i="13" a="1"/>
  <c r="J6230" i="13" s="1"/>
  <c r="N6231" i="13"/>
  <c r="M6233" i="13"/>
  <c r="M6234" i="14"/>
  <c r="N6230" i="14"/>
  <c r="J6229" i="14" a="1"/>
  <c r="J6229" i="14" s="1"/>
  <c r="K6045" i="13" l="1"/>
  <c r="L6045" i="13" s="1"/>
  <c r="I6046" i="13" s="1"/>
  <c r="K6067" i="14"/>
  <c r="L6067" i="14" s="1"/>
  <c r="I6068" i="14" s="1"/>
  <c r="N6231" i="14"/>
  <c r="J6230" i="14" a="1"/>
  <c r="J6230" i="14" s="1"/>
  <c r="M6234" i="13"/>
  <c r="N6232" i="13"/>
  <c r="J6231" i="13" a="1"/>
  <c r="J6231" i="13" s="1"/>
  <c r="M6235" i="14"/>
  <c r="K6068" i="14" l="1"/>
  <c r="L6068" i="14" s="1"/>
  <c r="I6069" i="14" s="1"/>
  <c r="K6046" i="13"/>
  <c r="L6046" i="13" s="1"/>
  <c r="I6047" i="13" s="1"/>
  <c r="M6236" i="14"/>
  <c r="M6235" i="13"/>
  <c r="N6233" i="13"/>
  <c r="J6232" i="13" a="1"/>
  <c r="J6232" i="13" s="1"/>
  <c r="J6231" i="14" a="1"/>
  <c r="J6231" i="14" s="1"/>
  <c r="N6232" i="14"/>
  <c r="K6047" i="13" l="1"/>
  <c r="L6047" i="13" s="1"/>
  <c r="I6048" i="13" s="1"/>
  <c r="K6069" i="14"/>
  <c r="L6069" i="14" s="1"/>
  <c r="I6070" i="14" s="1"/>
  <c r="N6233" i="14"/>
  <c r="J6232" i="14" a="1"/>
  <c r="J6232" i="14" s="1"/>
  <c r="M6236" i="13"/>
  <c r="M6237" i="14"/>
  <c r="N6234" i="13"/>
  <c r="J6233" i="13" a="1"/>
  <c r="J6233" i="13" s="1"/>
  <c r="K6070" i="14" l="1"/>
  <c r="L6070" i="14" s="1"/>
  <c r="I6071" i="14" s="1"/>
  <c r="K6048" i="13"/>
  <c r="L6048" i="13" s="1"/>
  <c r="I6049" i="13" s="1"/>
  <c r="M6237" i="13"/>
  <c r="J6234" i="13" a="1"/>
  <c r="J6234" i="13" s="1"/>
  <c r="N6235" i="13"/>
  <c r="M6238" i="14"/>
  <c r="J6233" i="14" a="1"/>
  <c r="J6233" i="14" s="1"/>
  <c r="N6234" i="14"/>
  <c r="K6049" i="13" l="1"/>
  <c r="L6049" i="13" s="1"/>
  <c r="I6050" i="13" s="1"/>
  <c r="K6071" i="14"/>
  <c r="L6071" i="14" s="1"/>
  <c r="I6072" i="14" s="1"/>
  <c r="N6236" i="13"/>
  <c r="J6235" i="13" a="1"/>
  <c r="J6235" i="13" s="1"/>
  <c r="N6235" i="14"/>
  <c r="J6234" i="14" a="1"/>
  <c r="J6234" i="14" s="1"/>
  <c r="M6239" i="14"/>
  <c r="M6238" i="13"/>
  <c r="K6050" i="13" l="1"/>
  <c r="L6050" i="13" s="1"/>
  <c r="I6051" i="13" s="1"/>
  <c r="M6239" i="13"/>
  <c r="J6235" i="14" a="1"/>
  <c r="J6235" i="14" s="1"/>
  <c r="N6236" i="14"/>
  <c r="K6072" i="14"/>
  <c r="L6072" i="14" s="1"/>
  <c r="I6073" i="14" s="1"/>
  <c r="M6240" i="14"/>
  <c r="N6237" i="13"/>
  <c r="J6236" i="13" a="1"/>
  <c r="J6236" i="13" s="1"/>
  <c r="K6051" i="13" l="1"/>
  <c r="L6051" i="13" s="1"/>
  <c r="I6052" i="13" s="1"/>
  <c r="M6240" i="13"/>
  <c r="N6238" i="13"/>
  <c r="J6237" i="13" a="1"/>
  <c r="J6237" i="13" s="1"/>
  <c r="K6073" i="14"/>
  <c r="L6073" i="14" s="1"/>
  <c r="I6074" i="14" s="1"/>
  <c r="J6236" i="14" a="1"/>
  <c r="J6236" i="14" s="1"/>
  <c r="N6237" i="14"/>
  <c r="M6241" i="14"/>
  <c r="K6074" i="14" l="1"/>
  <c r="L6074" i="14" s="1"/>
  <c r="I6075" i="14" s="1"/>
  <c r="K6052" i="13"/>
  <c r="L6052" i="13" s="1"/>
  <c r="I6053" i="13" s="1"/>
  <c r="M6242" i="14"/>
  <c r="M6241" i="13"/>
  <c r="J6237" i="14" a="1"/>
  <c r="J6237" i="14" s="1"/>
  <c r="N6238" i="14"/>
  <c r="J6238" i="13" a="1"/>
  <c r="J6238" i="13" s="1"/>
  <c r="N6239" i="13"/>
  <c r="K6053" i="13" l="1"/>
  <c r="L6053" i="13" s="1"/>
  <c r="I6054" i="13" s="1"/>
  <c r="K6075" i="14"/>
  <c r="L6075" i="14" s="1"/>
  <c r="I6076" i="14" s="1"/>
  <c r="N6240" i="13"/>
  <c r="J6239" i="13" a="1"/>
  <c r="J6239" i="13" s="1"/>
  <c r="M6242" i="13"/>
  <c r="N6239" i="14"/>
  <c r="J6238" i="14" a="1"/>
  <c r="J6238" i="14" s="1"/>
  <c r="M6243" i="14"/>
  <c r="K6076" i="14" l="1"/>
  <c r="L6076" i="14" s="1"/>
  <c r="I6077" i="14" s="1"/>
  <c r="K6054" i="13"/>
  <c r="L6054" i="13" s="1"/>
  <c r="I6055" i="13" s="1"/>
  <c r="M6243" i="13"/>
  <c r="M6244" i="14"/>
  <c r="J6239" i="14" a="1"/>
  <c r="J6239" i="14" s="1"/>
  <c r="N6240" i="14"/>
  <c r="J6240" i="13" a="1"/>
  <c r="J6240" i="13" s="1"/>
  <c r="N6241" i="13"/>
  <c r="K6055" i="13" l="1"/>
  <c r="L6055" i="13" s="1"/>
  <c r="I6056" i="13" s="1"/>
  <c r="K6077" i="14"/>
  <c r="L6077" i="14" s="1"/>
  <c r="I6078" i="14" s="1"/>
  <c r="N6242" i="13"/>
  <c r="J6241" i="13" a="1"/>
  <c r="J6241" i="13" s="1"/>
  <c r="M6245" i="14"/>
  <c r="J6240" i="14" a="1"/>
  <c r="J6240" i="14" s="1"/>
  <c r="N6241" i="14"/>
  <c r="M6244" i="13"/>
  <c r="K6078" i="14" l="1"/>
  <c r="L6078" i="14" s="1"/>
  <c r="I6079" i="14" s="1"/>
  <c r="K6056" i="13"/>
  <c r="L6056" i="13" s="1"/>
  <c r="I6057" i="13" s="1"/>
  <c r="J6241" i="14" a="1"/>
  <c r="J6241" i="14" s="1"/>
  <c r="N6242" i="14"/>
  <c r="M6245" i="13"/>
  <c r="M6246" i="14"/>
  <c r="J6242" i="13" a="1"/>
  <c r="J6242" i="13" s="1"/>
  <c r="N6243" i="13"/>
  <c r="K6057" i="13" l="1"/>
  <c r="L6057" i="13" s="1"/>
  <c r="I6058" i="13" s="1"/>
  <c r="K6079" i="14"/>
  <c r="L6079" i="14" s="1"/>
  <c r="I6080" i="14" s="1"/>
  <c r="J6243" i="13" a="1"/>
  <c r="J6243" i="13" s="1"/>
  <c r="N6244" i="13"/>
  <c r="M6246" i="13"/>
  <c r="N6243" i="14"/>
  <c r="J6242" i="14" a="1"/>
  <c r="J6242" i="14" s="1"/>
  <c r="M6247" i="14"/>
  <c r="K6080" i="14" l="1"/>
  <c r="L6080" i="14" s="1"/>
  <c r="I6081" i="14" s="1"/>
  <c r="K6058" i="13"/>
  <c r="L6058" i="13" s="1"/>
  <c r="I6059" i="13" s="1"/>
  <c r="M6247" i="13"/>
  <c r="M6248" i="14"/>
  <c r="N6245" i="13"/>
  <c r="J6244" i="13" a="1"/>
  <c r="J6244" i="13" s="1"/>
  <c r="J6243" i="14" a="1"/>
  <c r="J6243" i="14" s="1"/>
  <c r="N6244" i="14"/>
  <c r="K6059" i="13" l="1"/>
  <c r="L6059" i="13" s="1"/>
  <c r="I6060" i="13" s="1"/>
  <c r="K6081" i="14"/>
  <c r="L6081" i="14" s="1"/>
  <c r="I6082" i="14" s="1"/>
  <c r="M6249" i="14"/>
  <c r="N6245" i="14"/>
  <c r="J6244" i="14" a="1"/>
  <c r="J6244" i="14" s="1"/>
  <c r="N6246" i="13"/>
  <c r="J6245" i="13" a="1"/>
  <c r="J6245" i="13" s="1"/>
  <c r="M6248" i="13"/>
  <c r="K6082" i="14" l="1"/>
  <c r="L6082" i="14" s="1"/>
  <c r="I6083" i="14" s="1"/>
  <c r="K6060" i="13"/>
  <c r="L6060" i="13" s="1"/>
  <c r="I6061" i="13" s="1"/>
  <c r="N6246" i="14"/>
  <c r="J6245" i="14" a="1"/>
  <c r="J6245" i="14" s="1"/>
  <c r="M6250" i="14"/>
  <c r="M6249" i="13"/>
  <c r="J6246" i="13" a="1"/>
  <c r="J6246" i="13" s="1"/>
  <c r="N6247" i="13"/>
  <c r="K6061" i="13" l="1"/>
  <c r="L6061" i="13" s="1"/>
  <c r="I6062" i="13" s="1"/>
  <c r="K6083" i="14"/>
  <c r="L6083" i="14" s="1"/>
  <c r="I6084" i="14" s="1"/>
  <c r="N6248" i="13"/>
  <c r="J6247" i="13" a="1"/>
  <c r="J6247" i="13" s="1"/>
  <c r="M6250" i="13"/>
  <c r="N6247" i="14"/>
  <c r="J6246" i="14" a="1"/>
  <c r="J6246" i="14" s="1"/>
  <c r="K6084" i="14" l="1"/>
  <c r="L6084" i="14" s="1"/>
  <c r="I6085" i="14" s="1"/>
  <c r="K6062" i="13"/>
  <c r="L6062" i="13" s="1"/>
  <c r="I6063" i="13" s="1"/>
  <c r="J6247" i="14" a="1"/>
  <c r="J6247" i="14" s="1"/>
  <c r="N6248" i="14"/>
  <c r="N6249" i="13"/>
  <c r="J6248" i="13" a="1"/>
  <c r="J6248" i="13" s="1"/>
  <c r="K6063" i="13" l="1"/>
  <c r="L6063" i="13" s="1"/>
  <c r="I6064" i="13" s="1"/>
  <c r="K6085" i="14"/>
  <c r="L6085" i="14" s="1"/>
  <c r="I6086" i="14" s="1"/>
  <c r="N6250" i="13"/>
  <c r="J6249" i="13" a="1"/>
  <c r="J6249" i="13" s="1"/>
  <c r="J6248" i="14" a="1"/>
  <c r="J6248" i="14" s="1"/>
  <c r="N6249" i="14"/>
  <c r="K6086" i="14" l="1"/>
  <c r="L6086" i="14" s="1"/>
  <c r="I6087" i="14" s="1"/>
  <c r="K6064" i="13"/>
  <c r="L6064" i="13" s="1"/>
  <c r="I6065" i="13" s="1"/>
  <c r="N6250" i="14"/>
  <c r="J6249" i="14" a="1"/>
  <c r="J6249" i="14" s="1"/>
  <c r="J6250" i="13" a="1"/>
  <c r="J6250" i="13" s="1"/>
  <c r="Q103" i="10" a="1"/>
  <c r="Q103" i="10" s="1"/>
  <c r="Q880" i="10" a="1"/>
  <c r="Q880" i="10" s="1"/>
  <c r="Q1151" i="10" a="1"/>
  <c r="Q1151" i="10" s="1"/>
  <c r="Q23" i="10" a="1"/>
  <c r="Q23" i="10" s="1"/>
  <c r="Q612" i="10" a="1"/>
  <c r="Q612" i="10" s="1"/>
  <c r="Q707" i="10" a="1"/>
  <c r="Q707" i="10" s="1"/>
  <c r="Q290" i="10" a="1"/>
  <c r="Q290" i="10" s="1"/>
  <c r="Q621" i="10" a="1"/>
  <c r="Q621" i="10" s="1"/>
  <c r="Q864" i="10" a="1"/>
  <c r="Q864" i="10" s="1"/>
  <c r="Q1171" i="10" a="1"/>
  <c r="Q1171" i="10" s="1"/>
  <c r="Q311" i="10" a="1"/>
  <c r="Q311" i="10" s="1"/>
  <c r="Q204" i="10" a="1"/>
  <c r="Q204" i="10" s="1"/>
  <c r="Q438" i="10" a="1"/>
  <c r="Q438" i="10" s="1"/>
  <c r="Q394" i="10" a="1"/>
  <c r="Q394" i="10" s="1"/>
  <c r="Q34" i="10" a="1"/>
  <c r="Q34" i="10" s="1"/>
  <c r="Q608" i="10" a="1"/>
  <c r="Q608" i="10" s="1"/>
  <c r="Q479" i="10" a="1"/>
  <c r="Q479" i="10" s="1"/>
  <c r="Q117" i="10" a="1"/>
  <c r="Q117" i="10" s="1"/>
  <c r="Q1005" i="10" a="1"/>
  <c r="Q1005" i="10" s="1"/>
  <c r="Q373" i="10" a="1"/>
  <c r="Q373" i="10" s="1"/>
  <c r="Q535" i="10" a="1"/>
  <c r="Q535" i="10" s="1"/>
  <c r="Q947" i="10" a="1"/>
  <c r="Q947" i="10" s="1"/>
  <c r="Q368" i="10" a="1"/>
  <c r="Q368" i="10" s="1"/>
  <c r="Q1058" i="10" a="1"/>
  <c r="Q1058" i="10" s="1"/>
  <c r="Q223" i="10" a="1"/>
  <c r="Q223" i="10" s="1"/>
  <c r="Q521" i="10" a="1"/>
  <c r="Q521" i="10" s="1"/>
  <c r="Q100" i="10" a="1"/>
  <c r="Q100" i="10" s="1"/>
  <c r="Q839" i="10" a="1"/>
  <c r="Q839" i="10" s="1"/>
  <c r="Q694" i="10" a="1"/>
  <c r="Q694" i="10" s="1"/>
  <c r="Q1066" i="10" a="1"/>
  <c r="Q1066" i="10" s="1"/>
  <c r="Q451" i="10" a="1"/>
  <c r="Q451" i="10" s="1"/>
  <c r="Q624" i="10" a="1"/>
  <c r="Q624" i="10" s="1"/>
  <c r="Q205" i="10" a="1"/>
  <c r="Q205" i="10" s="1"/>
  <c r="Q460" i="10" a="1"/>
  <c r="Q460" i="10" s="1"/>
  <c r="Q1012" i="10" a="1"/>
  <c r="Q1012" i="10" s="1"/>
  <c r="Q777" i="10" a="1"/>
  <c r="Q777" i="10" s="1"/>
  <c r="Q691" i="10" a="1"/>
  <c r="Q691" i="10" s="1"/>
  <c r="Q299" i="10" a="1"/>
  <c r="Q299" i="10" s="1"/>
  <c r="Q798" i="10" a="1"/>
  <c r="Q798" i="10" s="1"/>
  <c r="Q804" i="10" a="1"/>
  <c r="Q804" i="10" s="1"/>
  <c r="Q511" i="10" a="1"/>
  <c r="Q511" i="10" s="1"/>
  <c r="Q727" i="10" a="1"/>
  <c r="Q727" i="10" s="1"/>
  <c r="Q1132" i="10" a="1"/>
  <c r="Q1132" i="10" s="1"/>
  <c r="Q781" i="10" a="1"/>
  <c r="Q781" i="10" s="1"/>
  <c r="Q960" i="10" a="1"/>
  <c r="Q960" i="10" s="1"/>
  <c r="Q538" i="10" a="1"/>
  <c r="Q538" i="10" s="1"/>
  <c r="Q811" i="10" a="1"/>
  <c r="Q811" i="10" s="1"/>
  <c r="Q704" i="10" a="1"/>
  <c r="Q704" i="10" s="1"/>
  <c r="Q569" i="10" a="1"/>
  <c r="Q569" i="10" s="1"/>
  <c r="Q617" i="10" a="1"/>
  <c r="Q617" i="10" s="1"/>
  <c r="Q313" i="10" a="1"/>
  <c r="Q313" i="10" s="1"/>
  <c r="Q105" i="10" a="1"/>
  <c r="Q105" i="10" s="1"/>
  <c r="Q483" i="10" a="1"/>
  <c r="Q483" i="10" s="1"/>
  <c r="Q456" i="10" a="1"/>
  <c r="Q456" i="10" s="1"/>
  <c r="Q43" i="10" a="1"/>
  <c r="Q43" i="10" s="1"/>
  <c r="Q787" i="10" a="1"/>
  <c r="Q787" i="10" s="1"/>
  <c r="Q1139" i="10" a="1"/>
  <c r="Q1139" i="10" s="1"/>
  <c r="Q141" i="10" a="1"/>
  <c r="Q141" i="10" s="1"/>
  <c r="Q370" i="10" a="1"/>
  <c r="Q370" i="10" s="1"/>
  <c r="Q909" i="10" a="1"/>
  <c r="Q909" i="10" s="1"/>
  <c r="Q879" i="10" a="1"/>
  <c r="Q879" i="10" s="1"/>
  <c r="Q428" i="10" a="1"/>
  <c r="Q428" i="10" s="1"/>
  <c r="Q367" i="10" a="1"/>
  <c r="Q367" i="10" s="1"/>
  <c r="Q660" i="10" a="1"/>
  <c r="Q660" i="10" s="1"/>
  <c r="Q230" i="10" a="1"/>
  <c r="Q230" i="10" s="1"/>
  <c r="Q712" i="10" a="1"/>
  <c r="Q712" i="10" s="1"/>
  <c r="Q435" i="10" a="1"/>
  <c r="Q435" i="10" s="1"/>
  <c r="Q1153" i="10" a="1"/>
  <c r="Q1153" i="10" s="1"/>
  <c r="Q972" i="10" a="1"/>
  <c r="Q972" i="10" s="1"/>
  <c r="Q195" i="10" a="1"/>
  <c r="Q195" i="10" s="1"/>
  <c r="Q1101" i="10" a="1"/>
  <c r="Q1101" i="10" s="1"/>
  <c r="Q1062" i="10" a="1"/>
  <c r="Q1062" i="10" s="1"/>
  <c r="Q828" i="10" a="1"/>
  <c r="Q828" i="10" s="1"/>
  <c r="Q957" i="10" a="1"/>
  <c r="Q957" i="10" s="1"/>
  <c r="Q246" i="10" a="1"/>
  <c r="Q246" i="10" s="1"/>
  <c r="Q1055" i="10" a="1"/>
  <c r="Q1055" i="10" s="1"/>
  <c r="Q900" i="10" a="1"/>
  <c r="Q900" i="10" s="1"/>
  <c r="Q764" i="10" a="1"/>
  <c r="Q764" i="10" s="1"/>
  <c r="Q477" i="10" a="1"/>
  <c r="Q477" i="10" s="1"/>
  <c r="Q661" i="10" a="1"/>
  <c r="Q661" i="10" s="1"/>
  <c r="Q495" i="10" a="1"/>
  <c r="Q495" i="10" s="1"/>
  <c r="Q1001" i="10" a="1"/>
  <c r="Q1001" i="10" s="1"/>
  <c r="Q812" i="10" a="1"/>
  <c r="Q812" i="10" s="1"/>
  <c r="Q154" i="10" a="1"/>
  <c r="Q154" i="10" s="1"/>
  <c r="Q358" i="10" a="1"/>
  <c r="Q358" i="10" s="1"/>
  <c r="Q37" i="10" a="1"/>
  <c r="Q37" i="10" s="1"/>
  <c r="Q778" i="10" a="1"/>
  <c r="Q778" i="10" s="1"/>
  <c r="Q566" i="10" a="1"/>
  <c r="Q566" i="10" s="1"/>
  <c r="Q588" i="10" a="1"/>
  <c r="Q588" i="10" s="1"/>
  <c r="Q250" i="10" a="1"/>
  <c r="Q250" i="10" s="1"/>
  <c r="Q941" i="10" a="1"/>
  <c r="Q941" i="10" s="1"/>
  <c r="Q690" i="10" a="1"/>
  <c r="Q690" i="10" s="1"/>
  <c r="Q762" i="10" a="1"/>
  <c r="Q762" i="10" s="1"/>
  <c r="Q751" i="10" a="1"/>
  <c r="Q751" i="10" s="1"/>
  <c r="Q320" i="10" a="1"/>
  <c r="Q320" i="10" s="1"/>
  <c r="Q330" i="10" a="1"/>
  <c r="Q330" i="10" s="1"/>
  <c r="Q562" i="10" a="1"/>
  <c r="Q562" i="10" s="1"/>
  <c r="Q128" i="10" a="1"/>
  <c r="Q128" i="10" s="1"/>
  <c r="Q20" i="10" a="1"/>
  <c r="Q20" i="10" s="1"/>
  <c r="Q789" i="10" a="1"/>
  <c r="Q789" i="10" s="1"/>
  <c r="Q419" i="10" a="1"/>
  <c r="Q419" i="10" s="1"/>
  <c r="Q1137" i="10" a="1"/>
  <c r="Q1137" i="10" s="1"/>
  <c r="Q869" i="10" a="1"/>
  <c r="Q869" i="10" s="1"/>
  <c r="Q32" i="10" a="1"/>
  <c r="Q32" i="10" s="1"/>
  <c r="Q340" i="10" a="1"/>
  <c r="Q340" i="10" s="1"/>
  <c r="Q821" i="10" a="1"/>
  <c r="Q821" i="10" s="1"/>
  <c r="Q643" i="10" a="1"/>
  <c r="Q643" i="10" s="1"/>
  <c r="Q201" i="10" a="1"/>
  <c r="Q201" i="10" s="1"/>
  <c r="Q1077" i="10" a="1"/>
  <c r="Q1077" i="10" s="1"/>
  <c r="Q700" i="10" a="1"/>
  <c r="Q700" i="10" s="1"/>
  <c r="Q565" i="10" a="1"/>
  <c r="Q565" i="10" s="1"/>
  <c r="Q339" i="10" a="1"/>
  <c r="Q339" i="10" s="1"/>
  <c r="Q889" i="10" a="1"/>
  <c r="Q889" i="10" s="1"/>
  <c r="Q60" i="10" a="1"/>
  <c r="Q60" i="10" s="1"/>
  <c r="Q212" i="10" a="1"/>
  <c r="Q212" i="10" s="1"/>
  <c r="Q585" i="10" a="1"/>
  <c r="Q585" i="10" s="1"/>
  <c r="Q287" i="10" a="1"/>
  <c r="Q287" i="10" s="1"/>
  <c r="Q1121" i="10" a="1"/>
  <c r="Q1121" i="10" s="1"/>
  <c r="Q944" i="10" a="1"/>
  <c r="Q944" i="10" s="1"/>
  <c r="Q860" i="10" a="1"/>
  <c r="Q860" i="10" s="1"/>
  <c r="Q1110" i="10" a="1"/>
  <c r="Q1110" i="10" s="1"/>
  <c r="Q720" i="10" a="1"/>
  <c r="Q720" i="10" s="1"/>
  <c r="Q1028" i="10" a="1"/>
  <c r="Q1028" i="10" s="1"/>
  <c r="Q127" i="10" a="1"/>
  <c r="Q127" i="10" s="1"/>
  <c r="Q898" i="10" a="1"/>
  <c r="Q898" i="10" s="1"/>
  <c r="Q784" i="10" a="1"/>
  <c r="Q784" i="10" s="1"/>
  <c r="Q557" i="10" a="1"/>
  <c r="Q557" i="10" s="1"/>
  <c r="Q210" i="10" a="1"/>
  <c r="Q210" i="10" s="1"/>
  <c r="Q1075" i="10" a="1"/>
  <c r="Q1075" i="10" s="1"/>
  <c r="Q228" i="10" a="1"/>
  <c r="Q228" i="10" s="1"/>
  <c r="Q757" i="10" a="1"/>
  <c r="Q757" i="10" s="1"/>
  <c r="Q835" i="10" a="1"/>
  <c r="Q835" i="10" s="1"/>
  <c r="Q285" i="10" a="1"/>
  <c r="Q285" i="10" s="1"/>
  <c r="Q1024" i="10" a="1"/>
  <c r="Q1024" i="10" s="1"/>
  <c r="Q35" i="10" a="1"/>
  <c r="Q35" i="10" s="1"/>
  <c r="Q71" i="10" a="1"/>
  <c r="Q71" i="10" s="1"/>
  <c r="Q1157" i="10" a="1"/>
  <c r="Q1157" i="10" s="1"/>
  <c r="Q988" i="10" a="1"/>
  <c r="Q988" i="10" s="1"/>
  <c r="Q845" i="10" a="1"/>
  <c r="Q845" i="10" s="1"/>
  <c r="Q214" i="10" a="1"/>
  <c r="Q214" i="10" s="1"/>
  <c r="Q108" i="10" a="1"/>
  <c r="Q108" i="10" s="1"/>
  <c r="Q68" i="10" a="1"/>
  <c r="Q68" i="10" s="1"/>
  <c r="Q505" i="10" a="1"/>
  <c r="Q505" i="10" s="1"/>
  <c r="Q188" i="10" a="1"/>
  <c r="Q188" i="10" s="1"/>
  <c r="Q551" i="10" a="1"/>
  <c r="Q551" i="10" s="1"/>
  <c r="Q53" i="10" a="1"/>
  <c r="Q53" i="10" s="1"/>
  <c r="Q52" i="10" a="1"/>
  <c r="Q52" i="10" s="1"/>
  <c r="Q800" i="10" a="1"/>
  <c r="Q800" i="10" s="1"/>
  <c r="Q797" i="10" a="1"/>
  <c r="Q797" i="10" s="1"/>
  <c r="Q847" i="10" a="1"/>
  <c r="Q847" i="10" s="1"/>
  <c r="Q836" i="10" a="1"/>
  <c r="Q836" i="10" s="1"/>
  <c r="Q349" i="10" a="1"/>
  <c r="Q349" i="10" s="1"/>
  <c r="Q146" i="10" a="1"/>
  <c r="Q146" i="10" s="1"/>
  <c r="Q1011" i="10" a="1"/>
  <c r="Q1011" i="10" s="1"/>
  <c r="Q663" i="10" a="1"/>
  <c r="Q663" i="10" s="1"/>
  <c r="Q437" i="10" a="1"/>
  <c r="Q437" i="10" s="1"/>
  <c r="Q259" i="10" a="1"/>
  <c r="Q259" i="10" s="1"/>
  <c r="Q82" i="10" a="1"/>
  <c r="Q82" i="10" s="1"/>
  <c r="Q595" i="10" a="1"/>
  <c r="Q595" i="10" s="1"/>
  <c r="Q834" i="10" a="1"/>
  <c r="Q834" i="10" s="1"/>
  <c r="Q412" i="10" a="1"/>
  <c r="Q412" i="10" s="1"/>
  <c r="Q471" i="10" a="1"/>
  <c r="Q471" i="10" s="1"/>
  <c r="Q213" i="10" a="1"/>
  <c r="Q213" i="10" s="1"/>
  <c r="Q99" i="10" a="1"/>
  <c r="Q99" i="10" s="1"/>
  <c r="Q870" i="10" a="1"/>
  <c r="Q870" i="10" s="1"/>
  <c r="Q636" i="10" a="1"/>
  <c r="Q636" i="10" s="1"/>
  <c r="Q381" i="10" a="1"/>
  <c r="Q381" i="10" s="1"/>
  <c r="Q54" i="10" a="1"/>
  <c r="Q54" i="10" s="1"/>
  <c r="Q76" i="10" a="1"/>
  <c r="Q76" i="10" s="1"/>
  <c r="Q39" i="10" a="1"/>
  <c r="Q39" i="10" s="1"/>
  <c r="Q1008" i="10" a="1"/>
  <c r="Q1008" i="10" s="1"/>
  <c r="Q517" i="10" a="1"/>
  <c r="Q517" i="10" s="1"/>
  <c r="Q276" i="10" a="1"/>
  <c r="Q276" i="10" s="1"/>
  <c r="Q138" i="10" a="1"/>
  <c r="Q138" i="10" s="1"/>
  <c r="Q403" i="10" a="1"/>
  <c r="Q403" i="10" s="1"/>
  <c r="Q1044" i="10" a="1"/>
  <c r="Q1044" i="10" s="1"/>
  <c r="Q50" i="10" a="1"/>
  <c r="Q50" i="10" s="1"/>
  <c r="Q723" i="10" a="1"/>
  <c r="Q723" i="10" s="1"/>
  <c r="Q1127" i="10" a="1"/>
  <c r="Q1127" i="10" s="1"/>
  <c r="Q364" i="10" a="1"/>
  <c r="Q364" i="10" s="1"/>
  <c r="Q580" i="10" a="1"/>
  <c r="Q580" i="10" s="1"/>
  <c r="Q761" i="10" a="1"/>
  <c r="Q761" i="10" s="1"/>
  <c r="Q527" i="10" a="1"/>
  <c r="Q527" i="10" s="1"/>
  <c r="Q1135" i="10" a="1"/>
  <c r="Q1135" i="10" s="1"/>
  <c r="Q544" i="10" a="1"/>
  <c r="Q544" i="10" s="1"/>
  <c r="Q397" i="10" a="1"/>
  <c r="Q397" i="10" s="1"/>
  <c r="Q226" i="10" a="1"/>
  <c r="Q226" i="10" s="1"/>
  <c r="Q48" i="10" a="1"/>
  <c r="Q48" i="10" s="1"/>
  <c r="Q323" i="10" a="1"/>
  <c r="Q323" i="10" s="1"/>
  <c r="Q1106" i="10" a="1"/>
  <c r="Q1106" i="10" s="1"/>
  <c r="Q256" i="10" a="1"/>
  <c r="Q256" i="10" s="1"/>
  <c r="Q903" i="10" a="1"/>
  <c r="Q903" i="10" s="1"/>
  <c r="Q498" i="10" a="1"/>
  <c r="Q498" i="10" s="1"/>
  <c r="Q918" i="10" a="1"/>
  <c r="Q918" i="10" s="1"/>
  <c r="Q476" i="10" a="1"/>
  <c r="Q476" i="10" s="1"/>
  <c r="Q676" i="10" a="1"/>
  <c r="Q676" i="10" s="1"/>
  <c r="Q809" i="10" a="1"/>
  <c r="Q809" i="10" s="1"/>
  <c r="Q703" i="10" a="1"/>
  <c r="Q703" i="10" s="1"/>
  <c r="Q119" i="10" a="1"/>
  <c r="Q119" i="10" s="1"/>
  <c r="Q1104" i="10" a="1"/>
  <c r="Q1104" i="10" s="1"/>
  <c r="Q883" i="10" a="1"/>
  <c r="Q883" i="10" s="1"/>
  <c r="Q151" i="10" a="1"/>
  <c r="Q151" i="10" s="1"/>
  <c r="Q1125" i="10" a="1"/>
  <c r="Q1125" i="10" s="1"/>
  <c r="Q282" i="10" a="1"/>
  <c r="Q282" i="10" s="1"/>
  <c r="Q546" i="10" a="1"/>
  <c r="Q546" i="10" s="1"/>
  <c r="Q1020" i="10" a="1"/>
  <c r="Q1020" i="10" s="1"/>
  <c r="Q730" i="10" a="1"/>
  <c r="Q730" i="10" s="1"/>
  <c r="Q42" i="10" a="1"/>
  <c r="Q42" i="10" s="1"/>
  <c r="Q402" i="10" a="1"/>
  <c r="Q402" i="10" s="1"/>
  <c r="Q160" i="10" a="1"/>
  <c r="Q160" i="10" s="1"/>
  <c r="Q84" i="10" a="1"/>
  <c r="Q84" i="10" s="1"/>
  <c r="Q693" i="10" a="1"/>
  <c r="Q693" i="10" s="1"/>
  <c r="Q515" i="10" a="1"/>
  <c r="Q515" i="10" s="1"/>
  <c r="Q850" i="10" a="1"/>
  <c r="Q850" i="10" s="1"/>
  <c r="Q1107" i="10" a="1"/>
  <c r="Q1107" i="10" s="1"/>
  <c r="Q375" i="10" a="1"/>
  <c r="Q375" i="10" s="1"/>
  <c r="Q69" i="10" a="1"/>
  <c r="Q69" i="10" s="1"/>
  <c r="Q1015" i="10" a="1"/>
  <c r="Q1015" i="10" s="1"/>
  <c r="Q469" i="10" a="1"/>
  <c r="Q469" i="10" s="1"/>
  <c r="Q355" i="10" a="1"/>
  <c r="Q355" i="10" s="1"/>
  <c r="Q1120" i="10" a="1"/>
  <c r="Q1120" i="10" s="1"/>
  <c r="Q892" i="10" a="1"/>
  <c r="Q892" i="10" s="1"/>
  <c r="Q26" i="10" a="1"/>
  <c r="Q26" i="10" s="1"/>
  <c r="Q310" i="10" a="1"/>
  <c r="Q310" i="10" s="1"/>
  <c r="Q332" i="10" a="1"/>
  <c r="Q332" i="10" s="1"/>
  <c r="Q881" i="10" a="1"/>
  <c r="Q881" i="10" s="1"/>
  <c r="Q1136" i="10" a="1"/>
  <c r="Q1136" i="10" s="1"/>
  <c r="Q773" i="10" a="1"/>
  <c r="Q773" i="10" s="1"/>
  <c r="Q740" i="10" a="1"/>
  <c r="Q740" i="10" s="1"/>
  <c r="Q967" i="10" a="1"/>
  <c r="Q967" i="10" s="1"/>
  <c r="Q887" i="10" a="1"/>
  <c r="Q887" i="10" s="1"/>
  <c r="Q383" i="10" a="1"/>
  <c r="Q383" i="10" s="1"/>
  <c r="Q234" i="10" a="1"/>
  <c r="Q234" i="10" s="1"/>
  <c r="Q724" i="10" a="1"/>
  <c r="Q724" i="10" s="1"/>
  <c r="Q338" i="10" a="1"/>
  <c r="Q338" i="10" s="1"/>
  <c r="Q242" i="10" a="1"/>
  <c r="Q242" i="10" s="1"/>
  <c r="Q148" i="10" a="1"/>
  <c r="Q148" i="10" s="1"/>
  <c r="Q194" i="10" a="1"/>
  <c r="Q194" i="10" s="1"/>
  <c r="Q357" i="10" a="1"/>
  <c r="Q357" i="10" s="1"/>
  <c r="Q396" i="10" a="1"/>
  <c r="Q396" i="10" s="1"/>
  <c r="Q196" i="10" a="1"/>
  <c r="Q196" i="10" s="1"/>
  <c r="Q239" i="10" a="1"/>
  <c r="Q239" i="10" s="1"/>
  <c r="Q306" i="10" a="1"/>
  <c r="Q306" i="10" s="1"/>
  <c r="Q533" i="10" a="1"/>
  <c r="Q533" i="10" s="1"/>
  <c r="Q934" i="10" a="1"/>
  <c r="Q934" i="10" s="1"/>
  <c r="Q950" i="10" a="1"/>
  <c r="Q950" i="10" s="1"/>
  <c r="Q327" i="10" a="1"/>
  <c r="Q327" i="10" s="1"/>
  <c r="Q572" i="10" a="1"/>
  <c r="Q572" i="10" s="1"/>
  <c r="Q1097" i="10" a="1"/>
  <c r="Q1097" i="10" s="1"/>
  <c r="Q791" i="10" a="1"/>
  <c r="Q791" i="10" s="1"/>
  <c r="Q38" i="10" a="1"/>
  <c r="Q38" i="10" s="1"/>
  <c r="Q519" i="10" a="1"/>
  <c r="Q519" i="10" s="1"/>
  <c r="Q1018" i="10" a="1"/>
  <c r="Q1018" i="10" s="1"/>
  <c r="Q237" i="10" a="1"/>
  <c r="Q237" i="10" s="1"/>
  <c r="Q964" i="10" a="1"/>
  <c r="Q964" i="10" s="1"/>
  <c r="Q407" i="10" a="1"/>
  <c r="Q407" i="10" s="1"/>
  <c r="Q930" i="10" a="1"/>
  <c r="Q930" i="10" s="1"/>
  <c r="Q425" i="10" a="1"/>
  <c r="Q425" i="10" s="1"/>
  <c r="Q133" i="10" a="1"/>
  <c r="Q133" i="10" s="1"/>
  <c r="Q447" i="10" a="1"/>
  <c r="Q447" i="10" s="1"/>
  <c r="Q765" i="10" a="1"/>
  <c r="Q765" i="10" s="1"/>
  <c r="Q391" i="10" a="1"/>
  <c r="Q391" i="10" s="1"/>
  <c r="Q605" i="10" a="1"/>
  <c r="Q605" i="10" s="1"/>
  <c r="Q748" i="10" a="1"/>
  <c r="Q748" i="10" s="1"/>
  <c r="Q559" i="10" a="1"/>
  <c r="Q559" i="10" s="1"/>
  <c r="Q717" i="10" a="1"/>
  <c r="Q717" i="10" s="1"/>
  <c r="Q530" i="10" a="1"/>
  <c r="Q530" i="10" s="1"/>
  <c r="Q1079" i="10" a="1"/>
  <c r="Q1079" i="10" s="1"/>
  <c r="Q405" i="10" a="1"/>
  <c r="Q405" i="10" s="1"/>
  <c r="Q243" i="10" a="1"/>
  <c r="Q243" i="10" s="1"/>
  <c r="Q826" i="10" a="1"/>
  <c r="Q826" i="10" s="1"/>
  <c r="Q1004" i="10" a="1"/>
  <c r="Q1004" i="10" s="1"/>
  <c r="Q556" i="10" a="1"/>
  <c r="Q556" i="10" s="1"/>
  <c r="Q975" i="10" a="1"/>
  <c r="Q975" i="10" s="1"/>
  <c r="Q393" i="10" a="1"/>
  <c r="Q393" i="10" s="1"/>
  <c r="Q278" i="10" a="1"/>
  <c r="Q278" i="10" s="1"/>
  <c r="Q623" i="10" a="1"/>
  <c r="Q623" i="10" s="1"/>
  <c r="Q853" i="10" a="1"/>
  <c r="Q853" i="10" s="1"/>
  <c r="Q57" i="10" a="1"/>
  <c r="Q57" i="10" s="1"/>
  <c r="Q200" i="10" a="1"/>
  <c r="Q200" i="10" s="1"/>
  <c r="Q570" i="10" a="1"/>
  <c r="Q570" i="10" s="1"/>
  <c r="Q197" i="10" a="1"/>
  <c r="Q197" i="10" s="1"/>
  <c r="Q708" i="10" a="1"/>
  <c r="Q708" i="10" s="1"/>
  <c r="Q283" i="10" a="1"/>
  <c r="Q283" i="10" s="1"/>
  <c r="Q796" i="10" a="1"/>
  <c r="Q796" i="10" s="1"/>
  <c r="Q164" i="10" a="1"/>
  <c r="Q164" i="10" s="1"/>
  <c r="Q111" i="10" a="1"/>
  <c r="Q111" i="10" s="1"/>
  <c r="Q767" i="10" a="1"/>
  <c r="Q767" i="10" s="1"/>
  <c r="Q861" i="10" a="1"/>
  <c r="Q861" i="10" s="1"/>
  <c r="Q759" i="10" a="1"/>
  <c r="Q759" i="10" s="1"/>
  <c r="Q825" i="10" a="1"/>
  <c r="Q825" i="10" s="1"/>
  <c r="Q369" i="10" a="1"/>
  <c r="Q369" i="10" s="1"/>
  <c r="Q341" i="10" a="1"/>
  <c r="Q341" i="10" s="1"/>
  <c r="Q790" i="10" a="1"/>
  <c r="Q790" i="10" s="1"/>
  <c r="Q912" i="10" a="1"/>
  <c r="Q912" i="10" s="1"/>
  <c r="Q522" i="10" a="1"/>
  <c r="Q522" i="10" s="1"/>
  <c r="Q597" i="10" a="1"/>
  <c r="Q597" i="10" s="1"/>
  <c r="Q882" i="10" a="1"/>
  <c r="Q882" i="10" s="1"/>
  <c r="Q1026" i="10" a="1"/>
  <c r="Q1026" i="10" s="1"/>
  <c r="Q626" i="10" a="1"/>
  <c r="Q626" i="10" s="1"/>
  <c r="Q684" i="10" a="1"/>
  <c r="Q684" i="10" s="1"/>
  <c r="Q625" i="10" a="1"/>
  <c r="Q625" i="10" s="1"/>
  <c r="Q352" i="10" a="1"/>
  <c r="Q352" i="10" s="1"/>
  <c r="Q468" i="10" a="1"/>
  <c r="Q468" i="10" s="1"/>
  <c r="Q885" i="10" a="1"/>
  <c r="Q885" i="10" s="1"/>
  <c r="Q112" i="10" a="1"/>
  <c r="Q112" i="10" s="1"/>
  <c r="Q692" i="10" a="1"/>
  <c r="Q692" i="10" s="1"/>
  <c r="Q322" i="10" a="1"/>
  <c r="Q322" i="10" s="1"/>
  <c r="Q308" i="10" a="1"/>
  <c r="Q308" i="10" s="1"/>
  <c r="Q741" i="10" a="1"/>
  <c r="Q741" i="10" s="1"/>
  <c r="Q499" i="10" a="1"/>
  <c r="Q499" i="10" s="1"/>
  <c r="Q1158" i="10" a="1"/>
  <c r="Q1158" i="10" s="1"/>
  <c r="Q1036" i="10" a="1"/>
  <c r="Q1036" i="10" s="1"/>
  <c r="Q771" i="10" a="1"/>
  <c r="Q771" i="10" s="1"/>
  <c r="Q855" i="10" a="1"/>
  <c r="Q855" i="10" s="1"/>
  <c r="Q768" i="10" a="1"/>
  <c r="Q768" i="10" s="1"/>
  <c r="Q324" i="10" a="1"/>
  <c r="Q324" i="10" s="1"/>
  <c r="Q581" i="10" a="1"/>
  <c r="Q581" i="10" s="1"/>
  <c r="Q404" i="10" a="1"/>
  <c r="Q404" i="10" s="1"/>
  <c r="Q725" i="10" a="1"/>
  <c r="Q725" i="10" s="1"/>
  <c r="Q611" i="10" a="1"/>
  <c r="Q611" i="10" s="1"/>
  <c r="Q948" i="10" a="1"/>
  <c r="Q948" i="10" s="1"/>
  <c r="Q1061" i="10" a="1"/>
  <c r="Q1061" i="10" s="1"/>
  <c r="Q819" i="10" a="1"/>
  <c r="Q819" i="10" s="1"/>
  <c r="Q823" i="10" a="1"/>
  <c r="Q823" i="10" s="1"/>
  <c r="Q501" i="10" a="1"/>
  <c r="Q501" i="10" s="1"/>
  <c r="Q579" i="10" a="1"/>
  <c r="Q579" i="10" s="1"/>
  <c r="Q165" i="10" a="1"/>
  <c r="Q165" i="10" s="1"/>
  <c r="Q106" i="10" a="1"/>
  <c r="Q106" i="10" s="1"/>
  <c r="Q149" i="10" a="1"/>
  <c r="Q149" i="10" s="1"/>
  <c r="Q325" i="10" a="1"/>
  <c r="Q325" i="10" s="1"/>
  <c r="Q745" i="10" a="1"/>
  <c r="Q745" i="10" s="1"/>
  <c r="Q815" i="10" a="1"/>
  <c r="Q815" i="10" s="1"/>
  <c r="Q215" i="10" a="1"/>
  <c r="Q215" i="10" s="1"/>
  <c r="Q41" i="10" a="1"/>
  <c r="Q41" i="10" s="1"/>
  <c r="Q378" i="10" a="1"/>
  <c r="Q378" i="10" s="1"/>
  <c r="Q706" i="10" a="1"/>
  <c r="Q706" i="10" s="1"/>
  <c r="Q336" i="10" a="1"/>
  <c r="Q336" i="10" s="1"/>
  <c r="Q564" i="10" a="1"/>
  <c r="Q564" i="10" s="1"/>
  <c r="Q786" i="10" a="1"/>
  <c r="Q786" i="10" s="1"/>
  <c r="Q1056" i="10" a="1"/>
  <c r="Q1056" i="10" s="1"/>
  <c r="Q858" i="10" a="1"/>
  <c r="Q858" i="10" s="1"/>
  <c r="Q738" i="10" a="1"/>
  <c r="Q738" i="10" s="1"/>
  <c r="Q560" i="10" a="1"/>
  <c r="Q560" i="10" s="1"/>
  <c r="Q118" i="10" a="1"/>
  <c r="Q118" i="10" s="1"/>
  <c r="Q116" i="10" a="1"/>
  <c r="Q116" i="10" s="1"/>
  <c r="Q954" i="10" a="1"/>
  <c r="Q954" i="10" s="1"/>
  <c r="Q183" i="10" a="1"/>
  <c r="Q183" i="10" s="1"/>
  <c r="Q79" i="10" a="1"/>
  <c r="Q79" i="10" s="1"/>
  <c r="Q575" i="10" a="1"/>
  <c r="Q575" i="10" s="1"/>
  <c r="Q1155" i="10" a="1"/>
  <c r="Q1155" i="10" s="1"/>
  <c r="Q1084" i="10" a="1"/>
  <c r="Q1084" i="10" s="1"/>
  <c r="Q586" i="10" a="1"/>
  <c r="Q586" i="10" s="1"/>
  <c r="Q502" i="10" a="1"/>
  <c r="Q502" i="10" s="1"/>
  <c r="Q268" i="10" a="1"/>
  <c r="Q268" i="10" s="1"/>
  <c r="Q455" i="10" a="1"/>
  <c r="Q455" i="10" s="1"/>
  <c r="Q618" i="10" a="1"/>
  <c r="Q618" i="10" s="1"/>
  <c r="Q946" i="10" a="1"/>
  <c r="Q946" i="10" s="1"/>
  <c r="Q831" i="10" a="1"/>
  <c r="Q831" i="10" s="1"/>
  <c r="Q372" i="10" a="1"/>
  <c r="Q372" i="10" s="1"/>
  <c r="Q64" i="10" a="1"/>
  <c r="Q64" i="10" s="1"/>
  <c r="Q44" i="10" a="1"/>
  <c r="Q44" i="10" s="1"/>
  <c r="Q452" i="10" a="1"/>
  <c r="Q452" i="10" s="1"/>
  <c r="Q697" i="10" a="1"/>
  <c r="Q697" i="10" s="1"/>
  <c r="Q463" i="10" a="1"/>
  <c r="Q463" i="10" s="1"/>
  <c r="Q1122" i="10" a="1"/>
  <c r="Q1122" i="10" s="1"/>
  <c r="Q992" i="10" a="1"/>
  <c r="Q992" i="10" s="1"/>
  <c r="Q666" i="10" a="1"/>
  <c r="Q666" i="10" s="1"/>
  <c r="Q674" i="10" a="1"/>
  <c r="Q674" i="10" s="1"/>
  <c r="Q752" i="10" a="1"/>
  <c r="Q752" i="10" s="1"/>
  <c r="Q1116" i="10" a="1"/>
  <c r="Q1116" i="10" s="1"/>
  <c r="Q854" i="10" a="1"/>
  <c r="Q854" i="10" s="1"/>
  <c r="Q884" i="10" a="1"/>
  <c r="Q884" i="10" s="1"/>
  <c r="Q1034" i="10" a="1"/>
  <c r="Q1034" i="10" s="1"/>
  <c r="Q500" i="10" a="1"/>
  <c r="Q500" i="10" s="1"/>
  <c r="Q901" i="10" a="1"/>
  <c r="Q901" i="10" s="1"/>
  <c r="Q467" i="10" a="1"/>
  <c r="Q467" i="10" s="1"/>
  <c r="Q1126" i="10" a="1"/>
  <c r="Q1126" i="10" s="1"/>
  <c r="Q21" i="10" a="1"/>
  <c r="Q21" i="10" s="1"/>
  <c r="Q346" i="10" a="1"/>
  <c r="Q346" i="10" s="1"/>
  <c r="Q422" i="10" a="1"/>
  <c r="Q422" i="10" s="1"/>
  <c r="Q101" i="10" a="1"/>
  <c r="Q101" i="10" s="1"/>
  <c r="Q288" i="10" a="1"/>
  <c r="Q288" i="10" s="1"/>
  <c r="Q994" i="10" a="1"/>
  <c r="Q994" i="10" s="1"/>
  <c r="Q783" i="10" a="1"/>
  <c r="Q783" i="10" s="1"/>
  <c r="Q630" i="10" a="1"/>
  <c r="Q630" i="10" s="1"/>
  <c r="Q304" i="10" a="1"/>
  <c r="Q304" i="10" s="1"/>
  <c r="Q295" i="10" a="1"/>
  <c r="Q295" i="10" s="1"/>
  <c r="Q976" i="10" a="1"/>
  <c r="Q976" i="10" s="1"/>
  <c r="Q399" i="10" a="1"/>
  <c r="Q399" i="10" s="1"/>
  <c r="Q1164" i="10" a="1"/>
  <c r="Q1164" i="10" s="1"/>
  <c r="Q928" i="10" a="1"/>
  <c r="Q928" i="10" s="1"/>
  <c r="Q813" i="10" a="1"/>
  <c r="Q813" i="10" s="1"/>
  <c r="Q354" i="10" a="1"/>
  <c r="Q354" i="10" s="1"/>
  <c r="Q176" i="10" a="1"/>
  <c r="Q176" i="10" s="1"/>
  <c r="Q714" i="10" a="1"/>
  <c r="Q714" i="10" s="1"/>
  <c r="Q681" i="10" a="1"/>
  <c r="Q681" i="10" s="1"/>
  <c r="Q291" i="10" a="1"/>
  <c r="Q291" i="10" s="1"/>
  <c r="Q754" i="10" a="1"/>
  <c r="Q754" i="10" s="1"/>
  <c r="Q493" i="10" a="1"/>
  <c r="Q493" i="10" s="1"/>
  <c r="Q130" i="10" a="1"/>
  <c r="Q130" i="10" s="1"/>
  <c r="Q1047" i="10" a="1"/>
  <c r="Q1047" i="10" s="1"/>
  <c r="Q549" i="10" a="1"/>
  <c r="Q549" i="10" s="1"/>
  <c r="Q307" i="10" a="1"/>
  <c r="Q307" i="10" s="1"/>
  <c r="Q1078" i="10" a="1"/>
  <c r="Q1078" i="10" s="1"/>
  <c r="Q1100" i="10" a="1"/>
  <c r="Q1100" i="10" s="1"/>
  <c r="Q996" i="10" a="1"/>
  <c r="Q996" i="10" s="1"/>
  <c r="Q1103" i="10" a="1"/>
  <c r="Q1103" i="10" s="1"/>
  <c r="Q999" i="10" a="1"/>
  <c r="Q999" i="10" s="1"/>
  <c r="Q1087" i="10" a="1"/>
  <c r="Q1087" i="10" s="1"/>
  <c r="Q668" i="10" a="1"/>
  <c r="Q668" i="10" s="1"/>
  <c r="Q1088" i="10" a="1"/>
  <c r="Q1088" i="10" s="1"/>
  <c r="Q303" i="10" a="1"/>
  <c r="Q303" i="10" s="1"/>
  <c r="Q1074" i="10" a="1"/>
  <c r="Q1074" i="10" s="1"/>
  <c r="Q640" i="10" a="1"/>
  <c r="Q640" i="10" s="1"/>
  <c r="Q87" i="10" a="1"/>
  <c r="Q87" i="10" s="1"/>
  <c r="Q277" i="10" a="1"/>
  <c r="Q277" i="10" s="1"/>
  <c r="Q1050" i="10" a="1"/>
  <c r="Q1050" i="10" s="1"/>
  <c r="Q678" i="10" a="1"/>
  <c r="Q678" i="10" s="1"/>
  <c r="Q444" i="10" a="1"/>
  <c r="Q444" i="10" s="1"/>
  <c r="Q1063" i="10" a="1"/>
  <c r="Q1063" i="10" s="1"/>
  <c r="Q457" i="10" a="1"/>
  <c r="Q457" i="10" s="1"/>
  <c r="Q415" i="10" a="1"/>
  <c r="Q415" i="10" s="1"/>
  <c r="Q1138" i="10" a="1"/>
  <c r="Q1138" i="10" s="1"/>
  <c r="Q1072" i="10" a="1"/>
  <c r="Q1072" i="10" s="1"/>
  <c r="Q240" i="10" a="1"/>
  <c r="Q240" i="10" s="1"/>
  <c r="Q943" i="10" a="1"/>
  <c r="Q943" i="10" s="1"/>
  <c r="Q937" i="10" a="1"/>
  <c r="Q937" i="10" s="1"/>
  <c r="Q294" i="10" a="1"/>
  <c r="Q294" i="10" s="1"/>
  <c r="Q548" i="10" a="1"/>
  <c r="Q548" i="10" s="1"/>
  <c r="Q567" i="10" a="1"/>
  <c r="Q567" i="10" s="1"/>
  <c r="Q389" i="10" a="1"/>
  <c r="Q389" i="10" s="1"/>
  <c r="Q1098" i="10" a="1"/>
  <c r="Q1098" i="10" s="1"/>
  <c r="Q726" i="10" a="1"/>
  <c r="Q726" i="10" s="1"/>
  <c r="Q620" i="10" a="1"/>
  <c r="Q620" i="10" s="1"/>
  <c r="Q1060" i="10" a="1"/>
  <c r="Q1060" i="10" s="1"/>
  <c r="Q1017" i="10" a="1"/>
  <c r="Q1017" i="10" s="1"/>
  <c r="Q951" i="10" a="1"/>
  <c r="Q951" i="10" s="1"/>
  <c r="Q1092" i="10" a="1"/>
  <c r="Q1092" i="10" s="1"/>
  <c r="Q1033" i="10" a="1"/>
  <c r="Q1033" i="10" s="1"/>
  <c r="Q735" i="10" a="1"/>
  <c r="Q735" i="10" s="1"/>
  <c r="Q260" i="10" a="1"/>
  <c r="Q260" i="10" s="1"/>
  <c r="Q1037" i="10" a="1"/>
  <c r="Q1037" i="10" s="1"/>
  <c r="Q377" i="10" a="1"/>
  <c r="Q377" i="10" s="1"/>
  <c r="Q655" i="10" a="1"/>
  <c r="Q655" i="10" s="1"/>
  <c r="Q279" i="10" a="1"/>
  <c r="Q279" i="10" s="1"/>
  <c r="Q73" i="10" a="1"/>
  <c r="Q73" i="10" s="1"/>
  <c r="Q474" i="10" a="1"/>
  <c r="Q474" i="10" s="1"/>
  <c r="Q610" i="10" a="1"/>
  <c r="Q610" i="10" s="1"/>
  <c r="Q432" i="10" a="1"/>
  <c r="Q432" i="10" s="1"/>
  <c r="Q687" i="10" a="1"/>
  <c r="Q687" i="10" s="1"/>
  <c r="Q86" i="10" a="1"/>
  <c r="Q86" i="10" s="1"/>
  <c r="Q803" i="10" a="1"/>
  <c r="Q803" i="10" s="1"/>
  <c r="Q1154" i="10" a="1"/>
  <c r="Q1154" i="10" s="1"/>
  <c r="Q186" i="10" a="1"/>
  <c r="Q186" i="10" s="1"/>
  <c r="Q386" i="10" a="1"/>
  <c r="Q386" i="10" s="1"/>
  <c r="Q272" i="10" a="1"/>
  <c r="Q272" i="10" s="1"/>
  <c r="Q436" i="10" a="1"/>
  <c r="Q436" i="10" s="1"/>
  <c r="Q805" i="10" a="1"/>
  <c r="Q805" i="10" s="1"/>
  <c r="Q563" i="10" a="1"/>
  <c r="Q563" i="10" s="1"/>
  <c r="Q263" i="10" a="1"/>
  <c r="Q263" i="10" s="1"/>
  <c r="Q245" i="10" a="1"/>
  <c r="Q245" i="10" s="1"/>
  <c r="Q410" i="10" a="1"/>
  <c r="Q410" i="10" s="1"/>
  <c r="Q679" i="10" a="1"/>
  <c r="Q679" i="10" s="1"/>
  <c r="Q265" i="10" a="1"/>
  <c r="Q265" i="10" s="1"/>
  <c r="Q1156" i="10" a="1"/>
  <c r="Q1156" i="10" s="1"/>
  <c r="Q802" i="10" a="1"/>
  <c r="Q802" i="10" s="1"/>
  <c r="Q677" i="10" a="1"/>
  <c r="Q677" i="10" s="1"/>
  <c r="Q1059" i="10" a="1"/>
  <c r="Q1059" i="10" s="1"/>
  <c r="Q810" i="10" a="1"/>
  <c r="Q810" i="10" s="1"/>
  <c r="Q658" i="10" a="1"/>
  <c r="Q658" i="10" s="1"/>
  <c r="Q416" i="10" a="1"/>
  <c r="Q416" i="10" s="1"/>
  <c r="Q596" i="10" a="1"/>
  <c r="Q596" i="10" s="1"/>
  <c r="Q949" i="10" a="1"/>
  <c r="Q949" i="10" s="1"/>
  <c r="Q688" i="10" a="1"/>
  <c r="Q688" i="10" s="1"/>
  <c r="Q92" i="10" a="1"/>
  <c r="Q92" i="10" s="1"/>
  <c r="Q598" i="10" a="1"/>
  <c r="Q598" i="10" s="1"/>
  <c r="Q208" i="10" a="1"/>
  <c r="Q208" i="10" s="1"/>
  <c r="Q615" i="10" a="1"/>
  <c r="Q615" i="10" s="1"/>
  <c r="Q970" i="10" a="1"/>
  <c r="Q970" i="10" s="1"/>
  <c r="Q642" i="10" a="1"/>
  <c r="Q642" i="10" s="1"/>
  <c r="Q528" i="10" a="1"/>
  <c r="Q528" i="10" s="1"/>
  <c r="Q207" i="10" a="1"/>
  <c r="Q207" i="10" s="1"/>
  <c r="Q978" i="10" a="1"/>
  <c r="Q978" i="10" s="1"/>
  <c r="Q736" i="10" a="1"/>
  <c r="Q736" i="10" s="1"/>
  <c r="Q989" i="10" a="1"/>
  <c r="Q989" i="10" s="1"/>
  <c r="Q418" i="10" a="1"/>
  <c r="Q418" i="10" s="1"/>
  <c r="Q496" i="10" a="1"/>
  <c r="Q496" i="10" s="1"/>
  <c r="Q244" i="10" a="1"/>
  <c r="Q244" i="10" s="1"/>
  <c r="Q512" i="10" a="1"/>
  <c r="Q512" i="10" s="1"/>
  <c r="Q301" i="10" a="1"/>
  <c r="Q301" i="10" s="1"/>
  <c r="Q1010" i="10" a="1"/>
  <c r="Q1010" i="10" s="1"/>
  <c r="Q1168" i="10" a="1"/>
  <c r="Q1168" i="10" s="1"/>
  <c r="Q732" i="10" a="1"/>
  <c r="Q732" i="10" s="1"/>
  <c r="Q61" i="10" a="1"/>
  <c r="Q61" i="10" s="1"/>
  <c r="Q1065" i="10" a="1"/>
  <c r="Q1065" i="10" s="1"/>
  <c r="Q959" i="10" a="1"/>
  <c r="Q959" i="10" s="1"/>
  <c r="Q647" i="10" a="1"/>
  <c r="Q647" i="10" s="1"/>
  <c r="Q249" i="10" a="1"/>
  <c r="Q249" i="10" s="1"/>
  <c r="Q1039" i="10" a="1"/>
  <c r="Q1039" i="10" s="1"/>
  <c r="Q980" i="10" a="1"/>
  <c r="Q980" i="10" s="1"/>
  <c r="Q969" i="10" a="1"/>
  <c r="Q969" i="10" s="1"/>
  <c r="Q927" i="10" a="1"/>
  <c r="Q927" i="10" s="1"/>
  <c r="Q695" i="10" a="1"/>
  <c r="Q695" i="10" s="1"/>
  <c r="Q573" i="10" a="1"/>
  <c r="Q573" i="10" s="1"/>
  <c r="Q852" i="10" a="1"/>
  <c r="Q852" i="10" s="1"/>
  <c r="Q899" i="10" a="1"/>
  <c r="Q899" i="10" s="1"/>
  <c r="Q713" i="10" a="1"/>
  <c r="Q713" i="10" s="1"/>
  <c r="Q594" i="10" a="1"/>
  <c r="Q594" i="10" s="1"/>
  <c r="Q1090" i="10" a="1"/>
  <c r="Q1090" i="10" s="1"/>
  <c r="Q820" i="10" a="1"/>
  <c r="Q820" i="10" s="1"/>
  <c r="Q997" i="10" a="1"/>
  <c r="Q997" i="10" s="1"/>
  <c r="Q755" i="10" a="1"/>
  <c r="Q755" i="10" s="1"/>
  <c r="Q135" i="10" a="1"/>
  <c r="Q135" i="10" s="1"/>
  <c r="Q181" i="10" a="1"/>
  <c r="Q181" i="10" s="1"/>
  <c r="Q429" i="10" a="1"/>
  <c r="Q429" i="10" s="1"/>
  <c r="Q421" i="10" a="1"/>
  <c r="Q421" i="10" s="1"/>
  <c r="Q874" i="10" a="1"/>
  <c r="Q874" i="10" s="1"/>
  <c r="Q66" i="10" a="1"/>
  <c r="Q66" i="10" s="1"/>
  <c r="Q1007" i="10" a="1"/>
  <c r="Q1007" i="10" s="1"/>
  <c r="Q406" i="10" a="1"/>
  <c r="Q406" i="10" s="1"/>
  <c r="Q1068" i="10" a="1"/>
  <c r="Q1068" i="10" s="1"/>
  <c r="Q906" i="10" a="1"/>
  <c r="Q906" i="10" s="1"/>
  <c r="Q614" i="10" a="1"/>
  <c r="Q614" i="10" s="1"/>
  <c r="Q868" i="10" a="1"/>
  <c r="Q868" i="10" s="1"/>
  <c r="Q905" i="10" a="1"/>
  <c r="Q905" i="10" s="1"/>
  <c r="Q863" i="10" a="1"/>
  <c r="Q863" i="10" s="1"/>
  <c r="Q516" i="10" a="1"/>
  <c r="Q516" i="10" s="1"/>
  <c r="Q335" i="10" a="1"/>
  <c r="Q335" i="10" s="1"/>
  <c r="Q1149" i="10" a="1"/>
  <c r="Q1149" i="10" s="1"/>
  <c r="Q319" i="10" a="1"/>
  <c r="Q319" i="10" s="1"/>
  <c r="Q156" i="10" a="1"/>
  <c r="Q156" i="10" s="1"/>
  <c r="Q576" i="10" a="1"/>
  <c r="Q576" i="10" s="1"/>
  <c r="Q47" i="10" a="1"/>
  <c r="Q47" i="10" s="1"/>
  <c r="Q818" i="10" a="1"/>
  <c r="Q818" i="10" s="1"/>
  <c r="Q532" i="10" a="1"/>
  <c r="Q532" i="10" s="1"/>
  <c r="Q1045" i="10" a="1"/>
  <c r="Q1045" i="10" s="1"/>
  <c r="Q1108" i="10" a="1"/>
  <c r="Q1108" i="10" s="1"/>
  <c r="Q1082" i="10" a="1"/>
  <c r="Q1082" i="10" s="1"/>
  <c r="Q613" i="10" a="1"/>
  <c r="Q613" i="10" s="1"/>
  <c r="Q316" i="10" a="1"/>
  <c r="Q316" i="10" s="1"/>
  <c r="Q543" i="10" a="1"/>
  <c r="Q543" i="10" s="1"/>
  <c r="Q261" i="10" a="1"/>
  <c r="Q261" i="10" s="1"/>
  <c r="Q298" i="10" a="1"/>
  <c r="Q298" i="10" s="1"/>
  <c r="Q1040" i="10" a="1"/>
  <c r="Q1040" i="10" s="1"/>
  <c r="Q224" i="10" a="1"/>
  <c r="Q224" i="10" s="1"/>
  <c r="Q67" i="10" a="1"/>
  <c r="Q67" i="10" s="1"/>
  <c r="Q578" i="10" a="1"/>
  <c r="Q578" i="10" s="1"/>
  <c r="Q220" i="10" a="1"/>
  <c r="Q220" i="10" s="1"/>
  <c r="Q1076" i="10" a="1"/>
  <c r="Q1076" i="10" s="1"/>
  <c r="Q631" i="10" a="1"/>
  <c r="Q631" i="10" s="1"/>
  <c r="Q374" i="10" a="1"/>
  <c r="Q374" i="10" s="1"/>
  <c r="Q583" i="10" a="1"/>
  <c r="Q583" i="10" s="1"/>
  <c r="Q788" i="10" a="1"/>
  <c r="Q788" i="10" s="1"/>
  <c r="Q915" i="10" a="1"/>
  <c r="Q915" i="10" s="1"/>
  <c r="Q979" i="10" a="1"/>
  <c r="Q979" i="10" s="1"/>
  <c r="Q163" i="10" a="1"/>
  <c r="Q163" i="10" s="1"/>
  <c r="Q179" i="10" a="1"/>
  <c r="Q179" i="10" s="1"/>
  <c r="Q634" i="10" a="1"/>
  <c r="Q634" i="10" s="1"/>
  <c r="Q806" i="10" a="1"/>
  <c r="Q806" i="10" s="1"/>
  <c r="Q157" i="10" a="1"/>
  <c r="Q157" i="10" s="1"/>
  <c r="Q388" i="10" a="1"/>
  <c r="Q388" i="10" s="1"/>
  <c r="Q1029" i="10" a="1"/>
  <c r="Q1029" i="10" s="1"/>
  <c r="Q147" i="10" a="1"/>
  <c r="Q147" i="10" s="1"/>
  <c r="Q185" i="10" a="1"/>
  <c r="Q185" i="10" s="1"/>
  <c r="Q480" i="10" a="1"/>
  <c r="Q480" i="10" s="1"/>
  <c r="Q719" i="10" a="1"/>
  <c r="Q719" i="10" s="1"/>
  <c r="Q95" i="10" a="1"/>
  <c r="Q95" i="10" s="1"/>
  <c r="Q175" i="10" a="1"/>
  <c r="Q175" i="10" s="1"/>
  <c r="Q55" i="10" a="1"/>
  <c r="Q55" i="10" s="1"/>
  <c r="Q470" i="10" a="1"/>
  <c r="Q470" i="10" s="1"/>
  <c r="Q848" i="10" a="1"/>
  <c r="Q848" i="10" s="1"/>
  <c r="Q274" i="10" a="1"/>
  <c r="Q274" i="10" s="1"/>
  <c r="Q131" i="10" a="1"/>
  <c r="Q131" i="10" s="1"/>
  <c r="Q932" i="10" a="1"/>
  <c r="Q932" i="10" s="1"/>
  <c r="Q489" i="10" a="1"/>
  <c r="Q489" i="10" s="1"/>
  <c r="Q1167" i="10" a="1"/>
  <c r="Q1167" i="10" s="1"/>
  <c r="Q450" i="10" a="1"/>
  <c r="Q450" i="10" s="1"/>
  <c r="Q387" i="10" a="1"/>
  <c r="Q387" i="10" s="1"/>
  <c r="Q629" i="10" a="1"/>
  <c r="Q629" i="10" s="1"/>
  <c r="Q919" i="10" a="1"/>
  <c r="Q919" i="10" s="1"/>
  <c r="Q1014" i="10" a="1"/>
  <c r="Q1014" i="10" s="1"/>
  <c r="Q252" i="10" a="1"/>
  <c r="Q252" i="10" s="1"/>
  <c r="Q922" i="10" a="1"/>
  <c r="Q922" i="10" s="1"/>
  <c r="Q525" i="10" a="1"/>
  <c r="Q525" i="10" s="1"/>
  <c r="Q935" i="10" a="1"/>
  <c r="Q935" i="10" s="1"/>
  <c r="Q1133" i="10" a="1"/>
  <c r="Q1133" i="10" s="1"/>
  <c r="Q109" i="10" a="1"/>
  <c r="Q109" i="10" s="1"/>
  <c r="Q1043" i="10" a="1"/>
  <c r="Q1043" i="10" s="1"/>
  <c r="Q711" i="10" a="1"/>
  <c r="Q711" i="10" s="1"/>
  <c r="Q30" i="10" a="1"/>
  <c r="Q30" i="10" s="1"/>
  <c r="Q656" i="10" a="1"/>
  <c r="Q656" i="10" s="1"/>
  <c r="Q1023" i="10" a="1"/>
  <c r="Q1023" i="10" s="1"/>
  <c r="Q1052" i="10" a="1"/>
  <c r="Q1052" i="10" s="1"/>
  <c r="Q113" i="10" a="1"/>
  <c r="Q113" i="10" s="1"/>
  <c r="Q132" i="10" a="1"/>
  <c r="Q132" i="10" s="1"/>
  <c r="Q940" i="10" a="1"/>
  <c r="Q940" i="10" s="1"/>
  <c r="Q965" i="10" a="1"/>
  <c r="Q965" i="10" s="1"/>
  <c r="Q258" i="10" a="1"/>
  <c r="Q258" i="10" s="1"/>
  <c r="Q709" i="10" a="1"/>
  <c r="Q709" i="10" s="1"/>
  <c r="Q172" i="10" a="1"/>
  <c r="Q172" i="10" s="1"/>
  <c r="Q733" i="10" a="1"/>
  <c r="Q733" i="10" s="1"/>
  <c r="Q286" i="10" a="1"/>
  <c r="Q286" i="10" s="1"/>
  <c r="Q968" i="10" a="1"/>
  <c r="Q968" i="10" s="1"/>
  <c r="Q400" i="10" a="1"/>
  <c r="Q400" i="10" s="1"/>
  <c r="Q871" i="10" a="1"/>
  <c r="Q871" i="10" s="1"/>
  <c r="Q292" i="10" a="1"/>
  <c r="Q292" i="10" s="1"/>
  <c r="Q1114" i="10" a="1"/>
  <c r="Q1114" i="10" s="1"/>
  <c r="Q531" i="10" a="1"/>
  <c r="Q531" i="10" s="1"/>
  <c r="Q227" i="10" a="1"/>
  <c r="Q227" i="10" s="1"/>
  <c r="Q275" i="10" a="1"/>
  <c r="Q275" i="10" s="1"/>
  <c r="Q247" i="10" a="1"/>
  <c r="Q247" i="10" s="1"/>
  <c r="Q542" i="10" a="1"/>
  <c r="Q542" i="10" s="1"/>
  <c r="Q380" i="10" a="1"/>
  <c r="Q380" i="10" s="1"/>
  <c r="Q384" i="10" a="1"/>
  <c r="Q384" i="10" s="1"/>
  <c r="Q675" i="10" a="1"/>
  <c r="Q675" i="10" s="1"/>
  <c r="Q18" i="10" a="1"/>
  <c r="Q18" i="10" s="1"/>
  <c r="Q671" i="10" a="1"/>
  <c r="Q671" i="10" s="1"/>
  <c r="Q550" i="10" a="1"/>
  <c r="Q550" i="10" s="1"/>
  <c r="Q841" i="10" a="1"/>
  <c r="Q841" i="10" s="1"/>
  <c r="Q1142" i="10" a="1"/>
  <c r="Q1142" i="10" s="1"/>
  <c r="Q121" i="10" a="1"/>
  <c r="Q121" i="10" s="1"/>
  <c r="Q1148" i="10" a="1"/>
  <c r="Q1148" i="10" s="1"/>
  <c r="Q466" i="10" a="1"/>
  <c r="Q466" i="10" s="1"/>
  <c r="Q1013" i="10" a="1"/>
  <c r="Q1013" i="10" s="1"/>
  <c r="Q851" i="10" a="1"/>
  <c r="Q851" i="10" s="1"/>
  <c r="Q662" i="10" a="1"/>
  <c r="Q662" i="10" s="1"/>
  <c r="Q553" i="10" a="1"/>
  <c r="Q553" i="10" s="1"/>
  <c r="Q931" i="10" a="1"/>
  <c r="Q931" i="10" s="1"/>
  <c r="Q202" i="10" a="1"/>
  <c r="Q202" i="10" s="1"/>
  <c r="Q644" i="10" a="1"/>
  <c r="Q644" i="10" s="1"/>
  <c r="Q178" i="10" a="1"/>
  <c r="Q178" i="10" s="1"/>
  <c r="Q669" i="10" a="1"/>
  <c r="Q669" i="10" s="1"/>
  <c r="Q599" i="10" a="1"/>
  <c r="Q599" i="10" s="1"/>
  <c r="Q652" i="10" a="1"/>
  <c r="Q652" i="10" s="1"/>
  <c r="Q716" i="10" a="1"/>
  <c r="Q716" i="10" s="1"/>
  <c r="Q799" i="10" a="1"/>
  <c r="Q799" i="10" s="1"/>
  <c r="Q317" i="10" a="1"/>
  <c r="Q317" i="10" s="1"/>
  <c r="Q639" i="10" a="1"/>
  <c r="Q639" i="10" s="1"/>
  <c r="Q722" i="10" a="1"/>
  <c r="Q722" i="10" s="1"/>
  <c r="Q162" i="10" a="1"/>
  <c r="Q162" i="10" s="1"/>
  <c r="Q953" i="10" a="1"/>
  <c r="Q953" i="10" s="1"/>
  <c r="Q137" i="10" a="1"/>
  <c r="Q137" i="10" s="1"/>
  <c r="Q1091" i="10" a="1"/>
  <c r="Q1091" i="10" s="1"/>
  <c r="Q547" i="10" a="1"/>
  <c r="Q547" i="10" s="1"/>
  <c r="Q490" i="10" a="1"/>
  <c r="Q490" i="10" s="1"/>
  <c r="Q1165" i="10" a="1"/>
  <c r="Q1165" i="10" s="1"/>
  <c r="Q627" i="10" a="1"/>
  <c r="Q627" i="10" s="1"/>
  <c r="Q309" i="10" a="1"/>
  <c r="Q309" i="10" s="1"/>
  <c r="Q508" i="10" a="1"/>
  <c r="Q508" i="10" s="1"/>
  <c r="Q924" i="10" a="1"/>
  <c r="Q924" i="10" s="1"/>
  <c r="Q896" i="10" a="1"/>
  <c r="Q896" i="10" s="1"/>
  <c r="Q80" i="10" a="1"/>
  <c r="Q80" i="10" s="1"/>
  <c r="Q96" i="10" a="1"/>
  <c r="Q96" i="10" s="1"/>
  <c r="Q963" i="10" a="1"/>
  <c r="Q963" i="10" s="1"/>
  <c r="Q231" i="10" a="1"/>
  <c r="Q231" i="10" s="1"/>
  <c r="Q485" i="10" a="1"/>
  <c r="Q485" i="10" s="1"/>
  <c r="Q780" i="10" a="1"/>
  <c r="Q780" i="10" s="1"/>
  <c r="Q420" i="10" a="1"/>
  <c r="Q420" i="10" s="1"/>
  <c r="Q233" i="10" a="1"/>
  <c r="Q233" i="10" s="1"/>
  <c r="Q102" i="10" a="1"/>
  <c r="Q102" i="10" s="1"/>
  <c r="Q351" i="10" a="1"/>
  <c r="Q351" i="10" s="1"/>
  <c r="Q27" i="10" a="1"/>
  <c r="Q27" i="10" s="1"/>
  <c r="Q1170" i="10" a="1"/>
  <c r="Q1170" i="10" s="1"/>
  <c r="Q448" i="10" a="1"/>
  <c r="Q448" i="10" s="1"/>
  <c r="Q458" i="10" a="1"/>
  <c r="Q458" i="10" s="1"/>
  <c r="Q1051" i="10" a="1"/>
  <c r="Q1051" i="10" s="1"/>
  <c r="Q628" i="10" a="1"/>
  <c r="Q628" i="10" s="1"/>
  <c r="Q1046" i="10" a="1"/>
  <c r="Q1046" i="10" s="1"/>
  <c r="Q1054" i="10" a="1"/>
  <c r="Q1054" i="10" s="1"/>
  <c r="Q114" i="10" a="1"/>
  <c r="Q114" i="10" s="1"/>
  <c r="Q180" i="10" a="1"/>
  <c r="Q180" i="10" s="1"/>
  <c r="Q682" i="10" a="1"/>
  <c r="Q682" i="10" s="1"/>
  <c r="Q893" i="10" a="1"/>
  <c r="Q893" i="10" s="1"/>
  <c r="Q1053" i="10" a="1"/>
  <c r="Q1053" i="10" s="1"/>
  <c r="Q770" i="10" a="1"/>
  <c r="Q770" i="10" s="1"/>
  <c r="Q539" i="10" a="1"/>
  <c r="Q539" i="10" s="1"/>
  <c r="Q1147" i="10" a="1"/>
  <c r="Q1147" i="10" s="1"/>
  <c r="Q555" i="10" a="1"/>
  <c r="Q555" i="10" s="1"/>
  <c r="Q453" i="10" a="1"/>
  <c r="Q453" i="10" s="1"/>
  <c r="Q1109" i="10" a="1"/>
  <c r="Q1109" i="10" s="1"/>
  <c r="Q361" i="10" a="1"/>
  <c r="Q361" i="10" s="1"/>
  <c r="Q742" i="10" a="1"/>
  <c r="Q742" i="10" s="1"/>
  <c r="Q534" i="10" a="1"/>
  <c r="Q534" i="10" s="1"/>
  <c r="Q1081" i="10" a="1"/>
  <c r="Q1081" i="10" s="1"/>
  <c r="Q873" i="10" a="1"/>
  <c r="Q873" i="10" s="1"/>
  <c r="Q144" i="10" a="1"/>
  <c r="Q144" i="10" s="1"/>
  <c r="Q795" i="10" a="1"/>
  <c r="Q795" i="10" s="1"/>
  <c r="Q29" i="10" a="1"/>
  <c r="Q29" i="10" s="1"/>
  <c r="Q749" i="10" a="1"/>
  <c r="Q749" i="10" s="1"/>
  <c r="Q182" i="10" a="1"/>
  <c r="Q182" i="10" s="1"/>
  <c r="Q991" i="10" a="1"/>
  <c r="Q991" i="10" s="1"/>
  <c r="Q772" i="10" a="1"/>
  <c r="Q772" i="10" s="1"/>
  <c r="Q431" i="10" a="1"/>
  <c r="Q431" i="10" s="1"/>
  <c r="Q633" i="10" a="1"/>
  <c r="Q633" i="10" s="1"/>
  <c r="Q911" i="10" a="1"/>
  <c r="Q911" i="10" s="1"/>
  <c r="Q807" i="10" a="1"/>
  <c r="Q807" i="10" s="1"/>
  <c r="Q329" i="10" a="1"/>
  <c r="Q329" i="10" s="1"/>
  <c r="Q31" i="10" a="1"/>
  <c r="Q31" i="10" s="1"/>
  <c r="Q866" i="10" a="1"/>
  <c r="Q866" i="10" s="1"/>
  <c r="Q189" i="10" a="1"/>
  <c r="Q189" i="10" s="1"/>
  <c r="Q434" i="10" a="1"/>
  <c r="Q434" i="10" s="1"/>
  <c r="Q63" i="10" a="1"/>
  <c r="Q63" i="10" s="1"/>
  <c r="Q439" i="10" a="1"/>
  <c r="Q439" i="10" s="1"/>
  <c r="Q659" i="10" a="1"/>
  <c r="Q659" i="10" s="1"/>
  <c r="Q895" i="10" a="1"/>
  <c r="Q895" i="10" s="1"/>
  <c r="Q1031" i="10" a="1"/>
  <c r="Q1031" i="10" s="1"/>
  <c r="Q441" i="10" a="1"/>
  <c r="Q441" i="10" s="1"/>
  <c r="Q124" i="10" a="1"/>
  <c r="Q124" i="10" s="1"/>
  <c r="Q356" i="10" a="1"/>
  <c r="Q356" i="10" s="1"/>
  <c r="Q649" i="10" a="1"/>
  <c r="Q649" i="10" s="1"/>
  <c r="Q607" i="10" a="1"/>
  <c r="Q607" i="10" s="1"/>
  <c r="Q1111" i="10" a="1"/>
  <c r="Q1111" i="10" s="1"/>
  <c r="Q998" i="10" a="1"/>
  <c r="Q998" i="10" s="1"/>
  <c r="Q348" i="10" a="1"/>
  <c r="Q348" i="10" s="1"/>
  <c r="Q342" i="10" a="1"/>
  <c r="Q342" i="10" s="1"/>
  <c r="Q983" i="10" a="1"/>
  <c r="Q983" i="10" s="1"/>
  <c r="Q653" i="10" a="1"/>
  <c r="Q653" i="10" s="1"/>
  <c r="Q1095" i="10" a="1"/>
  <c r="Q1095" i="10" s="1"/>
  <c r="Q645" i="10" a="1"/>
  <c r="Q645" i="10" s="1"/>
  <c r="Q211" i="10" a="1"/>
  <c r="Q211" i="10" s="1"/>
  <c r="Q982" i="10" a="1"/>
  <c r="Q982" i="10" s="1"/>
  <c r="Q876" i="10" a="1"/>
  <c r="Q876" i="10" s="1"/>
  <c r="Q701" i="10" a="1"/>
  <c r="Q701" i="10" s="1"/>
  <c r="Q166" i="10" a="1"/>
  <c r="Q166" i="10" s="1"/>
  <c r="Q956" i="10" a="1"/>
  <c r="Q956" i="10" s="1"/>
  <c r="Q115" i="10" a="1"/>
  <c r="Q115" i="10" s="1"/>
  <c r="Q886" i="10" a="1"/>
  <c r="Q886" i="10" s="1"/>
  <c r="Q908" i="10" a="1"/>
  <c r="Q908" i="10" s="1"/>
  <c r="Q442" i="10" a="1"/>
  <c r="Q442" i="10" s="1"/>
  <c r="Q371" i="10" a="1"/>
  <c r="Q371" i="10" s="1"/>
  <c r="Q140" i="10" a="1"/>
  <c r="Q140" i="10" s="1"/>
  <c r="Q426" i="10" a="1"/>
  <c r="Q426" i="10" s="1"/>
  <c r="Q90" i="10" a="1"/>
  <c r="Q90" i="10" s="1"/>
  <c r="Q604" i="10" a="1"/>
  <c r="Q604" i="10" s="1"/>
  <c r="Q464" i="10" a="1"/>
  <c r="Q464" i="10" s="1"/>
  <c r="Q143" i="10" a="1"/>
  <c r="Q143" i="10" s="1"/>
  <c r="Q914" i="10" a="1"/>
  <c r="Q914" i="10" s="1"/>
  <c r="Q672" i="10" a="1"/>
  <c r="Q672" i="10" s="1"/>
  <c r="Q45" i="10" a="1"/>
  <c r="Q45" i="10" s="1"/>
  <c r="Q98" i="10" a="1"/>
  <c r="Q98" i="10" s="1"/>
  <c r="Q1027" i="10" a="1"/>
  <c r="Q1027" i="10" s="1"/>
  <c r="Q756" i="10" a="1"/>
  <c r="Q756" i="10" s="1"/>
  <c r="Q169" i="10" a="1"/>
  <c r="Q169" i="10" s="1"/>
  <c r="Q1085" i="10" a="1"/>
  <c r="Q1085" i="10" s="1"/>
  <c r="Q1093" i="10" a="1"/>
  <c r="Q1093" i="10" s="1"/>
  <c r="Q916" i="10" a="1"/>
  <c r="Q916" i="10" s="1"/>
  <c r="Q981" i="10" a="1"/>
  <c r="Q981" i="10" s="1"/>
  <c r="Q867" i="10" a="1"/>
  <c r="Q867" i="10" s="1"/>
  <c r="Q503" i="10" a="1"/>
  <c r="Q503" i="10" s="1"/>
  <c r="Q293" i="10" a="1"/>
  <c r="Q293" i="10" s="1"/>
  <c r="Q51" i="10" a="1"/>
  <c r="Q51" i="10" s="1"/>
  <c r="Q822" i="10" a="1"/>
  <c r="Q822" i="10" s="1"/>
  <c r="Q844" i="10" a="1"/>
  <c r="Q844" i="10" s="1"/>
  <c r="Q986" i="10" a="1"/>
  <c r="Q986" i="10" s="1"/>
  <c r="Q933" i="10" a="1"/>
  <c r="Q933" i="10" s="1"/>
  <c r="Q83" i="10" a="1"/>
  <c r="Q83" i="10" s="1"/>
  <c r="Q917" i="10" a="1"/>
  <c r="Q917" i="10" s="1"/>
  <c r="Q837" i="10" a="1"/>
  <c r="Q837" i="10" s="1"/>
  <c r="Q150" i="10" a="1"/>
  <c r="Q150" i="10" s="1"/>
  <c r="Q1071" i="10" a="1"/>
  <c r="Q1071" i="10" s="1"/>
  <c r="Q743" i="10" a="1"/>
  <c r="Q743" i="10" s="1"/>
  <c r="Q297" i="10" a="1"/>
  <c r="Q297" i="10" s="1"/>
  <c r="Q191" i="10" a="1"/>
  <c r="Q191" i="10" s="1"/>
  <c r="Q962" i="10" a="1"/>
  <c r="Q962" i="10" s="1"/>
  <c r="Q592" i="10" a="1"/>
  <c r="Q592" i="10" s="1"/>
  <c r="Q271" i="10" a="1"/>
  <c r="Q271" i="10" s="1"/>
  <c r="Q1042" i="10" a="1"/>
  <c r="Q1042" i="10" s="1"/>
  <c r="Q159" i="10" a="1"/>
  <c r="Q159" i="10" s="1"/>
  <c r="Q816" i="10" a="1"/>
  <c r="Q816" i="10" s="1"/>
  <c r="Q484" i="10" a="1"/>
  <c r="Q484" i="10" s="1"/>
  <c r="Q482" i="10" a="1"/>
  <c r="Q482" i="10" s="1"/>
  <c r="Q492" i="10" a="1"/>
  <c r="Q492" i="10" s="1"/>
  <c r="Q359" i="10" a="1"/>
  <c r="Q359" i="10" s="1"/>
  <c r="Q229" i="10" a="1"/>
  <c r="Q229" i="10" s="1"/>
  <c r="Q1124" i="10" a="1"/>
  <c r="Q1124" i="10" s="1"/>
  <c r="Q758" i="10" a="1"/>
  <c r="Q758" i="10" s="1"/>
  <c r="Q524" i="10" a="1"/>
  <c r="Q524" i="10" s="1"/>
  <c r="Q58" i="10" a="1"/>
  <c r="Q58" i="10" s="1"/>
  <c r="Q591" i="10" a="1"/>
  <c r="Q591" i="10" s="1"/>
  <c r="Q487" i="10" a="1"/>
  <c r="Q487" i="10" s="1"/>
  <c r="Q236" i="10" a="1"/>
  <c r="Q236" i="10" s="1"/>
  <c r="Q445" i="10" a="1"/>
  <c r="Q445" i="10" s="1"/>
  <c r="Q832" i="10" a="1"/>
  <c r="Q832" i="10" s="1"/>
  <c r="Q300" i="10" a="1"/>
  <c r="Q300" i="10" s="1"/>
  <c r="Q36" i="10" a="1"/>
  <c r="Q36" i="10" s="1"/>
  <c r="Q155" i="10" a="1"/>
  <c r="Q155" i="10" s="1"/>
  <c r="Q728" i="10" a="1"/>
  <c r="Q728" i="10" s="1"/>
  <c r="Q715" i="10" a="1"/>
  <c r="Q715" i="10" s="1"/>
  <c r="Q1086" i="10" a="1"/>
  <c r="Q1086" i="10" s="1"/>
  <c r="Q77" i="10" a="1"/>
  <c r="Q77" i="10" s="1"/>
  <c r="Q664" i="10" a="1"/>
  <c r="Q664" i="10" s="1"/>
  <c r="Q1073" i="10" a="1"/>
  <c r="Q1073" i="10" s="1"/>
  <c r="Q398" i="10" a="1"/>
  <c r="Q398" i="10" s="1"/>
  <c r="Q877" i="10" a="1"/>
  <c r="Q877" i="10" s="1"/>
  <c r="Q145" i="10" a="1"/>
  <c r="Q145" i="10" s="1"/>
  <c r="Q785" i="10" a="1"/>
  <c r="Q785" i="10" s="1"/>
  <c r="Q683" i="10" a="1"/>
  <c r="Q683" i="10" s="1"/>
  <c r="Q1096" i="10" a="1"/>
  <c r="Q1096" i="10" s="1"/>
  <c r="Q284" i="10" a="1"/>
  <c r="Q284" i="10" s="1"/>
  <c r="Q255" i="10" a="1"/>
  <c r="Q255" i="10" s="1"/>
  <c r="Q739" i="10" a="1"/>
  <c r="Q739" i="10" s="1"/>
  <c r="Q343" i="10" a="1"/>
  <c r="Q343" i="10" s="1"/>
  <c r="Q199" i="10" a="1"/>
  <c r="Q199" i="10" s="1"/>
  <c r="Q28" i="10" a="1"/>
  <c r="Q28" i="10" s="1"/>
  <c r="Q22" i="10" a="1"/>
  <c r="Q22" i="10" s="1"/>
  <c r="Q72" i="10" a="1"/>
  <c r="Q72" i="10" s="1"/>
  <c r="Q486" i="10" a="1"/>
  <c r="Q486" i="10" s="1"/>
  <c r="Q253" i="10" a="1"/>
  <c r="Q253" i="10" s="1"/>
  <c r="Q19" i="10" a="1"/>
  <c r="Q19" i="10" s="1"/>
  <c r="Q514" i="10" a="1"/>
  <c r="Q514" i="10" s="1"/>
  <c r="Q995" i="10" a="1"/>
  <c r="Q995" i="10" s="1"/>
  <c r="Q775" i="10" a="1"/>
  <c r="Q775" i="10" s="1"/>
  <c r="Q545" i="10" a="1"/>
  <c r="Q545" i="10" s="1"/>
  <c r="Q838" i="10" a="1"/>
  <c r="Q838" i="10" s="1"/>
  <c r="Q296" i="10" a="1"/>
  <c r="Q296" i="10" s="1"/>
  <c r="Q494" i="10" a="1"/>
  <c r="Q494" i="10" s="1"/>
  <c r="Q266" i="10" a="1"/>
  <c r="Q266" i="10" s="1"/>
  <c r="Q136" i="10" a="1"/>
  <c r="Q136" i="10" s="1"/>
  <c r="Q568" i="10" a="1"/>
  <c r="Q568" i="10" s="1"/>
  <c r="Q857" i="10" a="1"/>
  <c r="Q857" i="10" s="1"/>
  <c r="Q315" i="10" a="1"/>
  <c r="Q315" i="10" s="1"/>
  <c r="Q513" i="10" a="1"/>
  <c r="Q513" i="10" s="1"/>
  <c r="Q926" i="10" a="1"/>
  <c r="Q926" i="10" s="1"/>
  <c r="Q632" i="10" a="1"/>
  <c r="Q632" i="10" s="1"/>
  <c r="Q921" i="10" a="1"/>
  <c r="Q921" i="10" s="1"/>
  <c r="Q379" i="10" a="1"/>
  <c r="Q379" i="10" s="1"/>
  <c r="Q577" i="10" a="1"/>
  <c r="Q577" i="10" s="1"/>
  <c r="Q990" i="10" a="1"/>
  <c r="Q990" i="10" s="1"/>
  <c r="Q219" i="10" a="1"/>
  <c r="Q219" i="10" s="1"/>
  <c r="Q651" i="10" a="1"/>
  <c r="Q651" i="10" s="1"/>
  <c r="Q958" i="10" a="1"/>
  <c r="Q958" i="10" s="1"/>
  <c r="Q1159" i="10" a="1"/>
  <c r="Q1159" i="10" s="1"/>
  <c r="Q600" i="10" a="1"/>
  <c r="Q600" i="10" s="1"/>
  <c r="Q1009" i="10" a="1"/>
  <c r="Q1009" i="10" s="1"/>
  <c r="Q167" i="10" a="1"/>
  <c r="Q167" i="10" s="1"/>
  <c r="Q540" i="10" a="1"/>
  <c r="Q540" i="10" s="1"/>
  <c r="Q192" i="10" a="1"/>
  <c r="Q192" i="10" s="1"/>
  <c r="Q85" i="10" a="1"/>
  <c r="Q85" i="10" s="1"/>
  <c r="Q93" i="10" a="1"/>
  <c r="Q93" i="10" s="1"/>
  <c r="Q462" i="10" a="1"/>
  <c r="Q462" i="10" s="1"/>
  <c r="Q1069" i="10" a="1"/>
  <c r="Q1069" i="10" s="1"/>
  <c r="Q209" i="10" a="1"/>
  <c r="Q209" i="10" s="1"/>
  <c r="Q849" i="10" a="1"/>
  <c r="Q849" i="10" s="1"/>
  <c r="Q747" i="10" a="1"/>
  <c r="Q747" i="10" s="1"/>
  <c r="Q49" i="10" a="1"/>
  <c r="Q49" i="10" s="1"/>
  <c r="Q481" i="10" a="1"/>
  <c r="Q481" i="10" s="1"/>
  <c r="Q774" i="10" a="1"/>
  <c r="Q774" i="10" s="1"/>
  <c r="Q232" i="10" a="1"/>
  <c r="Q232" i="10" s="1"/>
  <c r="Q430" i="10" a="1"/>
  <c r="Q430" i="10" s="1"/>
  <c r="Q74" i="10" a="1"/>
  <c r="Q74" i="10" s="1"/>
  <c r="Q344" i="10" a="1"/>
  <c r="Q344" i="10" s="1"/>
  <c r="Q254" i="10" a="1"/>
  <c r="Q254" i="10" s="1"/>
  <c r="Q1160" i="10" a="1"/>
  <c r="Q1160" i="10" s="1"/>
  <c r="Q1022" i="10" a="1"/>
  <c r="Q1022" i="10" s="1"/>
  <c r="Q1118" i="10" a="1"/>
  <c r="Q1118" i="10" s="1"/>
  <c r="Q523" i="10" a="1"/>
  <c r="Q523" i="10" s="1"/>
  <c r="Q792" i="10" a="1"/>
  <c r="Q792" i="10" s="1"/>
  <c r="Q843" i="10" a="1"/>
  <c r="Q843" i="10" s="1"/>
  <c r="Q110" i="10" a="1"/>
  <c r="Q110" i="10" s="1"/>
  <c r="Q558" i="10" a="1"/>
  <c r="Q558" i="10" s="1"/>
  <c r="Q609" i="10" a="1"/>
  <c r="Q609" i="10" s="1"/>
  <c r="Q878" i="10" a="1"/>
  <c r="Q878" i="10" s="1"/>
  <c r="Q929" i="10" a="1"/>
  <c r="Q929" i="10" s="1"/>
  <c r="Q842" i="10" a="1"/>
  <c r="Q842" i="10" s="1"/>
  <c r="Q737" i="10" a="1"/>
  <c r="Q737" i="10" s="1"/>
  <c r="Q552" i="10" a="1"/>
  <c r="Q552" i="10" s="1"/>
  <c r="Q1021" i="10" a="1"/>
  <c r="Q1021" i="10" s="1"/>
  <c r="Q454" i="10" a="1"/>
  <c r="Q454" i="10" s="1"/>
  <c r="Q814" i="10" a="1"/>
  <c r="Q814" i="10" s="1"/>
  <c r="Q81" i="10" a="1"/>
  <c r="Q81" i="10" s="1"/>
  <c r="Q1025" i="10" a="1"/>
  <c r="Q1025" i="10" s="1"/>
  <c r="Q731" i="10" a="1"/>
  <c r="Q731" i="10" s="1"/>
  <c r="Q891" i="10" a="1"/>
  <c r="Q891" i="10" s="1"/>
  <c r="Q698" i="10" a="1"/>
  <c r="Q698" i="10" s="1"/>
  <c r="Q794" i="10" a="1"/>
  <c r="Q794" i="10" s="1"/>
  <c r="Q670" i="10" a="1"/>
  <c r="Q670" i="10" s="1"/>
  <c r="Q257" i="10" a="1"/>
  <c r="Q257" i="10" s="1"/>
  <c r="Q59" i="10" a="1"/>
  <c r="Q59" i="10" s="1"/>
  <c r="Q601" i="10" a="1"/>
  <c r="Q601" i="10" s="1"/>
  <c r="Q312" i="10" a="1"/>
  <c r="Q312" i="10" s="1"/>
  <c r="Q1002" i="10" a="1"/>
  <c r="Q1002" i="10" s="1"/>
  <c r="Q734" i="10" a="1"/>
  <c r="Q734" i="10" s="1"/>
  <c r="Q321" i="10" a="1"/>
  <c r="Q321" i="10" s="1"/>
  <c r="Q123" i="10" a="1"/>
  <c r="Q123" i="10" s="1"/>
  <c r="Q665" i="10" a="1"/>
  <c r="Q665" i="10" s="1"/>
  <c r="Q376" i="10" a="1"/>
  <c r="Q376" i="10" s="1"/>
  <c r="Q472" i="10" a="1"/>
  <c r="Q472" i="10" s="1"/>
  <c r="Q1144" i="10" a="1"/>
  <c r="Q1144" i="10" s="1"/>
  <c r="Q729" i="10" a="1"/>
  <c r="Q729" i="10" s="1"/>
  <c r="Q440" i="10" a="1"/>
  <c r="Q440" i="10" s="1"/>
  <c r="Q347" i="10" a="1"/>
  <c r="Q347" i="10" s="1"/>
  <c r="Q1119" i="10" a="1"/>
  <c r="Q1119" i="10" s="1"/>
  <c r="Q705" i="10" a="1"/>
  <c r="Q705" i="10" s="1"/>
  <c r="Q507" i="10" a="1"/>
  <c r="Q507" i="10" s="1"/>
  <c r="Q1049" i="10" a="1"/>
  <c r="Q1049" i="10" s="1"/>
  <c r="Q760" i="10" a="1"/>
  <c r="Q760" i="10" s="1"/>
  <c r="Q616" i="10" a="1"/>
  <c r="Q616" i="10" s="1"/>
  <c r="Q689" i="10" a="1"/>
  <c r="Q689" i="10" s="1"/>
  <c r="Q830" i="10" a="1"/>
  <c r="Q830" i="10" s="1"/>
  <c r="Q331" i="10" a="1"/>
  <c r="Q331" i="10" s="1"/>
  <c r="Q619" i="10" a="1"/>
  <c r="Q619" i="10" s="1"/>
  <c r="Q685" i="10" a="1"/>
  <c r="Q685" i="10" s="1"/>
  <c r="Q977" i="10" a="1"/>
  <c r="Q977" i="10" s="1"/>
  <c r="Q273" i="10" a="1"/>
  <c r="Q273" i="10" s="1"/>
  <c r="Q170" i="10" a="1"/>
  <c r="Q170" i="10" s="1"/>
  <c r="Q782" i="10" a="1"/>
  <c r="Q782" i="10" s="1"/>
  <c r="Q433" i="10" a="1"/>
  <c r="Q433" i="10" s="1"/>
  <c r="Q24" i="10" a="1"/>
  <c r="Q24" i="10" s="1"/>
  <c r="Q382" i="10" a="1"/>
  <c r="Q382" i="10" s="1"/>
  <c r="Q657" i="10" a="1"/>
  <c r="Q657" i="10" s="1"/>
  <c r="Q75" i="10" a="1"/>
  <c r="Q75" i="10" s="1"/>
  <c r="Q846" i="10" a="1"/>
  <c r="Q846" i="10" s="1"/>
  <c r="Q241" i="10" a="1"/>
  <c r="Q241" i="10" s="1"/>
  <c r="Q939" i="10" a="1"/>
  <c r="Q939" i="10" s="1"/>
  <c r="Q62" i="10" a="1"/>
  <c r="Q62" i="10" s="1"/>
  <c r="Q465" i="10" a="1"/>
  <c r="Q465" i="10" s="1"/>
  <c r="Q554" i="10" a="1"/>
  <c r="Q554" i="10" s="1"/>
  <c r="Q654" i="10" a="1"/>
  <c r="Q654" i="10" s="1"/>
  <c r="Q305" i="10" a="1"/>
  <c r="Q305" i="10" s="1"/>
  <c r="Q1003" i="10" a="1"/>
  <c r="Q1003" i="10" s="1"/>
  <c r="Q190" i="10" a="1"/>
  <c r="Q190" i="10" s="1"/>
  <c r="Q529" i="10" a="1"/>
  <c r="Q529" i="10" s="1"/>
  <c r="Q746" i="10" a="1"/>
  <c r="Q746" i="10" s="1"/>
  <c r="Q718" i="10" a="1"/>
  <c r="Q718" i="10" s="1"/>
  <c r="Q593" i="10" a="1"/>
  <c r="Q593" i="10" s="1"/>
  <c r="Q776" i="10" a="1"/>
  <c r="Q776" i="10" s="1"/>
  <c r="Q890" i="10" a="1"/>
  <c r="Q890" i="10" s="1"/>
  <c r="Q248" i="10" a="1"/>
  <c r="Q248" i="10" s="1"/>
  <c r="Q449" i="10" a="1"/>
  <c r="Q449" i="10" s="1"/>
  <c r="Q587" i="10" a="1"/>
  <c r="Q587" i="10" s="1"/>
  <c r="Q699" i="10" a="1"/>
  <c r="Q699" i="10" s="1"/>
  <c r="Q859" i="10" a="1"/>
  <c r="Q859" i="10" s="1"/>
  <c r="Q973" i="10" a="1"/>
  <c r="Q973" i="10" s="1"/>
  <c r="Q710" i="10" a="1"/>
  <c r="Q710" i="10" s="1"/>
  <c r="Q584" i="10" a="1"/>
  <c r="Q584" i="10" s="1"/>
  <c r="Q171" i="10" a="1"/>
  <c r="Q171" i="10" s="1"/>
  <c r="Q942" i="10" a="1"/>
  <c r="Q942" i="10" s="1"/>
  <c r="Q744" i="10" a="1"/>
  <c r="Q744" i="10" s="1"/>
  <c r="Q1123" i="10" a="1"/>
  <c r="Q1123" i="10" s="1"/>
  <c r="Q993" i="10" a="1"/>
  <c r="Q993" i="10" s="1"/>
  <c r="Q648" i="10" a="1"/>
  <c r="Q648" i="10" s="1"/>
  <c r="Q235" i="10" a="1"/>
  <c r="Q235" i="10" s="1"/>
  <c r="Q1006" i="10" a="1"/>
  <c r="Q1006" i="10" s="1"/>
  <c r="Q808" i="10" a="1"/>
  <c r="Q808" i="10" s="1"/>
  <c r="Q1141" i="10" a="1"/>
  <c r="Q1141" i="10" s="1"/>
  <c r="Q1057" i="10" a="1"/>
  <c r="Q1057" i="10" s="1"/>
  <c r="Q46" i="10" a="1"/>
  <c r="Q46" i="10" s="1"/>
  <c r="Q955" i="10" a="1"/>
  <c r="Q955" i="10" s="1"/>
  <c r="Q390" i="10" a="1"/>
  <c r="Q390" i="10" s="1"/>
  <c r="Q97" i="10" a="1"/>
  <c r="Q97" i="10" s="1"/>
  <c r="Q574" i="10" a="1"/>
  <c r="Q574" i="10" s="1"/>
  <c r="Q974" i="10" a="1"/>
  <c r="Q974" i="10" s="1"/>
  <c r="Q872" i="10" a="1"/>
  <c r="Q872" i="10" s="1"/>
  <c r="Q409" i="10" a="1"/>
  <c r="Q409" i="10" s="1"/>
  <c r="Q267" i="10" a="1"/>
  <c r="Q267" i="10" s="1"/>
  <c r="Q408" i="10" a="1"/>
  <c r="Q408" i="10" s="1"/>
  <c r="Q459" i="10" a="1"/>
  <c r="Q459" i="10" s="1"/>
  <c r="Q638" i="10" a="1"/>
  <c r="Q638" i="10" s="1"/>
  <c r="Q94" i="10" a="1"/>
  <c r="Q94" i="10" s="1"/>
  <c r="Q25" i="10" a="1"/>
  <c r="Q25" i="10" s="1"/>
  <c r="Q602" i="10" a="1"/>
  <c r="Q602" i="10" s="1"/>
  <c r="Q945" i="10" a="1"/>
  <c r="Q945" i="10" s="1"/>
  <c r="Q360" i="10" a="1"/>
  <c r="Q360" i="10" s="1"/>
  <c r="Q520" i="10" a="1"/>
  <c r="Q520" i="10" s="1"/>
  <c r="Q680" i="10" a="1"/>
  <c r="Q680" i="10" s="1"/>
  <c r="Q328" i="10" a="1"/>
  <c r="Q328" i="10" s="1"/>
  <c r="Q488" i="10" a="1"/>
  <c r="Q488" i="10" s="1"/>
  <c r="Q392" i="10" a="1"/>
  <c r="Q392" i="10" s="1"/>
  <c r="Q1140" i="10" a="1"/>
  <c r="Q1140" i="10" s="1"/>
  <c r="Q1094" i="10" a="1"/>
  <c r="Q1094" i="10" s="1"/>
  <c r="Q1038" i="10" a="1"/>
  <c r="Q1038" i="10" s="1"/>
  <c r="Q862" i="10" a="1"/>
  <c r="Q862" i="10" s="1"/>
  <c r="Q865" i="10" a="1"/>
  <c r="Q865" i="10" s="1"/>
  <c r="Q667" i="10" a="1"/>
  <c r="Q667" i="10" s="1"/>
  <c r="Q827" i="10" a="1"/>
  <c r="Q827" i="10" s="1"/>
  <c r="Q1080" i="10" a="1"/>
  <c r="Q1080" i="10" s="1"/>
  <c r="Q1089" i="10" a="1"/>
  <c r="Q1089" i="10" s="1"/>
  <c r="Q33" i="10" a="1"/>
  <c r="Q33" i="10" s="1"/>
  <c r="Q473" i="10" a="1"/>
  <c r="Q473" i="10" s="1"/>
  <c r="Q923" i="10" a="1"/>
  <c r="Q923" i="10" s="1"/>
  <c r="Q413" i="10" a="1"/>
  <c r="Q413" i="10" s="1"/>
  <c r="Q174" i="10" a="1"/>
  <c r="Q174" i="10" s="1"/>
  <c r="Q1083" i="10" a="1"/>
  <c r="Q1083" i="10" s="1"/>
  <c r="Q518" i="10" a="1"/>
  <c r="Q518" i="10" s="1"/>
  <c r="Q225" i="10" a="1"/>
  <c r="Q225" i="10" s="1"/>
  <c r="Q987" i="10" a="1"/>
  <c r="Q987" i="10" s="1"/>
  <c r="Q589" i="10" a="1"/>
  <c r="Q589" i="10" s="1"/>
  <c r="Q238" i="10" a="1"/>
  <c r="Q238" i="10" s="1"/>
  <c r="Q40" i="10" a="1"/>
  <c r="Q40" i="10" s="1"/>
  <c r="Q582" i="10" a="1"/>
  <c r="Q582" i="10" s="1"/>
  <c r="Q289" i="10" a="1"/>
  <c r="Q289" i="10" s="1"/>
  <c r="Q385" i="10" a="1"/>
  <c r="Q385" i="10" s="1"/>
  <c r="Q187" i="10" a="1"/>
  <c r="Q187" i="10" s="1"/>
  <c r="Q646" i="10" a="1"/>
  <c r="Q646" i="10" s="1"/>
  <c r="Q353" i="10" a="1"/>
  <c r="Q353" i="10" s="1"/>
  <c r="Q264" i="10" a="1"/>
  <c r="Q264" i="10" s="1"/>
  <c r="Q650" i="10" a="1"/>
  <c r="Q650" i="10" s="1"/>
  <c r="Q622" i="10" a="1"/>
  <c r="Q622" i="10" s="1"/>
  <c r="Q424" i="10" a="1"/>
  <c r="Q424" i="10" s="1"/>
  <c r="Q966" i="10" a="1"/>
  <c r="Q966" i="10" s="1"/>
  <c r="Q673" i="10" a="1"/>
  <c r="Q673" i="10" s="1"/>
  <c r="Q134" i="10" a="1"/>
  <c r="Q134" i="10" s="1"/>
  <c r="Q363" i="10" a="1"/>
  <c r="Q363" i="10" s="1"/>
  <c r="Q1019" i="10" a="1"/>
  <c r="Q1019" i="10" s="1"/>
  <c r="Q161" i="10" a="1"/>
  <c r="Q161" i="10" s="1"/>
  <c r="Q366" i="10" a="1"/>
  <c r="Q366" i="10" s="1"/>
  <c r="Q417" i="10" a="1"/>
  <c r="Q417" i="10" s="1"/>
  <c r="Q269" i="10" a="1"/>
  <c r="Q269" i="10" s="1"/>
  <c r="Q1166" i="10" a="1"/>
  <c r="Q1166" i="10" s="1"/>
  <c r="Q779" i="10" a="1"/>
  <c r="Q779" i="10" s="1"/>
  <c r="Q925" i="10" a="1"/>
  <c r="Q925" i="10" s="1"/>
  <c r="Q350" i="10" a="1"/>
  <c r="Q350" i="10" s="1"/>
  <c r="Q1048" i="10" a="1"/>
  <c r="Q1048" i="10" s="1"/>
  <c r="Q122" i="10" a="1"/>
  <c r="Q122" i="10" s="1"/>
  <c r="Q281" i="10" a="1"/>
  <c r="Q281" i="10" s="1"/>
  <c r="Q1099" i="10" a="1"/>
  <c r="Q1099" i="10" s="1"/>
  <c r="Q365" i="10" a="1"/>
  <c r="Q365" i="10" s="1"/>
  <c r="Q158" i="10" a="1"/>
  <c r="Q158" i="10" s="1"/>
  <c r="Q856" i="10" a="1"/>
  <c r="Q856" i="10" s="1"/>
  <c r="Q637" i="10" a="1"/>
  <c r="Q637" i="10" s="1"/>
  <c r="Q89" i="10" a="1"/>
  <c r="Q89" i="10" s="1"/>
  <c r="Q907" i="10" a="1"/>
  <c r="Q907" i="10" s="1"/>
  <c r="Q541" i="10" a="1"/>
  <c r="Q541" i="10" s="1"/>
  <c r="Q222" i="10" a="1"/>
  <c r="Q222" i="10" s="1"/>
  <c r="Q920" i="10" a="1"/>
  <c r="Q920" i="10" s="1"/>
  <c r="Q829" i="10" a="1"/>
  <c r="Q829" i="10" s="1"/>
  <c r="Q153" i="10" a="1"/>
  <c r="Q153" i="10" s="1"/>
  <c r="Q971" i="10" a="1"/>
  <c r="Q971" i="10" s="1"/>
  <c r="Q1067" i="10" a="1"/>
  <c r="Q1067" i="10" s="1"/>
  <c r="Q1152" i="10" a="1"/>
  <c r="Q1152" i="10" s="1"/>
  <c r="Q221" i="10" a="1"/>
  <c r="Q221" i="10" s="1"/>
  <c r="Q936" i="10" a="1"/>
  <c r="Q936" i="10" s="1"/>
  <c r="Q78" i="10" a="1"/>
  <c r="Q78" i="10" s="1"/>
  <c r="Q401" i="10" a="1"/>
  <c r="Q401" i="10" s="1"/>
  <c r="Q334" i="10" a="1"/>
  <c r="Q334" i="10" s="1"/>
  <c r="Q217" i="10" a="1"/>
  <c r="Q217" i="10" s="1"/>
  <c r="Q606" i="10" a="1"/>
  <c r="Q606" i="10" s="1"/>
  <c r="Q536" i="10" a="1"/>
  <c r="Q536" i="10" s="1"/>
  <c r="Q504" i="10" a="1"/>
  <c r="Q504" i="10" s="1"/>
  <c r="Q497" i="10" a="1"/>
  <c r="Q497" i="10" s="1"/>
  <c r="Q88" i="10" a="1"/>
  <c r="Q88" i="10" s="1"/>
  <c r="Q510" i="10" a="1"/>
  <c r="Q510" i="10" s="1"/>
  <c r="Q721" i="10" a="1"/>
  <c r="Q721" i="10" s="1"/>
  <c r="Q139" i="10" a="1"/>
  <c r="Q139" i="10" s="1"/>
  <c r="Q910" i="10" a="1"/>
  <c r="Q910" i="10" s="1"/>
  <c r="Q561" i="10" a="1"/>
  <c r="Q561" i="10" s="1"/>
  <c r="Q152" i="10" a="1"/>
  <c r="Q152" i="10" s="1"/>
  <c r="Q913" i="10" a="1"/>
  <c r="Q913" i="10" s="1"/>
  <c r="Q203" i="10" a="1"/>
  <c r="Q203" i="10" s="1"/>
  <c r="Q1070" i="10" a="1"/>
  <c r="Q1070" i="10" s="1"/>
  <c r="Q1162" i="10" a="1"/>
  <c r="Q1162" i="10" s="1"/>
  <c r="Q270" i="10" a="1"/>
  <c r="Q270" i="10" s="1"/>
  <c r="Q120" i="10" a="1"/>
  <c r="Q120" i="10" s="1"/>
  <c r="Q1131" i="10" a="1"/>
  <c r="Q1131" i="10" s="1"/>
  <c r="Q753" i="10" a="1"/>
  <c r="Q753" i="10" s="1"/>
  <c r="Q894" i="10" a="1"/>
  <c r="Q894" i="10" s="1"/>
  <c r="Q395" i="10" a="1"/>
  <c r="Q395" i="10" s="1"/>
  <c r="Q817" i="10" a="1"/>
  <c r="Q817" i="10" s="1"/>
  <c r="Q446" i="10" a="1"/>
  <c r="Q446" i="10" s="1"/>
  <c r="Q1163" i="10" a="1"/>
  <c r="Q1163" i="10" s="1"/>
  <c r="Q173" i="10" a="1"/>
  <c r="Q173" i="10" s="1"/>
  <c r="Q461" i="10" a="1"/>
  <c r="Q461" i="10" s="1"/>
  <c r="Q318" i="10" a="1"/>
  <c r="Q318" i="10" s="1"/>
  <c r="Q423" i="10" a="1"/>
  <c r="Q423" i="10" s="1"/>
  <c r="Q766" i="10" a="1"/>
  <c r="Q766" i="10" s="1"/>
  <c r="Q902" i="10" a="1"/>
  <c r="Q902" i="10" s="1"/>
  <c r="Q107" i="10" a="1"/>
  <c r="Q107" i="10" s="1"/>
  <c r="Q1169" i="10" a="1"/>
  <c r="Q1169" i="10" s="1"/>
  <c r="Q686" i="10" a="1"/>
  <c r="Q686" i="10" s="1"/>
  <c r="Q1030" i="10" a="1"/>
  <c r="Q1030" i="10" s="1"/>
  <c r="Q750" i="10" a="1"/>
  <c r="Q750" i="10" s="1"/>
  <c r="Q801" i="10" a="1"/>
  <c r="Q801" i="10" s="1"/>
  <c r="Q1128" i="10" a="1"/>
  <c r="Q1128" i="10" s="1"/>
  <c r="Q793" i="10" a="1"/>
  <c r="Q793" i="10" s="1"/>
  <c r="Q1032" i="10" a="1"/>
  <c r="Q1032" i="10" s="1"/>
  <c r="Q1130" i="10" a="1"/>
  <c r="Q1130" i="10" s="1"/>
  <c r="Q262" i="10" a="1"/>
  <c r="Q262" i="10" s="1"/>
  <c r="Q1143" i="10" a="1"/>
  <c r="Q1143" i="10" s="1"/>
  <c r="Q326" i="10" a="1"/>
  <c r="Q326" i="10" s="1"/>
  <c r="Q129" i="10" a="1"/>
  <c r="Q129" i="10" s="1"/>
  <c r="Q184" i="10" a="1"/>
  <c r="Q184" i="10" s="1"/>
  <c r="Q840" i="10" a="1"/>
  <c r="Q840" i="10" s="1"/>
  <c r="Q427" i="10" a="1"/>
  <c r="Q427" i="10" s="1"/>
  <c r="Q1145" i="10" a="1"/>
  <c r="Q1145" i="10" s="1"/>
  <c r="Q1000" i="10" a="1"/>
  <c r="Q1000" i="10" s="1"/>
  <c r="Q125" i="10" a="1"/>
  <c r="Q125" i="10" s="1"/>
  <c r="Q142" i="10" a="1"/>
  <c r="Q142" i="10" s="1"/>
  <c r="Q904" i="10" a="1"/>
  <c r="Q904" i="10" s="1"/>
  <c r="Q491" i="10" a="1"/>
  <c r="Q491" i="10" s="1"/>
  <c r="Q1150" i="10" a="1"/>
  <c r="Q1150" i="10" s="1"/>
  <c r="Q1064" i="10" a="1"/>
  <c r="Q1064" i="10" s="1"/>
  <c r="Q333" i="10" a="1"/>
  <c r="Q333" i="10" s="1"/>
  <c r="Q206" i="10" a="1"/>
  <c r="Q206" i="10" s="1"/>
  <c r="Q302" i="10" a="1"/>
  <c r="Q302" i="10" s="1"/>
  <c r="Q104" i="10" a="1"/>
  <c r="Q104" i="10" s="1"/>
  <c r="Q509" i="10" a="1"/>
  <c r="Q509" i="10" s="1"/>
  <c r="Q526" i="10" a="1"/>
  <c r="Q526" i="10" s="1"/>
  <c r="Q177" i="10" a="1"/>
  <c r="Q177" i="10" s="1"/>
  <c r="Q875" i="10" a="1"/>
  <c r="Q875" i="10" s="1"/>
  <c r="Q1041" i="10" a="1"/>
  <c r="Q1041" i="10" s="1"/>
  <c r="Q337" i="10" a="1"/>
  <c r="Q337" i="10" s="1"/>
  <c r="Q362" i="10" a="1"/>
  <c r="Q362" i="10" s="1"/>
  <c r="Q590" i="10" a="1"/>
  <c r="Q590" i="10" s="1"/>
  <c r="Q952" i="10" a="1"/>
  <c r="Q952" i="10" s="1"/>
  <c r="Q193" i="10" a="1"/>
  <c r="Q193" i="10" s="1"/>
  <c r="Q537" i="10" a="1"/>
  <c r="Q537" i="10" s="1"/>
  <c r="Q91" i="10" a="1"/>
  <c r="Q91" i="10" s="1"/>
  <c r="Q251" i="10" a="1"/>
  <c r="Q251" i="10" s="1"/>
  <c r="Q641" i="10" a="1"/>
  <c r="Q641" i="10" s="1"/>
  <c r="Q443" i="10" a="1"/>
  <c r="Q443" i="10" s="1"/>
  <c r="Q985" i="10" a="1"/>
  <c r="Q985" i="10" s="1"/>
  <c r="Q696" i="10" a="1"/>
  <c r="Q696" i="10" s="1"/>
  <c r="Q603" i="10" a="1"/>
  <c r="Q603" i="10" s="1"/>
  <c r="Q1161" i="10" a="1"/>
  <c r="Q1161" i="10" s="1"/>
  <c r="Q961" i="10" a="1"/>
  <c r="Q961" i="10" s="1"/>
  <c r="Q763" i="10" a="1"/>
  <c r="Q763" i="10" s="1"/>
  <c r="Q198" i="10" a="1"/>
  <c r="Q198" i="10" s="1"/>
  <c r="Q1016" i="10" a="1"/>
  <c r="Q1016" i="10" s="1"/>
  <c r="Q411" i="10" a="1"/>
  <c r="Q411" i="10" s="1"/>
  <c r="Q1129" i="10" a="1"/>
  <c r="Q1129" i="10" s="1"/>
  <c r="Q769" i="10" a="1"/>
  <c r="Q769" i="10" s="1"/>
  <c r="Q571" i="10" a="1"/>
  <c r="Q571" i="10" s="1"/>
  <c r="Q1113" i="10" a="1"/>
  <c r="Q1113" i="10" s="1"/>
  <c r="Q824" i="10" a="1"/>
  <c r="Q824" i="10" s="1"/>
  <c r="Q475" i="10" a="1"/>
  <c r="Q475" i="10" s="1"/>
  <c r="Q1134" i="10" a="1"/>
  <c r="Q1134" i="10" s="1"/>
  <c r="Q833" i="10" a="1"/>
  <c r="Q833" i="10" s="1"/>
  <c r="Q635" i="10" a="1"/>
  <c r="Q635" i="10" s="1"/>
  <c r="Q70" i="10" a="1"/>
  <c r="Q70" i="10" s="1"/>
  <c r="Q888" i="10" a="1"/>
  <c r="Q888" i="10" s="1"/>
  <c r="Q897" i="10" a="1"/>
  <c r="Q897" i="10" s="1"/>
  <c r="Q1035" i="10" a="1"/>
  <c r="Q1035" i="10" s="1"/>
  <c r="Q280" i="10" a="1"/>
  <c r="Q280" i="10" s="1"/>
  <c r="Q126" i="10" a="1"/>
  <c r="Q126" i="10" s="1"/>
  <c r="Q1115" i="10" a="1"/>
  <c r="Q1115" i="10" s="1"/>
  <c r="Q168" i="10" a="1"/>
  <c r="Q168" i="10" s="1"/>
  <c r="Q984" i="10" a="1"/>
  <c r="Q984" i="10" s="1"/>
  <c r="Q938" i="10" a="1"/>
  <c r="Q938" i="10" s="1"/>
  <c r="Q1102" i="10" a="1"/>
  <c r="Q1102" i="10" s="1"/>
  <c r="Q1146" i="10" a="1"/>
  <c r="Q1146" i="10" s="1"/>
  <c r="Q1117" i="10" a="1"/>
  <c r="Q1117" i="10" s="1"/>
  <c r="Q414" i="10" a="1"/>
  <c r="Q414" i="10" s="1"/>
  <c r="Q1112" i="10" a="1"/>
  <c r="Q1112" i="10" s="1"/>
  <c r="Q314" i="10" a="1"/>
  <c r="Q314" i="10" s="1"/>
  <c r="Q345" i="10" a="1"/>
  <c r="Q345" i="10" s="1"/>
  <c r="Q56" i="10" a="1"/>
  <c r="Q56" i="10" s="1"/>
  <c r="Q218" i="10" a="1"/>
  <c r="Q218" i="10" s="1"/>
  <c r="Q478" i="10" a="1"/>
  <c r="Q478" i="10" s="1"/>
  <c r="Q65" i="10" a="1"/>
  <c r="Q65" i="10" s="1"/>
  <c r="Q506" i="10" a="1"/>
  <c r="Q506" i="10" s="1"/>
  <c r="Q216" i="10" a="1"/>
  <c r="Q216" i="10" s="1"/>
  <c r="Q702" i="10" a="1"/>
  <c r="Q702" i="10" s="1"/>
  <c r="Q1105" i="10" a="1"/>
  <c r="Q1105" i="10" s="1"/>
  <c r="R11" i="10" l="1" a="1"/>
  <c r="R11" i="10" s="1"/>
  <c r="S11" i="10" s="1"/>
  <c r="R12" i="10" a="1"/>
  <c r="R12" i="10" s="1"/>
  <c r="S12" i="10" s="1"/>
  <c r="R13" i="10" a="1"/>
  <c r="R13" i="10" s="1"/>
  <c r="S13" i="10" s="1"/>
  <c r="R14" i="10" a="1"/>
  <c r="R14" i="10" s="1"/>
  <c r="S14" i="10" s="1"/>
  <c r="R15" i="10" a="1"/>
  <c r="R15" i="10" s="1"/>
  <c r="S15" i="10" s="1"/>
  <c r="R16" i="10" a="1"/>
  <c r="R16" i="10" s="1"/>
  <c r="K6065" i="13"/>
  <c r="L6065" i="13" s="1"/>
  <c r="I6066" i="13" s="1"/>
  <c r="K6087" i="14"/>
  <c r="L6087" i="14" s="1"/>
  <c r="I6088" i="14" s="1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J6250" i="14" a="1"/>
  <c r="J6250" i="14" s="1"/>
  <c r="R1157" i="10" a="1"/>
  <c r="R1157" i="10" s="1"/>
  <c r="S1157" i="10" s="1"/>
  <c r="R874" i="10" a="1"/>
  <c r="R874" i="10" s="1"/>
  <c r="S874" i="10" s="1"/>
  <c r="R799" i="10" a="1"/>
  <c r="R799" i="10" s="1"/>
  <c r="S799" i="10" s="1"/>
  <c r="R248" i="10" a="1"/>
  <c r="R248" i="10" s="1"/>
  <c r="S248" i="10" s="1"/>
  <c r="R479" i="10" a="1"/>
  <c r="R479" i="10" s="1"/>
  <c r="S479" i="10" s="1"/>
  <c r="R1035" i="10" a="1"/>
  <c r="R1035" i="10" s="1"/>
  <c r="S1035" i="10" s="1"/>
  <c r="R404" i="10" a="1"/>
  <c r="R404" i="10" s="1"/>
  <c r="S404" i="10" s="1"/>
  <c r="R944" i="10" a="1"/>
  <c r="R944" i="10" s="1"/>
  <c r="S944" i="10" s="1"/>
  <c r="R181" i="10" a="1"/>
  <c r="R181" i="10" s="1"/>
  <c r="S181" i="10" s="1"/>
  <c r="R641" i="10" a="1"/>
  <c r="R641" i="10" s="1"/>
  <c r="S641" i="10" s="1"/>
  <c r="R62" i="10" a="1"/>
  <c r="R62" i="10" s="1"/>
  <c r="S62" i="10" s="1"/>
  <c r="R618" i="10" a="1"/>
  <c r="R618" i="10" s="1"/>
  <c r="S618" i="10" s="1"/>
  <c r="R856" i="10" a="1"/>
  <c r="R856" i="10" s="1"/>
  <c r="S856" i="10" s="1"/>
  <c r="R978" i="10" a="1"/>
  <c r="R978" i="10" s="1"/>
  <c r="S978" i="10" s="1"/>
  <c r="R831" i="10" a="1"/>
  <c r="R831" i="10" s="1"/>
  <c r="S831" i="10" s="1"/>
  <c r="R280" i="10" a="1"/>
  <c r="R280" i="10" s="1"/>
  <c r="S280" i="10" s="1"/>
  <c r="R594" i="10" a="1"/>
  <c r="R594" i="10" s="1"/>
  <c r="S594" i="10" s="1"/>
  <c r="R447" i="10" a="1"/>
  <c r="R447" i="10" s="1"/>
  <c r="S447" i="10" s="1"/>
  <c r="R785" i="10" a="1"/>
  <c r="R785" i="10" s="1"/>
  <c r="S785" i="10" s="1"/>
  <c r="R206" i="10" a="1"/>
  <c r="R206" i="10" s="1"/>
  <c r="S206" i="10" s="1"/>
  <c r="R698" i="10" a="1"/>
  <c r="R698" i="10" s="1"/>
  <c r="S698" i="10" s="1"/>
  <c r="R131" i="10" a="1"/>
  <c r="R131" i="10" s="1"/>
  <c r="S131" i="10" s="1"/>
  <c r="R591" i="10" a="1"/>
  <c r="R591" i="10" s="1"/>
  <c r="S591" i="10" s="1"/>
  <c r="R40" i="10" a="1"/>
  <c r="R40" i="10" s="1"/>
  <c r="S40" i="10" s="1"/>
  <c r="R580" i="10" a="1"/>
  <c r="R580" i="10" s="1"/>
  <c r="S580" i="10" s="1"/>
  <c r="R1118" i="10" a="1"/>
  <c r="R1118" i="10" s="1"/>
  <c r="S1118" i="10" s="1"/>
  <c r="R220" i="10" a="1"/>
  <c r="R220" i="10" s="1"/>
  <c r="S220" i="10" s="1"/>
  <c r="R760" i="10" a="1"/>
  <c r="R760" i="10" s="1"/>
  <c r="S760" i="10" s="1"/>
  <c r="R991" i="10" a="1"/>
  <c r="R991" i="10" s="1"/>
  <c r="S991" i="10" s="1"/>
  <c r="R440" i="10" a="1"/>
  <c r="R440" i="10" s="1"/>
  <c r="S440" i="10" s="1"/>
  <c r="R916" i="10" a="1"/>
  <c r="R916" i="10" s="1"/>
  <c r="S916" i="10" s="1"/>
  <c r="R153" i="10" a="1"/>
  <c r="R153" i="10" s="1"/>
  <c r="S153" i="10" s="1"/>
  <c r="R693" i="10" a="1"/>
  <c r="R693" i="10" s="1"/>
  <c r="S693" i="10" s="1"/>
  <c r="R34" i="10" a="1"/>
  <c r="R34" i="10" s="1"/>
  <c r="S34" i="10" s="1"/>
  <c r="R574" i="10" a="1"/>
  <c r="R574" i="10" s="1"/>
  <c r="S574" i="10" s="1"/>
  <c r="R23" i="10" a="1"/>
  <c r="R23" i="10" s="1"/>
  <c r="S23" i="10" s="1"/>
  <c r="R31" i="10" a="1"/>
  <c r="R31" i="10" s="1"/>
  <c r="S31" i="10" s="1"/>
  <c r="R587" i="10" a="1"/>
  <c r="R587" i="10" s="1"/>
  <c r="S587" i="10" s="1"/>
  <c r="R913" i="10" a="1"/>
  <c r="R913" i="10" s="1"/>
  <c r="S913" i="10" s="1"/>
  <c r="R826" i="10" a="1"/>
  <c r="R826" i="10" s="1"/>
  <c r="S826" i="10" s="1"/>
  <c r="R168" i="10" a="1"/>
  <c r="R168" i="10" s="1"/>
  <c r="S168" i="10" s="1"/>
  <c r="R708" i="10" a="1"/>
  <c r="R708" i="10" s="1"/>
  <c r="S708" i="10" s="1"/>
  <c r="R273" i="10" a="1"/>
  <c r="R273" i="10" s="1"/>
  <c r="S273" i="10" s="1"/>
  <c r="R79" i="10" a="1"/>
  <c r="R79" i="10" s="1"/>
  <c r="S79" i="10" s="1"/>
  <c r="R608" i="10" a="1"/>
  <c r="R608" i="10" s="1"/>
  <c r="S608" i="10" s="1"/>
  <c r="R561" i="10" a="1"/>
  <c r="R561" i="10" s="1"/>
  <c r="S561" i="10" s="1"/>
  <c r="R380" i="10" a="1"/>
  <c r="R380" i="10" s="1"/>
  <c r="S380" i="10" s="1"/>
  <c r="R788" i="10" a="1"/>
  <c r="R788" i="10" s="1"/>
  <c r="S788" i="10" s="1"/>
  <c r="R1025" i="10" a="1"/>
  <c r="R1025" i="10" s="1"/>
  <c r="S1025" i="10" s="1"/>
  <c r="R435" i="10" a="1"/>
  <c r="R435" i="10" s="1"/>
  <c r="S435" i="10" s="1"/>
  <c r="R779" i="10" a="1"/>
  <c r="R779" i="10" s="1"/>
  <c r="S779" i="10" s="1"/>
  <c r="R385" i="10" a="1"/>
  <c r="R385" i="10" s="1"/>
  <c r="S385" i="10" s="1"/>
  <c r="R882" i="10" a="1"/>
  <c r="R882" i="10" s="1"/>
  <c r="S882" i="10" s="1"/>
  <c r="R562" i="10" a="1"/>
  <c r="R562" i="10" s="1"/>
  <c r="S562" i="10" s="1"/>
  <c r="R1102" i="10" a="1"/>
  <c r="R1102" i="10" s="1"/>
  <c r="S1102" i="10" s="1"/>
  <c r="R487" i="10" a="1"/>
  <c r="R487" i="10" s="1"/>
  <c r="S487" i="10" s="1"/>
  <c r="R1027" i="10" a="1"/>
  <c r="R1027" i="10" s="1"/>
  <c r="S1027" i="10" s="1"/>
  <c r="R396" i="10" a="1"/>
  <c r="R396" i="10" s="1"/>
  <c r="S396" i="10" s="1"/>
  <c r="R936" i="10" a="1"/>
  <c r="R936" i="10" s="1"/>
  <c r="S936" i="10" s="1"/>
  <c r="R157" i="10" a="1"/>
  <c r="R157" i="10" s="1"/>
  <c r="S157" i="10" s="1"/>
  <c r="R1042" i="10" a="1"/>
  <c r="R1042" i="10" s="1"/>
  <c r="S1042" i="10" s="1"/>
  <c r="R191" i="10" a="1"/>
  <c r="R191" i="10" s="1"/>
  <c r="S191" i="10" s="1"/>
  <c r="R49" i="10" a="1"/>
  <c r="R49" i="10" s="1"/>
  <c r="S49" i="10" s="1"/>
  <c r="R914" i="10" a="1"/>
  <c r="R914" i="10" s="1"/>
  <c r="S914" i="10" s="1"/>
  <c r="R786" i="10" a="1"/>
  <c r="R786" i="10" s="1"/>
  <c r="S786" i="10" s="1"/>
  <c r="R689" i="10" a="1"/>
  <c r="R689" i="10" s="1"/>
  <c r="S689" i="10" s="1"/>
  <c r="R1003" i="10" a="1"/>
  <c r="R1003" i="10" s="1"/>
  <c r="S1003" i="10" s="1"/>
  <c r="R540" i="10" a="1"/>
  <c r="R540" i="10" s="1"/>
  <c r="S540" i="10" s="1"/>
  <c r="R1080" i="10" a="1"/>
  <c r="R1080" i="10" s="1"/>
  <c r="S1080" i="10" s="1"/>
  <c r="R237" i="10" a="1"/>
  <c r="R237" i="10" s="1"/>
  <c r="S237" i="10" s="1"/>
  <c r="R793" i="10" a="1"/>
  <c r="R793" i="10" s="1"/>
  <c r="S793" i="10" s="1"/>
  <c r="R214" i="10" a="1"/>
  <c r="R214" i="10" s="1"/>
  <c r="S214" i="10" s="1"/>
  <c r="R674" i="10" a="1"/>
  <c r="R674" i="10" s="1"/>
  <c r="S674" i="10" s="1"/>
  <c r="R123" i="10" a="1"/>
  <c r="R123" i="10" s="1"/>
  <c r="S123" i="10" s="1"/>
  <c r="R663" i="10" a="1"/>
  <c r="R663" i="10" s="1"/>
  <c r="S663" i="10" s="1"/>
  <c r="R96" i="10" a="1"/>
  <c r="R96" i="10" s="1"/>
  <c r="S96" i="10" s="1"/>
  <c r="R287" i="10" a="1"/>
  <c r="R287" i="10" s="1"/>
  <c r="S287" i="10" s="1"/>
  <c r="R843" i="10" a="1"/>
  <c r="R843" i="10" s="1"/>
  <c r="S843" i="10" s="1"/>
  <c r="R1074" i="10" a="1"/>
  <c r="R1074" i="10" s="1"/>
  <c r="S1074" i="10" s="1"/>
  <c r="R523" i="10" a="1"/>
  <c r="R523" i="10" s="1"/>
  <c r="S523" i="10" s="1"/>
  <c r="R999" i="10" a="1"/>
  <c r="R999" i="10" s="1"/>
  <c r="S999" i="10" s="1"/>
  <c r="R432" i="10" a="1"/>
  <c r="R432" i="10" s="1"/>
  <c r="S432" i="10" s="1"/>
  <c r="R908" i="10" a="1"/>
  <c r="R908" i="10" s="1"/>
  <c r="S908" i="10" s="1"/>
  <c r="R129" i="10" a="1"/>
  <c r="R129" i="10" s="1"/>
  <c r="S129" i="10" s="1"/>
  <c r="R669" i="10" a="1"/>
  <c r="R669" i="10" s="1"/>
  <c r="S669" i="10" s="1"/>
  <c r="R114" i="10" a="1"/>
  <c r="R114" i="10" s="1"/>
  <c r="S114" i="10" s="1"/>
  <c r="R668" i="10" a="1"/>
  <c r="R668" i="10" s="1"/>
  <c r="S668" i="10" s="1"/>
  <c r="R1159" i="10" a="1"/>
  <c r="R1159" i="10" s="1"/>
  <c r="S1159" i="10" s="1"/>
  <c r="R365" i="10" a="1"/>
  <c r="R365" i="10" s="1"/>
  <c r="S365" i="10" s="1"/>
  <c r="R921" i="10" a="1"/>
  <c r="R921" i="10" s="1"/>
  <c r="S921" i="10" s="1"/>
  <c r="R342" i="10" a="1"/>
  <c r="R342" i="10" s="1"/>
  <c r="S342" i="10" s="1"/>
  <c r="R802" i="10" a="1"/>
  <c r="R802" i="10" s="1"/>
  <c r="S802" i="10" s="1"/>
  <c r="R251" i="10" a="1"/>
  <c r="R251" i="10" s="1"/>
  <c r="S251" i="10" s="1"/>
  <c r="R791" i="10" a="1"/>
  <c r="R791" i="10" s="1"/>
  <c r="S791" i="10" s="1"/>
  <c r="R28" i="10" a="1"/>
  <c r="R28" i="10" s="1"/>
  <c r="S28" i="10" s="1"/>
  <c r="R568" i="10" a="1"/>
  <c r="R568" i="10" s="1"/>
  <c r="S568" i="10" s="1"/>
  <c r="R1044" i="10" a="1"/>
  <c r="R1044" i="10" s="1"/>
  <c r="S1044" i="10" s="1"/>
  <c r="R281" i="10" a="1"/>
  <c r="R281" i="10" s="1"/>
  <c r="S281" i="10" s="1"/>
  <c r="R821" i="10" a="1"/>
  <c r="R821" i="10" s="1"/>
  <c r="S821" i="10" s="1"/>
  <c r="R162" i="10" a="1"/>
  <c r="R162" i="10" s="1"/>
  <c r="S162" i="10" s="1"/>
  <c r="R702" i="10" a="1"/>
  <c r="R702" i="10" s="1"/>
  <c r="S702" i="10" s="1"/>
  <c r="R151" i="10" a="1"/>
  <c r="R151" i="10" s="1"/>
  <c r="S151" i="10" s="1"/>
  <c r="R691" i="10" a="1"/>
  <c r="R691" i="10" s="1"/>
  <c r="S691" i="10" s="1"/>
  <c r="R664" i="10" a="1"/>
  <c r="R664" i="10" s="1"/>
  <c r="S664" i="10" s="1"/>
  <c r="R113" i="10" a="1"/>
  <c r="R113" i="10" s="1"/>
  <c r="S113" i="10" s="1"/>
  <c r="R344" i="10" a="1"/>
  <c r="R344" i="10" s="1"/>
  <c r="S344" i="10" s="1"/>
  <c r="R146" i="10" a="1"/>
  <c r="R146" i="10" s="1"/>
  <c r="S146" i="10" s="1"/>
  <c r="R700" i="10" a="1"/>
  <c r="R700" i="10" s="1"/>
  <c r="S700" i="10" s="1"/>
  <c r="R1136" i="10" a="1"/>
  <c r="R1136" i="10" s="1"/>
  <c r="S1136" i="10" s="1"/>
  <c r="R946" i="10" a="1"/>
  <c r="R946" i="10" s="1"/>
  <c r="S946" i="10" s="1"/>
  <c r="R395" i="10" a="1"/>
  <c r="R395" i="10" s="1"/>
  <c r="S395" i="10" s="1"/>
  <c r="R871" i="10" a="1"/>
  <c r="R871" i="10" s="1"/>
  <c r="S871" i="10" s="1"/>
  <c r="R304" i="10" a="1"/>
  <c r="R304" i="10" s="1"/>
  <c r="S304" i="10" s="1"/>
  <c r="R780" i="10" a="1"/>
  <c r="R780" i="10" s="1"/>
  <c r="S780" i="10" s="1"/>
  <c r="R1169" i="10" a="1"/>
  <c r="R1169" i="10" s="1"/>
  <c r="S1169" i="10" s="1"/>
  <c r="R541" i="10" a="1"/>
  <c r="R541" i="10" s="1"/>
  <c r="S541" i="10" s="1"/>
  <c r="R1097" i="10" a="1"/>
  <c r="R1097" i="10" s="1"/>
  <c r="S1097" i="10" s="1"/>
  <c r="R476" i="10" a="1"/>
  <c r="R476" i="10" s="1"/>
  <c r="S476" i="10" s="1"/>
  <c r="R1016" i="10" a="1"/>
  <c r="R1016" i="10" s="1"/>
  <c r="S1016" i="10" s="1"/>
  <c r="R306" i="10" a="1"/>
  <c r="R306" i="10" s="1"/>
  <c r="S306" i="10" s="1"/>
  <c r="R846" i="10" a="1"/>
  <c r="R846" i="10" s="1"/>
  <c r="S846" i="10" s="1"/>
  <c r="R231" i="10" a="1"/>
  <c r="R231" i="10" s="1"/>
  <c r="S231" i="10" s="1"/>
  <c r="R771" i="10" a="1"/>
  <c r="R771" i="10" s="1"/>
  <c r="S771" i="10" s="1"/>
  <c r="R140" i="10" a="1"/>
  <c r="R140" i="10" s="1"/>
  <c r="S140" i="10" s="1"/>
  <c r="R680" i="10" a="1"/>
  <c r="R680" i="10" s="1"/>
  <c r="S680" i="10" s="1"/>
  <c r="R1171" i="10" a="1"/>
  <c r="R1171" i="10" s="1"/>
  <c r="S1171" i="10" s="1"/>
  <c r="R95" i="10" a="1"/>
  <c r="R95" i="10" s="1"/>
  <c r="S95" i="10" s="1"/>
  <c r="R20" i="10" a="1"/>
  <c r="R20" i="10" s="1"/>
  <c r="S20" i="10" s="1"/>
  <c r="R1036" i="10" a="1"/>
  <c r="R1036" i="10" s="1"/>
  <c r="S1036" i="10" s="1"/>
  <c r="R797" i="10" a="1"/>
  <c r="R797" i="10" s="1"/>
  <c r="S797" i="10" s="1"/>
  <c r="R828" i="10" a="1"/>
  <c r="R828" i="10" s="1"/>
  <c r="S828" i="10" s="1"/>
  <c r="R241" i="10" a="1"/>
  <c r="R241" i="10" s="1"/>
  <c r="S241" i="10" s="1"/>
  <c r="R216" i="10" a="1"/>
  <c r="R216" i="10" s="1"/>
  <c r="S216" i="10" s="1"/>
  <c r="R462" i="10" a="1"/>
  <c r="R462" i="10" s="1"/>
  <c r="S462" i="10" s="1"/>
  <c r="R387" i="10" a="1"/>
  <c r="R387" i="10" s="1"/>
  <c r="S387" i="10" s="1"/>
  <c r="R847" i="10" a="1"/>
  <c r="R847" i="10" s="1"/>
  <c r="S847" i="10" s="1"/>
  <c r="R836" i="10" a="1"/>
  <c r="R836" i="10" s="1"/>
  <c r="S836" i="10" s="1"/>
  <c r="R1099" i="10" a="1"/>
  <c r="R1099" i="10" s="1"/>
  <c r="S1099" i="10" s="1"/>
  <c r="R1131" i="10" a="1"/>
  <c r="R1131" i="10" s="1"/>
  <c r="S1131" i="10" s="1"/>
  <c r="R877" i="10" a="1"/>
  <c r="R877" i="10" s="1"/>
  <c r="S877" i="10" s="1"/>
  <c r="R854" i="10" a="1"/>
  <c r="R854" i="10" s="1"/>
  <c r="S854" i="10" s="1"/>
  <c r="R763" i="10" a="1"/>
  <c r="R763" i="10" s="1"/>
  <c r="S763" i="10" s="1"/>
  <c r="R178" i="10" a="1"/>
  <c r="R178" i="10" s="1"/>
  <c r="S178" i="10" s="1"/>
  <c r="R103" i="10" a="1"/>
  <c r="R103" i="10" s="1"/>
  <c r="S103" i="10" s="1"/>
  <c r="R1103" i="10" a="1"/>
  <c r="R1103" i="10" s="1"/>
  <c r="S1103" i="10" s="1"/>
  <c r="R1092" i="10" a="1"/>
  <c r="R1092" i="10" s="1"/>
  <c r="S1092" i="10" s="1"/>
  <c r="R305" i="10" a="1"/>
  <c r="R305" i="10" s="1"/>
  <c r="S305" i="10" s="1"/>
  <c r="R1087" i="10" a="1"/>
  <c r="R1087" i="10" s="1"/>
  <c r="S1087" i="10" s="1"/>
  <c r="R850" i="10" a="1"/>
  <c r="R850" i="10" s="1"/>
  <c r="S850" i="10" s="1"/>
  <c r="R930" i="10" a="1"/>
  <c r="R930" i="10" s="1"/>
  <c r="S930" i="10" s="1"/>
  <c r="R352" i="10" a="1"/>
  <c r="R352" i="10" s="1"/>
  <c r="S352" i="10" s="1"/>
  <c r="R1170" i="10" a="1"/>
  <c r="R1170" i="10" s="1"/>
  <c r="S1170" i="10" s="1"/>
  <c r="R290" i="10" a="1"/>
  <c r="R290" i="10" s="1"/>
  <c r="S290" i="10" s="1"/>
  <c r="R279" i="10" a="1"/>
  <c r="R279" i="10" s="1"/>
  <c r="S279" i="10" s="1"/>
  <c r="R719" i="10" a="1"/>
  <c r="R719" i="10" s="1"/>
  <c r="S719" i="10" s="1"/>
  <c r="R1052" i="10" a="1"/>
  <c r="R1052" i="10" s="1"/>
  <c r="S1052" i="10" s="1"/>
  <c r="R186" i="10" a="1"/>
  <c r="R186" i="10" s="1"/>
  <c r="S186" i="10" s="1"/>
  <c r="R635" i="10" a="1"/>
  <c r="R635" i="10" s="1"/>
  <c r="S635" i="10" s="1"/>
  <c r="R703" i="10" a="1"/>
  <c r="R703" i="10" s="1"/>
  <c r="S703" i="10" s="1"/>
  <c r="R63" i="10" a="1"/>
  <c r="R63" i="10" s="1"/>
  <c r="S63" i="10" s="1"/>
  <c r="R1127" i="10" a="1"/>
  <c r="R1127" i="10" s="1"/>
  <c r="S1127" i="10" s="1"/>
  <c r="R863" i="10" a="1"/>
  <c r="R863" i="10" s="1"/>
  <c r="S863" i="10" s="1"/>
  <c r="R25" i="10" a="1"/>
  <c r="R25" i="10" s="1"/>
  <c r="S25" i="10" s="1"/>
  <c r="R565" i="10" a="1"/>
  <c r="R565" i="10" s="1"/>
  <c r="S565" i="10" s="1"/>
  <c r="R1002" i="10" a="1"/>
  <c r="R1002" i="10" s="1"/>
  <c r="S1002" i="10" s="1"/>
  <c r="R148" i="10" a="1"/>
  <c r="R148" i="10" s="1"/>
  <c r="S148" i="10" s="1"/>
  <c r="R362" i="10" a="1"/>
  <c r="R362" i="10" s="1"/>
  <c r="S362" i="10" s="1"/>
  <c r="R977" i="10" a="1"/>
  <c r="R977" i="10" s="1"/>
  <c r="S977" i="10" s="1"/>
  <c r="R657" i="10" a="1"/>
  <c r="R657" i="10" s="1"/>
  <c r="S657" i="10" s="1"/>
  <c r="R78" i="10" a="1"/>
  <c r="R78" i="10" s="1"/>
  <c r="S78" i="10" s="1"/>
  <c r="R570" i="10" a="1"/>
  <c r="R570" i="10" s="1"/>
  <c r="S570" i="10" s="1"/>
  <c r="R1110" i="10" a="1"/>
  <c r="R1110" i="10" s="1"/>
  <c r="S1110" i="10" s="1"/>
  <c r="R463" i="10" a="1"/>
  <c r="R463" i="10" s="1"/>
  <c r="S463" i="10" s="1"/>
  <c r="R1019" i="10" a="1"/>
  <c r="R1019" i="10" s="1"/>
  <c r="S1019" i="10" s="1"/>
  <c r="R452" i="10" a="1"/>
  <c r="R452" i="10" s="1"/>
  <c r="S452" i="10" s="1"/>
  <c r="R1084" i="10" a="1"/>
  <c r="R1084" i="10" s="1"/>
  <c r="S1084" i="10" s="1"/>
  <c r="R920" i="10" a="1"/>
  <c r="R920" i="10" s="1"/>
  <c r="S920" i="10" s="1"/>
  <c r="R939" i="10" a="1"/>
  <c r="R939" i="10" s="1"/>
  <c r="S939" i="10" s="1"/>
  <c r="R1009" i="10" a="1"/>
  <c r="R1009" i="10" s="1"/>
  <c r="S1009" i="10" s="1"/>
  <c r="R444" i="10" a="1"/>
  <c r="R444" i="10" s="1"/>
  <c r="S444" i="10" s="1"/>
  <c r="R984" i="10" a="1"/>
  <c r="R984" i="10" s="1"/>
  <c r="S984" i="10" s="1"/>
  <c r="R607" i="10" a="1"/>
  <c r="R607" i="10" s="1"/>
  <c r="S607" i="10" s="1"/>
  <c r="R56" i="10" a="1"/>
  <c r="R56" i="10" s="1"/>
  <c r="S56" i="10" s="1"/>
  <c r="R532" i="10" a="1"/>
  <c r="R532" i="10" s="1"/>
  <c r="S532" i="10" s="1"/>
  <c r="R1072" i="10" a="1"/>
  <c r="R1072" i="10" s="1"/>
  <c r="S1072" i="10" s="1"/>
  <c r="R309" i="10" a="1"/>
  <c r="R309" i="10" s="1"/>
  <c r="S309" i="10" s="1"/>
  <c r="R769" i="10" a="1"/>
  <c r="R769" i="10" s="1"/>
  <c r="S769" i="10" s="1"/>
  <c r="R190" i="10" a="1"/>
  <c r="R190" i="10" s="1"/>
  <c r="S190" i="10" s="1"/>
  <c r="R746" i="10" a="1"/>
  <c r="R746" i="10" s="1"/>
  <c r="S746" i="10" s="1"/>
  <c r="R179" i="10" a="1"/>
  <c r="R179" i="10" s="1"/>
  <c r="S179" i="10" s="1"/>
  <c r="R370" i="10" a="1"/>
  <c r="R370" i="10" s="1"/>
  <c r="S370" i="10" s="1"/>
  <c r="R50" i="10" a="1"/>
  <c r="R50" i="10" s="1"/>
  <c r="S50" i="10" s="1"/>
  <c r="R590" i="10" a="1"/>
  <c r="R590" i="10" s="1"/>
  <c r="S590" i="10" s="1"/>
  <c r="R1082" i="10" a="1"/>
  <c r="R1082" i="10" s="1"/>
  <c r="S1082" i="10" s="1"/>
  <c r="R515" i="10" a="1"/>
  <c r="R515" i="10" s="1"/>
  <c r="S515" i="10" s="1"/>
  <c r="R975" i="10" a="1"/>
  <c r="R975" i="10" s="1"/>
  <c r="S975" i="10" s="1"/>
  <c r="R424" i="10" a="1"/>
  <c r="R424" i="10" s="1"/>
  <c r="S424" i="10" s="1"/>
  <c r="R964" i="10" a="1"/>
  <c r="R964" i="10" s="1"/>
  <c r="S964" i="10" s="1"/>
  <c r="R988" i="10" a="1"/>
  <c r="R988" i="10" s="1"/>
  <c r="S988" i="10" s="1"/>
  <c r="R209" i="10" a="1"/>
  <c r="R209" i="10" s="1"/>
  <c r="S209" i="10" s="1"/>
  <c r="R735" i="10" a="1"/>
  <c r="R735" i="10" s="1"/>
  <c r="S735" i="10" s="1"/>
  <c r="R184" i="10" a="1"/>
  <c r="R184" i="10" s="1"/>
  <c r="S184" i="10" s="1"/>
  <c r="R660" i="10" a="1"/>
  <c r="R660" i="10" s="1"/>
  <c r="S660" i="10" s="1"/>
  <c r="R1151" i="10" a="1"/>
  <c r="R1151" i="10" s="1"/>
  <c r="S1151" i="10" s="1"/>
  <c r="R437" i="10" a="1"/>
  <c r="R437" i="10" s="1"/>
  <c r="S437" i="10" s="1"/>
  <c r="R897" i="10" a="1"/>
  <c r="R897" i="10" s="1"/>
  <c r="S897" i="10" s="1"/>
  <c r="R318" i="10" a="1"/>
  <c r="R318" i="10" s="1"/>
  <c r="S318" i="10" s="1"/>
  <c r="R651" i="10" a="1"/>
  <c r="R651" i="10" s="1"/>
  <c r="S651" i="10" s="1"/>
  <c r="R560" i="10" a="1"/>
  <c r="R560" i="10" s="1"/>
  <c r="S560" i="10" s="1"/>
  <c r="R257" i="10" a="1"/>
  <c r="R257" i="10" s="1"/>
  <c r="S257" i="10" s="1"/>
  <c r="R234" i="10" a="1"/>
  <c r="R234" i="10" s="1"/>
  <c r="S234" i="10" s="1"/>
  <c r="R383" i="10" a="1"/>
  <c r="R383" i="10" s="1"/>
  <c r="S383" i="10" s="1"/>
  <c r="R1020" i="10" a="1"/>
  <c r="R1020" i="10" s="1"/>
  <c r="S1020" i="10" s="1"/>
  <c r="R767" i="10" a="1"/>
  <c r="R767" i="10" s="1"/>
  <c r="S767" i="10" s="1"/>
  <c r="R1041" i="10" a="1"/>
  <c r="R1041" i="10" s="1"/>
  <c r="S1041" i="10" s="1"/>
  <c r="R954" i="10" a="1"/>
  <c r="R954" i="10" s="1"/>
  <c r="S954" i="10" s="1"/>
  <c r="R296" i="10" a="1"/>
  <c r="R296" i="10" s="1"/>
  <c r="S296" i="10" s="1"/>
  <c r="R73" i="10" a="1"/>
  <c r="R73" i="10" s="1"/>
  <c r="S73" i="10" s="1"/>
  <c r="R543" i="10" a="1"/>
  <c r="R543" i="10" s="1"/>
  <c r="S543" i="10" s="1"/>
  <c r="R401" i="10" a="1"/>
  <c r="R401" i="10" s="1"/>
  <c r="S401" i="10" s="1"/>
  <c r="R314" i="10" a="1"/>
  <c r="R314" i="10" s="1"/>
  <c r="S314" i="10" s="1"/>
  <c r="R207" i="10" a="1"/>
  <c r="R207" i="10" s="1"/>
  <c r="S207" i="10" s="1"/>
  <c r="R196" i="10" a="1"/>
  <c r="R196" i="10" s="1"/>
  <c r="S196" i="10" s="1"/>
  <c r="R718" i="10" a="1"/>
  <c r="R718" i="10" s="1"/>
  <c r="S718" i="10" s="1"/>
  <c r="R643" i="10" a="1"/>
  <c r="R643" i="10" s="1"/>
  <c r="S643" i="10" s="1"/>
  <c r="R552" i="10" a="1"/>
  <c r="R552" i="10" s="1"/>
  <c r="S552" i="10" s="1"/>
  <c r="R127" i="10" a="1"/>
  <c r="R127" i="10" s="1"/>
  <c r="S127" i="10" s="1"/>
  <c r="R124" i="10" a="1"/>
  <c r="R124" i="10" s="1"/>
  <c r="S124" i="10" s="1"/>
  <c r="R796" i="10" a="1"/>
  <c r="R796" i="10" s="1"/>
  <c r="S796" i="10" s="1"/>
  <c r="R1049" i="10" a="1"/>
  <c r="R1049" i="10" s="1"/>
  <c r="S1049" i="10" s="1"/>
  <c r="R379" i="10" a="1"/>
  <c r="R379" i="10" s="1"/>
  <c r="S379" i="10" s="1"/>
  <c r="R626" i="10" a="1"/>
  <c r="R626" i="10" s="1"/>
  <c r="S626" i="10" s="1"/>
  <c r="R156" i="10" a="1"/>
  <c r="R156" i="10" s="1"/>
  <c r="S156" i="10" s="1"/>
  <c r="R409" i="10" a="1"/>
  <c r="R409" i="10" s="1"/>
  <c r="S409" i="10" s="1"/>
  <c r="R830" i="10" a="1"/>
  <c r="R830" i="10" s="1"/>
  <c r="S830" i="10" s="1"/>
  <c r="R334" i="10" a="1"/>
  <c r="R334" i="10" s="1"/>
  <c r="S334" i="10" s="1"/>
  <c r="R749" i="10" a="1"/>
  <c r="R749" i="10" s="1"/>
  <c r="S749" i="10" s="1"/>
  <c r="R726" i="10" a="1"/>
  <c r="R726" i="10" s="1"/>
  <c r="S726" i="10" s="1"/>
  <c r="R68" i="10" a="1"/>
  <c r="R68" i="10" s="1"/>
  <c r="S68" i="10" s="1"/>
  <c r="R959" i="10" a="1"/>
  <c r="R959" i="10" s="1"/>
  <c r="S959" i="10" s="1"/>
  <c r="R945" i="10" a="1"/>
  <c r="R945" i="10" s="1"/>
  <c r="S945" i="10" s="1"/>
  <c r="R312" i="10" a="1"/>
  <c r="R312" i="10" s="1"/>
  <c r="S312" i="10" s="1"/>
  <c r="R446" i="10" a="1"/>
  <c r="R446" i="10" s="1"/>
  <c r="S446" i="10" s="1"/>
  <c r="R721" i="10" a="1"/>
  <c r="R721" i="10" s="1"/>
  <c r="S721" i="10" s="1"/>
  <c r="R223" i="10" a="1"/>
  <c r="R223" i="10" s="1"/>
  <c r="S223" i="10" s="1"/>
  <c r="R688" i="10" a="1"/>
  <c r="R688" i="10" s="1"/>
  <c r="S688" i="10" s="1"/>
  <c r="R925" i="10" a="1"/>
  <c r="R925" i="10" s="1"/>
  <c r="S925" i="10" s="1"/>
  <c r="R732" i="10" a="1"/>
  <c r="R732" i="10" s="1"/>
  <c r="S732" i="10" s="1"/>
  <c r="R1168" i="10" a="1"/>
  <c r="R1168" i="10" s="1"/>
  <c r="S1168" i="10" s="1"/>
  <c r="R412" i="10" a="1"/>
  <c r="R412" i="10" s="1"/>
  <c r="S412" i="10" s="1"/>
  <c r="R952" i="10" a="1"/>
  <c r="R952" i="10" s="1"/>
  <c r="S952" i="10" s="1"/>
  <c r="R109" i="10" a="1"/>
  <c r="R109" i="10" s="1"/>
  <c r="S109" i="10" s="1"/>
  <c r="R665" i="10" a="1"/>
  <c r="R665" i="10" s="1"/>
  <c r="S665" i="10" s="1"/>
  <c r="R86" i="10" a="1"/>
  <c r="R86" i="10" s="1"/>
  <c r="S86" i="10" s="1"/>
  <c r="R546" i="10" a="1"/>
  <c r="R546" i="10" s="1"/>
  <c r="S546" i="10" s="1"/>
  <c r="R1086" i="10" a="1"/>
  <c r="R1086" i="10" s="1"/>
  <c r="S1086" i="10" s="1"/>
  <c r="R535" i="10" a="1"/>
  <c r="R535" i="10" s="1"/>
  <c r="S535" i="10" s="1"/>
  <c r="R722" i="10" a="1"/>
  <c r="R722" i="10" s="1"/>
  <c r="S722" i="10" s="1"/>
  <c r="R316" i="10" a="1"/>
  <c r="R316" i="10" s="1"/>
  <c r="S316" i="10" s="1"/>
  <c r="R764" i="10" a="1"/>
  <c r="R764" i="10" s="1"/>
  <c r="S764" i="10" s="1"/>
  <c r="R1153" i="10" a="1"/>
  <c r="R1153" i="10" s="1"/>
  <c r="S1153" i="10" s="1"/>
  <c r="R511" i="10" a="1"/>
  <c r="R511" i="10" s="1"/>
  <c r="S511" i="10" s="1"/>
  <c r="R1067" i="10" a="1"/>
  <c r="R1067" i="10" s="1"/>
  <c r="S1067" i="10" s="1"/>
  <c r="R690" i="10" a="1"/>
  <c r="R690" i="10" s="1"/>
  <c r="S690" i="10" s="1"/>
  <c r="R139" i="10" a="1"/>
  <c r="R139" i="10" s="1"/>
  <c r="S139" i="10" s="1"/>
  <c r="R615" i="10" a="1"/>
  <c r="R615" i="10" s="1"/>
  <c r="S615" i="10" s="1"/>
  <c r="R48" i="10" a="1"/>
  <c r="R48" i="10" s="1"/>
  <c r="S48" i="10" s="1"/>
  <c r="R524" i="10" a="1"/>
  <c r="R524" i="10" s="1"/>
  <c r="S524" i="10" s="1"/>
  <c r="R1064" i="10" a="1"/>
  <c r="R1064" i="10" s="1"/>
  <c r="S1064" i="10" s="1"/>
  <c r="R285" i="10" a="1"/>
  <c r="R285" i="10" s="1"/>
  <c r="S285" i="10" s="1"/>
  <c r="R841" i="10" a="1"/>
  <c r="R841" i="10" s="1"/>
  <c r="S841" i="10" s="1"/>
  <c r="R1140" i="10" a="1"/>
  <c r="R1140" i="10" s="1"/>
  <c r="S1140" i="10" s="1"/>
  <c r="R465" i="10" a="1"/>
  <c r="R465" i="10" s="1"/>
  <c r="S465" i="10" s="1"/>
  <c r="R924" i="10" a="1"/>
  <c r="R924" i="10" s="1"/>
  <c r="S924" i="10" s="1"/>
  <c r="R145" i="10" a="1"/>
  <c r="R145" i="10" s="1"/>
  <c r="S145" i="10" s="1"/>
  <c r="R621" i="10" a="1"/>
  <c r="R621" i="10" s="1"/>
  <c r="S621" i="10" s="1"/>
  <c r="R58" i="10" a="1"/>
  <c r="R58" i="10" s="1"/>
  <c r="S58" i="10" s="1"/>
  <c r="R598" i="10" a="1"/>
  <c r="R598" i="10" s="1"/>
  <c r="S598" i="10" s="1"/>
  <c r="R1058" i="10" a="1"/>
  <c r="R1058" i="10" s="1"/>
  <c r="S1058" i="10" s="1"/>
  <c r="R507" i="10" a="1"/>
  <c r="R507" i="10" s="1"/>
  <c r="S507" i="10" s="1"/>
  <c r="R1047" i="10" a="1"/>
  <c r="R1047" i="10" s="1"/>
  <c r="S1047" i="10" s="1"/>
  <c r="R1055" i="10" a="1"/>
  <c r="R1055" i="10" s="1"/>
  <c r="S1055" i="10" s="1"/>
  <c r="R504" i="10" a="1"/>
  <c r="R504" i="10" s="1"/>
  <c r="S504" i="10" s="1"/>
  <c r="R818" i="10" a="1"/>
  <c r="R818" i="10" s="1"/>
  <c r="S818" i="10" s="1"/>
  <c r="R267" i="10" a="1"/>
  <c r="R267" i="10" s="1"/>
  <c r="S267" i="10" s="1"/>
  <c r="R743" i="10" a="1"/>
  <c r="R743" i="10" s="1"/>
  <c r="S743" i="10" s="1"/>
  <c r="R176" i="10" a="1"/>
  <c r="R176" i="10" s="1"/>
  <c r="S176" i="10" s="1"/>
  <c r="R652" i="10" a="1"/>
  <c r="R652" i="10" s="1"/>
  <c r="S652" i="10" s="1"/>
  <c r="R1143" i="10" a="1"/>
  <c r="R1143" i="10" s="1"/>
  <c r="S1143" i="10" s="1"/>
  <c r="R413" i="10" a="1"/>
  <c r="R413" i="10" s="1"/>
  <c r="S413" i="10" s="1"/>
  <c r="R329" i="10" a="1"/>
  <c r="R329" i="10" s="1"/>
  <c r="S329" i="10" s="1"/>
  <c r="R536" i="10" a="1"/>
  <c r="R536" i="10" s="1"/>
  <c r="S536" i="10" s="1"/>
  <c r="R493" i="10" a="1"/>
  <c r="R493" i="10" s="1"/>
  <c r="S493" i="10" s="1"/>
  <c r="R470" i="10" a="1"/>
  <c r="R470" i="10" s="1"/>
  <c r="S470" i="10" s="1"/>
  <c r="R919" i="10" a="1"/>
  <c r="R919" i="10" s="1"/>
  <c r="S919" i="10" s="1"/>
  <c r="R696" i="10" a="1"/>
  <c r="R696" i="10" s="1"/>
  <c r="S696" i="10" s="1"/>
  <c r="R949" i="10" a="1"/>
  <c r="R949" i="10" s="1"/>
  <c r="S949" i="10" s="1"/>
  <c r="R259" i="10" a="1"/>
  <c r="R259" i="10" s="1"/>
  <c r="S259" i="10" s="1"/>
  <c r="R1162" i="10" a="1"/>
  <c r="R1162" i="10" s="1"/>
  <c r="S1162" i="10" s="1"/>
  <c r="R632" i="10" a="1"/>
  <c r="R632" i="10" s="1"/>
  <c r="S632" i="10" s="1"/>
  <c r="R92" i="10" a="1"/>
  <c r="R92" i="10" s="1"/>
  <c r="S92" i="10" s="1"/>
  <c r="R1053" i="10" a="1"/>
  <c r="R1053" i="10" s="1"/>
  <c r="S1053" i="10" s="1"/>
  <c r="R53" i="10" a="1"/>
  <c r="R53" i="10" s="1"/>
  <c r="S53" i="10" s="1"/>
  <c r="R442" i="10" a="1"/>
  <c r="R442" i="10" s="1"/>
  <c r="S442" i="10" s="1"/>
  <c r="R529" i="10" a="1"/>
  <c r="R529" i="10" s="1"/>
  <c r="S529" i="10" s="1"/>
  <c r="R811" i="10" a="1"/>
  <c r="R811" i="10" s="1"/>
  <c r="S811" i="10" s="1"/>
  <c r="R255" i="10" a="1"/>
  <c r="R255" i="10" s="1"/>
  <c r="S255" i="10" s="1"/>
  <c r="R658" i="10" a="1"/>
  <c r="R658" i="10" s="1"/>
  <c r="S658" i="10" s="1"/>
  <c r="R88" i="10" a="1"/>
  <c r="R88" i="10" s="1"/>
  <c r="S88" i="10" s="1"/>
  <c r="R1146" i="10" a="1"/>
  <c r="R1146" i="10" s="1"/>
  <c r="S1146" i="10" s="1"/>
  <c r="R1106" i="10" a="1"/>
  <c r="R1106" i="10" s="1"/>
  <c r="S1106" i="10" s="1"/>
  <c r="R792" i="10" a="1"/>
  <c r="R792" i="10" s="1"/>
  <c r="S792" i="10" s="1"/>
  <c r="R252" i="10" a="1"/>
  <c r="R252" i="10" s="1"/>
  <c r="S252" i="10" s="1"/>
  <c r="R639" i="10" a="1"/>
  <c r="R639" i="10" s="1"/>
  <c r="S639" i="10" s="1"/>
  <c r="R817" i="10" a="1"/>
  <c r="R817" i="10" s="1"/>
  <c r="S817" i="10" s="1"/>
  <c r="R1030" i="10" a="1"/>
  <c r="R1030" i="10" s="1"/>
  <c r="S1030" i="10" s="1"/>
  <c r="R407" i="10" a="1"/>
  <c r="R407" i="10" s="1"/>
  <c r="S407" i="10" s="1"/>
  <c r="R418" i="10" a="1"/>
  <c r="R418" i="10" s="1"/>
  <c r="S418" i="10" s="1"/>
  <c r="R359" i="10" a="1"/>
  <c r="R359" i="10" s="1"/>
  <c r="S359" i="10" s="1"/>
  <c r="R351" i="10" a="1"/>
  <c r="R351" i="10" s="1"/>
  <c r="S351" i="10" s="1"/>
  <c r="R466" i="10" a="1"/>
  <c r="R466" i="10" s="1"/>
  <c r="S466" i="10" s="1"/>
  <c r="R575" i="10" a="1"/>
  <c r="R575" i="10" s="1"/>
  <c r="S575" i="10" s="1"/>
  <c r="R450" i="10" a="1"/>
  <c r="R450" i="10" s="1"/>
  <c r="S450" i="10" s="1"/>
  <c r="R1045" i="10" a="1"/>
  <c r="R1045" i="10" s="1"/>
  <c r="S1045" i="10" s="1"/>
  <c r="R761" i="10" a="1"/>
  <c r="R761" i="10" s="1"/>
  <c r="S761" i="10" s="1"/>
  <c r="R269" i="10" a="1"/>
  <c r="R269" i="10" s="1"/>
  <c r="S269" i="10" s="1"/>
  <c r="R262" i="10" a="1"/>
  <c r="R262" i="10" s="1"/>
  <c r="S262" i="10" s="1"/>
  <c r="R192" i="10" a="1"/>
  <c r="R192" i="10" s="1"/>
  <c r="S192" i="10" s="1"/>
  <c r="R759" i="10" a="1"/>
  <c r="R759" i="10" s="1"/>
  <c r="S759" i="10" s="1"/>
  <c r="R219" i="10" a="1"/>
  <c r="R219" i="10" s="1"/>
  <c r="S219" i="10" s="1"/>
  <c r="R770" i="10" a="1"/>
  <c r="R770" i="10" s="1"/>
  <c r="S770" i="10" s="1"/>
  <c r="R246" i="10" a="1"/>
  <c r="R246" i="10" s="1"/>
  <c r="S246" i="10" s="1"/>
  <c r="R825" i="10" a="1"/>
  <c r="R825" i="10" s="1"/>
  <c r="S825" i="10" s="1"/>
  <c r="R333" i="10" a="1"/>
  <c r="R333" i="10" s="1"/>
  <c r="S333" i="10" s="1"/>
  <c r="R326" i="10" a="1"/>
  <c r="R326" i="10" s="1"/>
  <c r="S326" i="10" s="1"/>
  <c r="R905" i="10" a="1"/>
  <c r="R905" i="10" s="1"/>
  <c r="S905" i="10" s="1"/>
  <c r="R349" i="10" a="1"/>
  <c r="R349" i="10" s="1"/>
  <c r="S349" i="10" s="1"/>
  <c r="R1126" i="10" a="1"/>
  <c r="R1126" i="10" s="1"/>
  <c r="S1126" i="10" s="1"/>
  <c r="R588" i="10" a="1"/>
  <c r="R588" i="10" s="1"/>
  <c r="S588" i="10" s="1"/>
  <c r="R112" i="10" a="1"/>
  <c r="R112" i="10" s="1"/>
  <c r="S112" i="10" s="1"/>
  <c r="R679" i="10" a="1"/>
  <c r="R679" i="10" s="1"/>
  <c r="S679" i="10" s="1"/>
  <c r="R203" i="10" a="1"/>
  <c r="R203" i="10" s="1"/>
  <c r="S203" i="10" s="1"/>
  <c r="R754" i="10" a="1"/>
  <c r="R754" i="10" s="1"/>
  <c r="S754" i="10" s="1"/>
  <c r="R782" i="10" a="1"/>
  <c r="R782" i="10" s="1"/>
  <c r="S782" i="10" s="1"/>
  <c r="R242" i="10" a="1"/>
  <c r="R242" i="10" s="1"/>
  <c r="S242" i="10" s="1"/>
  <c r="R585" i="10" a="1"/>
  <c r="R585" i="10" s="1"/>
  <c r="S585" i="10" s="1"/>
  <c r="R513" i="10" a="1"/>
  <c r="R513" i="10" s="1"/>
  <c r="S513" i="10" s="1"/>
  <c r="R899" i="10" a="1"/>
  <c r="R899" i="10" s="1"/>
  <c r="S899" i="10" s="1"/>
  <c r="R1005" i="10" a="1"/>
  <c r="R1005" i="10" s="1"/>
  <c r="S1005" i="10" s="1"/>
  <c r="R284" i="10" a="1"/>
  <c r="R284" i="10" s="1"/>
  <c r="S284" i="10" s="1"/>
  <c r="R433" i="10" a="1"/>
  <c r="R433" i="10" s="1"/>
  <c r="S433" i="10" s="1"/>
  <c r="R24" i="10" a="1"/>
  <c r="R24" i="10" s="1"/>
  <c r="S24" i="10" s="1"/>
  <c r="R1112" i="10" a="1"/>
  <c r="R1112" i="10" s="1"/>
  <c r="S1112" i="10" s="1"/>
  <c r="R177" i="10" a="1"/>
  <c r="R177" i="10" s="1"/>
  <c r="S177" i="10" s="1"/>
  <c r="R402" i="10" a="1"/>
  <c r="R402" i="10" s="1"/>
  <c r="S402" i="10" s="1"/>
  <c r="R600" i="10" a="1"/>
  <c r="R600" i="10" s="1"/>
  <c r="S600" i="10" s="1"/>
  <c r="R881" i="10" a="1"/>
  <c r="R881" i="10" s="1"/>
  <c r="S881" i="10" s="1"/>
  <c r="R369" i="10" a="1"/>
  <c r="R369" i="10" s="1"/>
  <c r="S369" i="10" s="1"/>
  <c r="R958" i="10" a="1"/>
  <c r="R958" i="10" s="1"/>
  <c r="S958" i="10" s="1"/>
  <c r="R974" i="10" a="1"/>
  <c r="R974" i="10" s="1"/>
  <c r="S974" i="10" s="1"/>
  <c r="R210" i="10" a="1"/>
  <c r="R210" i="10" s="1"/>
  <c r="S210" i="10" s="1"/>
  <c r="R867" i="10" a="1"/>
  <c r="R867" i="10" s="1"/>
  <c r="S867" i="10" s="1"/>
  <c r="R358" i="10" a="1"/>
  <c r="R358" i="10" s="1"/>
  <c r="S358" i="10" s="1"/>
  <c r="R381" i="10" a="1"/>
  <c r="R381" i="10" s="1"/>
  <c r="S381" i="10" s="1"/>
  <c r="R620" i="10" a="1"/>
  <c r="R620" i="10" s="1"/>
  <c r="S620" i="10" s="1"/>
  <c r="R647" i="10" a="1"/>
  <c r="R647" i="10" s="1"/>
  <c r="S647" i="10" s="1"/>
  <c r="R160" i="10" a="1"/>
  <c r="R160" i="10" s="1"/>
  <c r="S160" i="10" s="1"/>
  <c r="R187" i="10" a="1"/>
  <c r="R187" i="10" s="1"/>
  <c r="S187" i="10" s="1"/>
  <c r="R278" i="10" a="1"/>
  <c r="R278" i="10" s="1"/>
  <c r="S278" i="10" s="1"/>
  <c r="R301" i="10" a="1"/>
  <c r="R301" i="10" s="1"/>
  <c r="S301" i="10" s="1"/>
  <c r="R604" i="10" a="1"/>
  <c r="R604" i="10" s="1"/>
  <c r="S604" i="10" s="1"/>
  <c r="R1116" i="10" a="1"/>
  <c r="R1116" i="10" s="1"/>
  <c r="S1116" i="10" s="1"/>
  <c r="R337" i="10" a="1"/>
  <c r="R337" i="10" s="1"/>
  <c r="S337" i="10" s="1"/>
  <c r="R891" i="10" a="1"/>
  <c r="R891" i="10" s="1"/>
  <c r="S891" i="10" s="1"/>
  <c r="R1077" i="10" a="1"/>
  <c r="R1077" i="10" s="1"/>
  <c r="S1077" i="10" s="1"/>
  <c r="R276" i="10" a="1"/>
  <c r="R276" i="10" s="1"/>
  <c r="S276" i="10" s="1"/>
  <c r="R434" i="10" a="1"/>
  <c r="R434" i="10" s="1"/>
  <c r="S434" i="10" s="1"/>
  <c r="R728" i="10" a="1"/>
  <c r="R728" i="10" s="1"/>
  <c r="S728" i="10" s="1"/>
  <c r="R1163" i="10" a="1"/>
  <c r="R1163" i="10" s="1"/>
  <c r="S1163" i="10" s="1"/>
  <c r="R1141" i="10" a="1"/>
  <c r="R1141" i="10" s="1"/>
  <c r="S1141" i="10" s="1"/>
  <c r="R572" i="10" a="1"/>
  <c r="R572" i="10" s="1"/>
  <c r="S572" i="10" s="1"/>
  <c r="R472" i="10" a="1"/>
  <c r="R472" i="10" s="1"/>
  <c r="S472" i="10" s="1"/>
  <c r="R1023" i="10" a="1"/>
  <c r="R1023" i="10" s="1"/>
  <c r="S1023" i="10" s="1"/>
  <c r="R497" i="10" a="1"/>
  <c r="R497" i="10" s="1"/>
  <c r="S497" i="10" s="1"/>
  <c r="R1125" i="10" a="1"/>
  <c r="R1125" i="10" s="1"/>
  <c r="S1125" i="10" s="1"/>
  <c r="R152" i="10" a="1"/>
  <c r="R152" i="10" s="1"/>
  <c r="S152" i="10" s="1"/>
  <c r="R895" i="10" a="1"/>
  <c r="R895" i="10" s="1"/>
  <c r="S895" i="10" s="1"/>
  <c r="R947" i="10" a="1"/>
  <c r="R947" i="10" s="1"/>
  <c r="S947" i="10" s="1"/>
  <c r="R29" i="10" a="1"/>
  <c r="R29" i="10" s="1"/>
  <c r="S29" i="10" s="1"/>
  <c r="R268" i="10" a="1"/>
  <c r="R268" i="10" s="1"/>
  <c r="S268" i="10" s="1"/>
  <c r="R1149" i="10" a="1"/>
  <c r="R1149" i="10" s="1"/>
  <c r="S1149" i="10" s="1"/>
  <c r="R188" i="10" a="1"/>
  <c r="R188" i="10" s="1"/>
  <c r="S188" i="10" s="1"/>
  <c r="R408" i="10" a="1"/>
  <c r="R408" i="10" s="1"/>
  <c r="S408" i="10" s="1"/>
  <c r="R367" i="10" a="1"/>
  <c r="R367" i="10" s="1"/>
  <c r="S367" i="10" s="1"/>
  <c r="R950" i="10" a="1"/>
  <c r="R950" i="10" s="1"/>
  <c r="S950" i="10" s="1"/>
  <c r="R666" i="10" a="1"/>
  <c r="R666" i="10" s="1"/>
  <c r="S666" i="10" s="1"/>
  <c r="R174" i="10" a="1"/>
  <c r="R174" i="10" s="1"/>
  <c r="S174" i="10" s="1"/>
  <c r="R453" i="10" a="1"/>
  <c r="R453" i="10" s="1"/>
  <c r="S453" i="10" s="1"/>
  <c r="R1167" i="10" a="1"/>
  <c r="R1167" i="10" s="1"/>
  <c r="S1167" i="10" s="1"/>
  <c r="R676" i="10" a="1"/>
  <c r="R676" i="10" s="1"/>
  <c r="S676" i="10" s="1"/>
  <c r="R136" i="10" a="1"/>
  <c r="R136" i="10" s="1"/>
  <c r="S136" i="10" s="1"/>
  <c r="R687" i="10" a="1"/>
  <c r="R687" i="10" s="1"/>
  <c r="S687" i="10" s="1"/>
  <c r="R163" i="10" a="1"/>
  <c r="R163" i="10" s="1"/>
  <c r="S163" i="10" s="1"/>
  <c r="R730" i="10" a="1"/>
  <c r="R730" i="10" s="1"/>
  <c r="S730" i="10" s="1"/>
  <c r="R238" i="10" a="1"/>
  <c r="R238" i="10" s="1"/>
  <c r="S238" i="10" s="1"/>
  <c r="R243" i="10" a="1"/>
  <c r="R243" i="10" s="1"/>
  <c r="S243" i="10" s="1"/>
  <c r="R810" i="10" a="1"/>
  <c r="R810" i="10" s="1"/>
  <c r="S810" i="10" s="1"/>
  <c r="R254" i="10" a="1"/>
  <c r="R254" i="10" s="1"/>
  <c r="S254" i="10" s="1"/>
  <c r="R833" i="10" a="1"/>
  <c r="R833" i="10" s="1"/>
  <c r="S833" i="10" s="1"/>
  <c r="R373" i="10" a="1"/>
  <c r="R373" i="10" s="1"/>
  <c r="S373" i="10" s="1"/>
  <c r="R1134" i="10" a="1"/>
  <c r="R1134" i="10" s="1"/>
  <c r="S1134" i="10" s="1"/>
  <c r="R596" i="10" a="1"/>
  <c r="R596" i="10" s="1"/>
  <c r="S596" i="10" s="1"/>
  <c r="R120" i="10" a="1"/>
  <c r="R120" i="10" s="1"/>
  <c r="S120" i="10" s="1"/>
  <c r="R671" i="10" a="1"/>
  <c r="R671" i="10" s="1"/>
  <c r="S671" i="10" s="1"/>
  <c r="R956" i="10" a="1"/>
  <c r="R956" i="10" s="1"/>
  <c r="S956" i="10" s="1"/>
  <c r="R864" i="10" a="1"/>
  <c r="R864" i="10" s="1"/>
  <c r="S864" i="10" s="1"/>
  <c r="R982" i="10" a="1"/>
  <c r="R982" i="10" s="1"/>
  <c r="S982" i="10" s="1"/>
  <c r="R753" i="10" a="1"/>
  <c r="R753" i="10" s="1"/>
  <c r="S753" i="10" s="1"/>
  <c r="R300" i="10" a="1"/>
  <c r="R300" i="10" s="1"/>
  <c r="S300" i="10" s="1"/>
  <c r="R583" i="10" a="1"/>
  <c r="R583" i="10" s="1"/>
  <c r="S583" i="10" s="1"/>
  <c r="R107" i="10" a="1"/>
  <c r="R107" i="10" s="1"/>
  <c r="S107" i="10" s="1"/>
  <c r="R937" i="10" a="1"/>
  <c r="R937" i="10" s="1"/>
  <c r="S937" i="10" s="1"/>
  <c r="R1158" i="10" a="1"/>
  <c r="R1158" i="10" s="1"/>
  <c r="S1158" i="10" s="1"/>
  <c r="R80" i="10" a="1"/>
  <c r="R80" i="10" s="1"/>
  <c r="S80" i="10" s="1"/>
  <c r="R171" i="10" a="1"/>
  <c r="R171" i="10" s="1"/>
  <c r="S171" i="10" s="1"/>
  <c r="R727" i="10" a="1"/>
  <c r="R727" i="10" s="1"/>
  <c r="S727" i="10" s="1"/>
  <c r="R738" i="10" a="1"/>
  <c r="R738" i="10" s="1"/>
  <c r="S738" i="10" s="1"/>
  <c r="R857" i="10" a="1"/>
  <c r="R857" i="10" s="1"/>
  <c r="S857" i="10" s="1"/>
  <c r="R1142" i="10" a="1"/>
  <c r="R1142" i="10" s="1"/>
  <c r="S1142" i="10" s="1"/>
  <c r="R715" i="10" a="1"/>
  <c r="R715" i="10" s="1"/>
  <c r="S715" i="10" s="1"/>
  <c r="R324" i="10" a="1"/>
  <c r="R324" i="10" s="1"/>
  <c r="S324" i="10" s="1"/>
  <c r="R335" i="10" a="1"/>
  <c r="R335" i="10" s="1"/>
  <c r="S335" i="10" s="1"/>
  <c r="R537" i="10" a="1"/>
  <c r="R537" i="10" s="1"/>
  <c r="S537" i="10" s="1"/>
  <c r="R530" i="10" a="1"/>
  <c r="R530" i="10" s="1"/>
  <c r="S530" i="10" s="1"/>
  <c r="R1048" i="10" a="1"/>
  <c r="R1048" i="10" s="1"/>
  <c r="S1048" i="10" s="1"/>
  <c r="R625" i="10" a="1"/>
  <c r="R625" i="10" s="1"/>
  <c r="S625" i="10" s="1"/>
  <c r="R875" i="10" a="1"/>
  <c r="R875" i="10" s="1"/>
  <c r="S875" i="10" s="1"/>
  <c r="R1073" i="10" a="1"/>
  <c r="R1073" i="10" s="1"/>
  <c r="S1073" i="10" s="1"/>
  <c r="R892" i="10" a="1"/>
  <c r="R892" i="10" s="1"/>
  <c r="S892" i="10" s="1"/>
  <c r="R808" i="10" a="1"/>
  <c r="R808" i="10" s="1"/>
  <c r="S808" i="10" s="1"/>
  <c r="R824" i="10" a="1"/>
  <c r="R824" i="10" s="1"/>
  <c r="S824" i="10" s="1"/>
  <c r="R274" i="10" a="1"/>
  <c r="R274" i="10" s="1"/>
  <c r="S274" i="10" s="1"/>
  <c r="R21" i="10" a="1"/>
  <c r="R21" i="10" s="1"/>
  <c r="S21" i="10" s="1"/>
  <c r="R500" i="10" a="1"/>
  <c r="R500" i="10" s="1"/>
  <c r="S500" i="10" s="1"/>
  <c r="R275" i="10" a="1"/>
  <c r="R275" i="10" s="1"/>
  <c r="S275" i="10" s="1"/>
  <c r="R286" i="10" a="1"/>
  <c r="R286" i="10" s="1"/>
  <c r="S286" i="10" s="1"/>
  <c r="R341" i="10" a="1"/>
  <c r="R341" i="10" s="1"/>
  <c r="S341" i="10" s="1"/>
  <c r="R564" i="10" a="1"/>
  <c r="R564" i="10" s="1"/>
  <c r="S564" i="10" s="1"/>
  <c r="R1135" i="10" a="1"/>
  <c r="R1135" i="10" s="1"/>
  <c r="S1135" i="10" s="1"/>
  <c r="R104" i="10" a="1"/>
  <c r="R104" i="10" s="1"/>
  <c r="S104" i="10" s="1"/>
  <c r="R195" i="10" a="1"/>
  <c r="R195" i="10" s="1"/>
  <c r="S195" i="10" s="1"/>
  <c r="R270" i="10" a="1"/>
  <c r="R270" i="10" s="1"/>
  <c r="S270" i="10" s="1"/>
  <c r="R159" i="10" a="1"/>
  <c r="R159" i="10" s="1"/>
  <c r="S159" i="10" s="1"/>
  <c r="R907" i="10" a="1"/>
  <c r="R907" i="10" s="1"/>
  <c r="S907" i="10" s="1"/>
  <c r="R338" i="10" a="1"/>
  <c r="R338" i="10" s="1"/>
  <c r="S338" i="10" s="1"/>
  <c r="R60" i="10" a="1"/>
  <c r="R60" i="10" s="1"/>
  <c r="S60" i="10" s="1"/>
  <c r="R82" i="10" a="1"/>
  <c r="R82" i="10" s="1"/>
  <c r="S82" i="10" s="1"/>
  <c r="R319" i="10" a="1"/>
  <c r="R319" i="10" s="1"/>
  <c r="S319" i="10" s="1"/>
  <c r="R636" i="10" a="1"/>
  <c r="R636" i="10" s="1"/>
  <c r="S636" i="10" s="1"/>
  <c r="R490" i="10" a="1"/>
  <c r="R490" i="10" s="1"/>
  <c r="S490" i="10" s="1"/>
  <c r="R816" i="10" a="1"/>
  <c r="R816" i="10" s="1"/>
  <c r="S816" i="10" s="1"/>
  <c r="R508" i="10" a="1"/>
  <c r="R508" i="10" s="1"/>
  <c r="S508" i="10" s="1"/>
  <c r="R1040" i="10" a="1"/>
  <c r="R1040" i="10" s="1"/>
  <c r="S1040" i="10" s="1"/>
  <c r="R357" i="10" a="1"/>
  <c r="R357" i="10" s="1"/>
  <c r="S357" i="10" s="1"/>
  <c r="R842" i="10" a="1"/>
  <c r="R842" i="10" s="1"/>
  <c r="S842" i="10" s="1"/>
  <c r="R865" i="10" a="1"/>
  <c r="R865" i="10" s="1"/>
  <c r="S865" i="10" s="1"/>
  <c r="R1104" i="10" a="1"/>
  <c r="R1104" i="10" s="1"/>
  <c r="S1104" i="10" s="1"/>
  <c r="R421" i="10" a="1"/>
  <c r="R421" i="10" s="1"/>
  <c r="S421" i="10" s="1"/>
  <c r="R644" i="10" a="1"/>
  <c r="R644" i="10" s="1"/>
  <c r="S644" i="10" s="1"/>
  <c r="R655" i="10" a="1"/>
  <c r="R655" i="10" s="1"/>
  <c r="S655" i="10" s="1"/>
  <c r="R762" i="10" a="1"/>
  <c r="R762" i="10" s="1"/>
  <c r="S762" i="10" s="1"/>
  <c r="R849" i="10" a="1"/>
  <c r="R849" i="10" s="1"/>
  <c r="S849" i="10" s="1"/>
  <c r="R1105" i="10" a="1"/>
  <c r="R1105" i="10" s="1"/>
  <c r="S1105" i="10" s="1"/>
  <c r="R526" i="10" a="1"/>
  <c r="R526" i="10" s="1"/>
  <c r="S526" i="10" s="1"/>
  <c r="R1018" i="10" a="1"/>
  <c r="R1018" i="10" s="1"/>
  <c r="S1018" i="10" s="1"/>
  <c r="R844" i="10" a="1"/>
  <c r="R844" i="10" s="1"/>
  <c r="S844" i="10" s="1"/>
  <c r="R137" i="10" a="1"/>
  <c r="R137" i="10" s="1"/>
  <c r="S137" i="10" s="1"/>
  <c r="R419" i="10" a="1"/>
  <c r="R419" i="10" s="1"/>
  <c r="S419" i="10" s="1"/>
  <c r="R74" i="10" a="1"/>
  <c r="R74" i="10" s="1"/>
  <c r="S74" i="10" s="1"/>
  <c r="R1017" i="10" a="1"/>
  <c r="R1017" i="10" s="1"/>
  <c r="S1017" i="10" s="1"/>
  <c r="R155" i="10" a="1"/>
  <c r="R155" i="10" s="1"/>
  <c r="S155" i="10" s="1"/>
  <c r="R1132" i="10" a="1"/>
  <c r="R1132" i="10" s="1"/>
  <c r="S1132" i="10" s="1"/>
  <c r="R98" i="10" a="1"/>
  <c r="R98" i="10" s="1"/>
  <c r="S98" i="10" s="1"/>
  <c r="R627" i="10" a="1"/>
  <c r="R627" i="10" s="1"/>
  <c r="S627" i="10" s="1"/>
  <c r="R630" i="10" a="1"/>
  <c r="R630" i="10" s="1"/>
  <c r="S630" i="10" s="1"/>
  <c r="R202" i="10" a="1"/>
  <c r="R202" i="10" s="1"/>
  <c r="S202" i="10" s="1"/>
  <c r="R606" i="10" a="1"/>
  <c r="R606" i="10" s="1"/>
  <c r="S606" i="10" s="1"/>
  <c r="R545" i="10" a="1"/>
  <c r="R545" i="10" s="1"/>
  <c r="S545" i="10" s="1"/>
  <c r="R1085" i="10" a="1"/>
  <c r="R1085" i="10" s="1"/>
  <c r="S1085" i="10" s="1"/>
  <c r="R522" i="10" a="1"/>
  <c r="R522" i="10" s="1"/>
  <c r="S522" i="10" s="1"/>
  <c r="R1062" i="10" a="1"/>
  <c r="R1062" i="10" s="1"/>
  <c r="S1062" i="10" s="1"/>
  <c r="R685" i="10" a="1"/>
  <c r="R685" i="10" s="1"/>
  <c r="S685" i="10" s="1"/>
  <c r="R122" i="10" a="1"/>
  <c r="R122" i="10" s="1"/>
  <c r="S122" i="10" s="1"/>
  <c r="R662" i="10" a="1"/>
  <c r="R662" i="10" s="1"/>
  <c r="S662" i="10" s="1"/>
  <c r="R866" i="10" a="1"/>
  <c r="R866" i="10" s="1"/>
  <c r="S866" i="10" s="1"/>
  <c r="R315" i="10" a="1"/>
  <c r="R315" i="10" s="1"/>
  <c r="S315" i="10" s="1"/>
  <c r="R855" i="10" a="1"/>
  <c r="R855" i="10" s="1"/>
  <c r="S855" i="10" s="1"/>
  <c r="R288" i="10" a="1"/>
  <c r="R288" i="10" s="1"/>
  <c r="S288" i="10" s="1"/>
  <c r="R299" i="10" a="1"/>
  <c r="R299" i="10" s="1"/>
  <c r="S299" i="10" s="1"/>
  <c r="R775" i="10" a="1"/>
  <c r="R775" i="10" s="1"/>
  <c r="S775" i="10" s="1"/>
  <c r="R208" i="10" a="1"/>
  <c r="R208" i="10" s="1"/>
  <c r="S208" i="10" s="1"/>
  <c r="R748" i="10" a="1"/>
  <c r="R748" i="10" s="1"/>
  <c r="S748" i="10" s="1"/>
  <c r="R1137" i="10" a="1"/>
  <c r="R1137" i="10" s="1"/>
  <c r="S1137" i="10" s="1"/>
  <c r="R509" i="10" a="1"/>
  <c r="R509" i="10" s="1"/>
  <c r="S509" i="10" s="1"/>
  <c r="R1065" i="10" a="1"/>
  <c r="R1065" i="10" s="1"/>
  <c r="S1065" i="10" s="1"/>
  <c r="R486" i="10" a="1"/>
  <c r="R486" i="10" s="1"/>
  <c r="S486" i="10" s="1"/>
  <c r="R224" i="10" a="1"/>
  <c r="R224" i="10" s="1"/>
  <c r="S224" i="10" s="1"/>
  <c r="R235" i="10" a="1"/>
  <c r="R235" i="10" s="1"/>
  <c r="S235" i="10" s="1"/>
  <c r="R711" i="10" a="1"/>
  <c r="R711" i="10" s="1"/>
  <c r="S711" i="10" s="1"/>
  <c r="R144" i="10" a="1"/>
  <c r="R144" i="10" s="1"/>
  <c r="S144" i="10" s="1"/>
  <c r="R684" i="10" a="1"/>
  <c r="R684" i="10" s="1"/>
  <c r="S684" i="10" s="1"/>
  <c r="R1120" i="10" a="1"/>
  <c r="R1120" i="10" s="1"/>
  <c r="S1120" i="10" s="1"/>
  <c r="R445" i="10" a="1"/>
  <c r="R445" i="10" s="1"/>
  <c r="S445" i="10" s="1"/>
  <c r="R1001" i="10" a="1"/>
  <c r="R1001" i="10" s="1"/>
  <c r="S1001" i="10" s="1"/>
  <c r="R422" i="10" a="1"/>
  <c r="R422" i="10" s="1"/>
  <c r="S422" i="10" s="1"/>
  <c r="R605" i="10" a="1"/>
  <c r="R605" i="10" s="1"/>
  <c r="S605" i="10" s="1"/>
  <c r="R494" i="10" a="1"/>
  <c r="R494" i="10" s="1"/>
  <c r="S494" i="10" s="1"/>
  <c r="R876" i="10" a="1"/>
  <c r="R876" i="10" s="1"/>
  <c r="S876" i="10" s="1"/>
  <c r="R1098" i="10" a="1"/>
  <c r="R1098" i="10" s="1"/>
  <c r="S1098" i="10" s="1"/>
  <c r="R430" i="10" a="1"/>
  <c r="R430" i="10" s="1"/>
  <c r="S430" i="10" s="1"/>
  <c r="R706" i="10" a="1"/>
  <c r="R706" i="10" s="1"/>
  <c r="S706" i="10" s="1"/>
  <c r="R873" i="10" a="1"/>
  <c r="R873" i="10" s="1"/>
  <c r="S873" i="10" s="1"/>
  <c r="R473" i="10" a="1"/>
  <c r="R473" i="10" s="1"/>
  <c r="S473" i="10" s="1"/>
  <c r="R638" i="10" a="1"/>
  <c r="R638" i="10" s="1"/>
  <c r="S638" i="10" s="1"/>
  <c r="R622" i="10" a="1"/>
  <c r="R622" i="10" s="1"/>
  <c r="S622" i="10" s="1"/>
  <c r="R1004" i="10" a="1"/>
  <c r="R1004" i="10" s="1"/>
  <c r="S1004" i="10" s="1"/>
  <c r="R119" i="10" a="1"/>
  <c r="R119" i="10" s="1"/>
  <c r="S119" i="10" s="1"/>
  <c r="R563" i="10" a="1"/>
  <c r="R563" i="10" s="1"/>
  <c r="S563" i="10" s="1"/>
  <c r="R1050" i="10" a="1"/>
  <c r="R1050" i="10" s="1"/>
  <c r="S1050" i="10" s="1"/>
  <c r="R1090" i="10" a="1"/>
  <c r="R1090" i="10" s="1"/>
  <c r="S1090" i="10" s="1"/>
  <c r="R138" i="10" a="1"/>
  <c r="R138" i="10" s="1"/>
  <c r="S138" i="10" s="1"/>
  <c r="R498" i="10" a="1"/>
  <c r="R498" i="10" s="1"/>
  <c r="S498" i="10" s="1"/>
  <c r="R1038" i="10" a="1"/>
  <c r="R1038" i="10" s="1"/>
  <c r="S1038" i="10" s="1"/>
  <c r="R423" i="10" a="1"/>
  <c r="R423" i="10" s="1"/>
  <c r="S423" i="10" s="1"/>
  <c r="R963" i="10" a="1"/>
  <c r="R963" i="10" s="1"/>
  <c r="S963" i="10" s="1"/>
  <c r="R332" i="10" a="1"/>
  <c r="R332" i="10" s="1"/>
  <c r="S332" i="10" s="1"/>
  <c r="R872" i="10" a="1"/>
  <c r="R872" i="10" s="1"/>
  <c r="S872" i="10" s="1"/>
  <c r="R93" i="10" a="1"/>
  <c r="R93" i="10" s="1"/>
  <c r="S93" i="10" s="1"/>
  <c r="R649" i="10" a="1"/>
  <c r="R649" i="10" s="1"/>
  <c r="S649" i="10" s="1"/>
  <c r="R70" i="10" a="1"/>
  <c r="R70" i="10" s="1"/>
  <c r="S70" i="10" s="1"/>
  <c r="R77" i="10" a="1"/>
  <c r="R77" i="10" s="1"/>
  <c r="S77" i="10" s="1"/>
  <c r="R569" i="10" a="1"/>
  <c r="R569" i="10" s="1"/>
  <c r="S569" i="10" s="1"/>
  <c r="R1109" i="10" a="1"/>
  <c r="R1109" i="10" s="1"/>
  <c r="S1109" i="10" s="1"/>
  <c r="R514" i="10" a="1"/>
  <c r="R514" i="10" s="1"/>
  <c r="S514" i="10" s="1"/>
  <c r="R1054" i="10" a="1"/>
  <c r="R1054" i="10" s="1"/>
  <c r="S1054" i="10" s="1"/>
  <c r="R503" i="10" a="1"/>
  <c r="R503" i="10" s="1"/>
  <c r="S503" i="10" s="1"/>
  <c r="R1043" i="10" a="1"/>
  <c r="R1043" i="10" s="1"/>
  <c r="S1043" i="10" s="1"/>
  <c r="R1121" i="10" a="1"/>
  <c r="R1121" i="10" s="1"/>
  <c r="S1121" i="10" s="1"/>
  <c r="R1164" i="10" a="1"/>
  <c r="R1164" i="10" s="1"/>
  <c r="S1164" i="10" s="1"/>
  <c r="R505" i="10" a="1"/>
  <c r="R505" i="10" s="1"/>
  <c r="S505" i="10" s="1"/>
  <c r="R789" i="10" a="1"/>
  <c r="R789" i="10" s="1"/>
  <c r="S789" i="10" s="1"/>
  <c r="R194" i="10" a="1"/>
  <c r="R194" i="10" s="1"/>
  <c r="S194" i="10" s="1"/>
  <c r="R734" i="10" a="1"/>
  <c r="R734" i="10" s="1"/>
  <c r="S734" i="10" s="1"/>
  <c r="R183" i="10" a="1"/>
  <c r="R183" i="10" s="1"/>
  <c r="S183" i="10" s="1"/>
  <c r="R723" i="10" a="1"/>
  <c r="R723" i="10" s="1"/>
  <c r="S723" i="10" s="1"/>
  <c r="R398" i="10" a="1"/>
  <c r="R398" i="10" s="1"/>
  <c r="S398" i="10" s="1"/>
  <c r="R890" i="10" a="1"/>
  <c r="R890" i="10" s="1"/>
  <c r="S890" i="10" s="1"/>
  <c r="R323" i="10" a="1"/>
  <c r="R323" i="10" s="1"/>
  <c r="S323" i="10" s="1"/>
  <c r="R783" i="10" a="1"/>
  <c r="R783" i="10" s="1"/>
  <c r="S783" i="10" s="1"/>
  <c r="R1083" i="10" a="1"/>
  <c r="R1083" i="10" s="1"/>
  <c r="S1083" i="10" s="1"/>
  <c r="R516" i="10" a="1"/>
  <c r="R516" i="10" s="1"/>
  <c r="S516" i="10" s="1"/>
  <c r="R1056" i="10" a="1"/>
  <c r="R1056" i="10" s="1"/>
  <c r="S1056" i="10" s="1"/>
  <c r="R293" i="10" a="1"/>
  <c r="R293" i="10" s="1"/>
  <c r="S293" i="10" s="1"/>
  <c r="R436" i="10" a="1"/>
  <c r="R436" i="10" s="1"/>
  <c r="S436" i="10" s="1"/>
  <c r="R976" i="10" a="1"/>
  <c r="R976" i="10" s="1"/>
  <c r="S976" i="10" s="1"/>
  <c r="R213" i="10" a="1"/>
  <c r="R213" i="10" s="1"/>
  <c r="S213" i="10" s="1"/>
  <c r="R737" i="10" a="1"/>
  <c r="R737" i="10" s="1"/>
  <c r="S737" i="10" s="1"/>
  <c r="R158" i="10" a="1"/>
  <c r="R158" i="10" s="1"/>
  <c r="S158" i="10" s="1"/>
  <c r="R714" i="10" a="1"/>
  <c r="R714" i="10" s="1"/>
  <c r="S714" i="10" s="1"/>
  <c r="R147" i="10" a="1"/>
  <c r="R147" i="10" s="1"/>
  <c r="S147" i="10" s="1"/>
  <c r="R992" i="10" a="1"/>
  <c r="R992" i="10" s="1"/>
  <c r="S992" i="10" s="1"/>
  <c r="R229" i="10" a="1"/>
  <c r="R229" i="10" s="1"/>
  <c r="S229" i="10" s="1"/>
  <c r="R372" i="10" a="1"/>
  <c r="R372" i="10" s="1"/>
  <c r="S372" i="10" s="1"/>
  <c r="R912" i="10" a="1"/>
  <c r="R912" i="10" s="1"/>
  <c r="S912" i="10" s="1"/>
  <c r="R149" i="10" a="1"/>
  <c r="R149" i="10" s="1"/>
  <c r="S149" i="10" s="1"/>
  <c r="R673" i="10" a="1"/>
  <c r="R673" i="10" s="1"/>
  <c r="S673" i="10" s="1"/>
  <c r="R94" i="10" a="1"/>
  <c r="R94" i="10" s="1"/>
  <c r="S94" i="10" s="1"/>
  <c r="R650" i="10" a="1"/>
  <c r="R650" i="10" s="1"/>
  <c r="S650" i="10" s="1"/>
  <c r="R83" i="10" a="1"/>
  <c r="R83" i="10" s="1"/>
  <c r="S83" i="10" s="1"/>
  <c r="R534" i="10" a="1"/>
  <c r="R534" i="10" s="1"/>
  <c r="S534" i="10" s="1"/>
  <c r="R510" i="10" a="1"/>
  <c r="R510" i="10" s="1"/>
  <c r="S510" i="10" s="1"/>
  <c r="R427" i="10" a="1"/>
  <c r="R427" i="10" s="1"/>
  <c r="S427" i="10" s="1"/>
  <c r="R597" i="10" a="1"/>
  <c r="R597" i="10" s="1"/>
  <c r="S597" i="10" s="1"/>
  <c r="R1015" i="10" a="1"/>
  <c r="R1015" i="10" s="1"/>
  <c r="S1015" i="10" s="1"/>
  <c r="R525" i="10" a="1"/>
  <c r="R525" i="10" s="1"/>
  <c r="S525" i="10" s="1"/>
  <c r="R623" i="10" a="1"/>
  <c r="R623" i="10" s="1"/>
  <c r="S623" i="10" s="1"/>
  <c r="R128" i="10" a="1"/>
  <c r="R128" i="10" s="1"/>
  <c r="S128" i="10" s="1"/>
  <c r="R752" i="10" a="1"/>
  <c r="R752" i="10" s="1"/>
  <c r="S752" i="10" s="1"/>
  <c r="R733" i="10" a="1"/>
  <c r="R733" i="10" s="1"/>
  <c r="S733" i="10" s="1"/>
  <c r="R717" i="10" a="1"/>
  <c r="R717" i="10" s="1"/>
  <c r="S717" i="10" s="1"/>
  <c r="R47" i="10" a="1"/>
  <c r="R47" i="10" s="1"/>
  <c r="S47" i="10" s="1"/>
  <c r="R297" i="10" a="1"/>
  <c r="R297" i="10" s="1"/>
  <c r="S297" i="10" s="1"/>
  <c r="R491" i="10" a="1"/>
  <c r="R491" i="10" s="1"/>
  <c r="S491" i="10" s="1"/>
  <c r="R400" i="10" a="1"/>
  <c r="R400" i="10" s="1"/>
  <c r="S400" i="10" s="1"/>
  <c r="R456" i="10" a="1"/>
  <c r="R456" i="10" s="1"/>
  <c r="S456" i="10" s="1"/>
  <c r="R678" i="10" a="1"/>
  <c r="R678" i="10" s="1"/>
  <c r="S678" i="10" s="1"/>
  <c r="R167" i="10" a="1"/>
  <c r="R167" i="10" s="1"/>
  <c r="S167" i="10" s="1"/>
  <c r="R707" i="10" a="1"/>
  <c r="R707" i="10" s="1"/>
  <c r="S707" i="10" s="1"/>
  <c r="R76" i="10" a="1"/>
  <c r="R76" i="10" s="1"/>
  <c r="S76" i="10" s="1"/>
  <c r="R616" i="10" a="1"/>
  <c r="R616" i="10" s="1"/>
  <c r="S616" i="10" s="1"/>
  <c r="R1154" i="10" a="1"/>
  <c r="R1154" i="10" s="1"/>
  <c r="S1154" i="10" s="1"/>
  <c r="R393" i="10" a="1"/>
  <c r="R393" i="10" s="1"/>
  <c r="S393" i="10" s="1"/>
  <c r="R933" i="10" a="1"/>
  <c r="R933" i="10" s="1"/>
  <c r="S933" i="10" s="1"/>
  <c r="R1076" i="10" a="1"/>
  <c r="R1076" i="10" s="1"/>
  <c r="S1076" i="10" s="1"/>
  <c r="R313" i="10" a="1"/>
  <c r="R313" i="10" s="1"/>
  <c r="S313" i="10" s="1"/>
  <c r="R853" i="10" a="1"/>
  <c r="R853" i="10" s="1"/>
  <c r="S853" i="10" s="1"/>
  <c r="R258" i="10" a="1"/>
  <c r="R258" i="10" s="1"/>
  <c r="S258" i="10" s="1"/>
  <c r="R798" i="10" a="1"/>
  <c r="R798" i="10" s="1"/>
  <c r="S798" i="10" s="1"/>
  <c r="R247" i="10" a="1"/>
  <c r="R247" i="10" s="1"/>
  <c r="S247" i="10" s="1"/>
  <c r="R787" i="10" a="1"/>
  <c r="R787" i="10" s="1"/>
  <c r="S787" i="10" s="1"/>
  <c r="R869" i="10" a="1"/>
  <c r="R869" i="10" s="1"/>
  <c r="S869" i="10" s="1"/>
  <c r="R1012" i="10" a="1"/>
  <c r="R1012" i="10" s="1"/>
  <c r="S1012" i="10" s="1"/>
  <c r="R249" i="10" a="1"/>
  <c r="R249" i="10" s="1"/>
  <c r="S249" i="10" s="1"/>
  <c r="R533" i="10" a="1"/>
  <c r="R533" i="10" s="1"/>
  <c r="S533" i="10" s="1"/>
  <c r="R1057" i="10" a="1"/>
  <c r="R1057" i="10" s="1"/>
  <c r="S1057" i="10" s="1"/>
  <c r="R478" i="10" a="1"/>
  <c r="R478" i="10" s="1"/>
  <c r="S478" i="10" s="1"/>
  <c r="R1034" i="10" a="1"/>
  <c r="R1034" i="10" s="1"/>
  <c r="S1034" i="10" s="1"/>
  <c r="R467" i="10" a="1"/>
  <c r="R467" i="10" s="1"/>
  <c r="S467" i="10" s="1"/>
  <c r="R142" i="10" a="1"/>
  <c r="R142" i="10" s="1"/>
  <c r="S142" i="10" s="1"/>
  <c r="R634" i="10" a="1"/>
  <c r="R634" i="10" s="1"/>
  <c r="S634" i="10" s="1"/>
  <c r="R67" i="10" a="1"/>
  <c r="R67" i="10" s="1"/>
  <c r="S67" i="10" s="1"/>
  <c r="R527" i="10" a="1"/>
  <c r="R527" i="10" s="1"/>
  <c r="S527" i="10" s="1"/>
  <c r="R827" i="10" a="1"/>
  <c r="R827" i="10" s="1"/>
  <c r="S827" i="10" s="1"/>
  <c r="R260" i="10" a="1"/>
  <c r="R260" i="10" s="1"/>
  <c r="S260" i="10" s="1"/>
  <c r="R800" i="10" a="1"/>
  <c r="R800" i="10" s="1"/>
  <c r="S800" i="10" s="1"/>
  <c r="R37" i="10" a="1"/>
  <c r="R37" i="10" s="1"/>
  <c r="S37" i="10" s="1"/>
  <c r="R180" i="10" a="1"/>
  <c r="R180" i="10" s="1"/>
  <c r="S180" i="10" s="1"/>
  <c r="R720" i="10" a="1"/>
  <c r="R720" i="10" s="1"/>
  <c r="S720" i="10" s="1"/>
  <c r="R1156" i="10" a="1"/>
  <c r="R1156" i="10" s="1"/>
  <c r="S1156" i="10" s="1"/>
  <c r="R481" i="10" a="1"/>
  <c r="R481" i="10" s="1"/>
  <c r="S481" i="10" s="1"/>
  <c r="R1021" i="10" a="1"/>
  <c r="R1021" i="10" s="1"/>
  <c r="S1021" i="10" s="1"/>
  <c r="R458" i="10" a="1"/>
  <c r="R458" i="10" s="1"/>
  <c r="S458" i="10" s="1"/>
  <c r="R998" i="10" a="1"/>
  <c r="R998" i="10" s="1"/>
  <c r="S998" i="10" s="1"/>
  <c r="R736" i="10" a="1"/>
  <c r="R736" i="10" s="1"/>
  <c r="S736" i="10" s="1"/>
  <c r="R747" i="10" a="1"/>
  <c r="R747" i="10" s="1"/>
  <c r="S747" i="10" s="1"/>
  <c r="R116" i="10" a="1"/>
  <c r="R116" i="10" s="1"/>
  <c r="S116" i="10" s="1"/>
  <c r="R656" i="10" a="1"/>
  <c r="R656" i="10" s="1"/>
  <c r="S656" i="10" s="1"/>
  <c r="R1147" i="10" a="1"/>
  <c r="R1147" i="10" s="1"/>
  <c r="S1147" i="10" s="1"/>
  <c r="R417" i="10" a="1"/>
  <c r="R417" i="10" s="1"/>
  <c r="S417" i="10" s="1"/>
  <c r="R957" i="10" a="1"/>
  <c r="R957" i="10" s="1"/>
  <c r="S957" i="10" s="1"/>
  <c r="R394" i="10" a="1"/>
  <c r="R394" i="10" s="1"/>
  <c r="S394" i="10" s="1"/>
  <c r="R934" i="10" a="1"/>
  <c r="R934" i="10" s="1"/>
  <c r="S934" i="10" s="1"/>
  <c r="R868" i="10" a="1"/>
  <c r="R868" i="10" s="1"/>
  <c r="S868" i="10" s="1"/>
  <c r="R468" i="10" a="1"/>
  <c r="R468" i="10" s="1"/>
  <c r="S468" i="10" s="1"/>
  <c r="R449" i="10" a="1"/>
  <c r="R449" i="10" s="1"/>
  <c r="S449" i="10" s="1"/>
  <c r="R966" i="10" a="1"/>
  <c r="R966" i="10" s="1"/>
  <c r="S966" i="10" s="1"/>
  <c r="R886" i="10" a="1"/>
  <c r="R886" i="10" s="1"/>
  <c r="S886" i="10" s="1"/>
  <c r="R292" i="10" a="1"/>
  <c r="R292" i="10" s="1"/>
  <c r="S292" i="10" s="1"/>
  <c r="R902" i="10" a="1"/>
  <c r="R902" i="10" s="1"/>
  <c r="S902" i="10" s="1"/>
  <c r="R822" i="10" a="1"/>
  <c r="R822" i="10" s="1"/>
  <c r="S822" i="10" s="1"/>
  <c r="R228" i="10" a="1"/>
  <c r="R228" i="10" s="1"/>
  <c r="S228" i="10" s="1"/>
  <c r="R926" i="10" a="1"/>
  <c r="R926" i="10" s="1"/>
  <c r="S926" i="10" s="1"/>
  <c r="R997" i="10" a="1"/>
  <c r="R997" i="10" s="1"/>
  <c r="S997" i="10" s="1"/>
  <c r="R322" i="10" a="1"/>
  <c r="R322" i="10" s="1"/>
  <c r="S322" i="10" s="1"/>
  <c r="R860" i="10" a="1"/>
  <c r="R860" i="10" s="1"/>
  <c r="S860" i="10" s="1"/>
  <c r="R81" i="10" a="1"/>
  <c r="R81" i="10" s="1"/>
  <c r="S81" i="10" s="1"/>
  <c r="R557" i="10" a="1"/>
  <c r="R557" i="10" s="1"/>
  <c r="S557" i="10" s="1"/>
  <c r="R1113" i="10" a="1"/>
  <c r="R1113" i="10" s="1"/>
  <c r="S1113" i="10" s="1"/>
  <c r="R1089" i="10" a="1"/>
  <c r="R1089" i="10" s="1"/>
  <c r="S1089" i="10" s="1"/>
  <c r="R677" i="10" a="1"/>
  <c r="R677" i="10" s="1"/>
  <c r="S677" i="10" s="1"/>
  <c r="R943" i="10" a="1"/>
  <c r="R943" i="10" s="1"/>
  <c r="S943" i="10" s="1"/>
  <c r="R531" i="10" a="1"/>
  <c r="R531" i="10" s="1"/>
  <c r="S531" i="10" s="1"/>
  <c r="R99" i="10" a="1"/>
  <c r="R99" i="10" s="1"/>
  <c r="S99" i="10" s="1"/>
  <c r="R612" i="10" a="1"/>
  <c r="R612" i="10" s="1"/>
  <c r="S612" i="10" s="1"/>
  <c r="R378" i="10" a="1"/>
  <c r="R378" i="10" s="1"/>
  <c r="S378" i="10" s="1"/>
  <c r="R571" i="10" a="1"/>
  <c r="R571" i="10" s="1"/>
  <c r="S571" i="10" s="1"/>
  <c r="R555" i="10" a="1"/>
  <c r="R555" i="10" s="1"/>
  <c r="S555" i="10" s="1"/>
  <c r="R1071" i="10" a="1"/>
  <c r="R1071" i="10" s="1"/>
  <c r="S1071" i="10" s="1"/>
  <c r="R659" i="10" a="1"/>
  <c r="R659" i="10" s="1"/>
  <c r="S659" i="10" s="1"/>
  <c r="R1079" i="10" a="1"/>
  <c r="R1079" i="10" s="1"/>
  <c r="S1079" i="10" s="1"/>
  <c r="R840" i="10" a="1"/>
  <c r="R840" i="10" s="1"/>
  <c r="S840" i="10" s="1"/>
  <c r="R61" i="10" a="1"/>
  <c r="R61" i="10" s="1"/>
  <c r="S61" i="10" s="1"/>
  <c r="R617" i="10" a="1"/>
  <c r="R617" i="10" s="1"/>
  <c r="S617" i="10" s="1"/>
  <c r="R38" i="10" a="1"/>
  <c r="R38" i="10" s="1"/>
  <c r="S38" i="10" s="1"/>
  <c r="R980" i="10" a="1"/>
  <c r="R980" i="10" s="1"/>
  <c r="S980" i="10" s="1"/>
  <c r="R217" i="10" a="1"/>
  <c r="R217" i="10" s="1"/>
  <c r="S217" i="10" s="1"/>
  <c r="R757" i="10" a="1"/>
  <c r="R757" i="10" s="1"/>
  <c r="S757" i="10" s="1"/>
  <c r="R961" i="10" a="1"/>
  <c r="R961" i="10" s="1"/>
  <c r="S961" i="10" s="1"/>
  <c r="R382" i="10" a="1"/>
  <c r="R382" i="10" s="1"/>
  <c r="S382" i="10" s="1"/>
  <c r="R938" i="10" a="1"/>
  <c r="R938" i="10" s="1"/>
  <c r="S938" i="10" s="1"/>
  <c r="R371" i="10" a="1"/>
  <c r="R371" i="10" s="1"/>
  <c r="S371" i="10" s="1"/>
  <c r="R366" i="10" a="1"/>
  <c r="R366" i="10" s="1"/>
  <c r="S366" i="10" s="1"/>
  <c r="R858" i="10" a="1"/>
  <c r="R858" i="10" s="1"/>
  <c r="S858" i="10" s="1"/>
  <c r="R291" i="10" a="1"/>
  <c r="R291" i="10" s="1"/>
  <c r="S291" i="10" s="1"/>
  <c r="R815" i="10" a="1"/>
  <c r="R815" i="10" s="1"/>
  <c r="S815" i="10" s="1"/>
  <c r="R264" i="10" a="1"/>
  <c r="R264" i="10" s="1"/>
  <c r="S264" i="10" s="1"/>
  <c r="R804" i="10" a="1"/>
  <c r="R804" i="10" s="1"/>
  <c r="S804" i="10" s="1"/>
  <c r="R41" i="10" a="1"/>
  <c r="R41" i="10" s="1"/>
  <c r="S41" i="10" s="1"/>
  <c r="R581" i="10" a="1"/>
  <c r="R581" i="10" s="1"/>
  <c r="S581" i="10" s="1"/>
  <c r="R307" i="10" a="1"/>
  <c r="R307" i="10" s="1"/>
  <c r="S307" i="10" s="1"/>
  <c r="R302" i="10" a="1"/>
  <c r="R302" i="10" s="1"/>
  <c r="S302" i="10" s="1"/>
  <c r="R794" i="10" a="1"/>
  <c r="R794" i="10" s="1"/>
  <c r="S794" i="10" s="1"/>
  <c r="R227" i="10" a="1"/>
  <c r="R227" i="10" s="1"/>
  <c r="S227" i="10" s="1"/>
  <c r="R751" i="10" a="1"/>
  <c r="R751" i="10" s="1"/>
  <c r="S751" i="10" s="1"/>
  <c r="R200" i="10" a="1"/>
  <c r="R200" i="10" s="1"/>
  <c r="S200" i="10" s="1"/>
  <c r="R740" i="10" a="1"/>
  <c r="R740" i="10" s="1"/>
  <c r="S740" i="10" s="1"/>
  <c r="R1129" i="10" a="1"/>
  <c r="R1129" i="10" s="1"/>
  <c r="S1129" i="10" s="1"/>
  <c r="R517" i="10" a="1"/>
  <c r="R517" i="10" s="1"/>
  <c r="S517" i="10" s="1"/>
  <c r="R1066" i="10" a="1"/>
  <c r="R1066" i="10" s="1"/>
  <c r="S1066" i="10" s="1"/>
  <c r="R903" i="10" a="1"/>
  <c r="R903" i="10" s="1"/>
  <c r="S903" i="10" s="1"/>
  <c r="R1119" i="10" a="1"/>
  <c r="R1119" i="10" s="1"/>
  <c r="S1119" i="10" s="1"/>
  <c r="R448" i="10" a="1"/>
  <c r="R448" i="10" s="1"/>
  <c r="S448" i="10" s="1"/>
  <c r="R839" i="10" a="1"/>
  <c r="R839" i="10" s="1"/>
  <c r="S839" i="10" s="1"/>
  <c r="R1096" i="10" a="1"/>
  <c r="R1096" i="10" s="1"/>
  <c r="S1096" i="10" s="1"/>
  <c r="R211" i="10" a="1"/>
  <c r="R211" i="10" s="1"/>
  <c r="S211" i="10" s="1"/>
  <c r="R918" i="10" a="1"/>
  <c r="R918" i="10" s="1"/>
  <c r="S918" i="10" s="1"/>
  <c r="R1111" i="10" a="1"/>
  <c r="R1111" i="10" s="1"/>
  <c r="S1111" i="10" s="1"/>
  <c r="R1031" i="10" a="1"/>
  <c r="R1031" i="10" s="1"/>
  <c r="S1031" i="10" s="1"/>
  <c r="R130" i="10" a="1"/>
  <c r="R130" i="10" s="1"/>
  <c r="S130" i="10" s="1"/>
  <c r="R576" i="10" a="1"/>
  <c r="R576" i="10" s="1"/>
  <c r="S576" i="10" s="1"/>
  <c r="R741" i="10" a="1"/>
  <c r="R741" i="10" s="1"/>
  <c r="S741" i="10" s="1"/>
  <c r="R121" i="10" a="1"/>
  <c r="R121" i="10" s="1"/>
  <c r="S121" i="10" s="1"/>
  <c r="R161" i="10" a="1"/>
  <c r="R161" i="10" s="1"/>
  <c r="S161" i="10" s="1"/>
  <c r="R595" i="10" a="1"/>
  <c r="R595" i="10" s="1"/>
  <c r="S595" i="10" s="1"/>
  <c r="R593" i="10" a="1"/>
  <c r="R593" i="10" s="1"/>
  <c r="S593" i="10" s="1"/>
  <c r="R1069" i="10" a="1"/>
  <c r="R1069" i="10" s="1"/>
  <c r="S1069" i="10" s="1"/>
  <c r="R506" i="10" a="1"/>
  <c r="R506" i="10" s="1"/>
  <c r="S506" i="10" s="1"/>
  <c r="R1046" i="10" a="1"/>
  <c r="R1046" i="10" s="1"/>
  <c r="S1046" i="10" s="1"/>
  <c r="R399" i="10" a="1"/>
  <c r="R399" i="10" s="1"/>
  <c r="S399" i="10" s="1"/>
  <c r="R955" i="10" a="1"/>
  <c r="R955" i="10" s="1"/>
  <c r="S955" i="10" s="1"/>
  <c r="R388" i="10" a="1"/>
  <c r="R388" i="10" s="1"/>
  <c r="S388" i="10" s="1"/>
  <c r="R928" i="10" a="1"/>
  <c r="R928" i="10" s="1"/>
  <c r="S928" i="10" s="1"/>
  <c r="R165" i="10" a="1"/>
  <c r="R165" i="10" s="1"/>
  <c r="S165" i="10" s="1"/>
  <c r="R308" i="10" a="1"/>
  <c r="R308" i="10" s="1"/>
  <c r="S308" i="10" s="1"/>
  <c r="R848" i="10" a="1"/>
  <c r="R848" i="10" s="1"/>
  <c r="S848" i="10" s="1"/>
  <c r="R85" i="10" a="1"/>
  <c r="R85" i="10" s="1"/>
  <c r="S85" i="10" s="1"/>
  <c r="R609" i="10" a="1"/>
  <c r="R609" i="10" s="1"/>
  <c r="S609" i="10" s="1"/>
  <c r="R30" i="10" a="1"/>
  <c r="R30" i="10" s="1"/>
  <c r="S30" i="10" s="1"/>
  <c r="R586" i="10" a="1"/>
  <c r="R586" i="10" s="1"/>
  <c r="S586" i="10" s="1"/>
  <c r="R101" i="10" a="1"/>
  <c r="R101" i="10" s="1"/>
  <c r="S101" i="10" s="1"/>
  <c r="R244" i="10" a="1"/>
  <c r="R244" i="10" s="1"/>
  <c r="S244" i="10" s="1"/>
  <c r="R784" i="10" a="1"/>
  <c r="R784" i="10" s="1"/>
  <c r="S784" i="10" s="1"/>
  <c r="R1068" i="10" a="1"/>
  <c r="R1068" i="10" s="1"/>
  <c r="S1068" i="10" s="1"/>
  <c r="R289" i="10" a="1"/>
  <c r="R289" i="10" s="1"/>
  <c r="S289" i="10" s="1"/>
  <c r="R829" i="10" a="1"/>
  <c r="R829" i="10" s="1"/>
  <c r="S829" i="10" s="1"/>
  <c r="R266" i="10" a="1"/>
  <c r="R266" i="10" s="1"/>
  <c r="S266" i="10" s="1"/>
  <c r="R806" i="10" a="1"/>
  <c r="R806" i="10" s="1"/>
  <c r="S806" i="10" s="1"/>
  <c r="R429" i="10" a="1"/>
  <c r="R429" i="10" s="1"/>
  <c r="S429" i="10" s="1"/>
  <c r="R985" i="10" a="1"/>
  <c r="R985" i="10" s="1"/>
  <c r="S985" i="10" s="1"/>
  <c r="R406" i="10" a="1"/>
  <c r="R406" i="10" s="1"/>
  <c r="S406" i="10" s="1"/>
  <c r="R610" i="10" a="1"/>
  <c r="R610" i="10" s="1"/>
  <c r="S610" i="10" s="1"/>
  <c r="R59" i="10" a="1"/>
  <c r="R59" i="10" s="1"/>
  <c r="S59" i="10" s="1"/>
  <c r="R599" i="10" a="1"/>
  <c r="R599" i="10" s="1"/>
  <c r="S599" i="10" s="1"/>
  <c r="R32" i="10" a="1"/>
  <c r="R32" i="10" s="1"/>
  <c r="S32" i="10" s="1"/>
  <c r="R43" i="10" a="1"/>
  <c r="R43" i="10" s="1"/>
  <c r="S43" i="10" s="1"/>
  <c r="R519" i="10" a="1"/>
  <c r="R519" i="10" s="1"/>
  <c r="S519" i="10" s="1"/>
  <c r="R1059" i="10" a="1"/>
  <c r="R1059" i="10" s="1"/>
  <c r="S1059" i="10" s="1"/>
  <c r="R492" i="10" a="1"/>
  <c r="R492" i="10" s="1"/>
  <c r="S492" i="10" s="1"/>
  <c r="R1032" i="10" a="1"/>
  <c r="R1032" i="10" s="1"/>
  <c r="S1032" i="10" s="1"/>
  <c r="R253" i="10" a="1"/>
  <c r="R253" i="10" s="1"/>
  <c r="S253" i="10" s="1"/>
  <c r="R809" i="10" a="1"/>
  <c r="R809" i="10" s="1"/>
  <c r="S809" i="10" s="1"/>
  <c r="R230" i="10" a="1"/>
  <c r="R230" i="10" s="1"/>
  <c r="S230" i="10" s="1"/>
  <c r="R1075" i="10" a="1"/>
  <c r="R1075" i="10" s="1"/>
  <c r="S1075" i="10" s="1"/>
  <c r="R1070" i="10" a="1"/>
  <c r="R1070" i="10" s="1"/>
  <c r="S1070" i="10" s="1"/>
  <c r="R455" i="10" a="1"/>
  <c r="R455" i="10" s="1"/>
  <c r="S455" i="10" s="1"/>
  <c r="R995" i="10" a="1"/>
  <c r="R995" i="10" s="1"/>
  <c r="S995" i="10" s="1"/>
  <c r="R428" i="10" a="1"/>
  <c r="R428" i="10" s="1"/>
  <c r="S428" i="10" s="1"/>
  <c r="R968" i="10" a="1"/>
  <c r="R968" i="10" s="1"/>
  <c r="S968" i="10" s="1"/>
  <c r="R189" i="10" a="1"/>
  <c r="R189" i="10" s="1"/>
  <c r="S189" i="10" s="1"/>
  <c r="R745" i="10" a="1"/>
  <c r="R745" i="10" s="1"/>
  <c r="S745" i="10" s="1"/>
  <c r="R166" i="10" a="1"/>
  <c r="R166" i="10" s="1"/>
  <c r="S166" i="10" s="1"/>
  <c r="R629" i="10" a="1"/>
  <c r="R629" i="10" s="1"/>
  <c r="S629" i="10" s="1"/>
  <c r="R983" i="10" a="1"/>
  <c r="R983" i="10" s="1"/>
  <c r="S983" i="10" s="1"/>
  <c r="R820" i="10" a="1"/>
  <c r="R820" i="10" s="1"/>
  <c r="S820" i="10" s="1"/>
  <c r="R1026" i="10" a="1"/>
  <c r="R1026" i="10" s="1"/>
  <c r="S1026" i="10" s="1"/>
  <c r="R169" i="10" a="1"/>
  <c r="R169" i="10" s="1"/>
  <c r="S169" i="10" s="1"/>
  <c r="R922" i="10" a="1"/>
  <c r="R922" i="10" s="1"/>
  <c r="S922" i="10" s="1"/>
  <c r="R72" i="10" a="1"/>
  <c r="R72" i="10" s="1"/>
  <c r="S72" i="10" s="1"/>
  <c r="R389" i="10" a="1"/>
  <c r="R389" i="10" s="1"/>
  <c r="S389" i="10" s="1"/>
  <c r="R1013" i="10" a="1"/>
  <c r="R1013" i="10" s="1"/>
  <c r="S1013" i="10" s="1"/>
  <c r="R87" i="10" a="1"/>
  <c r="R87" i="10" s="1"/>
  <c r="S87" i="10" s="1"/>
  <c r="R1114" i="10" a="1"/>
  <c r="R1114" i="10" s="1"/>
  <c r="S1114" i="10" s="1"/>
  <c r="R520" i="10" a="1"/>
  <c r="R520" i="10" s="1"/>
  <c r="S520" i="10" s="1"/>
  <c r="R742" i="10" a="1"/>
  <c r="R742" i="10" s="1"/>
  <c r="S742" i="10" s="1"/>
  <c r="R558" i="10" a="1"/>
  <c r="R558" i="10" s="1"/>
  <c r="S558" i="10" s="1"/>
  <c r="R566" i="10" a="1"/>
  <c r="R566" i="10" s="1"/>
  <c r="S566" i="10" s="1"/>
  <c r="R701" i="10" a="1"/>
  <c r="R701" i="10" s="1"/>
  <c r="S701" i="10" s="1"/>
  <c r="R813" i="10" a="1"/>
  <c r="R813" i="10" s="1"/>
  <c r="S813" i="10" s="1"/>
  <c r="R250" i="10" a="1"/>
  <c r="R250" i="10" s="1"/>
  <c r="S250" i="10" s="1"/>
  <c r="R790" i="10" a="1"/>
  <c r="R790" i="10" s="1"/>
  <c r="S790" i="10" s="1"/>
  <c r="R143" i="10" a="1"/>
  <c r="R143" i="10" s="1"/>
  <c r="S143" i="10" s="1"/>
  <c r="R699" i="10" a="1"/>
  <c r="R699" i="10" s="1"/>
  <c r="S699" i="10" s="1"/>
  <c r="R132" i="10" a="1"/>
  <c r="R132" i="10" s="1"/>
  <c r="S132" i="10" s="1"/>
  <c r="R672" i="10" a="1"/>
  <c r="R672" i="10" s="1"/>
  <c r="S672" i="10" s="1"/>
  <c r="R683" i="10" a="1"/>
  <c r="R683" i="10" s="1"/>
  <c r="S683" i="10" s="1"/>
  <c r="R52" i="10" a="1"/>
  <c r="R52" i="10" s="1"/>
  <c r="S52" i="10" s="1"/>
  <c r="R592" i="10" a="1"/>
  <c r="R592" i="10" s="1"/>
  <c r="S592" i="10" s="1"/>
  <c r="R1130" i="10" a="1"/>
  <c r="R1130" i="10" s="1"/>
  <c r="S1130" i="10" s="1"/>
  <c r="R353" i="10" a="1"/>
  <c r="R353" i="10" s="1"/>
  <c r="S353" i="10" s="1"/>
  <c r="R893" i="10" a="1"/>
  <c r="R893" i="10" s="1"/>
  <c r="S893" i="10" s="1"/>
  <c r="R330" i="10" a="1"/>
  <c r="R330" i="10" s="1"/>
  <c r="S330" i="10" s="1"/>
  <c r="R870" i="10" a="1"/>
  <c r="R870" i="10" s="1"/>
  <c r="S870" i="10" s="1"/>
  <c r="R619" i="10" a="1"/>
  <c r="R619" i="10" s="1"/>
  <c r="S619" i="10" s="1"/>
  <c r="R1095" i="10" a="1"/>
  <c r="R1095" i="10" s="1"/>
  <c r="S1095" i="10" s="1"/>
  <c r="R528" i="10" a="1"/>
  <c r="R528" i="10" s="1"/>
  <c r="S528" i="10" s="1"/>
  <c r="R812" i="10" a="1"/>
  <c r="R812" i="10" s="1"/>
  <c r="S812" i="10" s="1"/>
  <c r="R33" i="10" a="1"/>
  <c r="R33" i="10" s="1"/>
  <c r="S33" i="10" s="1"/>
  <c r="R573" i="10" a="1"/>
  <c r="R573" i="10" s="1"/>
  <c r="S573" i="10" s="1"/>
  <c r="R1123" i="10" a="1"/>
  <c r="R1123" i="10" s="1"/>
  <c r="S1123" i="10" s="1"/>
  <c r="R550" i="10" a="1"/>
  <c r="R550" i="10" s="1"/>
  <c r="S550" i="10" s="1"/>
  <c r="R173" i="10" a="1"/>
  <c r="R173" i="10" s="1"/>
  <c r="S173" i="10" s="1"/>
  <c r="R729" i="10" a="1"/>
  <c r="R729" i="10" s="1"/>
  <c r="S729" i="10" s="1"/>
  <c r="R150" i="10" a="1"/>
  <c r="R150" i="10" s="1"/>
  <c r="S150" i="10" s="1"/>
  <c r="R354" i="10" a="1"/>
  <c r="R354" i="10" s="1"/>
  <c r="S354" i="10" s="1"/>
  <c r="R894" i="10" a="1"/>
  <c r="R894" i="10" s="1"/>
  <c r="S894" i="10" s="1"/>
  <c r="R343" i="10" a="1"/>
  <c r="R343" i="10" s="1"/>
  <c r="S343" i="10" s="1"/>
  <c r="R883" i="10" a="1"/>
  <c r="R883" i="10" s="1"/>
  <c r="S883" i="10" s="1"/>
  <c r="R878" i="10" a="1"/>
  <c r="R878" i="10" s="1"/>
  <c r="S878" i="10" s="1"/>
  <c r="R263" i="10" a="1"/>
  <c r="R263" i="10" s="1"/>
  <c r="S263" i="10" s="1"/>
  <c r="R803" i="10" a="1"/>
  <c r="R803" i="10" s="1"/>
  <c r="S803" i="10" s="1"/>
  <c r="R236" i="10" a="1"/>
  <c r="R236" i="10" s="1"/>
  <c r="S236" i="10" s="1"/>
  <c r="R776" i="10" a="1"/>
  <c r="R776" i="10" s="1"/>
  <c r="S776" i="10" s="1"/>
  <c r="R1165" i="10" a="1"/>
  <c r="R1165" i="10" s="1"/>
  <c r="S1165" i="10" s="1"/>
  <c r="R553" i="10" a="1"/>
  <c r="R553" i="10" s="1"/>
  <c r="S553" i="10" s="1"/>
  <c r="R1093" i="10" a="1"/>
  <c r="R1093" i="10" s="1"/>
  <c r="S1093" i="10" s="1"/>
  <c r="R819" i="10" a="1"/>
  <c r="R819" i="10" s="1"/>
  <c r="S819" i="10" s="1"/>
  <c r="R814" i="10" a="1"/>
  <c r="R814" i="10" s="1"/>
  <c r="S814" i="10" s="1"/>
  <c r="R199" i="10" a="1"/>
  <c r="R199" i="10" s="1"/>
  <c r="S199" i="10" s="1"/>
  <c r="R739" i="10" a="1"/>
  <c r="R739" i="10" s="1"/>
  <c r="S739" i="10" s="1"/>
  <c r="R172" i="10" a="1"/>
  <c r="R172" i="10" s="1"/>
  <c r="S172" i="10" s="1"/>
  <c r="R712" i="10" a="1"/>
  <c r="R712" i="10" s="1"/>
  <c r="S712" i="10" s="1"/>
  <c r="R1148" i="10" a="1"/>
  <c r="R1148" i="10" s="1"/>
  <c r="S1148" i="10" s="1"/>
  <c r="R489" i="10" a="1"/>
  <c r="R489" i="10" s="1"/>
  <c r="S489" i="10" s="1"/>
  <c r="R1029" i="10" a="1"/>
  <c r="R1029" i="10" s="1"/>
  <c r="S1029" i="10" s="1"/>
  <c r="R1145" i="10" a="1"/>
  <c r="R1145" i="10" s="1"/>
  <c r="S1145" i="10" s="1"/>
  <c r="R464" i="10" a="1"/>
  <c r="R464" i="10" s="1"/>
  <c r="S464" i="10" s="1"/>
  <c r="R480" i="10" a="1"/>
  <c r="R480" i="10" s="1"/>
  <c r="S480" i="10" s="1"/>
  <c r="R940" i="10" a="1"/>
  <c r="R940" i="10" s="1"/>
  <c r="S940" i="10" s="1"/>
  <c r="R1108" i="10" a="1"/>
  <c r="R1108" i="10" s="1"/>
  <c r="S1108" i="10" s="1"/>
  <c r="R885" i="10" a="1"/>
  <c r="R885" i="10" s="1"/>
  <c r="S885" i="10" s="1"/>
  <c r="R766" i="10" a="1"/>
  <c r="R766" i="10" s="1"/>
  <c r="S766" i="10" s="1"/>
  <c r="R215" i="10" a="1"/>
  <c r="R215" i="10" s="1"/>
  <c r="S215" i="10" s="1"/>
  <c r="R750" i="10" a="1"/>
  <c r="R750" i="10" s="1"/>
  <c r="S750" i="10" s="1"/>
  <c r="R675" i="10" a="1"/>
  <c r="R675" i="10" s="1"/>
  <c r="S675" i="10" s="1"/>
  <c r="R648" i="10" a="1"/>
  <c r="R648" i="10" s="1"/>
  <c r="S648" i="10" s="1"/>
  <c r="R425" i="10" a="1"/>
  <c r="R425" i="10" s="1"/>
  <c r="S425" i="10" s="1"/>
  <c r="R686" i="10" a="1"/>
  <c r="R686" i="10" s="1"/>
  <c r="S686" i="10" s="1"/>
  <c r="R355" i="10" a="1"/>
  <c r="R355" i="10" s="1"/>
  <c r="S355" i="10" s="1"/>
  <c r="R328" i="10" a="1"/>
  <c r="R328" i="10" s="1"/>
  <c r="S328" i="10" s="1"/>
  <c r="R645" i="10" a="1"/>
  <c r="R645" i="10" s="1"/>
  <c r="S645" i="10" s="1"/>
  <c r="R1008" i="10" a="1"/>
  <c r="R1008" i="10" s="1"/>
  <c r="S1008" i="10" s="1"/>
  <c r="R989" i="10" a="1"/>
  <c r="R989" i="10" s="1"/>
  <c r="S989" i="10" s="1"/>
  <c r="R973" i="10" a="1"/>
  <c r="R973" i="10" s="1"/>
  <c r="S973" i="10" s="1"/>
  <c r="R303" i="10" a="1"/>
  <c r="R303" i="10" s="1"/>
  <c r="S303" i="10" s="1"/>
  <c r="R832" i="10" a="1"/>
  <c r="R832" i="10" s="1"/>
  <c r="S832" i="10" s="1"/>
  <c r="R909" i="10" a="1"/>
  <c r="R909" i="10" s="1"/>
  <c r="S909" i="10" s="1"/>
  <c r="R239" i="10" a="1"/>
  <c r="R239" i="10" s="1"/>
  <c r="S239" i="10" s="1"/>
  <c r="R768" i="10" a="1"/>
  <c r="R768" i="10" s="1"/>
  <c r="S768" i="10" s="1"/>
  <c r="R375" i="10" a="1"/>
  <c r="R375" i="10" s="1"/>
  <c r="S375" i="10" s="1"/>
  <c r="R377" i="10" a="1"/>
  <c r="R377" i="10" s="1"/>
  <c r="S377" i="10" s="1"/>
  <c r="R311" i="10" a="1"/>
  <c r="R311" i="10" s="1"/>
  <c r="S311" i="10" s="1"/>
  <c r="R927" i="10" a="1"/>
  <c r="R927" i="10" s="1"/>
  <c r="S927" i="10" s="1"/>
  <c r="R376" i="10" a="1"/>
  <c r="R376" i="10" s="1"/>
  <c r="S376" i="10" s="1"/>
  <c r="R852" i="10" a="1"/>
  <c r="R852" i="10" s="1"/>
  <c r="S852" i="10" s="1"/>
  <c r="R368" i="10" a="1"/>
  <c r="R368" i="10" s="1"/>
  <c r="S368" i="10" s="1"/>
  <c r="R360" i="10" a="1"/>
  <c r="R360" i="10" s="1"/>
  <c r="S360" i="10" s="1"/>
  <c r="R589" i="10" a="1"/>
  <c r="R589" i="10" s="1"/>
  <c r="S589" i="10" s="1"/>
  <c r="R392" i="10" a="1"/>
  <c r="R392" i="10" s="1"/>
  <c r="S392" i="10" s="1"/>
  <c r="R518" i="10" a="1"/>
  <c r="R518" i="10" s="1"/>
  <c r="S518" i="10" s="1"/>
  <c r="R556" i="10" a="1"/>
  <c r="R556" i="10" s="1"/>
  <c r="S556" i="10" s="1"/>
  <c r="R1150" i="10" a="1"/>
  <c r="R1150" i="10" s="1"/>
  <c r="S1150" i="10" s="1"/>
  <c r="R835" i="10" a="1"/>
  <c r="R835" i="10" s="1"/>
  <c r="S835" i="10" s="1"/>
  <c r="R1028" i="10" a="1"/>
  <c r="R1028" i="10" s="1"/>
  <c r="S1028" i="10" s="1"/>
  <c r="R948" i="10" a="1"/>
  <c r="R948" i="10" s="1"/>
  <c r="S948" i="10" s="1"/>
  <c r="R225" i="10" a="1"/>
  <c r="R225" i="10" s="1"/>
  <c r="S225" i="10" s="1"/>
  <c r="R106" i="10" a="1"/>
  <c r="R106" i="10" s="1"/>
  <c r="S106" i="10" s="1"/>
  <c r="R233" i="10" a="1"/>
  <c r="R233" i="10" s="1"/>
  <c r="S233" i="10" s="1"/>
  <c r="R923" i="10" a="1"/>
  <c r="R923" i="10" s="1"/>
  <c r="S923" i="10" s="1"/>
  <c r="R356" i="10" a="1"/>
  <c r="R356" i="10" s="1"/>
  <c r="S356" i="10" s="1"/>
  <c r="R896" i="10" a="1"/>
  <c r="R896" i="10" s="1"/>
  <c r="S896" i="10" s="1"/>
  <c r="R133" i="10" a="1"/>
  <c r="R133" i="10" s="1"/>
  <c r="S133" i="10" s="1"/>
  <c r="R1063" i="10" a="1"/>
  <c r="R1063" i="10" s="1"/>
  <c r="S1063" i="10" s="1"/>
  <c r="R496" i="10" a="1"/>
  <c r="R496" i="10" s="1"/>
  <c r="S496" i="10" s="1"/>
  <c r="R972" i="10" a="1"/>
  <c r="R972" i="10" s="1"/>
  <c r="S972" i="10" s="1"/>
  <c r="R1152" i="10" a="1"/>
  <c r="R1152" i="10" s="1"/>
  <c r="S1152" i="10" s="1"/>
  <c r="R477" i="10" a="1"/>
  <c r="R477" i="10" s="1"/>
  <c r="S477" i="10" s="1"/>
  <c r="R1033" i="10" a="1"/>
  <c r="R1033" i="10" s="1"/>
  <c r="S1033" i="10" s="1"/>
  <c r="R454" i="10" a="1"/>
  <c r="R454" i="10" s="1"/>
  <c r="S454" i="10" s="1"/>
  <c r="R461" i="10" a="1"/>
  <c r="R461" i="10" s="1"/>
  <c r="S461" i="10" s="1"/>
  <c r="R953" i="10" a="1"/>
  <c r="R953" i="10" s="1"/>
  <c r="S953" i="10" s="1"/>
  <c r="R374" i="10" a="1"/>
  <c r="R374" i="10" s="1"/>
  <c r="S374" i="10" s="1"/>
  <c r="R898" i="10" a="1"/>
  <c r="R898" i="10" s="1"/>
  <c r="S898" i="10" s="1"/>
  <c r="R347" i="10" a="1"/>
  <c r="R347" i="10" s="1"/>
  <c r="S347" i="10" s="1"/>
  <c r="R887" i="10" a="1"/>
  <c r="R887" i="10" s="1"/>
  <c r="S887" i="10" s="1"/>
  <c r="R320" i="10" a="1"/>
  <c r="R320" i="10" s="1"/>
  <c r="S320" i="10" s="1"/>
  <c r="R969" i="10" a="1"/>
  <c r="R969" i="10" s="1"/>
  <c r="S969" i="10" s="1"/>
  <c r="R390" i="10" a="1"/>
  <c r="R390" i="10" s="1"/>
  <c r="S390" i="10" s="1"/>
  <c r="R397" i="10" a="1"/>
  <c r="R397" i="10" s="1"/>
  <c r="S397" i="10" s="1"/>
  <c r="R889" i="10" a="1"/>
  <c r="R889" i="10" s="1"/>
  <c r="S889" i="10" s="1"/>
  <c r="R310" i="10" a="1"/>
  <c r="R310" i="10" s="1"/>
  <c r="S310" i="10" s="1"/>
  <c r="R834" i="10" a="1"/>
  <c r="R834" i="10" s="1"/>
  <c r="S834" i="10" s="1"/>
  <c r="R283" i="10" a="1"/>
  <c r="R283" i="10" s="1"/>
  <c r="S283" i="10" s="1"/>
  <c r="R823" i="10" a="1"/>
  <c r="R823" i="10" s="1"/>
  <c r="S823" i="10" s="1"/>
  <c r="R256" i="10" a="1"/>
  <c r="R256" i="10" s="1"/>
  <c r="S256" i="10" s="1"/>
  <c r="R994" i="10" a="1"/>
  <c r="R994" i="10" s="1"/>
  <c r="S994" i="10" s="1"/>
  <c r="R416" i="10" a="1"/>
  <c r="R416" i="10" s="1"/>
  <c r="S416" i="10" s="1"/>
  <c r="R57" i="10" a="1"/>
  <c r="R57" i="10" s="1"/>
  <c r="S57" i="10" s="1"/>
  <c r="R475" i="10" a="1"/>
  <c r="R475" i="10" s="1"/>
  <c r="S475" i="10" s="1"/>
  <c r="R709" i="10" a="1"/>
  <c r="R709" i="10" s="1"/>
  <c r="S709" i="10" s="1"/>
  <c r="R272" i="10" a="1"/>
  <c r="R272" i="10" s="1"/>
  <c r="S272" i="10" s="1"/>
  <c r="R222" i="10" a="1"/>
  <c r="R222" i="10" s="1"/>
  <c r="S222" i="10" s="1"/>
  <c r="R910" i="10" a="1"/>
  <c r="R910" i="10" s="1"/>
  <c r="S910" i="10" s="1"/>
  <c r="R204" i="10" a="1"/>
  <c r="R204" i="10" s="1"/>
  <c r="S204" i="10" s="1"/>
  <c r="R544" i="10" a="1"/>
  <c r="R544" i="10" s="1"/>
  <c r="S544" i="10" s="1"/>
  <c r="R185" i="10" a="1"/>
  <c r="R185" i="10" s="1"/>
  <c r="S185" i="10" s="1"/>
  <c r="R603" i="10" a="1"/>
  <c r="R603" i="10" s="1"/>
  <c r="S603" i="10" s="1"/>
  <c r="R837" i="10" a="1"/>
  <c r="R837" i="10" s="1"/>
  <c r="S837" i="10" s="1"/>
  <c r="R653" i="10" a="1"/>
  <c r="R653" i="10" s="1"/>
  <c r="S653" i="10" s="1"/>
  <c r="R483" i="10" a="1"/>
  <c r="R483" i="10" s="1"/>
  <c r="S483" i="10" s="1"/>
  <c r="R539" i="10" a="1"/>
  <c r="R539" i="10" s="1"/>
  <c r="S539" i="10" s="1"/>
  <c r="R348" i="10" a="1"/>
  <c r="R348" i="10" s="1"/>
  <c r="S348" i="10" s="1"/>
  <c r="R888" i="10" a="1"/>
  <c r="R888" i="10" s="1"/>
  <c r="S888" i="10" s="1"/>
  <c r="R45" i="10" a="1"/>
  <c r="R45" i="10" s="1"/>
  <c r="S45" i="10" s="1"/>
  <c r="R601" i="10" a="1"/>
  <c r="R601" i="10" s="1"/>
  <c r="S601" i="10" s="1"/>
  <c r="R22" i="10" a="1"/>
  <c r="R22" i="10" s="1"/>
  <c r="S22" i="10" s="1"/>
  <c r="R482" i="10" a="1"/>
  <c r="R482" i="10" s="1"/>
  <c r="S482" i="10" s="1"/>
  <c r="R1022" i="10" a="1"/>
  <c r="R1022" i="10" s="1"/>
  <c r="S1022" i="10" s="1"/>
  <c r="R471" i="10" a="1"/>
  <c r="R471" i="10" s="1"/>
  <c r="S471" i="10" s="1"/>
  <c r="R1011" i="10" a="1"/>
  <c r="R1011" i="10" s="1"/>
  <c r="S1011" i="10" s="1"/>
  <c r="R1006" i="10" a="1"/>
  <c r="R1006" i="10" s="1"/>
  <c r="S1006" i="10" s="1"/>
  <c r="R391" i="10" a="1"/>
  <c r="R391" i="10" s="1"/>
  <c r="S391" i="10" s="1"/>
  <c r="R931" i="10" a="1"/>
  <c r="R931" i="10" s="1"/>
  <c r="S931" i="10" s="1"/>
  <c r="R364" i="10" a="1"/>
  <c r="R364" i="10" s="1"/>
  <c r="S364" i="10" s="1"/>
  <c r="R904" i="10" a="1"/>
  <c r="R904" i="10" s="1"/>
  <c r="S904" i="10" s="1"/>
  <c r="R125" i="10" a="1"/>
  <c r="R125" i="10" s="1"/>
  <c r="S125" i="10" s="1"/>
  <c r="R681" i="10" a="1"/>
  <c r="R681" i="10" s="1"/>
  <c r="S681" i="10" s="1"/>
  <c r="R102" i="10" a="1"/>
  <c r="R102" i="10" s="1"/>
  <c r="S102" i="10" s="1"/>
  <c r="R942" i="10" a="1"/>
  <c r="R942" i="10" s="1"/>
  <c r="S942" i="10" s="1"/>
  <c r="R327" i="10" a="1"/>
  <c r="R327" i="10" s="1"/>
  <c r="S327" i="10" s="1"/>
  <c r="R611" i="10" a="1"/>
  <c r="R611" i="10" s="1"/>
  <c r="S611" i="10" s="1"/>
  <c r="R44" i="10" a="1"/>
  <c r="R44" i="10" s="1"/>
  <c r="S44" i="10" s="1"/>
  <c r="R584" i="10" a="1"/>
  <c r="R584" i="10" s="1"/>
  <c r="S584" i="10" s="1"/>
  <c r="R1122" i="10" a="1"/>
  <c r="R1122" i="10" s="1"/>
  <c r="S1122" i="10" s="1"/>
  <c r="R361" i="10" a="1"/>
  <c r="R361" i="10" s="1"/>
  <c r="S361" i="10" s="1"/>
  <c r="R901" i="10" a="1"/>
  <c r="R901" i="10" s="1"/>
  <c r="S901" i="10" s="1"/>
  <c r="R724" i="10" a="1"/>
  <c r="R724" i="10" s="1"/>
  <c r="S724" i="10" s="1"/>
  <c r="R1160" i="10" a="1"/>
  <c r="R1160" i="10" s="1"/>
  <c r="S1160" i="10" s="1"/>
  <c r="R501" i="10" a="1"/>
  <c r="R501" i="10" s="1"/>
  <c r="S501" i="10" s="1"/>
  <c r="R705" i="10" a="1"/>
  <c r="R705" i="10" s="1"/>
  <c r="S705" i="10" s="1"/>
  <c r="R126" i="10" a="1"/>
  <c r="R126" i="10" s="1"/>
  <c r="S126" i="10" s="1"/>
  <c r="R682" i="10" a="1"/>
  <c r="R682" i="10" s="1"/>
  <c r="S682" i="10" s="1"/>
  <c r="R115" i="10" a="1"/>
  <c r="R115" i="10" s="1"/>
  <c r="S115" i="10" s="1"/>
  <c r="R110" i="10" a="1"/>
  <c r="R110" i="10" s="1"/>
  <c r="S110" i="10" s="1"/>
  <c r="R602" i="10" a="1"/>
  <c r="R602" i="10" s="1"/>
  <c r="S602" i="10" s="1"/>
  <c r="R35" i="10" a="1"/>
  <c r="R35" i="10" s="1"/>
  <c r="S35" i="10" s="1"/>
  <c r="R559" i="10" a="1"/>
  <c r="R559" i="10" s="1"/>
  <c r="S559" i="10" s="1"/>
  <c r="R1115" i="10" a="1"/>
  <c r="R1115" i="10" s="1"/>
  <c r="S1115" i="10" s="1"/>
  <c r="R548" i="10" a="1"/>
  <c r="R548" i="10" s="1"/>
  <c r="S548" i="10" s="1"/>
  <c r="R1088" i="10" a="1"/>
  <c r="R1088" i="10" s="1"/>
  <c r="S1088" i="10" s="1"/>
  <c r="R325" i="10" a="1"/>
  <c r="R325" i="10" s="1"/>
  <c r="S325" i="10" s="1"/>
  <c r="R51" i="10" a="1"/>
  <c r="R51" i="10" s="1"/>
  <c r="S51" i="10" s="1"/>
  <c r="R46" i="10" a="1"/>
  <c r="R46" i="10" s="1"/>
  <c r="S46" i="10" s="1"/>
  <c r="R538" i="10" a="1"/>
  <c r="R538" i="10" s="1"/>
  <c r="S538" i="10" s="1"/>
  <c r="R1078" i="10" a="1"/>
  <c r="R1078" i="10" s="1"/>
  <c r="S1078" i="10" s="1"/>
  <c r="R495" i="10" a="1"/>
  <c r="R495" i="10" s="1"/>
  <c r="S495" i="10" s="1"/>
  <c r="R1051" i="10" a="1"/>
  <c r="R1051" i="10" s="1"/>
  <c r="S1051" i="10" s="1"/>
  <c r="R484" i="10" a="1"/>
  <c r="R484" i="10" s="1"/>
  <c r="S484" i="10" s="1"/>
  <c r="R1024" i="10" a="1"/>
  <c r="R1024" i="10" s="1"/>
  <c r="S1024" i="10" s="1"/>
  <c r="R261" i="10" a="1"/>
  <c r="R261" i="10" s="1"/>
  <c r="S261" i="10" s="1"/>
  <c r="R911" i="10" a="1"/>
  <c r="R911" i="10" s="1"/>
  <c r="S911" i="10" s="1"/>
  <c r="R42" i="10" a="1"/>
  <c r="R42" i="10" s="1"/>
  <c r="S42" i="10" s="1"/>
  <c r="R986" i="10" a="1"/>
  <c r="R986" i="10" s="1"/>
  <c r="S986" i="10" s="1"/>
  <c r="R97" i="10" a="1"/>
  <c r="R97" i="10" s="1"/>
  <c r="S97" i="10" s="1"/>
  <c r="R614" i="10" a="1"/>
  <c r="R614" i="10" s="1"/>
  <c r="S614" i="10" s="1"/>
  <c r="R317" i="10" a="1"/>
  <c r="R317" i="10" s="1"/>
  <c r="S317" i="10" s="1"/>
  <c r="R941" i="10" a="1"/>
  <c r="R941" i="10" s="1"/>
  <c r="S941" i="10" s="1"/>
  <c r="R271" i="10" a="1"/>
  <c r="R271" i="10" s="1"/>
  <c r="S271" i="10" s="1"/>
  <c r="R265" i="10" a="1"/>
  <c r="R265" i="10" s="1"/>
  <c r="S265" i="10" s="1"/>
  <c r="R670" i="10" a="1"/>
  <c r="R670" i="10" s="1"/>
  <c r="S670" i="10" s="1"/>
  <c r="R967" i="10" a="1"/>
  <c r="R967" i="10" s="1"/>
  <c r="S967" i="10" s="1"/>
  <c r="R55" i="10" a="1"/>
  <c r="R55" i="10" s="1"/>
  <c r="S55" i="10" s="1"/>
  <c r="R345" i="10" a="1"/>
  <c r="R345" i="10" s="1"/>
  <c r="S345" i="10" s="1"/>
  <c r="R226" i="10" a="1"/>
  <c r="R226" i="10" s="1"/>
  <c r="S226" i="10" s="1"/>
  <c r="R755" i="10" a="1"/>
  <c r="R755" i="10" s="1"/>
  <c r="S755" i="10" s="1"/>
  <c r="R135" i="10" a="1"/>
  <c r="R135" i="10" s="1"/>
  <c r="S135" i="10" s="1"/>
  <c r="R108" i="10" a="1"/>
  <c r="R108" i="10" s="1"/>
  <c r="S108" i="10" s="1"/>
  <c r="R1139" i="10" a="1"/>
  <c r="R1139" i="10" s="1"/>
  <c r="S1139" i="10" s="1"/>
  <c r="R965" i="10" a="1"/>
  <c r="R965" i="10" s="1"/>
  <c r="S965" i="10" s="1"/>
  <c r="R71" i="10" a="1"/>
  <c r="R71" i="10" s="1"/>
  <c r="S71" i="10" s="1"/>
  <c r="R879" i="10" a="1"/>
  <c r="R879" i="10" s="1"/>
  <c r="S879" i="10" s="1"/>
  <c r="R105" i="10" a="1"/>
  <c r="R105" i="10" s="1"/>
  <c r="S105" i="10" s="1"/>
  <c r="R245" i="10" a="1"/>
  <c r="R245" i="10" s="1"/>
  <c r="S245" i="10" s="1"/>
  <c r="R426" i="10" a="1"/>
  <c r="R426" i="10" s="1"/>
  <c r="S426" i="10" s="1"/>
  <c r="R346" i="10" a="1"/>
  <c r="R346" i="10" s="1"/>
  <c r="S346" i="10" s="1"/>
  <c r="R859" i="10" a="1"/>
  <c r="R859" i="10" s="1"/>
  <c r="S859" i="10" s="1"/>
  <c r="R69" i="10" a="1"/>
  <c r="R69" i="10" s="1"/>
  <c r="S69" i="10" s="1"/>
  <c r="R282" i="10" a="1"/>
  <c r="R282" i="10" s="1"/>
  <c r="S282" i="10" s="1"/>
  <c r="R795" i="10" a="1"/>
  <c r="R795" i="10" s="1"/>
  <c r="S795" i="10" s="1"/>
  <c r="R915" i="10" a="1"/>
  <c r="R915" i="10" s="1"/>
  <c r="S915" i="10" s="1"/>
  <c r="R1138" i="10" a="1"/>
  <c r="R1138" i="10" s="1"/>
  <c r="S1138" i="10" s="1"/>
  <c r="R862" i="10" a="1"/>
  <c r="R862" i="10" s="1"/>
  <c r="S862" i="10" s="1"/>
  <c r="R1010" i="10" a="1"/>
  <c r="R1010" i="10" s="1"/>
  <c r="S1010" i="10" s="1"/>
  <c r="R459" i="10" a="1"/>
  <c r="R459" i="10" s="1"/>
  <c r="S459" i="10" s="1"/>
  <c r="R935" i="10" a="1"/>
  <c r="R935" i="10" s="1"/>
  <c r="S935" i="10" s="1"/>
  <c r="R451" i="10" a="1"/>
  <c r="R451" i="10" s="1"/>
  <c r="S451" i="10" s="1"/>
  <c r="R900" i="10" a="1"/>
  <c r="R900" i="10" s="1"/>
  <c r="S900" i="10" s="1"/>
  <c r="R1081" i="10" a="1"/>
  <c r="R1081" i="10" s="1"/>
  <c r="S1081" i="10" s="1"/>
  <c r="R932" i="10" a="1"/>
  <c r="R932" i="10" s="1"/>
  <c r="S932" i="10" s="1"/>
  <c r="R756" i="10" a="1"/>
  <c r="R756" i="10" s="1"/>
  <c r="S756" i="10" s="1"/>
  <c r="R801" i="10" a="1"/>
  <c r="R801" i="10" s="1"/>
  <c r="S801" i="10" s="1"/>
  <c r="R294" i="10" a="1"/>
  <c r="R294" i="10" s="1"/>
  <c r="S294" i="10" s="1"/>
  <c r="R1124" i="10" a="1"/>
  <c r="R1124" i="10" s="1"/>
  <c r="S1124" i="10" s="1"/>
  <c r="R170" i="10" a="1"/>
  <c r="R170" i="10" s="1"/>
  <c r="S170" i="10" s="1"/>
  <c r="R90" i="10" a="1"/>
  <c r="R90" i="10" s="1"/>
  <c r="S90" i="10" s="1"/>
  <c r="R765" i="10" a="1"/>
  <c r="R765" i="10" s="1"/>
  <c r="S765" i="10" s="1"/>
  <c r="R1007" i="10" a="1"/>
  <c r="R1007" i="10" s="1"/>
  <c r="S1007" i="10" s="1"/>
  <c r="R773" i="10" a="1"/>
  <c r="R773" i="10" s="1"/>
  <c r="S773" i="10" s="1"/>
  <c r="R990" i="10" a="1"/>
  <c r="R990" i="10" s="1"/>
  <c r="S990" i="10" s="1"/>
  <c r="R439" i="10" a="1"/>
  <c r="R439" i="10" s="1"/>
  <c r="S439" i="10" s="1"/>
  <c r="R979" i="10" a="1"/>
  <c r="R979" i="10" s="1"/>
  <c r="S979" i="10" s="1"/>
  <c r="R654" i="10" a="1"/>
  <c r="R654" i="10" s="1"/>
  <c r="S654" i="10" s="1"/>
  <c r="R39" i="10" a="1"/>
  <c r="R39" i="10" s="1"/>
  <c r="S39" i="10" s="1"/>
  <c r="R579" i="10" a="1"/>
  <c r="R579" i="10" s="1"/>
  <c r="S579" i="10" s="1"/>
  <c r="R1039" i="10" a="1"/>
  <c r="R1039" i="10" s="1"/>
  <c r="S1039" i="10" s="1"/>
  <c r="R232" i="10" a="1"/>
  <c r="R232" i="10" s="1"/>
  <c r="S232" i="10" s="1"/>
  <c r="R772" i="10" a="1"/>
  <c r="R772" i="10" s="1"/>
  <c r="S772" i="10" s="1"/>
  <c r="R1161" i="10" a="1"/>
  <c r="R1161" i="10" s="1"/>
  <c r="S1161" i="10" s="1"/>
  <c r="R549" i="10" a="1"/>
  <c r="R549" i="10" s="1"/>
  <c r="S549" i="10" s="1"/>
  <c r="R692" i="10" a="1"/>
  <c r="R692" i="10" s="1"/>
  <c r="S692" i="10" s="1"/>
  <c r="R1128" i="10" a="1"/>
  <c r="R1128" i="10" s="1"/>
  <c r="S1128" i="10" s="1"/>
  <c r="R469" i="10" a="1"/>
  <c r="R469" i="10" s="1"/>
  <c r="S469" i="10" s="1"/>
  <c r="R993" i="10" a="1"/>
  <c r="R993" i="10" s="1"/>
  <c r="S993" i="10" s="1"/>
  <c r="R414" i="10" a="1"/>
  <c r="R414" i="10" s="1"/>
  <c r="S414" i="10" s="1"/>
  <c r="R970" i="10" a="1"/>
  <c r="R970" i="10" s="1"/>
  <c r="S970" i="10" s="1"/>
  <c r="R403" i="10" a="1"/>
  <c r="R403" i="10" s="1"/>
  <c r="S403" i="10" s="1"/>
  <c r="R1144" i="10" a="1"/>
  <c r="R1144" i="10" s="1"/>
  <c r="S1144" i="10" s="1"/>
  <c r="R485" i="10" a="1"/>
  <c r="R485" i="10" s="1"/>
  <c r="S485" i="10" s="1"/>
  <c r="R628" i="10" a="1"/>
  <c r="R628" i="10" s="1"/>
  <c r="S628" i="10" s="1"/>
  <c r="R1166" i="10" a="1"/>
  <c r="R1166" i="10" s="1"/>
  <c r="S1166" i="10" s="1"/>
  <c r="R405" i="10" a="1"/>
  <c r="R405" i="10" s="1"/>
  <c r="S405" i="10" s="1"/>
  <c r="R929" i="10" a="1"/>
  <c r="R929" i="10" s="1"/>
  <c r="S929" i="10" s="1"/>
  <c r="R350" i="10" a="1"/>
  <c r="R350" i="10" s="1"/>
  <c r="S350" i="10" s="1"/>
  <c r="R906" i="10" a="1"/>
  <c r="R906" i="10" s="1"/>
  <c r="S906" i="10" s="1"/>
  <c r="R339" i="10" a="1"/>
  <c r="R339" i="10" s="1"/>
  <c r="S339" i="10" s="1"/>
  <c r="R443" i="10" a="1"/>
  <c r="R443" i="10" s="1"/>
  <c r="S443" i="10" s="1"/>
  <c r="R582" i="10" a="1"/>
  <c r="R582" i="10" s="1"/>
  <c r="S582" i="10" s="1"/>
  <c r="R502" i="10" a="1"/>
  <c r="R502" i="10" s="1"/>
  <c r="S502" i="10" s="1"/>
  <c r="R637" i="10" a="1"/>
  <c r="R637" i="10" s="1"/>
  <c r="S637" i="10" s="1"/>
  <c r="R613" i="10" a="1"/>
  <c r="R613" i="10" s="1"/>
  <c r="S613" i="10" s="1"/>
  <c r="R277" i="10" a="1"/>
  <c r="R277" i="10" s="1"/>
  <c r="S277" i="10" s="1"/>
  <c r="R695" i="10" a="1"/>
  <c r="R695" i="10" s="1"/>
  <c r="S695" i="10" s="1"/>
  <c r="R212" i="10" a="1"/>
  <c r="R212" i="10" s="1"/>
  <c r="S212" i="10" s="1"/>
  <c r="R193" i="10" a="1"/>
  <c r="R193" i="10" s="1"/>
  <c r="S193" i="10" s="1"/>
  <c r="R710" i="10" a="1"/>
  <c r="R710" i="10" s="1"/>
  <c r="S710" i="10" s="1"/>
  <c r="R547" i="10" a="1"/>
  <c r="R547" i="10" s="1"/>
  <c r="S547" i="10" s="1"/>
  <c r="R1060" i="10" a="1"/>
  <c r="R1060" i="10" s="1"/>
  <c r="S1060" i="10" s="1"/>
  <c r="R201" i="10" a="1"/>
  <c r="R201" i="10" s="1"/>
  <c r="S201" i="10" s="1"/>
  <c r="R884" i="10" a="1"/>
  <c r="R884" i="10" s="1"/>
  <c r="S884" i="10" s="1"/>
  <c r="R661" i="10" a="1"/>
  <c r="R661" i="10" s="1"/>
  <c r="S661" i="10" s="1"/>
  <c r="R996" i="10" a="1"/>
  <c r="R996" i="10" s="1"/>
  <c r="S996" i="10" s="1"/>
  <c r="R415" i="10" a="1"/>
  <c r="R415" i="10" s="1"/>
  <c r="S415" i="10" s="1"/>
  <c r="R971" i="10" a="1"/>
  <c r="R971" i="10" s="1"/>
  <c r="S971" i="10" s="1"/>
  <c r="R340" i="10" a="1"/>
  <c r="R340" i="10" s="1"/>
  <c r="S340" i="10" s="1"/>
  <c r="R880" i="10" a="1"/>
  <c r="R880" i="10" s="1"/>
  <c r="S880" i="10" s="1"/>
  <c r="R117" i="10" a="1"/>
  <c r="R117" i="10" s="1"/>
  <c r="S117" i="10" s="1"/>
  <c r="R577" i="10" a="1"/>
  <c r="R577" i="10" s="1"/>
  <c r="S577" i="10" s="1"/>
  <c r="R1117" i="10" a="1"/>
  <c r="R1117" i="10" s="1"/>
  <c r="S1117" i="10" s="1"/>
  <c r="R554" i="10" a="1"/>
  <c r="R554" i="10" s="1"/>
  <c r="S554" i="10" s="1"/>
  <c r="R1094" i="10" a="1"/>
  <c r="R1094" i="10" s="1"/>
  <c r="S1094" i="10" s="1"/>
  <c r="R1101" i="10" a="1"/>
  <c r="R1101" i="10" s="1"/>
  <c r="S1101" i="10" s="1"/>
  <c r="R474" i="10" a="1"/>
  <c r="R474" i="10" s="1"/>
  <c r="S474" i="10" s="1"/>
  <c r="R1014" i="10" a="1"/>
  <c r="R1014" i="10" s="1"/>
  <c r="S1014" i="10" s="1"/>
  <c r="R431" i="10" a="1"/>
  <c r="R431" i="10" s="1"/>
  <c r="S431" i="10" s="1"/>
  <c r="R987" i="10" a="1"/>
  <c r="R987" i="10" s="1"/>
  <c r="S987" i="10" s="1"/>
  <c r="R420" i="10" a="1"/>
  <c r="R420" i="10" s="1"/>
  <c r="S420" i="10" s="1"/>
  <c r="R960" i="10" a="1"/>
  <c r="R960" i="10" s="1"/>
  <c r="S960" i="10" s="1"/>
  <c r="R197" i="10" a="1"/>
  <c r="R197" i="10" s="1"/>
  <c r="S197" i="10" s="1"/>
  <c r="R1037" i="10" a="1"/>
  <c r="R1037" i="10" s="1"/>
  <c r="S1037" i="10" s="1"/>
  <c r="R410" i="10" a="1"/>
  <c r="R410" i="10" s="1"/>
  <c r="S410" i="10" s="1"/>
  <c r="R694" i="10" a="1"/>
  <c r="R694" i="10" s="1"/>
  <c r="S694" i="10" s="1"/>
  <c r="R111" i="10" a="1"/>
  <c r="R111" i="10" s="1"/>
  <c r="S111" i="10" s="1"/>
  <c r="R667" i="10" a="1"/>
  <c r="R667" i="10" s="1"/>
  <c r="S667" i="10" s="1"/>
  <c r="R100" i="10" a="1"/>
  <c r="R100" i="10" s="1"/>
  <c r="S100" i="10" s="1"/>
  <c r="R640" i="10" a="1"/>
  <c r="R640" i="10" s="1"/>
  <c r="S640" i="10" s="1"/>
  <c r="R331" i="10" a="1"/>
  <c r="R331" i="10" s="1"/>
  <c r="S331" i="10" s="1"/>
  <c r="R807" i="10" a="1"/>
  <c r="R807" i="10" s="1"/>
  <c r="S807" i="10" s="1"/>
  <c r="R240" i="10" a="1"/>
  <c r="R240" i="10" s="1"/>
  <c r="S240" i="10" s="1"/>
  <c r="R716" i="10" a="1"/>
  <c r="R716" i="10" s="1"/>
  <c r="S716" i="10" s="1"/>
  <c r="R1000" i="10" a="1"/>
  <c r="R1000" i="10" s="1"/>
  <c r="S1000" i="10" s="1"/>
  <c r="R221" i="10" a="1"/>
  <c r="R221" i="10" s="1"/>
  <c r="S221" i="10" s="1"/>
  <c r="R777" i="10" a="1"/>
  <c r="R777" i="10" s="1"/>
  <c r="S777" i="10" s="1"/>
  <c r="R198" i="10" a="1"/>
  <c r="R198" i="10" s="1"/>
  <c r="S198" i="10" s="1"/>
  <c r="R205" i="10" a="1"/>
  <c r="R205" i="10" s="1"/>
  <c r="S205" i="10" s="1"/>
  <c r="R697" i="10" a="1"/>
  <c r="R697" i="10" s="1"/>
  <c r="S697" i="10" s="1"/>
  <c r="R118" i="10" a="1"/>
  <c r="R118" i="10" s="1"/>
  <c r="S118" i="10" s="1"/>
  <c r="R642" i="10" a="1"/>
  <c r="R642" i="10" s="1"/>
  <c r="S642" i="10" s="1"/>
  <c r="R91" i="10" a="1"/>
  <c r="R91" i="10" s="1"/>
  <c r="S91" i="10" s="1"/>
  <c r="R631" i="10" a="1"/>
  <c r="R631" i="10" s="1"/>
  <c r="S631" i="10" s="1"/>
  <c r="R64" i="10" a="1"/>
  <c r="R64" i="10" s="1"/>
  <c r="S64" i="10" s="1"/>
  <c r="R713" i="10" a="1"/>
  <c r="R713" i="10" s="1"/>
  <c r="S713" i="10" s="1"/>
  <c r="R134" i="10" a="1"/>
  <c r="R134" i="10" s="1"/>
  <c r="S134" i="10" s="1"/>
  <c r="R141" i="10" a="1"/>
  <c r="R141" i="10" s="1"/>
  <c r="S141" i="10" s="1"/>
  <c r="R633" i="10" a="1"/>
  <c r="R633" i="10" s="1"/>
  <c r="S633" i="10" s="1"/>
  <c r="R54" i="10" a="1"/>
  <c r="R54" i="10" s="1"/>
  <c r="S54" i="10" s="1"/>
  <c r="R578" i="10" a="1"/>
  <c r="R578" i="10" s="1"/>
  <c r="S578" i="10" s="1"/>
  <c r="R27" i="10" a="1"/>
  <c r="R27" i="10" s="1"/>
  <c r="S27" i="10" s="1"/>
  <c r="R567" i="10" a="1"/>
  <c r="R567" i="10" s="1"/>
  <c r="S567" i="10" s="1"/>
  <c r="R1107" i="10" a="1"/>
  <c r="R1107" i="10" s="1"/>
  <c r="S1107" i="10" s="1"/>
  <c r="R89" i="10" a="1"/>
  <c r="R89" i="10" s="1"/>
  <c r="S89" i="10" s="1"/>
  <c r="R65" i="10" a="1"/>
  <c r="R65" i="10" s="1"/>
  <c r="S65" i="10" s="1"/>
  <c r="R499" i="10" a="1"/>
  <c r="R499" i="10" s="1"/>
  <c r="S499" i="10" s="1"/>
  <c r="R336" i="10" a="1"/>
  <c r="R336" i="10" s="1"/>
  <c r="S336" i="10" s="1"/>
  <c r="R542" i="10" a="1"/>
  <c r="R542" i="10" s="1"/>
  <c r="S542" i="10" s="1"/>
  <c r="R363" i="10" a="1"/>
  <c r="R363" i="10" s="1"/>
  <c r="S363" i="10" s="1"/>
  <c r="R182" i="10" a="1"/>
  <c r="R182" i="10" s="1"/>
  <c r="S182" i="10" s="1"/>
  <c r="R778" i="10" a="1"/>
  <c r="R778" i="10" s="1"/>
  <c r="S778" i="10" s="1"/>
  <c r="R295" i="10" a="1"/>
  <c r="R295" i="10" s="1"/>
  <c r="S295" i="10" s="1"/>
  <c r="R488" i="10" a="1"/>
  <c r="R488" i="10" s="1"/>
  <c r="S488" i="10" s="1"/>
  <c r="R805" i="10" a="1"/>
  <c r="R805" i="10" s="1"/>
  <c r="S805" i="10" s="1"/>
  <c r="R725" i="10" a="1"/>
  <c r="R725" i="10" s="1"/>
  <c r="S725" i="10" s="1"/>
  <c r="R36" i="10" a="1"/>
  <c r="R36" i="10" s="1"/>
  <c r="S36" i="10" s="1"/>
  <c r="R646" i="10" a="1"/>
  <c r="R646" i="10" s="1"/>
  <c r="S646" i="10" s="1"/>
  <c r="R26" i="10" a="1"/>
  <c r="R26" i="10" s="1"/>
  <c r="S26" i="10" s="1"/>
  <c r="R66" i="10" a="1"/>
  <c r="R66" i="10" s="1"/>
  <c r="S66" i="10" s="1"/>
  <c r="R512" i="10" a="1"/>
  <c r="R512" i="10" s="1"/>
  <c r="S512" i="10" s="1"/>
  <c r="R84" i="10" a="1"/>
  <c r="R84" i="10" s="1"/>
  <c r="S84" i="10" s="1"/>
  <c r="R624" i="10" a="1"/>
  <c r="R624" i="10" s="1"/>
  <c r="S624" i="10" s="1"/>
  <c r="R1100" i="10" a="1"/>
  <c r="R1100" i="10" s="1"/>
  <c r="S1100" i="10" s="1"/>
  <c r="R321" i="10" a="1"/>
  <c r="R321" i="10" s="1"/>
  <c r="S321" i="10" s="1"/>
  <c r="R861" i="10" a="1"/>
  <c r="R861" i="10" s="1"/>
  <c r="S861" i="10" s="1"/>
  <c r="R298" i="10" a="1"/>
  <c r="R298" i="10" s="1"/>
  <c r="S298" i="10" s="1"/>
  <c r="R838" i="10" a="1"/>
  <c r="R838" i="10" s="1"/>
  <c r="S838" i="10" s="1"/>
  <c r="R845" i="10" a="1"/>
  <c r="R845" i="10" s="1"/>
  <c r="S845" i="10" s="1"/>
  <c r="R218" i="10" a="1"/>
  <c r="R218" i="10" s="1"/>
  <c r="S218" i="10" s="1"/>
  <c r="R758" i="10" a="1"/>
  <c r="R758" i="10" s="1"/>
  <c r="S758" i="10" s="1"/>
  <c r="R175" i="10" a="1"/>
  <c r="R175" i="10" s="1"/>
  <c r="S175" i="10" s="1"/>
  <c r="R731" i="10" a="1"/>
  <c r="R731" i="10" s="1"/>
  <c r="S731" i="10" s="1"/>
  <c r="R164" i="10" a="1"/>
  <c r="R164" i="10" s="1"/>
  <c r="S164" i="10" s="1"/>
  <c r="R704" i="10" a="1"/>
  <c r="R704" i="10" s="1"/>
  <c r="S704" i="10" s="1"/>
  <c r="R774" i="10" a="1"/>
  <c r="R774" i="10" s="1"/>
  <c r="S774" i="10" s="1"/>
  <c r="R781" i="10" a="1"/>
  <c r="R781" i="10" s="1"/>
  <c r="S781" i="10" s="1"/>
  <c r="R154" i="10" a="1"/>
  <c r="R154" i="10" s="1"/>
  <c r="S154" i="10" s="1"/>
  <c r="R438" i="10" a="1"/>
  <c r="R438" i="10" s="1"/>
  <c r="S438" i="10" s="1"/>
  <c r="R962" i="10" a="1"/>
  <c r="R962" i="10" s="1"/>
  <c r="S962" i="10" s="1"/>
  <c r="R411" i="10" a="1"/>
  <c r="R411" i="10" s="1"/>
  <c r="S411" i="10" s="1"/>
  <c r="R951" i="10" a="1"/>
  <c r="R951" i="10" s="1"/>
  <c r="S951" i="10" s="1"/>
  <c r="R384" i="10" a="1"/>
  <c r="R384" i="10" s="1"/>
  <c r="S384" i="10" s="1"/>
  <c r="R75" i="10" a="1"/>
  <c r="R75" i="10" s="1"/>
  <c r="S75" i="10" s="1"/>
  <c r="R551" i="10" a="1"/>
  <c r="R551" i="10" s="1"/>
  <c r="S551" i="10" s="1"/>
  <c r="R1091" i="10" a="1"/>
  <c r="R1091" i="10" s="1"/>
  <c r="S1091" i="10" s="1"/>
  <c r="R460" i="10" a="1"/>
  <c r="R460" i="10" s="1"/>
  <c r="S460" i="10" s="1"/>
  <c r="R744" i="10" a="1"/>
  <c r="R744" i="10" s="1"/>
  <c r="S744" i="10" s="1"/>
  <c r="R1133" i="10" a="1"/>
  <c r="R1133" i="10" s="1"/>
  <c r="S1133" i="10" s="1"/>
  <c r="R521" i="10" a="1"/>
  <c r="R521" i="10" s="1"/>
  <c r="S521" i="10" s="1"/>
  <c r="R1061" i="10" a="1"/>
  <c r="R1061" i="10" s="1"/>
  <c r="S1061" i="10" s="1"/>
  <c r="R1155" i="10" a="1"/>
  <c r="R1155" i="10" s="1"/>
  <c r="S1155" i="10" s="1"/>
  <c r="R441" i="10" a="1"/>
  <c r="R441" i="10" s="1"/>
  <c r="S441" i="10" s="1"/>
  <c r="R981" i="10" a="1"/>
  <c r="R981" i="10" s="1"/>
  <c r="S981" i="10" s="1"/>
  <c r="R386" i="10" a="1"/>
  <c r="R386" i="10" s="1"/>
  <c r="S386" i="10" s="1"/>
  <c r="R457" i="10" a="1"/>
  <c r="R457" i="10" s="1"/>
  <c r="S457" i="10" s="1"/>
  <c r="R917" i="10" a="1"/>
  <c r="R917" i="10" s="1"/>
  <c r="S917" i="10" s="1"/>
  <c r="R851" i="10" a="1"/>
  <c r="R851" i="10" s="1"/>
  <c r="S851" i="10" s="1"/>
  <c r="K6088" i="14" l="1"/>
  <c r="L6088" i="14" s="1"/>
  <c r="I6089" i="14" s="1"/>
  <c r="K6066" i="13"/>
  <c r="L6066" i="13" s="1"/>
  <c r="I6067" i="13" s="1"/>
  <c r="C8" i="14"/>
  <c r="C36" i="14"/>
  <c r="C22" i="14"/>
  <c r="C52" i="14"/>
  <c r="C14" i="14"/>
  <c r="C60" i="14"/>
  <c r="C9" i="14"/>
  <c r="C10" i="14"/>
  <c r="C11" i="14"/>
  <c r="C12" i="14"/>
  <c r="C13" i="14"/>
  <c r="C15" i="14"/>
  <c r="C16" i="14"/>
  <c r="C17" i="14"/>
  <c r="C18" i="14"/>
  <c r="C19" i="14"/>
  <c r="C20" i="14"/>
  <c r="C21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3" i="14"/>
  <c r="C54" i="14"/>
  <c r="C55" i="14"/>
  <c r="C56" i="14"/>
  <c r="C57" i="14"/>
  <c r="C58" i="14"/>
  <c r="C59" i="14"/>
  <c r="C61" i="14"/>
  <c r="C62" i="14"/>
  <c r="C63" i="14"/>
  <c r="C64" i="14"/>
  <c r="C65" i="14"/>
  <c r="C66" i="14"/>
  <c r="C67" i="14"/>
  <c r="C68" i="14"/>
  <c r="C69" i="14"/>
  <c r="C70" i="14"/>
  <c r="C71" i="14"/>
  <c r="K6067" i="13" l="1"/>
  <c r="L6067" i="13" s="1"/>
  <c r="I6068" i="13" s="1"/>
  <c r="K6089" i="14"/>
  <c r="L6089" i="14" s="1"/>
  <c r="I6090" i="14" s="1"/>
  <c r="K6090" i="14" l="1"/>
  <c r="L6090" i="14" s="1"/>
  <c r="I6091" i="14" s="1"/>
  <c r="K6068" i="13"/>
  <c r="L6068" i="13" s="1"/>
  <c r="I6069" i="13" s="1"/>
  <c r="K6069" i="13" l="1"/>
  <c r="L6069" i="13" s="1"/>
  <c r="I6070" i="13" s="1"/>
  <c r="K6091" i="14"/>
  <c r="L6091" i="14" s="1"/>
  <c r="I6092" i="14" s="1"/>
  <c r="K6092" i="14" l="1"/>
  <c r="L6092" i="14" s="1"/>
  <c r="I6093" i="14" s="1"/>
  <c r="K6070" i="13"/>
  <c r="L6070" i="13" s="1"/>
  <c r="I6071" i="13" s="1"/>
  <c r="K6071" i="13" l="1"/>
  <c r="L6071" i="13" s="1"/>
  <c r="I6072" i="13" s="1"/>
  <c r="K6093" i="14"/>
  <c r="L6093" i="14" s="1"/>
  <c r="I6094" i="14" s="1"/>
  <c r="K6094" i="14" l="1"/>
  <c r="L6094" i="14" s="1"/>
  <c r="I6095" i="14" s="1"/>
  <c r="K6072" i="13"/>
  <c r="L6072" i="13" s="1"/>
  <c r="I6073" i="13" s="1"/>
  <c r="K6073" i="13" l="1"/>
  <c r="L6073" i="13" s="1"/>
  <c r="I6074" i="13" s="1"/>
  <c r="K6095" i="14"/>
  <c r="L6095" i="14" s="1"/>
  <c r="I6096" i="14" s="1"/>
  <c r="K6074" i="13" l="1"/>
  <c r="L6074" i="13" s="1"/>
  <c r="I6075" i="13" s="1"/>
  <c r="K6096" i="14"/>
  <c r="L6096" i="14" s="1"/>
  <c r="I6097" i="14" s="1"/>
  <c r="K6097" i="14" l="1"/>
  <c r="L6097" i="14" s="1"/>
  <c r="I6098" i="14" s="1"/>
  <c r="K6075" i="13"/>
  <c r="L6075" i="13" s="1"/>
  <c r="I6076" i="13" s="1"/>
  <c r="K6076" i="13" l="1"/>
  <c r="L6076" i="13" s="1"/>
  <c r="I6077" i="13" s="1"/>
  <c r="K6098" i="14"/>
  <c r="L6098" i="14" s="1"/>
  <c r="I6099" i="14" s="1"/>
  <c r="K6099" i="14" l="1"/>
  <c r="L6099" i="14" s="1"/>
  <c r="I6100" i="14" s="1"/>
  <c r="K6077" i="13"/>
  <c r="L6077" i="13" s="1"/>
  <c r="I6078" i="13" s="1"/>
  <c r="K6100" i="14" l="1"/>
  <c r="L6100" i="14" s="1"/>
  <c r="I6101" i="14" s="1"/>
  <c r="K6078" i="13"/>
  <c r="L6078" i="13" s="1"/>
  <c r="I6079" i="13" s="1"/>
  <c r="K6079" i="13" l="1"/>
  <c r="L6079" i="13" s="1"/>
  <c r="I6080" i="13" s="1"/>
  <c r="K6101" i="14"/>
  <c r="L6101" i="14" s="1"/>
  <c r="I6102" i="14" s="1"/>
  <c r="K6102" i="14" l="1"/>
  <c r="L6102" i="14" s="1"/>
  <c r="I6103" i="14" s="1"/>
  <c r="K6080" i="13"/>
  <c r="L6080" i="13" s="1"/>
  <c r="I6081" i="13" s="1"/>
  <c r="K6081" i="13" l="1"/>
  <c r="L6081" i="13" s="1"/>
  <c r="I6082" i="13" s="1"/>
  <c r="K6103" i="14"/>
  <c r="L6103" i="14" s="1"/>
  <c r="I6104" i="14" s="1"/>
  <c r="K6104" i="14" l="1"/>
  <c r="L6104" i="14" s="1"/>
  <c r="I6105" i="14" s="1"/>
  <c r="K6082" i="13"/>
  <c r="L6082" i="13" s="1"/>
  <c r="I6083" i="13" s="1"/>
  <c r="K6083" i="13" l="1"/>
  <c r="L6083" i="13" s="1"/>
  <c r="I6084" i="13" s="1"/>
  <c r="K6105" i="14"/>
  <c r="L6105" i="14" s="1"/>
  <c r="I6106" i="14" s="1"/>
  <c r="K6106" i="14" l="1"/>
  <c r="L6106" i="14" s="1"/>
  <c r="I6107" i="14" s="1"/>
  <c r="K6084" i="13"/>
  <c r="L6084" i="13" s="1"/>
  <c r="I6085" i="13" s="1"/>
  <c r="K6085" i="13" l="1"/>
  <c r="L6085" i="13" s="1"/>
  <c r="I6086" i="13" s="1"/>
  <c r="K6107" i="14"/>
  <c r="L6107" i="14" s="1"/>
  <c r="I6108" i="14" s="1"/>
  <c r="K6108" i="14" l="1"/>
  <c r="L6108" i="14" s="1"/>
  <c r="I6109" i="14" s="1"/>
  <c r="K6086" i="13"/>
  <c r="L6086" i="13" s="1"/>
  <c r="I6087" i="13" s="1"/>
  <c r="K6087" i="13" l="1"/>
  <c r="L6087" i="13" s="1"/>
  <c r="I6088" i="13" s="1"/>
  <c r="K6109" i="14"/>
  <c r="L6109" i="14" s="1"/>
  <c r="I6110" i="14" s="1"/>
  <c r="K6110" i="14" l="1"/>
  <c r="L6110" i="14" s="1"/>
  <c r="I6111" i="14" s="1"/>
  <c r="K6088" i="13"/>
  <c r="L6088" i="13" s="1"/>
  <c r="I6089" i="13" s="1"/>
  <c r="K6089" i="13" l="1"/>
  <c r="L6089" i="13" s="1"/>
  <c r="I6090" i="13" s="1"/>
  <c r="K6111" i="14"/>
  <c r="L6111" i="14" s="1"/>
  <c r="I6112" i="14" s="1"/>
  <c r="K6112" i="14" l="1"/>
  <c r="L6112" i="14" s="1"/>
  <c r="I6113" i="14" s="1"/>
  <c r="K6090" i="13"/>
  <c r="L6090" i="13" s="1"/>
  <c r="I6091" i="13" s="1"/>
  <c r="K6113" i="14" l="1"/>
  <c r="L6113" i="14" s="1"/>
  <c r="I6114" i="14" s="1"/>
  <c r="K6091" i="13"/>
  <c r="L6091" i="13" s="1"/>
  <c r="I6092" i="13" s="1"/>
  <c r="K6092" i="13" l="1"/>
  <c r="L6092" i="13" s="1"/>
  <c r="I6093" i="13" s="1"/>
  <c r="K6114" i="14"/>
  <c r="L6114" i="14" s="1"/>
  <c r="I6115" i="14" s="1"/>
  <c r="K6115" i="14" l="1"/>
  <c r="L6115" i="14" s="1"/>
  <c r="I6116" i="14" s="1"/>
  <c r="K6093" i="13"/>
  <c r="L6093" i="13" s="1"/>
  <c r="I6094" i="13" s="1"/>
  <c r="K6094" i="13" l="1"/>
  <c r="L6094" i="13" s="1"/>
  <c r="I6095" i="13" s="1"/>
  <c r="K6116" i="14"/>
  <c r="L6116" i="14" s="1"/>
  <c r="I6117" i="14" s="1"/>
  <c r="K6095" i="13" l="1"/>
  <c r="L6095" i="13" s="1"/>
  <c r="I6096" i="13" s="1"/>
  <c r="K6117" i="14"/>
  <c r="L6117" i="14" s="1"/>
  <c r="I6118" i="14" s="1"/>
  <c r="K6118" i="14" l="1"/>
  <c r="L6118" i="14" s="1"/>
  <c r="I6119" i="14" s="1"/>
  <c r="K6096" i="13"/>
  <c r="L6096" i="13" s="1"/>
  <c r="I6097" i="13" s="1"/>
  <c r="K6097" i="13" l="1"/>
  <c r="L6097" i="13" s="1"/>
  <c r="I6098" i="13" s="1"/>
  <c r="K6119" i="14"/>
  <c r="L6119" i="14" s="1"/>
  <c r="I6120" i="14" s="1"/>
  <c r="K6120" i="14" l="1"/>
  <c r="L6120" i="14" s="1"/>
  <c r="I6121" i="14" s="1"/>
  <c r="K6098" i="13"/>
  <c r="L6098" i="13" s="1"/>
  <c r="I6099" i="13" s="1"/>
  <c r="K6099" i="13" l="1"/>
  <c r="L6099" i="13" s="1"/>
  <c r="I6100" i="13" s="1"/>
  <c r="K6121" i="14"/>
  <c r="L6121" i="14" s="1"/>
  <c r="I6122" i="14" s="1"/>
  <c r="K6122" i="14" l="1"/>
  <c r="L6122" i="14" s="1"/>
  <c r="I6123" i="14" s="1"/>
  <c r="K6100" i="13"/>
  <c r="L6100" i="13" s="1"/>
  <c r="I6101" i="13" s="1"/>
  <c r="K6101" i="13" l="1"/>
  <c r="L6101" i="13" s="1"/>
  <c r="I6102" i="13" s="1"/>
  <c r="K6123" i="14"/>
  <c r="L6123" i="14" s="1"/>
  <c r="I6124" i="14" s="1"/>
  <c r="K6124" i="14" l="1"/>
  <c r="L6124" i="14" s="1"/>
  <c r="I6125" i="14" s="1"/>
  <c r="K6102" i="13"/>
  <c r="L6102" i="13" s="1"/>
  <c r="I6103" i="13" s="1"/>
  <c r="K6103" i="13" l="1"/>
  <c r="L6103" i="13" s="1"/>
  <c r="I6104" i="13" s="1"/>
  <c r="K6125" i="14"/>
  <c r="L6125" i="14" s="1"/>
  <c r="I6126" i="14" s="1"/>
  <c r="K6126" i="14" l="1"/>
  <c r="L6126" i="14" s="1"/>
  <c r="I6127" i="14" s="1"/>
  <c r="K6104" i="13"/>
  <c r="L6104" i="13" s="1"/>
  <c r="I6105" i="13" s="1"/>
  <c r="K6105" i="13" l="1"/>
  <c r="L6105" i="13" s="1"/>
  <c r="I6106" i="13" s="1"/>
  <c r="K6127" i="14"/>
  <c r="L6127" i="14" s="1"/>
  <c r="I6128" i="14" s="1"/>
  <c r="K6128" i="14" l="1"/>
  <c r="L6128" i="14" s="1"/>
  <c r="I6129" i="14" s="1"/>
  <c r="K6106" i="13"/>
  <c r="L6106" i="13" s="1"/>
  <c r="I6107" i="13" s="1"/>
  <c r="K6107" i="13" l="1"/>
  <c r="L6107" i="13" s="1"/>
  <c r="I6108" i="13" s="1"/>
  <c r="K6129" i="14"/>
  <c r="L6129" i="14" s="1"/>
  <c r="I6130" i="14" s="1"/>
  <c r="K6130" i="14" l="1"/>
  <c r="L6130" i="14" s="1"/>
  <c r="I6131" i="14" s="1"/>
  <c r="K6108" i="13"/>
  <c r="L6108" i="13" s="1"/>
  <c r="I6109" i="13" s="1"/>
  <c r="K6109" i="13" l="1"/>
  <c r="L6109" i="13" s="1"/>
  <c r="I6110" i="13" s="1"/>
  <c r="K6131" i="14"/>
  <c r="L6131" i="14" s="1"/>
  <c r="I6132" i="14" s="1"/>
  <c r="K6132" i="14" l="1"/>
  <c r="L6132" i="14" s="1"/>
  <c r="I6133" i="14" s="1"/>
  <c r="K6110" i="13"/>
  <c r="L6110" i="13" s="1"/>
  <c r="I6111" i="13" s="1"/>
  <c r="K6111" i="13" l="1"/>
  <c r="L6111" i="13" s="1"/>
  <c r="I6112" i="13" s="1"/>
  <c r="K6133" i="14"/>
  <c r="L6133" i="14" s="1"/>
  <c r="I6134" i="14" s="1"/>
  <c r="K6134" i="14" l="1"/>
  <c r="L6134" i="14" s="1"/>
  <c r="I6135" i="14" s="1"/>
  <c r="K6112" i="13"/>
  <c r="L6112" i="13" s="1"/>
  <c r="I6113" i="13" s="1"/>
  <c r="K6113" i="13" l="1"/>
  <c r="L6113" i="13" s="1"/>
  <c r="I6114" i="13" s="1"/>
  <c r="K6135" i="14"/>
  <c r="L6135" i="14" s="1"/>
  <c r="I6136" i="14" s="1"/>
  <c r="K6136" i="14" l="1"/>
  <c r="L6136" i="14" s="1"/>
  <c r="I6137" i="14" s="1"/>
  <c r="K6114" i="13"/>
  <c r="L6114" i="13" s="1"/>
  <c r="I6115" i="13" s="1"/>
  <c r="K6115" i="13" l="1"/>
  <c r="L6115" i="13" s="1"/>
  <c r="I6116" i="13" s="1"/>
  <c r="K6137" i="14"/>
  <c r="L6137" i="14" s="1"/>
  <c r="I6138" i="14" s="1"/>
  <c r="K6138" i="14" l="1"/>
  <c r="L6138" i="14" s="1"/>
  <c r="I6139" i="14" s="1"/>
  <c r="K6116" i="13"/>
  <c r="L6116" i="13" s="1"/>
  <c r="I6117" i="13" s="1"/>
  <c r="K6117" i="13" l="1"/>
  <c r="L6117" i="13" s="1"/>
  <c r="I6118" i="13" s="1"/>
  <c r="K6139" i="14"/>
  <c r="L6139" i="14" s="1"/>
  <c r="I6140" i="14" s="1"/>
  <c r="K6140" i="14" l="1"/>
  <c r="L6140" i="14" s="1"/>
  <c r="I6141" i="14" s="1"/>
  <c r="K6118" i="13"/>
  <c r="L6118" i="13" s="1"/>
  <c r="I6119" i="13" s="1"/>
  <c r="K6119" i="13" l="1"/>
  <c r="L6119" i="13" s="1"/>
  <c r="I6120" i="13" s="1"/>
  <c r="K6141" i="14"/>
  <c r="L6141" i="14" s="1"/>
  <c r="I6142" i="14" s="1"/>
  <c r="K6142" i="14" l="1"/>
  <c r="L6142" i="14" s="1"/>
  <c r="I6143" i="14" s="1"/>
  <c r="K6120" i="13"/>
  <c r="L6120" i="13" s="1"/>
  <c r="I6121" i="13" s="1"/>
  <c r="K6121" i="13" l="1"/>
  <c r="L6121" i="13" s="1"/>
  <c r="I6122" i="13" s="1"/>
  <c r="K6143" i="14"/>
  <c r="L6143" i="14" s="1"/>
  <c r="I6144" i="14" s="1"/>
  <c r="K6144" i="14" l="1"/>
  <c r="L6144" i="14" s="1"/>
  <c r="I6145" i="14" s="1"/>
  <c r="K6122" i="13"/>
  <c r="L6122" i="13" s="1"/>
  <c r="I6123" i="13" s="1"/>
  <c r="K6123" i="13" l="1"/>
  <c r="L6123" i="13" s="1"/>
  <c r="I6124" i="13" s="1"/>
  <c r="K6145" i="14"/>
  <c r="L6145" i="14" s="1"/>
  <c r="I6146" i="14" s="1"/>
  <c r="K6146" i="14" l="1"/>
  <c r="L6146" i="14" s="1"/>
  <c r="I6147" i="14" s="1"/>
  <c r="K6124" i="13"/>
  <c r="L6124" i="13" s="1"/>
  <c r="I6125" i="13" s="1"/>
  <c r="K6125" i="13" l="1"/>
  <c r="L6125" i="13" s="1"/>
  <c r="I6126" i="13" s="1"/>
  <c r="K6147" i="14"/>
  <c r="L6147" i="14" s="1"/>
  <c r="I6148" i="14" s="1"/>
  <c r="K6148" i="14" l="1"/>
  <c r="L6148" i="14" s="1"/>
  <c r="I6149" i="14" s="1"/>
  <c r="K6126" i="13"/>
  <c r="L6126" i="13" s="1"/>
  <c r="I6127" i="13" s="1"/>
  <c r="K6127" i="13" l="1"/>
  <c r="L6127" i="13" s="1"/>
  <c r="I6128" i="13" s="1"/>
  <c r="K6149" i="14"/>
  <c r="L6149" i="14" s="1"/>
  <c r="I6150" i="14" s="1"/>
  <c r="K6150" i="14" l="1"/>
  <c r="L6150" i="14" s="1"/>
  <c r="I6151" i="14" s="1"/>
  <c r="K6128" i="13"/>
  <c r="L6128" i="13" s="1"/>
  <c r="I6129" i="13" s="1"/>
  <c r="K6129" i="13" l="1"/>
  <c r="L6129" i="13" s="1"/>
  <c r="I6130" i="13" s="1"/>
  <c r="K6151" i="14"/>
  <c r="L6151" i="14" s="1"/>
  <c r="I6152" i="14" s="1"/>
  <c r="K6152" i="14" l="1"/>
  <c r="L6152" i="14" s="1"/>
  <c r="I6153" i="14" s="1"/>
  <c r="K6130" i="13"/>
  <c r="L6130" i="13" s="1"/>
  <c r="I6131" i="13" s="1"/>
  <c r="K6131" i="13" l="1"/>
  <c r="L6131" i="13" s="1"/>
  <c r="I6132" i="13" s="1"/>
  <c r="K6153" i="14"/>
  <c r="L6153" i="14" s="1"/>
  <c r="I6154" i="14" s="1"/>
  <c r="K6154" i="14" l="1"/>
  <c r="L6154" i="14" s="1"/>
  <c r="I6155" i="14" s="1"/>
  <c r="K6132" i="13"/>
  <c r="L6132" i="13" s="1"/>
  <c r="I6133" i="13" s="1"/>
  <c r="K6133" i="13" l="1"/>
  <c r="L6133" i="13" s="1"/>
  <c r="I6134" i="13" s="1"/>
  <c r="K6155" i="14"/>
  <c r="L6155" i="14" s="1"/>
  <c r="I6156" i="14" s="1"/>
  <c r="K6156" i="14" l="1"/>
  <c r="L6156" i="14" s="1"/>
  <c r="I6157" i="14" s="1"/>
  <c r="K6134" i="13"/>
  <c r="L6134" i="13" s="1"/>
  <c r="I6135" i="13" s="1"/>
  <c r="K6135" i="13" l="1"/>
  <c r="L6135" i="13" s="1"/>
  <c r="I6136" i="13" s="1"/>
  <c r="K6157" i="14"/>
  <c r="L6157" i="14" s="1"/>
  <c r="I6158" i="14" s="1"/>
  <c r="K6158" i="14" l="1"/>
  <c r="L6158" i="14" s="1"/>
  <c r="I6159" i="14" s="1"/>
  <c r="K6136" i="13"/>
  <c r="L6136" i="13" s="1"/>
  <c r="I6137" i="13" s="1"/>
  <c r="K6137" i="13" l="1"/>
  <c r="L6137" i="13" s="1"/>
  <c r="I6138" i="13" s="1"/>
  <c r="K6159" i="14"/>
  <c r="L6159" i="14" s="1"/>
  <c r="I6160" i="14" s="1"/>
  <c r="K6160" i="14" l="1"/>
  <c r="L6160" i="14" s="1"/>
  <c r="I6161" i="14" s="1"/>
  <c r="K6138" i="13"/>
  <c r="L6138" i="13" s="1"/>
  <c r="I6139" i="13" s="1"/>
  <c r="K6139" i="13" l="1"/>
  <c r="L6139" i="13" s="1"/>
  <c r="I6140" i="13" s="1"/>
  <c r="K6161" i="14"/>
  <c r="L6161" i="14" s="1"/>
  <c r="I6162" i="14" s="1"/>
  <c r="K6162" i="14" l="1"/>
  <c r="L6162" i="14" s="1"/>
  <c r="I6163" i="14" s="1"/>
  <c r="K6140" i="13"/>
  <c r="L6140" i="13" s="1"/>
  <c r="I6141" i="13" s="1"/>
  <c r="K6141" i="13" l="1"/>
  <c r="L6141" i="13" s="1"/>
  <c r="I6142" i="13" s="1"/>
  <c r="K6163" i="14"/>
  <c r="L6163" i="14" s="1"/>
  <c r="I6164" i="14" s="1"/>
  <c r="K6164" i="14" l="1"/>
  <c r="L6164" i="14" s="1"/>
  <c r="I6165" i="14" s="1"/>
  <c r="K6142" i="13"/>
  <c r="L6142" i="13" s="1"/>
  <c r="I6143" i="13" s="1"/>
  <c r="K6143" i="13" l="1"/>
  <c r="L6143" i="13" s="1"/>
  <c r="I6144" i="13" s="1"/>
  <c r="K6165" i="14"/>
  <c r="L6165" i="14" s="1"/>
  <c r="I6166" i="14" s="1"/>
  <c r="K6166" i="14" l="1"/>
  <c r="L6166" i="14" s="1"/>
  <c r="I6167" i="14" s="1"/>
  <c r="K6144" i="13"/>
  <c r="L6144" i="13" s="1"/>
  <c r="I6145" i="13" s="1"/>
  <c r="K6145" i="13" l="1"/>
  <c r="L6145" i="13" s="1"/>
  <c r="I6146" i="13" s="1"/>
  <c r="K6167" i="14"/>
  <c r="L6167" i="14" s="1"/>
  <c r="I6168" i="14" s="1"/>
  <c r="K6168" i="14" l="1"/>
  <c r="L6168" i="14" s="1"/>
  <c r="I6169" i="14" s="1"/>
  <c r="K6146" i="13"/>
  <c r="L6146" i="13" s="1"/>
  <c r="I6147" i="13" s="1"/>
  <c r="K6147" i="13" l="1"/>
  <c r="L6147" i="13" s="1"/>
  <c r="I6148" i="13" s="1"/>
  <c r="K6169" i="14"/>
  <c r="L6169" i="14" s="1"/>
  <c r="I6170" i="14" s="1"/>
  <c r="K6170" i="14" l="1"/>
  <c r="L6170" i="14" s="1"/>
  <c r="I6171" i="14" s="1"/>
  <c r="K6148" i="13"/>
  <c r="L6148" i="13" s="1"/>
  <c r="I6149" i="13" s="1"/>
  <c r="K6149" i="13" l="1"/>
  <c r="L6149" i="13" s="1"/>
  <c r="I6150" i="13" s="1"/>
  <c r="K6171" i="14"/>
  <c r="L6171" i="14" s="1"/>
  <c r="I6172" i="14" s="1"/>
  <c r="K6172" i="14" l="1"/>
  <c r="L6172" i="14" s="1"/>
  <c r="I6173" i="14" s="1"/>
  <c r="K6150" i="13"/>
  <c r="L6150" i="13" s="1"/>
  <c r="I6151" i="13" s="1"/>
  <c r="K6151" i="13" l="1"/>
  <c r="L6151" i="13" s="1"/>
  <c r="I6152" i="13" s="1"/>
  <c r="K6173" i="14"/>
  <c r="L6173" i="14" s="1"/>
  <c r="I6174" i="14" s="1"/>
  <c r="K6174" i="14" l="1"/>
  <c r="L6174" i="14" s="1"/>
  <c r="I6175" i="14" s="1"/>
  <c r="K6152" i="13"/>
  <c r="L6152" i="13" s="1"/>
  <c r="I6153" i="13" s="1"/>
  <c r="K6153" i="13" l="1"/>
  <c r="L6153" i="13" s="1"/>
  <c r="I6154" i="13" s="1"/>
  <c r="K6175" i="14"/>
  <c r="L6175" i="14" s="1"/>
  <c r="I6176" i="14" s="1"/>
  <c r="K6176" i="14" l="1"/>
  <c r="L6176" i="14" s="1"/>
  <c r="I6177" i="14" s="1"/>
  <c r="K6154" i="13"/>
  <c r="L6154" i="13" s="1"/>
  <c r="I6155" i="13" s="1"/>
  <c r="K6155" i="13" l="1"/>
  <c r="L6155" i="13" s="1"/>
  <c r="I6156" i="13" s="1"/>
  <c r="K6177" i="14"/>
  <c r="L6177" i="14" s="1"/>
  <c r="I6178" i="14" s="1"/>
  <c r="K6178" i="14" l="1"/>
  <c r="L6178" i="14" s="1"/>
  <c r="I6179" i="14" s="1"/>
  <c r="K6156" i="13"/>
  <c r="L6156" i="13" s="1"/>
  <c r="I6157" i="13" s="1"/>
  <c r="K6179" i="14" l="1"/>
  <c r="L6179" i="14" s="1"/>
  <c r="I6180" i="14" s="1"/>
  <c r="K6157" i="13"/>
  <c r="L6157" i="13" s="1"/>
  <c r="I6158" i="13" s="1"/>
  <c r="K6158" i="13" l="1"/>
  <c r="L6158" i="13" s="1"/>
  <c r="I6159" i="13" s="1"/>
  <c r="K6180" i="14"/>
  <c r="L6180" i="14" s="1"/>
  <c r="I6181" i="14" s="1"/>
  <c r="K6181" i="14" l="1"/>
  <c r="L6181" i="14" s="1"/>
  <c r="I6182" i="14" s="1"/>
  <c r="K6159" i="13"/>
  <c r="L6159" i="13" s="1"/>
  <c r="I6160" i="13" s="1"/>
  <c r="K6182" i="14" l="1"/>
  <c r="L6182" i="14" s="1"/>
  <c r="I6183" i="14" s="1"/>
  <c r="K6160" i="13"/>
  <c r="L6160" i="13" s="1"/>
  <c r="I6161" i="13" s="1"/>
  <c r="K6161" i="13" l="1"/>
  <c r="L6161" i="13" s="1"/>
  <c r="I6162" i="13" s="1"/>
  <c r="K6183" i="14"/>
  <c r="L6183" i="14" s="1"/>
  <c r="I6184" i="14" s="1"/>
  <c r="K6184" i="14" l="1"/>
  <c r="L6184" i="14" s="1"/>
  <c r="I6185" i="14" s="1"/>
  <c r="K6162" i="13"/>
  <c r="L6162" i="13" s="1"/>
  <c r="I6163" i="13" s="1"/>
  <c r="K6163" i="13" l="1"/>
  <c r="L6163" i="13" s="1"/>
  <c r="I6164" i="13" s="1"/>
  <c r="K6185" i="14"/>
  <c r="L6185" i="14" s="1"/>
  <c r="I6186" i="14" s="1"/>
  <c r="K6186" i="14" l="1"/>
  <c r="L6186" i="14" s="1"/>
  <c r="I6187" i="14" s="1"/>
  <c r="K6164" i="13"/>
  <c r="L6164" i="13" s="1"/>
  <c r="I6165" i="13" s="1"/>
  <c r="K6165" i="13" l="1"/>
  <c r="L6165" i="13" s="1"/>
  <c r="I6166" i="13" s="1"/>
  <c r="K6187" i="14"/>
  <c r="L6187" i="14" s="1"/>
  <c r="I6188" i="14" s="1"/>
  <c r="K6188" i="14" l="1"/>
  <c r="L6188" i="14" s="1"/>
  <c r="I6189" i="14" s="1"/>
  <c r="K6166" i="13"/>
  <c r="L6166" i="13" s="1"/>
  <c r="I6167" i="13" s="1"/>
  <c r="K6167" i="13" l="1"/>
  <c r="L6167" i="13" s="1"/>
  <c r="I6168" i="13" s="1"/>
  <c r="K6189" i="14"/>
  <c r="L6189" i="14" s="1"/>
  <c r="I6190" i="14" s="1"/>
  <c r="K6190" i="14" l="1"/>
  <c r="L6190" i="14" s="1"/>
  <c r="I6191" i="14" s="1"/>
  <c r="K6168" i="13"/>
  <c r="L6168" i="13" s="1"/>
  <c r="I6169" i="13" s="1"/>
  <c r="K6169" i="13" l="1"/>
  <c r="L6169" i="13" s="1"/>
  <c r="I6170" i="13" s="1"/>
  <c r="K6191" i="14"/>
  <c r="L6191" i="14" s="1"/>
  <c r="I6192" i="14" s="1"/>
  <c r="K6192" i="14" l="1"/>
  <c r="L6192" i="14" s="1"/>
  <c r="I6193" i="14" s="1"/>
  <c r="K6170" i="13"/>
  <c r="L6170" i="13" s="1"/>
  <c r="I6171" i="13" s="1"/>
  <c r="K6171" i="13" l="1"/>
  <c r="L6171" i="13" s="1"/>
  <c r="I6172" i="13" s="1"/>
  <c r="K6193" i="14"/>
  <c r="L6193" i="14" s="1"/>
  <c r="I6194" i="14" s="1"/>
  <c r="K6194" i="14" l="1"/>
  <c r="L6194" i="14" s="1"/>
  <c r="I6195" i="14" s="1"/>
  <c r="K6172" i="13"/>
  <c r="L6172" i="13" s="1"/>
  <c r="I6173" i="13" s="1"/>
  <c r="K6173" i="13" l="1"/>
  <c r="L6173" i="13" s="1"/>
  <c r="I6174" i="13" s="1"/>
  <c r="K6195" i="14"/>
  <c r="L6195" i="14" s="1"/>
  <c r="I6196" i="14" s="1"/>
  <c r="K6196" i="14" l="1"/>
  <c r="L6196" i="14" s="1"/>
  <c r="I6197" i="14" s="1"/>
  <c r="K6174" i="13"/>
  <c r="L6174" i="13" s="1"/>
  <c r="I6175" i="13" s="1"/>
  <c r="K6175" i="13" l="1"/>
  <c r="L6175" i="13" s="1"/>
  <c r="I6176" i="13" s="1"/>
  <c r="K6197" i="14"/>
  <c r="L6197" i="14" s="1"/>
  <c r="I6198" i="14" s="1"/>
  <c r="K6198" i="14" l="1"/>
  <c r="L6198" i="14" s="1"/>
  <c r="I6199" i="14" s="1"/>
  <c r="K6176" i="13"/>
  <c r="L6176" i="13" s="1"/>
  <c r="I6177" i="13" s="1"/>
  <c r="K6177" i="13" l="1"/>
  <c r="L6177" i="13" s="1"/>
  <c r="I6178" i="13" s="1"/>
  <c r="K6199" i="14"/>
  <c r="L6199" i="14" s="1"/>
  <c r="I6200" i="14" s="1"/>
  <c r="K6200" i="14" l="1"/>
  <c r="L6200" i="14" s="1"/>
  <c r="I6201" i="14" s="1"/>
  <c r="K6178" i="13"/>
  <c r="L6178" i="13" s="1"/>
  <c r="I6179" i="13" s="1"/>
  <c r="K6179" i="13" l="1"/>
  <c r="L6179" i="13" s="1"/>
  <c r="I6180" i="13" s="1"/>
  <c r="K6201" i="14"/>
  <c r="L6201" i="14" s="1"/>
  <c r="I6202" i="14" s="1"/>
  <c r="K6202" i="14" l="1"/>
  <c r="L6202" i="14" s="1"/>
  <c r="I6203" i="14" s="1"/>
  <c r="K6180" i="13"/>
  <c r="L6180" i="13" s="1"/>
  <c r="I6181" i="13" s="1"/>
  <c r="K6181" i="13" l="1"/>
  <c r="L6181" i="13" s="1"/>
  <c r="I6182" i="13" s="1"/>
  <c r="K6203" i="14"/>
  <c r="L6203" i="14" s="1"/>
  <c r="I6204" i="14" s="1"/>
  <c r="K6182" i="13" l="1"/>
  <c r="L6182" i="13" s="1"/>
  <c r="I6183" i="13" s="1"/>
  <c r="K6204" i="14"/>
  <c r="L6204" i="14" s="1"/>
  <c r="I6205" i="14" s="1"/>
  <c r="K6205" i="14" l="1"/>
  <c r="L6205" i="14" s="1"/>
  <c r="I6206" i="14" s="1"/>
  <c r="K6183" i="13"/>
  <c r="L6183" i="13" s="1"/>
  <c r="I6184" i="13" s="1"/>
  <c r="K6184" i="13" l="1"/>
  <c r="L6184" i="13" s="1"/>
  <c r="I6185" i="13" s="1"/>
  <c r="K6206" i="14"/>
  <c r="L6206" i="14" s="1"/>
  <c r="I6207" i="14" s="1"/>
  <c r="K6207" i="14" l="1"/>
  <c r="L6207" i="14" s="1"/>
  <c r="I6208" i="14" s="1"/>
  <c r="K6185" i="13"/>
  <c r="L6185" i="13" s="1"/>
  <c r="I6186" i="13" s="1"/>
  <c r="K6186" i="13" l="1"/>
  <c r="L6186" i="13" s="1"/>
  <c r="I6187" i="13" s="1"/>
  <c r="K6208" i="14"/>
  <c r="L6208" i="14" s="1"/>
  <c r="I6209" i="14" s="1"/>
  <c r="K6209" i="14" l="1"/>
  <c r="L6209" i="14" s="1"/>
  <c r="I6210" i="14" s="1"/>
  <c r="K6187" i="13"/>
  <c r="L6187" i="13" s="1"/>
  <c r="I6188" i="13" s="1"/>
  <c r="K6188" i="13" l="1"/>
  <c r="L6188" i="13" s="1"/>
  <c r="I6189" i="13" s="1"/>
  <c r="K6210" i="14"/>
  <c r="L6210" i="14" s="1"/>
  <c r="I6211" i="14" s="1"/>
  <c r="K6211" i="14" l="1"/>
  <c r="L6211" i="14" s="1"/>
  <c r="I6212" i="14" s="1"/>
  <c r="K6189" i="13"/>
  <c r="L6189" i="13" s="1"/>
  <c r="I6190" i="13" s="1"/>
  <c r="K6190" i="13" l="1"/>
  <c r="L6190" i="13" s="1"/>
  <c r="I6191" i="13" s="1"/>
  <c r="K6212" i="14"/>
  <c r="L6212" i="14" s="1"/>
  <c r="I6213" i="14" s="1"/>
  <c r="K6213" i="14" l="1"/>
  <c r="L6213" i="14" s="1"/>
  <c r="I6214" i="14" s="1"/>
  <c r="K6191" i="13"/>
  <c r="L6191" i="13" s="1"/>
  <c r="I6192" i="13" s="1"/>
  <c r="K6192" i="13" l="1"/>
  <c r="L6192" i="13" s="1"/>
  <c r="I6193" i="13" s="1"/>
  <c r="K6214" i="14"/>
  <c r="L6214" i="14" s="1"/>
  <c r="I6215" i="14" s="1"/>
  <c r="K6215" i="14" l="1"/>
  <c r="L6215" i="14" s="1"/>
  <c r="I6216" i="14" s="1"/>
  <c r="K6193" i="13"/>
  <c r="L6193" i="13" s="1"/>
  <c r="I6194" i="13" s="1"/>
  <c r="K6194" i="13" l="1"/>
  <c r="L6194" i="13" s="1"/>
  <c r="I6195" i="13" s="1"/>
  <c r="K6216" i="14"/>
  <c r="L6216" i="14" s="1"/>
  <c r="I6217" i="14" s="1"/>
  <c r="K6217" i="14" l="1"/>
  <c r="L6217" i="14" s="1"/>
  <c r="I6218" i="14" s="1"/>
  <c r="K6195" i="13"/>
  <c r="L6195" i="13" s="1"/>
  <c r="I6196" i="13" s="1"/>
  <c r="K6196" i="13" l="1"/>
  <c r="L6196" i="13" s="1"/>
  <c r="I6197" i="13" s="1"/>
  <c r="K6218" i="14"/>
  <c r="L6218" i="14" s="1"/>
  <c r="I6219" i="14" s="1"/>
  <c r="K6219" i="14" l="1"/>
  <c r="L6219" i="14" s="1"/>
  <c r="I6220" i="14" s="1"/>
  <c r="K6197" i="13"/>
  <c r="L6197" i="13" s="1"/>
  <c r="I6198" i="13" s="1"/>
  <c r="K6198" i="13" l="1"/>
  <c r="L6198" i="13" s="1"/>
  <c r="I6199" i="13" s="1"/>
  <c r="K6220" i="14"/>
  <c r="L6220" i="14" s="1"/>
  <c r="I6221" i="14" s="1"/>
  <c r="K6221" i="14" l="1"/>
  <c r="L6221" i="14" s="1"/>
  <c r="I6222" i="14" s="1"/>
  <c r="K6199" i="13"/>
  <c r="L6199" i="13" s="1"/>
  <c r="I6200" i="13" s="1"/>
  <c r="K6200" i="13" l="1"/>
  <c r="L6200" i="13" s="1"/>
  <c r="I6201" i="13" s="1"/>
  <c r="K6222" i="14"/>
  <c r="L6222" i="14" s="1"/>
  <c r="I6223" i="14" s="1"/>
  <c r="K6223" i="14" l="1"/>
  <c r="L6223" i="14" s="1"/>
  <c r="I6224" i="14" s="1"/>
  <c r="K6201" i="13"/>
  <c r="L6201" i="13" s="1"/>
  <c r="I6202" i="13" s="1"/>
  <c r="K6202" i="13" l="1"/>
  <c r="L6202" i="13" s="1"/>
  <c r="I6203" i="13" s="1"/>
  <c r="K6224" i="14"/>
  <c r="L6224" i="14" s="1"/>
  <c r="I6225" i="14" s="1"/>
  <c r="K6225" i="14" l="1"/>
  <c r="L6225" i="14" s="1"/>
  <c r="I6226" i="14" s="1"/>
  <c r="K6203" i="13"/>
  <c r="L6203" i="13" s="1"/>
  <c r="I6204" i="13" s="1"/>
  <c r="K6204" i="13" l="1"/>
  <c r="L6204" i="13" s="1"/>
  <c r="I6205" i="13" s="1"/>
  <c r="K6226" i="14"/>
  <c r="L6226" i="14" s="1"/>
  <c r="I6227" i="14" s="1"/>
  <c r="K6227" i="14" l="1"/>
  <c r="L6227" i="14" s="1"/>
  <c r="I6228" i="14" s="1"/>
  <c r="K6205" i="13"/>
  <c r="L6205" i="13" s="1"/>
  <c r="I6206" i="13" s="1"/>
  <c r="K6206" i="13" l="1"/>
  <c r="L6206" i="13" s="1"/>
  <c r="I6207" i="13" s="1"/>
  <c r="K6228" i="14"/>
  <c r="L6228" i="14" s="1"/>
  <c r="I6229" i="14" s="1"/>
  <c r="K6229" i="14" l="1"/>
  <c r="L6229" i="14" s="1"/>
  <c r="I6230" i="14" s="1"/>
  <c r="K6207" i="13"/>
  <c r="L6207" i="13" s="1"/>
  <c r="I6208" i="13" s="1"/>
  <c r="K6208" i="13" l="1"/>
  <c r="L6208" i="13" s="1"/>
  <c r="I6209" i="13" s="1"/>
  <c r="K6230" i="14"/>
  <c r="L6230" i="14" s="1"/>
  <c r="I6231" i="14" s="1"/>
  <c r="K6231" i="14" l="1"/>
  <c r="L6231" i="14" s="1"/>
  <c r="I6232" i="14" s="1"/>
  <c r="K6209" i="13"/>
  <c r="L6209" i="13" s="1"/>
  <c r="I6210" i="13" s="1"/>
  <c r="K6210" i="13" l="1"/>
  <c r="L6210" i="13" s="1"/>
  <c r="I6211" i="13" s="1"/>
  <c r="K6232" i="14"/>
  <c r="L6232" i="14" s="1"/>
  <c r="I6233" i="14" s="1"/>
  <c r="K6233" i="14" l="1"/>
  <c r="L6233" i="14" s="1"/>
  <c r="I6234" i="14" s="1"/>
  <c r="K6211" i="13"/>
  <c r="L6211" i="13" s="1"/>
  <c r="I6212" i="13" s="1"/>
  <c r="K6212" i="13" l="1"/>
  <c r="L6212" i="13" s="1"/>
  <c r="I6213" i="13" s="1"/>
  <c r="K6234" i="14"/>
  <c r="L6234" i="14" s="1"/>
  <c r="I6235" i="14" s="1"/>
  <c r="K6235" i="14" l="1"/>
  <c r="L6235" i="14" s="1"/>
  <c r="I6236" i="14" s="1"/>
  <c r="K6213" i="13"/>
  <c r="L6213" i="13" s="1"/>
  <c r="I6214" i="13" s="1"/>
  <c r="K6214" i="13" l="1"/>
  <c r="L6214" i="13" s="1"/>
  <c r="I6215" i="13" s="1"/>
  <c r="K6236" i="14"/>
  <c r="L6236" i="14" s="1"/>
  <c r="I6237" i="14" s="1"/>
  <c r="K6237" i="14" l="1"/>
  <c r="L6237" i="14" s="1"/>
  <c r="I6238" i="14" s="1"/>
  <c r="K6215" i="13"/>
  <c r="L6215" i="13" s="1"/>
  <c r="I6216" i="13" s="1"/>
  <c r="K6216" i="13" l="1"/>
  <c r="L6216" i="13" s="1"/>
  <c r="I6217" i="13" s="1"/>
  <c r="K6238" i="14"/>
  <c r="L6238" i="14" s="1"/>
  <c r="I6239" i="14" s="1"/>
  <c r="K6239" i="14" l="1"/>
  <c r="L6239" i="14" s="1"/>
  <c r="I6240" i="14" s="1"/>
  <c r="K6217" i="13"/>
  <c r="L6217" i="13" s="1"/>
  <c r="I6218" i="13" s="1"/>
  <c r="K6218" i="13" l="1"/>
  <c r="L6218" i="13" s="1"/>
  <c r="I6219" i="13" s="1"/>
  <c r="K6240" i="14"/>
  <c r="L6240" i="14" s="1"/>
  <c r="I6241" i="14" s="1"/>
  <c r="K6241" i="14" l="1"/>
  <c r="L6241" i="14" s="1"/>
  <c r="I6242" i="14" s="1"/>
  <c r="K6219" i="13"/>
  <c r="L6219" i="13" s="1"/>
  <c r="I6220" i="13" s="1"/>
  <c r="K6220" i="13" l="1"/>
  <c r="L6220" i="13" s="1"/>
  <c r="I6221" i="13" s="1"/>
  <c r="K6242" i="14"/>
  <c r="L6242" i="14" s="1"/>
  <c r="I6243" i="14" s="1"/>
  <c r="K6243" i="14" l="1"/>
  <c r="L6243" i="14" s="1"/>
  <c r="I6244" i="14" s="1"/>
  <c r="K6221" i="13"/>
  <c r="L6221" i="13" s="1"/>
  <c r="I6222" i="13" s="1"/>
  <c r="K6244" i="14" l="1"/>
  <c r="L6244" i="14" s="1"/>
  <c r="I6245" i="14" s="1"/>
  <c r="K6222" i="13"/>
  <c r="L6222" i="13" s="1"/>
  <c r="I6223" i="13" s="1"/>
  <c r="K6223" i="13" l="1"/>
  <c r="L6223" i="13" s="1"/>
  <c r="I6224" i="13" s="1"/>
  <c r="K6245" i="14"/>
  <c r="L6245" i="14" s="1"/>
  <c r="I6246" i="14" s="1"/>
  <c r="K6224" i="13" l="1"/>
  <c r="L6224" i="13" s="1"/>
  <c r="I6225" i="13" s="1"/>
  <c r="K6246" i="14"/>
  <c r="L6246" i="14" s="1"/>
  <c r="I6247" i="14" s="1"/>
  <c r="K6247" i="14" l="1"/>
  <c r="L6247" i="14" s="1"/>
  <c r="I6248" i="14" s="1"/>
  <c r="K6225" i="13"/>
  <c r="L6225" i="13" s="1"/>
  <c r="I6226" i="13" s="1"/>
  <c r="K6226" i="13" l="1"/>
  <c r="L6226" i="13" s="1"/>
  <c r="I6227" i="13" s="1"/>
  <c r="K6248" i="14"/>
  <c r="L6248" i="14" s="1"/>
  <c r="I6249" i="14" s="1"/>
  <c r="K6249" i="14" l="1"/>
  <c r="L6249" i="14" s="1"/>
  <c r="I6250" i="14" s="1"/>
  <c r="K6227" i="13"/>
  <c r="L6227" i="13" s="1"/>
  <c r="I6228" i="13" s="1"/>
  <c r="K6228" i="13" l="1"/>
  <c r="L6228" i="13" s="1"/>
  <c r="I6229" i="13" s="1"/>
  <c r="K6250" i="14"/>
  <c r="K6229" i="13" l="1"/>
  <c r="L6229" i="13" s="1"/>
  <c r="I6230" i="13" s="1"/>
  <c r="D27" i="14"/>
  <c r="D33" i="14"/>
  <c r="D49" i="14"/>
  <c r="D19" i="14"/>
  <c r="D8" i="14"/>
  <c r="E8" i="14" s="1"/>
  <c r="B9" i="14" s="1"/>
  <c r="D9" i="14"/>
  <c r="D10" i="14"/>
  <c r="D11" i="14"/>
  <c r="D12" i="14"/>
  <c r="D13" i="14"/>
  <c r="D14" i="14"/>
  <c r="D15" i="14"/>
  <c r="D16" i="14"/>
  <c r="D17" i="14"/>
  <c r="D18" i="14"/>
  <c r="D20" i="14"/>
  <c r="D21" i="14"/>
  <c r="D22" i="14"/>
  <c r="D23" i="14"/>
  <c r="D24" i="14"/>
  <c r="D25" i="14"/>
  <c r="D26" i="14"/>
  <c r="D28" i="14"/>
  <c r="D29" i="14"/>
  <c r="D30" i="14"/>
  <c r="D31" i="14"/>
  <c r="D32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9" i="14"/>
  <c r="D67" i="14"/>
  <c r="D68" i="14"/>
  <c r="D70" i="14"/>
  <c r="D71" i="14"/>
  <c r="L6250" i="14"/>
  <c r="E9" i="14" l="1"/>
  <c r="B10" i="14" s="1"/>
  <c r="E10" i="14" s="1"/>
  <c r="B11" i="14" s="1"/>
  <c r="E11" i="14" s="1"/>
  <c r="B12" i="14" s="1"/>
  <c r="E12" i="14" s="1"/>
  <c r="B13" i="14" s="1"/>
  <c r="E13" i="14" s="1"/>
  <c r="B14" i="14" s="1"/>
  <c r="E14" i="14" s="1"/>
  <c r="B15" i="14" s="1"/>
  <c r="E15" i="14" s="1"/>
  <c r="B16" i="14" s="1"/>
  <c r="E16" i="14" s="1"/>
  <c r="B17" i="14" s="1"/>
  <c r="E17" i="14" s="1"/>
  <c r="B18" i="14" s="1"/>
  <c r="E18" i="14" s="1"/>
  <c r="B19" i="14" s="1"/>
  <c r="E19" i="14" s="1"/>
  <c r="B20" i="14" s="1"/>
  <c r="E20" i="14" s="1"/>
  <c r="B21" i="14" s="1"/>
  <c r="E21" i="14" s="1"/>
  <c r="B22" i="14" s="1"/>
  <c r="E22" i="14" s="1"/>
  <c r="B23" i="14" s="1"/>
  <c r="E23" i="14" s="1"/>
  <c r="B24" i="14" s="1"/>
  <c r="E24" i="14" s="1"/>
  <c r="B25" i="14" s="1"/>
  <c r="E25" i="14" s="1"/>
  <c r="B26" i="14" s="1"/>
  <c r="E26" i="14" s="1"/>
  <c r="B27" i="14" s="1"/>
  <c r="E27" i="14" s="1"/>
  <c r="B28" i="14" s="1"/>
  <c r="E28" i="14" s="1"/>
  <c r="B29" i="14" s="1"/>
  <c r="E29" i="14" s="1"/>
  <c r="B30" i="14" s="1"/>
  <c r="E30" i="14" s="1"/>
  <c r="B31" i="14" s="1"/>
  <c r="E31" i="14" s="1"/>
  <c r="B32" i="14" s="1"/>
  <c r="E32" i="14" s="1"/>
  <c r="B33" i="14" s="1"/>
  <c r="E33" i="14" s="1"/>
  <c r="B34" i="14" s="1"/>
  <c r="E34" i="14" s="1"/>
  <c r="B35" i="14" s="1"/>
  <c r="E35" i="14" s="1"/>
  <c r="B36" i="14" s="1"/>
  <c r="E36" i="14" s="1"/>
  <c r="B37" i="14" s="1"/>
  <c r="E37" i="14" s="1"/>
  <c r="B38" i="14" s="1"/>
  <c r="E38" i="14" s="1"/>
  <c r="B39" i="14" s="1"/>
  <c r="E39" i="14" s="1"/>
  <c r="B40" i="14" s="1"/>
  <c r="E40" i="14" s="1"/>
  <c r="B41" i="14" s="1"/>
  <c r="E41" i="14" s="1"/>
  <c r="B42" i="14" s="1"/>
  <c r="E42" i="14" s="1"/>
  <c r="B43" i="14" s="1"/>
  <c r="E43" i="14" s="1"/>
  <c r="B44" i="14" s="1"/>
  <c r="E44" i="14" s="1"/>
  <c r="B45" i="14" s="1"/>
  <c r="E45" i="14" s="1"/>
  <c r="B46" i="14" s="1"/>
  <c r="E46" i="14" s="1"/>
  <c r="B47" i="14" s="1"/>
  <c r="E47" i="14" s="1"/>
  <c r="B48" i="14" s="1"/>
  <c r="E48" i="14" s="1"/>
  <c r="B49" i="14" s="1"/>
  <c r="E49" i="14" s="1"/>
  <c r="B50" i="14" s="1"/>
  <c r="E50" i="14" s="1"/>
  <c r="B51" i="14" s="1"/>
  <c r="E51" i="14" s="1"/>
  <c r="B52" i="14" s="1"/>
  <c r="E52" i="14" s="1"/>
  <c r="B53" i="14" s="1"/>
  <c r="E53" i="14" s="1"/>
  <c r="B54" i="14" s="1"/>
  <c r="E54" i="14" s="1"/>
  <c r="B55" i="14" s="1"/>
  <c r="E55" i="14" s="1"/>
  <c r="B56" i="14" s="1"/>
  <c r="E56" i="14" s="1"/>
  <c r="B57" i="14" s="1"/>
  <c r="E57" i="14" s="1"/>
  <c r="B58" i="14" s="1"/>
  <c r="E58" i="14" s="1"/>
  <c r="B59" i="14" s="1"/>
  <c r="E59" i="14" s="1"/>
  <c r="B60" i="14" s="1"/>
  <c r="E60" i="14" s="1"/>
  <c r="B61" i="14" s="1"/>
  <c r="E61" i="14" s="1"/>
  <c r="B62" i="14" s="1"/>
  <c r="E62" i="14" s="1"/>
  <c r="B63" i="14" s="1"/>
  <c r="E63" i="14" s="1"/>
  <c r="B64" i="14" s="1"/>
  <c r="E64" i="14" s="1"/>
  <c r="B65" i="14" s="1"/>
  <c r="E65" i="14" s="1"/>
  <c r="B66" i="14" s="1"/>
  <c r="E66" i="14" s="1"/>
  <c r="B67" i="14" s="1"/>
  <c r="E67" i="14" s="1"/>
  <c r="B68" i="14" s="1"/>
  <c r="E68" i="14" s="1"/>
  <c r="B69" i="14" s="1"/>
  <c r="E69" i="14" s="1"/>
  <c r="B70" i="14" s="1"/>
  <c r="E70" i="14" s="1"/>
  <c r="B71" i="14" s="1"/>
  <c r="E71" i="14" s="1"/>
  <c r="K6230" i="13"/>
  <c r="L6230" i="13" s="1"/>
  <c r="I6231" i="13" s="1"/>
  <c r="R17" i="10" a="1"/>
  <c r="R17" i="10" s="1"/>
  <c r="S17" i="10" s="1"/>
  <c r="R18" i="10" a="1"/>
  <c r="R18" i="10" s="1"/>
  <c r="S18" i="10" s="1"/>
  <c r="R19" i="10" a="1"/>
  <c r="R19" i="10" s="1"/>
  <c r="S19" i="10" s="1"/>
  <c r="B4" i="14"/>
  <c r="E7" i="10" s="1"/>
  <c r="C4" i="14"/>
  <c r="D4" i="14" s="1" a="1"/>
  <c r="D4" i="14" s="1"/>
  <c r="F7" i="10" s="1"/>
  <c r="G7" i="10" s="1"/>
  <c r="K6231" i="13" l="1"/>
  <c r="L6231" i="13" s="1"/>
  <c r="I6232" i="13" s="1"/>
  <c r="K6232" i="13" l="1"/>
  <c r="L6232" i="13" s="1"/>
  <c r="I6233" i="13" s="1"/>
  <c r="K6233" i="13" l="1"/>
  <c r="L6233" i="13" s="1"/>
  <c r="I6234" i="13" s="1"/>
  <c r="K6234" i="13" l="1"/>
  <c r="L6234" i="13" s="1"/>
  <c r="I6235" i="13" s="1"/>
  <c r="K6235" i="13" l="1"/>
  <c r="L6235" i="13" s="1"/>
  <c r="I6236" i="13" s="1"/>
  <c r="K6236" i="13" l="1"/>
  <c r="L6236" i="13" s="1"/>
  <c r="I6237" i="13" s="1"/>
  <c r="K6237" i="13" l="1"/>
  <c r="L6237" i="13" s="1"/>
  <c r="I6238" i="13" s="1"/>
  <c r="K6238" i="13" l="1"/>
  <c r="L6238" i="13" s="1"/>
  <c r="I6239" i="13" s="1"/>
  <c r="K6239" i="13" l="1"/>
  <c r="L6239" i="13" s="1"/>
  <c r="I6240" i="13" s="1"/>
  <c r="K6240" i="13" l="1"/>
  <c r="L6240" i="13" s="1"/>
  <c r="I6241" i="13" s="1"/>
  <c r="K6241" i="13" l="1"/>
  <c r="L6241" i="13" s="1"/>
  <c r="I6242" i="13" s="1"/>
  <c r="K6242" i="13" l="1"/>
  <c r="L6242" i="13" s="1"/>
  <c r="I6243" i="13" s="1"/>
  <c r="K6243" i="13" l="1"/>
  <c r="L6243" i="13" s="1"/>
  <c r="I6244" i="13" s="1"/>
  <c r="K6244" i="13" l="1"/>
  <c r="L6244" i="13" s="1"/>
  <c r="I6245" i="13" s="1"/>
  <c r="K6245" i="13" l="1"/>
  <c r="L6245" i="13" s="1"/>
  <c r="I6246" i="13" s="1"/>
  <c r="K6246" i="13" l="1"/>
  <c r="L6246" i="13" s="1"/>
  <c r="I6247" i="13" s="1"/>
  <c r="K6247" i="13" l="1"/>
  <c r="L6247" i="13" s="1"/>
  <c r="I6248" i="13" s="1"/>
  <c r="K6248" i="13" l="1"/>
  <c r="L6248" i="13" s="1"/>
  <c r="I6249" i="13" s="1"/>
  <c r="K6249" i="13" l="1"/>
  <c r="L6249" i="13" s="1"/>
  <c r="I6250" i="13" s="1"/>
  <c r="K6250" i="13" l="1"/>
  <c r="D8" i="13" l="1"/>
  <c r="E8" i="13" s="1"/>
  <c r="B9" i="13" s="1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80" i="13"/>
  <c r="D111" i="13"/>
  <c r="D135" i="13"/>
  <c r="D93" i="13"/>
  <c r="D78" i="13"/>
  <c r="D71" i="13"/>
  <c r="D84" i="13"/>
  <c r="D133" i="13"/>
  <c r="D104" i="13"/>
  <c r="D77" i="13"/>
  <c r="D129" i="13"/>
  <c r="D90" i="13"/>
  <c r="D105" i="13"/>
  <c r="D95" i="13"/>
  <c r="D88" i="13"/>
  <c r="D69" i="13"/>
  <c r="D109" i="13"/>
  <c r="D98" i="13"/>
  <c r="D128" i="13"/>
  <c r="D101" i="13"/>
  <c r="D86" i="13"/>
  <c r="D81" i="13"/>
  <c r="D97" i="13"/>
  <c r="D127" i="13"/>
  <c r="D112" i="13"/>
  <c r="D85" i="13"/>
  <c r="D130" i="13"/>
  <c r="D108" i="13"/>
  <c r="D120" i="13"/>
  <c r="D103" i="13"/>
  <c r="D96" i="13"/>
  <c r="D102" i="13"/>
  <c r="D124" i="13"/>
  <c r="D91" i="13"/>
  <c r="D113" i="13"/>
  <c r="D125" i="13"/>
  <c r="D115" i="13"/>
  <c r="D134" i="13"/>
  <c r="D136" i="13"/>
  <c r="D74" i="13"/>
  <c r="D83" i="13"/>
  <c r="D94" i="13"/>
  <c r="D121" i="13"/>
  <c r="D68" i="13"/>
  <c r="D75" i="13"/>
  <c r="D89" i="13"/>
  <c r="D87" i="13"/>
  <c r="D126" i="13"/>
  <c r="D82" i="13"/>
  <c r="D118" i="13"/>
  <c r="D114" i="13"/>
  <c r="D122" i="13"/>
  <c r="D99" i="13"/>
  <c r="D110" i="13"/>
  <c r="D72" i="13"/>
  <c r="D92" i="13"/>
  <c r="D76" i="13"/>
  <c r="D131" i="13"/>
  <c r="D107" i="13"/>
  <c r="D117" i="13"/>
  <c r="D67" i="13"/>
  <c r="D116" i="13"/>
  <c r="D132" i="13"/>
  <c r="D70" i="13"/>
  <c r="D123" i="13"/>
  <c r="D73" i="13"/>
  <c r="D100" i="13"/>
  <c r="D106" i="13"/>
  <c r="D79" i="13"/>
  <c r="D119" i="13"/>
  <c r="L6250" i="13"/>
  <c r="E9" i="13" l="1"/>
  <c r="B10" i="13" s="1"/>
  <c r="E10" i="13" s="1"/>
  <c r="B11" i="13" s="1"/>
  <c r="E11" i="13" s="1"/>
  <c r="B12" i="13" s="1"/>
  <c r="E12" i="13" s="1"/>
  <c r="B13" i="13" s="1"/>
  <c r="E13" i="13" s="1"/>
  <c r="B14" i="13" s="1"/>
  <c r="E14" i="13" s="1"/>
  <c r="B15" i="13" s="1"/>
  <c r="E15" i="13" s="1"/>
  <c r="B16" i="13" s="1"/>
  <c r="E16" i="13" s="1"/>
  <c r="B17" i="13" s="1"/>
  <c r="E17" i="13" s="1"/>
  <c r="B18" i="13" s="1"/>
  <c r="E18" i="13" s="1"/>
  <c r="B19" i="13" s="1"/>
  <c r="E19" i="13" s="1"/>
  <c r="B20" i="13" s="1"/>
  <c r="E20" i="13" s="1"/>
  <c r="B21" i="13" s="1"/>
  <c r="E21" i="13" s="1"/>
  <c r="B22" i="13" s="1"/>
  <c r="E22" i="13" s="1"/>
  <c r="B23" i="13" s="1"/>
  <c r="E23" i="13" s="1"/>
  <c r="B24" i="13" s="1"/>
  <c r="E24" i="13" s="1"/>
  <c r="B25" i="13" s="1"/>
  <c r="E25" i="13" s="1"/>
  <c r="B26" i="13" s="1"/>
  <c r="E26" i="13" s="1"/>
  <c r="B27" i="13" s="1"/>
  <c r="E27" i="13" s="1"/>
  <c r="B28" i="13" s="1"/>
  <c r="E28" i="13" s="1"/>
  <c r="B29" i="13" s="1"/>
  <c r="E29" i="13" s="1"/>
  <c r="B30" i="13" s="1"/>
  <c r="E30" i="13" s="1"/>
  <c r="B31" i="13" s="1"/>
  <c r="E31" i="13" s="1"/>
  <c r="B32" i="13" s="1"/>
  <c r="E32" i="13" s="1"/>
  <c r="B33" i="13" s="1"/>
  <c r="E33" i="13" s="1"/>
  <c r="B34" i="13" s="1"/>
  <c r="E34" i="13" s="1"/>
  <c r="B35" i="13" s="1"/>
  <c r="E35" i="13" s="1"/>
  <c r="B36" i="13" s="1"/>
  <c r="E36" i="13" s="1"/>
  <c r="B37" i="13" s="1"/>
  <c r="E37" i="13" s="1"/>
  <c r="B38" i="13" s="1"/>
  <c r="E38" i="13" s="1"/>
  <c r="B39" i="13" s="1"/>
  <c r="E39" i="13" s="1"/>
  <c r="B40" i="13" s="1"/>
  <c r="E40" i="13" s="1"/>
  <c r="B41" i="13" s="1"/>
  <c r="E41" i="13" s="1"/>
  <c r="B42" i="13" s="1"/>
  <c r="E42" i="13" s="1"/>
  <c r="B43" i="13" s="1"/>
  <c r="E43" i="13" s="1"/>
  <c r="B44" i="13" s="1"/>
  <c r="E44" i="13" s="1"/>
  <c r="B45" i="13" s="1"/>
  <c r="E45" i="13" s="1"/>
  <c r="B46" i="13" s="1"/>
  <c r="E46" i="13" s="1"/>
  <c r="B47" i="13" s="1"/>
  <c r="E47" i="13" s="1"/>
  <c r="B48" i="13" s="1"/>
  <c r="E48" i="13" s="1"/>
  <c r="B49" i="13" s="1"/>
  <c r="E49" i="13" s="1"/>
  <c r="B50" i="13" s="1"/>
  <c r="E50" i="13" s="1"/>
  <c r="B51" i="13" s="1"/>
  <c r="E51" i="13" s="1"/>
  <c r="B52" i="13" s="1"/>
  <c r="E52" i="13" s="1"/>
  <c r="B53" i="13" s="1"/>
  <c r="E53" i="13" s="1"/>
  <c r="B54" i="13" s="1"/>
  <c r="E54" i="13" s="1"/>
  <c r="B55" i="13" s="1"/>
  <c r="E55" i="13" s="1"/>
  <c r="B56" i="13" s="1"/>
  <c r="E56" i="13" s="1"/>
  <c r="B57" i="13" s="1"/>
  <c r="E57" i="13" s="1"/>
  <c r="B58" i="13" s="1"/>
  <c r="E58" i="13" s="1"/>
  <c r="B59" i="13" s="1"/>
  <c r="E59" i="13" s="1"/>
  <c r="B60" i="13" s="1"/>
  <c r="E60" i="13" s="1"/>
  <c r="B61" i="13" s="1"/>
  <c r="E61" i="13" s="1"/>
  <c r="B62" i="13" s="1"/>
  <c r="E62" i="13" s="1"/>
  <c r="B63" i="13" s="1"/>
  <c r="E63" i="13" s="1"/>
  <c r="B64" i="13" s="1"/>
  <c r="E64" i="13" s="1"/>
  <c r="B65" i="13" s="1"/>
  <c r="E65" i="13" s="1"/>
  <c r="B66" i="13" s="1"/>
  <c r="E66" i="13" s="1"/>
  <c r="B67" i="13" s="1"/>
  <c r="E67" i="13" s="1"/>
  <c r="B68" i="13" s="1"/>
  <c r="E68" i="13" s="1"/>
  <c r="B69" i="13" s="1"/>
  <c r="E69" i="13" s="1"/>
  <c r="B70" i="13" s="1"/>
  <c r="E70" i="13" s="1"/>
  <c r="B71" i="13" s="1"/>
  <c r="E71" i="13" s="1"/>
  <c r="B72" i="13" s="1"/>
  <c r="E72" i="13" s="1"/>
  <c r="B73" i="13" s="1"/>
  <c r="E73" i="13" s="1"/>
  <c r="B74" i="13" s="1"/>
  <c r="E74" i="13" s="1"/>
  <c r="B75" i="13" s="1"/>
  <c r="E75" i="13" s="1"/>
  <c r="B76" i="13" s="1"/>
  <c r="E76" i="13" s="1"/>
  <c r="B77" i="13" s="1"/>
  <c r="E77" i="13" s="1"/>
  <c r="B78" i="13" s="1"/>
  <c r="E78" i="13" s="1"/>
  <c r="B79" i="13" s="1"/>
  <c r="E79" i="13" s="1"/>
  <c r="B80" i="13" s="1"/>
  <c r="E80" i="13" s="1"/>
  <c r="B81" i="13" s="1"/>
  <c r="E81" i="13" s="1"/>
  <c r="B82" i="13" s="1"/>
  <c r="E82" i="13" s="1"/>
  <c r="B83" i="13" s="1"/>
  <c r="E83" i="13" s="1"/>
  <c r="B84" i="13" s="1"/>
  <c r="E84" i="13" s="1"/>
  <c r="B85" i="13" s="1"/>
  <c r="E85" i="13" s="1"/>
  <c r="B86" i="13" s="1"/>
  <c r="E86" i="13" s="1"/>
  <c r="B87" i="13" s="1"/>
  <c r="E87" i="13" s="1"/>
  <c r="B88" i="13" s="1"/>
  <c r="E88" i="13" s="1"/>
  <c r="B89" i="13" s="1"/>
  <c r="E89" i="13" s="1"/>
  <c r="B90" i="13" s="1"/>
  <c r="E90" i="13" s="1"/>
  <c r="B91" i="13" s="1"/>
  <c r="E91" i="13" s="1"/>
  <c r="B92" i="13" s="1"/>
  <c r="E92" i="13" s="1"/>
  <c r="B93" i="13" s="1"/>
  <c r="E93" i="13" s="1"/>
  <c r="B94" i="13" s="1"/>
  <c r="E94" i="13" s="1"/>
  <c r="B95" i="13" s="1"/>
  <c r="E95" i="13" s="1"/>
  <c r="B96" i="13" s="1"/>
  <c r="E96" i="13" s="1"/>
  <c r="B97" i="13" s="1"/>
  <c r="E97" i="13" s="1"/>
  <c r="B98" i="13" s="1"/>
  <c r="E98" i="13" s="1"/>
  <c r="B99" i="13" s="1"/>
  <c r="E99" i="13" s="1"/>
  <c r="B100" i="13" s="1"/>
  <c r="E100" i="13" s="1"/>
  <c r="B101" i="13" s="1"/>
  <c r="E101" i="13" s="1"/>
  <c r="B102" i="13" s="1"/>
  <c r="E102" i="13" s="1"/>
  <c r="B103" i="13" s="1"/>
  <c r="E103" i="13" s="1"/>
  <c r="B104" i="13" s="1"/>
  <c r="E104" i="13" s="1"/>
  <c r="B105" i="13" s="1"/>
  <c r="E105" i="13" s="1"/>
  <c r="B106" i="13" s="1"/>
  <c r="E106" i="13" s="1"/>
  <c r="B107" i="13" s="1"/>
  <c r="E107" i="13" s="1"/>
  <c r="B108" i="13" s="1"/>
  <c r="E108" i="13" s="1"/>
  <c r="B109" i="13" s="1"/>
  <c r="E109" i="13" s="1"/>
  <c r="B110" i="13" s="1"/>
  <c r="E110" i="13" s="1"/>
  <c r="B111" i="13" s="1"/>
  <c r="E111" i="13" s="1"/>
  <c r="B112" i="13" s="1"/>
  <c r="E112" i="13" s="1"/>
  <c r="B113" i="13" s="1"/>
  <c r="E113" i="13" s="1"/>
  <c r="B114" i="13" s="1"/>
  <c r="E114" i="13" s="1"/>
  <c r="B115" i="13" s="1"/>
  <c r="E115" i="13" s="1"/>
  <c r="B116" i="13" s="1"/>
  <c r="E116" i="13" s="1"/>
  <c r="B117" i="13" s="1"/>
  <c r="E117" i="13" s="1"/>
  <c r="B118" i="13" s="1"/>
  <c r="E118" i="13" s="1"/>
  <c r="B119" i="13" s="1"/>
  <c r="E119" i="13" s="1"/>
  <c r="B120" i="13" s="1"/>
  <c r="E120" i="13" s="1"/>
  <c r="B121" i="13" s="1"/>
  <c r="E121" i="13" s="1"/>
  <c r="B122" i="13" s="1"/>
  <c r="E122" i="13" s="1"/>
  <c r="B123" i="13" s="1"/>
  <c r="E123" i="13" s="1"/>
  <c r="B124" i="13" s="1"/>
  <c r="E124" i="13" s="1"/>
  <c r="B125" i="13" s="1"/>
  <c r="E125" i="13" s="1"/>
  <c r="B126" i="13" s="1"/>
  <c r="E126" i="13" s="1"/>
  <c r="B127" i="13" s="1"/>
  <c r="E127" i="13" s="1"/>
  <c r="B128" i="13" s="1"/>
  <c r="E128" i="13" s="1"/>
  <c r="B129" i="13" s="1"/>
  <c r="E129" i="13" s="1"/>
  <c r="B130" i="13" s="1"/>
  <c r="E130" i="13" s="1"/>
  <c r="B131" i="13" s="1"/>
  <c r="E131" i="13" s="1"/>
  <c r="B132" i="13" s="1"/>
  <c r="E132" i="13" s="1"/>
  <c r="B133" i="13" s="1"/>
  <c r="E133" i="13" s="1"/>
  <c r="B134" i="13" s="1"/>
  <c r="E134" i="13" s="1"/>
  <c r="B135" i="13" s="1"/>
  <c r="E135" i="13" s="1"/>
  <c r="B136" i="13" s="1"/>
  <c r="E136" i="13" s="1"/>
  <c r="Q16" i="10" a="1"/>
  <c r="Q16" i="10" s="1"/>
  <c r="S16" i="10" s="1"/>
  <c r="C4" i="13"/>
  <c r="D4" i="13" s="1" a="1"/>
  <c r="D4" i="13" s="1"/>
  <c r="F6" i="10" s="1"/>
  <c r="G6" i="10" s="1"/>
  <c r="B4" i="13"/>
  <c r="E6" i="10" s="1"/>
</calcChain>
</file>

<file path=xl/sharedStrings.xml><?xml version="1.0" encoding="utf-8"?>
<sst xmlns="http://schemas.openxmlformats.org/spreadsheetml/2006/main" count="4001" uniqueCount="1012">
  <si>
    <r>
      <rPr>
        <sz val="12"/>
        <color theme="1"/>
        <rFont val="Aptos"/>
        <family val="2"/>
      </rPr>
      <t xml:space="preserve">Here is the </t>
    </r>
    <r>
      <rPr>
        <b/>
        <sz val="12"/>
        <color theme="1"/>
        <rFont val="Aptos"/>
        <family val="2"/>
      </rPr>
      <t>percentage of total household investables</t>
    </r>
    <r>
      <rPr>
        <sz val="12"/>
        <color theme="1"/>
        <rFont val="Aptos"/>
        <family val="2"/>
      </rPr>
      <t xml:space="preserve"> ($1,118,616) for each individual asset/fund, based on the target weights and current account balances you provided.</t>
    </r>
  </si>
  <si>
    <r>
      <rPr>
        <b/>
        <sz val="12"/>
        <color theme="1"/>
        <rFont val="Aptos"/>
        <family val="2"/>
      </rPr>
      <t>Total Household Investables</t>
    </r>
    <r>
      <rPr>
        <sz val="12"/>
        <color theme="1"/>
        <rFont val="Aptos"/>
        <family val="2"/>
      </rPr>
      <t xml:space="preserve">: </t>
    </r>
    <r>
      <rPr>
        <b/>
        <sz val="12"/>
        <color theme="1"/>
        <rFont val="Aptos"/>
        <family val="2"/>
      </rPr>
      <t>$1,118,616</t>
    </r>
    <r>
      <rPr>
        <sz val="12"/>
        <color theme="1"/>
        <rFont val="Aptos"/>
        <family val="2"/>
      </rPr>
      <t xml:space="preserve"> (Crypto + M1 + TSP + Cleveland Clinic 403(b))</t>
    </r>
  </si>
  <si>
    <t>Crypto Assets (Total Crypto: $16,700 → 1.49% of household)</t>
  </si>
  <si>
    <r>
      <rPr>
        <sz val="12"/>
        <color theme="1"/>
        <rFont val="Aptos"/>
        <family val="2"/>
      </rPr>
      <t xml:space="preserve">BTC: </t>
    </r>
    <r>
      <rPr>
        <b/>
        <sz val="12"/>
        <color theme="1"/>
        <rFont val="Aptos"/>
        <family val="2"/>
      </rPr>
      <t>$6,680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0.60%</t>
    </r>
  </si>
  <si>
    <r>
      <rPr>
        <sz val="12"/>
        <color theme="1"/>
        <rFont val="Aptos"/>
        <family val="2"/>
      </rPr>
      <t xml:space="preserve">ETH: </t>
    </r>
    <r>
      <rPr>
        <b/>
        <sz val="12"/>
        <color theme="1"/>
        <rFont val="Aptos"/>
        <family val="2"/>
      </rPr>
      <t>$3,340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0.30%</t>
    </r>
  </si>
  <si>
    <r>
      <rPr>
        <sz val="12"/>
        <color theme="1"/>
        <rFont val="Aptos"/>
        <family val="2"/>
      </rPr>
      <t xml:space="preserve">SOL: </t>
    </r>
    <r>
      <rPr>
        <b/>
        <sz val="12"/>
        <color theme="1"/>
        <rFont val="Aptos"/>
        <family val="2"/>
      </rPr>
      <t>$1,670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0.15%</t>
    </r>
  </si>
  <si>
    <r>
      <rPr>
        <sz val="12"/>
        <color theme="1"/>
        <rFont val="Aptos"/>
        <family val="2"/>
      </rPr>
      <t xml:space="preserve">BNB: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</si>
  <si>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LINK: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</si>
  <si>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TAO: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</si>
  <si>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HYPE: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</si>
  <si>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XRP: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</si>
  <si>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TRX: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</si>
  <si>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AVAX: </t>
    </r>
    <r>
      <rPr>
        <b/>
        <sz val="12"/>
        <color theme="1"/>
        <rFont val="Aptos"/>
        <family val="2"/>
      </rPr>
      <t>$334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0.03%</t>
    </r>
  </si>
  <si>
    <t>M1 Finance Pie Assets (Total M1: $85,600 → 7.65% of household)</t>
  </si>
  <si>
    <r>
      <rPr>
        <sz val="12"/>
        <color theme="1"/>
        <rFont val="Aptos"/>
        <family val="2"/>
      </rPr>
      <t xml:space="preserve">VOO: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</si>
  <si>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VEA: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</si>
  <si>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VWO: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</si>
  <si>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IVOV: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</si>
  <si>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VIOV: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</si>
  <si>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VNQ: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0.38%</t>
    </r>
  </si>
  <si>
    <t>TSP Assets (Total TSP: $526,714 → 47.09% of household)</t>
  </si>
  <si>
    <r>
      <rPr>
        <sz val="12"/>
        <color theme="1"/>
        <rFont val="Aptos"/>
        <family val="2"/>
      </rPr>
      <t xml:space="preserve">C Fund: </t>
    </r>
    <r>
      <rPr>
        <b/>
        <sz val="12"/>
        <color theme="1"/>
        <rFont val="Aptos"/>
        <family val="2"/>
      </rPr>
      <t>$263,357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23.55%</t>
    </r>
  </si>
  <si>
    <r>
      <rPr>
        <sz val="12"/>
        <color theme="1"/>
        <rFont val="Aptos"/>
        <family val="2"/>
      </rPr>
      <t xml:space="preserve">S Fund: </t>
    </r>
    <r>
      <rPr>
        <b/>
        <sz val="12"/>
        <color theme="1"/>
        <rFont val="Aptos"/>
        <family val="2"/>
      </rPr>
      <t>$105,343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9.42%</t>
    </r>
  </si>
  <si>
    <r>
      <rPr>
        <sz val="12"/>
        <color theme="1"/>
        <rFont val="Aptos"/>
        <family val="2"/>
      </rPr>
      <t xml:space="preserve">I Fund: </t>
    </r>
    <r>
      <rPr>
        <b/>
        <sz val="12"/>
        <color theme="1"/>
        <rFont val="Aptos"/>
        <family val="2"/>
      </rPr>
      <t>$158,014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14.13%</t>
    </r>
  </si>
  <si>
    <t>Cleveland Clinic 403(b) Assets (Total 403(b): $489,602 → 43.77% of household)</t>
  </si>
  <si>
    <r>
      <rPr>
        <sz val="12"/>
        <color theme="1"/>
        <rFont val="Aptos"/>
        <family val="2"/>
      </rPr>
      <t xml:space="preserve">VIIIX: </t>
    </r>
    <r>
      <rPr>
        <b/>
        <sz val="12"/>
        <color theme="1"/>
        <rFont val="Aptos"/>
        <family val="2"/>
      </rPr>
      <t>$244,801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21.89%</t>
    </r>
  </si>
  <si>
    <r>
      <rPr>
        <sz val="12"/>
        <color theme="1"/>
        <rFont val="Aptos"/>
        <family val="2"/>
      </rPr>
      <t xml:space="preserve">VEMPX: </t>
    </r>
    <r>
      <rPr>
        <b/>
        <sz val="12"/>
        <color theme="1"/>
        <rFont val="Aptos"/>
        <family val="2"/>
      </rPr>
      <t>$97,920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8.75%</t>
    </r>
  </si>
  <si>
    <r>
      <rPr>
        <sz val="12"/>
        <color theme="1"/>
        <rFont val="Aptos"/>
        <family val="2"/>
      </rPr>
      <t xml:space="preserve">VTPSX: </t>
    </r>
    <r>
      <rPr>
        <b/>
        <sz val="12"/>
        <color theme="1"/>
        <rFont val="Aptos"/>
        <family val="2"/>
      </rPr>
      <t>$146,881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13.13%</t>
    </r>
  </si>
  <si>
    <t>Summary by Major Category</t>
  </si>
  <si>
    <r>
      <rPr>
        <b/>
        <sz val="12"/>
        <color theme="1"/>
        <rFont val="Aptos"/>
        <family val="2"/>
      </rPr>
      <t>U.S. Large-Cap Equities</t>
    </r>
    <r>
      <rPr>
        <sz val="12"/>
        <color theme="1"/>
        <rFont val="Aptos"/>
        <family val="2"/>
      </rPr>
      <t xml:space="preserve"> (VOO + VIIIX + C Fund): </t>
    </r>
    <r>
      <rPr>
        <b/>
        <sz val="12"/>
        <color theme="1"/>
        <rFont val="Aptos"/>
        <family val="2"/>
      </rPr>
      <t>~$529,558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~47.3%</t>
    </r>
  </si>
  <si>
    <r>
      <rPr>
        <b/>
        <sz val="12"/>
        <color theme="1"/>
        <rFont val="Aptos"/>
        <family val="2"/>
      </rPr>
      <t>U.S. Small/Mid-Cap Equities</t>
    </r>
    <r>
      <rPr>
        <sz val="12"/>
        <color theme="1"/>
        <rFont val="Aptos"/>
        <family val="2"/>
      </rPr>
      <t xml:space="preserve"> (VEMPX + S Fund + IVOV + VIOV): </t>
    </r>
    <r>
      <rPr>
        <b/>
        <sz val="12"/>
        <color theme="1"/>
        <rFont val="Aptos"/>
        <family val="2"/>
      </rPr>
      <t>~$220,383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~19.7%</t>
    </r>
  </si>
  <si>
    <r>
      <rPr>
        <b/>
        <sz val="12"/>
        <color theme="1"/>
        <rFont val="Aptos"/>
        <family val="2"/>
      </rPr>
      <t>International Equities</t>
    </r>
    <r>
      <rPr>
        <sz val="12"/>
        <color theme="1"/>
        <rFont val="Aptos"/>
        <family val="2"/>
      </rPr>
      <t xml:space="preserve"> (VTPSX + I Fund + VEA + VWO): </t>
    </r>
    <r>
      <rPr>
        <b/>
        <sz val="12"/>
        <color theme="1"/>
        <rFont val="Aptos"/>
        <family val="2"/>
      </rPr>
      <t>~$347,695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~31.1%</t>
    </r>
  </si>
  <si>
    <r>
      <rPr>
        <b/>
        <sz val="12"/>
        <color theme="1"/>
        <rFont val="Aptos"/>
        <family val="2"/>
      </rPr>
      <t>U.S. REITs</t>
    </r>
    <r>
      <rPr>
        <sz val="12"/>
        <color theme="1"/>
        <rFont val="Aptos"/>
        <family val="2"/>
      </rPr>
      <t xml:space="preserve"> (VNQ):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~0.4%</t>
    </r>
  </si>
  <si>
    <r>
      <rPr>
        <b/>
        <sz val="12"/>
        <color theme="1"/>
        <rFont val="Aptos"/>
        <family val="2"/>
      </rPr>
      <t>Crypto</t>
    </r>
    <r>
      <rPr>
        <sz val="12"/>
        <color theme="1"/>
        <rFont val="Aptos"/>
        <family val="2"/>
      </rPr>
      <t xml:space="preserve"> (all 10 assets combined): </t>
    </r>
    <r>
      <rPr>
        <b/>
        <sz val="12"/>
        <color theme="1"/>
        <rFont val="Aptos"/>
        <family val="2"/>
      </rPr>
      <t>$16,700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~1.5%</t>
    </r>
  </si>
  <si>
    <t>Liquid Cash</t>
  </si>
  <si>
    <t>Total Assets</t>
  </si>
  <si>
    <t>Proposed</t>
  </si>
  <si>
    <t>Current</t>
  </si>
  <si>
    <t>Crypto Deposit</t>
  </si>
  <si>
    <t>Cash On Hand</t>
  </si>
  <si>
    <t>Total Liabilities</t>
  </si>
  <si>
    <t>Stocks</t>
  </si>
  <si>
    <t>Crypto Profit</t>
  </si>
  <si>
    <t>1 yr</t>
  </si>
  <si>
    <t>PayPal</t>
  </si>
  <si>
    <t>Net Worth</t>
  </si>
  <si>
    <t>Crypto</t>
  </si>
  <si>
    <t>M1 Deposit</t>
  </si>
  <si>
    <t>2 yr</t>
  </si>
  <si>
    <t>Huntington Checking</t>
  </si>
  <si>
    <t>M1 Profit</t>
  </si>
  <si>
    <t>3 yr</t>
  </si>
  <si>
    <t>PNC Checking</t>
  </si>
  <si>
    <t>Liabilities</t>
  </si>
  <si>
    <t>M1 Finance</t>
  </si>
  <si>
    <t>DFS Deposit</t>
  </si>
  <si>
    <t>4 yr</t>
  </si>
  <si>
    <t>PNC Savings</t>
  </si>
  <si>
    <t>Rocket Mortgage</t>
  </si>
  <si>
    <t>Kraken</t>
  </si>
  <si>
    <t>DFS Profit</t>
  </si>
  <si>
    <t>5 yr</t>
  </si>
  <si>
    <t>Total Liquid Cash</t>
  </si>
  <si>
    <t>Lormet</t>
  </si>
  <si>
    <t>New Deposit</t>
  </si>
  <si>
    <t>Total Deposit</t>
  </si>
  <si>
    <t>6 yr</t>
  </si>
  <si>
    <t>GM Financial</t>
  </si>
  <si>
    <t>Total</t>
  </si>
  <si>
    <t>Total Profit</t>
  </si>
  <si>
    <t>7 yr</t>
  </si>
  <si>
    <t>Savings Investments</t>
  </si>
  <si>
    <t>Deposit</t>
  </si>
  <si>
    <t>8 yr</t>
  </si>
  <si>
    <t>Isaac - M1</t>
  </si>
  <si>
    <t>9 yr</t>
  </si>
  <si>
    <t>Regan-M1</t>
  </si>
  <si>
    <t>Available Cash</t>
  </si>
  <si>
    <t>BinanceUS</t>
  </si>
  <si>
    <t>12/31 Crypto Bal</t>
  </si>
  <si>
    <t>10 yr</t>
  </si>
  <si>
    <t>Crypto - Kraken</t>
  </si>
  <si>
    <t>2023 Crypto Deposit</t>
  </si>
  <si>
    <t>2023 Crypto Withdraw</t>
  </si>
  <si>
    <t>Current Net Worth</t>
  </si>
  <si>
    <t>2026 Current Gain</t>
  </si>
  <si>
    <t>Current Crypto Bal</t>
  </si>
  <si>
    <t>2023 Crypto Return</t>
  </si>
  <si>
    <t>2026 Projected</t>
  </si>
  <si>
    <t>2026 Projected Gain</t>
  </si>
  <si>
    <t>DFS</t>
  </si>
  <si>
    <t>Total Invested</t>
  </si>
  <si>
    <t>Total Savings Investments</t>
  </si>
  <si>
    <t>Asset Type</t>
  </si>
  <si>
    <t>Net Worth Balance</t>
  </si>
  <si>
    <t>Net Worth Pct</t>
  </si>
  <si>
    <t>C Fund - US Large Cap</t>
  </si>
  <si>
    <t>TSP</t>
  </si>
  <si>
    <t>Goal</t>
  </si>
  <si>
    <t>Distance</t>
  </si>
  <si>
    <t>VIIIX - US Large Cap</t>
  </si>
  <si>
    <t>Clinic</t>
  </si>
  <si>
    <t>Retirement Investments</t>
  </si>
  <si>
    <t>Kids Savings</t>
  </si>
  <si>
    <t>VOO - US Large Cap</t>
  </si>
  <si>
    <t>M1</t>
  </si>
  <si>
    <t>TSP Civilian</t>
  </si>
  <si>
    <t>Stock Investments</t>
  </si>
  <si>
    <t>I Fund - International</t>
  </si>
  <si>
    <t>TSP Uniformed Service</t>
  </si>
  <si>
    <t>Crypto Investments</t>
  </si>
  <si>
    <t>VTPSX - International</t>
  </si>
  <si>
    <t>Cleveland Clinic 403b</t>
  </si>
  <si>
    <t>VEA - International</t>
  </si>
  <si>
    <t>Cleveland Clinic 401a</t>
  </si>
  <si>
    <t>Real Estate</t>
  </si>
  <si>
    <t>VWO - International</t>
  </si>
  <si>
    <t>Total Retirement Investments</t>
  </si>
  <si>
    <t>Vehicles</t>
  </si>
  <si>
    <t>S Fund - US Small/Mid Cap</t>
  </si>
  <si>
    <t>VEMPX - US Small/Mid Cap</t>
  </si>
  <si>
    <t>IVOV - US Small/Mid Cap</t>
  </si>
  <si>
    <t>Main Home - Redfin</t>
  </si>
  <si>
    <t>VIOV - US Small/Mid Cap</t>
  </si>
  <si>
    <t>Rental Property - Redfin</t>
  </si>
  <si>
    <t>Real</t>
  </si>
  <si>
    <t>Total Property Values</t>
  </si>
  <si>
    <t>VNQ - US REIT</t>
  </si>
  <si>
    <t>2019 Chevy Silverado (JAF3923)</t>
  </si>
  <si>
    <t>2019 Toyota Rav 4 (JZJ5569)</t>
  </si>
  <si>
    <t>US Large Cap</t>
  </si>
  <si>
    <t>2013 Toyota Corolla (KLM2660)</t>
  </si>
  <si>
    <t>International</t>
  </si>
  <si>
    <t>2005 Gulf Stream Sun Voyager (HEH3760)</t>
  </si>
  <si>
    <t>US Small/Mid Cap</t>
  </si>
  <si>
    <t>Total Vehicle Values</t>
  </si>
  <si>
    <t>2003 Toyota Corolla (KFB5773)</t>
  </si>
  <si>
    <t>Totals</t>
  </si>
  <si>
    <t>2008 Honda Fit (EJV3194)</t>
  </si>
  <si>
    <t>2001 EZGO (KKB6096)</t>
  </si>
  <si>
    <t>Actual</t>
  </si>
  <si>
    <t>Income</t>
  </si>
  <si>
    <t>Needs</t>
  </si>
  <si>
    <t>Wants</t>
  </si>
  <si>
    <t>Savings</t>
  </si>
  <si>
    <t>Lorri Pay</t>
  </si>
  <si>
    <t>Isaac Pay</t>
  </si>
  <si>
    <t>Isaac Guard</t>
  </si>
  <si>
    <t>Monthly Difference</t>
  </si>
  <si>
    <t>Rental</t>
  </si>
  <si>
    <t>Variable Savings</t>
  </si>
  <si>
    <t>2026 PROPOSED BUDGET</t>
  </si>
  <si>
    <t>MONTHLY</t>
  </si>
  <si>
    <t>%</t>
  </si>
  <si>
    <t>ANNUAL</t>
  </si>
  <si>
    <t>WEEKLY</t>
  </si>
  <si>
    <t>TOTALS</t>
  </si>
  <si>
    <t>Gross Pay</t>
  </si>
  <si>
    <t>D</t>
  </si>
  <si>
    <t>Groceries/Household</t>
  </si>
  <si>
    <t>Health/Life Insurance</t>
  </si>
  <si>
    <t>Dining Out</t>
  </si>
  <si>
    <t>Retirement</t>
  </si>
  <si>
    <t>Misc Food</t>
  </si>
  <si>
    <t>Pre-Tax Deductions</t>
  </si>
  <si>
    <t>Gasoline</t>
  </si>
  <si>
    <t>Family Entertainment</t>
  </si>
  <si>
    <t>Taxable Pay</t>
  </si>
  <si>
    <t>Miscellaneous Spending</t>
  </si>
  <si>
    <t>Department Stores/Clothes</t>
  </si>
  <si>
    <t>Federal Tax</t>
  </si>
  <si>
    <t>Alcohol/Bars</t>
  </si>
  <si>
    <t>Ohio Tax</t>
  </si>
  <si>
    <t>Medicare</t>
  </si>
  <si>
    <t>F</t>
  </si>
  <si>
    <t>Social Security</t>
  </si>
  <si>
    <t>EH Roberts</t>
  </si>
  <si>
    <t>FERS Retirement</t>
  </si>
  <si>
    <t>Verizon Wireless</t>
  </si>
  <si>
    <t>Cleveland Tax</t>
  </si>
  <si>
    <t>Spectrum TV/Internet</t>
  </si>
  <si>
    <t>Employee Taxes</t>
  </si>
  <si>
    <t>First Energy</t>
  </si>
  <si>
    <t>Vivint Home Security</t>
  </si>
  <si>
    <t>Combined Take Home</t>
  </si>
  <si>
    <t>Columbia Gas</t>
  </si>
  <si>
    <t>Medical Bills</t>
  </si>
  <si>
    <t>Guard Take Home</t>
  </si>
  <si>
    <t>Planet Fitness</t>
  </si>
  <si>
    <t>Rental Income</t>
  </si>
  <si>
    <t>Lowes Rewards</t>
  </si>
  <si>
    <t>Wells Fargo - Pool</t>
  </si>
  <si>
    <t>Total Take Home</t>
  </si>
  <si>
    <t>Wells Fargo - Deck</t>
  </si>
  <si>
    <t>Massage Envy</t>
  </si>
  <si>
    <t>Streaming/Music</t>
  </si>
  <si>
    <t>ISAAC</t>
  </si>
  <si>
    <t>GM Financial/Toyota</t>
  </si>
  <si>
    <t>PAY PERIOD</t>
  </si>
  <si>
    <t>Ohio Turnpike</t>
  </si>
  <si>
    <t>Water Bill - Main</t>
  </si>
  <si>
    <t>Water Bill - Rental</t>
  </si>
  <si>
    <t>Health Ins</t>
  </si>
  <si>
    <t>R</t>
  </si>
  <si>
    <t>Vehicle Maintenance</t>
  </si>
  <si>
    <t>Car Insurance</t>
  </si>
  <si>
    <t>Rental Garbage</t>
  </si>
  <si>
    <t>Garbage</t>
  </si>
  <si>
    <t>Sanitation - Main</t>
  </si>
  <si>
    <t>Camping/Vacation</t>
  </si>
  <si>
    <t>Home Maintenance</t>
  </si>
  <si>
    <t>Rental Repairs</t>
  </si>
  <si>
    <t>Rental Insurance</t>
  </si>
  <si>
    <t>Rental Property Taxes</t>
  </si>
  <si>
    <t>Rental Sanitation</t>
  </si>
  <si>
    <t>Take Home</t>
  </si>
  <si>
    <t>S</t>
  </si>
  <si>
    <t>Our Savings</t>
  </si>
  <si>
    <t>LORRI</t>
  </si>
  <si>
    <t>GTL</t>
  </si>
  <si>
    <t>Gross Earnings</t>
  </si>
  <si>
    <t>Life Insurance</t>
  </si>
  <si>
    <t>Dental</t>
  </si>
  <si>
    <t>PTOTRDN</t>
  </si>
  <si>
    <t>Month</t>
  </si>
  <si>
    <t>L</t>
  </si>
  <si>
    <t>I</t>
  </si>
  <si>
    <t>P Income</t>
  </si>
  <si>
    <t>A Income</t>
  </si>
  <si>
    <t>Diff</t>
  </si>
  <si>
    <t>% Over</t>
  </si>
  <si>
    <t>P Spending</t>
  </si>
  <si>
    <t>A Spending</t>
  </si>
  <si>
    <t>% Under</t>
  </si>
  <si>
    <t>P Savings</t>
  </si>
  <si>
    <t>A Savings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</si>
  <si>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</si>
  <si>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</si>
  <si>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</si>
  <si>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</si>
  <si>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</si>
  <si>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</si>
  <si>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</si>
  <si>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</si>
  <si>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</si>
  <si>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</si>
  <si>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</si>
  <si>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</si>
  <si>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 Fixed</t>
  </si>
  <si>
    <t>A Fixed</t>
  </si>
  <si>
    <t>P Non-Fixed</t>
  </si>
  <si>
    <t>A Non-Fixed</t>
  </si>
  <si>
    <t>P NMB</t>
  </si>
  <si>
    <t>A NMB</t>
  </si>
  <si>
    <t>Monthly</t>
  </si>
  <si>
    <t xml:space="preserve">% </t>
  </si>
  <si>
    <t>Average</t>
  </si>
  <si>
    <t>Spent</t>
  </si>
  <si>
    <t>Difference</t>
  </si>
  <si>
    <t>Under</t>
  </si>
  <si>
    <t>Budget</t>
  </si>
  <si>
    <t>ID</t>
  </si>
  <si>
    <t>SPEND ACCOUNT</t>
  </si>
  <si>
    <t>Made</t>
  </si>
  <si>
    <t>More</t>
  </si>
  <si>
    <t>Lorri Income</t>
  </si>
  <si>
    <t>Isaac Income</t>
  </si>
  <si>
    <t>Isaac Guard Income</t>
  </si>
  <si>
    <t>Date</t>
  </si>
  <si>
    <t>Description</t>
  </si>
  <si>
    <t>Checking Account Balance</t>
  </si>
  <si>
    <t>PNC (I)</t>
  </si>
  <si>
    <t>PNC (L)</t>
  </si>
  <si>
    <t>Chase (I)</t>
  </si>
  <si>
    <t>Chase (L)</t>
  </si>
  <si>
    <t>#1 (8539)</t>
  </si>
  <si>
    <t>#2 (4990)</t>
  </si>
  <si>
    <t>#3 (5153)</t>
  </si>
  <si>
    <t>#4 (2711)</t>
  </si>
  <si>
    <t>#6 (5411)</t>
  </si>
  <si>
    <t>Available Credit</t>
  </si>
  <si>
    <t>DEBIT</t>
  </si>
  <si>
    <t>CREDIT</t>
  </si>
  <si>
    <t>BALANCE</t>
  </si>
  <si>
    <t>s</t>
  </si>
  <si>
    <t>April Savings</t>
  </si>
  <si>
    <t>r</t>
  </si>
  <si>
    <t>x</t>
  </si>
  <si>
    <t>Sanitation Bill</t>
  </si>
  <si>
    <t>d</t>
  </si>
  <si>
    <t>Transfer to Venmo - Nurses Week Breakfast</t>
  </si>
  <si>
    <t>i</t>
  </si>
  <si>
    <t>Isaac Pay Check</t>
  </si>
  <si>
    <t>Lorri Pay Check</t>
  </si>
  <si>
    <t>f</t>
  </si>
  <si>
    <t>BP Global</t>
  </si>
  <si>
    <t>Friendship</t>
  </si>
  <si>
    <t>Puerto Rico - Cash</t>
  </si>
  <si>
    <t>cash</t>
  </si>
  <si>
    <t>April Rent</t>
  </si>
  <si>
    <t>Amazon Marketplace</t>
  </si>
  <si>
    <t>Chipotle</t>
  </si>
  <si>
    <t>Transfer to Regan</t>
  </si>
  <si>
    <t>Transfer to Julie</t>
  </si>
  <si>
    <t>Heinens Grocery Store</t>
  </si>
  <si>
    <t>Julie State Tax Return</t>
  </si>
  <si>
    <t>Walmart</t>
  </si>
  <si>
    <t>Lorri Golf Outing</t>
  </si>
  <si>
    <t>Coopershawk</t>
  </si>
  <si>
    <t>Biggby Coffee</t>
  </si>
  <si>
    <t>Speedway</t>
  </si>
  <si>
    <t>ALDI</t>
  </si>
  <si>
    <t>Uber</t>
  </si>
  <si>
    <t>MCO LGC</t>
  </si>
  <si>
    <t>Spectrum</t>
  </si>
  <si>
    <t>Rumpke Waste</t>
  </si>
  <si>
    <t>Isaac Guard Check</t>
  </si>
  <si>
    <t>Orlando Market</t>
  </si>
  <si>
    <t>Paninis</t>
  </si>
  <si>
    <t>Lorain Smokes and Beverage</t>
  </si>
  <si>
    <t>Target</t>
  </si>
  <si>
    <t>Transfer to Venmo - Raffle Tickets</t>
  </si>
  <si>
    <t>MyClevelandClinic Org</t>
  </si>
  <si>
    <t>Spotify</t>
  </si>
  <si>
    <t>Aramark Cleveland</t>
  </si>
  <si>
    <t>Barrio</t>
  </si>
  <si>
    <t>Mr. Hero</t>
  </si>
  <si>
    <t>ARCO</t>
  </si>
  <si>
    <t>Disney+</t>
  </si>
  <si>
    <t>Sams Club</t>
  </si>
  <si>
    <t>Crepes in the City</t>
  </si>
  <si>
    <t>84 Lumber</t>
  </si>
  <si>
    <t>Olive Garden</t>
  </si>
  <si>
    <t>City of Lorain</t>
  </si>
  <si>
    <t>Sheetz</t>
  </si>
  <si>
    <t>xx</t>
  </si>
  <si>
    <t>Columbia Gas - Rental</t>
  </si>
  <si>
    <t>Lorri - Hair</t>
  </si>
  <si>
    <t>Shein</t>
  </si>
  <si>
    <t>Vecchio - Lorri Dentist</t>
  </si>
  <si>
    <t>Claude</t>
  </si>
  <si>
    <t>Harbor Freight</t>
  </si>
  <si>
    <t>Julie Tax Filing</t>
  </si>
  <si>
    <t>Toyota Starter</t>
  </si>
  <si>
    <t>Shop Funds</t>
  </si>
  <si>
    <t>Uber Eats</t>
  </si>
  <si>
    <t>Raising Canes</t>
  </si>
  <si>
    <t>Circle K</t>
  </si>
  <si>
    <t>Dunkin Donuts</t>
  </si>
  <si>
    <t>Laporte Inn</t>
  </si>
  <si>
    <t>Booking.com</t>
  </si>
  <si>
    <t>Pulp</t>
  </si>
  <si>
    <t>Netflix</t>
  </si>
  <si>
    <t>Marcos Pizza</t>
  </si>
  <si>
    <t>Bowling Fees</t>
  </si>
  <si>
    <t>Gulf Oil</t>
  </si>
  <si>
    <t>Mahd House</t>
  </si>
  <si>
    <t>Hotshots Bar &amp; Grill</t>
  </si>
  <si>
    <t>McDonalds</t>
  </si>
  <si>
    <t>SP Med Threads</t>
  </si>
  <si>
    <t>Community West Foundation</t>
  </si>
  <si>
    <t>Lowes Rewards - Kitchen</t>
  </si>
  <si>
    <t>Fairview Convienient</t>
  </si>
  <si>
    <t>Sunoco</t>
  </si>
  <si>
    <t>Bob Evans</t>
  </si>
  <si>
    <t>Golf Outing</t>
  </si>
  <si>
    <t>LOC Citizens</t>
  </si>
  <si>
    <t>Vivint</t>
  </si>
  <si>
    <t>Apples</t>
  </si>
  <si>
    <t>Home Depot</t>
  </si>
  <si>
    <t>Orange Theory</t>
  </si>
  <si>
    <t>Taco Bell</t>
  </si>
  <si>
    <t>Regan Clothes</t>
  </si>
  <si>
    <t>My Corner Bar</t>
  </si>
  <si>
    <t>Transfer to Kids Savings</t>
  </si>
  <si>
    <t>Pandora</t>
  </si>
  <si>
    <t>Hunan King</t>
  </si>
  <si>
    <t>Transfer to Savings</t>
  </si>
  <si>
    <t>Transfer to Venmo - Kim Conners; ParTee Golf</t>
  </si>
  <si>
    <t>Crumbl</t>
  </si>
  <si>
    <t>Dicks Sporting Goods</t>
  </si>
  <si>
    <t>Sweeties Candy</t>
  </si>
  <si>
    <t>Sweeties Soda Shoppe</t>
  </si>
  <si>
    <t>March Rent</t>
  </si>
  <si>
    <t>Wingstop</t>
  </si>
  <si>
    <t>McJames Sports Pub</t>
  </si>
  <si>
    <t>Burger King</t>
  </si>
  <si>
    <t>West Park</t>
  </si>
  <si>
    <t>CCF Parking Services</t>
  </si>
  <si>
    <t>Transfer to Venmo</t>
  </si>
  <si>
    <t>Arbys</t>
  </si>
  <si>
    <t>Cash App - Joe Spencer</t>
  </si>
  <si>
    <t>First Watch</t>
  </si>
  <si>
    <t>Trader Joes</t>
  </si>
  <si>
    <t>Mochinut</t>
  </si>
  <si>
    <t>Night at Races</t>
  </si>
  <si>
    <t>Pull Tabs</t>
  </si>
  <si>
    <t>Lowes</t>
  </si>
  <si>
    <t>Action Network</t>
  </si>
  <si>
    <t>Northfield Park</t>
  </si>
  <si>
    <t>Don Tequila</t>
  </si>
  <si>
    <t>Apple TV</t>
  </si>
  <si>
    <t xml:space="preserve">Lormet </t>
  </si>
  <si>
    <t>Regan - Cash</t>
  </si>
  <si>
    <t>Applebees</t>
  </si>
  <si>
    <t>Cleveland Clinic - Family Medical</t>
  </si>
  <si>
    <t>Dart Connect</t>
  </si>
  <si>
    <t>February Rent</t>
  </si>
  <si>
    <t>Chick-fil-A</t>
  </si>
  <si>
    <t>Cleveland Maennerchor</t>
  </si>
  <si>
    <t>Kintaro</t>
  </si>
  <si>
    <t>Table Capture</t>
  </si>
  <si>
    <t>ATM Fee Reimbursement</t>
  </si>
  <si>
    <t>Transfer to Venmo - Patti Akins; Retirement Gift</t>
  </si>
  <si>
    <t>Five Guys</t>
  </si>
  <si>
    <t>Cleveland Clinic - Lorri Labs</t>
  </si>
  <si>
    <t>Payment to Chase</t>
  </si>
  <si>
    <t>Cash App - Yasmary; Vacation</t>
  </si>
  <si>
    <t>Wendys</t>
  </si>
  <si>
    <t>G&amp;J Pepsi</t>
  </si>
  <si>
    <t>7-Eleven</t>
  </si>
  <si>
    <t>Cash App - Gabbi</t>
  </si>
  <si>
    <t>Tom - Plate Registration</t>
  </si>
  <si>
    <t>Sanitation</t>
  </si>
  <si>
    <t>DoorDash</t>
  </si>
  <si>
    <t>February Savings</t>
  </si>
  <si>
    <t>Transfer to Venmo - Sarah Ridenour; Dinner</t>
  </si>
  <si>
    <t>Transfer from Venmo</t>
  </si>
  <si>
    <t>Discount Drug Mart</t>
  </si>
  <si>
    <t>ATM Withdrawal</t>
  </si>
  <si>
    <t>X-Golf</t>
  </si>
  <si>
    <t>GetGo</t>
  </si>
  <si>
    <t>Luckys Bar and Grill</t>
  </si>
  <si>
    <t>Julie - Car Insurance</t>
  </si>
  <si>
    <t>Austin Food</t>
  </si>
  <si>
    <t>Red Lantern</t>
  </si>
  <si>
    <t>Transfer to Venmo - Julie</t>
  </si>
  <si>
    <t>Hotel Cleveland</t>
  </si>
  <si>
    <t>Food Court</t>
  </si>
  <si>
    <t>Cash App - Julie</t>
  </si>
  <si>
    <t>Casino/SFTH Drinks</t>
  </si>
  <si>
    <t>Community West Foundation - Raffle Tickets</t>
  </si>
  <si>
    <t>North Ridge Laser Wash</t>
  </si>
  <si>
    <t>Mens Wearhouse</t>
  </si>
  <si>
    <t>Kohls</t>
  </si>
  <si>
    <t>Marcs</t>
  </si>
  <si>
    <t>Checking Interest</t>
  </si>
  <si>
    <t>First Energy - Rental</t>
  </si>
  <si>
    <t>Smoothie King</t>
  </si>
  <si>
    <t>Venmo - Football Squares</t>
  </si>
  <si>
    <t>Qdoba</t>
  </si>
  <si>
    <t>Vending Machine</t>
  </si>
  <si>
    <t>Lowes - Kitchen Remodel</t>
  </si>
  <si>
    <t>Drug Mart</t>
  </si>
  <si>
    <t>Menards - Kitchen Remodel</t>
  </si>
  <si>
    <t>Shell</t>
  </si>
  <si>
    <t>Venmo - Work Party</t>
  </si>
  <si>
    <t>Meijer</t>
  </si>
  <si>
    <t>Longhorn Steakhouse</t>
  </si>
  <si>
    <t>January Savings</t>
  </si>
  <si>
    <t>Rental Utilities</t>
  </si>
  <si>
    <t>Frontier Airlines</t>
  </si>
  <si>
    <t>Home Depot - Kitchen Remodel</t>
  </si>
  <si>
    <t>Shotz Bar</t>
  </si>
  <si>
    <t>Transfer to Venmo - Kathleen Chambers;Challenge</t>
  </si>
  <si>
    <t>Sorrento</t>
  </si>
  <si>
    <t>Cash from Casino</t>
  </si>
  <si>
    <t>Garretts Mill Diner</t>
  </si>
  <si>
    <t>Accelerated Fitness</t>
  </si>
  <si>
    <t>Guard Hotel</t>
  </si>
  <si>
    <t>Fairview Tavern</t>
  </si>
  <si>
    <t>PJ McIntyres</t>
  </si>
  <si>
    <t>Zack Drzik - Oil Change</t>
  </si>
  <si>
    <t>Winking Lizard</t>
  </si>
  <si>
    <t>January Rent</t>
  </si>
  <si>
    <t>Ohio Lottery</t>
  </si>
  <si>
    <t>Maple Grove</t>
  </si>
  <si>
    <t>Amazon Prime Membership</t>
  </si>
  <si>
    <t>Buffalo Wild Wings</t>
  </si>
  <si>
    <t>Regan Grades</t>
  </si>
  <si>
    <t>AMF Bowling</t>
  </si>
  <si>
    <t>Fat Heads Brewery</t>
  </si>
  <si>
    <t>Dillards</t>
  </si>
  <si>
    <t>Movie Tickets</t>
  </si>
  <si>
    <t>Regal Cinemas</t>
  </si>
  <si>
    <t>Quick Change</t>
  </si>
  <si>
    <t>Cash to Regan</t>
  </si>
  <si>
    <t>Comfort Inn</t>
  </si>
  <si>
    <t>z</t>
  </si>
  <si>
    <t>Starting Checking Balance</t>
  </si>
  <si>
    <t>TOTAL BALANCE</t>
  </si>
  <si>
    <t>SAVINGS</t>
  </si>
  <si>
    <t>CC REWARDS - XMAS</t>
  </si>
  <si>
    <t>DIFF:</t>
  </si>
  <si>
    <t>BAL:</t>
  </si>
  <si>
    <t>SPENT</t>
  </si>
  <si>
    <t>Amount</t>
  </si>
  <si>
    <t>Amount ($25) Per Week</t>
  </si>
  <si>
    <t>Interest ($625)</t>
  </si>
  <si>
    <t>SAVED</t>
  </si>
  <si>
    <t>DATE</t>
  </si>
  <si>
    <t>TOTAL</t>
  </si>
  <si>
    <t>DESCRIPTION</t>
  </si>
  <si>
    <t>April Transfer</t>
  </si>
  <si>
    <t>Lorri CC Rewards</t>
  </si>
  <si>
    <t>Interest Payment</t>
  </si>
  <si>
    <t>84 Lumber - Deck</t>
  </si>
  <si>
    <t>Toyota Corolla Starter</t>
  </si>
  <si>
    <t>Lorri - Columbus</t>
  </si>
  <si>
    <t>Isaac CC Rewards</t>
  </si>
  <si>
    <t>March Savings</t>
  </si>
  <si>
    <t>March Transfer</t>
  </si>
  <si>
    <t>Drew Bachtell - Labor</t>
  </si>
  <si>
    <t>Transaction Fee</t>
  </si>
  <si>
    <t>Hardrock</t>
  </si>
  <si>
    <t>Caesars</t>
  </si>
  <si>
    <t>Fanduel</t>
  </si>
  <si>
    <t>Bet365</t>
  </si>
  <si>
    <t>BetMGM</t>
  </si>
  <si>
    <t>Draftkings</t>
  </si>
  <si>
    <t>Nashville - Julie</t>
  </si>
  <si>
    <t>Puerto Rico - Excursion</t>
  </si>
  <si>
    <t>February Transfer</t>
  </si>
  <si>
    <t>Kitchen Remodel</t>
  </si>
  <si>
    <t>Jack Casino</t>
  </si>
  <si>
    <t>Property Taxes</t>
  </si>
  <si>
    <t>Puerto Rico House/Car</t>
  </si>
  <si>
    <t>Puerto Rico Airfare</t>
  </si>
  <si>
    <t>January Transfer</t>
  </si>
  <si>
    <t>Casino</t>
  </si>
  <si>
    <t>Oil Change - 13 Corolla</t>
  </si>
  <si>
    <t>Nashville</t>
  </si>
  <si>
    <t>Cleveland Clinic - Grocery Reimburse</t>
  </si>
  <si>
    <t>Toyota Rav4 Oil Change</t>
  </si>
  <si>
    <t>Starting Balance</t>
  </si>
  <si>
    <t>Per Month</t>
  </si>
  <si>
    <t>Per Yr</t>
  </si>
  <si>
    <t>per yr</t>
  </si>
  <si>
    <t>Insurance</t>
  </si>
  <si>
    <t>3 mos</t>
  </si>
  <si>
    <t>2 mos</t>
  </si>
  <si>
    <t>Water</t>
  </si>
  <si>
    <t>1 mo</t>
  </si>
  <si>
    <t>Repair Budget</t>
  </si>
  <si>
    <t>Total Cost</t>
  </si>
  <si>
    <t>Monthly Rent</t>
  </si>
  <si>
    <t>Profit</t>
  </si>
  <si>
    <t>ROI</t>
  </si>
  <si>
    <t>Current Salary:</t>
  </si>
  <si>
    <t>Lorri Salary</t>
  </si>
  <si>
    <t>SS Benefits</t>
  </si>
  <si>
    <t>Age 62</t>
  </si>
  <si>
    <t>Age 67</t>
  </si>
  <si>
    <t>Age 70</t>
  </si>
  <si>
    <t>Disability</t>
  </si>
  <si>
    <t>Pensions</t>
  </si>
  <si>
    <t>Annual</t>
  </si>
  <si>
    <t>Retirement Tax</t>
  </si>
  <si>
    <t>Pct Above in Ret:</t>
  </si>
  <si>
    <t>Isaac Salary</t>
  </si>
  <si>
    <t>Lorri</t>
  </si>
  <si>
    <t>FERS</t>
  </si>
  <si>
    <t>Tax Rate</t>
  </si>
  <si>
    <t>Retirement Salary:</t>
  </si>
  <si>
    <t>Guard Salary</t>
  </si>
  <si>
    <t>Isaac</t>
  </si>
  <si>
    <t>Guard</t>
  </si>
  <si>
    <t>Taxes Due</t>
  </si>
  <si>
    <t>Ret Age</t>
  </si>
  <si>
    <t>Act Age</t>
  </si>
  <si>
    <t>Ret Date</t>
  </si>
  <si>
    <t>Annuity Length</t>
  </si>
  <si>
    <t>Zero Balance</t>
  </si>
  <si>
    <t>Zero Bal Age</t>
  </si>
  <si>
    <t>Ret Income</t>
  </si>
  <si>
    <t>Isaac Retirement Age:</t>
  </si>
  <si>
    <t>Disbursement Percent</t>
  </si>
  <si>
    <t>Ret Tax</t>
  </si>
  <si>
    <t>Lorri Retirement Age:</t>
  </si>
  <si>
    <t>Ret Takehome</t>
  </si>
  <si>
    <t>Isaac Age</t>
  </si>
  <si>
    <t>Lorri Age</t>
  </si>
  <si>
    <t>Isaac SS</t>
  </si>
  <si>
    <t>Lorri SS</t>
  </si>
  <si>
    <t>TSP Retirement</t>
  </si>
  <si>
    <t>Clinic Retirement</t>
  </si>
  <si>
    <t>Monthly Target</t>
  </si>
  <si>
    <t>Fixed Monthly</t>
  </si>
  <si>
    <t>From Retirement</t>
  </si>
  <si>
    <t>Isaac Ret Bal</t>
  </si>
  <si>
    <t>Lorri Ret Bal</t>
  </si>
  <si>
    <t>Total Retirement</t>
  </si>
  <si>
    <t>Start Date</t>
  </si>
  <si>
    <t>End Date</t>
  </si>
  <si>
    <t>Total Cont.</t>
  </si>
  <si>
    <t>Current Amt.</t>
  </si>
  <si>
    <t>Annual Growth</t>
  </si>
  <si>
    <t>Double?</t>
  </si>
  <si>
    <t>Overall Growth</t>
  </si>
  <si>
    <t>Civilian Service</t>
  </si>
  <si>
    <t>Uniform Service</t>
  </si>
  <si>
    <t>CC SIP 403(b) Plan</t>
  </si>
  <si>
    <t>Cleveland Clinic IPP 401(a)</t>
  </si>
  <si>
    <t>Qtr Rank</t>
  </si>
  <si>
    <t>Contribution</t>
  </si>
  <si>
    <t>Change In Value</t>
  </si>
  <si>
    <t>End Balance</t>
  </si>
  <si>
    <t>Qtr Ret</t>
  </si>
  <si>
    <t>Missed Cont</t>
  </si>
  <si>
    <t>Total Contribution</t>
  </si>
  <si>
    <t>Fees/Credits</t>
  </si>
  <si>
    <t>Change in Value</t>
  </si>
  <si>
    <t>Employer Cont.</t>
  </si>
  <si>
    <t>Pos Qtr</t>
  </si>
  <si>
    <t>Pos Avg</t>
  </si>
  <si>
    <t>Neg Qtr</t>
  </si>
  <si>
    <t>Neg Avg</t>
  </si>
  <si>
    <t>Q1 Avg</t>
  </si>
  <si>
    <t>Q2 Avg</t>
  </si>
  <si>
    <t>Q3 Avg</t>
  </si>
  <si>
    <t>Q4 Avg</t>
  </si>
  <si>
    <t>Today's Date:</t>
  </si>
  <si>
    <t>Technician TSP</t>
  </si>
  <si>
    <t>Guard TSP</t>
  </si>
  <si>
    <t>Cleveland Clinic</t>
  </si>
  <si>
    <t>Cleveland Clinic Pension</t>
  </si>
  <si>
    <t>Tax Brackets</t>
  </si>
  <si>
    <t>Isaac Ret Date:</t>
  </si>
  <si>
    <t>Low</t>
  </si>
  <si>
    <t>High</t>
  </si>
  <si>
    <t>Salary</t>
  </si>
  <si>
    <t>Tax</t>
  </si>
  <si>
    <t>Isaac Yrs Till Ret:</t>
  </si>
  <si>
    <t>Growth Rate:</t>
  </si>
  <si>
    <t>Lorri Ret Date:</t>
  </si>
  <si>
    <t>Lorri Yrs Till Ret:</t>
  </si>
  <si>
    <t>Total Present Value:</t>
  </si>
  <si>
    <t>Present Value:</t>
  </si>
  <si>
    <t>Total Future Value:</t>
  </si>
  <si>
    <t>Future Value:</t>
  </si>
  <si>
    <t>Tech Salary</t>
  </si>
  <si>
    <t>Clinic Salary</t>
  </si>
  <si>
    <t>Total Salary</t>
  </si>
  <si>
    <t>Lorri Social Security</t>
  </si>
  <si>
    <t>Isaac Social Security</t>
  </si>
  <si>
    <t>Yrs of Service</t>
  </si>
  <si>
    <t>Retirement Goal</t>
  </si>
  <si>
    <t>Age</t>
  </si>
  <si>
    <t>FERS Annual</t>
  </si>
  <si>
    <t>Guard Annual</t>
  </si>
  <si>
    <t>Pension Annual</t>
  </si>
  <si>
    <t>Pct of Takehome</t>
  </si>
  <si>
    <t>FERS Monthly</t>
  </si>
  <si>
    <t>Guard Monthly</t>
  </si>
  <si>
    <t>Pension Monthly</t>
  </si>
  <si>
    <t>Annuity</t>
  </si>
  <si>
    <t>Supplement</t>
  </si>
  <si>
    <t>Starting Principle</t>
  </si>
  <si>
    <t>Annual Growth Rate</t>
  </si>
  <si>
    <t>L Income Rate</t>
  </si>
  <si>
    <t>Annuity Length (Yrs)</t>
  </si>
  <si>
    <t>Year</t>
  </si>
  <si>
    <t>Opening Balance</t>
  </si>
  <si>
    <t>Payments</t>
  </si>
  <si>
    <t>Interest</t>
  </si>
  <si>
    <t>Closing Balance</t>
  </si>
  <si>
    <t>Yr</t>
  </si>
  <si>
    <t>LIRKX</t>
  </si>
  <si>
    <t>Total Pts:</t>
  </si>
  <si>
    <t>Updated on</t>
  </si>
  <si>
    <t>Yrs Serv:</t>
  </si>
  <si>
    <t>Avg Pts</t>
  </si>
  <si>
    <t>Yrs Serv</t>
  </si>
  <si>
    <t>W-2</t>
  </si>
  <si>
    <t>W-3</t>
  </si>
  <si>
    <t>W-4</t>
  </si>
  <si>
    <t>W-5</t>
  </si>
  <si>
    <t>Bas Pay</t>
  </si>
  <si>
    <t>Username</t>
  </si>
  <si>
    <t>Password</t>
  </si>
  <si>
    <t>Pin</t>
  </si>
  <si>
    <t>Web URL</t>
  </si>
  <si>
    <t>1-800-238-8722 (ADT USAA department)</t>
  </si>
  <si>
    <t>ADT</t>
  </si>
  <si>
    <t>isaac.d.martin@gmail.com</t>
  </si>
  <si>
    <t>IDMartin2</t>
  </si>
  <si>
    <t>https://www.myadt.com/</t>
  </si>
  <si>
    <t>Casino Total Rewards</t>
  </si>
  <si>
    <t>idmartin</t>
  </si>
  <si>
    <t>IDMartin11!!</t>
  </si>
  <si>
    <t>Chase</t>
  </si>
  <si>
    <t>idmartin22</t>
  </si>
  <si>
    <t>IDMartin00</t>
  </si>
  <si>
    <t>https://www.chase.com/</t>
  </si>
  <si>
    <t>lorrismith24</t>
  </si>
  <si>
    <t>lorrimartin24</t>
  </si>
  <si>
    <t>martinl11</t>
  </si>
  <si>
    <t>regan22</t>
  </si>
  <si>
    <t>https://lawprod.ccf.org:40201/lawson/portal/</t>
  </si>
  <si>
    <t>LORRI24</t>
  </si>
  <si>
    <t>IDMartin22</t>
  </si>
  <si>
    <t>http://www.columbiagasohio.com</t>
  </si>
  <si>
    <t>IDMartin2431182</t>
  </si>
  <si>
    <t>DirecTV</t>
  </si>
  <si>
    <t>isaac.d.martin2@gmail.com</t>
  </si>
  <si>
    <t>https://www.directv.com/DTVAPP/login/login.jsp?lpos=header</t>
  </si>
  <si>
    <t>Fidelity</t>
  </si>
  <si>
    <t>ReganNoel22</t>
  </si>
  <si>
    <t>https://login.fidelity.com/ftgw/Fas/Fidelity/IspCust/Login/Init</t>
  </si>
  <si>
    <t>United Concordia</t>
  </si>
  <si>
    <t>isaac.martin1</t>
  </si>
  <si>
    <t>LorriSmith2431182!!</t>
  </si>
  <si>
    <t>https://myaccess.dmdc.osd.mil/identitymanagement/authenticate.do?execution=e3s1</t>
  </si>
  <si>
    <t>email</t>
  </si>
  <si>
    <t>IDMartin00))</t>
  </si>
  <si>
    <t>Mypay</t>
  </si>
  <si>
    <t>isaac.martin</t>
  </si>
  <si>
    <t>IDMartin2431182^^^^</t>
  </si>
  <si>
    <t>https://mypay.dfas.mil/mypay.aspx</t>
  </si>
  <si>
    <t>https://signup.netflix.com/Login</t>
  </si>
  <si>
    <t>Ohio Edison</t>
  </si>
  <si>
    <t>https://www.firstenergycorp.com/log_in.html</t>
  </si>
  <si>
    <t>Ohio University</t>
  </si>
  <si>
    <t>lm133410</t>
  </si>
  <si>
    <t>lm0394</t>
  </si>
  <si>
    <t>https://my.ohio.edu/portal/uPortal/render.userLayoutRootNode.uP</t>
  </si>
  <si>
    <t>Regan Cleveland Clinic</t>
  </si>
  <si>
    <t>Scottrade</t>
  </si>
  <si>
    <t>53967781</t>
  </si>
  <si>
    <t>Sirius</t>
  </si>
  <si>
    <t>lorri24!</t>
  </si>
  <si>
    <t>https://care.siriusxm.com/login_view.action</t>
  </si>
  <si>
    <t>Social Security Isaac</t>
  </si>
  <si>
    <t>IDMartin33##</t>
  </si>
  <si>
    <t>https://secure.ssa.gov/RIL/SiView.do</t>
  </si>
  <si>
    <t>Social Security Lorri</t>
  </si>
  <si>
    <t>TaxAct</t>
  </si>
  <si>
    <t>momsreturn</t>
  </si>
  <si>
    <t>48145</t>
  </si>
  <si>
    <t>tpuskarich</t>
  </si>
  <si>
    <t>tomsreturn</t>
  </si>
  <si>
    <t>29548</t>
  </si>
  <si>
    <t xml:space="preserve"> v</t>
  </si>
  <si>
    <t>Tricare Dental</t>
  </si>
  <si>
    <t>lorri24</t>
  </si>
  <si>
    <t>https://epm.highmark.com/cidlogin/loginHTML.html</t>
  </si>
  <si>
    <t>IDMartin2431182!!</t>
  </si>
  <si>
    <t>https://www.tsp.gov/index.shtml</t>
  </si>
  <si>
    <t>Turbo Tax</t>
  </si>
  <si>
    <t>Isaac: 22241</t>
  </si>
  <si>
    <t>Lorri: 24221</t>
  </si>
  <si>
    <t>USAA</t>
  </si>
  <si>
    <t>https://www.usaa.com</t>
  </si>
  <si>
    <t>Verizon</t>
  </si>
  <si>
    <t>http://www.verizonwireless.com/b2c/index.html</t>
  </si>
  <si>
    <t>Water Bill</t>
  </si>
  <si>
    <t>http://secure.cityofelyria.org/Login.aspx</t>
  </si>
  <si>
    <t xml:space="preserve">704943038-001 </t>
  </si>
  <si>
    <t>704943032-002</t>
  </si>
  <si>
    <t>AKO</t>
  </si>
  <si>
    <t>IsaacMartin@@22</t>
  </si>
  <si>
    <t>Fifth Third Bank</t>
  </si>
  <si>
    <t>Republic Services</t>
  </si>
  <si>
    <t>Isaac Credit Karma</t>
  </si>
  <si>
    <t>idmartin22@yahoo.com</t>
  </si>
  <si>
    <t>Binance Google Authenticator</t>
  </si>
  <si>
    <t>YTFECKQ4OXNYJ3AN</t>
  </si>
  <si>
    <t>=F33*F34</t>
  </si>
  <si>
    <t>Electric Price</t>
  </si>
  <si>
    <t>Gas Price</t>
  </si>
  <si>
    <t>Main Home</t>
  </si>
  <si>
    <t>0.0569c</t>
  </si>
  <si>
    <t>Better Buy Energy</t>
  </si>
  <si>
    <t>Ohio Gas &amp; Electric</t>
  </si>
  <si>
    <t>Rental Home</t>
  </si>
  <si>
    <t>0.0818c</t>
  </si>
  <si>
    <t>Account</t>
  </si>
  <si>
    <t>Customer #</t>
  </si>
  <si>
    <t>Company</t>
  </si>
  <si>
    <t>$/KWh</t>
  </si>
  <si>
    <t>Length</t>
  </si>
  <si>
    <t>Date Signed</t>
  </si>
  <si>
    <t>End</t>
  </si>
  <si>
    <t>Main</t>
  </si>
  <si>
    <t>08036702040000657950</t>
  </si>
  <si>
    <t>12mo</t>
  </si>
  <si>
    <t>08036417900000657946</t>
  </si>
  <si>
    <t>1099-DIV</t>
  </si>
  <si>
    <t>Total Ordinary Dividends</t>
  </si>
  <si>
    <t>Total Capital Gains</t>
  </si>
  <si>
    <t>Section 897 Ordinary Dividends</t>
  </si>
  <si>
    <t>Nondividend Distributions</t>
  </si>
  <si>
    <t>Section 199A Dividends</t>
  </si>
  <si>
    <t>Foreign Tax Paid</t>
  </si>
  <si>
    <t>Short Term Proceeds</t>
  </si>
  <si>
    <t>Short Term Cost Basis</t>
  </si>
  <si>
    <t>Wash/Disallowed</t>
  </si>
  <si>
    <t>Net Gain or Loss</t>
  </si>
  <si>
    <t>Long Term Proceeds</t>
  </si>
  <si>
    <t>Long Term Cost Basis</t>
  </si>
  <si>
    <t>Total Gain/Loss</t>
  </si>
  <si>
    <t>5MB92034</t>
  </si>
  <si>
    <t>5MC10290</t>
  </si>
  <si>
    <t>5MC10287</t>
  </si>
  <si>
    <t>FMB92034</t>
  </si>
  <si>
    <t>Consolidated</t>
  </si>
  <si>
    <t>Fund / Asset</t>
  </si>
  <si>
    <t>C Fund</t>
  </si>
  <si>
    <t>S Fund</t>
  </si>
  <si>
    <t>I Fund</t>
  </si>
  <si>
    <t>TSP Uniformed</t>
  </si>
  <si>
    <t>VIIIX</t>
  </si>
  <si>
    <t>Fidelity 403b</t>
  </si>
  <si>
    <t>VTPSX</t>
  </si>
  <si>
    <t>VEMPX</t>
  </si>
  <si>
    <t>Fidelity 401a</t>
  </si>
  <si>
    <t>VTI</t>
  </si>
  <si>
    <t>QQQM</t>
  </si>
  <si>
    <t>AVUV</t>
  </si>
  <si>
    <t>AVDV</t>
  </si>
  <si>
    <t>AVES</t>
  </si>
  <si>
    <t>BTC</t>
  </si>
  <si>
    <t>ETH</t>
  </si>
  <si>
    <t>SOL</t>
  </si>
  <si>
    <t>TAO</t>
  </si>
  <si>
    <t>HYPE</t>
  </si>
  <si>
    <t>LINK</t>
  </si>
  <si>
    <t>XRP</t>
  </si>
  <si>
    <t>Regan Investment</t>
  </si>
  <si>
    <t>VXUS</t>
  </si>
  <si>
    <t>Shares Owned</t>
  </si>
  <si>
    <t>Giant Eagle</t>
  </si>
  <si>
    <t>Dollar Tree</t>
  </si>
  <si>
    <t>Famouse Footwear</t>
  </si>
  <si>
    <t>The Winchester - Concert</t>
  </si>
  <si>
    <t>Amazon - Kindle Book</t>
  </si>
  <si>
    <t>Lormet - RAV4</t>
  </si>
  <si>
    <t>Wells Fargo - Deck (Feb 3, 2028)</t>
  </si>
  <si>
    <t>Lowes - Aug 14, 2026</t>
  </si>
  <si>
    <t>Lowes - Dec 15, 2026</t>
  </si>
  <si>
    <t>Lowes - Mar 2027</t>
  </si>
  <si>
    <t>Wells Fargo - Pool (Aug 11, 2030)</t>
  </si>
  <si>
    <t>Trailer Rental - Deck</t>
  </si>
  <si>
    <t>Sun Belt Rentals - Deck</t>
  </si>
  <si>
    <t>Frankenmuth Insurance - Rental</t>
  </si>
  <si>
    <t>Litehouse Pools</t>
  </si>
  <si>
    <t>Little Met Golf Course</t>
  </si>
  <si>
    <t>Home Depot - Deck</t>
  </si>
  <si>
    <t>Consumers Builders Supply - Deck</t>
  </si>
  <si>
    <t>Lowes - Deck</t>
  </si>
  <si>
    <t>Yard House</t>
  </si>
  <si>
    <t>Fleet Feet</t>
  </si>
  <si>
    <t>Subway</t>
  </si>
  <si>
    <t>Cheesecake Factory</t>
  </si>
  <si>
    <t>Digital Media</t>
  </si>
  <si>
    <t>Zachery Drzik - Corolla Oil Change</t>
  </si>
  <si>
    <t>Rav 4 &amp; Corolla Oil Change</t>
  </si>
  <si>
    <t>Deck Materials</t>
  </si>
  <si>
    <t>Pool Maintenance - Chemicals</t>
  </si>
  <si>
    <t>Sportsbooks Withdrawal</t>
  </si>
  <si>
    <t>E-Zpass</t>
  </si>
  <si>
    <t>Amazon - Kindle Unlimited</t>
  </si>
  <si>
    <t>Amazon - Prime Video</t>
  </si>
  <si>
    <t>Cash App - Yasmary</t>
  </si>
  <si>
    <t>Cash App - Superbowl Squares</t>
  </si>
  <si>
    <t>Cash App - Starbucks</t>
  </si>
  <si>
    <t>Cash App - McDonalds</t>
  </si>
  <si>
    <t>Backstage Bar</t>
  </si>
  <si>
    <t>Fujiyama</t>
  </si>
  <si>
    <t>Coastal Local Seafood</t>
  </si>
  <si>
    <t>El Vaquero</t>
  </si>
  <si>
    <t>ATM Withdrawal - Columbus</t>
  </si>
  <si>
    <t>Transfer to Venmo - Kate Thomas</t>
  </si>
  <si>
    <t>Cash App - Shop Funds</t>
  </si>
  <si>
    <t>Barleys Brewing Compnay</t>
  </si>
  <si>
    <t>Barrel &amp; Bottle</t>
  </si>
  <si>
    <t>Pool Maintenance - Robot (Amazon)</t>
  </si>
  <si>
    <t>Cash - Misc</t>
  </si>
  <si>
    <t>Cash - Food</t>
  </si>
  <si>
    <t>Cash - Entertainment</t>
  </si>
  <si>
    <t>World Market</t>
  </si>
  <si>
    <t>PJ McIntyre's Irish Pub</t>
  </si>
  <si>
    <t>Dantes Pizza - Lorri Refund</t>
  </si>
  <si>
    <t>Amazon Marketplace - Robot Vacuum</t>
  </si>
  <si>
    <t>BP</t>
  </si>
  <si>
    <t>ATM Withdrawal - Grad Party</t>
  </si>
  <si>
    <t>May Transfer</t>
  </si>
  <si>
    <t>Dantes Pizza - Cleveland Clinic</t>
  </si>
  <si>
    <t>Transfer to Venmo - Dominic Cruz; Golf Outing</t>
  </si>
  <si>
    <t>Transfer to Venmo - Stroke Awareness</t>
  </si>
  <si>
    <t>Lowes - Landscaping</t>
  </si>
  <si>
    <t>Pandys Garden Center - Landscaping</t>
  </si>
  <si>
    <t>Five Below</t>
  </si>
  <si>
    <t>2003 Toyota Corolla</t>
  </si>
  <si>
    <t>Le Petit</t>
  </si>
  <si>
    <t>May Savings</t>
  </si>
  <si>
    <t>Transfer to Kraken</t>
  </si>
  <si>
    <t>Transfer to M1</t>
  </si>
  <si>
    <t>Uber One Membership</t>
  </si>
  <si>
    <t>Online Food Order</t>
  </si>
  <si>
    <t>GM Financial (1 payment left)</t>
  </si>
  <si>
    <t>Lowes Rewards CC - Kitchen</t>
  </si>
  <si>
    <t>First Energy - Main</t>
  </si>
  <si>
    <t>Water My Battery</t>
  </si>
  <si>
    <t>Marathon</t>
  </si>
  <si>
    <t>The Clean Plate</t>
  </si>
  <si>
    <t>HDSA.org</t>
  </si>
  <si>
    <t>Interest Income</t>
  </si>
  <si>
    <t>Amazon Prime</t>
  </si>
  <si>
    <t>May Rent</t>
  </si>
  <si>
    <t>Rays Auto - RV Service</t>
  </si>
  <si>
    <t>Progressive Insurance</t>
  </si>
  <si>
    <t>RV Service/Repair</t>
  </si>
  <si>
    <t>Golf Outing - Dominic Cruz</t>
  </si>
  <si>
    <t>Amazon Marketplace - Tom Extra</t>
  </si>
  <si>
    <t>Amazon Marketplace - Tom Payment</t>
  </si>
  <si>
    <t>Pappasito's Cantina</t>
  </si>
  <si>
    <t>Sorrento Ristorante</t>
  </si>
  <si>
    <t>Cherry Ridge Golf Course</t>
  </si>
  <si>
    <t>Transfer to Regan - Food/Grades</t>
  </si>
  <si>
    <t>Nashville - Lainey Wilson</t>
  </si>
  <si>
    <t>Nashville - Lucky Bastard</t>
  </si>
  <si>
    <t>Nashville - Uber</t>
  </si>
  <si>
    <t>Disney Plus</t>
  </si>
  <si>
    <t>Nashville - Honky Tonk</t>
  </si>
  <si>
    <t>Nashville - Postys</t>
  </si>
  <si>
    <t>Nashville - Kid Rock</t>
  </si>
  <si>
    <t>Nashville - Jelly Rolls</t>
  </si>
  <si>
    <t>Nashville - Marathon</t>
  </si>
  <si>
    <t>Nashville - Bucee's</t>
  </si>
  <si>
    <t>AppleTV</t>
  </si>
  <si>
    <t>Nashville - Jungle Jims</t>
  </si>
  <si>
    <t>Nashville - Taco Bell</t>
  </si>
  <si>
    <t>Nashville - Walmart</t>
  </si>
  <si>
    <t>Nashville - Pizza</t>
  </si>
  <si>
    <t>Nashville - Misc Cash</t>
  </si>
  <si>
    <t>Nashville - Sheetz</t>
  </si>
  <si>
    <t>Nashville - Speedway</t>
  </si>
  <si>
    <t>Nashville - Coyote Ugly</t>
  </si>
  <si>
    <t>Nashvill - IHOP</t>
  </si>
  <si>
    <t>Transfer to Venmo - Kristin Hanes; Cyclebar</t>
  </si>
  <si>
    <t>Hello Bistro</t>
  </si>
  <si>
    <t>Nashville - Venmo Brittany Food</t>
  </si>
  <si>
    <t>Lake Erie Liberty 5k</t>
  </si>
  <si>
    <t>June Transfer</t>
  </si>
  <si>
    <t>Florida - Frontier</t>
  </si>
  <si>
    <t>Floria - Lorri</t>
  </si>
  <si>
    <t>Transfer from Zelle - Joe Spencer</t>
  </si>
  <si>
    <t>Golf Outing - Bunker Hill</t>
  </si>
  <si>
    <t>Bunker Hill - Golf Outing</t>
  </si>
  <si>
    <t>Amoco - Alcohol</t>
  </si>
  <si>
    <t>Stelas Ice Cream</t>
  </si>
  <si>
    <t>Dairylicious</t>
  </si>
  <si>
    <t>Amazon Kindle</t>
  </si>
  <si>
    <t>Mohican Campground</t>
  </si>
  <si>
    <t>Trails End Pizza</t>
  </si>
  <si>
    <t>Mohican Campground - Steve</t>
  </si>
  <si>
    <t>Golf Cart</t>
  </si>
  <si>
    <t>Citizens One</t>
  </si>
  <si>
    <t>Stub Hub - Olivia Rodrigo Tickets</t>
  </si>
  <si>
    <t>Kyuramen</t>
  </si>
  <si>
    <t>Transfer to Venmo - Julie; Food</t>
  </si>
  <si>
    <t>Mohican Adventures - Canoe</t>
  </si>
  <si>
    <t>Alcohol - Cash</t>
  </si>
  <si>
    <t>Food - Cash</t>
  </si>
  <si>
    <t>Misc - Cash</t>
  </si>
  <si>
    <t>Mohican Campground - Maddi</t>
  </si>
  <si>
    <t>Mohican Campground - Brittany, Billy</t>
  </si>
  <si>
    <t>Mohican Campground - 2027 (3) Sites</t>
  </si>
  <si>
    <t>Dixie Food Mart</t>
  </si>
  <si>
    <t>June Savings</t>
  </si>
  <si>
    <t>Golf Cart - Zack</t>
  </si>
  <si>
    <t>Starter - 2003 Corolla</t>
  </si>
  <si>
    <t>Regan - Olivia Rodrigo Tickets</t>
  </si>
  <si>
    <t>June Rent</t>
  </si>
  <si>
    <t>Custom EZGO TXT</t>
  </si>
  <si>
    <t>Family Fare Supermarkets</t>
  </si>
  <si>
    <t>Gallaghers Sports Grille</t>
  </si>
  <si>
    <t>Grayling Retail</t>
  </si>
  <si>
    <t>Amazon Prime Video Ultra</t>
  </si>
  <si>
    <t>ATM Withdrawal - Misc/Entertainment</t>
  </si>
  <si>
    <t>Spikes Keg O Nails</t>
  </si>
  <si>
    <t>Coppertop Golf Valley</t>
  </si>
  <si>
    <t>Dunkin</t>
  </si>
  <si>
    <t>Smittys</t>
  </si>
  <si>
    <t>LEGO Store</t>
  </si>
  <si>
    <t>Amazon Marketplace - Tom</t>
  </si>
  <si>
    <t>ATM Withdrawal - Regan Band Camp</t>
  </si>
  <si>
    <t>Golf Outing - Repayment</t>
  </si>
  <si>
    <t>Bunkerhill Golf Course</t>
  </si>
  <si>
    <t>Normans Tavern</t>
  </si>
  <si>
    <t>Dough Mamas</t>
  </si>
  <si>
    <t>Masthead Brewing</t>
  </si>
  <si>
    <t>Huntington Garage</t>
  </si>
  <si>
    <t>Pizza Hut</t>
  </si>
  <si>
    <t>Trents Joint</t>
  </si>
  <si>
    <t>Pancake House</t>
  </si>
  <si>
    <t>Dog House Bar</t>
  </si>
  <si>
    <t>Amazon Digital Services</t>
  </si>
  <si>
    <t>Golf Cart - Battery 12v Reducer</t>
  </si>
  <si>
    <t>Community West Foundation - Refund</t>
  </si>
  <si>
    <t>Camping - Mohican 2027 (Mandy/Steve half)</t>
  </si>
  <si>
    <t>Olivia Rodrigo Concert Tix</t>
  </si>
  <si>
    <t>Misc Cash</t>
  </si>
  <si>
    <t>July Savings</t>
  </si>
  <si>
    <t>July Transfer</t>
  </si>
  <si>
    <t>Aramark Café</t>
  </si>
  <si>
    <t>Quick Change - Rav4</t>
  </si>
  <si>
    <t>Regal Crocker Park</t>
  </si>
  <si>
    <t>Community West Foundation - Raffle Tix</t>
  </si>
  <si>
    <t>Transfer to Venmo - Matt Frye; Velasano Basket</t>
  </si>
  <si>
    <t>July Rent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</si>
</sst>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F400]h:mm:ss\ AM/PM"/>
    <numFmt numFmtId="165" formatCode="&quot;$&quot;#,##0.00"/>
    <numFmt numFmtId="166" formatCode="0.0%"/>
    <numFmt numFmtId="167" formatCode="0.0"/>
    <numFmt numFmtId="168" formatCode="0.0000"/>
    <numFmt numFmtId="169" formatCode="0.000"/>
    <numFmt numFmtId="170" formatCode="0.000000000"/>
  </numFmts>
  <fonts count="2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color rgb="FF5A5F6D"/>
      <name val="Quattrocento Sans"/>
    </font>
    <font>
      <sz val="11"/>
      <color theme="1"/>
      <name val="Calibri"/>
      <family val="2"/>
      <scheme val="minor"/>
    </font>
    <font>
      <b/>
      <sz val="22"/>
      <color theme="1"/>
      <name val="Courier New"/>
      <family val="3"/>
    </font>
    <font>
      <sz val="8"/>
      <color theme="1"/>
      <name val="Courier New"/>
      <family val="3"/>
    </font>
    <font>
      <b/>
      <sz val="8"/>
      <color theme="1"/>
      <name val="Courier New"/>
      <family val="3"/>
    </font>
    <font>
      <sz val="9"/>
      <color theme="1"/>
      <name val="Courier New"/>
      <family val="3"/>
    </font>
    <font>
      <sz val="8"/>
      <color theme="1"/>
      <name val="Calibri"/>
      <family val="2"/>
    </font>
    <font>
      <u/>
      <sz val="8"/>
      <color theme="1"/>
      <name val="Courier New"/>
      <family val="3"/>
    </font>
    <font>
      <u/>
      <sz val="11"/>
      <color theme="10"/>
      <name val="Calibri"/>
      <family val="2"/>
    </font>
    <font>
      <u/>
      <sz val="8"/>
      <color theme="1"/>
      <name val="Courier New"/>
      <family val="3"/>
    </font>
    <font>
      <sz val="11"/>
      <color rgb="FF0A0A0A"/>
      <name val="Calibri"/>
      <family val="2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BFBFBF"/>
        <bgColor rgb="FFBFBFBF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ABF8F"/>
        <bgColor rgb="FFFABF8F"/>
      </patternFill>
    </fill>
    <fill>
      <patternFill patternType="solid">
        <fgColor rgb="FF938953"/>
        <bgColor rgb="FF938953"/>
      </patternFill>
    </fill>
    <fill>
      <patternFill patternType="solid">
        <fgColor rgb="FFC2D69B"/>
        <bgColor rgb="FFC2D69B"/>
      </patternFill>
    </fill>
    <fill>
      <patternFill patternType="solid">
        <fgColor rgb="FF548DD4"/>
        <bgColor rgb="FF548DD4"/>
      </patternFill>
    </fill>
    <fill>
      <patternFill patternType="solid">
        <fgColor rgb="FFD99594"/>
        <bgColor rgb="FFD99594"/>
      </patternFill>
    </fill>
    <fill>
      <patternFill patternType="solid">
        <fgColor rgb="FFB2A1C7"/>
        <bgColor rgb="FFB2A1C7"/>
      </patternFill>
    </fill>
    <fill>
      <patternFill patternType="solid">
        <fgColor rgb="FF95B3D7"/>
        <bgColor rgb="FF95B3D7"/>
      </patternFill>
    </fill>
    <fill>
      <patternFill patternType="solid">
        <fgColor rgb="FF92CDDC"/>
        <bgColor rgb="FF92CDDC"/>
      </patternFill>
    </fill>
    <fill>
      <patternFill patternType="solid">
        <fgColor rgb="FFFF0000"/>
        <bgColor rgb="FFFF0000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B8CCE4"/>
      </patternFill>
    </fill>
    <fill>
      <patternFill patternType="solid">
        <fgColor rgb="FFFFFF00"/>
        <bgColor indexed="64"/>
      </patternFill>
    </fill>
  </fills>
  <borders count="5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164" fontId="0" fillId="0" borderId="0"/>
    <xf numFmtId="164" fontId="19" fillId="0" borderId="0" applyNumberFormat="0" applyFill="0" applyBorder="0" applyAlignment="0" applyProtection="0"/>
  </cellStyleXfs>
  <cellXfs count="576">
    <xf numFmtId="164" fontId="0" fillId="0" borderId="0" xfId="0"/>
    <xf numFmtId="164" fontId="2" fillId="0" borderId="0" xfId="0" applyFont="1" applyAlignment="1">
      <alignment vertical="center"/>
    </xf>
    <xf numFmtId="164" fontId="3" fillId="0" borderId="0" xfId="0" applyFont="1" applyAlignment="1">
      <alignment vertical="center"/>
    </xf>
    <xf numFmtId="164" fontId="2" fillId="0" borderId="0" xfId="0" applyFont="1" applyAlignment="1">
      <alignment horizontal="left" vertical="center"/>
    </xf>
    <xf numFmtId="164" fontId="3" fillId="0" borderId="0" xfId="0" applyFont="1" applyAlignment="1">
      <alignment horizontal="left" vertical="center"/>
    </xf>
    <xf numFmtId="164" fontId="6" fillId="0" borderId="4" xfId="0" applyFont="1" applyBorder="1"/>
    <xf numFmtId="44" fontId="6" fillId="0" borderId="5" xfId="0" applyNumberFormat="1" applyFont="1" applyBorder="1"/>
    <xf numFmtId="44" fontId="6" fillId="0" borderId="0" xfId="0" applyNumberFormat="1" applyFont="1"/>
    <xf numFmtId="164" fontId="6" fillId="0" borderId="6" xfId="0" applyFont="1" applyBorder="1" applyAlignment="1">
      <alignment horizontal="left"/>
    </xf>
    <xf numFmtId="165" fontId="6" fillId="0" borderId="7" xfId="0" applyNumberFormat="1" applyFont="1" applyBorder="1" applyAlignment="1">
      <alignment horizontal="center"/>
    </xf>
    <xf numFmtId="164" fontId="6" fillId="0" borderId="8" xfId="0" applyFont="1" applyBorder="1" applyAlignment="1">
      <alignment horizontal="center"/>
    </xf>
    <xf numFmtId="164" fontId="6" fillId="0" borderId="0" xfId="0" applyFont="1" applyAlignment="1">
      <alignment horizontal="center"/>
    </xf>
    <xf numFmtId="9" fontId="6" fillId="0" borderId="0" xfId="0" applyNumberFormat="1" applyFont="1"/>
    <xf numFmtId="164" fontId="6" fillId="0" borderId="9" xfId="0" applyFont="1" applyBorder="1"/>
    <xf numFmtId="44" fontId="6" fillId="0" borderId="10" xfId="0" applyNumberFormat="1" applyFont="1" applyBorder="1"/>
    <xf numFmtId="14" fontId="6" fillId="0" borderId="11" xfId="0" applyNumberFormat="1" applyFont="1" applyBorder="1" applyAlignment="1">
      <alignment horizontal="center"/>
    </xf>
    <xf numFmtId="44" fontId="6" fillId="0" borderId="11" xfId="0" applyNumberFormat="1" applyFont="1" applyBorder="1"/>
    <xf numFmtId="10" fontId="6" fillId="0" borderId="0" xfId="0" applyNumberFormat="1" applyFont="1" applyAlignment="1">
      <alignment horizontal="left"/>
    </xf>
    <xf numFmtId="164" fontId="6" fillId="0" borderId="9" xfId="0" applyFont="1" applyBorder="1" applyAlignment="1">
      <alignment horizontal="left"/>
    </xf>
    <xf numFmtId="9" fontId="6" fillId="0" borderId="10" xfId="0" applyNumberFormat="1" applyFont="1" applyBorder="1" applyAlignment="1">
      <alignment horizontal="center"/>
    </xf>
    <xf numFmtId="10" fontId="6" fillId="0" borderId="11" xfId="0" applyNumberFormat="1" applyFont="1" applyBorder="1" applyAlignment="1">
      <alignment horizontal="center"/>
    </xf>
    <xf numFmtId="164" fontId="6" fillId="0" borderId="12" xfId="0" applyFont="1" applyBorder="1"/>
    <xf numFmtId="44" fontId="6" fillId="0" borderId="13" xfId="0" applyNumberFormat="1" applyFont="1" applyBorder="1"/>
    <xf numFmtId="165" fontId="6" fillId="0" borderId="0" xfId="0" applyNumberFormat="1" applyFont="1"/>
    <xf numFmtId="164" fontId="6" fillId="0" borderId="14" xfId="0" applyFont="1" applyBorder="1" applyAlignment="1">
      <alignment horizontal="left"/>
    </xf>
    <xf numFmtId="165" fontId="6" fillId="0" borderId="0" xfId="0" applyNumberFormat="1" applyFont="1" applyAlignment="1">
      <alignment horizontal="center"/>
    </xf>
    <xf numFmtId="164" fontId="6" fillId="0" borderId="15" xfId="0" applyFont="1" applyBorder="1" applyAlignment="1">
      <alignment horizontal="center"/>
    </xf>
    <xf numFmtId="164" fontId="6" fillId="0" borderId="16" xfId="0" applyFont="1" applyBorder="1"/>
    <xf numFmtId="44" fontId="6" fillId="0" borderId="17" xfId="0" applyNumberFormat="1" applyFont="1" applyBorder="1"/>
    <xf numFmtId="3" fontId="6" fillId="0" borderId="9" xfId="0" applyNumberFormat="1" applyFont="1" applyBorder="1" applyAlignment="1">
      <alignment horizontal="left"/>
    </xf>
    <xf numFmtId="44" fontId="6" fillId="0" borderId="10" xfId="0" applyNumberFormat="1" applyFont="1" applyBorder="1" applyAlignment="1">
      <alignment horizontal="center"/>
    </xf>
    <xf numFmtId="164" fontId="7" fillId="0" borderId="9" xfId="0" applyFont="1" applyBorder="1"/>
    <xf numFmtId="14" fontId="6" fillId="0" borderId="11" xfId="0" applyNumberFormat="1" applyFont="1" applyBorder="1"/>
    <xf numFmtId="44" fontId="6" fillId="0" borderId="18" xfId="0" applyNumberFormat="1" applyFont="1" applyBorder="1"/>
    <xf numFmtId="10" fontId="6" fillId="0" borderId="13" xfId="0" applyNumberFormat="1" applyFont="1" applyBorder="1" applyAlignment="1">
      <alignment horizontal="center"/>
    </xf>
    <xf numFmtId="164" fontId="6" fillId="0" borderId="19" xfId="0" applyFont="1" applyBorder="1"/>
    <xf numFmtId="44" fontId="6" fillId="0" borderId="20" xfId="0" applyNumberFormat="1" applyFont="1" applyBorder="1"/>
    <xf numFmtId="14" fontId="6" fillId="0" borderId="0" xfId="0" applyNumberFormat="1" applyFont="1" applyAlignment="1">
      <alignment horizontal="center"/>
    </xf>
    <xf numFmtId="164" fontId="6" fillId="0" borderId="13" xfId="0" applyFont="1" applyBorder="1"/>
    <xf numFmtId="44" fontId="6" fillId="0" borderId="0" xfId="0" applyNumberFormat="1" applyFont="1" applyAlignment="1">
      <alignment horizontal="center"/>
    </xf>
    <xf numFmtId="44" fontId="6" fillId="0" borderId="11" xfId="0" applyNumberFormat="1" applyFont="1" applyBorder="1" applyAlignment="1">
      <alignment horizontal="center"/>
    </xf>
    <xf numFmtId="164" fontId="6" fillId="0" borderId="21" xfId="0" applyFont="1" applyBorder="1"/>
    <xf numFmtId="44" fontId="6" fillId="0" borderId="22" xfId="0" applyNumberFormat="1" applyFont="1" applyBorder="1"/>
    <xf numFmtId="164" fontId="6" fillId="0" borderId="12" xfId="0" applyFont="1" applyBorder="1" applyAlignment="1">
      <alignment horizontal="left"/>
    </xf>
    <xf numFmtId="44" fontId="6" fillId="0" borderId="18" xfId="0" applyNumberFormat="1" applyFont="1" applyBorder="1" applyAlignment="1">
      <alignment horizontal="center"/>
    </xf>
    <xf numFmtId="44" fontId="6" fillId="0" borderId="13" xfId="0" applyNumberFormat="1" applyFont="1" applyBorder="1" applyAlignment="1">
      <alignment horizontal="center"/>
    </xf>
    <xf numFmtId="0" fontId="6" fillId="0" borderId="0" xfId="0" applyNumberFormat="1" applyFont="1"/>
    <xf numFmtId="164" fontId="6" fillId="0" borderId="10" xfId="0" applyFont="1" applyBorder="1"/>
    <xf numFmtId="44" fontId="6" fillId="0" borderId="23" xfId="0" applyNumberFormat="1" applyFont="1" applyBorder="1"/>
    <xf numFmtId="164" fontId="6" fillId="0" borderId="0" xfId="0" applyFont="1" applyAlignment="1">
      <alignment horizontal="left"/>
    </xf>
    <xf numFmtId="10" fontId="6" fillId="0" borderId="0" xfId="0" applyNumberFormat="1" applyFont="1" applyAlignment="1">
      <alignment horizontal="center"/>
    </xf>
    <xf numFmtId="44" fontId="6" fillId="0" borderId="24" xfId="0" applyNumberFormat="1" applyFont="1" applyBorder="1"/>
    <xf numFmtId="10" fontId="4" fillId="0" borderId="4" xfId="0" applyNumberFormat="1" applyFont="1" applyBorder="1" applyAlignment="1">
      <alignment horizontal="center"/>
    </xf>
    <xf numFmtId="44" fontId="4" fillId="0" borderId="25" xfId="0" applyNumberFormat="1" applyFont="1" applyBorder="1" applyAlignment="1">
      <alignment horizontal="center"/>
    </xf>
    <xf numFmtId="164" fontId="4" fillId="0" borderId="5" xfId="0" applyFont="1" applyBorder="1" applyAlignment="1">
      <alignment horizontal="center"/>
    </xf>
    <xf numFmtId="44" fontId="6" fillId="0" borderId="26" xfId="0" applyNumberFormat="1" applyFont="1" applyBorder="1"/>
    <xf numFmtId="44" fontId="6" fillId="0" borderId="12" xfId="0" applyNumberFormat="1" applyFont="1" applyBorder="1" applyAlignment="1">
      <alignment horizontal="center"/>
    </xf>
    <xf numFmtId="164" fontId="6" fillId="0" borderId="4" xfId="0" applyFont="1" applyBorder="1" applyAlignment="1">
      <alignment horizontal="left"/>
    </xf>
    <xf numFmtId="165" fontId="6" fillId="0" borderId="25" xfId="0" applyNumberFormat="1" applyFont="1" applyBorder="1" applyAlignment="1">
      <alignment horizontal="center"/>
    </xf>
    <xf numFmtId="10" fontId="6" fillId="0" borderId="5" xfId="0" applyNumberFormat="1" applyFont="1" applyBorder="1" applyAlignment="1">
      <alignment horizontal="center"/>
    </xf>
    <xf numFmtId="164" fontId="6" fillId="0" borderId="27" xfId="0" applyFont="1" applyBorder="1"/>
    <xf numFmtId="14" fontId="4" fillId="0" borderId="4" xfId="0" applyNumberFormat="1" applyFont="1" applyBorder="1" applyAlignment="1">
      <alignment horizontal="center"/>
    </xf>
    <xf numFmtId="44" fontId="4" fillId="0" borderId="5" xfId="0" applyNumberFormat="1" applyFont="1" applyBorder="1" applyAlignment="1">
      <alignment horizontal="center"/>
    </xf>
    <xf numFmtId="165" fontId="6" fillId="0" borderId="10" xfId="0" applyNumberFormat="1" applyFont="1" applyBorder="1" applyAlignment="1">
      <alignment horizontal="center"/>
    </xf>
    <xf numFmtId="165" fontId="6" fillId="0" borderId="18" xfId="0" applyNumberFormat="1" applyFont="1" applyBorder="1" applyAlignment="1">
      <alignment horizontal="center"/>
    </xf>
    <xf numFmtId="14" fontId="6" fillId="0" borderId="0" xfId="0" applyNumberFormat="1" applyFont="1"/>
    <xf numFmtId="0" fontId="4" fillId="0" borderId="0" xfId="0" applyNumberFormat="1" applyFont="1"/>
    <xf numFmtId="44" fontId="4" fillId="0" borderId="0" xfId="0" applyNumberFormat="1" applyFont="1"/>
    <xf numFmtId="164" fontId="6" fillId="0" borderId="28" xfId="0" applyFont="1" applyBorder="1"/>
    <xf numFmtId="44" fontId="4" fillId="0" borderId="21" xfId="0" applyNumberFormat="1" applyFont="1" applyBorder="1" applyAlignment="1">
      <alignment horizontal="center"/>
    </xf>
    <xf numFmtId="164" fontId="4" fillId="0" borderId="29" xfId="0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6" fillId="0" borderId="25" xfId="0" applyNumberFormat="1" applyFont="1" applyBorder="1"/>
    <xf numFmtId="10" fontId="6" fillId="0" borderId="25" xfId="0" applyNumberFormat="1" applyFont="1" applyBorder="1" applyAlignment="1">
      <alignment horizontal="center"/>
    </xf>
    <xf numFmtId="164" fontId="6" fillId="0" borderId="5" xfId="0" applyFont="1" applyBorder="1"/>
    <xf numFmtId="44" fontId="6" fillId="0" borderId="19" xfId="0" applyNumberFormat="1" applyFont="1" applyBorder="1"/>
    <xf numFmtId="44" fontId="6" fillId="0" borderId="30" xfId="0" applyNumberFormat="1" applyFont="1" applyBorder="1" applyAlignment="1">
      <alignment horizontal="center"/>
    </xf>
    <xf numFmtId="10" fontId="6" fillId="0" borderId="20" xfId="0" applyNumberFormat="1" applyFont="1" applyBorder="1" applyAlignment="1">
      <alignment horizontal="center"/>
    </xf>
    <xf numFmtId="10" fontId="6" fillId="0" borderId="10" xfId="0" applyNumberFormat="1" applyFont="1" applyBorder="1" applyAlignment="1">
      <alignment horizontal="center"/>
    </xf>
    <xf numFmtId="164" fontId="6" fillId="0" borderId="11" xfId="0" applyFont="1" applyBorder="1"/>
    <xf numFmtId="44" fontId="6" fillId="0" borderId="9" xfId="0" applyNumberFormat="1" applyFont="1" applyBorder="1"/>
    <xf numFmtId="44" fontId="6" fillId="0" borderId="0" xfId="0" applyNumberFormat="1" applyFont="1" applyAlignment="1">
      <alignment horizontal="left"/>
    </xf>
    <xf numFmtId="10" fontId="6" fillId="0" borderId="24" xfId="0" applyNumberFormat="1" applyFont="1" applyBorder="1" applyAlignment="1">
      <alignment horizontal="center"/>
    </xf>
    <xf numFmtId="164" fontId="6" fillId="0" borderId="17" xfId="0" applyFont="1" applyBorder="1"/>
    <xf numFmtId="164" fontId="8" fillId="0" borderId="0" xfId="0" applyFont="1"/>
    <xf numFmtId="44" fontId="6" fillId="0" borderId="12" xfId="0" applyNumberFormat="1" applyFont="1" applyBorder="1"/>
    <xf numFmtId="164" fontId="6" fillId="0" borderId="0" xfId="0" applyFont="1"/>
    <xf numFmtId="44" fontId="6" fillId="0" borderId="29" xfId="0" applyNumberFormat="1" applyFont="1" applyBorder="1"/>
    <xf numFmtId="10" fontId="6" fillId="0" borderId="29" xfId="0" applyNumberFormat="1" applyFont="1" applyBorder="1" applyAlignment="1">
      <alignment horizontal="center"/>
    </xf>
    <xf numFmtId="164" fontId="6" fillId="0" borderId="22" xfId="0" applyFont="1" applyBorder="1"/>
    <xf numFmtId="164" fontId="6" fillId="0" borderId="0" xfId="0" applyFont="1" applyAlignment="1">
      <alignment horizontal="right"/>
    </xf>
    <xf numFmtId="10" fontId="6" fillId="0" borderId="17" xfId="0" applyNumberFormat="1" applyFont="1" applyBorder="1" applyAlignment="1">
      <alignment horizontal="center"/>
    </xf>
    <xf numFmtId="0" fontId="9" fillId="0" borderId="0" xfId="0" applyNumberFormat="1" applyFont="1"/>
    <xf numFmtId="164" fontId="4" fillId="0" borderId="21" xfId="0" applyFont="1" applyBorder="1"/>
    <xf numFmtId="44" fontId="4" fillId="0" borderId="29" xfId="0" applyNumberFormat="1" applyFont="1" applyBorder="1"/>
    <xf numFmtId="9" fontId="4" fillId="0" borderId="22" xfId="0" applyNumberFormat="1" applyFont="1" applyBorder="1" applyAlignment="1">
      <alignment horizontal="center"/>
    </xf>
    <xf numFmtId="164" fontId="6" fillId="2" borderId="4" xfId="0" applyFont="1" applyFill="1" applyBorder="1"/>
    <xf numFmtId="10" fontId="6" fillId="0" borderId="10" xfId="0" applyNumberFormat="1" applyFont="1" applyBorder="1"/>
    <xf numFmtId="164" fontId="6" fillId="2" borderId="9" xfId="0" applyFont="1" applyFill="1" applyBorder="1"/>
    <xf numFmtId="44" fontId="6" fillId="3" borderId="10" xfId="0" applyNumberFormat="1" applyFont="1" applyFill="1" applyBorder="1" applyAlignment="1">
      <alignment horizontal="center"/>
    </xf>
    <xf numFmtId="10" fontId="6" fillId="3" borderId="10" xfId="0" applyNumberFormat="1" applyFont="1" applyFill="1" applyBorder="1" applyAlignment="1">
      <alignment horizontal="center"/>
    </xf>
    <xf numFmtId="44" fontId="6" fillId="4" borderId="10" xfId="0" applyNumberFormat="1" applyFont="1" applyFill="1" applyBorder="1" applyAlignment="1">
      <alignment horizontal="center"/>
    </xf>
    <xf numFmtId="10" fontId="6" fillId="4" borderId="11" xfId="0" applyNumberFormat="1" applyFont="1" applyFill="1" applyBorder="1" applyAlignment="1">
      <alignment horizontal="center"/>
    </xf>
    <xf numFmtId="44" fontId="6" fillId="3" borderId="10" xfId="0" applyNumberFormat="1" applyFont="1" applyFill="1" applyBorder="1"/>
    <xf numFmtId="44" fontId="6" fillId="4" borderId="10" xfId="0" applyNumberFormat="1" applyFont="1" applyFill="1" applyBorder="1"/>
    <xf numFmtId="164" fontId="6" fillId="2" borderId="33" xfId="0" applyFont="1" applyFill="1" applyBorder="1"/>
    <xf numFmtId="44" fontId="6" fillId="3" borderId="34" xfId="0" applyNumberFormat="1" applyFont="1" applyFill="1" applyBorder="1" applyAlignment="1">
      <alignment horizontal="center"/>
    </xf>
    <xf numFmtId="10" fontId="6" fillId="3" borderId="34" xfId="0" applyNumberFormat="1" applyFont="1" applyFill="1" applyBorder="1" applyAlignment="1">
      <alignment horizontal="center"/>
    </xf>
    <xf numFmtId="44" fontId="6" fillId="4" borderId="34" xfId="0" applyNumberFormat="1" applyFont="1" applyFill="1" applyBorder="1" applyAlignment="1">
      <alignment horizontal="center"/>
    </xf>
    <xf numFmtId="10" fontId="6" fillId="4" borderId="35" xfId="0" applyNumberFormat="1" applyFont="1" applyFill="1" applyBorder="1" applyAlignment="1">
      <alignment horizontal="center"/>
    </xf>
    <xf numFmtId="164" fontId="6" fillId="3" borderId="10" xfId="0" applyFont="1" applyFill="1" applyBorder="1" applyAlignment="1">
      <alignment horizontal="center"/>
    </xf>
    <xf numFmtId="10" fontId="6" fillId="0" borderId="18" xfId="0" applyNumberFormat="1" applyFont="1" applyBorder="1"/>
    <xf numFmtId="164" fontId="6" fillId="2" borderId="12" xfId="0" applyFont="1" applyFill="1" applyBorder="1"/>
    <xf numFmtId="44" fontId="6" fillId="3" borderId="18" xfId="0" applyNumberFormat="1" applyFont="1" applyFill="1" applyBorder="1"/>
    <xf numFmtId="10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/>
    <xf numFmtId="10" fontId="6" fillId="4" borderId="13" xfId="0" applyNumberFormat="1" applyFont="1" applyFill="1" applyBorder="1" applyAlignment="1">
      <alignment horizontal="center"/>
    </xf>
    <xf numFmtId="10" fontId="6" fillId="0" borderId="0" xfId="0" applyNumberFormat="1" applyFont="1"/>
    <xf numFmtId="2" fontId="6" fillId="0" borderId="0" xfId="0" applyNumberFormat="1" applyFont="1"/>
    <xf numFmtId="164" fontId="11" fillId="0" borderId="0" xfId="0" applyFont="1" applyAlignment="1">
      <alignment vertical="center"/>
    </xf>
    <xf numFmtId="44" fontId="11" fillId="0" borderId="0" xfId="0" applyNumberFormat="1" applyFont="1" applyAlignment="1">
      <alignment vertical="center"/>
    </xf>
    <xf numFmtId="164" fontId="6" fillId="0" borderId="0" xfId="0" applyFont="1" applyAlignment="1">
      <alignment vertical="center"/>
    </xf>
    <xf numFmtId="164" fontId="11" fillId="0" borderId="0" xfId="0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64" fontId="11" fillId="0" borderId="4" xfId="0" applyFont="1" applyBorder="1" applyAlignment="1">
      <alignment horizontal="center" vertical="center"/>
    </xf>
    <xf numFmtId="164" fontId="11" fillId="0" borderId="25" xfId="0" applyFont="1" applyBorder="1" applyAlignment="1">
      <alignment horizontal="center" vertical="center"/>
    </xf>
    <xf numFmtId="164" fontId="11" fillId="0" borderId="5" xfId="0" applyFont="1" applyBorder="1" applyAlignment="1">
      <alignment horizontal="center" vertical="center"/>
    </xf>
    <xf numFmtId="164" fontId="11" fillId="0" borderId="4" xfId="0" applyFont="1" applyBorder="1" applyAlignment="1">
      <alignment vertical="center"/>
    </xf>
    <xf numFmtId="164" fontId="11" fillId="0" borderId="21" xfId="0" applyFont="1" applyBorder="1" applyAlignment="1">
      <alignment vertical="center"/>
    </xf>
    <xf numFmtId="44" fontId="11" fillId="0" borderId="36" xfId="0" applyNumberFormat="1" applyFont="1" applyBorder="1" applyAlignment="1">
      <alignment horizontal="center" vertical="center"/>
    </xf>
    <xf numFmtId="10" fontId="11" fillId="0" borderId="18" xfId="0" applyNumberFormat="1" applyFont="1" applyBorder="1" applyAlignment="1">
      <alignment horizontal="center" vertical="center"/>
    </xf>
    <xf numFmtId="44" fontId="11" fillId="0" borderId="18" xfId="0" applyNumberFormat="1" applyFont="1" applyBorder="1" applyAlignment="1">
      <alignment horizontal="center" vertical="center"/>
    </xf>
    <xf numFmtId="44" fontId="11" fillId="0" borderId="13" xfId="0" applyNumberFormat="1" applyFont="1" applyBorder="1" applyAlignment="1">
      <alignment horizontal="center" vertical="center"/>
    </xf>
    <xf numFmtId="164" fontId="12" fillId="5" borderId="9" xfId="0" applyFont="1" applyFill="1" applyBorder="1" applyAlignment="1">
      <alignment vertical="center"/>
    </xf>
    <xf numFmtId="44" fontId="12" fillId="5" borderId="10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 vertical="center"/>
    </xf>
    <xf numFmtId="44" fontId="12" fillId="5" borderId="11" xfId="0" applyNumberFormat="1" applyFont="1" applyFill="1" applyBorder="1" applyAlignment="1">
      <alignment horizontal="center" vertical="center"/>
    </xf>
    <xf numFmtId="44" fontId="11" fillId="0" borderId="0" xfId="0" applyNumberFormat="1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64" fontId="11" fillId="0" borderId="9" xfId="0" applyFont="1" applyBorder="1" applyAlignment="1">
      <alignment vertical="center"/>
    </xf>
    <xf numFmtId="44" fontId="11" fillId="0" borderId="10" xfId="0" applyNumberFormat="1" applyFont="1" applyBorder="1" applyAlignment="1">
      <alignment horizontal="center" vertical="center"/>
    </xf>
    <xf numFmtId="164" fontId="11" fillId="0" borderId="10" xfId="0" applyFont="1" applyBorder="1" applyAlignment="1">
      <alignment horizontal="center" vertical="center"/>
    </xf>
    <xf numFmtId="44" fontId="11" fillId="0" borderId="11" xfId="0" applyNumberFormat="1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164" fontId="12" fillId="0" borderId="25" xfId="0" applyFont="1" applyBorder="1" applyAlignment="1">
      <alignment vertical="center"/>
    </xf>
    <xf numFmtId="44" fontId="11" fillId="0" borderId="25" xfId="0" applyNumberFormat="1" applyFont="1" applyBorder="1" applyAlignment="1">
      <alignment horizontal="center" vertical="center"/>
    </xf>
    <xf numFmtId="10" fontId="11" fillId="0" borderId="25" xfId="0" applyNumberFormat="1" applyFont="1" applyBorder="1" applyAlignment="1">
      <alignment horizontal="center" vertical="center"/>
    </xf>
    <xf numFmtId="44" fontId="11" fillId="0" borderId="5" xfId="0" applyNumberFormat="1" applyFont="1" applyBorder="1" applyAlignment="1">
      <alignment horizontal="center" vertical="center"/>
    </xf>
    <xf numFmtId="10" fontId="11" fillId="0" borderId="10" xfId="0" applyNumberFormat="1" applyFont="1" applyBorder="1" applyAlignment="1">
      <alignment horizontal="center" vertical="center"/>
    </xf>
    <xf numFmtId="164" fontId="11" fillId="0" borderId="9" xfId="0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164" fontId="12" fillId="0" borderId="10" xfId="0" applyFont="1" applyBorder="1" applyAlignment="1">
      <alignment vertical="center"/>
    </xf>
    <xf numFmtId="10" fontId="12" fillId="5" borderId="10" xfId="0" applyNumberFormat="1" applyFont="1" applyFill="1" applyBorder="1" applyAlignment="1">
      <alignment horizontal="center" vertical="center"/>
    </xf>
    <xf numFmtId="164" fontId="11" fillId="0" borderId="16" xfId="0" applyFont="1" applyBorder="1" applyAlignment="1">
      <alignment horizontal="center" vertical="center"/>
    </xf>
    <xf numFmtId="1" fontId="11" fillId="0" borderId="24" xfId="0" applyNumberFormat="1" applyFont="1" applyBorder="1" applyAlignment="1">
      <alignment horizontal="center" vertical="center"/>
    </xf>
    <xf numFmtId="164" fontId="12" fillId="0" borderId="24" xfId="0" applyFont="1" applyBorder="1" applyAlignment="1">
      <alignment vertical="center"/>
    </xf>
    <xf numFmtId="44" fontId="11" fillId="0" borderId="24" xfId="0" applyNumberFormat="1" applyFont="1" applyBorder="1" applyAlignment="1">
      <alignment horizontal="center" vertical="center"/>
    </xf>
    <xf numFmtId="10" fontId="11" fillId="0" borderId="24" xfId="0" applyNumberFormat="1" applyFont="1" applyBorder="1" applyAlignment="1">
      <alignment horizontal="center" vertical="center"/>
    </xf>
    <xf numFmtId="44" fontId="11" fillId="0" borderId="17" xfId="0" applyNumberFormat="1" applyFont="1" applyBorder="1" applyAlignment="1">
      <alignment horizontal="center" vertical="center"/>
    </xf>
    <xf numFmtId="164" fontId="11" fillId="0" borderId="12" xfId="0" applyFont="1" applyBorder="1" applyAlignment="1">
      <alignment horizontal="center" vertical="center"/>
    </xf>
    <xf numFmtId="1" fontId="11" fillId="0" borderId="18" xfId="0" applyNumberFormat="1" applyFont="1" applyBorder="1" applyAlignment="1">
      <alignment horizontal="center" vertical="center"/>
    </xf>
    <xf numFmtId="164" fontId="12" fillId="0" borderId="18" xfId="0" applyFont="1" applyBorder="1" applyAlignment="1">
      <alignment vertical="center"/>
    </xf>
    <xf numFmtId="164" fontId="12" fillId="0" borderId="0" xfId="0" applyFont="1" applyAlignment="1">
      <alignment vertical="center"/>
    </xf>
    <xf numFmtId="164" fontId="11" fillId="0" borderId="25" xfId="0" applyFont="1" applyBorder="1" applyAlignment="1">
      <alignment vertical="center"/>
    </xf>
    <xf numFmtId="164" fontId="11" fillId="0" borderId="10" xfId="0" applyFont="1" applyBorder="1" applyAlignment="1">
      <alignment vertical="center"/>
    </xf>
    <xf numFmtId="164" fontId="11" fillId="6" borderId="10" xfId="0" applyFont="1" applyFill="1" applyBorder="1" applyAlignment="1">
      <alignment vertical="center"/>
    </xf>
    <xf numFmtId="164" fontId="12" fillId="7" borderId="9" xfId="0" applyFont="1" applyFill="1" applyBorder="1" applyAlignment="1">
      <alignment vertical="center"/>
    </xf>
    <xf numFmtId="44" fontId="12" fillId="7" borderId="10" xfId="0" applyNumberFormat="1" applyFont="1" applyFill="1" applyBorder="1" applyAlignment="1">
      <alignment horizontal="center" vertical="center"/>
    </xf>
    <xf numFmtId="10" fontId="12" fillId="7" borderId="10" xfId="0" applyNumberFormat="1" applyFont="1" applyFill="1" applyBorder="1" applyAlignment="1">
      <alignment horizontal="center" vertical="center"/>
    </xf>
    <xf numFmtId="44" fontId="12" fillId="7" borderId="11" xfId="0" applyNumberFormat="1" applyFont="1" applyFill="1" applyBorder="1" applyAlignment="1">
      <alignment horizontal="center" vertical="center"/>
    </xf>
    <xf numFmtId="164" fontId="12" fillId="7" borderId="12" xfId="0" applyFont="1" applyFill="1" applyBorder="1" applyAlignment="1">
      <alignment vertical="center"/>
    </xf>
    <xf numFmtId="44" fontId="12" fillId="7" borderId="18" xfId="0" applyNumberFormat="1" applyFont="1" applyFill="1" applyBorder="1" applyAlignment="1">
      <alignment horizontal="center" vertical="center"/>
    </xf>
    <xf numFmtId="10" fontId="12" fillId="7" borderId="18" xfId="0" applyNumberFormat="1" applyFont="1" applyFill="1" applyBorder="1" applyAlignment="1">
      <alignment horizontal="center" vertical="center"/>
    </xf>
    <xf numFmtId="44" fontId="12" fillId="7" borderId="13" xfId="0" applyNumberFormat="1" applyFont="1" applyFill="1" applyBorder="1" applyAlignment="1">
      <alignment horizontal="center" vertical="center"/>
    </xf>
    <xf numFmtId="165" fontId="11" fillId="0" borderId="0" xfId="0" applyNumberFormat="1" applyFont="1" applyAlignment="1">
      <alignment vertical="center"/>
    </xf>
    <xf numFmtId="44" fontId="11" fillId="0" borderId="25" xfId="0" applyNumberFormat="1" applyFont="1" applyBorder="1" applyAlignment="1">
      <alignment vertical="center"/>
    </xf>
    <xf numFmtId="164" fontId="11" fillId="0" borderId="5" xfId="0" applyFont="1" applyBorder="1" applyAlignment="1">
      <alignment vertical="center"/>
    </xf>
    <xf numFmtId="164" fontId="11" fillId="0" borderId="11" xfId="0" applyFont="1" applyBorder="1" applyAlignment="1">
      <alignment horizontal="center" vertical="center"/>
    </xf>
    <xf numFmtId="164" fontId="11" fillId="0" borderId="18" xfId="0" applyFont="1" applyBorder="1" applyAlignment="1">
      <alignment vertical="center"/>
    </xf>
    <xf numFmtId="164" fontId="11" fillId="7" borderId="12" xfId="0" applyFont="1" applyFill="1" applyBorder="1" applyAlignment="1">
      <alignment vertical="center"/>
    </xf>
    <xf numFmtId="44" fontId="11" fillId="7" borderId="18" xfId="0" applyNumberFormat="1" applyFont="1" applyFill="1" applyBorder="1" applyAlignment="1">
      <alignment horizontal="center" vertical="center"/>
    </xf>
    <xf numFmtId="10" fontId="11" fillId="7" borderId="18" xfId="0" applyNumberFormat="1" applyFont="1" applyFill="1" applyBorder="1" applyAlignment="1">
      <alignment horizontal="center" vertical="center"/>
    </xf>
    <xf numFmtId="44" fontId="11" fillId="7" borderId="13" xfId="0" applyNumberFormat="1" applyFont="1" applyFill="1" applyBorder="1" applyAlignment="1">
      <alignment horizontal="center" vertical="center"/>
    </xf>
    <xf numFmtId="165" fontId="11" fillId="0" borderId="18" xfId="0" applyNumberFormat="1" applyFont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4" fontId="11" fillId="8" borderId="4" xfId="0" applyFont="1" applyFill="1" applyBorder="1" applyAlignment="1">
      <alignment horizontal="center"/>
    </xf>
    <xf numFmtId="164" fontId="11" fillId="8" borderId="37" xfId="0" applyFont="1" applyFill="1" applyBorder="1" applyAlignment="1">
      <alignment horizontal="center"/>
    </xf>
    <xf numFmtId="164" fontId="11" fillId="8" borderId="5" xfId="0" applyFont="1" applyFill="1" applyBorder="1" applyAlignment="1">
      <alignment horizontal="center"/>
    </xf>
    <xf numFmtId="164" fontId="11" fillId="0" borderId="0" xfId="0" applyFont="1" applyAlignment="1">
      <alignment horizontal="center"/>
    </xf>
    <xf numFmtId="44" fontId="11" fillId="5" borderId="4" xfId="0" applyNumberFormat="1" applyFont="1" applyFill="1" applyBorder="1" applyAlignment="1">
      <alignment horizontal="center"/>
    </xf>
    <xf numFmtId="44" fontId="11" fillId="5" borderId="38" xfId="0" applyNumberFormat="1" applyFont="1" applyFill="1" applyBorder="1" applyAlignment="1">
      <alignment horizontal="center"/>
    </xf>
    <xf numFmtId="44" fontId="11" fillId="5" borderId="25" xfId="0" applyNumberFormat="1" applyFont="1" applyFill="1" applyBorder="1" applyAlignment="1">
      <alignment horizontal="center"/>
    </xf>
    <xf numFmtId="10" fontId="11" fillId="5" borderId="5" xfId="0" applyNumberFormat="1" applyFont="1" applyFill="1" applyBorder="1" applyAlignment="1">
      <alignment horizontal="center"/>
    </xf>
    <xf numFmtId="44" fontId="11" fillId="0" borderId="0" xfId="0" applyNumberFormat="1" applyFont="1" applyAlignment="1">
      <alignment horizontal="center"/>
    </xf>
    <xf numFmtId="44" fontId="11" fillId="9" borderId="4" xfId="0" applyNumberFormat="1" applyFont="1" applyFill="1" applyBorder="1" applyAlignment="1">
      <alignment horizontal="center"/>
    </xf>
    <xf numFmtId="44" fontId="11" fillId="9" borderId="37" xfId="0" applyNumberFormat="1" applyFont="1" applyFill="1" applyBorder="1" applyAlignment="1">
      <alignment horizontal="center"/>
    </xf>
    <xf numFmtId="44" fontId="11" fillId="9" borderId="39" xfId="0" applyNumberFormat="1" applyFont="1" applyFill="1" applyBorder="1" applyAlignment="1">
      <alignment horizontal="center"/>
    </xf>
    <xf numFmtId="10" fontId="11" fillId="9" borderId="5" xfId="0" applyNumberFormat="1" applyFont="1" applyFill="1" applyBorder="1" applyAlignment="1">
      <alignment horizontal="center"/>
    </xf>
    <xf numFmtId="44" fontId="11" fillId="0" borderId="0" xfId="0" applyNumberFormat="1" applyFont="1"/>
    <xf numFmtId="44" fontId="11" fillId="10" borderId="4" xfId="0" applyNumberFormat="1" applyFont="1" applyFill="1" applyBorder="1" applyAlignment="1">
      <alignment horizontal="center"/>
    </xf>
    <xf numFmtId="44" fontId="11" fillId="10" borderId="37" xfId="0" applyNumberFormat="1" applyFont="1" applyFill="1" applyBorder="1" applyAlignment="1">
      <alignment horizontal="center"/>
    </xf>
    <xf numFmtId="44" fontId="11" fillId="10" borderId="5" xfId="0" applyNumberFormat="1" applyFont="1" applyFill="1" applyBorder="1" applyAlignment="1">
      <alignment horizontal="center"/>
    </xf>
    <xf numFmtId="16" fontId="11" fillId="8" borderId="9" xfId="0" applyNumberFormat="1" applyFont="1" applyFill="1" applyBorder="1" applyAlignment="1">
      <alignment horizontal="center"/>
    </xf>
    <xf numFmtId="1" fontId="11" fillId="8" borderId="40" xfId="0" applyNumberFormat="1" applyFont="1" applyFill="1" applyBorder="1" applyAlignment="1">
      <alignment horizontal="center"/>
    </xf>
    <xf numFmtId="1" fontId="11" fillId="8" borderId="11" xfId="0" applyNumberFormat="1" applyFont="1" applyFill="1" applyBorder="1" applyAlignment="1">
      <alignment horizontal="center"/>
    </xf>
    <xf numFmtId="44" fontId="11" fillId="5" borderId="9" xfId="0" applyNumberFormat="1" applyFont="1" applyFill="1" applyBorder="1"/>
    <xf numFmtId="44" fontId="11" fillId="5" borderId="41" xfId="0" applyNumberFormat="1" applyFont="1" applyFill="1" applyBorder="1"/>
    <xf numFmtId="44" fontId="11" fillId="5" borderId="10" xfId="0" applyNumberFormat="1" applyFont="1" applyFill="1" applyBorder="1"/>
    <xf numFmtId="10" fontId="11" fillId="5" borderId="11" xfId="0" applyNumberFormat="1" applyFont="1" applyFill="1" applyBorder="1" applyAlignment="1">
      <alignment horizontal="center"/>
    </xf>
    <xf numFmtId="44" fontId="11" fillId="9" borderId="9" xfId="0" applyNumberFormat="1" applyFont="1" applyFill="1" applyBorder="1" applyAlignment="1">
      <alignment horizontal="center"/>
    </xf>
    <xf numFmtId="44" fontId="11" fillId="9" borderId="40" xfId="0" applyNumberFormat="1" applyFont="1" applyFill="1" applyBorder="1" applyAlignment="1">
      <alignment horizontal="center"/>
    </xf>
    <xf numFmtId="44" fontId="11" fillId="9" borderId="42" xfId="0" applyNumberFormat="1" applyFont="1" applyFill="1" applyBorder="1"/>
    <xf numFmtId="10" fontId="11" fillId="9" borderId="11" xfId="0" applyNumberFormat="1" applyFont="1" applyFill="1" applyBorder="1" applyAlignment="1">
      <alignment horizontal="center"/>
    </xf>
    <xf numFmtId="44" fontId="11" fillId="10" borderId="9" xfId="0" applyNumberFormat="1" applyFont="1" applyFill="1" applyBorder="1"/>
    <xf numFmtId="44" fontId="11" fillId="10" borderId="40" xfId="0" applyNumberFormat="1" applyFont="1" applyFill="1" applyBorder="1"/>
    <xf numFmtId="44" fontId="11" fillId="10" borderId="11" xfId="0" applyNumberFormat="1" applyFont="1" applyFill="1" applyBorder="1"/>
    <xf numFmtId="16" fontId="11" fillId="8" borderId="9" xfId="0" quotePrefix="1" applyNumberFormat="1" applyFont="1" applyFill="1" applyBorder="1" applyAlignment="1">
      <alignment horizontal="center"/>
    </xf>
    <xf numFmtId="164" fontId="11" fillId="8" borderId="9" xfId="0" applyFont="1" applyFill="1" applyBorder="1" applyAlignment="1">
      <alignment horizontal="center"/>
    </xf>
    <xf numFmtId="10" fontId="11" fillId="10" borderId="11" xfId="0" applyNumberFormat="1" applyFont="1" applyFill="1" applyBorder="1" applyAlignment="1">
      <alignment horizontal="center"/>
    </xf>
    <xf numFmtId="44" fontId="11" fillId="11" borderId="4" xfId="0" applyNumberFormat="1" applyFont="1" applyFill="1" applyBorder="1" applyAlignment="1">
      <alignment horizontal="center"/>
    </xf>
    <xf numFmtId="44" fontId="11" fillId="11" borderId="38" xfId="0" applyNumberFormat="1" applyFont="1" applyFill="1" applyBorder="1" applyAlignment="1">
      <alignment horizontal="center"/>
    </xf>
    <xf numFmtId="44" fontId="11" fillId="11" borderId="25" xfId="0" applyNumberFormat="1" applyFont="1" applyFill="1" applyBorder="1" applyAlignment="1">
      <alignment horizontal="center"/>
    </xf>
    <xf numFmtId="10" fontId="11" fillId="11" borderId="5" xfId="0" applyNumberFormat="1" applyFont="1" applyFill="1" applyBorder="1" applyAlignment="1">
      <alignment horizontal="center"/>
    </xf>
    <xf numFmtId="44" fontId="11" fillId="12" borderId="4" xfId="0" applyNumberFormat="1" applyFont="1" applyFill="1" applyBorder="1" applyAlignment="1">
      <alignment horizontal="center"/>
    </xf>
    <xf numFmtId="44" fontId="11" fillId="12" borderId="38" xfId="0" applyNumberFormat="1" applyFont="1" applyFill="1" applyBorder="1" applyAlignment="1">
      <alignment horizontal="center"/>
    </xf>
    <xf numFmtId="44" fontId="11" fillId="12" borderId="25" xfId="0" applyNumberFormat="1" applyFont="1" applyFill="1" applyBorder="1" applyAlignment="1">
      <alignment horizontal="center"/>
    </xf>
    <xf numFmtId="10" fontId="11" fillId="12" borderId="5" xfId="0" applyNumberFormat="1" applyFont="1" applyFill="1" applyBorder="1" applyAlignment="1">
      <alignment horizontal="center"/>
    </xf>
    <xf numFmtId="44" fontId="11" fillId="13" borderId="4" xfId="0" applyNumberFormat="1" applyFont="1" applyFill="1" applyBorder="1" applyAlignment="1">
      <alignment horizontal="center"/>
    </xf>
    <xf numFmtId="44" fontId="11" fillId="13" borderId="37" xfId="0" applyNumberFormat="1" applyFont="1" applyFill="1" applyBorder="1" applyAlignment="1">
      <alignment horizontal="center"/>
    </xf>
    <xf numFmtId="44" fontId="11" fillId="13" borderId="5" xfId="0" applyNumberFormat="1" applyFont="1" applyFill="1" applyBorder="1" applyAlignment="1">
      <alignment horizontal="center"/>
    </xf>
    <xf numFmtId="44" fontId="11" fillId="11" borderId="9" xfId="0" applyNumberFormat="1" applyFont="1" applyFill="1" applyBorder="1"/>
    <xf numFmtId="44" fontId="11" fillId="11" borderId="41" xfId="0" applyNumberFormat="1" applyFont="1" applyFill="1" applyBorder="1"/>
    <xf numFmtId="44" fontId="11" fillId="11" borderId="10" xfId="0" applyNumberFormat="1" applyFont="1" applyFill="1" applyBorder="1"/>
    <xf numFmtId="10" fontId="11" fillId="11" borderId="11" xfId="0" applyNumberFormat="1" applyFont="1" applyFill="1" applyBorder="1" applyAlignment="1">
      <alignment horizontal="center"/>
    </xf>
    <xf numFmtId="44" fontId="11" fillId="12" borderId="9" xfId="0" applyNumberFormat="1" applyFont="1" applyFill="1" applyBorder="1"/>
    <xf numFmtId="44" fontId="11" fillId="12" borderId="41" xfId="0" applyNumberFormat="1" applyFont="1" applyFill="1" applyBorder="1"/>
    <xf numFmtId="44" fontId="11" fillId="12" borderId="10" xfId="0" applyNumberFormat="1" applyFont="1" applyFill="1" applyBorder="1"/>
    <xf numFmtId="10" fontId="11" fillId="12" borderId="11" xfId="0" applyNumberFormat="1" applyFont="1" applyFill="1" applyBorder="1" applyAlignment="1">
      <alignment horizontal="center"/>
    </xf>
    <xf numFmtId="44" fontId="11" fillId="13" borderId="9" xfId="0" applyNumberFormat="1" applyFont="1" applyFill="1" applyBorder="1"/>
    <xf numFmtId="44" fontId="11" fillId="13" borderId="40" xfId="0" applyNumberFormat="1" applyFont="1" applyFill="1" applyBorder="1"/>
    <xf numFmtId="44" fontId="11" fillId="13" borderId="11" xfId="0" applyNumberFormat="1" applyFont="1" applyFill="1" applyBorder="1"/>
    <xf numFmtId="164" fontId="11" fillId="5" borderId="43" xfId="0" applyFont="1" applyFill="1" applyBorder="1"/>
    <xf numFmtId="1" fontId="11" fillId="5" borderId="43" xfId="0" applyNumberFormat="1" applyFont="1" applyFill="1" applyBorder="1"/>
    <xf numFmtId="16" fontId="11" fillId="5" borderId="43" xfId="0" applyNumberFormat="1" applyFont="1" applyFill="1" applyBorder="1" applyAlignment="1">
      <alignment horizontal="left" vertical="center"/>
    </xf>
    <xf numFmtId="16" fontId="11" fillId="5" borderId="43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/>
    </xf>
    <xf numFmtId="10" fontId="12" fillId="5" borderId="10" xfId="0" applyNumberFormat="1" applyFont="1" applyFill="1" applyBorder="1" applyAlignment="1">
      <alignment horizontal="center"/>
    </xf>
    <xf numFmtId="14" fontId="11" fillId="9" borderId="10" xfId="0" applyNumberFormat="1" applyFont="1" applyFill="1" applyBorder="1"/>
    <xf numFmtId="14" fontId="11" fillId="11" borderId="10" xfId="0" applyNumberFormat="1" applyFont="1" applyFill="1" applyBorder="1"/>
    <xf numFmtId="14" fontId="11" fillId="14" borderId="10" xfId="0" applyNumberFormat="1" applyFont="1" applyFill="1" applyBorder="1"/>
    <xf numFmtId="14" fontId="11" fillId="12" borderId="10" xfId="0" applyNumberFormat="1" applyFont="1" applyFill="1" applyBorder="1"/>
    <xf numFmtId="14" fontId="11" fillId="10" borderId="10" xfId="0" applyNumberFormat="1" applyFont="1" applyFill="1" applyBorder="1"/>
    <xf numFmtId="14" fontId="11" fillId="13" borderId="10" xfId="0" applyNumberFormat="1" applyFont="1" applyFill="1" applyBorder="1"/>
    <xf numFmtId="14" fontId="11" fillId="15" borderId="10" xfId="0" applyNumberFormat="1" applyFont="1" applyFill="1" applyBorder="1"/>
    <xf numFmtId="14" fontId="11" fillId="8" borderId="10" xfId="0" applyNumberFormat="1" applyFont="1" applyFill="1" applyBorder="1"/>
    <xf numFmtId="1" fontId="11" fillId="5" borderId="10" xfId="0" applyNumberFormat="1" applyFont="1" applyFill="1" applyBorder="1" applyAlignment="1">
      <alignment horizontal="center"/>
    </xf>
    <xf numFmtId="16" fontId="11" fillId="5" borderId="42" xfId="0" applyNumberFormat="1" applyFont="1" applyFill="1" applyBorder="1" applyAlignment="1">
      <alignment horizontal="left" vertical="center"/>
    </xf>
    <xf numFmtId="16" fontId="11" fillId="5" borderId="42" xfId="0" applyNumberFormat="1" applyFont="1" applyFill="1" applyBorder="1" applyAlignment="1">
      <alignment horizontal="center" vertical="center"/>
    </xf>
    <xf numFmtId="164" fontId="11" fillId="9" borderId="10" xfId="0" applyFont="1" applyFill="1" applyBorder="1" applyAlignment="1">
      <alignment horizontal="center"/>
    </xf>
    <xf numFmtId="164" fontId="11" fillId="11" borderId="10" xfId="0" applyFont="1" applyFill="1" applyBorder="1" applyAlignment="1">
      <alignment horizontal="center"/>
    </xf>
    <xf numFmtId="164" fontId="11" fillId="14" borderId="10" xfId="0" applyFont="1" applyFill="1" applyBorder="1" applyAlignment="1">
      <alignment horizontal="center"/>
    </xf>
    <xf numFmtId="164" fontId="11" fillId="12" borderId="10" xfId="0" applyFont="1" applyFill="1" applyBorder="1" applyAlignment="1">
      <alignment horizontal="center"/>
    </xf>
    <xf numFmtId="164" fontId="11" fillId="10" borderId="10" xfId="0" applyFont="1" applyFill="1" applyBorder="1" applyAlignment="1">
      <alignment horizontal="center"/>
    </xf>
    <xf numFmtId="164" fontId="11" fillId="13" borderId="10" xfId="0" applyFont="1" applyFill="1" applyBorder="1" applyAlignment="1">
      <alignment horizontal="center"/>
    </xf>
    <xf numFmtId="164" fontId="11" fillId="15" borderId="10" xfId="0" applyFont="1" applyFill="1" applyBorder="1" applyAlignment="1">
      <alignment horizontal="center"/>
    </xf>
    <xf numFmtId="164" fontId="11" fillId="8" borderId="10" xfId="0" applyFont="1" applyFill="1" applyBorder="1" applyAlignment="1">
      <alignment horizontal="center"/>
    </xf>
    <xf numFmtId="164" fontId="11" fillId="5" borderId="42" xfId="0" applyFont="1" applyFill="1" applyBorder="1" applyAlignment="1">
      <alignment horizontal="left" vertical="center"/>
    </xf>
    <xf numFmtId="164" fontId="11" fillId="5" borderId="42" xfId="0" applyFont="1" applyFill="1" applyBorder="1" applyAlignment="1">
      <alignment horizontal="center" vertical="center"/>
    </xf>
    <xf numFmtId="44" fontId="12" fillId="5" borderId="10" xfId="0" applyNumberFormat="1" applyFont="1" applyFill="1" applyBorder="1" applyAlignment="1">
      <alignment horizontal="center"/>
    </xf>
    <xf numFmtId="10" fontId="12" fillId="5" borderId="42" xfId="0" applyNumberFormat="1" applyFont="1" applyFill="1" applyBorder="1" applyAlignment="1">
      <alignment horizontal="center"/>
    </xf>
    <xf numFmtId="44" fontId="11" fillId="9" borderId="10" xfId="0" applyNumberFormat="1" applyFont="1" applyFill="1" applyBorder="1"/>
    <xf numFmtId="164" fontId="11" fillId="9" borderId="10" xfId="0" applyFont="1" applyFill="1" applyBorder="1"/>
    <xf numFmtId="164" fontId="11" fillId="11" borderId="10" xfId="0" applyFont="1" applyFill="1" applyBorder="1"/>
    <xf numFmtId="44" fontId="11" fillId="14" borderId="10" xfId="0" applyNumberFormat="1" applyFont="1" applyFill="1" applyBorder="1"/>
    <xf numFmtId="164" fontId="11" fillId="14" borderId="10" xfId="0" applyFont="1" applyFill="1" applyBorder="1"/>
    <xf numFmtId="164" fontId="11" fillId="12" borderId="10" xfId="0" applyFont="1" applyFill="1" applyBorder="1"/>
    <xf numFmtId="44" fontId="11" fillId="10" borderId="10" xfId="0" applyNumberFormat="1" applyFont="1" applyFill="1" applyBorder="1"/>
    <xf numFmtId="164" fontId="11" fillId="10" borderId="10" xfId="0" applyFont="1" applyFill="1" applyBorder="1"/>
    <xf numFmtId="44" fontId="11" fillId="13" borderId="10" xfId="0" applyNumberFormat="1" applyFont="1" applyFill="1" applyBorder="1"/>
    <xf numFmtId="164" fontId="11" fillId="13" borderId="10" xfId="0" applyFont="1" applyFill="1" applyBorder="1"/>
    <xf numFmtId="44" fontId="11" fillId="15" borderId="10" xfId="0" applyNumberFormat="1" applyFont="1" applyFill="1" applyBorder="1"/>
    <xf numFmtId="164" fontId="11" fillId="15" borderId="10" xfId="0" applyFont="1" applyFill="1" applyBorder="1"/>
    <xf numFmtId="44" fontId="11" fillId="8" borderId="10" xfId="0" applyNumberFormat="1" applyFont="1" applyFill="1" applyBorder="1"/>
    <xf numFmtId="164" fontId="11" fillId="8" borderId="10" xfId="0" applyFont="1" applyFill="1" applyBorder="1"/>
    <xf numFmtId="164" fontId="11" fillId="5" borderId="10" xfId="0" applyFont="1" applyFill="1" applyBorder="1" applyAlignment="1">
      <alignment horizontal="center"/>
    </xf>
    <xf numFmtId="10" fontId="11" fillId="5" borderId="10" xfId="0" applyNumberFormat="1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 vertical="center"/>
    </xf>
    <xf numFmtId="44" fontId="11" fillId="5" borderId="42" xfId="0" applyNumberFormat="1" applyFont="1" applyFill="1" applyBorder="1" applyAlignment="1">
      <alignment horizontal="center" vertical="center"/>
    </xf>
    <xf numFmtId="44" fontId="12" fillId="5" borderId="42" xfId="0" applyNumberFormat="1" applyFont="1" applyFill="1" applyBorder="1" applyAlignment="1">
      <alignment horizontal="center"/>
    </xf>
    <xf numFmtId="164" fontId="12" fillId="5" borderId="42" xfId="0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 vertical="center"/>
    </xf>
    <xf numFmtId="44" fontId="11" fillId="5" borderId="10" xfId="0" applyNumberFormat="1" applyFont="1" applyFill="1" applyBorder="1" applyAlignment="1">
      <alignment horizontal="left" vertical="center"/>
    </xf>
    <xf numFmtId="1" fontId="11" fillId="0" borderId="0" xfId="0" applyNumberFormat="1" applyFont="1" applyAlignment="1">
      <alignment horizontal="center"/>
    </xf>
    <xf numFmtId="164" fontId="11" fillId="0" borderId="0" xfId="0" applyFont="1" applyAlignment="1">
      <alignment horizontal="left" vertical="center"/>
    </xf>
    <xf numFmtId="164" fontId="11" fillId="0" borderId="0" xfId="0" applyFont="1"/>
    <xf numFmtId="10" fontId="11" fillId="0" borderId="0" xfId="0" applyNumberFormat="1" applyFont="1" applyAlignment="1">
      <alignment horizontal="center"/>
    </xf>
    <xf numFmtId="44" fontId="12" fillId="5" borderId="10" xfId="0" applyNumberFormat="1" applyFont="1" applyFill="1" applyBorder="1"/>
    <xf numFmtId="14" fontId="13" fillId="0" borderId="10" xfId="0" applyNumberFormat="1" applyFont="1" applyBorder="1"/>
    <xf numFmtId="164" fontId="13" fillId="0" borderId="10" xfId="0" applyFont="1" applyBorder="1"/>
    <xf numFmtId="165" fontId="13" fillId="0" borderId="10" xfId="0" applyNumberFormat="1" applyFont="1" applyBorder="1" applyAlignment="1">
      <alignment horizontal="left"/>
    </xf>
    <xf numFmtId="164" fontId="13" fillId="0" borderId="0" xfId="0" applyFont="1"/>
    <xf numFmtId="1" fontId="13" fillId="10" borderId="10" xfId="0" applyNumberFormat="1" applyFont="1" applyFill="1" applyBorder="1" applyAlignment="1">
      <alignment horizontal="center"/>
    </xf>
    <xf numFmtId="44" fontId="13" fillId="10" borderId="10" xfId="0" applyNumberFormat="1" applyFont="1" applyFill="1" applyBorder="1"/>
    <xf numFmtId="164" fontId="13" fillId="13" borderId="10" xfId="0" applyFont="1" applyFill="1" applyBorder="1"/>
    <xf numFmtId="44" fontId="13" fillId="13" borderId="10" xfId="0" applyNumberFormat="1" applyFont="1" applyFill="1" applyBorder="1"/>
    <xf numFmtId="164" fontId="13" fillId="15" borderId="10" xfId="0" applyFont="1" applyFill="1" applyBorder="1"/>
    <xf numFmtId="44" fontId="13" fillId="15" borderId="10" xfId="0" applyNumberFormat="1" applyFont="1" applyFill="1" applyBorder="1"/>
    <xf numFmtId="164" fontId="13" fillId="8" borderId="10" xfId="0" applyFont="1" applyFill="1" applyBorder="1"/>
    <xf numFmtId="44" fontId="13" fillId="8" borderId="10" xfId="0" applyNumberFormat="1" applyFont="1" applyFill="1" applyBorder="1"/>
    <xf numFmtId="164" fontId="13" fillId="9" borderId="10" xfId="0" applyFont="1" applyFill="1" applyBorder="1"/>
    <xf numFmtId="44" fontId="13" fillId="9" borderId="10" xfId="0" applyNumberFormat="1" applyFont="1" applyFill="1" applyBorder="1"/>
    <xf numFmtId="1" fontId="13" fillId="0" borderId="10" xfId="0" applyNumberFormat="1" applyFont="1" applyBorder="1"/>
    <xf numFmtId="2" fontId="13" fillId="0" borderId="10" xfId="0" applyNumberFormat="1" applyFont="1" applyBorder="1"/>
    <xf numFmtId="1" fontId="13" fillId="10" borderId="10" xfId="0" applyNumberFormat="1" applyFont="1" applyFill="1" applyBorder="1"/>
    <xf numFmtId="164" fontId="13" fillId="12" borderId="10" xfId="0" applyFont="1" applyFill="1" applyBorder="1"/>
    <xf numFmtId="44" fontId="13" fillId="12" borderId="10" xfId="0" applyNumberFormat="1" applyFont="1" applyFill="1" applyBorder="1"/>
    <xf numFmtId="1" fontId="13" fillId="10" borderId="43" xfId="0" applyNumberFormat="1" applyFont="1" applyFill="1" applyBorder="1"/>
    <xf numFmtId="44" fontId="13" fillId="10" borderId="43" xfId="0" applyNumberFormat="1" applyFont="1" applyFill="1" applyBorder="1"/>
    <xf numFmtId="164" fontId="13" fillId="13" borderId="43" xfId="0" applyFont="1" applyFill="1" applyBorder="1"/>
    <xf numFmtId="44" fontId="13" fillId="13" borderId="43" xfId="0" applyNumberFormat="1" applyFont="1" applyFill="1" applyBorder="1"/>
    <xf numFmtId="164" fontId="13" fillId="15" borderId="43" xfId="0" applyFont="1" applyFill="1" applyBorder="1"/>
    <xf numFmtId="44" fontId="13" fillId="15" borderId="43" xfId="0" applyNumberFormat="1" applyFont="1" applyFill="1" applyBorder="1"/>
    <xf numFmtId="164" fontId="13" fillId="8" borderId="43" xfId="0" applyFont="1" applyFill="1" applyBorder="1"/>
    <xf numFmtId="44" fontId="13" fillId="8" borderId="43" xfId="0" applyNumberFormat="1" applyFont="1" applyFill="1" applyBorder="1"/>
    <xf numFmtId="164" fontId="13" fillId="12" borderId="43" xfId="0" applyFont="1" applyFill="1" applyBorder="1"/>
    <xf numFmtId="44" fontId="13" fillId="12" borderId="43" xfId="0" applyNumberFormat="1" applyFont="1" applyFill="1" applyBorder="1"/>
    <xf numFmtId="164" fontId="13" fillId="9" borderId="43" xfId="0" applyFont="1" applyFill="1" applyBorder="1"/>
    <xf numFmtId="44" fontId="13" fillId="9" borderId="43" xfId="0" applyNumberFormat="1" applyFont="1" applyFill="1" applyBorder="1"/>
    <xf numFmtId="164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44" fontId="13" fillId="0" borderId="24" xfId="0" applyNumberFormat="1" applyFont="1" applyBorder="1" applyAlignment="1">
      <alignment horizontal="center"/>
    </xf>
    <xf numFmtId="44" fontId="13" fillId="0" borderId="10" xfId="0" applyNumberFormat="1" applyFont="1" applyBorder="1" applyAlignment="1">
      <alignment horizontal="center"/>
    </xf>
    <xf numFmtId="165" fontId="13" fillId="0" borderId="10" xfId="0" applyNumberFormat="1" applyFont="1" applyBorder="1"/>
    <xf numFmtId="14" fontId="13" fillId="0" borderId="0" xfId="0" applyNumberFormat="1" applyFont="1"/>
    <xf numFmtId="1" fontId="13" fillId="0" borderId="0" xfId="0" applyNumberFormat="1" applyFont="1" applyAlignment="1">
      <alignment horizontal="center"/>
    </xf>
    <xf numFmtId="44" fontId="13" fillId="0" borderId="0" xfId="0" applyNumberFormat="1" applyFont="1"/>
    <xf numFmtId="164" fontId="13" fillId="16" borderId="10" xfId="0" applyFont="1" applyFill="1" applyBorder="1"/>
    <xf numFmtId="14" fontId="11" fillId="5" borderId="10" xfId="0" applyNumberFormat="1" applyFont="1" applyFill="1" applyBorder="1" applyAlignment="1">
      <alignment horizontal="center"/>
    </xf>
    <xf numFmtId="164" fontId="11" fillId="5" borderId="42" xfId="0" applyFont="1" applyFill="1" applyBorder="1" applyAlignment="1">
      <alignment horizontal="center"/>
    </xf>
    <xf numFmtId="164" fontId="11" fillId="5" borderId="10" xfId="0" applyFont="1" applyFill="1" applyBorder="1"/>
    <xf numFmtId="165" fontId="11" fillId="5" borderId="10" xfId="0" applyNumberFormat="1" applyFont="1" applyFill="1" applyBorder="1" applyAlignment="1">
      <alignment horizontal="center"/>
    </xf>
    <xf numFmtId="165" fontId="11" fillId="4" borderId="41" xfId="0" applyNumberFormat="1" applyFont="1" applyFill="1" applyBorder="1" applyAlignment="1">
      <alignment horizontal="center"/>
    </xf>
    <xf numFmtId="165" fontId="11" fillId="4" borderId="10" xfId="0" applyNumberFormat="1" applyFont="1" applyFill="1" applyBorder="1" applyAlignment="1">
      <alignment horizontal="center"/>
    </xf>
    <xf numFmtId="165" fontId="11" fillId="14" borderId="42" xfId="0" applyNumberFormat="1" applyFont="1" applyFill="1" applyBorder="1" applyAlignment="1">
      <alignment horizontal="center"/>
    </xf>
    <xf numFmtId="165" fontId="11" fillId="14" borderId="10" xfId="0" applyNumberFormat="1" applyFont="1" applyFill="1" applyBorder="1" applyAlignment="1">
      <alignment horizontal="center"/>
    </xf>
    <xf numFmtId="165" fontId="11" fillId="4" borderId="42" xfId="0" applyNumberFormat="1" applyFont="1" applyFill="1" applyBorder="1" applyAlignment="1">
      <alignment horizontal="center"/>
    </xf>
    <xf numFmtId="165" fontId="11" fillId="5" borderId="42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/>
    </xf>
    <xf numFmtId="14" fontId="6" fillId="17" borderId="4" xfId="0" applyNumberFormat="1" applyFont="1" applyFill="1" applyBorder="1" applyAlignment="1">
      <alignment horizontal="left"/>
    </xf>
    <xf numFmtId="165" fontId="6" fillId="1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/>
    <xf numFmtId="165" fontId="6" fillId="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 applyAlignment="1">
      <alignment horizontal="center"/>
    </xf>
    <xf numFmtId="165" fontId="6" fillId="17" borderId="25" xfId="0" applyNumberFormat="1" applyFont="1" applyFill="1" applyBorder="1" applyAlignment="1">
      <alignment horizontal="center"/>
    </xf>
    <xf numFmtId="14" fontId="6" fillId="17" borderId="9" xfId="0" applyNumberFormat="1" applyFont="1" applyFill="1" applyBorder="1" applyAlignment="1">
      <alignment horizontal="left"/>
    </xf>
    <xf numFmtId="166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/>
    <xf numFmtId="165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 applyAlignment="1">
      <alignment horizontal="center"/>
    </xf>
    <xf numFmtId="165" fontId="6" fillId="7" borderId="10" xfId="0" applyNumberFormat="1" applyFont="1" applyFill="1" applyBorder="1" applyAlignment="1">
      <alignment horizontal="center"/>
    </xf>
    <xf numFmtId="164" fontId="6" fillId="17" borderId="9" xfId="0" applyFont="1" applyFill="1" applyBorder="1" applyAlignment="1">
      <alignment horizontal="center"/>
    </xf>
    <xf numFmtId="165" fontId="6" fillId="17" borderId="10" xfId="0" applyNumberFormat="1" applyFont="1" applyFill="1" applyBorder="1" applyAlignment="1">
      <alignment horizontal="center"/>
    </xf>
    <xf numFmtId="165" fontId="6" fillId="17" borderId="42" xfId="0" applyNumberFormat="1" applyFont="1" applyFill="1" applyBorder="1" applyAlignment="1">
      <alignment horizontal="center"/>
    </xf>
    <xf numFmtId="10" fontId="6" fillId="12" borderId="11" xfId="0" applyNumberFormat="1" applyFont="1" applyFill="1" applyBorder="1" applyAlignment="1">
      <alignment horizontal="center"/>
    </xf>
    <xf numFmtId="14" fontId="6" fillId="17" borderId="12" xfId="0" applyNumberFormat="1" applyFont="1" applyFill="1" applyBorder="1" applyAlignment="1">
      <alignment horizontal="left"/>
    </xf>
    <xf numFmtId="165" fontId="6" fillId="1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/>
    <xf numFmtId="165" fontId="6" fillId="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 applyAlignment="1">
      <alignment horizontal="center"/>
    </xf>
    <xf numFmtId="165" fontId="6" fillId="7" borderId="18" xfId="0" applyNumberFormat="1" applyFont="1" applyFill="1" applyBorder="1" applyAlignment="1">
      <alignment horizontal="center"/>
    </xf>
    <xf numFmtId="164" fontId="6" fillId="17" borderId="12" xfId="0" applyFont="1" applyFill="1" applyBorder="1" applyAlignment="1">
      <alignment horizontal="center"/>
    </xf>
    <xf numFmtId="165" fontId="6" fillId="17" borderId="18" xfId="0" applyNumberFormat="1" applyFont="1" applyFill="1" applyBorder="1" applyAlignment="1">
      <alignment horizontal="center"/>
    </xf>
    <xf numFmtId="165" fontId="6" fillId="12" borderId="13" xfId="0" applyNumberFormat="1" applyFont="1" applyFill="1" applyBorder="1" applyAlignment="1">
      <alignment horizontal="center"/>
    </xf>
    <xf numFmtId="14" fontId="6" fillId="0" borderId="0" xfId="0" applyNumberFormat="1" applyFont="1" applyAlignment="1">
      <alignment horizontal="left"/>
    </xf>
    <xf numFmtId="164" fontId="6" fillId="17" borderId="25" xfId="0" applyFont="1" applyFill="1" applyBorder="1" applyAlignment="1">
      <alignment horizontal="center"/>
    </xf>
    <xf numFmtId="165" fontId="6" fillId="8" borderId="4" xfId="0" applyNumberFormat="1" applyFont="1" applyFill="1" applyBorder="1" applyAlignment="1">
      <alignment horizontal="center"/>
    </xf>
    <xf numFmtId="165" fontId="6" fillId="8" borderId="5" xfId="0" applyNumberFormat="1" applyFont="1" applyFill="1" applyBorder="1" applyAlignment="1">
      <alignment horizontal="center"/>
    </xf>
    <xf numFmtId="164" fontId="6" fillId="17" borderId="4" xfId="0" applyFont="1" applyFill="1" applyBorder="1"/>
    <xf numFmtId="165" fontId="6" fillId="17" borderId="5" xfId="0" applyNumberFormat="1" applyFont="1" applyFill="1" applyBorder="1" applyAlignment="1">
      <alignment horizontal="center"/>
    </xf>
    <xf numFmtId="167" fontId="6" fillId="7" borderId="10" xfId="0" applyNumberFormat="1" applyFont="1" applyFill="1" applyBorder="1" applyAlignment="1">
      <alignment horizontal="center"/>
    </xf>
    <xf numFmtId="2" fontId="6" fillId="17" borderId="10" xfId="0" applyNumberFormat="1" applyFont="1" applyFill="1" applyBorder="1" applyAlignment="1">
      <alignment horizontal="center"/>
    </xf>
    <xf numFmtId="14" fontId="6" fillId="17" borderId="10" xfId="0" applyNumberFormat="1" applyFont="1" applyFill="1" applyBorder="1" applyAlignment="1">
      <alignment horizontal="center"/>
    </xf>
    <xf numFmtId="2" fontId="6" fillId="17" borderId="42" xfId="0" applyNumberFormat="1" applyFont="1" applyFill="1" applyBorder="1" applyAlignment="1">
      <alignment horizontal="center"/>
    </xf>
    <xf numFmtId="14" fontId="6" fillId="8" borderId="9" xfId="0" applyNumberFormat="1" applyFont="1" applyFill="1" applyBorder="1" applyAlignment="1">
      <alignment horizontal="center"/>
    </xf>
    <xf numFmtId="2" fontId="6" fillId="8" borderId="11" xfId="0" applyNumberFormat="1" applyFont="1" applyFill="1" applyBorder="1" applyAlignment="1">
      <alignment horizontal="center"/>
    </xf>
    <xf numFmtId="164" fontId="6" fillId="17" borderId="9" xfId="0" applyFont="1" applyFill="1" applyBorder="1"/>
    <xf numFmtId="165" fontId="6" fillId="17" borderId="11" xfId="0" applyNumberFormat="1" applyFont="1" applyFill="1" applyBorder="1" applyAlignment="1">
      <alignment horizontal="center"/>
    </xf>
    <xf numFmtId="167" fontId="6" fillId="7" borderId="18" xfId="0" applyNumberFormat="1" applyFont="1" applyFill="1" applyBorder="1" applyAlignment="1">
      <alignment horizontal="center"/>
    </xf>
    <xf numFmtId="2" fontId="6" fillId="17" borderId="18" xfId="0" applyNumberFormat="1" applyFont="1" applyFill="1" applyBorder="1" applyAlignment="1">
      <alignment horizontal="center"/>
    </xf>
    <xf numFmtId="14" fontId="6" fillId="17" borderId="18" xfId="0" applyNumberFormat="1" applyFont="1" applyFill="1" applyBorder="1" applyAlignment="1">
      <alignment horizontal="center"/>
    </xf>
    <xf numFmtId="2" fontId="6" fillId="17" borderId="46" xfId="0" applyNumberFormat="1" applyFont="1" applyFill="1" applyBorder="1" applyAlignment="1">
      <alignment horizontal="center"/>
    </xf>
    <xf numFmtId="14" fontId="6" fillId="8" borderId="12" xfId="0" applyNumberFormat="1" applyFont="1" applyFill="1" applyBorder="1" applyAlignment="1">
      <alignment horizontal="center"/>
    </xf>
    <xf numFmtId="2" fontId="6" fillId="8" borderId="13" xfId="0" applyNumberFormat="1" applyFont="1" applyFill="1" applyBorder="1" applyAlignment="1">
      <alignment horizontal="center"/>
    </xf>
    <xf numFmtId="10" fontId="6" fillId="7" borderId="12" xfId="0" applyNumberFormat="1" applyFont="1" applyFill="1" applyBorder="1" applyAlignment="1">
      <alignment horizontal="center"/>
    </xf>
    <xf numFmtId="10" fontId="6" fillId="7" borderId="13" xfId="0" applyNumberFormat="1" applyFont="1" applyFill="1" applyBorder="1" applyAlignment="1">
      <alignment horizontal="center"/>
    </xf>
    <xf numFmtId="164" fontId="6" fillId="17" borderId="12" xfId="0" applyFont="1" applyFill="1" applyBorder="1"/>
    <xf numFmtId="165" fontId="6" fillId="17" borderId="13" xfId="0" applyNumberFormat="1" applyFont="1" applyFill="1" applyBorder="1" applyAlignment="1">
      <alignment horizontal="center"/>
    </xf>
    <xf numFmtId="2" fontId="6" fillId="0" borderId="0" xfId="0" applyNumberFormat="1" applyFont="1" applyAlignment="1">
      <alignment horizontal="center"/>
    </xf>
    <xf numFmtId="8" fontId="11" fillId="5" borderId="10" xfId="0" applyNumberFormat="1" applyFont="1" applyFill="1" applyBorder="1" applyAlignment="1">
      <alignment horizontal="center"/>
    </xf>
    <xf numFmtId="8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5" borderId="10" xfId="0" applyNumberFormat="1" applyFont="1" applyFill="1" applyBorder="1" applyAlignment="1">
      <alignment horizontal="center"/>
    </xf>
    <xf numFmtId="14" fontId="11" fillId="0" borderId="0" xfId="0" applyNumberFormat="1" applyFont="1" applyAlignment="1">
      <alignment horizontal="center"/>
    </xf>
    <xf numFmtId="1" fontId="11" fillId="0" borderId="0" xfId="0" applyNumberFormat="1" applyFont="1"/>
    <xf numFmtId="14" fontId="11" fillId="0" borderId="0" xfId="0" applyNumberFormat="1" applyFont="1"/>
    <xf numFmtId="8" fontId="11" fillId="0" borderId="0" xfId="0" applyNumberFormat="1" applyFont="1"/>
    <xf numFmtId="1" fontId="11" fillId="17" borderId="10" xfId="0" applyNumberFormat="1" applyFont="1" applyFill="1" applyBorder="1" applyAlignment="1">
      <alignment horizontal="center"/>
    </xf>
    <xf numFmtId="8" fontId="11" fillId="14" borderId="10" xfId="0" applyNumberFormat="1" applyFont="1" applyFill="1" applyBorder="1" applyAlignment="1">
      <alignment horizontal="center"/>
    </xf>
    <xf numFmtId="8" fontId="11" fillId="3" borderId="10" xfId="0" applyNumberFormat="1" applyFont="1" applyFill="1" applyBorder="1" applyAlignment="1">
      <alignment horizontal="center"/>
    </xf>
    <xf numFmtId="1" fontId="11" fillId="0" borderId="10" xfId="0" applyNumberFormat="1" applyFont="1" applyBorder="1" applyAlignment="1">
      <alignment horizontal="center"/>
    </xf>
    <xf numFmtId="14" fontId="11" fillId="0" borderId="10" xfId="0" applyNumberFormat="1" applyFont="1" applyBorder="1"/>
    <xf numFmtId="10" fontId="11" fillId="14" borderId="10" xfId="0" applyNumberFormat="1" applyFont="1" applyFill="1" applyBorder="1" applyAlignment="1">
      <alignment horizontal="center"/>
    </xf>
    <xf numFmtId="10" fontId="11" fillId="3" borderId="10" xfId="0" applyNumberFormat="1" applyFont="1" applyFill="1" applyBorder="1" applyAlignment="1">
      <alignment horizontal="center"/>
    </xf>
    <xf numFmtId="14" fontId="11" fillId="0" borderId="30" xfId="0" applyNumberFormat="1" applyFont="1" applyBorder="1"/>
    <xf numFmtId="14" fontId="11" fillId="0" borderId="44" xfId="0" applyNumberFormat="1" applyFont="1" applyBorder="1"/>
    <xf numFmtId="14" fontId="11" fillId="0" borderId="24" xfId="0" applyNumberFormat="1" applyFont="1" applyBorder="1"/>
    <xf numFmtId="8" fontId="11" fillId="5" borderId="34" xfId="0" applyNumberFormat="1" applyFont="1" applyFill="1" applyBorder="1" applyAlignment="1">
      <alignment horizontal="center"/>
    </xf>
    <xf numFmtId="165" fontId="11" fillId="5" borderId="34" xfId="0" applyNumberFormat="1" applyFont="1" applyFill="1" applyBorder="1" applyAlignment="1">
      <alignment horizontal="center"/>
    </xf>
    <xf numFmtId="8" fontId="11" fillId="14" borderId="34" xfId="0" applyNumberFormat="1" applyFont="1" applyFill="1" applyBorder="1" applyAlignment="1">
      <alignment horizontal="center"/>
    </xf>
    <xf numFmtId="10" fontId="11" fillId="14" borderId="34" xfId="0" applyNumberFormat="1" applyFont="1" applyFill="1" applyBorder="1" applyAlignment="1">
      <alignment horizontal="center"/>
    </xf>
    <xf numFmtId="8" fontId="11" fillId="3" borderId="34" xfId="0" applyNumberFormat="1" applyFont="1" applyFill="1" applyBorder="1" applyAlignment="1">
      <alignment horizontal="center"/>
    </xf>
    <xf numFmtId="10" fontId="11" fillId="3" borderId="34" xfId="0" applyNumberFormat="1" applyFont="1" applyFill="1" applyBorder="1" applyAlignment="1">
      <alignment horizontal="center"/>
    </xf>
    <xf numFmtId="10" fontId="11" fillId="5" borderId="34" xfId="0" applyNumberFormat="1" applyFont="1" applyFill="1" applyBorder="1" applyAlignment="1">
      <alignment horizontal="center"/>
    </xf>
    <xf numFmtId="1" fontId="11" fillId="0" borderId="10" xfId="0" applyNumberFormat="1" applyFont="1" applyBorder="1"/>
    <xf numFmtId="8" fontId="11" fillId="0" borderId="10" xfId="0" applyNumberFormat="1" applyFont="1" applyBorder="1"/>
    <xf numFmtId="8" fontId="11" fillId="0" borderId="10" xfId="0" applyNumberFormat="1" applyFont="1" applyBorder="1" applyAlignment="1">
      <alignment horizontal="center"/>
    </xf>
    <xf numFmtId="10" fontId="11" fillId="0" borderId="10" xfId="0" applyNumberFormat="1" applyFont="1" applyBorder="1" applyAlignment="1">
      <alignment horizontal="center"/>
    </xf>
    <xf numFmtId="164" fontId="11" fillId="0" borderId="10" xfId="0" applyFont="1" applyBorder="1" applyAlignment="1">
      <alignment horizontal="center"/>
    </xf>
    <xf numFmtId="164" fontId="14" fillId="0" borderId="10" xfId="0" applyFont="1" applyBorder="1"/>
    <xf numFmtId="14" fontId="14" fillId="0" borderId="10" xfId="0" applyNumberFormat="1" applyFont="1" applyBorder="1" applyAlignment="1">
      <alignment horizontal="center"/>
    </xf>
    <xf numFmtId="164" fontId="14" fillId="0" borderId="0" xfId="0" applyFont="1"/>
    <xf numFmtId="10" fontId="14" fillId="0" borderId="4" xfId="0" applyNumberFormat="1" applyFont="1" applyBorder="1" applyAlignment="1">
      <alignment horizontal="center"/>
    </xf>
    <xf numFmtId="165" fontId="14" fillId="0" borderId="25" xfId="0" applyNumberFormat="1" applyFont="1" applyBorder="1" applyAlignment="1">
      <alignment horizontal="center"/>
    </xf>
    <xf numFmtId="165" fontId="14" fillId="0" borderId="5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left"/>
    </xf>
    <xf numFmtId="165" fontId="14" fillId="0" borderId="10" xfId="0" applyNumberFormat="1" applyFont="1" applyBorder="1" applyAlignment="1">
      <alignment horizontal="center"/>
    </xf>
    <xf numFmtId="2" fontId="14" fillId="0" borderId="9" xfId="0" applyNumberFormat="1" applyFont="1" applyBorder="1" applyAlignment="1">
      <alignment horizontal="center"/>
    </xf>
    <xf numFmtId="2" fontId="14" fillId="0" borderId="10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center"/>
    </xf>
    <xf numFmtId="164" fontId="14" fillId="0" borderId="11" xfId="0" applyFont="1" applyBorder="1" applyAlignment="1">
      <alignment horizontal="center"/>
    </xf>
    <xf numFmtId="10" fontId="14" fillId="0" borderId="10" xfId="0" applyNumberFormat="1" applyFont="1" applyBorder="1" applyAlignment="1">
      <alignment horizontal="center"/>
    </xf>
    <xf numFmtId="10" fontId="14" fillId="0" borderId="9" xfId="0" applyNumberFormat="1" applyFont="1" applyBorder="1" applyAlignment="1">
      <alignment horizontal="center"/>
    </xf>
    <xf numFmtId="165" fontId="14" fillId="0" borderId="11" xfId="0" applyNumberFormat="1" applyFont="1" applyBorder="1" applyAlignment="1">
      <alignment horizontal="center"/>
    </xf>
    <xf numFmtId="8" fontId="14" fillId="0" borderId="0" xfId="0" applyNumberFormat="1" applyFont="1" applyAlignment="1">
      <alignment horizontal="center"/>
    </xf>
    <xf numFmtId="8" fontId="14" fillId="0" borderId="10" xfId="0" applyNumberFormat="1" applyFont="1" applyBorder="1" applyAlignment="1">
      <alignment horizontal="center"/>
    </xf>
    <xf numFmtId="164" fontId="14" fillId="0" borderId="0" xfId="0" applyFont="1" applyAlignment="1">
      <alignment horizontal="center"/>
    </xf>
    <xf numFmtId="8" fontId="14" fillId="0" borderId="0" xfId="0" applyNumberFormat="1" applyFont="1"/>
    <xf numFmtId="10" fontId="14" fillId="0" borderId="12" xfId="0" applyNumberFormat="1" applyFont="1" applyBorder="1" applyAlignment="1">
      <alignment horizontal="center"/>
    </xf>
    <xf numFmtId="165" fontId="14" fillId="0" borderId="18" xfId="0" applyNumberFormat="1" applyFont="1" applyBorder="1" applyAlignment="1">
      <alignment horizontal="center"/>
    </xf>
    <xf numFmtId="165" fontId="14" fillId="0" borderId="13" xfId="0" applyNumberFormat="1" applyFont="1" applyBorder="1" applyAlignment="1">
      <alignment horizontal="center"/>
    </xf>
    <xf numFmtId="2" fontId="14" fillId="0" borderId="0" xfId="0" applyNumberFormat="1" applyFont="1" applyAlignment="1">
      <alignment horizontal="center"/>
    </xf>
    <xf numFmtId="165" fontId="14" fillId="0" borderId="0" xfId="0" applyNumberFormat="1" applyFont="1" applyAlignment="1">
      <alignment horizontal="center" vertical="center"/>
    </xf>
    <xf numFmtId="164" fontId="14" fillId="0" borderId="0" xfId="0" applyFont="1" applyAlignment="1">
      <alignment horizontal="left"/>
    </xf>
    <xf numFmtId="164" fontId="14" fillId="0" borderId="0" xfId="0" applyFont="1" applyAlignment="1">
      <alignment horizontal="center" vertical="center"/>
    </xf>
    <xf numFmtId="165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165" fontId="14" fillId="0" borderId="0" xfId="0" applyNumberFormat="1" applyFont="1"/>
    <xf numFmtId="9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10" fontId="14" fillId="0" borderId="0" xfId="0" applyNumberFormat="1" applyFont="1" applyAlignment="1">
      <alignment horizontal="center"/>
    </xf>
    <xf numFmtId="165" fontId="14" fillId="18" borderId="43" xfId="0" applyNumberFormat="1" applyFont="1" applyFill="1" applyBorder="1"/>
    <xf numFmtId="10" fontId="14" fillId="0" borderId="0" xfId="0" applyNumberFormat="1" applyFont="1"/>
    <xf numFmtId="40" fontId="14" fillId="0" borderId="0" xfId="0" applyNumberFormat="1" applyFont="1" applyAlignment="1">
      <alignment horizontal="center"/>
    </xf>
    <xf numFmtId="14" fontId="14" fillId="0" borderId="0" xfId="0" applyNumberFormat="1" applyFont="1"/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1" fillId="0" borderId="0" xfId="0" applyNumberFormat="1" applyFont="1"/>
    <xf numFmtId="165" fontId="12" fillId="0" borderId="0" xfId="0" applyNumberFormat="1" applyFont="1"/>
    <xf numFmtId="165" fontId="12" fillId="18" borderId="43" xfId="0" applyNumberFormat="1" applyFont="1" applyFill="1" applyBorder="1" applyAlignment="1">
      <alignment horizontal="center"/>
    </xf>
    <xf numFmtId="165" fontId="12" fillId="18" borderId="43" xfId="0" applyNumberFormat="1" applyFont="1" applyFill="1" applyBorder="1"/>
    <xf numFmtId="49" fontId="11" fillId="0" borderId="0" xfId="0" applyNumberFormat="1" applyFont="1"/>
    <xf numFmtId="49" fontId="15" fillId="0" borderId="0" xfId="0" applyNumberFormat="1" applyFont="1"/>
    <xf numFmtId="49" fontId="11" fillId="0" borderId="0" xfId="0" applyNumberFormat="1" applyFont="1" applyAlignment="1">
      <alignment horizontal="left"/>
    </xf>
    <xf numFmtId="49" fontId="16" fillId="0" borderId="0" xfId="0" applyNumberFormat="1" applyFont="1"/>
    <xf numFmtId="164" fontId="17" fillId="0" borderId="0" xfId="0" applyFont="1"/>
    <xf numFmtId="1" fontId="6" fillId="0" borderId="0" xfId="0" applyNumberFormat="1" applyFont="1"/>
    <xf numFmtId="49" fontId="6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169" fontId="6" fillId="0" borderId="0" xfId="0" applyNumberFormat="1" applyFont="1"/>
    <xf numFmtId="168" fontId="6" fillId="0" borderId="0" xfId="0" applyNumberFormat="1" applyFont="1"/>
    <xf numFmtId="49" fontId="18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65" fontId="6" fillId="19" borderId="43" xfId="0" applyNumberFormat="1" applyFont="1" applyFill="1" applyBorder="1" applyAlignment="1">
      <alignment horizontal="center"/>
    </xf>
    <xf numFmtId="165" fontId="6" fillId="4" borderId="43" xfId="0" applyNumberFormat="1" applyFont="1" applyFill="1" applyBorder="1" applyAlignment="1">
      <alignment horizontal="center"/>
    </xf>
    <xf numFmtId="1" fontId="4" fillId="0" borderId="24" xfId="0" applyNumberFormat="1" applyFont="1" applyBorder="1" applyAlignment="1">
      <alignment horizontal="center"/>
    </xf>
    <xf numFmtId="164" fontId="4" fillId="0" borderId="24" xfId="0" applyFont="1" applyBorder="1"/>
    <xf numFmtId="165" fontId="4" fillId="2" borderId="34" xfId="0" applyNumberFormat="1" applyFont="1" applyFill="1" applyBorder="1" applyAlignment="1">
      <alignment horizontal="center"/>
    </xf>
    <xf numFmtId="165" fontId="4" fillId="19" borderId="34" xfId="0" applyNumberFormat="1" applyFont="1" applyFill="1" applyBorder="1" applyAlignment="1">
      <alignment horizontal="center"/>
    </xf>
    <xf numFmtId="165" fontId="4" fillId="4" borderId="34" xfId="0" applyNumberFormat="1" applyFont="1" applyFill="1" applyBorder="1" applyAlignment="1">
      <alignment horizontal="center"/>
    </xf>
    <xf numFmtId="164" fontId="4" fillId="0" borderId="0" xfId="0" applyFont="1"/>
    <xf numFmtId="165" fontId="4" fillId="0" borderId="0" xfId="0" applyNumberFormat="1" applyFont="1"/>
    <xf numFmtId="164" fontId="4" fillId="0" borderId="0" xfId="0" applyFont="1" applyAlignment="1">
      <alignment horizontal="center"/>
    </xf>
    <xf numFmtId="1" fontId="6" fillId="0" borderId="4" xfId="0" applyNumberFormat="1" applyFont="1" applyBorder="1" applyAlignment="1">
      <alignment horizontal="center"/>
    </xf>
    <xf numFmtId="164" fontId="6" fillId="0" borderId="25" xfId="0" applyFont="1" applyBorder="1"/>
    <xf numFmtId="165" fontId="6" fillId="2" borderId="25" xfId="0" applyNumberFormat="1" applyFont="1" applyFill="1" applyBorder="1" applyAlignment="1">
      <alignment horizontal="center"/>
    </xf>
    <xf numFmtId="165" fontId="6" fillId="19" borderId="25" xfId="0" applyNumberFormat="1" applyFont="1" applyFill="1" applyBorder="1" applyAlignment="1">
      <alignment horizontal="center"/>
    </xf>
    <xf numFmtId="165" fontId="6" fillId="4" borderId="25" xfId="0" applyNumberFormat="1" applyFont="1" applyFill="1" applyBorder="1" applyAlignment="1">
      <alignment horizontal="center"/>
    </xf>
    <xf numFmtId="165" fontId="6" fillId="4" borderId="5" xfId="0" applyNumberFormat="1" applyFont="1" applyFill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65" fontId="6" fillId="2" borderId="10" xfId="0" applyNumberFormat="1" applyFont="1" applyFill="1" applyBorder="1" applyAlignment="1">
      <alignment horizontal="center"/>
    </xf>
    <xf numFmtId="165" fontId="6" fillId="19" borderId="10" xfId="0" applyNumberFormat="1" applyFont="1" applyFill="1" applyBorder="1" applyAlignment="1">
      <alignment horizontal="center"/>
    </xf>
    <xf numFmtId="165" fontId="6" fillId="4" borderId="10" xfId="0" applyNumberFormat="1" applyFont="1" applyFill="1" applyBorder="1" applyAlignment="1">
      <alignment horizontal="center"/>
    </xf>
    <xf numFmtId="165" fontId="6" fillId="4" borderId="11" xfId="0" applyNumberFormat="1" applyFont="1" applyFill="1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64" fontId="4" fillId="0" borderId="18" xfId="0" applyFont="1" applyBorder="1"/>
    <xf numFmtId="165" fontId="4" fillId="2" borderId="18" xfId="0" applyNumberFormat="1" applyFont="1" applyFill="1" applyBorder="1" applyAlignment="1">
      <alignment horizontal="center"/>
    </xf>
    <xf numFmtId="165" fontId="4" fillId="19" borderId="18" xfId="0" applyNumberFormat="1" applyFont="1" applyFill="1" applyBorder="1" applyAlignment="1">
      <alignment horizontal="center"/>
    </xf>
    <xf numFmtId="165" fontId="4" fillId="4" borderId="18" xfId="0" applyNumberFormat="1" applyFont="1" applyFill="1" applyBorder="1" applyAlignment="1">
      <alignment horizontal="center"/>
    </xf>
    <xf numFmtId="165" fontId="4" fillId="4" borderId="13" xfId="0" applyNumberFormat="1" applyFont="1" applyFill="1" applyBorder="1" applyAlignment="1">
      <alignment horizontal="center"/>
    </xf>
    <xf numFmtId="165" fontId="4" fillId="7" borderId="43" xfId="0" applyNumberFormat="1" applyFont="1" applyFill="1" applyBorder="1"/>
    <xf numFmtId="165" fontId="6" fillId="2" borderId="43" xfId="0" applyNumberFormat="1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left"/>
    </xf>
    <xf numFmtId="165" fontId="4" fillId="2" borderId="29" xfId="0" applyNumberFormat="1" applyFont="1" applyFill="1" applyBorder="1" applyAlignment="1">
      <alignment horizontal="center"/>
    </xf>
    <xf numFmtId="165" fontId="4" fillId="19" borderId="29" xfId="0" applyNumberFormat="1" applyFont="1" applyFill="1" applyBorder="1" applyAlignment="1">
      <alignment horizontal="center"/>
    </xf>
    <xf numFmtId="165" fontId="4" fillId="4" borderId="29" xfId="0" applyNumberFormat="1" applyFont="1" applyFill="1" applyBorder="1" applyAlignment="1">
      <alignment horizontal="center"/>
    </xf>
    <xf numFmtId="165" fontId="4" fillId="4" borderId="22" xfId="0" applyNumberFormat="1" applyFont="1" applyFill="1" applyBorder="1" applyAlignment="1">
      <alignment horizontal="center"/>
    </xf>
    <xf numFmtId="164" fontId="1" fillId="0" borderId="0" xfId="0" applyFont="1"/>
    <xf numFmtId="44" fontId="13" fillId="0" borderId="34" xfId="0" applyNumberFormat="1" applyFont="1" applyBorder="1" applyAlignment="1">
      <alignment horizontal="center"/>
    </xf>
    <xf numFmtId="170" fontId="1" fillId="0" borderId="0" xfId="0" applyNumberFormat="1" applyFont="1"/>
    <xf numFmtId="170" fontId="0" fillId="0" borderId="0" xfId="0" applyNumberFormat="1"/>
    <xf numFmtId="164" fontId="7" fillId="0" borderId="33" xfId="0" applyFont="1" applyBorder="1"/>
    <xf numFmtId="44" fontId="6" fillId="0" borderId="34" xfId="0" applyNumberFormat="1" applyFont="1" applyBorder="1"/>
    <xf numFmtId="14" fontId="6" fillId="0" borderId="35" xfId="0" applyNumberFormat="1" applyFont="1" applyBorder="1"/>
    <xf numFmtId="164" fontId="19" fillId="0" borderId="33" xfId="1" applyBorder="1"/>
    <xf numFmtId="164" fontId="19" fillId="0" borderId="9" xfId="1" applyBorder="1"/>
    <xf numFmtId="164" fontId="13" fillId="20" borderId="10" xfId="0" applyFont="1" applyFill="1" applyBorder="1" applyAlignment="1">
      <alignment horizontal="center"/>
    </xf>
    <xf numFmtId="1" fontId="13" fillId="20" borderId="10" xfId="0" applyNumberFormat="1" applyFont="1" applyFill="1" applyBorder="1" applyAlignment="1">
      <alignment horizontal="center"/>
    </xf>
    <xf numFmtId="14" fontId="13" fillId="20" borderId="10" xfId="0" applyNumberFormat="1" applyFont="1" applyFill="1" applyBorder="1"/>
    <xf numFmtId="164" fontId="13" fillId="20" borderId="10" xfId="0" applyFont="1" applyFill="1" applyBorder="1"/>
    <xf numFmtId="44" fontId="13" fillId="20" borderId="24" xfId="0" applyNumberFormat="1" applyFont="1" applyFill="1" applyBorder="1" applyAlignment="1">
      <alignment horizontal="center"/>
    </xf>
    <xf numFmtId="165" fontId="13" fillId="20" borderId="10" xfId="0" applyNumberFormat="1" applyFont="1" applyFill="1" applyBorder="1"/>
    <xf numFmtId="14" fontId="13" fillId="20" borderId="0" xfId="0" applyNumberFormat="1" applyFont="1" applyFill="1"/>
    <xf numFmtId="1" fontId="13" fillId="20" borderId="0" xfId="0" applyNumberFormat="1" applyFont="1" applyFill="1" applyAlignment="1">
      <alignment horizontal="center"/>
    </xf>
    <xf numFmtId="44" fontId="13" fillId="20" borderId="0" xfId="0" applyNumberFormat="1" applyFont="1" applyFill="1"/>
    <xf numFmtId="164" fontId="13" fillId="20" borderId="0" xfId="0" applyFont="1" applyFill="1"/>
    <xf numFmtId="164" fontId="0" fillId="20" borderId="0" xfId="0" applyFill="1"/>
    <xf numFmtId="164" fontId="6" fillId="2" borderId="50" xfId="0" applyFont="1" applyFill="1" applyBorder="1"/>
    <xf numFmtId="44" fontId="6" fillId="3" borderId="50" xfId="0" applyNumberFormat="1" applyFont="1" applyFill="1" applyBorder="1" applyAlignment="1">
      <alignment horizontal="center"/>
    </xf>
    <xf numFmtId="10" fontId="6" fillId="3" borderId="50" xfId="0" applyNumberFormat="1" applyFont="1" applyFill="1" applyBorder="1" applyAlignment="1">
      <alignment horizontal="center"/>
    </xf>
    <xf numFmtId="44" fontId="6" fillId="4" borderId="50" xfId="0" applyNumberFormat="1" applyFont="1" applyFill="1" applyBorder="1" applyAlignment="1">
      <alignment horizontal="center"/>
    </xf>
    <xf numFmtId="10" fontId="6" fillId="4" borderId="50" xfId="0" applyNumberFormat="1" applyFont="1" applyFill="1" applyBorder="1" applyAlignment="1">
      <alignment horizontal="center"/>
    </xf>
    <xf numFmtId="164" fontId="6" fillId="0" borderId="33" xfId="0" applyFont="1" applyBorder="1"/>
    <xf numFmtId="164" fontId="13" fillId="0" borderId="44" xfId="0" applyFont="1" applyBorder="1" applyAlignment="1">
      <alignment horizontal="center"/>
    </xf>
    <xf numFmtId="0" fontId="5" fillId="0" borderId="26" xfId="0" applyNumberFormat="1" applyFont="1" applyBorder="1"/>
    <xf numFmtId="44" fontId="13" fillId="0" borderId="44" xfId="0" applyNumberFormat="1" applyFont="1" applyBorder="1" applyAlignment="1">
      <alignment horizontal="center"/>
    </xf>
    <xf numFmtId="164" fontId="13" fillId="12" borderId="44" xfId="0" applyFont="1" applyFill="1" applyBorder="1" applyAlignment="1">
      <alignment horizontal="center"/>
    </xf>
    <xf numFmtId="164" fontId="4" fillId="0" borderId="1" xfId="0" applyFont="1" applyBorder="1" applyAlignment="1">
      <alignment horizontal="center"/>
    </xf>
    <xf numFmtId="0" fontId="5" fillId="0" borderId="2" xfId="0" applyNumberFormat="1" applyFont="1" applyBorder="1"/>
    <xf numFmtId="0" fontId="5" fillId="0" borderId="3" xfId="0" applyNumberFormat="1" applyFont="1" applyBorder="1"/>
    <xf numFmtId="164" fontId="6" fillId="0" borderId="1" xfId="0" applyFont="1" applyBorder="1" applyAlignment="1">
      <alignment horizontal="center"/>
    </xf>
    <xf numFmtId="164" fontId="6" fillId="4" borderId="31" xfId="0" applyFont="1" applyFill="1" applyBorder="1" applyAlignment="1">
      <alignment horizontal="center"/>
    </xf>
    <xf numFmtId="44" fontId="6" fillId="3" borderId="31" xfId="0" applyNumberFormat="1" applyFont="1" applyFill="1" applyBorder="1" applyAlignment="1">
      <alignment horizontal="center"/>
    </xf>
    <xf numFmtId="0" fontId="5" fillId="0" borderId="32" xfId="0" applyNumberFormat="1" applyFont="1" applyBorder="1"/>
    <xf numFmtId="44" fontId="6" fillId="0" borderId="31" xfId="0" applyNumberFormat="1" applyFont="1" applyBorder="1" applyAlignment="1">
      <alignment horizontal="center"/>
    </xf>
    <xf numFmtId="164" fontId="6" fillId="0" borderId="31" xfId="0" applyFont="1" applyBorder="1" applyAlignment="1">
      <alignment horizontal="center"/>
    </xf>
    <xf numFmtId="164" fontId="10" fillId="0" borderId="0" xfId="0" applyFont="1" applyAlignment="1">
      <alignment horizontal="center" vertical="center"/>
    </xf>
    <xf numFmtId="164" fontId="0" fillId="0" borderId="0" xfId="0"/>
    <xf numFmtId="164" fontId="11" fillId="5" borderId="44" xfId="0" applyFont="1" applyFill="1" applyBorder="1" applyAlignment="1">
      <alignment horizontal="center"/>
    </xf>
    <xf numFmtId="0" fontId="5" fillId="0" borderId="45" xfId="0" applyNumberFormat="1" applyFont="1" applyBorder="1"/>
    <xf numFmtId="165" fontId="11" fillId="4" borderId="44" xfId="0" applyNumberFormat="1" applyFont="1" applyFill="1" applyBorder="1" applyAlignment="1">
      <alignment horizontal="center"/>
    </xf>
    <xf numFmtId="165" fontId="11" fillId="14" borderId="44" xfId="0" applyNumberFormat="1" applyFont="1" applyFill="1" applyBorder="1" applyAlignment="1">
      <alignment horizontal="center"/>
    </xf>
    <xf numFmtId="165" fontId="6" fillId="17" borderId="1" xfId="0" applyNumberFormat="1" applyFont="1" applyFill="1" applyBorder="1" applyAlignment="1">
      <alignment horizontal="center"/>
    </xf>
    <xf numFmtId="14" fontId="11" fillId="5" borderId="44" xfId="0" applyNumberFormat="1" applyFont="1" applyFill="1" applyBorder="1" applyAlignment="1">
      <alignment horizontal="center"/>
    </xf>
    <xf numFmtId="8" fontId="11" fillId="14" borderId="44" xfId="0" applyNumberFormat="1" applyFont="1" applyFill="1" applyBorder="1" applyAlignment="1">
      <alignment horizontal="center"/>
    </xf>
    <xf numFmtId="8" fontId="11" fillId="3" borderId="44" xfId="0" applyNumberFormat="1" applyFont="1" applyFill="1" applyBorder="1" applyAlignment="1">
      <alignment horizontal="center"/>
    </xf>
    <xf numFmtId="164" fontId="14" fillId="0" borderId="44" xfId="0" applyFont="1" applyBorder="1" applyAlignment="1">
      <alignment horizontal="center"/>
    </xf>
    <xf numFmtId="2" fontId="14" fillId="0" borderId="31" xfId="0" applyNumberFormat="1" applyFont="1" applyBorder="1" applyAlignment="1">
      <alignment horizontal="center"/>
    </xf>
    <xf numFmtId="164" fontId="11" fillId="0" borderId="0" xfId="0" applyFont="1" applyAlignment="1">
      <alignment horizontal="center"/>
    </xf>
    <xf numFmtId="165" fontId="4" fillId="2" borderId="47" xfId="0" applyNumberFormat="1" applyFont="1" applyFill="1" applyBorder="1" applyAlignment="1">
      <alignment horizontal="center"/>
    </xf>
    <xf numFmtId="0" fontId="5" fillId="0" borderId="48" xfId="0" applyNumberFormat="1" applyFont="1" applyBorder="1"/>
    <xf numFmtId="0" fontId="5" fillId="0" borderId="49" xfId="0" applyNumberFormat="1" applyFont="1" applyBorder="1"/>
  </cellXfs>
  <cellStyles count="2">
    <cellStyle name="Hyperlink" xfId="1" builtinId="8"/>
    <cellStyle name="Normal" xfId="0" builtinId="0"/>
  </cellStyles>
  <dxfs count="10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C2D69B"/>
          <bgColor rgb="FFC2D69B"/>
        </patternFill>
      </fill>
    </dxf>
    <dxf>
      <fill>
        <patternFill patternType="solid">
          <fgColor rgb="FF92CDDC"/>
          <bgColor rgb="FF92CDDC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D99594"/>
          <bgColor rgb="FFD99594"/>
        </patternFill>
      </fill>
    </dxf>
    <dxf>
      <fill>
        <patternFill patternType="solid">
          <fgColor rgb="FF938953"/>
          <bgColor rgb="FF93895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ogin.fidelity.com/ftgw/Fas/Fidelity/IspCust/Login/Init" TargetMode="External"/><Relationship Id="rId13" Type="http://schemas.openxmlformats.org/officeDocument/2006/relationships/hyperlink" Target="https://www.wellsfargo.com/" TargetMode="External"/><Relationship Id="rId3" Type="http://schemas.openxmlformats.org/officeDocument/2006/relationships/hyperlink" Target="https://dashboard.m1finance.com/login" TargetMode="External"/><Relationship Id="rId7" Type="http://schemas.openxmlformats.org/officeDocument/2006/relationships/hyperlink" Target="https://login.fidelity.com/ftgw/Fas/Fidelity/IspCust/Login/Init" TargetMode="External"/><Relationship Id="rId12" Type="http://schemas.openxmlformats.org/officeDocument/2006/relationships/hyperlink" Target="https://swivelpay.com/login?institutionId=f2b951bb-bba0-4c8a-bbd4-953565bf1dc0" TargetMode="External"/><Relationship Id="rId2" Type="http://schemas.openxmlformats.org/officeDocument/2006/relationships/hyperlink" Target="https://www.gmfinancial.com/en-us/myaccount/login.html" TargetMode="External"/><Relationship Id="rId1" Type="http://schemas.openxmlformats.org/officeDocument/2006/relationships/hyperlink" Target="https://rocketaccount.com/" TargetMode="External"/><Relationship Id="rId6" Type="http://schemas.openxmlformats.org/officeDocument/2006/relationships/hyperlink" Target="https://secure.tsp.gov/tsp/login.html" TargetMode="External"/><Relationship Id="rId11" Type="http://schemas.openxmlformats.org/officeDocument/2006/relationships/hyperlink" Target="https://www.wellsfargo.com/" TargetMode="External"/><Relationship Id="rId5" Type="http://schemas.openxmlformats.org/officeDocument/2006/relationships/hyperlink" Target="https://secure.tsp.gov/tsp/login.html" TargetMode="External"/><Relationship Id="rId10" Type="http://schemas.openxmlformats.org/officeDocument/2006/relationships/hyperlink" Target="https://www.redfin.com/OH/Elyria/41403-Elmwood-St-44035/home/66327750" TargetMode="External"/><Relationship Id="rId4" Type="http://schemas.openxmlformats.org/officeDocument/2006/relationships/hyperlink" Target="https://dashboard.m1finance.com/login" TargetMode="External"/><Relationship Id="rId9" Type="http://schemas.openxmlformats.org/officeDocument/2006/relationships/hyperlink" Target="https://www.redfin.com/OH/Elyria/41377-Elmwood-St-44035/home/77213055" TargetMode="External"/><Relationship Id="rId14" Type="http://schemas.openxmlformats.org/officeDocument/2006/relationships/hyperlink" Target="https://lowes.syf.com/accounts/login/?token=eyJlbmMiOiJBMjU2Q0JDLUhTNTEyIiwiYWxnIjoiUlNBLU9BRVAtMjU2In0.QMX1ocv4_8-Z4HRw9u2yRJQKCHD69o_RPB7kg4Q2lKOp1QCCW0f7uDpeF6ohl3KVFJcEm7YR6zX3KxjKJxA1oosXYGPEJeOmc9kpbmsjyEgGgAOtNkI4nLs8wpRW8uSfCODPJ2rATyc6Vi-l5EKitRXOSE_Uz7gO31cdTrUgWMbxrADrFCJxu8k3vXXPh-FAQjEG1HDhSfm2pKvkyLLrLdXCBTuX0hSCAXy2kT2hqQmKUF16QYm7X7hex0bDu9hCl-SvikM_zHYQUujGzPl7GzuRvyy58_Uy6pQBUry9VUOtOgvBhy2N-yBxAlIokfw2eScNX8mfnAnDejoAB5vWtw.Hf6mG0pt67bwkBOFA60CKw.5qPcoSE1TmsKXdZXDh-CwF-dSEt5k3UrhSNXKvZWeUpaFNXOyHVtMRaZT1u2E2wj_Y_N7p6X39GzE_9RaDvW0xCePE1PQpleC2PKALAfsdyfcbWdUaa6OFVCJEYU0PYcSwc3ZtzLh_EBSDv9d4T702ILhCNc42PIWlVfHnitC24GoUYtII_u9HUscI0hFU_6NbWo9vz0AWiTm0lC3bemCQlUIzLZqWoTsg5ZTBk9L4tOjZw2iGq05Jlh79caUaO3Ji_9CwjY2E8cdnil-bHb8J7bLNCT7UBvVq3We0bL5FvUcGVE17bPPvPYDX0oq6swPgjHzlwKVKP42QBUR2koifo8GTB_oxcH-sQlwyD1Sfkj1UU0CHSTFx22dbSJOAH3gpt5dtThDRwxd6tU-8eJvTZya-uqsdfWhJgroOivf1ucwyo58ya2cgfOIsoo0oKUVNhhoRbfb5ttAVupWURbSYp3ORdx4V2qEHpPvW7LRPj5f8Y96NX-bJs-lvWCqMPL07YZ-nCyfgSbZdDGKYCMSUqUKGfWtdnpCnT2VicfHsyMD-Rjs7-nxCyAU_ZRIGfT1mHC9chvYRNi8_V0Fuopuo2NmG4vlppC1AX-Trsnz5s5VeM31JbMZIsUZscTWyAwovTz7mOLzytfN5Z4F151KL1aL6a0A_Bl5E35Yc6ojd0k2lbsE9R1OJE4tGRdS3C4TQzjBc86TbspH4QMpUXHJ2ajkTGX-fAyhmcnljNYvzBG1Oc4kCcBdMNfBg9VuiJwgjkIo-UIi3LXNRqF0uMsceA_Ml7G2UgWMf5hGtiBb15hQ6Bufm9cRPJZW48tjFAlNhqrjznLRQ6oDkPN0pMXyW725XD9op5Iwr1BiAWtiCyWh735KNsy0Pb6Mp_FQ0tmM1Qao7pIjFGEQ0kiA4X-GyRg8R4QY5V6ZgnlNpC7LscDRwmayyg8YE-D_8_ANpL-VoEwGQjFYt5NY57g-U25_5WZ8uniWbJqICQcp0F1PfI3NeQg2ORzA9i-AQSPkodYBGMcvIc-RMiiXTjiqzRESh50KSc2fXy_SX4R-t-qBQs.Gl_cHOrgUzbvUoeqxAttTRtxwQ-ql4pErY4QXM4P0wo&amp;ui_locales=en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secure.ssa.gov/RIL/SiView.do" TargetMode="External"/><Relationship Id="rId3" Type="http://schemas.openxmlformats.org/officeDocument/2006/relationships/hyperlink" Target="https://myaccess.dmdc.osd.mil/identitymanagement/authenticate.do?execution=e3s1" TargetMode="External"/><Relationship Id="rId7" Type="http://schemas.openxmlformats.org/officeDocument/2006/relationships/hyperlink" Target="mailto:isaac.d.martin@gmail.com" TargetMode="External"/><Relationship Id="rId2" Type="http://schemas.openxmlformats.org/officeDocument/2006/relationships/hyperlink" Target="mailto:isaac.d.martin@gmail.com" TargetMode="External"/><Relationship Id="rId1" Type="http://schemas.openxmlformats.org/officeDocument/2006/relationships/hyperlink" Target="mailto:isaac.d.martin2@gmail.com" TargetMode="External"/><Relationship Id="rId6" Type="http://schemas.openxmlformats.org/officeDocument/2006/relationships/hyperlink" Target="mailto:isaac.d.martin@gmail.com" TargetMode="External"/><Relationship Id="rId5" Type="http://schemas.openxmlformats.org/officeDocument/2006/relationships/hyperlink" Target="https://www.myedaccount.com/accounts/Login.aspx?c=Yes" TargetMode="External"/><Relationship Id="rId10" Type="http://schemas.openxmlformats.org/officeDocument/2006/relationships/hyperlink" Target="mailto:idmartin22@yahoo.com" TargetMode="External"/><Relationship Id="rId4" Type="http://schemas.openxmlformats.org/officeDocument/2006/relationships/hyperlink" Target="https://www.firstenergycorp.com/log_in.html" TargetMode="External"/><Relationship Id="rId9" Type="http://schemas.openxmlformats.org/officeDocument/2006/relationships/hyperlink" Target="mailto:isaac.d.mart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1" ht="14.25" customHeight="1" x14ac:dyDescent="0.3">
      <c r="A1" s="1" t="s">
        <v>0</v>
      </c>
    </row>
    <row r="2" spans="1:1" ht="14.25" customHeight="1" x14ac:dyDescent="0.3">
      <c r="A2" s="2" t="s">
        <v>1</v>
      </c>
    </row>
    <row r="3" spans="1:1" ht="14.25" customHeight="1" x14ac:dyDescent="0.3">
      <c r="A3" s="2" t="s">
        <v>2</v>
      </c>
    </row>
    <row r="4" spans="1:1" ht="14.25" customHeight="1" x14ac:dyDescent="0.3">
      <c r="A4" s="3" t="s">
        <v>3</v>
      </c>
    </row>
    <row r="5" spans="1:1" ht="14.25" customHeight="1" x14ac:dyDescent="0.3">
      <c r="A5" s="3" t="s">
        <v>4</v>
      </c>
    </row>
    <row r="6" spans="1:1" ht="14.25" customHeight="1" x14ac:dyDescent="0.3">
      <c r="A6" s="3" t="s">
        <v>5</v>
      </c>
    </row>
    <row r="7" spans="1:1" ht="14.25" customHeight="1" x14ac:dyDescent="0.3">
      <c r="A7" s="3" t="s">
        <v>6</v>
      </c>
    </row>
    <row r="8" spans="1:1" ht="14.25" customHeight="1" x14ac:dyDescent="0.3">
      <c r="A8" s="3" t="s">
        <v>7</v>
      </c>
    </row>
    <row r="9" spans="1:1" ht="14.25" customHeight="1" x14ac:dyDescent="0.3">
      <c r="A9" s="3" t="s">
        <v>8</v>
      </c>
    </row>
    <row r="10" spans="1:1" ht="14.25" customHeight="1" x14ac:dyDescent="0.3">
      <c r="A10" s="3" t="s">
        <v>9</v>
      </c>
    </row>
    <row r="11" spans="1:1" ht="14.25" customHeight="1" x14ac:dyDescent="0.3">
      <c r="A11" s="3" t="s">
        <v>10</v>
      </c>
    </row>
    <row r="12" spans="1:1" ht="14.25" customHeight="1" x14ac:dyDescent="0.3">
      <c r="A12" s="3" t="s">
        <v>11</v>
      </c>
    </row>
    <row r="13" spans="1:1" ht="14.25" customHeight="1" x14ac:dyDescent="0.3">
      <c r="A13" s="3" t="s">
        <v>12</v>
      </c>
    </row>
    <row r="14" spans="1:1" ht="14.25" customHeight="1" x14ac:dyDescent="0.3">
      <c r="A14" s="2" t="s">
        <v>13</v>
      </c>
    </row>
    <row r="15" spans="1:1" ht="14.25" customHeight="1" x14ac:dyDescent="0.3">
      <c r="A15" s="3" t="s">
        <v>14</v>
      </c>
    </row>
    <row r="16" spans="1:1" ht="14.25" customHeight="1" x14ac:dyDescent="0.3">
      <c r="A16" s="3" t="s">
        <v>15</v>
      </c>
    </row>
    <row r="17" spans="1:1" ht="14.25" customHeight="1" x14ac:dyDescent="0.3">
      <c r="A17" s="3" t="s">
        <v>16</v>
      </c>
    </row>
    <row r="18" spans="1:1" ht="14.25" customHeight="1" x14ac:dyDescent="0.3">
      <c r="A18" s="3" t="s">
        <v>17</v>
      </c>
    </row>
    <row r="19" spans="1:1" ht="14.25" customHeight="1" x14ac:dyDescent="0.3">
      <c r="A19" s="3" t="s">
        <v>18</v>
      </c>
    </row>
    <row r="20" spans="1:1" ht="14.25" customHeight="1" x14ac:dyDescent="0.3">
      <c r="A20" s="3" t="s">
        <v>19</v>
      </c>
    </row>
    <row r="21" spans="1:1" ht="14.25" customHeight="1" x14ac:dyDescent="0.3">
      <c r="A21" s="2" t="s">
        <v>20</v>
      </c>
    </row>
    <row r="22" spans="1:1" ht="14.25" customHeight="1" x14ac:dyDescent="0.3">
      <c r="A22" s="3" t="s">
        <v>21</v>
      </c>
    </row>
    <row r="23" spans="1:1" ht="14.25" customHeight="1" x14ac:dyDescent="0.3">
      <c r="A23" s="3" t="s">
        <v>22</v>
      </c>
    </row>
    <row r="24" spans="1:1" ht="14.25" customHeight="1" x14ac:dyDescent="0.3">
      <c r="A24" s="3" t="s">
        <v>23</v>
      </c>
    </row>
    <row r="25" spans="1:1" ht="14.25" customHeight="1" x14ac:dyDescent="0.3">
      <c r="A25" s="2" t="s">
        <v>24</v>
      </c>
    </row>
    <row r="26" spans="1:1" ht="14.25" customHeight="1" x14ac:dyDescent="0.3">
      <c r="A26" s="3" t="s">
        <v>25</v>
      </c>
    </row>
    <row r="27" spans="1:1" ht="14.25" customHeight="1" x14ac:dyDescent="0.3">
      <c r="A27" s="3" t="s">
        <v>26</v>
      </c>
    </row>
    <row r="28" spans="1:1" ht="14.25" customHeight="1" x14ac:dyDescent="0.3">
      <c r="A28" s="3" t="s">
        <v>27</v>
      </c>
    </row>
    <row r="29" spans="1:1" ht="14.25" customHeight="1" x14ac:dyDescent="0.3">
      <c r="A29" s="2" t="s">
        <v>28</v>
      </c>
    </row>
    <row r="30" spans="1:1" ht="14.25" customHeight="1" x14ac:dyDescent="0.3">
      <c r="A30" s="4" t="s">
        <v>29</v>
      </c>
    </row>
    <row r="31" spans="1:1" ht="14.25" customHeight="1" x14ac:dyDescent="0.3">
      <c r="A31" s="4" t="s">
        <v>30</v>
      </c>
    </row>
    <row r="32" spans="1:1" ht="14.25" customHeight="1" x14ac:dyDescent="0.3">
      <c r="A32" s="4" t="s">
        <v>31</v>
      </c>
    </row>
    <row r="33" spans="1:1" ht="14.25" customHeight="1" x14ac:dyDescent="0.3">
      <c r="A33" s="4" t="s">
        <v>32</v>
      </c>
    </row>
    <row r="34" spans="1:1" ht="14.25" customHeight="1" x14ac:dyDescent="0.3">
      <c r="A34" s="4" t="s">
        <v>33</v>
      </c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6B9D-9BD3-4A9B-9AD5-048136FAD479}">
  <dimension ref="A1:C27"/>
  <sheetViews>
    <sheetView workbookViewId="0">
      <selection activeCell="C9" sqref="C9"/>
    </sheetView>
  </sheetViews>
  <sheetFormatPr defaultRowHeight="14.4" x14ac:dyDescent="0.3"/>
  <cols>
    <col min="1" max="1" width="16.77734375" bestFit="1" customWidth="1"/>
    <col min="2" max="2" width="11.6640625" bestFit="1" customWidth="1"/>
    <col min="3" max="3" width="14.6640625" style="524" bestFit="1" customWidth="1"/>
    <col min="4" max="7" width="11.33203125" bestFit="1" customWidth="1"/>
  </cols>
  <sheetData>
    <row r="1" spans="1:3" x14ac:dyDescent="0.3">
      <c r="A1" t="s">
        <v>776</v>
      </c>
      <c r="B1" t="s">
        <v>806</v>
      </c>
      <c r="C1" s="523" t="s">
        <v>830</v>
      </c>
    </row>
    <row r="2" spans="1:3" x14ac:dyDescent="0.3">
      <c r="A2" t="s">
        <v>106</v>
      </c>
      <c r="B2" t="s">
        <v>807</v>
      </c>
      <c r="C2" s="524">
        <v>1987.8791180000001</v>
      </c>
    </row>
    <row r="3" spans="1:3" x14ac:dyDescent="0.3">
      <c r="A3" t="s">
        <v>106</v>
      </c>
      <c r="B3" t="s">
        <v>808</v>
      </c>
      <c r="C3" s="524">
        <v>957.46404700000005</v>
      </c>
    </row>
    <row r="4" spans="1:3" x14ac:dyDescent="0.3">
      <c r="A4" t="s">
        <v>106</v>
      </c>
      <c r="B4" t="s">
        <v>809</v>
      </c>
      <c r="C4" s="524">
        <v>1361.842453</v>
      </c>
    </row>
    <row r="5" spans="1:3" x14ac:dyDescent="0.3">
      <c r="A5" t="s">
        <v>810</v>
      </c>
      <c r="B5" t="s">
        <v>807</v>
      </c>
      <c r="C5" s="524">
        <v>463.79755899999998</v>
      </c>
    </row>
    <row r="6" spans="1:3" x14ac:dyDescent="0.3">
      <c r="A6" t="s">
        <v>810</v>
      </c>
      <c r="B6" t="s">
        <v>808</v>
      </c>
      <c r="C6" s="524">
        <v>737.16964399999995</v>
      </c>
    </row>
    <row r="7" spans="1:3" x14ac:dyDescent="0.3">
      <c r="A7" t="s">
        <v>812</v>
      </c>
      <c r="B7" t="s">
        <v>811</v>
      </c>
      <c r="C7" s="524">
        <v>205.947</v>
      </c>
    </row>
    <row r="8" spans="1:3" x14ac:dyDescent="0.3">
      <c r="A8" t="s">
        <v>812</v>
      </c>
      <c r="B8" t="s">
        <v>813</v>
      </c>
      <c r="C8" s="524">
        <v>1233.4000000000001</v>
      </c>
    </row>
    <row r="9" spans="1:3" x14ac:dyDescent="0.3">
      <c r="A9" t="s">
        <v>812</v>
      </c>
      <c r="B9" t="s">
        <v>814</v>
      </c>
      <c r="C9" s="524">
        <v>140.16399999999999</v>
      </c>
    </row>
    <row r="10" spans="1:3" x14ac:dyDescent="0.3">
      <c r="A10" t="s">
        <v>815</v>
      </c>
      <c r="B10" t="s">
        <v>813</v>
      </c>
      <c r="C10" s="524">
        <v>690.65700000000004</v>
      </c>
    </row>
    <row r="11" spans="1:3" x14ac:dyDescent="0.3">
      <c r="A11" t="s">
        <v>54</v>
      </c>
      <c r="B11" t="s">
        <v>816</v>
      </c>
      <c r="C11" s="524">
        <v>51.368160000000003</v>
      </c>
    </row>
    <row r="12" spans="1:3" x14ac:dyDescent="0.3">
      <c r="A12" t="s">
        <v>54</v>
      </c>
      <c r="B12" t="s">
        <v>817</v>
      </c>
      <c r="C12" s="524">
        <v>32.164059999999999</v>
      </c>
    </row>
    <row r="13" spans="1:3" x14ac:dyDescent="0.3">
      <c r="A13" t="s">
        <v>54</v>
      </c>
      <c r="B13" t="s">
        <v>818</v>
      </c>
      <c r="C13" s="524">
        <v>238.14445000000001</v>
      </c>
    </row>
    <row r="14" spans="1:3" x14ac:dyDescent="0.3">
      <c r="A14" t="s">
        <v>54</v>
      </c>
      <c r="B14" t="s">
        <v>819</v>
      </c>
      <c r="C14" s="524">
        <v>221.08779999999999</v>
      </c>
    </row>
    <row r="15" spans="1:3" x14ac:dyDescent="0.3">
      <c r="A15" t="s">
        <v>54</v>
      </c>
      <c r="B15" t="s">
        <v>820</v>
      </c>
      <c r="C15" s="524">
        <v>212.67114000000001</v>
      </c>
    </row>
    <row r="16" spans="1:3" x14ac:dyDescent="0.3">
      <c r="A16" t="s">
        <v>59</v>
      </c>
      <c r="B16" t="s">
        <v>821</v>
      </c>
      <c r="C16" s="524">
        <v>0.13134000000000001</v>
      </c>
    </row>
    <row r="17" spans="1:3" x14ac:dyDescent="0.3">
      <c r="A17" t="s">
        <v>59</v>
      </c>
      <c r="B17" t="s">
        <v>822</v>
      </c>
      <c r="C17" s="524">
        <v>1.73498</v>
      </c>
    </row>
    <row r="18" spans="1:3" x14ac:dyDescent="0.3">
      <c r="A18" t="s">
        <v>59</v>
      </c>
      <c r="B18" t="s">
        <v>823</v>
      </c>
      <c r="C18" s="524">
        <v>24.61533</v>
      </c>
    </row>
    <row r="19" spans="1:3" x14ac:dyDescent="0.3">
      <c r="A19" t="s">
        <v>59</v>
      </c>
      <c r="B19" t="s">
        <v>824</v>
      </c>
      <c r="C19" s="524">
        <v>6.1445819999999998</v>
      </c>
    </row>
    <row r="20" spans="1:3" x14ac:dyDescent="0.3">
      <c r="A20" t="s">
        <v>59</v>
      </c>
      <c r="B20" t="s">
        <v>825</v>
      </c>
      <c r="C20" s="524">
        <v>19.961099999999998</v>
      </c>
    </row>
    <row r="21" spans="1:3" x14ac:dyDescent="0.3">
      <c r="A21" t="s">
        <v>59</v>
      </c>
      <c r="B21" t="s">
        <v>826</v>
      </c>
      <c r="C21" s="524">
        <v>183.82106999999999</v>
      </c>
    </row>
    <row r="22" spans="1:3" x14ac:dyDescent="0.3">
      <c r="A22" t="s">
        <v>59</v>
      </c>
      <c r="B22" t="s">
        <v>827</v>
      </c>
      <c r="C22" s="524">
        <v>410.49151000000001</v>
      </c>
    </row>
    <row r="23" spans="1:3" x14ac:dyDescent="0.3">
      <c r="A23" s="521" t="s">
        <v>828</v>
      </c>
      <c r="B23" s="521" t="s">
        <v>816</v>
      </c>
      <c r="C23" s="524">
        <v>8.64527</v>
      </c>
    </row>
    <row r="24" spans="1:3" x14ac:dyDescent="0.3">
      <c r="A24" s="521" t="s">
        <v>828</v>
      </c>
      <c r="B24" s="521" t="s">
        <v>818</v>
      </c>
      <c r="C24" s="524">
        <v>26.340599999999998</v>
      </c>
    </row>
    <row r="25" spans="1:3" x14ac:dyDescent="0.3">
      <c r="A25" s="521" t="s">
        <v>828</v>
      </c>
      <c r="B25" s="521" t="s">
        <v>829</v>
      </c>
      <c r="C25" s="524">
        <v>30.513110000000001</v>
      </c>
    </row>
    <row r="26" spans="1:3" x14ac:dyDescent="0.3">
      <c r="A26" s="521" t="s">
        <v>828</v>
      </c>
      <c r="B26" s="521" t="s">
        <v>819</v>
      </c>
      <c r="C26" s="524">
        <v>24.81541</v>
      </c>
    </row>
    <row r="27" spans="1:3" x14ac:dyDescent="0.3">
      <c r="A27" s="521" t="s">
        <v>828</v>
      </c>
      <c r="B27" s="521" t="s">
        <v>820</v>
      </c>
      <c r="C27" s="524">
        <v>20.401879999999998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zoomScale="80" zoomScaleNormal="80" workbookViewId="0">
      <selection activeCell="G36" sqref="G36"/>
    </sheetView>
  </sheetViews>
  <sheetFormatPr defaultColWidth="14.44140625" defaultRowHeight="15" customHeight="1" x14ac:dyDescent="0.3"/>
  <cols>
    <col min="1" max="1" width="41.33203125" customWidth="1"/>
    <col min="2" max="2" width="14.6640625" customWidth="1"/>
    <col min="3" max="3" width="11.33203125" customWidth="1"/>
    <col min="4" max="4" width="14.6640625" customWidth="1"/>
    <col min="5" max="5" width="31.77734375" bestFit="1" customWidth="1"/>
    <col min="6" max="6" width="19.44140625" customWidth="1"/>
    <col min="7" max="7" width="20" customWidth="1"/>
    <col min="8" max="8" width="13.44140625" customWidth="1"/>
    <col min="9" max="9" width="15.5546875" customWidth="1"/>
    <col min="10" max="10" width="24.33203125" customWidth="1"/>
    <col min="11" max="11" width="13" customWidth="1"/>
    <col min="12" max="12" width="12.33203125" customWidth="1"/>
    <col min="13" max="13" width="14.109375" customWidth="1"/>
    <col min="14" max="14" width="26.5546875" customWidth="1"/>
    <col min="15" max="15" width="14.6640625" customWidth="1"/>
    <col min="16" max="16" width="14.109375" customWidth="1"/>
    <col min="17" max="17" width="7.6640625" customWidth="1"/>
    <col min="18" max="18" width="13.33203125" customWidth="1"/>
    <col min="19" max="26" width="14.109375" customWidth="1"/>
  </cols>
  <sheetData>
    <row r="1" spans="1:18" ht="14.4" x14ac:dyDescent="0.3">
      <c r="A1" s="551" t="s">
        <v>34</v>
      </c>
      <c r="B1" s="552"/>
      <c r="C1" s="553"/>
      <c r="E1" s="5" t="s">
        <v>35</v>
      </c>
      <c r="F1" s="6">
        <f ca="1">SUM($B$7,$B$19,$B$26,$B$31,$B$40)</f>
        <v>1752524.8399999999</v>
      </c>
      <c r="H1" s="7"/>
      <c r="I1" s="7"/>
      <c r="J1" s="8"/>
      <c r="K1" s="9" t="s">
        <v>36</v>
      </c>
      <c r="L1" s="10" t="s">
        <v>37</v>
      </c>
      <c r="N1" s="5" t="s">
        <v>38</v>
      </c>
      <c r="O1" s="6">
        <v>28500</v>
      </c>
      <c r="P1" s="11"/>
      <c r="Q1" s="12">
        <v>0.15</v>
      </c>
    </row>
    <row r="2" spans="1:18" ht="14.4" x14ac:dyDescent="0.3">
      <c r="A2" s="13" t="s">
        <v>39</v>
      </c>
      <c r="B2" s="14">
        <f>'Checking Transaction Log'!G2</f>
        <v>100</v>
      </c>
      <c r="C2" s="15">
        <f t="shared" ref="C2:C6" ca="1" si="0">TODAY()</f>
        <v>46240</v>
      </c>
      <c r="E2" s="13" t="s">
        <v>40</v>
      </c>
      <c r="F2" s="16">
        <f>F14</f>
        <v>177724.37</v>
      </c>
      <c r="H2" s="17"/>
      <c r="J2" s="18" t="s">
        <v>41</v>
      </c>
      <c r="K2" s="19">
        <v>0.75</v>
      </c>
      <c r="L2" s="20">
        <f>K5/(K5+K6)</f>
        <v>0.84742539573082476</v>
      </c>
      <c r="N2" s="21" t="s">
        <v>42</v>
      </c>
      <c r="O2" s="22">
        <f>B12-O1</f>
        <v>-11534</v>
      </c>
      <c r="P2" s="11"/>
      <c r="Q2" s="23" t="s">
        <v>43</v>
      </c>
      <c r="R2" s="23">
        <f ca="1">E20*(1+$Q$1)</f>
        <v>1811020.5404999997</v>
      </c>
    </row>
    <row r="3" spans="1:18" ht="14.4" x14ac:dyDescent="0.3">
      <c r="A3" s="13" t="s">
        <v>44</v>
      </c>
      <c r="B3" s="14">
        <v>0</v>
      </c>
      <c r="C3" s="15">
        <f t="shared" ca="1" si="0"/>
        <v>46240</v>
      </c>
      <c r="E3" s="21" t="s">
        <v>45</v>
      </c>
      <c r="F3" s="22">
        <f ca="1">F1-F2</f>
        <v>1574800.4699999997</v>
      </c>
      <c r="H3" s="17"/>
      <c r="J3" s="18" t="s">
        <v>46</v>
      </c>
      <c r="K3" s="19">
        <v>0.25</v>
      </c>
      <c r="L3" s="20">
        <f>K6/(K5+K6)</f>
        <v>0.15257460426917521</v>
      </c>
      <c r="N3" s="5" t="s">
        <v>47</v>
      </c>
      <c r="O3" s="6">
        <v>67870.080000000002</v>
      </c>
      <c r="P3" s="11"/>
      <c r="Q3" s="23" t="s">
        <v>48</v>
      </c>
      <c r="R3" s="23">
        <f t="shared" ref="R3:R11" ca="1" si="1">R2*(1+$Q$1)</f>
        <v>2082673.6215749995</v>
      </c>
    </row>
    <row r="4" spans="1:18" ht="14.4" x14ac:dyDescent="0.3">
      <c r="A4" s="13" t="s">
        <v>49</v>
      </c>
      <c r="B4" s="14">
        <v>0</v>
      </c>
      <c r="C4" s="15">
        <f t="shared" ca="1" si="0"/>
        <v>46240</v>
      </c>
      <c r="F4" s="7"/>
      <c r="H4" s="17"/>
      <c r="J4" s="24"/>
      <c r="K4" s="25"/>
      <c r="L4" s="26"/>
      <c r="N4" s="27" t="s">
        <v>50</v>
      </c>
      <c r="O4" s="28">
        <f>B10-O3</f>
        <v>26361.979999999996</v>
      </c>
      <c r="P4" s="11"/>
      <c r="Q4" s="23" t="s">
        <v>51</v>
      </c>
      <c r="R4" s="23">
        <f t="shared" ca="1" si="1"/>
        <v>2395074.6648112494</v>
      </c>
    </row>
    <row r="5" spans="1:18" ht="14.4" x14ac:dyDescent="0.3">
      <c r="A5" s="13" t="s">
        <v>52</v>
      </c>
      <c r="B5" s="14">
        <f ca="1">'Checking Transaction Log'!G1</f>
        <v>6486.509999999992</v>
      </c>
      <c r="C5" s="15">
        <f t="shared" ca="1" si="0"/>
        <v>46240</v>
      </c>
      <c r="E5" s="554" t="s">
        <v>53</v>
      </c>
      <c r="F5" s="552"/>
      <c r="G5" s="553"/>
      <c r="H5" s="17"/>
      <c r="J5" s="29" t="s">
        <v>54</v>
      </c>
      <c r="K5" s="30">
        <f>B10</f>
        <v>94232.06</v>
      </c>
      <c r="L5" s="20">
        <f ca="1">K5/F3</f>
        <v>5.9837459916429928E-2</v>
      </c>
      <c r="N5" s="5" t="s">
        <v>55</v>
      </c>
      <c r="O5" s="6"/>
      <c r="P5" s="11"/>
      <c r="Q5" s="23" t="s">
        <v>56</v>
      </c>
      <c r="R5" s="23">
        <f t="shared" ca="1" si="1"/>
        <v>2754335.8645329364</v>
      </c>
    </row>
    <row r="6" spans="1:18" ht="14.4" x14ac:dyDescent="0.3">
      <c r="A6" s="13" t="s">
        <v>57</v>
      </c>
      <c r="B6" s="14">
        <f>'Savings Transaction Log'!A3</f>
        <v>13044.440000000004</v>
      </c>
      <c r="C6" s="15">
        <f t="shared" ca="1" si="0"/>
        <v>46240</v>
      </c>
      <c r="E6" s="31" t="s">
        <v>58</v>
      </c>
      <c r="F6" s="14">
        <v>135569.24</v>
      </c>
      <c r="G6" s="32">
        <v>46212</v>
      </c>
      <c r="H6" s="17"/>
      <c r="J6" s="18" t="s">
        <v>59</v>
      </c>
      <c r="K6" s="30">
        <f>B12</f>
        <v>16966</v>
      </c>
      <c r="L6" s="20">
        <f ca="1">K6/F3</f>
        <v>1.0773428331526979E-2</v>
      </c>
      <c r="N6" s="21" t="s">
        <v>60</v>
      </c>
      <c r="O6" s="22"/>
      <c r="P6" s="11"/>
      <c r="Q6" s="23" t="s">
        <v>61</v>
      </c>
      <c r="R6" s="23">
        <f t="shared" ca="1" si="1"/>
        <v>3167486.2442128765</v>
      </c>
    </row>
    <row r="7" spans="1:18" ht="14.4" x14ac:dyDescent="0.3">
      <c r="A7" s="21" t="s">
        <v>62</v>
      </c>
      <c r="B7" s="33">
        <f ca="1">SUM(B2:B6)</f>
        <v>19630.949999999997</v>
      </c>
      <c r="C7" s="34">
        <f ca="1">B7/F3</f>
        <v>1.2465674460968379E-2</v>
      </c>
      <c r="E7" s="529" t="s">
        <v>836</v>
      </c>
      <c r="F7" s="14">
        <v>18110</v>
      </c>
      <c r="G7" s="32">
        <v>46203</v>
      </c>
      <c r="H7" s="7"/>
      <c r="J7" s="18" t="s">
        <v>64</v>
      </c>
      <c r="K7" s="30">
        <f>IF((B3+B4+B6)&gt;10000,(B3+B4+B6-10000),0)</f>
        <v>3044.4400000000041</v>
      </c>
      <c r="L7" s="26"/>
      <c r="N7" s="35" t="s">
        <v>65</v>
      </c>
      <c r="O7" s="36">
        <f t="shared" ref="O7:O8" si="2">O1+O3+O5</f>
        <v>96370.08</v>
      </c>
      <c r="P7" s="11"/>
      <c r="Q7" s="23" t="s">
        <v>66</v>
      </c>
      <c r="R7" s="23">
        <f t="shared" ca="1" si="1"/>
        <v>3642609.1808448075</v>
      </c>
    </row>
    <row r="8" spans="1:18" ht="14.4" x14ac:dyDescent="0.3">
      <c r="B8" s="7"/>
      <c r="C8" s="37"/>
      <c r="E8" s="529" t="s">
        <v>900</v>
      </c>
      <c r="F8" s="14">
        <v>0</v>
      </c>
      <c r="G8" s="32">
        <v>46186</v>
      </c>
      <c r="H8" s="7"/>
      <c r="I8" s="7"/>
      <c r="J8" s="18" t="s">
        <v>68</v>
      </c>
      <c r="K8" s="30">
        <f>SUM(K5:K7)</f>
        <v>114242.5</v>
      </c>
      <c r="L8" s="20">
        <f ca="1">K8/F3</f>
        <v>7.2544110937431974E-2</v>
      </c>
      <c r="N8" s="21" t="s">
        <v>69</v>
      </c>
      <c r="O8" s="22">
        <f t="shared" si="2"/>
        <v>14827.979999999996</v>
      </c>
      <c r="P8" s="11"/>
      <c r="Q8" s="23" t="s">
        <v>70</v>
      </c>
      <c r="R8" s="23">
        <f t="shared" ca="1" si="1"/>
        <v>4189000.5579715283</v>
      </c>
    </row>
    <row r="9" spans="1:18" ht="14.4" x14ac:dyDescent="0.3">
      <c r="A9" s="551" t="s">
        <v>71</v>
      </c>
      <c r="B9" s="552"/>
      <c r="C9" s="553"/>
      <c r="E9" s="528" t="s">
        <v>841</v>
      </c>
      <c r="F9" s="526">
        <v>9440</v>
      </c>
      <c r="G9" s="527">
        <v>46221</v>
      </c>
      <c r="H9" s="7"/>
      <c r="I9" s="7"/>
      <c r="J9" s="24"/>
      <c r="K9" s="39" t="s">
        <v>72</v>
      </c>
      <c r="L9" s="26" t="s">
        <v>68</v>
      </c>
      <c r="P9" s="11"/>
      <c r="Q9" s="23" t="s">
        <v>73</v>
      </c>
      <c r="R9" s="23">
        <f t="shared" ca="1" si="1"/>
        <v>4817350.6416672571</v>
      </c>
    </row>
    <row r="10" spans="1:18" ht="14.4" x14ac:dyDescent="0.3">
      <c r="A10" s="31" t="s">
        <v>74</v>
      </c>
      <c r="B10" s="14">
        <v>94232.06</v>
      </c>
      <c r="C10" s="15">
        <v>46235</v>
      </c>
      <c r="D10" s="17"/>
      <c r="E10" s="528" t="s">
        <v>837</v>
      </c>
      <c r="F10" s="526">
        <v>10765.33</v>
      </c>
      <c r="G10" s="527">
        <v>46204</v>
      </c>
      <c r="H10" s="17"/>
      <c r="I10" s="7"/>
      <c r="J10" s="18" t="s">
        <v>54</v>
      </c>
      <c r="K10" s="30">
        <f>(K8*K2)-K5</f>
        <v>-8550.1849999999977</v>
      </c>
      <c r="L10" s="40">
        <f t="shared" ref="L10:L11" si="3">K10+K5</f>
        <v>85681.875</v>
      </c>
      <c r="P10" s="11"/>
      <c r="Q10" s="23" t="s">
        <v>75</v>
      </c>
      <c r="R10" s="23">
        <f t="shared" ca="1" si="1"/>
        <v>5539953.237917345</v>
      </c>
    </row>
    <row r="11" spans="1:18" ht="14.4" x14ac:dyDescent="0.3">
      <c r="A11" s="31" t="s">
        <v>76</v>
      </c>
      <c r="B11" s="14">
        <v>12930.84</v>
      </c>
      <c r="C11" s="15">
        <v>46235</v>
      </c>
      <c r="D11" s="17"/>
      <c r="E11" s="528" t="s">
        <v>838</v>
      </c>
      <c r="F11" s="526">
        <v>0</v>
      </c>
      <c r="G11" s="527">
        <v>46212</v>
      </c>
      <c r="H11" s="17"/>
      <c r="I11" s="7"/>
      <c r="J11" s="43" t="s">
        <v>78</v>
      </c>
      <c r="K11" s="44">
        <f>(K8*K3)-K6</f>
        <v>11594.625</v>
      </c>
      <c r="L11" s="45">
        <f t="shared" si="3"/>
        <v>28560.625</v>
      </c>
      <c r="N11" s="46" t="s">
        <v>79</v>
      </c>
      <c r="O11" s="7">
        <v>5258.27</v>
      </c>
      <c r="P11" s="11"/>
      <c r="Q11" s="23" t="s">
        <v>80</v>
      </c>
      <c r="R11" s="23">
        <f t="shared" ca="1" si="1"/>
        <v>6370946.2236049464</v>
      </c>
    </row>
    <row r="12" spans="1:18" ht="14.4" x14ac:dyDescent="0.3">
      <c r="A12" s="47" t="s">
        <v>81</v>
      </c>
      <c r="B12" s="48">
        <v>16966</v>
      </c>
      <c r="C12" s="15">
        <v>46235</v>
      </c>
      <c r="D12" s="17"/>
      <c r="E12" s="525" t="s">
        <v>839</v>
      </c>
      <c r="F12" s="526">
        <v>3024.76</v>
      </c>
      <c r="G12" s="527">
        <v>46212</v>
      </c>
      <c r="I12" s="7"/>
      <c r="J12" s="49"/>
      <c r="K12" s="25"/>
      <c r="L12" s="50">
        <f ca="1">L11/F3</f>
        <v>1.8136027734357994E-2</v>
      </c>
      <c r="N12" s="46" t="s">
        <v>82</v>
      </c>
      <c r="O12" s="7">
        <v>6000</v>
      </c>
      <c r="P12" s="11"/>
      <c r="Q12" s="23"/>
    </row>
    <row r="13" spans="1:18" ht="14.4" x14ac:dyDescent="0.3">
      <c r="A13" s="27"/>
      <c r="B13" s="51"/>
      <c r="C13" s="15"/>
      <c r="D13" s="17"/>
      <c r="E13" s="525" t="s">
        <v>840</v>
      </c>
      <c r="F13" s="526">
        <v>815.04</v>
      </c>
      <c r="G13" s="527">
        <v>46212</v>
      </c>
      <c r="J13" s="49"/>
      <c r="K13" s="25"/>
      <c r="L13" s="11"/>
      <c r="N13" s="46" t="s">
        <v>83</v>
      </c>
      <c r="O13" s="7">
        <v>0</v>
      </c>
      <c r="P13" s="11"/>
      <c r="Q13" s="23"/>
    </row>
    <row r="14" spans="1:18" ht="14.4" x14ac:dyDescent="0.3">
      <c r="A14" s="27"/>
      <c r="B14" s="51"/>
      <c r="C14" s="15"/>
      <c r="D14" s="17"/>
      <c r="E14" s="21" t="s">
        <v>40</v>
      </c>
      <c r="F14" s="33">
        <f>SUM(F6:F13)</f>
        <v>177724.37</v>
      </c>
      <c r="G14" s="38"/>
      <c r="J14" s="49"/>
      <c r="K14" s="25"/>
      <c r="L14" s="11"/>
      <c r="N14" s="46" t="s">
        <v>86</v>
      </c>
      <c r="O14" s="7">
        <f>B18</f>
        <v>0</v>
      </c>
      <c r="P14" s="11"/>
      <c r="Q14" s="23"/>
    </row>
    <row r="15" spans="1:18" ht="14.4" x14ac:dyDescent="0.3">
      <c r="A15" s="47"/>
      <c r="B15" s="55"/>
      <c r="C15" s="15"/>
      <c r="F15" s="7"/>
      <c r="J15" s="57" t="s">
        <v>41</v>
      </c>
      <c r="K15" s="58">
        <f>SUM(B10:B11)</f>
        <v>107162.9</v>
      </c>
      <c r="L15" s="59">
        <f ca="1">K15/F3</f>
        <v>6.8048557288022657E-2</v>
      </c>
      <c r="N15" s="46" t="s">
        <v>87</v>
      </c>
      <c r="O15" s="7">
        <f>O14-O11-O12</f>
        <v>-11258.27</v>
      </c>
      <c r="P15" s="11"/>
      <c r="Q15" s="23"/>
    </row>
    <row r="16" spans="1:18" ht="14.4" x14ac:dyDescent="0.3">
      <c r="A16" s="60"/>
      <c r="B16" s="51"/>
      <c r="C16" s="15"/>
      <c r="E16" s="41" t="s">
        <v>77</v>
      </c>
      <c r="F16" s="42">
        <f ca="1">SUM(B7,B10,B18,B13,B12,B17,B15,B16,B14)</f>
        <v>130829.01</v>
      </c>
      <c r="I16" s="7"/>
      <c r="J16" s="18" t="s">
        <v>46</v>
      </c>
      <c r="K16" s="63">
        <f>B12</f>
        <v>16966</v>
      </c>
      <c r="L16" s="20">
        <f ca="1">K16/F3</f>
        <v>1.0773428331526979E-2</v>
      </c>
      <c r="P16" s="11"/>
      <c r="Q16" s="23"/>
    </row>
    <row r="17" spans="1:17" ht="14.4" x14ac:dyDescent="0.3">
      <c r="A17" s="47"/>
      <c r="B17" s="48"/>
      <c r="C17" s="15"/>
      <c r="E17" s="7"/>
      <c r="I17" s="7"/>
      <c r="J17" s="43" t="s">
        <v>90</v>
      </c>
      <c r="K17" s="64">
        <f>SUM(B13)</f>
        <v>0</v>
      </c>
      <c r="L17" s="34">
        <f ca="1">K17/F3</f>
        <v>0</v>
      </c>
      <c r="P17" s="11"/>
    </row>
    <row r="18" spans="1:17" ht="14.4" x14ac:dyDescent="0.3">
      <c r="A18" s="47"/>
      <c r="B18" s="48"/>
      <c r="C18" s="15"/>
      <c r="E18" s="17"/>
      <c r="G18" s="7"/>
      <c r="I18" s="7"/>
      <c r="J18" s="49"/>
      <c r="K18" s="25"/>
      <c r="L18" s="11"/>
      <c r="N18" s="66" t="s">
        <v>91</v>
      </c>
      <c r="O18" s="67">
        <f>B19+B26+B31-F6</f>
        <v>1510824.65</v>
      </c>
      <c r="P18" s="11"/>
    </row>
    <row r="19" spans="1:17" ht="14.4" x14ac:dyDescent="0.3">
      <c r="A19" s="68" t="s">
        <v>92</v>
      </c>
      <c r="B19" s="33">
        <f>SUM(B10:B18)</f>
        <v>124128.9</v>
      </c>
      <c r="C19" s="34">
        <f ca="1">B19/F3</f>
        <v>7.8821985619549645E-2</v>
      </c>
      <c r="E19" s="52" t="s">
        <v>84</v>
      </c>
      <c r="F19" s="53" t="s">
        <v>85</v>
      </c>
      <c r="G19" s="54" t="s">
        <v>85</v>
      </c>
      <c r="I19" s="7"/>
      <c r="J19" s="49"/>
      <c r="K19" s="25"/>
      <c r="L19" s="11"/>
      <c r="N19" s="5" t="s">
        <v>96</v>
      </c>
      <c r="O19" s="72">
        <f>($B$22+$B$23)*0.5</f>
        <v>287812.33999999997</v>
      </c>
      <c r="P19" s="73">
        <f t="shared" ref="P19:P32" si="4">O19/$O$18</f>
        <v>0.19050016161703476</v>
      </c>
      <c r="Q19" s="74" t="s">
        <v>97</v>
      </c>
    </row>
    <row r="20" spans="1:17" ht="14.4" x14ac:dyDescent="0.3">
      <c r="B20" s="7"/>
      <c r="C20" s="37"/>
      <c r="E20" s="56">
        <f ca="1">F3</f>
        <v>1574800.4699999997</v>
      </c>
      <c r="F20" s="44">
        <f ca="1">E20-E22</f>
        <v>159798.0399999998</v>
      </c>
      <c r="G20" s="34">
        <f ca="1">(E20-E22)/E22</f>
        <v>0.11293128309327342</v>
      </c>
      <c r="I20" s="7"/>
      <c r="J20" s="49" t="s">
        <v>98</v>
      </c>
      <c r="K20" s="25" t="s">
        <v>99</v>
      </c>
      <c r="L20" s="11"/>
      <c r="N20" s="13" t="s">
        <v>100</v>
      </c>
      <c r="O20" s="14">
        <f>($B$24+$B$25)*0.5</f>
        <v>267820.15500000003</v>
      </c>
      <c r="P20" s="78">
        <f t="shared" si="4"/>
        <v>0.17726753068266396</v>
      </c>
      <c r="Q20" s="79" t="s">
        <v>101</v>
      </c>
    </row>
    <row r="21" spans="1:17" ht="15.75" customHeight="1" x14ac:dyDescent="0.3">
      <c r="A21" s="551" t="s">
        <v>102</v>
      </c>
      <c r="B21" s="552"/>
      <c r="C21" s="553"/>
      <c r="E21" s="61">
        <v>46023</v>
      </c>
      <c r="F21" s="62" t="s">
        <v>88</v>
      </c>
      <c r="G21" s="54" t="s">
        <v>89</v>
      </c>
      <c r="I21" s="7"/>
      <c r="J21" s="81">
        <v>2000000</v>
      </c>
      <c r="K21" s="50">
        <f ca="1">1-($E$20/J21)</f>
        <v>0.21259976500000011</v>
      </c>
      <c r="L21" s="11"/>
      <c r="N21" s="27" t="s">
        <v>104</v>
      </c>
      <c r="O21" s="51">
        <f>($B$10+$B$11)*0.25</f>
        <v>26790.724999999999</v>
      </c>
      <c r="P21" s="82">
        <f t="shared" si="4"/>
        <v>1.7732517800791773E-2</v>
      </c>
      <c r="Q21" s="83" t="s">
        <v>105</v>
      </c>
    </row>
    <row r="22" spans="1:17" ht="15.75" customHeight="1" x14ac:dyDescent="0.3">
      <c r="A22" s="31" t="s">
        <v>106</v>
      </c>
      <c r="B22" s="14">
        <f>-'TSP-401K'!H83</f>
        <v>435661.64999999997</v>
      </c>
      <c r="C22" s="15">
        <v>46221</v>
      </c>
      <c r="E22" s="56">
        <v>1415002.43</v>
      </c>
      <c r="F22" s="45">
        <f ca="1">((F20/(C2-E21))*365)+E22</f>
        <v>1683787.1516589858</v>
      </c>
      <c r="G22" s="34">
        <f ca="1">(F22-E22)/E22</f>
        <v>0.18995354068684239</v>
      </c>
      <c r="I22" s="7"/>
      <c r="J22" s="81">
        <v>3000000</v>
      </c>
      <c r="K22" s="50">
        <f ca="1">1-($E$20/J22)</f>
        <v>0.47506651000000011</v>
      </c>
      <c r="L22" s="11"/>
      <c r="N22" s="5" t="s">
        <v>108</v>
      </c>
      <c r="O22" s="72">
        <f>($B$22+$B$23)*0.3</f>
        <v>172687.40399999998</v>
      </c>
      <c r="P22" s="73">
        <f t="shared" si="4"/>
        <v>0.11430009697022087</v>
      </c>
      <c r="Q22" s="74" t="s">
        <v>97</v>
      </c>
    </row>
    <row r="23" spans="1:17" ht="15.75" customHeight="1" x14ac:dyDescent="0.3">
      <c r="A23" s="31" t="s">
        <v>109</v>
      </c>
      <c r="B23" s="14">
        <f>-'TSP-401K'!L83</f>
        <v>139963.02999999997</v>
      </c>
      <c r="C23" s="15">
        <f>C22</f>
        <v>46221</v>
      </c>
      <c r="E23" s="7"/>
      <c r="G23" s="65"/>
      <c r="I23" s="7"/>
      <c r="J23" s="81">
        <v>4000000</v>
      </c>
      <c r="K23" s="50">
        <f ca="1">1-($E$20/J23)</f>
        <v>0.60629988250000011</v>
      </c>
      <c r="L23" s="11"/>
      <c r="N23" s="13" t="s">
        <v>111</v>
      </c>
      <c r="O23" s="14">
        <f>($B$24+$B$25)*0.3</f>
        <v>160692.09300000002</v>
      </c>
      <c r="P23" s="78">
        <f t="shared" si="4"/>
        <v>0.10636051840959838</v>
      </c>
      <c r="Q23" s="79" t="s">
        <v>101</v>
      </c>
    </row>
    <row r="24" spans="1:17" ht="15.75" customHeight="1" x14ac:dyDescent="0.3">
      <c r="A24" s="31" t="s">
        <v>112</v>
      </c>
      <c r="B24" s="14">
        <f>-'TSP-401K'!Q83</f>
        <v>409940.73999999993</v>
      </c>
      <c r="C24" s="15">
        <f>C22</f>
        <v>46221</v>
      </c>
      <c r="E24" s="69" t="s">
        <v>93</v>
      </c>
      <c r="F24" s="70" t="s">
        <v>94</v>
      </c>
      <c r="G24" s="71" t="s">
        <v>95</v>
      </c>
      <c r="I24" s="7"/>
      <c r="J24" s="7">
        <v>5000000</v>
      </c>
      <c r="K24" s="50">
        <f ca="1">1-($E$20/J24)</f>
        <v>0.68503990600000009</v>
      </c>
      <c r="L24" s="11"/>
      <c r="N24" s="13" t="s">
        <v>113</v>
      </c>
      <c r="O24" s="14">
        <f t="shared" ref="O24:O25" si="5">($B$10+$B$11)*0.25</f>
        <v>26790.724999999999</v>
      </c>
      <c r="P24" s="78">
        <f t="shared" si="4"/>
        <v>1.7732517800791773E-2</v>
      </c>
      <c r="Q24" s="79" t="s">
        <v>105</v>
      </c>
    </row>
    <row r="25" spans="1:17" ht="15.75" customHeight="1" x14ac:dyDescent="0.3">
      <c r="A25" s="31" t="s">
        <v>114</v>
      </c>
      <c r="B25" s="14">
        <f>-'TSP-401K'!V83</f>
        <v>125699.57000000007</v>
      </c>
      <c r="C25" s="15">
        <f>C22</f>
        <v>46221</v>
      </c>
      <c r="E25" s="75" t="s">
        <v>34</v>
      </c>
      <c r="F25" s="76">
        <f ca="1">B7</f>
        <v>19630.949999999997</v>
      </c>
      <c r="G25" s="77">
        <f t="shared" ref="G25:G31" ca="1" si="6">F25/SUM($F$25:$F$31)</f>
        <v>1.2278202473084329E-2</v>
      </c>
      <c r="I25" s="7"/>
      <c r="J25" s="84"/>
      <c r="K25" s="25"/>
      <c r="L25" s="11"/>
      <c r="N25" s="27" t="s">
        <v>116</v>
      </c>
      <c r="O25" s="51">
        <f t="shared" si="5"/>
        <v>26790.724999999999</v>
      </c>
      <c r="P25" s="82">
        <f t="shared" si="4"/>
        <v>1.7732517800791773E-2</v>
      </c>
      <c r="Q25" s="83" t="s">
        <v>105</v>
      </c>
    </row>
    <row r="26" spans="1:17" ht="15.75" customHeight="1" x14ac:dyDescent="0.3">
      <c r="A26" s="21" t="s">
        <v>117</v>
      </c>
      <c r="B26" s="33">
        <f>SUM(B22:B25)</f>
        <v>1111264.99</v>
      </c>
      <c r="C26" s="34">
        <f ca="1">B26/F3</f>
        <v>0.70565446935636245</v>
      </c>
      <c r="E26" s="80" t="s">
        <v>103</v>
      </c>
      <c r="F26" s="30">
        <f>(B11)</f>
        <v>12930.84</v>
      </c>
      <c r="G26" s="20">
        <f t="shared" ca="1" si="6"/>
        <v>8.087610210767069E-3</v>
      </c>
      <c r="I26" s="7"/>
      <c r="J26" s="49"/>
      <c r="K26" s="25"/>
      <c r="L26" s="11"/>
      <c r="N26" s="5" t="s">
        <v>119</v>
      </c>
      <c r="O26" s="72">
        <f>($B$22+$B$23)*0.2</f>
        <v>115124.93599999999</v>
      </c>
      <c r="P26" s="73">
        <f t="shared" si="4"/>
        <v>7.6200064646813906E-2</v>
      </c>
      <c r="Q26" s="74" t="s">
        <v>97</v>
      </c>
    </row>
    <row r="27" spans="1:17" ht="15.75" customHeight="1" x14ac:dyDescent="0.3">
      <c r="B27" s="7"/>
      <c r="C27" s="37"/>
      <c r="E27" s="80" t="s">
        <v>107</v>
      </c>
      <c r="F27" s="30">
        <f>B10</f>
        <v>94232.06</v>
      </c>
      <c r="G27" s="20">
        <f t="shared" ca="1" si="6"/>
        <v>5.8937560950225593E-2</v>
      </c>
      <c r="I27" s="7"/>
      <c r="J27" s="49"/>
      <c r="K27" s="25"/>
      <c r="L27" s="11"/>
      <c r="N27" s="13" t="s">
        <v>120</v>
      </c>
      <c r="O27" s="14">
        <f>($B$24+$B$25)*0.2</f>
        <v>107128.06200000002</v>
      </c>
      <c r="P27" s="78">
        <f t="shared" si="4"/>
        <v>7.0907012273065589E-2</v>
      </c>
      <c r="Q27" s="79" t="s">
        <v>101</v>
      </c>
    </row>
    <row r="28" spans="1:17" ht="15.75" customHeight="1" x14ac:dyDescent="0.3">
      <c r="A28" s="551" t="s">
        <v>115</v>
      </c>
      <c r="B28" s="552"/>
      <c r="C28" s="553"/>
      <c r="E28" s="80" t="s">
        <v>110</v>
      </c>
      <c r="F28" s="30">
        <f>B12</f>
        <v>16966</v>
      </c>
      <c r="G28" s="20">
        <f t="shared" ca="1" si="6"/>
        <v>1.0611406129522452E-2</v>
      </c>
      <c r="I28" s="7"/>
      <c r="J28" s="49"/>
      <c r="K28" s="25"/>
      <c r="L28" s="11"/>
      <c r="N28" s="13" t="s">
        <v>121</v>
      </c>
      <c r="O28" s="14">
        <f t="shared" ref="O28:O29" si="7">($B$10+$B$11)*0.1</f>
        <v>10716.29</v>
      </c>
      <c r="P28" s="78">
        <f t="shared" si="4"/>
        <v>7.0930071203167099E-3</v>
      </c>
      <c r="Q28" s="79" t="s">
        <v>105</v>
      </c>
    </row>
    <row r="29" spans="1:17" ht="15.75" customHeight="1" x14ac:dyDescent="0.3">
      <c r="A29" s="31" t="s">
        <v>122</v>
      </c>
      <c r="B29" s="14">
        <v>317000</v>
      </c>
      <c r="C29" s="15">
        <v>46213</v>
      </c>
      <c r="E29" s="80" t="s">
        <v>102</v>
      </c>
      <c r="F29" s="30">
        <f>B26</f>
        <v>1111264.99</v>
      </c>
      <c r="G29" s="20">
        <f t="shared" ca="1" si="6"/>
        <v>0.69504209161910324</v>
      </c>
      <c r="H29" s="86"/>
      <c r="I29" s="7"/>
      <c r="J29" s="49"/>
      <c r="K29" s="25"/>
      <c r="L29" s="11"/>
      <c r="N29" s="27" t="s">
        <v>123</v>
      </c>
      <c r="O29" s="51">
        <f t="shared" si="7"/>
        <v>10716.29</v>
      </c>
      <c r="P29" s="82">
        <f t="shared" si="4"/>
        <v>7.0930071203167099E-3</v>
      </c>
      <c r="Q29" s="83" t="s">
        <v>105</v>
      </c>
    </row>
    <row r="30" spans="1:17" ht="15.75" customHeight="1" x14ac:dyDescent="0.3">
      <c r="A30" s="31" t="s">
        <v>124</v>
      </c>
      <c r="B30" s="14">
        <v>94000</v>
      </c>
      <c r="C30" s="15">
        <v>46213</v>
      </c>
      <c r="E30" s="80" t="s">
        <v>115</v>
      </c>
      <c r="F30" s="30">
        <f>B31-F6</f>
        <v>275430.76</v>
      </c>
      <c r="G30" s="20">
        <f t="shared" ca="1" si="6"/>
        <v>0.17226851673482418</v>
      </c>
      <c r="H30" s="86"/>
      <c r="I30" s="7"/>
      <c r="J30" s="49"/>
      <c r="K30" s="25"/>
      <c r="L30" s="11"/>
      <c r="N30" s="5" t="s">
        <v>115</v>
      </c>
      <c r="O30" s="72">
        <f>B31-F6</f>
        <v>275430.76</v>
      </c>
      <c r="P30" s="73">
        <f t="shared" si="4"/>
        <v>0.18230491539835547</v>
      </c>
      <c r="Q30" s="74" t="s">
        <v>125</v>
      </c>
    </row>
    <row r="31" spans="1:17" ht="15.75" customHeight="1" x14ac:dyDescent="0.3">
      <c r="A31" s="21" t="s">
        <v>126</v>
      </c>
      <c r="B31" s="33">
        <f>SUM(B29:B30)</f>
        <v>411000</v>
      </c>
      <c r="C31" s="34">
        <f ca="1">(B31-F6)/F3</f>
        <v>0.17489883019910457</v>
      </c>
      <c r="E31" s="85" t="s">
        <v>118</v>
      </c>
      <c r="F31" s="44">
        <f>B40-F8-F7</f>
        <v>68390</v>
      </c>
      <c r="G31" s="34">
        <f t="shared" ca="1" si="6"/>
        <v>4.277461188247321E-2</v>
      </c>
      <c r="I31" s="7"/>
      <c r="J31" s="49"/>
      <c r="K31" s="25"/>
      <c r="L31" s="11"/>
      <c r="N31" s="27" t="s">
        <v>127</v>
      </c>
      <c r="O31" s="51">
        <f>($B$10+$B$11)*0.05</f>
        <v>5358.1450000000004</v>
      </c>
      <c r="P31" s="82">
        <f t="shared" si="4"/>
        <v>3.5465035601583549E-3</v>
      </c>
      <c r="Q31" s="83" t="s">
        <v>105</v>
      </c>
    </row>
    <row r="32" spans="1:17" ht="15" customHeight="1" x14ac:dyDescent="0.3">
      <c r="E32" s="7"/>
      <c r="G32" s="7"/>
      <c r="N32" s="41" t="s">
        <v>46</v>
      </c>
      <c r="O32" s="87">
        <f>B12</f>
        <v>16966</v>
      </c>
      <c r="P32" s="88">
        <f t="shared" si="4"/>
        <v>1.1229628799080026E-2</v>
      </c>
      <c r="Q32" s="89" t="s">
        <v>59</v>
      </c>
    </row>
    <row r="33" spans="1:16" ht="15.75" customHeight="1" x14ac:dyDescent="0.3">
      <c r="A33" s="551" t="s">
        <v>118</v>
      </c>
      <c r="B33" s="552"/>
      <c r="C33" s="553"/>
      <c r="D33" s="11"/>
      <c r="E33" s="7"/>
      <c r="G33" s="7"/>
      <c r="H33" s="11"/>
      <c r="I33" s="39"/>
      <c r="J33" s="86"/>
      <c r="P33" s="11"/>
    </row>
    <row r="34" spans="1:16" ht="15.75" customHeight="1" x14ac:dyDescent="0.3">
      <c r="A34" s="13" t="s">
        <v>128</v>
      </c>
      <c r="B34" s="14">
        <v>20500</v>
      </c>
      <c r="C34" s="15">
        <v>46213</v>
      </c>
      <c r="D34" s="25"/>
      <c r="E34" s="17"/>
      <c r="G34" s="7"/>
      <c r="H34" s="25"/>
      <c r="I34" s="25"/>
      <c r="J34" s="90"/>
      <c r="P34" s="11"/>
    </row>
    <row r="35" spans="1:16" ht="15.75" customHeight="1" x14ac:dyDescent="0.3">
      <c r="A35" s="13" t="s">
        <v>129</v>
      </c>
      <c r="B35" s="14">
        <v>19500</v>
      </c>
      <c r="C35" s="15">
        <v>46213</v>
      </c>
      <c r="D35" s="25"/>
      <c r="E35" s="17"/>
      <c r="F35" s="86"/>
      <c r="G35" s="7"/>
      <c r="H35" s="25"/>
      <c r="I35" s="25"/>
      <c r="J35" s="90"/>
      <c r="N35" s="5" t="s">
        <v>130</v>
      </c>
      <c r="O35" s="72">
        <f>SUM(O19:O21)</f>
        <v>582423.22</v>
      </c>
      <c r="P35" s="59">
        <f t="shared" ref="P35:P39" si="8">O35/$O$18</f>
        <v>0.38550021010049051</v>
      </c>
    </row>
    <row r="36" spans="1:16" ht="15.75" customHeight="1" x14ac:dyDescent="0.3">
      <c r="A36" s="13" t="s">
        <v>131</v>
      </c>
      <c r="B36" s="14">
        <v>7200</v>
      </c>
      <c r="C36" s="15">
        <v>46213</v>
      </c>
      <c r="D36" s="25"/>
      <c r="E36" s="7"/>
      <c r="F36" s="86"/>
      <c r="G36" s="7"/>
      <c r="H36" s="25"/>
      <c r="I36" s="25"/>
      <c r="J36" s="90"/>
      <c r="N36" s="13" t="s">
        <v>132</v>
      </c>
      <c r="O36" s="14">
        <f>SUM(O22:O25)</f>
        <v>386960.94699999993</v>
      </c>
      <c r="P36" s="20">
        <f t="shared" si="8"/>
        <v>0.25612565098140272</v>
      </c>
    </row>
    <row r="37" spans="1:16" ht="15.75" customHeight="1" x14ac:dyDescent="0.3">
      <c r="A37" s="13" t="s">
        <v>893</v>
      </c>
      <c r="B37" s="14">
        <v>2300</v>
      </c>
      <c r="C37" s="15">
        <v>46213</v>
      </c>
      <c r="D37" s="86"/>
      <c r="I37" s="7"/>
      <c r="N37" s="13" t="s">
        <v>134</v>
      </c>
      <c r="O37" s="14">
        <f>SUM(O26:O29)</f>
        <v>243685.57800000004</v>
      </c>
      <c r="P37" s="20">
        <f t="shared" si="8"/>
        <v>0.16129309116051294</v>
      </c>
    </row>
    <row r="38" spans="1:16" ht="15.75" customHeight="1" x14ac:dyDescent="0.3">
      <c r="A38" s="13" t="s">
        <v>133</v>
      </c>
      <c r="B38" s="14">
        <v>27000</v>
      </c>
      <c r="C38" s="15">
        <v>46213</v>
      </c>
      <c r="D38" s="86"/>
      <c r="E38" s="39"/>
      <c r="F38" s="11"/>
      <c r="G38" s="39"/>
      <c r="I38" s="7"/>
      <c r="N38" s="13" t="s">
        <v>115</v>
      </c>
      <c r="O38" s="14">
        <f>O30+O31</f>
        <v>280788.90500000003</v>
      </c>
      <c r="P38" s="20">
        <f t="shared" si="8"/>
        <v>0.18585141895851384</v>
      </c>
    </row>
    <row r="39" spans="1:16" ht="15" customHeight="1" x14ac:dyDescent="0.3">
      <c r="A39" s="546" t="s">
        <v>975</v>
      </c>
      <c r="B39" s="526">
        <v>10000</v>
      </c>
      <c r="C39" s="15">
        <v>46213</v>
      </c>
      <c r="E39" s="25"/>
      <c r="F39" s="25"/>
      <c r="G39" s="25"/>
      <c r="N39" s="27" t="s">
        <v>46</v>
      </c>
      <c r="O39" s="51">
        <f>O32</f>
        <v>16966</v>
      </c>
      <c r="P39" s="91">
        <f t="shared" si="8"/>
        <v>1.1229628799080026E-2</v>
      </c>
    </row>
    <row r="40" spans="1:16" ht="15" customHeight="1" x14ac:dyDescent="0.3">
      <c r="A40" s="21" t="s">
        <v>135</v>
      </c>
      <c r="B40" s="33">
        <f>SUM(B34:B39)</f>
        <v>86500</v>
      </c>
      <c r="C40" s="34">
        <f ca="1">(B40-F8-F7)/F3</f>
        <v>4.3427723894443597E-2</v>
      </c>
      <c r="E40" s="25"/>
      <c r="F40" s="25"/>
      <c r="G40" s="25"/>
      <c r="N40" s="93" t="s">
        <v>137</v>
      </c>
      <c r="O40" s="94">
        <f t="shared" ref="O40:P40" si="9">SUM(O35:O39)</f>
        <v>1510824.65</v>
      </c>
      <c r="P40" s="95">
        <f t="shared" si="9"/>
        <v>1</v>
      </c>
    </row>
    <row r="41" spans="1:16" ht="15" customHeight="1" x14ac:dyDescent="0.3">
      <c r="E41" s="25"/>
      <c r="F41" s="25"/>
      <c r="G41" s="25"/>
      <c r="P41" s="11"/>
    </row>
    <row r="42" spans="1:16" ht="15" customHeight="1" x14ac:dyDescent="0.3">
      <c r="A42" s="92" t="s">
        <v>136</v>
      </c>
      <c r="E42" s="7"/>
      <c r="G42" s="7"/>
      <c r="P42" s="11"/>
    </row>
    <row r="43" spans="1:16" ht="15.75" customHeight="1" x14ac:dyDescent="0.3">
      <c r="A43" s="92" t="s">
        <v>138</v>
      </c>
      <c r="E43" s="7"/>
      <c r="G43" s="7"/>
      <c r="P43" s="11"/>
    </row>
    <row r="44" spans="1:16" ht="15.75" customHeight="1" x14ac:dyDescent="0.3">
      <c r="A44" s="92" t="s">
        <v>139</v>
      </c>
      <c r="P44" s="11"/>
    </row>
    <row r="45" spans="1:16" ht="15.75" customHeight="1" x14ac:dyDescent="0.3">
      <c r="P45" s="11"/>
    </row>
    <row r="46" spans="1:16" ht="15.75" customHeight="1" x14ac:dyDescent="0.3">
      <c r="P46" s="11"/>
    </row>
    <row r="47" spans="1:16" ht="15.75" customHeight="1" x14ac:dyDescent="0.3">
      <c r="P47" s="11"/>
    </row>
    <row r="48" spans="1:16" ht="15.75" customHeight="1" x14ac:dyDescent="0.3">
      <c r="P48" s="11"/>
    </row>
    <row r="49" spans="16:16" ht="15.75" customHeight="1" x14ac:dyDescent="0.3">
      <c r="P49" s="11"/>
    </row>
    <row r="50" spans="16:16" ht="15.75" customHeight="1" x14ac:dyDescent="0.3">
      <c r="P50" s="11"/>
    </row>
    <row r="51" spans="16:16" ht="15.75" customHeight="1" x14ac:dyDescent="0.3">
      <c r="P51" s="11"/>
    </row>
    <row r="52" spans="16:16" ht="15.75" customHeight="1" x14ac:dyDescent="0.3">
      <c r="P52" s="11"/>
    </row>
    <row r="53" spans="16:16" ht="15.75" customHeight="1" x14ac:dyDescent="0.3">
      <c r="P53" s="11"/>
    </row>
    <row r="54" spans="16:16" ht="15.75" customHeight="1" x14ac:dyDescent="0.3">
      <c r="P54" s="11"/>
    </row>
    <row r="55" spans="16:16" ht="15.75" customHeight="1" x14ac:dyDescent="0.3">
      <c r="P55" s="11"/>
    </row>
    <row r="56" spans="16:16" ht="15.75" customHeight="1" x14ac:dyDescent="0.3">
      <c r="P56" s="11"/>
    </row>
    <row r="57" spans="16:16" ht="15.75" customHeight="1" x14ac:dyDescent="0.3">
      <c r="P57" s="11"/>
    </row>
    <row r="58" spans="16:16" ht="15.75" customHeight="1" x14ac:dyDescent="0.3">
      <c r="P58" s="11"/>
    </row>
    <row r="59" spans="16:16" ht="15.75" customHeight="1" x14ac:dyDescent="0.3">
      <c r="P59" s="11"/>
    </row>
    <row r="60" spans="16:16" ht="15.75" customHeight="1" x14ac:dyDescent="0.3">
      <c r="P60" s="11"/>
    </row>
    <row r="61" spans="16:16" ht="15.75" customHeight="1" x14ac:dyDescent="0.3">
      <c r="P61" s="11"/>
    </row>
    <row r="62" spans="16:16" ht="15.75" customHeight="1" x14ac:dyDescent="0.3">
      <c r="P62" s="11"/>
    </row>
    <row r="63" spans="16:16" ht="15.75" customHeight="1" x14ac:dyDescent="0.3">
      <c r="P63" s="11"/>
    </row>
    <row r="64" spans="16:16" ht="15.75" customHeight="1" x14ac:dyDescent="0.3">
      <c r="P64" s="11"/>
    </row>
    <row r="65" spans="16:16" ht="15.75" customHeight="1" x14ac:dyDescent="0.3">
      <c r="P65" s="11"/>
    </row>
    <row r="66" spans="16:16" ht="15.75" customHeight="1" x14ac:dyDescent="0.3">
      <c r="P66" s="11"/>
    </row>
    <row r="67" spans="16:16" ht="15.75" customHeight="1" x14ac:dyDescent="0.3">
      <c r="P67" s="11"/>
    </row>
    <row r="68" spans="16:16" ht="15.75" customHeight="1" x14ac:dyDescent="0.3">
      <c r="P68" s="11"/>
    </row>
    <row r="69" spans="16:16" ht="15.75" customHeight="1" x14ac:dyDescent="0.3">
      <c r="P69" s="11"/>
    </row>
    <row r="70" spans="16:16" ht="15.75" customHeight="1" x14ac:dyDescent="0.3">
      <c r="P70" s="11"/>
    </row>
    <row r="71" spans="16:16" ht="15.75" customHeight="1" x14ac:dyDescent="0.3">
      <c r="P71" s="11"/>
    </row>
    <row r="72" spans="16:16" ht="15.75" customHeight="1" x14ac:dyDescent="0.3">
      <c r="P72" s="11"/>
    </row>
    <row r="73" spans="16:16" ht="15.75" customHeight="1" x14ac:dyDescent="0.3">
      <c r="P73" s="11"/>
    </row>
    <row r="74" spans="16:16" ht="15.75" customHeight="1" x14ac:dyDescent="0.3">
      <c r="P74" s="11"/>
    </row>
    <row r="75" spans="16:16" ht="15.75" customHeight="1" x14ac:dyDescent="0.3">
      <c r="P75" s="11"/>
    </row>
    <row r="76" spans="16:16" ht="15.75" customHeight="1" x14ac:dyDescent="0.3">
      <c r="P76" s="11"/>
    </row>
    <row r="77" spans="16:16" ht="15.75" customHeight="1" x14ac:dyDescent="0.3">
      <c r="P77" s="11"/>
    </row>
    <row r="78" spans="16:16" ht="15.75" customHeight="1" x14ac:dyDescent="0.3">
      <c r="P78" s="11"/>
    </row>
    <row r="79" spans="16:16" ht="15.75" customHeight="1" x14ac:dyDescent="0.3">
      <c r="P79" s="11"/>
    </row>
    <row r="80" spans="16:16" ht="15.75" customHeight="1" x14ac:dyDescent="0.3">
      <c r="P80" s="11"/>
    </row>
    <row r="81" spans="16:16" ht="15.75" customHeight="1" x14ac:dyDescent="0.3">
      <c r="P81" s="11"/>
    </row>
    <row r="82" spans="16:16" ht="15.75" customHeight="1" x14ac:dyDescent="0.3">
      <c r="P82" s="11"/>
    </row>
    <row r="83" spans="16:16" ht="15.75" customHeight="1" x14ac:dyDescent="0.3">
      <c r="P83" s="11"/>
    </row>
    <row r="84" spans="16:16" ht="15.75" customHeight="1" x14ac:dyDescent="0.3">
      <c r="P84" s="11"/>
    </row>
    <row r="85" spans="16:16" ht="15.75" customHeight="1" x14ac:dyDescent="0.3">
      <c r="P85" s="11"/>
    </row>
    <row r="86" spans="16:16" ht="15.75" customHeight="1" x14ac:dyDescent="0.3">
      <c r="P86" s="11"/>
    </row>
    <row r="87" spans="16:16" ht="15.75" customHeight="1" x14ac:dyDescent="0.3">
      <c r="P87" s="11"/>
    </row>
    <row r="88" spans="16:16" ht="15.75" customHeight="1" x14ac:dyDescent="0.3">
      <c r="P88" s="11"/>
    </row>
    <row r="89" spans="16:16" ht="15.75" customHeight="1" x14ac:dyDescent="0.3">
      <c r="P89" s="11"/>
    </row>
    <row r="90" spans="16:16" ht="15.75" customHeight="1" x14ac:dyDescent="0.3">
      <c r="P90" s="11"/>
    </row>
    <row r="91" spans="16:16" ht="15.75" customHeight="1" x14ac:dyDescent="0.3">
      <c r="P91" s="11"/>
    </row>
    <row r="92" spans="16:16" ht="15.75" customHeight="1" x14ac:dyDescent="0.3">
      <c r="P92" s="11"/>
    </row>
    <row r="93" spans="16:16" ht="15.75" customHeight="1" x14ac:dyDescent="0.3">
      <c r="P93" s="11"/>
    </row>
    <row r="94" spans="16:16" ht="15.75" customHeight="1" x14ac:dyDescent="0.3">
      <c r="P94" s="11"/>
    </row>
    <row r="95" spans="16:16" ht="15.75" customHeight="1" x14ac:dyDescent="0.3">
      <c r="P95" s="11"/>
    </row>
    <row r="96" spans="16:16" ht="15.75" customHeight="1" x14ac:dyDescent="0.3">
      <c r="P96" s="11"/>
    </row>
    <row r="97" spans="16:16" ht="15.75" customHeight="1" x14ac:dyDescent="0.3">
      <c r="P97" s="11"/>
    </row>
    <row r="98" spans="16:16" ht="15.75" customHeight="1" x14ac:dyDescent="0.3">
      <c r="P98" s="11"/>
    </row>
    <row r="99" spans="16:16" ht="15.75" customHeight="1" x14ac:dyDescent="0.3">
      <c r="P99" s="11"/>
    </row>
    <row r="100" spans="16:16" ht="15.75" customHeight="1" x14ac:dyDescent="0.3">
      <c r="P100" s="11"/>
    </row>
    <row r="101" spans="16:16" ht="15.75" customHeight="1" x14ac:dyDescent="0.3">
      <c r="P101" s="11"/>
    </row>
    <row r="102" spans="16:16" ht="15.75" customHeight="1" x14ac:dyDescent="0.3">
      <c r="P102" s="11"/>
    </row>
    <row r="103" spans="16:16" ht="15.75" customHeight="1" x14ac:dyDescent="0.3">
      <c r="P103" s="11"/>
    </row>
    <row r="104" spans="16:16" ht="15.75" customHeight="1" x14ac:dyDescent="0.3">
      <c r="P104" s="11"/>
    </row>
    <row r="105" spans="16:16" ht="15.75" customHeight="1" x14ac:dyDescent="0.3">
      <c r="P105" s="11"/>
    </row>
    <row r="106" spans="16:16" ht="15.75" customHeight="1" x14ac:dyDescent="0.3">
      <c r="P106" s="11"/>
    </row>
    <row r="107" spans="16:16" ht="15.75" customHeight="1" x14ac:dyDescent="0.3">
      <c r="P107" s="11"/>
    </row>
    <row r="108" spans="16:16" ht="15.75" customHeight="1" x14ac:dyDescent="0.3">
      <c r="P108" s="11"/>
    </row>
    <row r="109" spans="16:16" ht="15.75" customHeight="1" x14ac:dyDescent="0.3">
      <c r="P109" s="11"/>
    </row>
    <row r="110" spans="16:16" ht="15.75" customHeight="1" x14ac:dyDescent="0.3">
      <c r="P110" s="11"/>
    </row>
    <row r="111" spans="16:16" ht="15.75" customHeight="1" x14ac:dyDescent="0.3">
      <c r="P111" s="11"/>
    </row>
    <row r="112" spans="16:16" ht="15.75" customHeight="1" x14ac:dyDescent="0.3">
      <c r="P112" s="11"/>
    </row>
    <row r="113" spans="16:16" ht="15.75" customHeight="1" x14ac:dyDescent="0.3">
      <c r="P113" s="11"/>
    </row>
    <row r="114" spans="16:16" ht="15.75" customHeight="1" x14ac:dyDescent="0.3">
      <c r="P114" s="11"/>
    </row>
    <row r="115" spans="16:16" ht="15.75" customHeight="1" x14ac:dyDescent="0.3">
      <c r="P115" s="11"/>
    </row>
    <row r="116" spans="16:16" ht="15.75" customHeight="1" x14ac:dyDescent="0.3">
      <c r="P116" s="11"/>
    </row>
    <row r="117" spans="16:16" ht="15.75" customHeight="1" x14ac:dyDescent="0.3">
      <c r="P117" s="11"/>
    </row>
    <row r="118" spans="16:16" ht="15.75" customHeight="1" x14ac:dyDescent="0.3">
      <c r="P118" s="11"/>
    </row>
    <row r="119" spans="16:16" ht="15.75" customHeight="1" x14ac:dyDescent="0.3">
      <c r="P119" s="11"/>
    </row>
    <row r="120" spans="16:16" ht="15.75" customHeight="1" x14ac:dyDescent="0.3">
      <c r="P120" s="11"/>
    </row>
    <row r="121" spans="16:16" ht="15.75" customHeight="1" x14ac:dyDescent="0.3">
      <c r="P121" s="11"/>
    </row>
    <row r="122" spans="16:16" ht="15.75" customHeight="1" x14ac:dyDescent="0.3">
      <c r="P122" s="11"/>
    </row>
    <row r="123" spans="16:16" ht="15.75" customHeight="1" x14ac:dyDescent="0.3">
      <c r="P123" s="11"/>
    </row>
    <row r="124" spans="16:16" ht="15.75" customHeight="1" x14ac:dyDescent="0.3">
      <c r="P124" s="11"/>
    </row>
    <row r="125" spans="16:16" ht="15.75" customHeight="1" x14ac:dyDescent="0.3">
      <c r="P125" s="11"/>
    </row>
    <row r="126" spans="16:16" ht="15.75" customHeight="1" x14ac:dyDescent="0.3">
      <c r="P126" s="11"/>
    </row>
    <row r="127" spans="16:16" ht="15.75" customHeight="1" x14ac:dyDescent="0.3">
      <c r="P127" s="11"/>
    </row>
    <row r="128" spans="16:16" ht="15.75" customHeight="1" x14ac:dyDescent="0.3">
      <c r="P128" s="11"/>
    </row>
    <row r="129" spans="16:16" ht="15.75" customHeight="1" x14ac:dyDescent="0.3">
      <c r="P129" s="11"/>
    </row>
    <row r="130" spans="16:16" ht="15.75" customHeight="1" x14ac:dyDescent="0.3">
      <c r="P130" s="11"/>
    </row>
    <row r="131" spans="16:16" ht="15.75" customHeight="1" x14ac:dyDescent="0.3">
      <c r="P131" s="11"/>
    </row>
    <row r="132" spans="16:16" ht="15.75" customHeight="1" x14ac:dyDescent="0.3">
      <c r="P132" s="11"/>
    </row>
    <row r="133" spans="16:16" ht="15.75" customHeight="1" x14ac:dyDescent="0.3">
      <c r="P133" s="11"/>
    </row>
    <row r="134" spans="16:16" ht="15.75" customHeight="1" x14ac:dyDescent="0.3">
      <c r="P134" s="11"/>
    </row>
    <row r="135" spans="16:16" ht="15.75" customHeight="1" x14ac:dyDescent="0.3">
      <c r="P135" s="11"/>
    </row>
    <row r="136" spans="16:16" ht="15.75" customHeight="1" x14ac:dyDescent="0.3">
      <c r="P136" s="11"/>
    </row>
    <row r="137" spans="16:16" ht="15.75" customHeight="1" x14ac:dyDescent="0.3">
      <c r="P137" s="11"/>
    </row>
    <row r="138" spans="16:16" ht="15.75" customHeight="1" x14ac:dyDescent="0.3">
      <c r="P138" s="11"/>
    </row>
    <row r="139" spans="16:16" ht="15.75" customHeight="1" x14ac:dyDescent="0.3">
      <c r="P139" s="11"/>
    </row>
    <row r="140" spans="16:16" ht="15.75" customHeight="1" x14ac:dyDescent="0.3">
      <c r="P140" s="11"/>
    </row>
    <row r="141" spans="16:16" ht="15.75" customHeight="1" x14ac:dyDescent="0.3">
      <c r="P141" s="11"/>
    </row>
    <row r="142" spans="16:16" ht="15.75" customHeight="1" x14ac:dyDescent="0.3">
      <c r="P142" s="11"/>
    </row>
    <row r="143" spans="16:16" ht="15.75" customHeight="1" x14ac:dyDescent="0.3">
      <c r="P143" s="11"/>
    </row>
    <row r="144" spans="16:16" ht="15.75" customHeight="1" x14ac:dyDescent="0.3">
      <c r="P144" s="11"/>
    </row>
    <row r="145" spans="16:16" ht="15.75" customHeight="1" x14ac:dyDescent="0.3">
      <c r="P145" s="11"/>
    </row>
    <row r="146" spans="16:16" ht="15.75" customHeight="1" x14ac:dyDescent="0.3">
      <c r="P146" s="11"/>
    </row>
    <row r="147" spans="16:16" ht="15.75" customHeight="1" x14ac:dyDescent="0.3">
      <c r="P147" s="11"/>
    </row>
    <row r="148" spans="16:16" ht="15.75" customHeight="1" x14ac:dyDescent="0.3">
      <c r="P148" s="11"/>
    </row>
    <row r="149" spans="16:16" ht="15.75" customHeight="1" x14ac:dyDescent="0.3">
      <c r="P149" s="11"/>
    </row>
    <row r="150" spans="16:16" ht="15.75" customHeight="1" x14ac:dyDescent="0.3">
      <c r="P150" s="11"/>
    </row>
    <row r="151" spans="16:16" ht="15.75" customHeight="1" x14ac:dyDescent="0.3">
      <c r="P151" s="11"/>
    </row>
    <row r="152" spans="16:16" ht="15.75" customHeight="1" x14ac:dyDescent="0.3">
      <c r="P152" s="11"/>
    </row>
    <row r="153" spans="16:16" ht="15.75" customHeight="1" x14ac:dyDescent="0.3">
      <c r="P153" s="11"/>
    </row>
    <row r="154" spans="16:16" ht="15.75" customHeight="1" x14ac:dyDescent="0.3">
      <c r="P154" s="11"/>
    </row>
    <row r="155" spans="16:16" ht="15.75" customHeight="1" x14ac:dyDescent="0.3">
      <c r="P155" s="11"/>
    </row>
    <row r="156" spans="16:16" ht="15.75" customHeight="1" x14ac:dyDescent="0.3">
      <c r="P156" s="11"/>
    </row>
    <row r="157" spans="16:16" ht="15.75" customHeight="1" x14ac:dyDescent="0.3">
      <c r="P157" s="11"/>
    </row>
    <row r="158" spans="16:16" ht="15.75" customHeight="1" x14ac:dyDescent="0.3">
      <c r="P158" s="11"/>
    </row>
    <row r="159" spans="16:16" ht="15.75" customHeight="1" x14ac:dyDescent="0.3">
      <c r="P159" s="11"/>
    </row>
    <row r="160" spans="16:16" ht="15.75" customHeight="1" x14ac:dyDescent="0.3">
      <c r="P160" s="11"/>
    </row>
    <row r="161" spans="16:16" ht="15.75" customHeight="1" x14ac:dyDescent="0.3">
      <c r="P161" s="11"/>
    </row>
    <row r="162" spans="16:16" ht="15.75" customHeight="1" x14ac:dyDescent="0.3">
      <c r="P162" s="11"/>
    </row>
    <row r="163" spans="16:16" ht="15.75" customHeight="1" x14ac:dyDescent="0.3">
      <c r="P163" s="11"/>
    </row>
    <row r="164" spans="16:16" ht="15.75" customHeight="1" x14ac:dyDescent="0.3">
      <c r="P164" s="11"/>
    </row>
    <row r="165" spans="16:16" ht="15.75" customHeight="1" x14ac:dyDescent="0.3">
      <c r="P165" s="11"/>
    </row>
    <row r="166" spans="16:16" ht="15.75" customHeight="1" x14ac:dyDescent="0.3">
      <c r="P166" s="11"/>
    </row>
    <row r="167" spans="16:16" ht="15.75" customHeight="1" x14ac:dyDescent="0.3">
      <c r="P167" s="11"/>
    </row>
    <row r="168" spans="16:16" ht="15.75" customHeight="1" x14ac:dyDescent="0.3">
      <c r="P168" s="11"/>
    </row>
    <row r="169" spans="16:16" ht="15.75" customHeight="1" x14ac:dyDescent="0.3">
      <c r="P169" s="11"/>
    </row>
    <row r="170" spans="16:16" ht="15.75" customHeight="1" x14ac:dyDescent="0.3">
      <c r="P170" s="11"/>
    </row>
    <row r="171" spans="16:16" ht="15.75" customHeight="1" x14ac:dyDescent="0.3">
      <c r="P171" s="11"/>
    </row>
    <row r="172" spans="16:16" ht="15.75" customHeight="1" x14ac:dyDescent="0.3">
      <c r="P172" s="11"/>
    </row>
    <row r="173" spans="16:16" ht="15.75" customHeight="1" x14ac:dyDescent="0.3">
      <c r="P173" s="11"/>
    </row>
    <row r="174" spans="16:16" ht="15.75" customHeight="1" x14ac:dyDescent="0.3">
      <c r="P174" s="11"/>
    </row>
    <row r="175" spans="16:16" ht="15.75" customHeight="1" x14ac:dyDescent="0.3">
      <c r="P175" s="11"/>
    </row>
    <row r="176" spans="16:16" ht="15.75" customHeight="1" x14ac:dyDescent="0.3">
      <c r="P176" s="11"/>
    </row>
    <row r="177" spans="16:16" ht="15.75" customHeight="1" x14ac:dyDescent="0.3">
      <c r="P177" s="11"/>
    </row>
    <row r="178" spans="16:16" ht="15.75" customHeight="1" x14ac:dyDescent="0.3">
      <c r="P178" s="11"/>
    </row>
    <row r="179" spans="16:16" ht="15.75" customHeight="1" x14ac:dyDescent="0.3">
      <c r="P179" s="11"/>
    </row>
    <row r="180" spans="16:16" ht="15.75" customHeight="1" x14ac:dyDescent="0.3">
      <c r="P180" s="11"/>
    </row>
    <row r="181" spans="16:16" ht="15.75" customHeight="1" x14ac:dyDescent="0.3">
      <c r="P181" s="11"/>
    </row>
    <row r="182" spans="16:16" ht="15.75" customHeight="1" x14ac:dyDescent="0.3">
      <c r="P182" s="11"/>
    </row>
    <row r="183" spans="16:16" ht="15.75" customHeight="1" x14ac:dyDescent="0.3">
      <c r="P183" s="11"/>
    </row>
    <row r="184" spans="16:16" ht="15.75" customHeight="1" x14ac:dyDescent="0.3">
      <c r="P184" s="11"/>
    </row>
    <row r="185" spans="16:16" ht="15.75" customHeight="1" x14ac:dyDescent="0.3">
      <c r="P185" s="11"/>
    </row>
    <row r="186" spans="16:16" ht="15.75" customHeight="1" x14ac:dyDescent="0.3">
      <c r="P186" s="11"/>
    </row>
    <row r="187" spans="16:16" ht="15.75" customHeight="1" x14ac:dyDescent="0.3">
      <c r="P187" s="11"/>
    </row>
    <row r="188" spans="16:16" ht="15.75" customHeight="1" x14ac:dyDescent="0.3">
      <c r="P188" s="11"/>
    </row>
    <row r="189" spans="16:16" ht="15.75" customHeight="1" x14ac:dyDescent="0.3">
      <c r="P189" s="11"/>
    </row>
    <row r="190" spans="16:16" ht="15.75" customHeight="1" x14ac:dyDescent="0.3">
      <c r="P190" s="11"/>
    </row>
    <row r="191" spans="16:16" ht="15.75" customHeight="1" x14ac:dyDescent="0.3">
      <c r="P191" s="11"/>
    </row>
    <row r="192" spans="16:16" ht="15.75" customHeight="1" x14ac:dyDescent="0.3">
      <c r="P192" s="11"/>
    </row>
    <row r="193" spans="16:16" ht="15.75" customHeight="1" x14ac:dyDescent="0.3">
      <c r="P193" s="11"/>
    </row>
    <row r="194" spans="16:16" ht="15.75" customHeight="1" x14ac:dyDescent="0.3">
      <c r="P194" s="11"/>
    </row>
    <row r="195" spans="16:16" ht="15.75" customHeight="1" x14ac:dyDescent="0.3">
      <c r="P195" s="11"/>
    </row>
    <row r="196" spans="16:16" ht="15.75" customHeight="1" x14ac:dyDescent="0.3">
      <c r="P196" s="11"/>
    </row>
    <row r="197" spans="16:16" ht="15.75" customHeight="1" x14ac:dyDescent="0.3">
      <c r="P197" s="11"/>
    </row>
    <row r="198" spans="16:16" ht="15.75" customHeight="1" x14ac:dyDescent="0.3">
      <c r="P198" s="11"/>
    </row>
    <row r="199" spans="16:16" ht="15.75" customHeight="1" x14ac:dyDescent="0.3">
      <c r="P199" s="11"/>
    </row>
    <row r="200" spans="16:16" ht="15.75" customHeight="1" x14ac:dyDescent="0.3">
      <c r="P200" s="11"/>
    </row>
    <row r="201" spans="16:16" ht="15.75" customHeight="1" x14ac:dyDescent="0.3">
      <c r="P201" s="11"/>
    </row>
    <row r="202" spans="16:16" ht="15.75" customHeight="1" x14ac:dyDescent="0.3">
      <c r="P202" s="11"/>
    </row>
    <row r="203" spans="16:16" ht="15.75" customHeight="1" x14ac:dyDescent="0.3">
      <c r="P203" s="11"/>
    </row>
    <row r="204" spans="16:16" ht="15.75" customHeight="1" x14ac:dyDescent="0.3">
      <c r="P204" s="11"/>
    </row>
    <row r="205" spans="16:16" ht="15.75" customHeight="1" x14ac:dyDescent="0.3">
      <c r="P205" s="11"/>
    </row>
    <row r="206" spans="16:16" ht="15.75" customHeight="1" x14ac:dyDescent="0.3">
      <c r="P206" s="11"/>
    </row>
    <row r="207" spans="16:16" ht="15.75" customHeight="1" x14ac:dyDescent="0.3">
      <c r="P207" s="11"/>
    </row>
    <row r="208" spans="16:16" ht="15.75" customHeight="1" x14ac:dyDescent="0.3">
      <c r="P208" s="11"/>
    </row>
    <row r="209" spans="16:16" ht="15.75" customHeight="1" x14ac:dyDescent="0.3">
      <c r="P209" s="11"/>
    </row>
    <row r="210" spans="16:16" ht="15.75" customHeight="1" x14ac:dyDescent="0.3">
      <c r="P210" s="11"/>
    </row>
    <row r="211" spans="16:16" ht="15.75" customHeight="1" x14ac:dyDescent="0.3">
      <c r="P211" s="11"/>
    </row>
    <row r="212" spans="16:16" ht="15.75" customHeight="1" x14ac:dyDescent="0.3">
      <c r="P212" s="11"/>
    </row>
    <row r="213" spans="16:16" ht="15.75" customHeight="1" x14ac:dyDescent="0.3">
      <c r="P213" s="11"/>
    </row>
    <row r="214" spans="16:16" ht="15.75" customHeight="1" x14ac:dyDescent="0.3">
      <c r="P214" s="11"/>
    </row>
    <row r="215" spans="16:16" ht="15.75" customHeight="1" x14ac:dyDescent="0.3">
      <c r="P215" s="11"/>
    </row>
    <row r="216" spans="16:16" ht="15.75" customHeight="1" x14ac:dyDescent="0.3">
      <c r="P216" s="11"/>
    </row>
    <row r="217" spans="16:16" ht="15.75" customHeight="1" x14ac:dyDescent="0.3">
      <c r="P217" s="11"/>
    </row>
    <row r="218" spans="16:16" ht="15.75" customHeight="1" x14ac:dyDescent="0.3">
      <c r="P218" s="11"/>
    </row>
    <row r="219" spans="16:16" ht="15.75" customHeight="1" x14ac:dyDescent="0.3">
      <c r="P219" s="11"/>
    </row>
    <row r="220" spans="16:16" ht="15.75" customHeight="1" x14ac:dyDescent="0.3">
      <c r="P220" s="11"/>
    </row>
    <row r="221" spans="16:16" ht="15.75" customHeight="1" x14ac:dyDescent="0.3">
      <c r="P221" s="11"/>
    </row>
    <row r="222" spans="16:16" ht="15.75" customHeight="1" x14ac:dyDescent="0.3">
      <c r="P222" s="11"/>
    </row>
    <row r="223" spans="16:16" ht="15.75" customHeight="1" x14ac:dyDescent="0.3">
      <c r="P223" s="11"/>
    </row>
    <row r="224" spans="16:16" ht="15.75" customHeight="1" x14ac:dyDescent="0.3">
      <c r="P224" s="11"/>
    </row>
    <row r="225" spans="16:16" ht="15.75" customHeight="1" x14ac:dyDescent="0.3">
      <c r="P225" s="11"/>
    </row>
    <row r="226" spans="16:16" ht="15.75" customHeight="1" x14ac:dyDescent="0.3">
      <c r="P226" s="11"/>
    </row>
    <row r="227" spans="16:16" ht="15.75" customHeight="1" x14ac:dyDescent="0.3">
      <c r="P227" s="11"/>
    </row>
    <row r="228" spans="16:16" ht="15.75" customHeight="1" x14ac:dyDescent="0.3">
      <c r="P228" s="11"/>
    </row>
    <row r="229" spans="16:16" ht="15.75" customHeight="1" x14ac:dyDescent="0.3">
      <c r="P229" s="11"/>
    </row>
    <row r="230" spans="16:16" ht="15.75" customHeight="1" x14ac:dyDescent="0.3">
      <c r="P230" s="11"/>
    </row>
    <row r="231" spans="16:16" ht="15.75" customHeight="1" x14ac:dyDescent="0.3">
      <c r="P231" s="11"/>
    </row>
    <row r="232" spans="16:16" ht="15.75" customHeight="1" x14ac:dyDescent="0.3">
      <c r="P232" s="11"/>
    </row>
    <row r="233" spans="16:16" ht="15.75" customHeight="1" x14ac:dyDescent="0.3">
      <c r="P233" s="11"/>
    </row>
    <row r="234" spans="16:16" ht="15.75" customHeight="1" x14ac:dyDescent="0.3">
      <c r="P234" s="11"/>
    </row>
    <row r="235" spans="16:16" ht="15.75" customHeight="1" x14ac:dyDescent="0.3">
      <c r="P235" s="11"/>
    </row>
    <row r="236" spans="16:16" ht="15.75" customHeight="1" x14ac:dyDescent="0.3">
      <c r="P236" s="11"/>
    </row>
    <row r="237" spans="16:16" ht="15.75" customHeight="1" x14ac:dyDescent="0.3">
      <c r="P237" s="11"/>
    </row>
    <row r="238" spans="16:16" ht="15.75" customHeight="1" x14ac:dyDescent="0.3">
      <c r="P238" s="11"/>
    </row>
    <row r="239" spans="16:16" ht="15.75" customHeight="1" x14ac:dyDescent="0.3">
      <c r="P239" s="11"/>
    </row>
    <row r="240" spans="16:16" ht="15.75" customHeight="1" x14ac:dyDescent="0.3">
      <c r="P240" s="11"/>
    </row>
    <row r="241" spans="16:16" ht="15.75" customHeight="1" x14ac:dyDescent="0.3">
      <c r="P241" s="11"/>
    </row>
    <row r="242" spans="16:16" ht="15.75" customHeight="1" x14ac:dyDescent="0.3">
      <c r="P242" s="11"/>
    </row>
    <row r="243" spans="16:16" ht="15.75" customHeight="1" x14ac:dyDescent="0.3">
      <c r="P243" s="11"/>
    </row>
    <row r="244" spans="16:16" ht="15.75" customHeight="1" x14ac:dyDescent="0.3">
      <c r="P244" s="11"/>
    </row>
    <row r="245" spans="16:16" ht="15.75" customHeight="1" x14ac:dyDescent="0.3">
      <c r="P245" s="11"/>
    </row>
    <row r="246" spans="16:16" ht="15.75" customHeight="1" x14ac:dyDescent="0.3">
      <c r="P246" s="11"/>
    </row>
    <row r="247" spans="16:16" ht="15.75" customHeight="1" x14ac:dyDescent="0.3">
      <c r="P247" s="11"/>
    </row>
    <row r="248" spans="16:16" ht="15.75" customHeight="1" x14ac:dyDescent="0.3">
      <c r="P248" s="11"/>
    </row>
    <row r="249" spans="16:16" ht="15.75" customHeight="1" x14ac:dyDescent="0.3">
      <c r="P249" s="11"/>
    </row>
    <row r="250" spans="16:16" ht="15.75" customHeight="1" x14ac:dyDescent="0.3">
      <c r="P250" s="11"/>
    </row>
    <row r="251" spans="16:16" ht="15.75" customHeight="1" x14ac:dyDescent="0.3">
      <c r="P251" s="11"/>
    </row>
    <row r="252" spans="16:16" ht="15.75" customHeight="1" x14ac:dyDescent="0.3">
      <c r="P252" s="11"/>
    </row>
    <row r="253" spans="16:16" ht="15.75" customHeight="1" x14ac:dyDescent="0.3">
      <c r="P253" s="11"/>
    </row>
    <row r="254" spans="16:16" ht="15.75" customHeight="1" x14ac:dyDescent="0.3">
      <c r="P254" s="11"/>
    </row>
    <row r="255" spans="16:16" ht="15.75" customHeight="1" x14ac:dyDescent="0.3">
      <c r="P255" s="11"/>
    </row>
    <row r="256" spans="16:16" ht="15.75" customHeight="1" x14ac:dyDescent="0.3">
      <c r="P256" s="11"/>
    </row>
    <row r="257" spans="16:16" ht="15.75" customHeight="1" x14ac:dyDescent="0.3">
      <c r="P257" s="11"/>
    </row>
    <row r="258" spans="16:16" ht="15.75" customHeight="1" x14ac:dyDescent="0.3">
      <c r="P258" s="11"/>
    </row>
    <row r="259" spans="16:16" ht="15.75" customHeight="1" x14ac:dyDescent="0.3">
      <c r="P259" s="11"/>
    </row>
    <row r="260" spans="16:16" ht="15.75" customHeight="1" x14ac:dyDescent="0.3">
      <c r="P260" s="11"/>
    </row>
    <row r="261" spans="16:16" ht="15.75" customHeight="1" x14ac:dyDescent="0.3">
      <c r="P261" s="11"/>
    </row>
    <row r="262" spans="16:16" ht="15.75" customHeight="1" x14ac:dyDescent="0.3">
      <c r="P262" s="11"/>
    </row>
    <row r="263" spans="16:16" ht="15.75" customHeight="1" x14ac:dyDescent="0.3">
      <c r="P263" s="11"/>
    </row>
    <row r="264" spans="16:16" ht="15.75" customHeight="1" x14ac:dyDescent="0.3">
      <c r="P264" s="11"/>
    </row>
    <row r="265" spans="16:16" ht="15.75" customHeight="1" x14ac:dyDescent="0.3">
      <c r="P265" s="11"/>
    </row>
    <row r="266" spans="16:16" ht="15.75" customHeight="1" x14ac:dyDescent="0.3">
      <c r="P266" s="11"/>
    </row>
    <row r="267" spans="16:16" ht="15.75" customHeight="1" x14ac:dyDescent="0.3">
      <c r="P267" s="11"/>
    </row>
    <row r="268" spans="16:16" ht="15.75" customHeight="1" x14ac:dyDescent="0.3">
      <c r="P268" s="11"/>
    </row>
    <row r="269" spans="16:16" ht="15.75" customHeight="1" x14ac:dyDescent="0.3">
      <c r="P269" s="11"/>
    </row>
    <row r="270" spans="16:16" ht="15.75" customHeight="1" x14ac:dyDescent="0.3">
      <c r="P270" s="11"/>
    </row>
    <row r="271" spans="16:16" ht="15.75" customHeight="1" x14ac:dyDescent="0.3">
      <c r="P271" s="11"/>
    </row>
    <row r="272" spans="16:16" ht="15.75" customHeight="1" x14ac:dyDescent="0.3">
      <c r="P272" s="11"/>
    </row>
    <row r="273" spans="16:16" ht="15.75" customHeight="1" x14ac:dyDescent="0.3">
      <c r="P273" s="11"/>
    </row>
    <row r="274" spans="16:16" ht="15.75" customHeight="1" x14ac:dyDescent="0.3">
      <c r="P274" s="11"/>
    </row>
    <row r="275" spans="16:16" ht="15.75" customHeight="1" x14ac:dyDescent="0.3">
      <c r="P275" s="11"/>
    </row>
    <row r="276" spans="16:16" ht="15.75" customHeight="1" x14ac:dyDescent="0.3">
      <c r="P276" s="11"/>
    </row>
    <row r="277" spans="16:16" ht="15.75" customHeight="1" x14ac:dyDescent="0.3">
      <c r="P277" s="11"/>
    </row>
    <row r="278" spans="16:16" ht="15.75" customHeight="1" x14ac:dyDescent="0.3">
      <c r="P278" s="11"/>
    </row>
    <row r="279" spans="16:16" ht="15.75" customHeight="1" x14ac:dyDescent="0.3">
      <c r="P279" s="11"/>
    </row>
    <row r="280" spans="16:16" ht="15.75" customHeight="1" x14ac:dyDescent="0.3">
      <c r="P280" s="11"/>
    </row>
    <row r="281" spans="16:16" ht="15.75" customHeight="1" x14ac:dyDescent="0.3">
      <c r="P281" s="11"/>
    </row>
    <row r="282" spans="16:16" ht="15.75" customHeight="1" x14ac:dyDescent="0.3">
      <c r="P282" s="11"/>
    </row>
    <row r="283" spans="16:16" ht="15.75" customHeight="1" x14ac:dyDescent="0.3">
      <c r="P283" s="11"/>
    </row>
    <row r="284" spans="16:16" ht="15.75" customHeight="1" x14ac:dyDescent="0.3">
      <c r="P284" s="11"/>
    </row>
    <row r="285" spans="16:16" ht="15.75" customHeight="1" x14ac:dyDescent="0.3">
      <c r="P285" s="11"/>
    </row>
    <row r="286" spans="16:16" ht="15.75" customHeight="1" x14ac:dyDescent="0.3">
      <c r="P286" s="11"/>
    </row>
    <row r="287" spans="16:16" ht="15.75" customHeight="1" x14ac:dyDescent="0.3">
      <c r="P287" s="11"/>
    </row>
    <row r="288" spans="16:16" ht="15.75" customHeight="1" x14ac:dyDescent="0.3">
      <c r="P288" s="11"/>
    </row>
    <row r="289" spans="16:16" ht="15.75" customHeight="1" x14ac:dyDescent="0.3">
      <c r="P289" s="11"/>
    </row>
    <row r="290" spans="16:16" ht="15.75" customHeight="1" x14ac:dyDescent="0.3">
      <c r="P290" s="11"/>
    </row>
    <row r="291" spans="16:16" ht="15.75" customHeight="1" x14ac:dyDescent="0.3">
      <c r="P291" s="11"/>
    </row>
    <row r="292" spans="16:16" ht="15.75" customHeight="1" x14ac:dyDescent="0.3">
      <c r="P292" s="11"/>
    </row>
    <row r="293" spans="16:16" ht="15.75" customHeight="1" x14ac:dyDescent="0.3">
      <c r="P293" s="11"/>
    </row>
    <row r="294" spans="16:16" ht="15.75" customHeight="1" x14ac:dyDescent="0.3">
      <c r="P294" s="11"/>
    </row>
    <row r="295" spans="16:16" ht="15.75" customHeight="1" x14ac:dyDescent="0.3">
      <c r="P295" s="11"/>
    </row>
    <row r="296" spans="16:16" ht="15.75" customHeight="1" x14ac:dyDescent="0.3">
      <c r="P296" s="11"/>
    </row>
    <row r="297" spans="16:16" ht="15.75" customHeight="1" x14ac:dyDescent="0.3">
      <c r="P297" s="11"/>
    </row>
    <row r="298" spans="16:16" ht="15.75" customHeight="1" x14ac:dyDescent="0.3">
      <c r="P298" s="11"/>
    </row>
    <row r="299" spans="16:16" ht="15.75" customHeight="1" x14ac:dyDescent="0.3">
      <c r="P299" s="11"/>
    </row>
    <row r="300" spans="16:16" ht="15.75" customHeight="1" x14ac:dyDescent="0.3">
      <c r="P300" s="11"/>
    </row>
    <row r="301" spans="16:16" ht="15.75" customHeight="1" x14ac:dyDescent="0.3">
      <c r="P301" s="11"/>
    </row>
    <row r="302" spans="16:16" ht="15.75" customHeight="1" x14ac:dyDescent="0.3">
      <c r="P302" s="11"/>
    </row>
    <row r="303" spans="16:16" ht="15.75" customHeight="1" x14ac:dyDescent="0.3">
      <c r="P303" s="11"/>
    </row>
    <row r="304" spans="16:16" ht="15.75" customHeight="1" x14ac:dyDescent="0.3">
      <c r="P304" s="11"/>
    </row>
    <row r="305" spans="16:16" ht="15.75" customHeight="1" x14ac:dyDescent="0.3">
      <c r="P305" s="11"/>
    </row>
    <row r="306" spans="16:16" ht="15.75" customHeight="1" x14ac:dyDescent="0.3">
      <c r="P306" s="11"/>
    </row>
    <row r="307" spans="16:16" ht="15.75" customHeight="1" x14ac:dyDescent="0.3">
      <c r="P307" s="11"/>
    </row>
    <row r="308" spans="16:16" ht="15.75" customHeight="1" x14ac:dyDescent="0.3">
      <c r="P308" s="11"/>
    </row>
    <row r="309" spans="16:16" ht="15.75" customHeight="1" x14ac:dyDescent="0.3">
      <c r="P309" s="11"/>
    </row>
    <row r="310" spans="16:16" ht="15.75" customHeight="1" x14ac:dyDescent="0.3">
      <c r="P310" s="11"/>
    </row>
    <row r="311" spans="16:16" ht="15.75" customHeight="1" x14ac:dyDescent="0.3">
      <c r="P311" s="11"/>
    </row>
    <row r="312" spans="16:16" ht="15.75" customHeight="1" x14ac:dyDescent="0.3">
      <c r="P312" s="11"/>
    </row>
    <row r="313" spans="16:16" ht="15.75" customHeight="1" x14ac:dyDescent="0.3">
      <c r="P313" s="11"/>
    </row>
    <row r="314" spans="16:16" ht="15.75" customHeight="1" x14ac:dyDescent="0.3">
      <c r="P314" s="11"/>
    </row>
    <row r="315" spans="16:16" ht="15.75" customHeight="1" x14ac:dyDescent="0.3">
      <c r="P315" s="11"/>
    </row>
    <row r="316" spans="16:16" ht="15.75" customHeight="1" x14ac:dyDescent="0.3">
      <c r="P316" s="11"/>
    </row>
    <row r="317" spans="16:16" ht="15.75" customHeight="1" x14ac:dyDescent="0.3">
      <c r="P317" s="11"/>
    </row>
    <row r="318" spans="16:16" ht="15.75" customHeight="1" x14ac:dyDescent="0.3">
      <c r="P318" s="11"/>
    </row>
    <row r="319" spans="16:16" ht="15.75" customHeight="1" x14ac:dyDescent="0.3">
      <c r="P319" s="11"/>
    </row>
    <row r="320" spans="16:16" ht="15.75" customHeight="1" x14ac:dyDescent="0.3">
      <c r="P320" s="11"/>
    </row>
    <row r="321" spans="16:16" ht="15.75" customHeight="1" x14ac:dyDescent="0.3">
      <c r="P321" s="11"/>
    </row>
    <row r="322" spans="16:16" ht="15.75" customHeight="1" x14ac:dyDescent="0.3">
      <c r="P322" s="11"/>
    </row>
    <row r="323" spans="16:16" ht="15.75" customHeight="1" x14ac:dyDescent="0.3">
      <c r="P323" s="11"/>
    </row>
    <row r="324" spans="16:16" ht="15.75" customHeight="1" x14ac:dyDescent="0.3">
      <c r="P324" s="11"/>
    </row>
    <row r="325" spans="16:16" ht="15.75" customHeight="1" x14ac:dyDescent="0.3">
      <c r="P325" s="11"/>
    </row>
    <row r="326" spans="16:16" ht="15.75" customHeight="1" x14ac:dyDescent="0.3">
      <c r="P326" s="11"/>
    </row>
    <row r="327" spans="16:16" ht="15.75" customHeight="1" x14ac:dyDescent="0.3">
      <c r="P327" s="11"/>
    </row>
    <row r="328" spans="16:16" ht="15.75" customHeight="1" x14ac:dyDescent="0.3">
      <c r="P328" s="11"/>
    </row>
    <row r="329" spans="16:16" ht="15.75" customHeight="1" x14ac:dyDescent="0.3">
      <c r="P329" s="11"/>
    </row>
    <row r="330" spans="16:16" ht="15.75" customHeight="1" x14ac:dyDescent="0.3">
      <c r="P330" s="11"/>
    </row>
    <row r="331" spans="16:16" ht="15.75" customHeight="1" x14ac:dyDescent="0.3">
      <c r="P331" s="11"/>
    </row>
    <row r="332" spans="16:16" ht="15.75" customHeight="1" x14ac:dyDescent="0.3">
      <c r="P332" s="11"/>
    </row>
    <row r="333" spans="16:16" ht="15.75" customHeight="1" x14ac:dyDescent="0.3">
      <c r="P333" s="11"/>
    </row>
    <row r="334" spans="16:16" ht="15.75" customHeight="1" x14ac:dyDescent="0.3">
      <c r="P334" s="11"/>
    </row>
    <row r="335" spans="16:16" ht="15.75" customHeight="1" x14ac:dyDescent="0.3">
      <c r="P335" s="11"/>
    </row>
    <row r="336" spans="16:16" ht="15.75" customHeight="1" x14ac:dyDescent="0.3">
      <c r="P336" s="11"/>
    </row>
    <row r="337" spans="16:16" ht="15.75" customHeight="1" x14ac:dyDescent="0.3">
      <c r="P337" s="11"/>
    </row>
    <row r="338" spans="16:16" ht="15.75" customHeight="1" x14ac:dyDescent="0.3">
      <c r="P338" s="11"/>
    </row>
    <row r="339" spans="16:16" ht="15.75" customHeight="1" x14ac:dyDescent="0.3">
      <c r="P339" s="11"/>
    </row>
    <row r="340" spans="16:16" ht="15.75" customHeight="1" x14ac:dyDescent="0.3">
      <c r="P340" s="11"/>
    </row>
    <row r="341" spans="16:16" ht="15.75" customHeight="1" x14ac:dyDescent="0.3">
      <c r="P341" s="11"/>
    </row>
    <row r="342" spans="16:16" ht="15.75" customHeight="1" x14ac:dyDescent="0.3">
      <c r="P342" s="11"/>
    </row>
    <row r="343" spans="16:16" ht="15.75" customHeight="1" x14ac:dyDescent="0.3">
      <c r="P343" s="11"/>
    </row>
    <row r="344" spans="16:16" ht="15.75" customHeight="1" x14ac:dyDescent="0.3">
      <c r="P344" s="11"/>
    </row>
    <row r="345" spans="16:16" ht="15.75" customHeight="1" x14ac:dyDescent="0.3">
      <c r="P345" s="11"/>
    </row>
    <row r="346" spans="16:16" ht="15.75" customHeight="1" x14ac:dyDescent="0.3">
      <c r="P346" s="11"/>
    </row>
    <row r="347" spans="16:16" ht="15.75" customHeight="1" x14ac:dyDescent="0.3">
      <c r="P347" s="11"/>
    </row>
    <row r="348" spans="16:16" ht="15.75" customHeight="1" x14ac:dyDescent="0.3">
      <c r="P348" s="11"/>
    </row>
    <row r="349" spans="16:16" ht="15.75" customHeight="1" x14ac:dyDescent="0.3">
      <c r="P349" s="11"/>
    </row>
    <row r="350" spans="16:16" ht="15.75" customHeight="1" x14ac:dyDescent="0.3">
      <c r="P350" s="11"/>
    </row>
    <row r="351" spans="16:16" ht="15.75" customHeight="1" x14ac:dyDescent="0.3">
      <c r="P351" s="11"/>
    </row>
    <row r="352" spans="16:16" ht="15.75" customHeight="1" x14ac:dyDescent="0.3">
      <c r="P352" s="11"/>
    </row>
    <row r="353" spans="16:16" ht="15.75" customHeight="1" x14ac:dyDescent="0.3">
      <c r="P353" s="11"/>
    </row>
    <row r="354" spans="16:16" ht="15.75" customHeight="1" x14ac:dyDescent="0.3">
      <c r="P354" s="11"/>
    </row>
    <row r="355" spans="16:16" ht="15.75" customHeight="1" x14ac:dyDescent="0.3">
      <c r="P355" s="11"/>
    </row>
    <row r="356" spans="16:16" ht="15.75" customHeight="1" x14ac:dyDescent="0.3">
      <c r="P356" s="11"/>
    </row>
    <row r="357" spans="16:16" ht="15.75" customHeight="1" x14ac:dyDescent="0.3">
      <c r="P357" s="11"/>
    </row>
    <row r="358" spans="16:16" ht="15.75" customHeight="1" x14ac:dyDescent="0.3">
      <c r="P358" s="11"/>
    </row>
    <row r="359" spans="16:16" ht="15.75" customHeight="1" x14ac:dyDescent="0.3">
      <c r="P359" s="11"/>
    </row>
    <row r="360" spans="16:16" ht="15.75" customHeight="1" x14ac:dyDescent="0.3">
      <c r="P360" s="11"/>
    </row>
    <row r="361" spans="16:16" ht="15.75" customHeight="1" x14ac:dyDescent="0.3">
      <c r="P361" s="11"/>
    </row>
    <row r="362" spans="16:16" ht="15.75" customHeight="1" x14ac:dyDescent="0.3">
      <c r="P362" s="11"/>
    </row>
    <row r="363" spans="16:16" ht="15.75" customHeight="1" x14ac:dyDescent="0.3">
      <c r="P363" s="11"/>
    </row>
    <row r="364" spans="16:16" ht="15.75" customHeight="1" x14ac:dyDescent="0.3">
      <c r="P364" s="11"/>
    </row>
    <row r="365" spans="16:16" ht="15.75" customHeight="1" x14ac:dyDescent="0.3">
      <c r="P365" s="11"/>
    </row>
    <row r="366" spans="16:16" ht="15.75" customHeight="1" x14ac:dyDescent="0.3">
      <c r="P366" s="11"/>
    </row>
    <row r="367" spans="16:16" ht="15.75" customHeight="1" x14ac:dyDescent="0.3">
      <c r="P367" s="11"/>
    </row>
    <row r="368" spans="16:16" ht="15.75" customHeight="1" x14ac:dyDescent="0.3">
      <c r="P368" s="11"/>
    </row>
    <row r="369" spans="16:16" ht="15.75" customHeight="1" x14ac:dyDescent="0.3">
      <c r="P369" s="11"/>
    </row>
    <row r="370" spans="16:16" ht="15.75" customHeight="1" x14ac:dyDescent="0.3">
      <c r="P370" s="11"/>
    </row>
    <row r="371" spans="16:16" ht="15.75" customHeight="1" x14ac:dyDescent="0.3">
      <c r="P371" s="11"/>
    </row>
    <row r="372" spans="16:16" ht="15.75" customHeight="1" x14ac:dyDescent="0.3">
      <c r="P372" s="11"/>
    </row>
    <row r="373" spans="16:16" ht="15.75" customHeight="1" x14ac:dyDescent="0.3">
      <c r="P373" s="11"/>
    </row>
    <row r="374" spans="16:16" ht="15.75" customHeight="1" x14ac:dyDescent="0.3">
      <c r="P374" s="11"/>
    </row>
    <row r="375" spans="16:16" ht="15.75" customHeight="1" x14ac:dyDescent="0.3">
      <c r="P375" s="11"/>
    </row>
    <row r="376" spans="16:16" ht="15.75" customHeight="1" x14ac:dyDescent="0.3">
      <c r="P376" s="11"/>
    </row>
    <row r="377" spans="16:16" ht="15.75" customHeight="1" x14ac:dyDescent="0.3">
      <c r="P377" s="11"/>
    </row>
    <row r="378" spans="16:16" ht="15.75" customHeight="1" x14ac:dyDescent="0.3">
      <c r="P378" s="11"/>
    </row>
    <row r="379" spans="16:16" ht="15.75" customHeight="1" x14ac:dyDescent="0.3">
      <c r="P379" s="11"/>
    </row>
    <row r="380" spans="16:16" ht="15.75" customHeight="1" x14ac:dyDescent="0.3">
      <c r="P380" s="11"/>
    </row>
    <row r="381" spans="16:16" ht="15.75" customHeight="1" x14ac:dyDescent="0.3">
      <c r="P381" s="11"/>
    </row>
    <row r="382" spans="16:16" ht="15.75" customHeight="1" x14ac:dyDescent="0.3">
      <c r="P382" s="11"/>
    </row>
    <row r="383" spans="16:16" ht="15.75" customHeight="1" x14ac:dyDescent="0.3">
      <c r="P383" s="11"/>
    </row>
    <row r="384" spans="16:16" ht="15.75" customHeight="1" x14ac:dyDescent="0.3">
      <c r="P384" s="11"/>
    </row>
    <row r="385" spans="16:16" ht="15.75" customHeight="1" x14ac:dyDescent="0.3">
      <c r="P385" s="11"/>
    </row>
    <row r="386" spans="16:16" ht="15.75" customHeight="1" x14ac:dyDescent="0.3">
      <c r="P386" s="11"/>
    </row>
    <row r="387" spans="16:16" ht="15.75" customHeight="1" x14ac:dyDescent="0.3">
      <c r="P387" s="11"/>
    </row>
    <row r="388" spans="16:16" ht="15.75" customHeight="1" x14ac:dyDescent="0.3">
      <c r="P388" s="11"/>
    </row>
    <row r="389" spans="16:16" ht="15.75" customHeight="1" x14ac:dyDescent="0.3">
      <c r="P389" s="11"/>
    </row>
    <row r="390" spans="16:16" ht="15.75" customHeight="1" x14ac:dyDescent="0.3">
      <c r="P390" s="11"/>
    </row>
    <row r="391" spans="16:16" ht="15.75" customHeight="1" x14ac:dyDescent="0.3">
      <c r="P391" s="11"/>
    </row>
    <row r="392" spans="16:16" ht="15.75" customHeight="1" x14ac:dyDescent="0.3">
      <c r="P392" s="11"/>
    </row>
    <row r="393" spans="16:16" ht="15.75" customHeight="1" x14ac:dyDescent="0.3">
      <c r="P393" s="11"/>
    </row>
    <row r="394" spans="16:16" ht="15.75" customHeight="1" x14ac:dyDescent="0.3">
      <c r="P394" s="11"/>
    </row>
    <row r="395" spans="16:16" ht="15.75" customHeight="1" x14ac:dyDescent="0.3">
      <c r="P395" s="11"/>
    </row>
    <row r="396" spans="16:16" ht="15.75" customHeight="1" x14ac:dyDescent="0.3">
      <c r="P396" s="11"/>
    </row>
    <row r="397" spans="16:16" ht="15.75" customHeight="1" x14ac:dyDescent="0.3">
      <c r="P397" s="11"/>
    </row>
    <row r="398" spans="16:16" ht="15.75" customHeight="1" x14ac:dyDescent="0.3">
      <c r="P398" s="11"/>
    </row>
    <row r="399" spans="16:16" ht="15.75" customHeight="1" x14ac:dyDescent="0.3">
      <c r="P399" s="11"/>
    </row>
    <row r="400" spans="16:16" ht="15.75" customHeight="1" x14ac:dyDescent="0.3">
      <c r="P400" s="11"/>
    </row>
    <row r="401" spans="16:16" ht="15.75" customHeight="1" x14ac:dyDescent="0.3">
      <c r="P401" s="11"/>
    </row>
    <row r="402" spans="16:16" ht="15.75" customHeight="1" x14ac:dyDescent="0.3">
      <c r="P402" s="11"/>
    </row>
    <row r="403" spans="16:16" ht="15.75" customHeight="1" x14ac:dyDescent="0.3">
      <c r="P403" s="11"/>
    </row>
    <row r="404" spans="16:16" ht="15.75" customHeight="1" x14ac:dyDescent="0.3">
      <c r="P404" s="11"/>
    </row>
    <row r="405" spans="16:16" ht="15.75" customHeight="1" x14ac:dyDescent="0.3">
      <c r="P405" s="11"/>
    </row>
    <row r="406" spans="16:16" ht="15.75" customHeight="1" x14ac:dyDescent="0.3">
      <c r="P406" s="11"/>
    </row>
    <row r="407" spans="16:16" ht="15.75" customHeight="1" x14ac:dyDescent="0.3">
      <c r="P407" s="11"/>
    </row>
    <row r="408" spans="16:16" ht="15.75" customHeight="1" x14ac:dyDescent="0.3">
      <c r="P408" s="11"/>
    </row>
    <row r="409" spans="16:16" ht="15.75" customHeight="1" x14ac:dyDescent="0.3">
      <c r="P409" s="11"/>
    </row>
    <row r="410" spans="16:16" ht="15.75" customHeight="1" x14ac:dyDescent="0.3">
      <c r="P410" s="11"/>
    </row>
    <row r="411" spans="16:16" ht="15.75" customHeight="1" x14ac:dyDescent="0.3">
      <c r="P411" s="11"/>
    </row>
    <row r="412" spans="16:16" ht="15.75" customHeight="1" x14ac:dyDescent="0.3">
      <c r="P412" s="11"/>
    </row>
    <row r="413" spans="16:16" ht="15.75" customHeight="1" x14ac:dyDescent="0.3">
      <c r="P413" s="11"/>
    </row>
    <row r="414" spans="16:16" ht="15.75" customHeight="1" x14ac:dyDescent="0.3">
      <c r="P414" s="11"/>
    </row>
    <row r="415" spans="16:16" ht="15.75" customHeight="1" x14ac:dyDescent="0.3">
      <c r="P415" s="11"/>
    </row>
    <row r="416" spans="16:16" ht="15.75" customHeight="1" x14ac:dyDescent="0.3">
      <c r="P416" s="11"/>
    </row>
    <row r="417" spans="16:16" ht="15.75" customHeight="1" x14ac:dyDescent="0.3">
      <c r="P417" s="11"/>
    </row>
    <row r="418" spans="16:16" ht="15.75" customHeight="1" x14ac:dyDescent="0.3">
      <c r="P418" s="11"/>
    </row>
    <row r="419" spans="16:16" ht="15.75" customHeight="1" x14ac:dyDescent="0.3">
      <c r="P419" s="11"/>
    </row>
    <row r="420" spans="16:16" ht="15.75" customHeight="1" x14ac:dyDescent="0.3">
      <c r="P420" s="11"/>
    </row>
    <row r="421" spans="16:16" ht="15.75" customHeight="1" x14ac:dyDescent="0.3">
      <c r="P421" s="11"/>
    </row>
    <row r="422" spans="16:16" ht="15.75" customHeight="1" x14ac:dyDescent="0.3">
      <c r="P422" s="11"/>
    </row>
    <row r="423" spans="16:16" ht="15.75" customHeight="1" x14ac:dyDescent="0.3">
      <c r="P423" s="11"/>
    </row>
    <row r="424" spans="16:16" ht="15.75" customHeight="1" x14ac:dyDescent="0.3">
      <c r="P424" s="11"/>
    </row>
    <row r="425" spans="16:16" ht="15.75" customHeight="1" x14ac:dyDescent="0.3">
      <c r="P425" s="11"/>
    </row>
    <row r="426" spans="16:16" ht="15.75" customHeight="1" x14ac:dyDescent="0.3">
      <c r="P426" s="11"/>
    </row>
    <row r="427" spans="16:16" ht="15.75" customHeight="1" x14ac:dyDescent="0.3">
      <c r="P427" s="11"/>
    </row>
    <row r="428" spans="16:16" ht="15.75" customHeight="1" x14ac:dyDescent="0.3">
      <c r="P428" s="11"/>
    </row>
    <row r="429" spans="16:16" ht="15.75" customHeight="1" x14ac:dyDescent="0.3">
      <c r="P429" s="11"/>
    </row>
    <row r="430" spans="16:16" ht="15.75" customHeight="1" x14ac:dyDescent="0.3">
      <c r="P430" s="11"/>
    </row>
    <row r="431" spans="16:16" ht="15.75" customHeight="1" x14ac:dyDescent="0.3">
      <c r="P431" s="11"/>
    </row>
    <row r="432" spans="16:16" ht="15.75" customHeight="1" x14ac:dyDescent="0.3">
      <c r="P432" s="11"/>
    </row>
    <row r="433" spans="16:16" ht="15.75" customHeight="1" x14ac:dyDescent="0.3">
      <c r="P433" s="11"/>
    </row>
    <row r="434" spans="16:16" ht="15.75" customHeight="1" x14ac:dyDescent="0.3">
      <c r="P434" s="11"/>
    </row>
    <row r="435" spans="16:16" ht="15.75" customHeight="1" x14ac:dyDescent="0.3">
      <c r="P435" s="11"/>
    </row>
    <row r="436" spans="16:16" ht="15.75" customHeight="1" x14ac:dyDescent="0.3">
      <c r="P436" s="11"/>
    </row>
    <row r="437" spans="16:16" ht="15.75" customHeight="1" x14ac:dyDescent="0.3">
      <c r="P437" s="11"/>
    </row>
    <row r="438" spans="16:16" ht="15.75" customHeight="1" x14ac:dyDescent="0.3">
      <c r="P438" s="11"/>
    </row>
    <row r="439" spans="16:16" ht="15.75" customHeight="1" x14ac:dyDescent="0.3">
      <c r="P439" s="11"/>
    </row>
    <row r="440" spans="16:16" ht="15.75" customHeight="1" x14ac:dyDescent="0.3">
      <c r="P440" s="11"/>
    </row>
    <row r="441" spans="16:16" ht="15.75" customHeight="1" x14ac:dyDescent="0.3">
      <c r="P441" s="11"/>
    </row>
    <row r="442" spans="16:16" ht="15.75" customHeight="1" x14ac:dyDescent="0.3">
      <c r="P442" s="11"/>
    </row>
    <row r="443" spans="16:16" ht="15.75" customHeight="1" x14ac:dyDescent="0.3">
      <c r="P443" s="11"/>
    </row>
    <row r="444" spans="16:16" ht="15.75" customHeight="1" x14ac:dyDescent="0.3">
      <c r="P444" s="11"/>
    </row>
    <row r="445" spans="16:16" ht="15.75" customHeight="1" x14ac:dyDescent="0.3">
      <c r="P445" s="11"/>
    </row>
    <row r="446" spans="16:16" ht="15.75" customHeight="1" x14ac:dyDescent="0.3">
      <c r="P446" s="11"/>
    </row>
    <row r="447" spans="16:16" ht="15.75" customHeight="1" x14ac:dyDescent="0.3">
      <c r="P447" s="11"/>
    </row>
    <row r="448" spans="16:16" ht="15.75" customHeight="1" x14ac:dyDescent="0.3">
      <c r="P448" s="11"/>
    </row>
    <row r="449" spans="16:16" ht="15.75" customHeight="1" x14ac:dyDescent="0.3">
      <c r="P449" s="11"/>
    </row>
    <row r="450" spans="16:16" ht="15.75" customHeight="1" x14ac:dyDescent="0.3">
      <c r="P450" s="11"/>
    </row>
    <row r="451" spans="16:16" ht="15.75" customHeight="1" x14ac:dyDescent="0.3">
      <c r="P451" s="11"/>
    </row>
    <row r="452" spans="16:16" ht="15.75" customHeight="1" x14ac:dyDescent="0.3">
      <c r="P452" s="11"/>
    </row>
    <row r="453" spans="16:16" ht="15.75" customHeight="1" x14ac:dyDescent="0.3">
      <c r="P453" s="11"/>
    </row>
    <row r="454" spans="16:16" ht="15.75" customHeight="1" x14ac:dyDescent="0.3">
      <c r="P454" s="11"/>
    </row>
    <row r="455" spans="16:16" ht="15.75" customHeight="1" x14ac:dyDescent="0.3">
      <c r="P455" s="11"/>
    </row>
    <row r="456" spans="16:16" ht="15.75" customHeight="1" x14ac:dyDescent="0.3">
      <c r="P456" s="11"/>
    </row>
    <row r="457" spans="16:16" ht="15.75" customHeight="1" x14ac:dyDescent="0.3">
      <c r="P457" s="11"/>
    </row>
    <row r="458" spans="16:16" ht="15.75" customHeight="1" x14ac:dyDescent="0.3">
      <c r="P458" s="11"/>
    </row>
    <row r="459" spans="16:16" ht="15.75" customHeight="1" x14ac:dyDescent="0.3">
      <c r="P459" s="11"/>
    </row>
    <row r="460" spans="16:16" ht="15.75" customHeight="1" x14ac:dyDescent="0.3">
      <c r="P460" s="11"/>
    </row>
    <row r="461" spans="16:16" ht="15.75" customHeight="1" x14ac:dyDescent="0.3">
      <c r="P461" s="11"/>
    </row>
    <row r="462" spans="16:16" ht="15.75" customHeight="1" x14ac:dyDescent="0.3">
      <c r="P462" s="11"/>
    </row>
    <row r="463" spans="16:16" ht="15.75" customHeight="1" x14ac:dyDescent="0.3">
      <c r="P463" s="11"/>
    </row>
    <row r="464" spans="16:16" ht="15.75" customHeight="1" x14ac:dyDescent="0.3">
      <c r="P464" s="11"/>
    </row>
    <row r="465" spans="16:16" ht="15.75" customHeight="1" x14ac:dyDescent="0.3">
      <c r="P465" s="11"/>
    </row>
    <row r="466" spans="16:16" ht="15.75" customHeight="1" x14ac:dyDescent="0.3">
      <c r="P466" s="11"/>
    </row>
    <row r="467" spans="16:16" ht="15.75" customHeight="1" x14ac:dyDescent="0.3">
      <c r="P467" s="11"/>
    </row>
    <row r="468" spans="16:16" ht="15.75" customHeight="1" x14ac:dyDescent="0.3">
      <c r="P468" s="11"/>
    </row>
    <row r="469" spans="16:16" ht="15.75" customHeight="1" x14ac:dyDescent="0.3">
      <c r="P469" s="11"/>
    </row>
    <row r="470" spans="16:16" ht="15.75" customHeight="1" x14ac:dyDescent="0.3">
      <c r="P470" s="11"/>
    </row>
    <row r="471" spans="16:16" ht="15.75" customHeight="1" x14ac:dyDescent="0.3">
      <c r="P471" s="11"/>
    </row>
    <row r="472" spans="16:16" ht="15.75" customHeight="1" x14ac:dyDescent="0.3">
      <c r="P472" s="11"/>
    </row>
    <row r="473" spans="16:16" ht="15.75" customHeight="1" x14ac:dyDescent="0.3">
      <c r="P473" s="11"/>
    </row>
    <row r="474" spans="16:16" ht="15.75" customHeight="1" x14ac:dyDescent="0.3">
      <c r="P474" s="11"/>
    </row>
    <row r="475" spans="16:16" ht="15.75" customHeight="1" x14ac:dyDescent="0.3">
      <c r="P475" s="11"/>
    </row>
    <row r="476" spans="16:16" ht="15.75" customHeight="1" x14ac:dyDescent="0.3">
      <c r="P476" s="11"/>
    </row>
    <row r="477" spans="16:16" ht="15.75" customHeight="1" x14ac:dyDescent="0.3">
      <c r="P477" s="11"/>
    </row>
    <row r="478" spans="16:16" ht="15.75" customHeight="1" x14ac:dyDescent="0.3">
      <c r="P478" s="11"/>
    </row>
    <row r="479" spans="16:16" ht="15.75" customHeight="1" x14ac:dyDescent="0.3">
      <c r="P479" s="11"/>
    </row>
    <row r="480" spans="16:16" ht="15.75" customHeight="1" x14ac:dyDescent="0.3">
      <c r="P480" s="11"/>
    </row>
    <row r="481" spans="16:16" ht="15.75" customHeight="1" x14ac:dyDescent="0.3">
      <c r="P481" s="11"/>
    </row>
    <row r="482" spans="16:16" ht="15.75" customHeight="1" x14ac:dyDescent="0.3">
      <c r="P482" s="11"/>
    </row>
    <row r="483" spans="16:16" ht="15.75" customHeight="1" x14ac:dyDescent="0.3">
      <c r="P483" s="11"/>
    </row>
    <row r="484" spans="16:16" ht="15.75" customHeight="1" x14ac:dyDescent="0.3">
      <c r="P484" s="11"/>
    </row>
    <row r="485" spans="16:16" ht="15.75" customHeight="1" x14ac:dyDescent="0.3">
      <c r="P485" s="11"/>
    </row>
    <row r="486" spans="16:16" ht="15.75" customHeight="1" x14ac:dyDescent="0.3">
      <c r="P486" s="11"/>
    </row>
    <row r="487" spans="16:16" ht="15.75" customHeight="1" x14ac:dyDescent="0.3">
      <c r="P487" s="11"/>
    </row>
    <row r="488" spans="16:16" ht="15.75" customHeight="1" x14ac:dyDescent="0.3">
      <c r="P488" s="11"/>
    </row>
    <row r="489" spans="16:16" ht="15.75" customHeight="1" x14ac:dyDescent="0.3">
      <c r="P489" s="11"/>
    </row>
    <row r="490" spans="16:16" ht="15.75" customHeight="1" x14ac:dyDescent="0.3">
      <c r="P490" s="11"/>
    </row>
    <row r="491" spans="16:16" ht="15.75" customHeight="1" x14ac:dyDescent="0.3">
      <c r="P491" s="11"/>
    </row>
    <row r="492" spans="16:16" ht="15.75" customHeight="1" x14ac:dyDescent="0.3">
      <c r="P492" s="11"/>
    </row>
    <row r="493" spans="16:16" ht="15.75" customHeight="1" x14ac:dyDescent="0.3">
      <c r="P493" s="11"/>
    </row>
    <row r="494" spans="16:16" ht="15.75" customHeight="1" x14ac:dyDescent="0.3">
      <c r="P494" s="11"/>
    </row>
    <row r="495" spans="16:16" ht="15.75" customHeight="1" x14ac:dyDescent="0.3">
      <c r="P495" s="11"/>
    </row>
    <row r="496" spans="16:16" ht="15.75" customHeight="1" x14ac:dyDescent="0.3">
      <c r="P496" s="11"/>
    </row>
    <row r="497" spans="16:16" ht="15.75" customHeight="1" x14ac:dyDescent="0.3">
      <c r="P497" s="11"/>
    </row>
    <row r="498" spans="16:16" ht="15.75" customHeight="1" x14ac:dyDescent="0.3">
      <c r="P498" s="11"/>
    </row>
    <row r="499" spans="16:16" ht="15.75" customHeight="1" x14ac:dyDescent="0.3">
      <c r="P499" s="11"/>
    </row>
    <row r="500" spans="16:16" ht="15.75" customHeight="1" x14ac:dyDescent="0.3">
      <c r="P500" s="11"/>
    </row>
    <row r="501" spans="16:16" ht="15.75" customHeight="1" x14ac:dyDescent="0.3">
      <c r="P501" s="11"/>
    </row>
    <row r="502" spans="16:16" ht="15.75" customHeight="1" x14ac:dyDescent="0.3">
      <c r="P502" s="11"/>
    </row>
    <row r="503" spans="16:16" ht="15.75" customHeight="1" x14ac:dyDescent="0.3">
      <c r="P503" s="11"/>
    </row>
    <row r="504" spans="16:16" ht="15.75" customHeight="1" x14ac:dyDescent="0.3">
      <c r="P504" s="11"/>
    </row>
    <row r="505" spans="16:16" ht="15.75" customHeight="1" x14ac:dyDescent="0.3">
      <c r="P505" s="11"/>
    </row>
    <row r="506" spans="16:16" ht="15.75" customHeight="1" x14ac:dyDescent="0.3">
      <c r="P506" s="11"/>
    </row>
    <row r="507" spans="16:16" ht="15.75" customHeight="1" x14ac:dyDescent="0.3">
      <c r="P507" s="11"/>
    </row>
    <row r="508" spans="16:16" ht="15.75" customHeight="1" x14ac:dyDescent="0.3">
      <c r="P508" s="11"/>
    </row>
    <row r="509" spans="16:16" ht="15.75" customHeight="1" x14ac:dyDescent="0.3">
      <c r="P509" s="11"/>
    </row>
    <row r="510" spans="16:16" ht="15.75" customHeight="1" x14ac:dyDescent="0.3">
      <c r="P510" s="11"/>
    </row>
    <row r="511" spans="16:16" ht="15.75" customHeight="1" x14ac:dyDescent="0.3">
      <c r="P511" s="11"/>
    </row>
    <row r="512" spans="16:16" ht="15.75" customHeight="1" x14ac:dyDescent="0.3">
      <c r="P512" s="11"/>
    </row>
    <row r="513" spans="16:16" ht="15.75" customHeight="1" x14ac:dyDescent="0.3">
      <c r="P513" s="11"/>
    </row>
    <row r="514" spans="16:16" ht="15.75" customHeight="1" x14ac:dyDescent="0.3">
      <c r="P514" s="11"/>
    </row>
    <row r="515" spans="16:16" ht="15.75" customHeight="1" x14ac:dyDescent="0.3">
      <c r="P515" s="11"/>
    </row>
    <row r="516" spans="16:16" ht="15.75" customHeight="1" x14ac:dyDescent="0.3">
      <c r="P516" s="11"/>
    </row>
    <row r="517" spans="16:16" ht="15.75" customHeight="1" x14ac:dyDescent="0.3">
      <c r="P517" s="11"/>
    </row>
    <row r="518" spans="16:16" ht="15.75" customHeight="1" x14ac:dyDescent="0.3">
      <c r="P518" s="11"/>
    </row>
    <row r="519" spans="16:16" ht="15.75" customHeight="1" x14ac:dyDescent="0.3">
      <c r="P519" s="11"/>
    </row>
    <row r="520" spans="16:16" ht="15.75" customHeight="1" x14ac:dyDescent="0.3">
      <c r="P520" s="11"/>
    </row>
    <row r="521" spans="16:16" ht="15.75" customHeight="1" x14ac:dyDescent="0.3">
      <c r="P521" s="11"/>
    </row>
    <row r="522" spans="16:16" ht="15.75" customHeight="1" x14ac:dyDescent="0.3">
      <c r="P522" s="11"/>
    </row>
    <row r="523" spans="16:16" ht="15.75" customHeight="1" x14ac:dyDescent="0.3">
      <c r="P523" s="11"/>
    </row>
    <row r="524" spans="16:16" ht="15.75" customHeight="1" x14ac:dyDescent="0.3">
      <c r="P524" s="11"/>
    </row>
    <row r="525" spans="16:16" ht="15.75" customHeight="1" x14ac:dyDescent="0.3">
      <c r="P525" s="11"/>
    </row>
    <row r="526" spans="16:16" ht="15.75" customHeight="1" x14ac:dyDescent="0.3">
      <c r="P526" s="11"/>
    </row>
    <row r="527" spans="16:16" ht="15.75" customHeight="1" x14ac:dyDescent="0.3">
      <c r="P527" s="11"/>
    </row>
    <row r="528" spans="16:16" ht="15.75" customHeight="1" x14ac:dyDescent="0.3">
      <c r="P528" s="11"/>
    </row>
    <row r="529" spans="16:16" ht="15.75" customHeight="1" x14ac:dyDescent="0.3">
      <c r="P529" s="11"/>
    </row>
    <row r="530" spans="16:16" ht="15.75" customHeight="1" x14ac:dyDescent="0.3">
      <c r="P530" s="11"/>
    </row>
    <row r="531" spans="16:16" ht="15.75" customHeight="1" x14ac:dyDescent="0.3">
      <c r="P531" s="11"/>
    </row>
    <row r="532" spans="16:16" ht="15.75" customHeight="1" x14ac:dyDescent="0.3">
      <c r="P532" s="11"/>
    </row>
    <row r="533" spans="16:16" ht="15.75" customHeight="1" x14ac:dyDescent="0.3">
      <c r="P533" s="11"/>
    </row>
    <row r="534" spans="16:16" ht="15.75" customHeight="1" x14ac:dyDescent="0.3">
      <c r="P534" s="11"/>
    </row>
    <row r="535" spans="16:16" ht="15.75" customHeight="1" x14ac:dyDescent="0.3">
      <c r="P535" s="11"/>
    </row>
    <row r="536" spans="16:16" ht="15.75" customHeight="1" x14ac:dyDescent="0.3">
      <c r="P536" s="11"/>
    </row>
    <row r="537" spans="16:16" ht="15.75" customHeight="1" x14ac:dyDescent="0.3">
      <c r="P537" s="11"/>
    </row>
    <row r="538" spans="16:16" ht="15.75" customHeight="1" x14ac:dyDescent="0.3">
      <c r="P538" s="11"/>
    </row>
    <row r="539" spans="16:16" ht="15.75" customHeight="1" x14ac:dyDescent="0.3">
      <c r="P539" s="11"/>
    </row>
    <row r="540" spans="16:16" ht="15.75" customHeight="1" x14ac:dyDescent="0.3">
      <c r="P540" s="11"/>
    </row>
    <row r="541" spans="16:16" ht="15.75" customHeight="1" x14ac:dyDescent="0.3">
      <c r="P541" s="11"/>
    </row>
    <row r="542" spans="16:16" ht="15.75" customHeight="1" x14ac:dyDescent="0.3">
      <c r="P542" s="11"/>
    </row>
    <row r="543" spans="16:16" ht="15.75" customHeight="1" x14ac:dyDescent="0.3">
      <c r="P543" s="11"/>
    </row>
    <row r="544" spans="16:16" ht="15.75" customHeight="1" x14ac:dyDescent="0.3">
      <c r="P544" s="11"/>
    </row>
    <row r="545" spans="16:16" ht="15.75" customHeight="1" x14ac:dyDescent="0.3">
      <c r="P545" s="11"/>
    </row>
    <row r="546" spans="16:16" ht="15.75" customHeight="1" x14ac:dyDescent="0.3">
      <c r="P546" s="11"/>
    </row>
    <row r="547" spans="16:16" ht="15.75" customHeight="1" x14ac:dyDescent="0.3">
      <c r="P547" s="11"/>
    </row>
    <row r="548" spans="16:16" ht="15.75" customHeight="1" x14ac:dyDescent="0.3">
      <c r="P548" s="11"/>
    </row>
    <row r="549" spans="16:16" ht="15.75" customHeight="1" x14ac:dyDescent="0.3">
      <c r="P549" s="11"/>
    </row>
    <row r="550" spans="16:16" ht="15.75" customHeight="1" x14ac:dyDescent="0.3">
      <c r="P550" s="11"/>
    </row>
    <row r="551" spans="16:16" ht="15.75" customHeight="1" x14ac:dyDescent="0.3">
      <c r="P551" s="11"/>
    </row>
    <row r="552" spans="16:16" ht="15.75" customHeight="1" x14ac:dyDescent="0.3">
      <c r="P552" s="11"/>
    </row>
    <row r="553" spans="16:16" ht="15.75" customHeight="1" x14ac:dyDescent="0.3">
      <c r="P553" s="11"/>
    </row>
    <row r="554" spans="16:16" ht="15.75" customHeight="1" x14ac:dyDescent="0.3">
      <c r="P554" s="11"/>
    </row>
    <row r="555" spans="16:16" ht="15.75" customHeight="1" x14ac:dyDescent="0.3">
      <c r="P555" s="11"/>
    </row>
    <row r="556" spans="16:16" ht="15.75" customHeight="1" x14ac:dyDescent="0.3">
      <c r="P556" s="11"/>
    </row>
    <row r="557" spans="16:16" ht="15.75" customHeight="1" x14ac:dyDescent="0.3">
      <c r="P557" s="11"/>
    </row>
    <row r="558" spans="16:16" ht="15.75" customHeight="1" x14ac:dyDescent="0.3">
      <c r="P558" s="11"/>
    </row>
    <row r="559" spans="16:16" ht="15.75" customHeight="1" x14ac:dyDescent="0.3">
      <c r="P559" s="11"/>
    </row>
    <row r="560" spans="16:16" ht="15.75" customHeight="1" x14ac:dyDescent="0.3">
      <c r="P560" s="11"/>
    </row>
    <row r="561" spans="16:16" ht="15.75" customHeight="1" x14ac:dyDescent="0.3">
      <c r="P561" s="11"/>
    </row>
    <row r="562" spans="16:16" ht="15.75" customHeight="1" x14ac:dyDescent="0.3">
      <c r="P562" s="11"/>
    </row>
    <row r="563" spans="16:16" ht="15.75" customHeight="1" x14ac:dyDescent="0.3">
      <c r="P563" s="11"/>
    </row>
    <row r="564" spans="16:16" ht="15.75" customHeight="1" x14ac:dyDescent="0.3">
      <c r="P564" s="11"/>
    </row>
    <row r="565" spans="16:16" ht="15.75" customHeight="1" x14ac:dyDescent="0.3">
      <c r="P565" s="11"/>
    </row>
    <row r="566" spans="16:16" ht="15.75" customHeight="1" x14ac:dyDescent="0.3">
      <c r="P566" s="11"/>
    </row>
    <row r="567" spans="16:16" ht="15.75" customHeight="1" x14ac:dyDescent="0.3">
      <c r="P567" s="11"/>
    </row>
    <row r="568" spans="16:16" ht="15.75" customHeight="1" x14ac:dyDescent="0.3">
      <c r="P568" s="11"/>
    </row>
    <row r="569" spans="16:16" ht="15.75" customHeight="1" x14ac:dyDescent="0.3">
      <c r="P569" s="11"/>
    </row>
    <row r="570" spans="16:16" ht="15.75" customHeight="1" x14ac:dyDescent="0.3">
      <c r="P570" s="11"/>
    </row>
    <row r="571" spans="16:16" ht="15.75" customHeight="1" x14ac:dyDescent="0.3">
      <c r="P571" s="11"/>
    </row>
    <row r="572" spans="16:16" ht="15.75" customHeight="1" x14ac:dyDescent="0.3">
      <c r="P572" s="11"/>
    </row>
    <row r="573" spans="16:16" ht="15.75" customHeight="1" x14ac:dyDescent="0.3">
      <c r="P573" s="11"/>
    </row>
    <row r="574" spans="16:16" ht="15.75" customHeight="1" x14ac:dyDescent="0.3">
      <c r="P574" s="11"/>
    </row>
    <row r="575" spans="16:16" ht="15.75" customHeight="1" x14ac:dyDescent="0.3">
      <c r="P575" s="11"/>
    </row>
    <row r="576" spans="16:16" ht="15.75" customHeight="1" x14ac:dyDescent="0.3">
      <c r="P576" s="11"/>
    </row>
    <row r="577" spans="16:16" ht="15.75" customHeight="1" x14ac:dyDescent="0.3">
      <c r="P577" s="11"/>
    </row>
    <row r="578" spans="16:16" ht="15.75" customHeight="1" x14ac:dyDescent="0.3">
      <c r="P578" s="11"/>
    </row>
    <row r="579" spans="16:16" ht="15.75" customHeight="1" x14ac:dyDescent="0.3">
      <c r="P579" s="11"/>
    </row>
    <row r="580" spans="16:16" ht="15.75" customHeight="1" x14ac:dyDescent="0.3">
      <c r="P580" s="11"/>
    </row>
    <row r="581" spans="16:16" ht="15.75" customHeight="1" x14ac:dyDescent="0.3">
      <c r="P581" s="11"/>
    </row>
    <row r="582" spans="16:16" ht="15.75" customHeight="1" x14ac:dyDescent="0.3">
      <c r="P582" s="11"/>
    </row>
    <row r="583" spans="16:16" ht="15.75" customHeight="1" x14ac:dyDescent="0.3">
      <c r="P583" s="11"/>
    </row>
    <row r="584" spans="16:16" ht="15.75" customHeight="1" x14ac:dyDescent="0.3">
      <c r="P584" s="11"/>
    </row>
    <row r="585" spans="16:16" ht="15.75" customHeight="1" x14ac:dyDescent="0.3">
      <c r="P585" s="11"/>
    </row>
    <row r="586" spans="16:16" ht="15.75" customHeight="1" x14ac:dyDescent="0.3">
      <c r="P586" s="11"/>
    </row>
    <row r="587" spans="16:16" ht="15.75" customHeight="1" x14ac:dyDescent="0.3">
      <c r="P587" s="11"/>
    </row>
    <row r="588" spans="16:16" ht="15.75" customHeight="1" x14ac:dyDescent="0.3">
      <c r="P588" s="11"/>
    </row>
    <row r="589" spans="16:16" ht="15.75" customHeight="1" x14ac:dyDescent="0.3">
      <c r="P589" s="11"/>
    </row>
    <row r="590" spans="16:16" ht="15.75" customHeight="1" x14ac:dyDescent="0.3">
      <c r="P590" s="11"/>
    </row>
    <row r="591" spans="16:16" ht="15.75" customHeight="1" x14ac:dyDescent="0.3">
      <c r="P591" s="11"/>
    </row>
    <row r="592" spans="16:16" ht="15.75" customHeight="1" x14ac:dyDescent="0.3">
      <c r="P592" s="11"/>
    </row>
    <row r="593" spans="16:16" ht="15.75" customHeight="1" x14ac:dyDescent="0.3">
      <c r="P593" s="11"/>
    </row>
    <row r="594" spans="16:16" ht="15.75" customHeight="1" x14ac:dyDescent="0.3">
      <c r="P594" s="11"/>
    </row>
    <row r="595" spans="16:16" ht="15.75" customHeight="1" x14ac:dyDescent="0.3">
      <c r="P595" s="11"/>
    </row>
    <row r="596" spans="16:16" ht="15.75" customHeight="1" x14ac:dyDescent="0.3">
      <c r="P596" s="11"/>
    </row>
    <row r="597" spans="16:16" ht="15.75" customHeight="1" x14ac:dyDescent="0.3">
      <c r="P597" s="11"/>
    </row>
    <row r="598" spans="16:16" ht="15.75" customHeight="1" x14ac:dyDescent="0.3">
      <c r="P598" s="11"/>
    </row>
    <row r="599" spans="16:16" ht="15.75" customHeight="1" x14ac:dyDescent="0.3">
      <c r="P599" s="11"/>
    </row>
    <row r="600" spans="16:16" ht="15.75" customHeight="1" x14ac:dyDescent="0.3">
      <c r="P600" s="11"/>
    </row>
    <row r="601" spans="16:16" ht="15.75" customHeight="1" x14ac:dyDescent="0.3">
      <c r="P601" s="11"/>
    </row>
    <row r="602" spans="16:16" ht="15.75" customHeight="1" x14ac:dyDescent="0.3">
      <c r="P602" s="11"/>
    </row>
    <row r="603" spans="16:16" ht="15.75" customHeight="1" x14ac:dyDescent="0.3">
      <c r="P603" s="11"/>
    </row>
    <row r="604" spans="16:16" ht="15.75" customHeight="1" x14ac:dyDescent="0.3">
      <c r="P604" s="11"/>
    </row>
    <row r="605" spans="16:16" ht="15.75" customHeight="1" x14ac:dyDescent="0.3">
      <c r="P605" s="11"/>
    </row>
    <row r="606" spans="16:16" ht="15.75" customHeight="1" x14ac:dyDescent="0.3">
      <c r="P606" s="11"/>
    </row>
    <row r="607" spans="16:16" ht="15.75" customHeight="1" x14ac:dyDescent="0.3">
      <c r="P607" s="11"/>
    </row>
    <row r="608" spans="16:16" ht="15.75" customHeight="1" x14ac:dyDescent="0.3">
      <c r="P608" s="11"/>
    </row>
    <row r="609" spans="16:16" ht="15.75" customHeight="1" x14ac:dyDescent="0.3">
      <c r="P609" s="11"/>
    </row>
    <row r="610" spans="16:16" ht="15.75" customHeight="1" x14ac:dyDescent="0.3">
      <c r="P610" s="11"/>
    </row>
    <row r="611" spans="16:16" ht="15.75" customHeight="1" x14ac:dyDescent="0.3">
      <c r="P611" s="11"/>
    </row>
    <row r="612" spans="16:16" ht="15.75" customHeight="1" x14ac:dyDescent="0.3">
      <c r="P612" s="11"/>
    </row>
    <row r="613" spans="16:16" ht="15.75" customHeight="1" x14ac:dyDescent="0.3">
      <c r="P613" s="11"/>
    </row>
    <row r="614" spans="16:16" ht="15.75" customHeight="1" x14ac:dyDescent="0.3">
      <c r="P614" s="11"/>
    </row>
    <row r="615" spans="16:16" ht="15.75" customHeight="1" x14ac:dyDescent="0.3">
      <c r="P615" s="11"/>
    </row>
    <row r="616" spans="16:16" ht="15.75" customHeight="1" x14ac:dyDescent="0.3">
      <c r="P616" s="11"/>
    </row>
    <row r="617" spans="16:16" ht="15.75" customHeight="1" x14ac:dyDescent="0.3">
      <c r="P617" s="11"/>
    </row>
    <row r="618" spans="16:16" ht="15.75" customHeight="1" x14ac:dyDescent="0.3">
      <c r="P618" s="11"/>
    </row>
    <row r="619" spans="16:16" ht="15.75" customHeight="1" x14ac:dyDescent="0.3">
      <c r="P619" s="11"/>
    </row>
    <row r="620" spans="16:16" ht="15.75" customHeight="1" x14ac:dyDescent="0.3">
      <c r="P620" s="11"/>
    </row>
    <row r="621" spans="16:16" ht="15.75" customHeight="1" x14ac:dyDescent="0.3">
      <c r="P621" s="11"/>
    </row>
    <row r="622" spans="16:16" ht="15.75" customHeight="1" x14ac:dyDescent="0.3">
      <c r="P622" s="11"/>
    </row>
    <row r="623" spans="16:16" ht="15.75" customHeight="1" x14ac:dyDescent="0.3">
      <c r="P623" s="11"/>
    </row>
    <row r="624" spans="16:16" ht="15.75" customHeight="1" x14ac:dyDescent="0.3">
      <c r="P624" s="11"/>
    </row>
    <row r="625" spans="16:16" ht="15.75" customHeight="1" x14ac:dyDescent="0.3">
      <c r="P625" s="11"/>
    </row>
    <row r="626" spans="16:16" ht="15.75" customHeight="1" x14ac:dyDescent="0.3">
      <c r="P626" s="11"/>
    </row>
    <row r="627" spans="16:16" ht="15.75" customHeight="1" x14ac:dyDescent="0.3">
      <c r="P627" s="11"/>
    </row>
    <row r="628" spans="16:16" ht="15.75" customHeight="1" x14ac:dyDescent="0.3">
      <c r="P628" s="11"/>
    </row>
    <row r="629" spans="16:16" ht="15.75" customHeight="1" x14ac:dyDescent="0.3">
      <c r="P629" s="11"/>
    </row>
    <row r="630" spans="16:16" ht="15.75" customHeight="1" x14ac:dyDescent="0.3">
      <c r="P630" s="11"/>
    </row>
    <row r="631" spans="16:16" ht="15.75" customHeight="1" x14ac:dyDescent="0.3">
      <c r="P631" s="11"/>
    </row>
    <row r="632" spans="16:16" ht="15.75" customHeight="1" x14ac:dyDescent="0.3">
      <c r="P632" s="11"/>
    </row>
    <row r="633" spans="16:16" ht="15.75" customHeight="1" x14ac:dyDescent="0.3">
      <c r="P633" s="11"/>
    </row>
    <row r="634" spans="16:16" ht="15.75" customHeight="1" x14ac:dyDescent="0.3">
      <c r="P634" s="11"/>
    </row>
    <row r="635" spans="16:16" ht="15.75" customHeight="1" x14ac:dyDescent="0.3">
      <c r="P635" s="11"/>
    </row>
    <row r="636" spans="16:16" ht="15.75" customHeight="1" x14ac:dyDescent="0.3">
      <c r="P636" s="11"/>
    </row>
    <row r="637" spans="16:16" ht="15.75" customHeight="1" x14ac:dyDescent="0.3">
      <c r="P637" s="11"/>
    </row>
    <row r="638" spans="16:16" ht="15.75" customHeight="1" x14ac:dyDescent="0.3">
      <c r="P638" s="11"/>
    </row>
    <row r="639" spans="16:16" ht="15.75" customHeight="1" x14ac:dyDescent="0.3">
      <c r="P639" s="11"/>
    </row>
    <row r="640" spans="16:16" ht="15.75" customHeight="1" x14ac:dyDescent="0.3">
      <c r="P640" s="11"/>
    </row>
    <row r="641" spans="16:16" ht="15.75" customHeight="1" x14ac:dyDescent="0.3">
      <c r="P641" s="11"/>
    </row>
    <row r="642" spans="16:16" ht="15.75" customHeight="1" x14ac:dyDescent="0.3">
      <c r="P642" s="11"/>
    </row>
    <row r="643" spans="16:16" ht="15.75" customHeight="1" x14ac:dyDescent="0.3">
      <c r="P643" s="11"/>
    </row>
    <row r="644" spans="16:16" ht="15.75" customHeight="1" x14ac:dyDescent="0.3">
      <c r="P644" s="11"/>
    </row>
    <row r="645" spans="16:16" ht="15.75" customHeight="1" x14ac:dyDescent="0.3">
      <c r="P645" s="11"/>
    </row>
    <row r="646" spans="16:16" ht="15.75" customHeight="1" x14ac:dyDescent="0.3">
      <c r="P646" s="11"/>
    </row>
    <row r="647" spans="16:16" ht="15.75" customHeight="1" x14ac:dyDescent="0.3">
      <c r="P647" s="11"/>
    </row>
    <row r="648" spans="16:16" ht="15.75" customHeight="1" x14ac:dyDescent="0.3">
      <c r="P648" s="11"/>
    </row>
    <row r="649" spans="16:16" ht="15.75" customHeight="1" x14ac:dyDescent="0.3">
      <c r="P649" s="11"/>
    </row>
    <row r="650" spans="16:16" ht="15.75" customHeight="1" x14ac:dyDescent="0.3">
      <c r="P650" s="11"/>
    </row>
    <row r="651" spans="16:16" ht="15.75" customHeight="1" x14ac:dyDescent="0.3">
      <c r="P651" s="11"/>
    </row>
    <row r="652" spans="16:16" ht="15.75" customHeight="1" x14ac:dyDescent="0.3">
      <c r="P652" s="11"/>
    </row>
    <row r="653" spans="16:16" ht="15.75" customHeight="1" x14ac:dyDescent="0.3">
      <c r="P653" s="11"/>
    </row>
    <row r="654" spans="16:16" ht="15.75" customHeight="1" x14ac:dyDescent="0.3">
      <c r="P654" s="11"/>
    </row>
    <row r="655" spans="16:16" ht="15.75" customHeight="1" x14ac:dyDescent="0.3">
      <c r="P655" s="11"/>
    </row>
    <row r="656" spans="16:16" ht="15.75" customHeight="1" x14ac:dyDescent="0.3">
      <c r="P656" s="11"/>
    </row>
    <row r="657" spans="16:16" ht="15.75" customHeight="1" x14ac:dyDescent="0.3">
      <c r="P657" s="11"/>
    </row>
    <row r="658" spans="16:16" ht="15.75" customHeight="1" x14ac:dyDescent="0.3">
      <c r="P658" s="11"/>
    </row>
    <row r="659" spans="16:16" ht="15.75" customHeight="1" x14ac:dyDescent="0.3">
      <c r="P659" s="11"/>
    </row>
    <row r="660" spans="16:16" ht="15.75" customHeight="1" x14ac:dyDescent="0.3">
      <c r="P660" s="11"/>
    </row>
    <row r="661" spans="16:16" ht="15.75" customHeight="1" x14ac:dyDescent="0.3">
      <c r="P661" s="11"/>
    </row>
    <row r="662" spans="16:16" ht="15.75" customHeight="1" x14ac:dyDescent="0.3">
      <c r="P662" s="11"/>
    </row>
    <row r="663" spans="16:16" ht="15.75" customHeight="1" x14ac:dyDescent="0.3">
      <c r="P663" s="11"/>
    </row>
    <row r="664" spans="16:16" ht="15.75" customHeight="1" x14ac:dyDescent="0.3">
      <c r="P664" s="11"/>
    </row>
    <row r="665" spans="16:16" ht="15.75" customHeight="1" x14ac:dyDescent="0.3">
      <c r="P665" s="11"/>
    </row>
    <row r="666" spans="16:16" ht="15.75" customHeight="1" x14ac:dyDescent="0.3">
      <c r="P666" s="11"/>
    </row>
    <row r="667" spans="16:16" ht="15.75" customHeight="1" x14ac:dyDescent="0.3">
      <c r="P667" s="11"/>
    </row>
    <row r="668" spans="16:16" ht="15.75" customHeight="1" x14ac:dyDescent="0.3">
      <c r="P668" s="11"/>
    </row>
    <row r="669" spans="16:16" ht="15.75" customHeight="1" x14ac:dyDescent="0.3">
      <c r="P669" s="11"/>
    </row>
    <row r="670" spans="16:16" ht="15.75" customHeight="1" x14ac:dyDescent="0.3">
      <c r="P670" s="11"/>
    </row>
    <row r="671" spans="16:16" ht="15.75" customHeight="1" x14ac:dyDescent="0.3">
      <c r="P671" s="11"/>
    </row>
    <row r="672" spans="16:16" ht="15.75" customHeight="1" x14ac:dyDescent="0.3">
      <c r="P672" s="11"/>
    </row>
    <row r="673" spans="16:16" ht="15.75" customHeight="1" x14ac:dyDescent="0.3">
      <c r="P673" s="11"/>
    </row>
    <row r="674" spans="16:16" ht="15.75" customHeight="1" x14ac:dyDescent="0.3">
      <c r="P674" s="11"/>
    </row>
    <row r="675" spans="16:16" ht="15.75" customHeight="1" x14ac:dyDescent="0.3">
      <c r="P675" s="11"/>
    </row>
    <row r="676" spans="16:16" ht="15.75" customHeight="1" x14ac:dyDescent="0.3">
      <c r="P676" s="11"/>
    </row>
    <row r="677" spans="16:16" ht="15.75" customHeight="1" x14ac:dyDescent="0.3">
      <c r="P677" s="11"/>
    </row>
    <row r="678" spans="16:16" ht="15.75" customHeight="1" x14ac:dyDescent="0.3">
      <c r="P678" s="11"/>
    </row>
    <row r="679" spans="16:16" ht="15.75" customHeight="1" x14ac:dyDescent="0.3">
      <c r="P679" s="11"/>
    </row>
    <row r="680" spans="16:16" ht="15.75" customHeight="1" x14ac:dyDescent="0.3">
      <c r="P680" s="11"/>
    </row>
    <row r="681" spans="16:16" ht="15.75" customHeight="1" x14ac:dyDescent="0.3">
      <c r="P681" s="11"/>
    </row>
    <row r="682" spans="16:16" ht="15.75" customHeight="1" x14ac:dyDescent="0.3">
      <c r="P682" s="11"/>
    </row>
    <row r="683" spans="16:16" ht="15.75" customHeight="1" x14ac:dyDescent="0.3">
      <c r="P683" s="11"/>
    </row>
    <row r="684" spans="16:16" ht="15.75" customHeight="1" x14ac:dyDescent="0.3">
      <c r="P684" s="11"/>
    </row>
    <row r="685" spans="16:16" ht="15.75" customHeight="1" x14ac:dyDescent="0.3">
      <c r="P685" s="11"/>
    </row>
    <row r="686" spans="16:16" ht="15.75" customHeight="1" x14ac:dyDescent="0.3">
      <c r="P686" s="11"/>
    </row>
    <row r="687" spans="16:16" ht="15.75" customHeight="1" x14ac:dyDescent="0.3">
      <c r="P687" s="11"/>
    </row>
    <row r="688" spans="16:16" ht="15.75" customHeight="1" x14ac:dyDescent="0.3">
      <c r="P688" s="11"/>
    </row>
    <row r="689" spans="16:16" ht="15.75" customHeight="1" x14ac:dyDescent="0.3">
      <c r="P689" s="11"/>
    </row>
    <row r="690" spans="16:16" ht="15.75" customHeight="1" x14ac:dyDescent="0.3">
      <c r="P690" s="11"/>
    </row>
    <row r="691" spans="16:16" ht="15.75" customHeight="1" x14ac:dyDescent="0.3">
      <c r="P691" s="11"/>
    </row>
    <row r="692" spans="16:16" ht="15.75" customHeight="1" x14ac:dyDescent="0.3">
      <c r="P692" s="11"/>
    </row>
    <row r="693" spans="16:16" ht="15.75" customHeight="1" x14ac:dyDescent="0.3">
      <c r="P693" s="11"/>
    </row>
    <row r="694" spans="16:16" ht="15.75" customHeight="1" x14ac:dyDescent="0.3">
      <c r="P694" s="11"/>
    </row>
    <row r="695" spans="16:16" ht="15.75" customHeight="1" x14ac:dyDescent="0.3">
      <c r="P695" s="11"/>
    </row>
    <row r="696" spans="16:16" ht="15.75" customHeight="1" x14ac:dyDescent="0.3">
      <c r="P696" s="11"/>
    </row>
    <row r="697" spans="16:16" ht="15.75" customHeight="1" x14ac:dyDescent="0.3">
      <c r="P697" s="11"/>
    </row>
    <row r="698" spans="16:16" ht="15.75" customHeight="1" x14ac:dyDescent="0.3">
      <c r="P698" s="11"/>
    </row>
    <row r="699" spans="16:16" ht="15.75" customHeight="1" x14ac:dyDescent="0.3">
      <c r="P699" s="11"/>
    </row>
    <row r="700" spans="16:16" ht="15.75" customHeight="1" x14ac:dyDescent="0.3">
      <c r="P700" s="11"/>
    </row>
    <row r="701" spans="16:16" ht="15.75" customHeight="1" x14ac:dyDescent="0.3">
      <c r="P701" s="11"/>
    </row>
    <row r="702" spans="16:16" ht="15.75" customHeight="1" x14ac:dyDescent="0.3">
      <c r="P702" s="11"/>
    </row>
    <row r="703" spans="16:16" ht="15.75" customHeight="1" x14ac:dyDescent="0.3">
      <c r="P703" s="11"/>
    </row>
    <row r="704" spans="16:16" ht="15.75" customHeight="1" x14ac:dyDescent="0.3">
      <c r="P704" s="11"/>
    </row>
    <row r="705" spans="16:16" ht="15.75" customHeight="1" x14ac:dyDescent="0.3">
      <c r="P705" s="11"/>
    </row>
    <row r="706" spans="16:16" ht="15.75" customHeight="1" x14ac:dyDescent="0.3">
      <c r="P706" s="11"/>
    </row>
    <row r="707" spans="16:16" ht="15.75" customHeight="1" x14ac:dyDescent="0.3">
      <c r="P707" s="11"/>
    </row>
    <row r="708" spans="16:16" ht="15.75" customHeight="1" x14ac:dyDescent="0.3">
      <c r="P708" s="11"/>
    </row>
    <row r="709" spans="16:16" ht="15.75" customHeight="1" x14ac:dyDescent="0.3">
      <c r="P709" s="11"/>
    </row>
    <row r="710" spans="16:16" ht="15.75" customHeight="1" x14ac:dyDescent="0.3">
      <c r="P710" s="11"/>
    </row>
    <row r="711" spans="16:16" ht="15.75" customHeight="1" x14ac:dyDescent="0.3">
      <c r="P711" s="11"/>
    </row>
    <row r="712" spans="16:16" ht="15.75" customHeight="1" x14ac:dyDescent="0.3">
      <c r="P712" s="11"/>
    </row>
    <row r="713" spans="16:16" ht="15.75" customHeight="1" x14ac:dyDescent="0.3">
      <c r="P713" s="11"/>
    </row>
    <row r="714" spans="16:16" ht="15.75" customHeight="1" x14ac:dyDescent="0.3">
      <c r="P714" s="11"/>
    </row>
    <row r="715" spans="16:16" ht="15.75" customHeight="1" x14ac:dyDescent="0.3">
      <c r="P715" s="11"/>
    </row>
    <row r="716" spans="16:16" ht="15.75" customHeight="1" x14ac:dyDescent="0.3">
      <c r="P716" s="11"/>
    </row>
    <row r="717" spans="16:16" ht="15.75" customHeight="1" x14ac:dyDescent="0.3">
      <c r="P717" s="11"/>
    </row>
    <row r="718" spans="16:16" ht="15.75" customHeight="1" x14ac:dyDescent="0.3">
      <c r="P718" s="11"/>
    </row>
    <row r="719" spans="16:16" ht="15.75" customHeight="1" x14ac:dyDescent="0.3">
      <c r="P719" s="11"/>
    </row>
    <row r="720" spans="16:16" ht="15.75" customHeight="1" x14ac:dyDescent="0.3">
      <c r="P720" s="11"/>
    </row>
    <row r="721" spans="16:16" ht="15.75" customHeight="1" x14ac:dyDescent="0.3">
      <c r="P721" s="11"/>
    </row>
    <row r="722" spans="16:16" ht="15.75" customHeight="1" x14ac:dyDescent="0.3">
      <c r="P722" s="11"/>
    </row>
    <row r="723" spans="16:16" ht="15.75" customHeight="1" x14ac:dyDescent="0.3">
      <c r="P723" s="11"/>
    </row>
    <row r="724" spans="16:16" ht="15.75" customHeight="1" x14ac:dyDescent="0.3">
      <c r="P724" s="11"/>
    </row>
    <row r="725" spans="16:16" ht="15.75" customHeight="1" x14ac:dyDescent="0.3">
      <c r="P725" s="11"/>
    </row>
    <row r="726" spans="16:16" ht="15.75" customHeight="1" x14ac:dyDescent="0.3">
      <c r="P726" s="11"/>
    </row>
    <row r="727" spans="16:16" ht="15.75" customHeight="1" x14ac:dyDescent="0.3">
      <c r="P727" s="11"/>
    </row>
    <row r="728" spans="16:16" ht="15.75" customHeight="1" x14ac:dyDescent="0.3">
      <c r="P728" s="11"/>
    </row>
    <row r="729" spans="16:16" ht="15.75" customHeight="1" x14ac:dyDescent="0.3">
      <c r="P729" s="11"/>
    </row>
    <row r="730" spans="16:16" ht="15.75" customHeight="1" x14ac:dyDescent="0.3">
      <c r="P730" s="11"/>
    </row>
    <row r="731" spans="16:16" ht="15.75" customHeight="1" x14ac:dyDescent="0.3">
      <c r="P731" s="11"/>
    </row>
    <row r="732" spans="16:16" ht="15.75" customHeight="1" x14ac:dyDescent="0.3">
      <c r="P732" s="11"/>
    </row>
    <row r="733" spans="16:16" ht="15.75" customHeight="1" x14ac:dyDescent="0.3">
      <c r="P733" s="11"/>
    </row>
    <row r="734" spans="16:16" ht="15.75" customHeight="1" x14ac:dyDescent="0.3">
      <c r="P734" s="11"/>
    </row>
    <row r="735" spans="16:16" ht="15.75" customHeight="1" x14ac:dyDescent="0.3">
      <c r="P735" s="11"/>
    </row>
    <row r="736" spans="16:16" ht="15.75" customHeight="1" x14ac:dyDescent="0.3">
      <c r="P736" s="11"/>
    </row>
    <row r="737" spans="16:16" ht="15.75" customHeight="1" x14ac:dyDescent="0.3">
      <c r="P737" s="11"/>
    </row>
    <row r="738" spans="16:16" ht="15.75" customHeight="1" x14ac:dyDescent="0.3">
      <c r="P738" s="11"/>
    </row>
    <row r="739" spans="16:16" ht="15.75" customHeight="1" x14ac:dyDescent="0.3">
      <c r="P739" s="11"/>
    </row>
    <row r="740" spans="16:16" ht="15.75" customHeight="1" x14ac:dyDescent="0.3">
      <c r="P740" s="11"/>
    </row>
    <row r="741" spans="16:16" ht="15.75" customHeight="1" x14ac:dyDescent="0.3">
      <c r="P741" s="11"/>
    </row>
    <row r="742" spans="16:16" ht="15.75" customHeight="1" x14ac:dyDescent="0.3">
      <c r="P742" s="11"/>
    </row>
    <row r="743" spans="16:16" ht="15.75" customHeight="1" x14ac:dyDescent="0.3">
      <c r="P743" s="11"/>
    </row>
    <row r="744" spans="16:16" ht="15.75" customHeight="1" x14ac:dyDescent="0.3">
      <c r="P744" s="11"/>
    </row>
    <row r="745" spans="16:16" ht="15.75" customHeight="1" x14ac:dyDescent="0.3">
      <c r="P745" s="11"/>
    </row>
    <row r="746" spans="16:16" ht="15.75" customHeight="1" x14ac:dyDescent="0.3">
      <c r="P746" s="11"/>
    </row>
    <row r="747" spans="16:16" ht="15.75" customHeight="1" x14ac:dyDescent="0.3">
      <c r="P747" s="11"/>
    </row>
    <row r="748" spans="16:16" ht="15.75" customHeight="1" x14ac:dyDescent="0.3">
      <c r="P748" s="11"/>
    </row>
    <row r="749" spans="16:16" ht="15.75" customHeight="1" x14ac:dyDescent="0.3">
      <c r="P749" s="11"/>
    </row>
    <row r="750" spans="16:16" ht="15.75" customHeight="1" x14ac:dyDescent="0.3">
      <c r="P750" s="11"/>
    </row>
    <row r="751" spans="16:16" ht="15.75" customHeight="1" x14ac:dyDescent="0.3">
      <c r="P751" s="11"/>
    </row>
    <row r="752" spans="16:16" ht="15.75" customHeight="1" x14ac:dyDescent="0.3">
      <c r="P752" s="11"/>
    </row>
    <row r="753" spans="16:16" ht="15.75" customHeight="1" x14ac:dyDescent="0.3">
      <c r="P753" s="11"/>
    </row>
    <row r="754" spans="16:16" ht="15.75" customHeight="1" x14ac:dyDescent="0.3">
      <c r="P754" s="11"/>
    </row>
    <row r="755" spans="16:16" ht="15.75" customHeight="1" x14ac:dyDescent="0.3">
      <c r="P755" s="11"/>
    </row>
    <row r="756" spans="16:16" ht="15.75" customHeight="1" x14ac:dyDescent="0.3">
      <c r="P756" s="11"/>
    </row>
    <row r="757" spans="16:16" ht="15.75" customHeight="1" x14ac:dyDescent="0.3">
      <c r="P757" s="11"/>
    </row>
    <row r="758" spans="16:16" ht="15.75" customHeight="1" x14ac:dyDescent="0.3">
      <c r="P758" s="11"/>
    </row>
    <row r="759" spans="16:16" ht="15.75" customHeight="1" x14ac:dyDescent="0.3">
      <c r="P759" s="11"/>
    </row>
    <row r="760" spans="16:16" ht="15.75" customHeight="1" x14ac:dyDescent="0.3">
      <c r="P760" s="11"/>
    </row>
    <row r="761" spans="16:16" ht="15.75" customHeight="1" x14ac:dyDescent="0.3">
      <c r="P761" s="11"/>
    </row>
    <row r="762" spans="16:16" ht="15.75" customHeight="1" x14ac:dyDescent="0.3">
      <c r="P762" s="11"/>
    </row>
    <row r="763" spans="16:16" ht="15.75" customHeight="1" x14ac:dyDescent="0.3">
      <c r="P763" s="11"/>
    </row>
    <row r="764" spans="16:16" ht="15.75" customHeight="1" x14ac:dyDescent="0.3">
      <c r="P764" s="11"/>
    </row>
    <row r="765" spans="16:16" ht="15.75" customHeight="1" x14ac:dyDescent="0.3">
      <c r="P765" s="11"/>
    </row>
    <row r="766" spans="16:16" ht="15.75" customHeight="1" x14ac:dyDescent="0.3">
      <c r="P766" s="11"/>
    </row>
    <row r="767" spans="16:16" ht="15.75" customHeight="1" x14ac:dyDescent="0.3">
      <c r="P767" s="11"/>
    </row>
    <row r="768" spans="16:16" ht="15.75" customHeight="1" x14ac:dyDescent="0.3">
      <c r="P768" s="11"/>
    </row>
    <row r="769" spans="16:16" ht="15.75" customHeight="1" x14ac:dyDescent="0.3">
      <c r="P769" s="11"/>
    </row>
    <row r="770" spans="16:16" ht="15.75" customHeight="1" x14ac:dyDescent="0.3">
      <c r="P770" s="11"/>
    </row>
    <row r="771" spans="16:16" ht="15.75" customHeight="1" x14ac:dyDescent="0.3">
      <c r="P771" s="11"/>
    </row>
    <row r="772" spans="16:16" ht="15.75" customHeight="1" x14ac:dyDescent="0.3">
      <c r="P772" s="11"/>
    </row>
    <row r="773" spans="16:16" ht="15.75" customHeight="1" x14ac:dyDescent="0.3">
      <c r="P773" s="11"/>
    </row>
    <row r="774" spans="16:16" ht="15.75" customHeight="1" x14ac:dyDescent="0.3">
      <c r="P774" s="11"/>
    </row>
    <row r="775" spans="16:16" ht="15.75" customHeight="1" x14ac:dyDescent="0.3">
      <c r="P775" s="11"/>
    </row>
    <row r="776" spans="16:16" ht="15.75" customHeight="1" x14ac:dyDescent="0.3">
      <c r="P776" s="11"/>
    </row>
    <row r="777" spans="16:16" ht="15.75" customHeight="1" x14ac:dyDescent="0.3">
      <c r="P777" s="11"/>
    </row>
    <row r="778" spans="16:16" ht="15.75" customHeight="1" x14ac:dyDescent="0.3">
      <c r="P778" s="11"/>
    </row>
    <row r="779" spans="16:16" ht="15.75" customHeight="1" x14ac:dyDescent="0.3">
      <c r="P779" s="11"/>
    </row>
    <row r="780" spans="16:16" ht="15.75" customHeight="1" x14ac:dyDescent="0.3">
      <c r="P780" s="11"/>
    </row>
    <row r="781" spans="16:16" ht="15.75" customHeight="1" x14ac:dyDescent="0.3">
      <c r="P781" s="11"/>
    </row>
    <row r="782" spans="16:16" ht="15.75" customHeight="1" x14ac:dyDescent="0.3">
      <c r="P782" s="11"/>
    </row>
    <row r="783" spans="16:16" ht="15.75" customHeight="1" x14ac:dyDescent="0.3">
      <c r="P783" s="11"/>
    </row>
    <row r="784" spans="16:16" ht="15.75" customHeight="1" x14ac:dyDescent="0.3">
      <c r="P784" s="11"/>
    </row>
    <row r="785" spans="16:16" ht="15.75" customHeight="1" x14ac:dyDescent="0.3">
      <c r="P785" s="11"/>
    </row>
    <row r="786" spans="16:16" ht="15.75" customHeight="1" x14ac:dyDescent="0.3">
      <c r="P786" s="11"/>
    </row>
    <row r="787" spans="16:16" ht="15.75" customHeight="1" x14ac:dyDescent="0.3">
      <c r="P787" s="11"/>
    </row>
    <row r="788" spans="16:16" ht="15.75" customHeight="1" x14ac:dyDescent="0.3">
      <c r="P788" s="11"/>
    </row>
    <row r="789" spans="16:16" ht="15.75" customHeight="1" x14ac:dyDescent="0.3">
      <c r="P789" s="11"/>
    </row>
    <row r="790" spans="16:16" ht="15.75" customHeight="1" x14ac:dyDescent="0.3">
      <c r="P790" s="11"/>
    </row>
    <row r="791" spans="16:16" ht="15.75" customHeight="1" x14ac:dyDescent="0.3">
      <c r="P791" s="11"/>
    </row>
    <row r="792" spans="16:16" ht="15.75" customHeight="1" x14ac:dyDescent="0.3">
      <c r="P792" s="11"/>
    </row>
    <row r="793" spans="16:16" ht="15.75" customHeight="1" x14ac:dyDescent="0.3">
      <c r="P793" s="11"/>
    </row>
    <row r="794" spans="16:16" ht="15.75" customHeight="1" x14ac:dyDescent="0.3">
      <c r="P794" s="11"/>
    </row>
    <row r="795" spans="16:16" ht="15.75" customHeight="1" x14ac:dyDescent="0.3">
      <c r="P795" s="11"/>
    </row>
    <row r="796" spans="16:16" ht="15.75" customHeight="1" x14ac:dyDescent="0.3">
      <c r="P796" s="11"/>
    </row>
    <row r="797" spans="16:16" ht="15.75" customHeight="1" x14ac:dyDescent="0.3">
      <c r="P797" s="11"/>
    </row>
    <row r="798" spans="16:16" ht="15.75" customHeight="1" x14ac:dyDescent="0.3">
      <c r="P798" s="11"/>
    </row>
    <row r="799" spans="16:16" ht="15.75" customHeight="1" x14ac:dyDescent="0.3">
      <c r="P799" s="11"/>
    </row>
    <row r="800" spans="16:16" ht="15.75" customHeight="1" x14ac:dyDescent="0.3">
      <c r="P800" s="11"/>
    </row>
    <row r="801" spans="16:16" ht="15.75" customHeight="1" x14ac:dyDescent="0.3">
      <c r="P801" s="11"/>
    </row>
    <row r="802" spans="16:16" ht="15.75" customHeight="1" x14ac:dyDescent="0.3">
      <c r="P802" s="11"/>
    </row>
    <row r="803" spans="16:16" ht="15.75" customHeight="1" x14ac:dyDescent="0.3">
      <c r="P803" s="11"/>
    </row>
    <row r="804" spans="16:16" ht="15.75" customHeight="1" x14ac:dyDescent="0.3">
      <c r="P804" s="11"/>
    </row>
    <row r="805" spans="16:16" ht="15.75" customHeight="1" x14ac:dyDescent="0.3">
      <c r="P805" s="11"/>
    </row>
    <row r="806" spans="16:16" ht="15.75" customHeight="1" x14ac:dyDescent="0.3">
      <c r="P806" s="11"/>
    </row>
    <row r="807" spans="16:16" ht="15.75" customHeight="1" x14ac:dyDescent="0.3">
      <c r="P807" s="11"/>
    </row>
    <row r="808" spans="16:16" ht="15.75" customHeight="1" x14ac:dyDescent="0.3">
      <c r="P808" s="11"/>
    </row>
    <row r="809" spans="16:16" ht="15.75" customHeight="1" x14ac:dyDescent="0.3">
      <c r="P809" s="11"/>
    </row>
    <row r="810" spans="16:16" ht="15.75" customHeight="1" x14ac:dyDescent="0.3">
      <c r="P810" s="11"/>
    </row>
    <row r="811" spans="16:16" ht="15.75" customHeight="1" x14ac:dyDescent="0.3">
      <c r="P811" s="11"/>
    </row>
    <row r="812" spans="16:16" ht="15.75" customHeight="1" x14ac:dyDescent="0.3">
      <c r="P812" s="11"/>
    </row>
    <row r="813" spans="16:16" ht="15.75" customHeight="1" x14ac:dyDescent="0.3">
      <c r="P813" s="11"/>
    </row>
    <row r="814" spans="16:16" ht="15.75" customHeight="1" x14ac:dyDescent="0.3">
      <c r="P814" s="11"/>
    </row>
    <row r="815" spans="16:16" ht="15.75" customHeight="1" x14ac:dyDescent="0.3">
      <c r="P815" s="11"/>
    </row>
    <row r="816" spans="16:16" ht="15.75" customHeight="1" x14ac:dyDescent="0.3">
      <c r="P816" s="11"/>
    </row>
    <row r="817" spans="16:16" ht="15.75" customHeight="1" x14ac:dyDescent="0.3">
      <c r="P817" s="11"/>
    </row>
    <row r="818" spans="16:16" ht="15.75" customHeight="1" x14ac:dyDescent="0.3">
      <c r="P818" s="11"/>
    </row>
    <row r="819" spans="16:16" ht="15.75" customHeight="1" x14ac:dyDescent="0.3">
      <c r="P819" s="11"/>
    </row>
    <row r="820" spans="16:16" ht="15.75" customHeight="1" x14ac:dyDescent="0.3">
      <c r="P820" s="11"/>
    </row>
    <row r="821" spans="16:16" ht="15.75" customHeight="1" x14ac:dyDescent="0.3">
      <c r="P821" s="11"/>
    </row>
    <row r="822" spans="16:16" ht="15.75" customHeight="1" x14ac:dyDescent="0.3">
      <c r="P822" s="11"/>
    </row>
    <row r="823" spans="16:16" ht="15.75" customHeight="1" x14ac:dyDescent="0.3">
      <c r="P823" s="11"/>
    </row>
    <row r="824" spans="16:16" ht="15.75" customHeight="1" x14ac:dyDescent="0.3">
      <c r="P824" s="11"/>
    </row>
    <row r="825" spans="16:16" ht="15.75" customHeight="1" x14ac:dyDescent="0.3">
      <c r="P825" s="11"/>
    </row>
    <row r="826" spans="16:16" ht="15.75" customHeight="1" x14ac:dyDescent="0.3">
      <c r="P826" s="11"/>
    </row>
    <row r="827" spans="16:16" ht="15.75" customHeight="1" x14ac:dyDescent="0.3">
      <c r="P827" s="11"/>
    </row>
    <row r="828" spans="16:16" ht="15.75" customHeight="1" x14ac:dyDescent="0.3">
      <c r="P828" s="11"/>
    </row>
    <row r="829" spans="16:16" ht="15.75" customHeight="1" x14ac:dyDescent="0.3">
      <c r="P829" s="11"/>
    </row>
    <row r="830" spans="16:16" ht="15.75" customHeight="1" x14ac:dyDescent="0.3">
      <c r="P830" s="11"/>
    </row>
    <row r="831" spans="16:16" ht="15.75" customHeight="1" x14ac:dyDescent="0.3">
      <c r="P831" s="11"/>
    </row>
    <row r="832" spans="16:16" ht="15.75" customHeight="1" x14ac:dyDescent="0.3">
      <c r="P832" s="11"/>
    </row>
    <row r="833" spans="16:16" ht="15.75" customHeight="1" x14ac:dyDescent="0.3">
      <c r="P833" s="11"/>
    </row>
    <row r="834" spans="16:16" ht="15.75" customHeight="1" x14ac:dyDescent="0.3">
      <c r="P834" s="11"/>
    </row>
    <row r="835" spans="16:16" ht="15.75" customHeight="1" x14ac:dyDescent="0.3">
      <c r="P835" s="11"/>
    </row>
    <row r="836" spans="16:16" ht="15.75" customHeight="1" x14ac:dyDescent="0.3">
      <c r="P836" s="11"/>
    </row>
    <row r="837" spans="16:16" ht="15.75" customHeight="1" x14ac:dyDescent="0.3">
      <c r="P837" s="11"/>
    </row>
    <row r="838" spans="16:16" ht="15.75" customHeight="1" x14ac:dyDescent="0.3">
      <c r="P838" s="11"/>
    </row>
    <row r="839" spans="16:16" ht="15.75" customHeight="1" x14ac:dyDescent="0.3">
      <c r="P839" s="11"/>
    </row>
    <row r="840" spans="16:16" ht="15.75" customHeight="1" x14ac:dyDescent="0.3">
      <c r="P840" s="11"/>
    </row>
    <row r="841" spans="16:16" ht="15.75" customHeight="1" x14ac:dyDescent="0.3">
      <c r="P841" s="11"/>
    </row>
    <row r="842" spans="16:16" ht="15.75" customHeight="1" x14ac:dyDescent="0.3">
      <c r="P842" s="11"/>
    </row>
    <row r="843" spans="16:16" ht="15.75" customHeight="1" x14ac:dyDescent="0.3">
      <c r="P843" s="11"/>
    </row>
    <row r="844" spans="16:16" ht="15.75" customHeight="1" x14ac:dyDescent="0.3">
      <c r="P844" s="11"/>
    </row>
    <row r="845" spans="16:16" ht="15.75" customHeight="1" x14ac:dyDescent="0.3">
      <c r="P845" s="11"/>
    </row>
    <row r="846" spans="16:16" ht="15.75" customHeight="1" x14ac:dyDescent="0.3">
      <c r="P846" s="11"/>
    </row>
    <row r="847" spans="16:16" ht="15.75" customHeight="1" x14ac:dyDescent="0.3">
      <c r="P847" s="11"/>
    </row>
    <row r="848" spans="16:16" ht="15.75" customHeight="1" x14ac:dyDescent="0.3">
      <c r="P848" s="11"/>
    </row>
    <row r="849" spans="16:16" ht="15.75" customHeight="1" x14ac:dyDescent="0.3">
      <c r="P849" s="11"/>
    </row>
    <row r="850" spans="16:16" ht="15.75" customHeight="1" x14ac:dyDescent="0.3">
      <c r="P850" s="11"/>
    </row>
    <row r="851" spans="16:16" ht="15.75" customHeight="1" x14ac:dyDescent="0.3">
      <c r="P851" s="11"/>
    </row>
    <row r="852" spans="16:16" ht="15.75" customHeight="1" x14ac:dyDescent="0.3">
      <c r="P852" s="11"/>
    </row>
    <row r="853" spans="16:16" ht="15.75" customHeight="1" x14ac:dyDescent="0.3">
      <c r="P853" s="11"/>
    </row>
    <row r="854" spans="16:16" ht="15.75" customHeight="1" x14ac:dyDescent="0.3">
      <c r="P854" s="11"/>
    </row>
    <row r="855" spans="16:16" ht="15.75" customHeight="1" x14ac:dyDescent="0.3">
      <c r="P855" s="11"/>
    </row>
    <row r="856" spans="16:16" ht="15.75" customHeight="1" x14ac:dyDescent="0.3">
      <c r="P856" s="11"/>
    </row>
    <row r="857" spans="16:16" ht="15.75" customHeight="1" x14ac:dyDescent="0.3">
      <c r="P857" s="11"/>
    </row>
    <row r="858" spans="16:16" ht="15.75" customHeight="1" x14ac:dyDescent="0.3">
      <c r="P858" s="11"/>
    </row>
    <row r="859" spans="16:16" ht="15.75" customHeight="1" x14ac:dyDescent="0.3">
      <c r="P859" s="11"/>
    </row>
    <row r="860" spans="16:16" ht="15.75" customHeight="1" x14ac:dyDescent="0.3">
      <c r="P860" s="11"/>
    </row>
    <row r="861" spans="16:16" ht="15.75" customHeight="1" x14ac:dyDescent="0.3">
      <c r="P861" s="11"/>
    </row>
    <row r="862" spans="16:16" ht="15.75" customHeight="1" x14ac:dyDescent="0.3">
      <c r="P862" s="11"/>
    </row>
    <row r="863" spans="16:16" ht="15.75" customHeight="1" x14ac:dyDescent="0.3">
      <c r="P863" s="11"/>
    </row>
    <row r="864" spans="16:16" ht="15.75" customHeight="1" x14ac:dyDescent="0.3">
      <c r="P864" s="11"/>
    </row>
    <row r="865" spans="16:16" ht="15.75" customHeight="1" x14ac:dyDescent="0.3">
      <c r="P865" s="11"/>
    </row>
    <row r="866" spans="16:16" ht="15.75" customHeight="1" x14ac:dyDescent="0.3">
      <c r="P866" s="11"/>
    </row>
    <row r="867" spans="16:16" ht="15.75" customHeight="1" x14ac:dyDescent="0.3">
      <c r="P867" s="11"/>
    </row>
    <row r="868" spans="16:16" ht="15.75" customHeight="1" x14ac:dyDescent="0.3">
      <c r="P868" s="11"/>
    </row>
    <row r="869" spans="16:16" ht="15.75" customHeight="1" x14ac:dyDescent="0.3">
      <c r="P869" s="11"/>
    </row>
    <row r="870" spans="16:16" ht="15.75" customHeight="1" x14ac:dyDescent="0.3">
      <c r="P870" s="11"/>
    </row>
    <row r="871" spans="16:16" ht="15.75" customHeight="1" x14ac:dyDescent="0.3">
      <c r="P871" s="11"/>
    </row>
    <row r="872" spans="16:16" ht="15.75" customHeight="1" x14ac:dyDescent="0.3">
      <c r="P872" s="11"/>
    </row>
    <row r="873" spans="16:16" ht="15.75" customHeight="1" x14ac:dyDescent="0.3">
      <c r="P873" s="11"/>
    </row>
    <row r="874" spans="16:16" ht="15.75" customHeight="1" x14ac:dyDescent="0.3">
      <c r="P874" s="11"/>
    </row>
    <row r="875" spans="16:16" ht="15.75" customHeight="1" x14ac:dyDescent="0.3">
      <c r="P875" s="11"/>
    </row>
    <row r="876" spans="16:16" ht="15.75" customHeight="1" x14ac:dyDescent="0.3">
      <c r="P876" s="11"/>
    </row>
    <row r="877" spans="16:16" ht="15.75" customHeight="1" x14ac:dyDescent="0.3">
      <c r="P877" s="11"/>
    </row>
    <row r="878" spans="16:16" ht="15.75" customHeight="1" x14ac:dyDescent="0.3">
      <c r="P878" s="11"/>
    </row>
    <row r="879" spans="16:16" ht="15.75" customHeight="1" x14ac:dyDescent="0.3">
      <c r="P879" s="11"/>
    </row>
    <row r="880" spans="16:16" ht="15.75" customHeight="1" x14ac:dyDescent="0.3">
      <c r="P880" s="11"/>
    </row>
    <row r="881" spans="16:16" ht="15.75" customHeight="1" x14ac:dyDescent="0.3">
      <c r="P881" s="11"/>
    </row>
    <row r="882" spans="16:16" ht="15.75" customHeight="1" x14ac:dyDescent="0.3">
      <c r="P882" s="11"/>
    </row>
    <row r="883" spans="16:16" ht="15.75" customHeight="1" x14ac:dyDescent="0.3">
      <c r="P883" s="11"/>
    </row>
    <row r="884" spans="16:16" ht="15.75" customHeight="1" x14ac:dyDescent="0.3">
      <c r="P884" s="11"/>
    </row>
    <row r="885" spans="16:16" ht="15.75" customHeight="1" x14ac:dyDescent="0.3">
      <c r="P885" s="11"/>
    </row>
    <row r="886" spans="16:16" ht="15.75" customHeight="1" x14ac:dyDescent="0.3">
      <c r="P886" s="11"/>
    </row>
    <row r="887" spans="16:16" ht="15.75" customHeight="1" x14ac:dyDescent="0.3">
      <c r="P887" s="11"/>
    </row>
    <row r="888" spans="16:16" ht="15.75" customHeight="1" x14ac:dyDescent="0.3">
      <c r="P888" s="11"/>
    </row>
    <row r="889" spans="16:16" ht="15.75" customHeight="1" x14ac:dyDescent="0.3">
      <c r="P889" s="11"/>
    </row>
    <row r="890" spans="16:16" ht="15.75" customHeight="1" x14ac:dyDescent="0.3">
      <c r="P890" s="11"/>
    </row>
    <row r="891" spans="16:16" ht="15.75" customHeight="1" x14ac:dyDescent="0.3">
      <c r="P891" s="11"/>
    </row>
    <row r="892" spans="16:16" ht="15.75" customHeight="1" x14ac:dyDescent="0.3">
      <c r="P892" s="11"/>
    </row>
    <row r="893" spans="16:16" ht="15.75" customHeight="1" x14ac:dyDescent="0.3">
      <c r="P893" s="11"/>
    </row>
    <row r="894" spans="16:16" ht="15.75" customHeight="1" x14ac:dyDescent="0.3">
      <c r="P894" s="11"/>
    </row>
    <row r="895" spans="16:16" ht="15.75" customHeight="1" x14ac:dyDescent="0.3">
      <c r="P895" s="11"/>
    </row>
    <row r="896" spans="16:16" ht="15.75" customHeight="1" x14ac:dyDescent="0.3">
      <c r="P896" s="11"/>
    </row>
    <row r="897" spans="16:16" ht="15.75" customHeight="1" x14ac:dyDescent="0.3">
      <c r="P897" s="11"/>
    </row>
    <row r="898" spans="16:16" ht="15.75" customHeight="1" x14ac:dyDescent="0.3">
      <c r="P898" s="11"/>
    </row>
    <row r="899" spans="16:16" ht="15.75" customHeight="1" x14ac:dyDescent="0.3">
      <c r="P899" s="11"/>
    </row>
    <row r="900" spans="16:16" ht="15.75" customHeight="1" x14ac:dyDescent="0.3">
      <c r="P900" s="11"/>
    </row>
    <row r="901" spans="16:16" ht="15.75" customHeight="1" x14ac:dyDescent="0.3">
      <c r="P901" s="11"/>
    </row>
    <row r="902" spans="16:16" ht="15.75" customHeight="1" x14ac:dyDescent="0.3">
      <c r="P902" s="11"/>
    </row>
    <row r="903" spans="16:16" ht="15.75" customHeight="1" x14ac:dyDescent="0.3">
      <c r="P903" s="11"/>
    </row>
    <row r="904" spans="16:16" ht="15.75" customHeight="1" x14ac:dyDescent="0.3">
      <c r="P904" s="11"/>
    </row>
    <row r="905" spans="16:16" ht="15.75" customHeight="1" x14ac:dyDescent="0.3">
      <c r="P905" s="11"/>
    </row>
    <row r="906" spans="16:16" ht="15.75" customHeight="1" x14ac:dyDescent="0.3">
      <c r="P906" s="11"/>
    </row>
    <row r="907" spans="16:16" ht="15.75" customHeight="1" x14ac:dyDescent="0.3">
      <c r="P907" s="11"/>
    </row>
    <row r="908" spans="16:16" ht="15.75" customHeight="1" x14ac:dyDescent="0.3">
      <c r="P908" s="11"/>
    </row>
    <row r="909" spans="16:16" ht="15.75" customHeight="1" x14ac:dyDescent="0.3">
      <c r="P909" s="11"/>
    </row>
    <row r="910" spans="16:16" ht="15.75" customHeight="1" x14ac:dyDescent="0.3">
      <c r="P910" s="11"/>
    </row>
    <row r="911" spans="16:16" ht="15.75" customHeight="1" x14ac:dyDescent="0.3">
      <c r="P911" s="11"/>
    </row>
    <row r="912" spans="16:16" ht="15.75" customHeight="1" x14ac:dyDescent="0.3">
      <c r="P912" s="11"/>
    </row>
    <row r="913" spans="16:16" ht="15.75" customHeight="1" x14ac:dyDescent="0.3">
      <c r="P913" s="11"/>
    </row>
    <row r="914" spans="16:16" ht="15.75" customHeight="1" x14ac:dyDescent="0.3">
      <c r="P914" s="11"/>
    </row>
    <row r="915" spans="16:16" ht="15.75" customHeight="1" x14ac:dyDescent="0.3">
      <c r="P915" s="11"/>
    </row>
    <row r="916" spans="16:16" ht="15.75" customHeight="1" x14ac:dyDescent="0.3">
      <c r="P916" s="11"/>
    </row>
    <row r="917" spans="16:16" ht="15.75" customHeight="1" x14ac:dyDescent="0.3">
      <c r="P917" s="11"/>
    </row>
    <row r="918" spans="16:16" ht="15.75" customHeight="1" x14ac:dyDescent="0.3">
      <c r="P918" s="11"/>
    </row>
    <row r="919" spans="16:16" ht="15.75" customHeight="1" x14ac:dyDescent="0.3">
      <c r="P919" s="11"/>
    </row>
    <row r="920" spans="16:16" ht="15.75" customHeight="1" x14ac:dyDescent="0.3">
      <c r="P920" s="11"/>
    </row>
    <row r="921" spans="16:16" ht="15.75" customHeight="1" x14ac:dyDescent="0.3">
      <c r="P921" s="11"/>
    </row>
    <row r="922" spans="16:16" ht="15.75" customHeight="1" x14ac:dyDescent="0.3">
      <c r="P922" s="11"/>
    </row>
    <row r="923" spans="16:16" ht="15.75" customHeight="1" x14ac:dyDescent="0.3">
      <c r="P923" s="11"/>
    </row>
    <row r="924" spans="16:16" ht="15.75" customHeight="1" x14ac:dyDescent="0.3">
      <c r="P924" s="11"/>
    </row>
    <row r="925" spans="16:16" ht="15.75" customHeight="1" x14ac:dyDescent="0.3">
      <c r="P925" s="11"/>
    </row>
    <row r="926" spans="16:16" ht="15.75" customHeight="1" x14ac:dyDescent="0.3">
      <c r="P926" s="11"/>
    </row>
    <row r="927" spans="16:16" ht="15.75" customHeight="1" x14ac:dyDescent="0.3">
      <c r="P927" s="11"/>
    </row>
    <row r="928" spans="16:16" ht="15.75" customHeight="1" x14ac:dyDescent="0.3">
      <c r="P928" s="11"/>
    </row>
    <row r="929" spans="16:16" ht="15.75" customHeight="1" x14ac:dyDescent="0.3">
      <c r="P929" s="11"/>
    </row>
    <row r="930" spans="16:16" ht="15.75" customHeight="1" x14ac:dyDescent="0.3">
      <c r="P930" s="11"/>
    </row>
    <row r="931" spans="16:16" ht="15.75" customHeight="1" x14ac:dyDescent="0.3">
      <c r="P931" s="11"/>
    </row>
    <row r="932" spans="16:16" ht="15.75" customHeight="1" x14ac:dyDescent="0.3">
      <c r="P932" s="11"/>
    </row>
    <row r="933" spans="16:16" ht="15.75" customHeight="1" x14ac:dyDescent="0.3">
      <c r="P933" s="11"/>
    </row>
    <row r="934" spans="16:16" ht="15.75" customHeight="1" x14ac:dyDescent="0.3">
      <c r="P934" s="11"/>
    </row>
    <row r="935" spans="16:16" ht="15.75" customHeight="1" x14ac:dyDescent="0.3">
      <c r="P935" s="11"/>
    </row>
    <row r="936" spans="16:16" ht="15.75" customHeight="1" x14ac:dyDescent="0.3">
      <c r="P936" s="11"/>
    </row>
    <row r="937" spans="16:16" ht="15.75" customHeight="1" x14ac:dyDescent="0.3">
      <c r="P937" s="11"/>
    </row>
    <row r="938" spans="16:16" ht="15.75" customHeight="1" x14ac:dyDescent="0.3">
      <c r="P938" s="11"/>
    </row>
    <row r="939" spans="16:16" ht="15.75" customHeight="1" x14ac:dyDescent="0.3">
      <c r="P939" s="11"/>
    </row>
    <row r="940" spans="16:16" ht="15.75" customHeight="1" x14ac:dyDescent="0.3">
      <c r="P940" s="11"/>
    </row>
    <row r="941" spans="16:16" ht="15.75" customHeight="1" x14ac:dyDescent="0.3">
      <c r="P941" s="11"/>
    </row>
    <row r="942" spans="16:16" ht="15.75" customHeight="1" x14ac:dyDescent="0.3">
      <c r="P942" s="11"/>
    </row>
    <row r="943" spans="16:16" ht="15.75" customHeight="1" x14ac:dyDescent="0.3">
      <c r="P943" s="11"/>
    </row>
    <row r="944" spans="16:16" ht="15.75" customHeight="1" x14ac:dyDescent="0.3">
      <c r="P944" s="11"/>
    </row>
    <row r="945" spans="16:16" ht="15.75" customHeight="1" x14ac:dyDescent="0.3">
      <c r="P945" s="11"/>
    </row>
    <row r="946" spans="16:16" ht="15.75" customHeight="1" x14ac:dyDescent="0.3">
      <c r="P946" s="11"/>
    </row>
    <row r="947" spans="16:16" ht="15.75" customHeight="1" x14ac:dyDescent="0.3">
      <c r="P947" s="11"/>
    </row>
    <row r="948" spans="16:16" ht="15.75" customHeight="1" x14ac:dyDescent="0.3">
      <c r="P948" s="11"/>
    </row>
    <row r="949" spans="16:16" ht="15.75" customHeight="1" x14ac:dyDescent="0.3">
      <c r="P949" s="11"/>
    </row>
    <row r="950" spans="16:16" ht="15.75" customHeight="1" x14ac:dyDescent="0.3">
      <c r="P950" s="11"/>
    </row>
    <row r="951" spans="16:16" ht="15.75" customHeight="1" x14ac:dyDescent="0.3">
      <c r="P951" s="11"/>
    </row>
    <row r="952" spans="16:16" ht="15.75" customHeight="1" x14ac:dyDescent="0.3">
      <c r="P952" s="11"/>
    </row>
    <row r="953" spans="16:16" ht="15.75" customHeight="1" x14ac:dyDescent="0.3">
      <c r="P953" s="11"/>
    </row>
    <row r="954" spans="16:16" ht="15.75" customHeight="1" x14ac:dyDescent="0.3">
      <c r="P954" s="11"/>
    </row>
    <row r="955" spans="16:16" ht="15.75" customHeight="1" x14ac:dyDescent="0.3">
      <c r="P955" s="11"/>
    </row>
    <row r="956" spans="16:16" ht="15.75" customHeight="1" x14ac:dyDescent="0.3">
      <c r="P956" s="11"/>
    </row>
    <row r="957" spans="16:16" ht="15.75" customHeight="1" x14ac:dyDescent="0.3">
      <c r="P957" s="11"/>
    </row>
    <row r="958" spans="16:16" ht="15.75" customHeight="1" x14ac:dyDescent="0.3">
      <c r="P958" s="11"/>
    </row>
    <row r="959" spans="16:16" ht="15.75" customHeight="1" x14ac:dyDescent="0.3">
      <c r="P959" s="11"/>
    </row>
    <row r="960" spans="16:16" ht="15.75" customHeight="1" x14ac:dyDescent="0.3">
      <c r="P960" s="11"/>
    </row>
    <row r="961" spans="16:16" ht="15.75" customHeight="1" x14ac:dyDescent="0.3">
      <c r="P961" s="11"/>
    </row>
    <row r="962" spans="16:16" ht="15.75" customHeight="1" x14ac:dyDescent="0.3">
      <c r="P962" s="11"/>
    </row>
    <row r="963" spans="16:16" ht="15.75" customHeight="1" x14ac:dyDescent="0.3">
      <c r="P963" s="11"/>
    </row>
    <row r="964" spans="16:16" ht="15.75" customHeight="1" x14ac:dyDescent="0.3">
      <c r="P964" s="11"/>
    </row>
    <row r="965" spans="16:16" ht="15.75" customHeight="1" x14ac:dyDescent="0.3">
      <c r="P965" s="11"/>
    </row>
    <row r="966" spans="16:16" ht="15.75" customHeight="1" x14ac:dyDescent="0.3">
      <c r="P966" s="11"/>
    </row>
    <row r="967" spans="16:16" ht="15.75" customHeight="1" x14ac:dyDescent="0.3">
      <c r="P967" s="11"/>
    </row>
    <row r="968" spans="16:16" ht="15.75" customHeight="1" x14ac:dyDescent="0.3">
      <c r="P968" s="11"/>
    </row>
    <row r="969" spans="16:16" ht="15.75" customHeight="1" x14ac:dyDescent="0.3">
      <c r="P969" s="11"/>
    </row>
    <row r="970" spans="16:16" ht="15.75" customHeight="1" x14ac:dyDescent="0.3">
      <c r="P970" s="11"/>
    </row>
    <row r="971" spans="16:16" ht="15.75" customHeight="1" x14ac:dyDescent="0.3">
      <c r="P971" s="11"/>
    </row>
    <row r="972" spans="16:16" ht="15.75" customHeight="1" x14ac:dyDescent="0.3">
      <c r="P972" s="11"/>
    </row>
    <row r="973" spans="16:16" ht="15.75" customHeight="1" x14ac:dyDescent="0.3">
      <c r="P973" s="11"/>
    </row>
    <row r="974" spans="16:16" ht="15.75" customHeight="1" x14ac:dyDescent="0.3">
      <c r="P974" s="11"/>
    </row>
    <row r="975" spans="16:16" ht="15.75" customHeight="1" x14ac:dyDescent="0.3">
      <c r="P975" s="11"/>
    </row>
    <row r="976" spans="16:16" ht="15.75" customHeight="1" x14ac:dyDescent="0.3">
      <c r="P976" s="11"/>
    </row>
    <row r="977" spans="16:16" ht="15.75" customHeight="1" x14ac:dyDescent="0.3">
      <c r="P977" s="11"/>
    </row>
    <row r="978" spans="16:16" ht="15.75" customHeight="1" x14ac:dyDescent="0.3">
      <c r="P978" s="11"/>
    </row>
    <row r="979" spans="16:16" ht="15.75" customHeight="1" x14ac:dyDescent="0.3">
      <c r="P979" s="11"/>
    </row>
    <row r="980" spans="16:16" ht="15.75" customHeight="1" x14ac:dyDescent="0.3">
      <c r="P980" s="11"/>
    </row>
    <row r="981" spans="16:16" ht="15.75" customHeight="1" x14ac:dyDescent="0.3">
      <c r="P981" s="11"/>
    </row>
    <row r="982" spans="16:16" ht="15.75" customHeight="1" x14ac:dyDescent="0.3">
      <c r="P982" s="11"/>
    </row>
    <row r="983" spans="16:16" ht="15.75" customHeight="1" x14ac:dyDescent="0.3">
      <c r="P983" s="11"/>
    </row>
    <row r="984" spans="16:16" ht="15.75" customHeight="1" x14ac:dyDescent="0.3">
      <c r="P984" s="11"/>
    </row>
    <row r="985" spans="16:16" ht="15.75" customHeight="1" x14ac:dyDescent="0.3">
      <c r="P985" s="11"/>
    </row>
    <row r="986" spans="16:16" ht="15.75" customHeight="1" x14ac:dyDescent="0.3">
      <c r="P986" s="11"/>
    </row>
    <row r="987" spans="16:16" ht="15.75" customHeight="1" x14ac:dyDescent="0.3">
      <c r="P987" s="11"/>
    </row>
    <row r="988" spans="16:16" ht="15.75" customHeight="1" x14ac:dyDescent="0.3">
      <c r="P988" s="11"/>
    </row>
    <row r="989" spans="16:16" ht="15.75" customHeight="1" x14ac:dyDescent="0.3">
      <c r="P989" s="11"/>
    </row>
    <row r="990" spans="16:16" ht="15.75" customHeight="1" x14ac:dyDescent="0.3">
      <c r="P990" s="11"/>
    </row>
    <row r="991" spans="16:16" ht="15.75" customHeight="1" x14ac:dyDescent="0.3">
      <c r="P991" s="11"/>
    </row>
    <row r="992" spans="16:16" ht="15.75" customHeight="1" x14ac:dyDescent="0.3">
      <c r="P992" s="11"/>
    </row>
    <row r="993" spans="16:16" ht="15.75" customHeight="1" x14ac:dyDescent="0.3">
      <c r="P993" s="11"/>
    </row>
    <row r="994" spans="16:16" ht="15.75" customHeight="1" x14ac:dyDescent="0.3">
      <c r="P994" s="11"/>
    </row>
    <row r="995" spans="16:16" ht="15.75" customHeight="1" x14ac:dyDescent="0.3">
      <c r="P995" s="11"/>
    </row>
    <row r="996" spans="16:16" ht="15.75" customHeight="1" x14ac:dyDescent="0.3">
      <c r="P996" s="11"/>
    </row>
    <row r="997" spans="16:16" ht="15.75" customHeight="1" x14ac:dyDescent="0.3">
      <c r="P997" s="11"/>
    </row>
    <row r="998" spans="16:16" ht="15.75" customHeight="1" x14ac:dyDescent="0.3">
      <c r="P998" s="11"/>
    </row>
    <row r="999" spans="16:16" ht="15.75" customHeight="1" x14ac:dyDescent="0.3">
      <c r="P999" s="11"/>
    </row>
    <row r="1000" spans="16:16" ht="15.75" customHeight="1" x14ac:dyDescent="0.3">
      <c r="P1000" s="11"/>
    </row>
  </sheetData>
  <mergeCells count="6">
    <mergeCell ref="A33:C33"/>
    <mergeCell ref="A1:C1"/>
    <mergeCell ref="E5:G5"/>
    <mergeCell ref="A9:C9"/>
    <mergeCell ref="A21:C21"/>
    <mergeCell ref="A28:C28"/>
  </mergeCells>
  <hyperlinks>
    <hyperlink ref="E6" r:id="rId1" xr:uid="{00000000-0004-0000-0100-000000000000}"/>
    <hyperlink ref="E8" r:id="rId2" xr:uid="{00000000-0004-0000-0100-000001000000}"/>
    <hyperlink ref="A10" r:id="rId3" xr:uid="{00000000-0004-0000-0100-000002000000}"/>
    <hyperlink ref="A11" r:id="rId4" xr:uid="{00000000-0004-0000-0100-000003000000}"/>
    <hyperlink ref="A22" r:id="rId5" xr:uid="{00000000-0004-0000-0100-000004000000}"/>
    <hyperlink ref="A23" r:id="rId6" xr:uid="{00000000-0004-0000-0100-000005000000}"/>
    <hyperlink ref="A24" r:id="rId7" xr:uid="{00000000-0004-0000-0100-000006000000}"/>
    <hyperlink ref="A25" r:id="rId8" xr:uid="{00000000-0004-0000-0100-000007000000}"/>
    <hyperlink ref="A29" r:id="rId9" xr:uid="{00000000-0004-0000-0100-000008000000}"/>
    <hyperlink ref="A30" r:id="rId10" xr:uid="{00000000-0004-0000-0100-000009000000}"/>
    <hyperlink ref="E9" r:id="rId11" display="Wells Fargo - Pool" xr:uid="{447F31EB-DDF6-4407-9696-065E03C7FE91}"/>
    <hyperlink ref="E7" r:id="rId12" display="Lormet" xr:uid="{115BBF13-F01D-41E6-B0EF-46A6ACD8A052}"/>
    <hyperlink ref="E10" r:id="rId13" display="Wells Fargo - Deck" xr:uid="{176CD373-BD22-41C1-83E4-FE88E9626C26}"/>
    <hyperlink ref="E11" r:id="rId14" xr:uid="{BD51C313-7641-4E5E-8F0C-3820B93045B1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0"/>
  <sheetViews>
    <sheetView zoomScale="80" zoomScaleNormal="80" workbookViewId="0">
      <selection activeCell="M27" sqref="M27"/>
    </sheetView>
  </sheetViews>
  <sheetFormatPr defaultColWidth="14.44140625" defaultRowHeight="15" customHeight="1" x14ac:dyDescent="0.3"/>
  <cols>
    <col min="1" max="1" width="12.44140625" bestFit="1" customWidth="1"/>
    <col min="2" max="2" width="13" bestFit="1" customWidth="1"/>
    <col min="3" max="3" width="7.44140625" bestFit="1" customWidth="1"/>
    <col min="4" max="4" width="13" bestFit="1" customWidth="1"/>
    <col min="5" max="5" width="7.44140625" customWidth="1"/>
    <col min="6" max="6" width="7.33203125" customWidth="1"/>
    <col min="7" max="7" width="21.77734375" bestFit="1" customWidth="1"/>
    <col min="8" max="8" width="11.88671875" bestFit="1" customWidth="1"/>
    <col min="9" max="9" width="7.44140625" bestFit="1" customWidth="1"/>
    <col min="10" max="10" width="11.88671875" bestFit="1" customWidth="1"/>
    <col min="11" max="11" width="7.44140625" bestFit="1" customWidth="1"/>
    <col min="12" max="12" width="8.6640625" customWidth="1"/>
    <col min="13" max="13" width="27.6640625" bestFit="1" customWidth="1"/>
    <col min="14" max="14" width="11.88671875" bestFit="1" customWidth="1"/>
    <col min="15" max="15" width="7.44140625" bestFit="1" customWidth="1"/>
    <col min="16" max="16" width="11.88671875" bestFit="1" customWidth="1"/>
    <col min="17" max="17" width="7.44140625" bestFit="1" customWidth="1"/>
    <col min="18" max="18" width="8.6640625" customWidth="1"/>
    <col min="19" max="19" width="19.5546875" bestFit="1" customWidth="1"/>
    <col min="20" max="20" width="11.88671875" bestFit="1" customWidth="1"/>
    <col min="21" max="21" width="7.44140625" bestFit="1" customWidth="1"/>
    <col min="22" max="22" width="12.6640625" bestFit="1" customWidth="1"/>
    <col min="23" max="23" width="8.21875" bestFit="1" customWidth="1"/>
  </cols>
  <sheetData>
    <row r="1" spans="1:23" ht="14.4" x14ac:dyDescent="0.3">
      <c r="A1" s="5"/>
      <c r="B1" s="558" t="s">
        <v>36</v>
      </c>
      <c r="C1" s="557"/>
      <c r="D1" s="559" t="s">
        <v>140</v>
      </c>
      <c r="E1" s="553"/>
      <c r="G1" s="96"/>
      <c r="H1" s="556" t="s">
        <v>36</v>
      </c>
      <c r="I1" s="557"/>
      <c r="J1" s="555" t="s">
        <v>140</v>
      </c>
      <c r="K1" s="553"/>
      <c r="M1" s="96"/>
      <c r="N1" s="556" t="s">
        <v>36</v>
      </c>
      <c r="O1" s="557"/>
      <c r="P1" s="555" t="s">
        <v>140</v>
      </c>
      <c r="Q1" s="553"/>
      <c r="S1" s="96"/>
      <c r="T1" s="556" t="s">
        <v>36</v>
      </c>
      <c r="U1" s="557"/>
      <c r="V1" s="555" t="s">
        <v>140</v>
      </c>
      <c r="W1" s="553"/>
    </row>
    <row r="2" spans="1:23" ht="14.4" x14ac:dyDescent="0.3">
      <c r="A2" s="13" t="s">
        <v>141</v>
      </c>
      <c r="B2" s="14">
        <f>SUM(B4:B7)</f>
        <v>206163.20206191996</v>
      </c>
      <c r="C2" s="97"/>
      <c r="D2" s="30">
        <f>SUM(D4:D7)</f>
        <v>125288.81999999999</v>
      </c>
      <c r="E2" s="20"/>
      <c r="G2" s="98" t="s">
        <v>142</v>
      </c>
      <c r="H2" s="99">
        <f>SUM(H4:H30)</f>
        <v>88260</v>
      </c>
      <c r="I2" s="100">
        <f>H2/B2</f>
        <v>0.42810743681353769</v>
      </c>
      <c r="J2" s="101">
        <f>SUM(J4:J30)</f>
        <v>56851.55999999999</v>
      </c>
      <c r="K2" s="102">
        <f>J2/D2</f>
        <v>0.45376403098057749</v>
      </c>
      <c r="M2" s="98" t="s">
        <v>143</v>
      </c>
      <c r="N2" s="99">
        <f>SUM(N4:N19)</f>
        <v>67740</v>
      </c>
      <c r="O2" s="100">
        <f>N2/B2</f>
        <v>0.32857464049115165</v>
      </c>
      <c r="P2" s="101">
        <f>SUM(P4:P19)</f>
        <v>48492.47</v>
      </c>
      <c r="Q2" s="102">
        <f>P2/D2</f>
        <v>0.38704546822294283</v>
      </c>
      <c r="S2" s="98" t="s">
        <v>144</v>
      </c>
      <c r="T2" s="103">
        <f>SUM(T4:T7)</f>
        <v>50163.202061919961</v>
      </c>
      <c r="U2" s="100">
        <f>T2/B2</f>
        <v>0.24331792269531069</v>
      </c>
      <c r="V2" s="104">
        <f>SUM(V4:V7)</f>
        <v>19944.790000000012</v>
      </c>
      <c r="W2" s="102">
        <f>V2/D2</f>
        <v>0.15919050079647978</v>
      </c>
    </row>
    <row r="3" spans="1:23" ht="14.4" x14ac:dyDescent="0.3">
      <c r="A3" s="13"/>
      <c r="B3" s="14"/>
      <c r="C3" s="97"/>
      <c r="D3" s="30"/>
      <c r="E3" s="20"/>
      <c r="G3" s="105"/>
      <c r="H3" s="106"/>
      <c r="I3" s="107"/>
      <c r="J3" s="108"/>
      <c r="K3" s="109"/>
      <c r="M3" s="105"/>
      <c r="N3" s="106"/>
      <c r="O3" s="107"/>
      <c r="P3" s="108"/>
      <c r="Q3" s="109"/>
      <c r="S3" s="98"/>
      <c r="T3" s="103"/>
      <c r="U3" s="110"/>
      <c r="V3" s="104"/>
      <c r="W3" s="102"/>
    </row>
    <row r="4" spans="1:23" ht="14.4" x14ac:dyDescent="0.3">
      <c r="A4" s="13" t="s">
        <v>145</v>
      </c>
      <c r="B4" s="14">
        <f>'Proposed Budget'!N68</f>
        <v>110347.83093191999</v>
      </c>
      <c r="C4" s="97">
        <f t="shared" ref="C4:C7" si="0">B4/$B$2</f>
        <v>0.53524503804892221</v>
      </c>
      <c r="D4" s="30">
        <f>'Monthly Breakdown'!E49</f>
        <v>63444.34</v>
      </c>
      <c r="E4" s="20">
        <f t="shared" ref="E4:E7" si="1">D4/$D$2</f>
        <v>0.50638468779576662</v>
      </c>
      <c r="G4" s="541" t="str">
        <f>'Proposed Budget'!C5</f>
        <v>Groceries/Household</v>
      </c>
      <c r="H4" s="542">
        <f>'Proposed Budget'!F5</f>
        <v>14400</v>
      </c>
      <c r="I4" s="543">
        <f>H4/$B$2</f>
        <v>6.98475763665867E-2</v>
      </c>
      <c r="J4" s="544">
        <f>'Monthly Breakdown'!E5</f>
        <v>8545.6200000000008</v>
      </c>
      <c r="K4" s="545">
        <f>J4/$D$2</f>
        <v>6.8207362795818502E-2</v>
      </c>
      <c r="M4" s="541" t="str">
        <f>'Proposed Budget'!C6</f>
        <v>Dining Out</v>
      </c>
      <c r="N4" s="542">
        <f>'Proposed Budget'!F6</f>
        <v>14400</v>
      </c>
      <c r="O4" s="543">
        <f t="shared" ref="O4:O12" si="2">N4/$B$2</f>
        <v>6.98475763665867E-2</v>
      </c>
      <c r="P4" s="544">
        <f>'Monthly Breakdown'!E6</f>
        <v>7934.7900000000009</v>
      </c>
      <c r="Q4" s="545">
        <f t="shared" ref="Q4:Q12" si="3">P4/$D$2</f>
        <v>6.3331987642632454E-2</v>
      </c>
      <c r="S4" s="98" t="str">
        <f>'Proposed Budget'!C46</f>
        <v>Our Savings</v>
      </c>
      <c r="T4" s="103">
        <f>'Proposed Budget'!F46</f>
        <v>49563.202061919961</v>
      </c>
      <c r="U4" s="100">
        <f t="shared" ref="U4:U5" si="4">T4/$B$2</f>
        <v>0.24040760701336958</v>
      </c>
      <c r="V4" s="104">
        <f>'Monthly Breakdown'!E46</f>
        <v>33329.74</v>
      </c>
      <c r="W4" s="102">
        <f t="shared" ref="W4:W7" si="5">V4/$D$2</f>
        <v>0.2660232573026069</v>
      </c>
    </row>
    <row r="5" spans="1:23" ht="14.4" x14ac:dyDescent="0.3">
      <c r="A5" s="13" t="s">
        <v>146</v>
      </c>
      <c r="B5" s="14">
        <f>'Proposed Budget'!N44</f>
        <v>71858.371129999985</v>
      </c>
      <c r="C5" s="97">
        <f t="shared" si="0"/>
        <v>0.34855090729730576</v>
      </c>
      <c r="D5" s="30">
        <f>'Monthly Breakdown'!E50</f>
        <v>44800.959999999992</v>
      </c>
      <c r="E5" s="20">
        <f t="shared" si="1"/>
        <v>0.35758146656660983</v>
      </c>
      <c r="G5" s="541" t="str">
        <f>'Proposed Budget'!C7</f>
        <v>Misc Food</v>
      </c>
      <c r="H5" s="542">
        <f>'Proposed Budget'!F7*0.5</f>
        <v>900</v>
      </c>
      <c r="I5" s="543">
        <f>H5/$B$2</f>
        <v>4.3654735229116687E-3</v>
      </c>
      <c r="J5" s="544">
        <f>'Monthly Breakdown'!E7*0.5</f>
        <v>461.03</v>
      </c>
      <c r="K5" s="545">
        <f t="shared" ref="K5:K30" si="6">J5/$D$2</f>
        <v>3.6797377451555533E-3</v>
      </c>
      <c r="M5" s="541" t="str">
        <f>'Proposed Budget'!C7</f>
        <v>Misc Food</v>
      </c>
      <c r="N5" s="542">
        <f>'Proposed Budget'!F7*0.5</f>
        <v>900</v>
      </c>
      <c r="O5" s="543">
        <f>N5/$B$2</f>
        <v>4.3654735229116687E-3</v>
      </c>
      <c r="P5" s="544">
        <f>'Monthly Breakdown'!E7*0.5</f>
        <v>461.03</v>
      </c>
      <c r="Q5" s="545">
        <f>P5/$D$2</f>
        <v>3.6797377451555533E-3</v>
      </c>
      <c r="S5" s="98" t="str">
        <f>'Proposed Budget'!C45</f>
        <v>Kids Savings</v>
      </c>
      <c r="T5" s="103">
        <f>'Proposed Budget'!F45</f>
        <v>600</v>
      </c>
      <c r="U5" s="100">
        <f t="shared" si="4"/>
        <v>2.9103156819411126E-3</v>
      </c>
      <c r="V5" s="104">
        <f>'Monthly Breakdown'!E45</f>
        <v>350</v>
      </c>
      <c r="W5" s="102">
        <f t="shared" si="5"/>
        <v>2.793545345865657E-3</v>
      </c>
    </row>
    <row r="6" spans="1:23" ht="14.4" x14ac:dyDescent="0.3">
      <c r="A6" s="13" t="s">
        <v>147</v>
      </c>
      <c r="B6" s="14">
        <f>'Proposed Budget'!J21</f>
        <v>14357</v>
      </c>
      <c r="C6" s="97">
        <f t="shared" si="0"/>
        <v>6.9639003742714256E-2</v>
      </c>
      <c r="D6" s="30">
        <f>'Monthly Breakdown'!E51</f>
        <v>11443.52</v>
      </c>
      <c r="E6" s="20">
        <f t="shared" si="1"/>
        <v>9.133712010377304E-2</v>
      </c>
      <c r="G6" s="541" t="str">
        <f>'Proposed Budget'!C8</f>
        <v>Gasoline</v>
      </c>
      <c r="H6" s="542">
        <f>'Proposed Budget'!F8</f>
        <v>7200</v>
      </c>
      <c r="I6" s="543">
        <f>H6/$B$2</f>
        <v>3.492378818329335E-2</v>
      </c>
      <c r="J6" s="544">
        <f>'Monthly Breakdown'!E8</f>
        <v>4580.24</v>
      </c>
      <c r="K6" s="545">
        <f>J6/$D$2</f>
        <v>3.6557451814136332E-2</v>
      </c>
      <c r="M6" s="541" t="str">
        <f>'Proposed Budget'!C9</f>
        <v>Family Entertainment</v>
      </c>
      <c r="N6" s="542">
        <f>'Proposed Budget'!F9</f>
        <v>8400</v>
      </c>
      <c r="O6" s="543">
        <f t="shared" si="2"/>
        <v>4.074441954717558E-2</v>
      </c>
      <c r="P6" s="544">
        <f>'Monthly Breakdown'!E9</f>
        <v>4857.7099999999991</v>
      </c>
      <c r="Q6" s="545">
        <f t="shared" si="3"/>
        <v>3.8772094748757306E-2</v>
      </c>
      <c r="S6" s="98" t="s">
        <v>148</v>
      </c>
      <c r="T6" s="103"/>
      <c r="U6" s="100"/>
      <c r="V6" s="104">
        <f>'Budget Breakdown'!T16</f>
        <v>3712.7200000000084</v>
      </c>
      <c r="W6" s="102">
        <f t="shared" si="5"/>
        <v>2.9633290504292472E-2</v>
      </c>
    </row>
    <row r="7" spans="1:23" ht="14.4" x14ac:dyDescent="0.3">
      <c r="A7" s="21" t="s">
        <v>149</v>
      </c>
      <c r="B7" s="33">
        <f>'Proposed Budget'!J22</f>
        <v>9600</v>
      </c>
      <c r="C7" s="111">
        <f t="shared" si="0"/>
        <v>4.6565050911057802E-2</v>
      </c>
      <c r="D7" s="44">
        <f>'Monthly Breakdown'!E52</f>
        <v>5600</v>
      </c>
      <c r="E7" s="34">
        <f t="shared" si="1"/>
        <v>4.4696725533850512E-2</v>
      </c>
      <c r="G7" s="541" t="str">
        <f>'Proposed Budget'!C14</f>
        <v>Rocket Mortgage</v>
      </c>
      <c r="H7" s="542">
        <f>'Proposed Budget'!F14</f>
        <v>15420</v>
      </c>
      <c r="I7" s="543">
        <f t="shared" ref="I7:I30" si="7">H7/$B$2</f>
        <v>7.4795113025886595E-2</v>
      </c>
      <c r="J7" s="544">
        <f>'Monthly Breakdown'!E14</f>
        <v>8821.16</v>
      </c>
      <c r="K7" s="545">
        <f t="shared" si="6"/>
        <v>7.0406601323246568E-2</v>
      </c>
      <c r="M7" s="541" t="str">
        <f>'Proposed Budget'!C10</f>
        <v>Miscellaneous Spending</v>
      </c>
      <c r="N7" s="542">
        <f>'Proposed Budget'!F10</f>
        <v>10800</v>
      </c>
      <c r="O7" s="543">
        <f>N7/$B$2</f>
        <v>5.2385682274940025E-2</v>
      </c>
      <c r="P7" s="544">
        <f>'Monthly Breakdown'!E10</f>
        <v>5600.55</v>
      </c>
      <c r="Q7" s="545">
        <f>P7/$D$2</f>
        <v>4.4701115390822582E-2</v>
      </c>
      <c r="S7" s="112" t="s">
        <v>150</v>
      </c>
      <c r="T7" s="113"/>
      <c r="U7" s="114"/>
      <c r="V7" s="115">
        <f>'Savings Transaction Log'!I2+'Savings Transaction Log'!K2+'Savings Transaction Log'!M2+'Savings Transaction Log'!O2+'Savings Transaction Log'!Q2+'Savings Transaction Log'!S2+'Savings Transaction Log'!U2+'Savings Transaction Log'!W2+'Savings Transaction Log'!Y2+'Savings Transaction Log'!AA2+'Savings Transaction Log'!AC2</f>
        <v>-17447.669999999995</v>
      </c>
      <c r="W7" s="116">
        <f t="shared" si="5"/>
        <v>-0.13925959235628524</v>
      </c>
    </row>
    <row r="8" spans="1:23" ht="14.4" x14ac:dyDescent="0.3">
      <c r="B8" s="7"/>
      <c r="C8" s="117"/>
      <c r="D8" s="39"/>
      <c r="E8" s="50"/>
      <c r="G8" s="541" t="str">
        <f>'Proposed Budget'!C15</f>
        <v>EH Roberts</v>
      </c>
      <c r="H8" s="542">
        <f>'Proposed Budget'!F15</f>
        <v>240</v>
      </c>
      <c r="I8" s="543">
        <f t="shared" ref="I8:I16" si="8">H8/$B$2</f>
        <v>1.164126272776445E-3</v>
      </c>
      <c r="J8" s="544">
        <f>'Monthly Breakdown'!E15</f>
        <v>125.30000000000001</v>
      </c>
      <c r="K8" s="545">
        <f t="shared" ref="K8:K16" si="9">J8/$D$2</f>
        <v>1.0000892338199053E-3</v>
      </c>
      <c r="M8" s="541" t="str">
        <f>'Proposed Budget'!C11</f>
        <v>Department Stores/Clothes</v>
      </c>
      <c r="N8" s="542">
        <f>'Proposed Budget'!F11</f>
        <v>4200</v>
      </c>
      <c r="O8" s="543">
        <f>N8/$B$2</f>
        <v>2.037220977358779E-2</v>
      </c>
      <c r="P8" s="544">
        <f>'Monthly Breakdown'!E11</f>
        <v>2164.16</v>
      </c>
      <c r="Q8" s="545">
        <f>P8/$D$2</f>
        <v>1.7273368844881769E-2</v>
      </c>
      <c r="T8" s="7"/>
      <c r="U8" s="11"/>
      <c r="V8" s="7"/>
      <c r="W8" s="50"/>
    </row>
    <row r="9" spans="1:23" ht="14.4" x14ac:dyDescent="0.3">
      <c r="D9" s="39"/>
      <c r="E9" s="50"/>
      <c r="G9" s="541" t="str">
        <f>'Proposed Budget'!C16</f>
        <v>Verizon Wireless</v>
      </c>
      <c r="H9" s="542">
        <f>'Proposed Budget'!F16</f>
        <v>3240</v>
      </c>
      <c r="I9" s="543">
        <f t="shared" si="8"/>
        <v>1.5715704682482009E-2</v>
      </c>
      <c r="J9" s="544">
        <f>'Monthly Breakdown'!E16</f>
        <v>2076.7600000000002</v>
      </c>
      <c r="K9" s="545">
        <f t="shared" si="9"/>
        <v>1.6575780664228462E-2</v>
      </c>
      <c r="M9" s="541" t="str">
        <f>'Proposed Budget'!C12</f>
        <v>Alcohol/Bars</v>
      </c>
      <c r="N9" s="542">
        <f>'Proposed Budget'!F12</f>
        <v>8400</v>
      </c>
      <c r="O9" s="543">
        <f t="shared" si="2"/>
        <v>4.074441954717558E-2</v>
      </c>
      <c r="P9" s="544">
        <f>'Monthly Breakdown'!E12</f>
        <v>5504.38</v>
      </c>
      <c r="Q9" s="545">
        <f t="shared" si="3"/>
        <v>4.3933528945360012E-2</v>
      </c>
      <c r="T9" s="7"/>
      <c r="U9" s="11"/>
      <c r="V9" s="7"/>
      <c r="W9" s="50"/>
    </row>
    <row r="10" spans="1:23" ht="14.4" x14ac:dyDescent="0.3">
      <c r="A10" s="65"/>
      <c r="D10" s="39"/>
      <c r="E10" s="50"/>
      <c r="G10" s="541" t="str">
        <f>'Proposed Budget'!C17</f>
        <v>Spectrum TV/Internet</v>
      </c>
      <c r="H10" s="542">
        <f>'Proposed Budget'!F17*0.5</f>
        <v>1230</v>
      </c>
      <c r="I10" s="543">
        <f t="shared" si="8"/>
        <v>5.9661471479792814E-3</v>
      </c>
      <c r="J10" s="544">
        <f>'Monthly Breakdown'!E17*0.5</f>
        <v>720.97500000000002</v>
      </c>
      <c r="K10" s="545">
        <f t="shared" si="9"/>
        <v>5.7545038735299769E-3</v>
      </c>
      <c r="M10" s="541" t="str">
        <f>'Proposed Budget'!C17</f>
        <v>Spectrum TV/Internet</v>
      </c>
      <c r="N10" s="542">
        <f>'Proposed Budget'!F17*0.5</f>
        <v>1230</v>
      </c>
      <c r="O10" s="543">
        <f>N10/$B$2</f>
        <v>5.9661471479792814E-3</v>
      </c>
      <c r="P10" s="544">
        <f>'Monthly Breakdown'!E17*0.5</f>
        <v>720.97500000000002</v>
      </c>
      <c r="Q10" s="545">
        <f>P10/$D$2</f>
        <v>5.7545038735299769E-3</v>
      </c>
      <c r="T10" s="7"/>
      <c r="U10" s="11"/>
      <c r="V10" s="7"/>
      <c r="W10" s="50"/>
    </row>
    <row r="11" spans="1:23" ht="14.4" x14ac:dyDescent="0.3">
      <c r="A11" s="65"/>
      <c r="D11" s="39"/>
      <c r="E11" s="50"/>
      <c r="G11" s="541" t="str">
        <f>'Proposed Budget'!C18</f>
        <v>First Energy</v>
      </c>
      <c r="H11" s="542">
        <f>'Proposed Budget'!F18</f>
        <v>2160</v>
      </c>
      <c r="I11" s="543">
        <f t="shared" si="8"/>
        <v>1.0477136454988005E-2</v>
      </c>
      <c r="J11" s="544">
        <f>'Monthly Breakdown'!E18</f>
        <v>1029.6500000000001</v>
      </c>
      <c r="K11" s="545">
        <f t="shared" si="9"/>
        <v>8.2182113296302116E-3</v>
      </c>
      <c r="M11" s="541" t="str">
        <f>'Proposed Budget'!C22</f>
        <v>Planet Fitness</v>
      </c>
      <c r="N11" s="542">
        <f>'Proposed Budget'!F22</f>
        <v>1740</v>
      </c>
      <c r="O11" s="543">
        <f>N11/$B$2</f>
        <v>8.4399154776292271E-3</v>
      </c>
      <c r="P11" s="544">
        <f>'Monthly Breakdown'!E22</f>
        <v>1313.13</v>
      </c>
      <c r="Q11" s="545">
        <f>P11/$D$2</f>
        <v>1.0480823428618773E-2</v>
      </c>
      <c r="T11" s="7"/>
      <c r="U11" s="11"/>
      <c r="V11" s="7"/>
      <c r="W11" s="50"/>
    </row>
    <row r="12" spans="1:23" ht="14.4" x14ac:dyDescent="0.3">
      <c r="D12" s="39"/>
      <c r="E12" s="50"/>
      <c r="G12" s="541" t="str">
        <f>'Proposed Budget'!C19</f>
        <v>Vivint Home Security</v>
      </c>
      <c r="H12" s="542">
        <f>'Proposed Budget'!F19</f>
        <v>1680</v>
      </c>
      <c r="I12" s="543">
        <f t="shared" si="8"/>
        <v>8.1488839094351149E-3</v>
      </c>
      <c r="J12" s="544">
        <f>'Monthly Breakdown'!E19</f>
        <v>1024.1600000000001</v>
      </c>
      <c r="K12" s="545">
        <f t="shared" si="9"/>
        <v>8.1743925754907756E-3</v>
      </c>
      <c r="M12" s="541" t="str">
        <f>'Proposed Budget'!C23</f>
        <v>Lowes Rewards</v>
      </c>
      <c r="N12" s="542">
        <f>'Proposed Budget'!F23*0.5</f>
        <v>2400</v>
      </c>
      <c r="O12" s="543">
        <f t="shared" si="2"/>
        <v>1.1641262727764451E-2</v>
      </c>
      <c r="P12" s="544">
        <f>'Monthly Breakdown'!E23*0.5</f>
        <v>1000</v>
      </c>
      <c r="Q12" s="545">
        <f t="shared" si="3"/>
        <v>7.9815581310447338E-3</v>
      </c>
      <c r="T12" s="7"/>
      <c r="U12" s="11"/>
      <c r="V12" s="7"/>
      <c r="W12" s="50"/>
    </row>
    <row r="13" spans="1:23" ht="14.4" x14ac:dyDescent="0.3">
      <c r="A13" s="118"/>
      <c r="D13" s="39"/>
      <c r="E13" s="50"/>
      <c r="G13" s="541" t="str">
        <f>'Proposed Budget'!C20</f>
        <v>Columbia Gas</v>
      </c>
      <c r="H13" s="542">
        <f>'Proposed Budget'!F20</f>
        <v>1200</v>
      </c>
      <c r="I13" s="543">
        <f t="shared" si="8"/>
        <v>5.8206313638822253E-3</v>
      </c>
      <c r="J13" s="544">
        <f>'Monthly Breakdown'!E20</f>
        <v>879.71</v>
      </c>
      <c r="K13" s="545">
        <f t="shared" si="9"/>
        <v>7.0214565034613634E-3</v>
      </c>
      <c r="M13" s="541" t="str">
        <f>'Proposed Budget'!C24</f>
        <v>Wells Fargo - Pool</v>
      </c>
      <c r="N13" s="542">
        <f>'Proposed Budget'!F24</f>
        <v>2400</v>
      </c>
      <c r="O13" s="543">
        <f t="shared" ref="O13:O18" si="10">N13/$B$2</f>
        <v>1.1641262727764451E-2</v>
      </c>
      <c r="P13" s="544">
        <f>'Monthly Breakdown'!E24</f>
        <v>1400</v>
      </c>
      <c r="Q13" s="545">
        <f t="shared" ref="Q13:Q18" si="11">P13/$D$2</f>
        <v>1.1174181383462628E-2</v>
      </c>
      <c r="T13" s="7"/>
      <c r="U13" s="11"/>
      <c r="V13" s="7"/>
      <c r="W13" s="50"/>
    </row>
    <row r="14" spans="1:23" ht="14.4" x14ac:dyDescent="0.3">
      <c r="D14" s="39"/>
      <c r="E14" s="50"/>
      <c r="G14" s="541" t="str">
        <f>'Proposed Budget'!C21</f>
        <v>Medical Bills</v>
      </c>
      <c r="H14" s="542">
        <f>'Proposed Budget'!F21</f>
        <v>0</v>
      </c>
      <c r="I14" s="543">
        <f t="shared" si="8"/>
        <v>0</v>
      </c>
      <c r="J14" s="544">
        <f>'Monthly Breakdown'!E21</f>
        <v>897.36999999999989</v>
      </c>
      <c r="K14" s="545">
        <f t="shared" si="9"/>
        <v>7.1624108200556121E-3</v>
      </c>
      <c r="M14" s="541" t="str">
        <f>'Proposed Budget'!C25</f>
        <v>Wells Fargo - Deck</v>
      </c>
      <c r="N14" s="542">
        <f>'Proposed Budget'!F25*0.5</f>
        <v>3600</v>
      </c>
      <c r="O14" s="543">
        <f t="shared" si="10"/>
        <v>1.7461894091646675E-2</v>
      </c>
      <c r="P14" s="544">
        <f>'Monthly Breakdown'!E25*0.5</f>
        <v>900</v>
      </c>
      <c r="Q14" s="545">
        <f t="shared" si="11"/>
        <v>7.1834023179402602E-3</v>
      </c>
      <c r="T14" s="7"/>
      <c r="U14" s="11"/>
      <c r="V14" s="7"/>
      <c r="W14" s="50"/>
    </row>
    <row r="15" spans="1:23" ht="14.4" x14ac:dyDescent="0.3">
      <c r="D15" s="39"/>
      <c r="E15" s="50"/>
      <c r="G15" s="541" t="str">
        <f>'Proposed Budget'!C23</f>
        <v>Lowes Rewards</v>
      </c>
      <c r="H15" s="542">
        <f>'Proposed Budget'!F23*0.5</f>
        <v>2400</v>
      </c>
      <c r="I15" s="543">
        <f t="shared" si="8"/>
        <v>1.1641262727764451E-2</v>
      </c>
      <c r="J15" s="544">
        <f>'Monthly Breakdown'!E23*0.5</f>
        <v>1000</v>
      </c>
      <c r="K15" s="545">
        <f t="shared" si="9"/>
        <v>7.9815581310447338E-3</v>
      </c>
      <c r="M15" s="541" t="str">
        <f>'Proposed Budget'!C26</f>
        <v>Massage Envy</v>
      </c>
      <c r="N15" s="542">
        <f>'Proposed Budget'!F26</f>
        <v>1020</v>
      </c>
      <c r="O15" s="543">
        <f t="shared" si="10"/>
        <v>4.9475366592998914E-3</v>
      </c>
      <c r="P15" s="544">
        <f>'Monthly Breakdown'!E26</f>
        <v>691.73000000000013</v>
      </c>
      <c r="Q15" s="545">
        <f t="shared" si="11"/>
        <v>5.5210832059875746E-3</v>
      </c>
      <c r="T15" s="7"/>
      <c r="U15" s="11"/>
      <c r="V15" s="7"/>
      <c r="W15" s="50"/>
    </row>
    <row r="16" spans="1:23" ht="14.4" x14ac:dyDescent="0.3">
      <c r="D16" s="39"/>
      <c r="E16" s="50"/>
      <c r="G16" s="541" t="str">
        <f>'Proposed Budget'!C25</f>
        <v>Wells Fargo - Deck</v>
      </c>
      <c r="H16" s="542">
        <f>'Proposed Budget'!F25*0.5</f>
        <v>3600</v>
      </c>
      <c r="I16" s="543">
        <f t="shared" si="8"/>
        <v>1.7461894091646675E-2</v>
      </c>
      <c r="J16" s="544">
        <f>'Monthly Breakdown'!E25*0.5</f>
        <v>900</v>
      </c>
      <c r="K16" s="545">
        <f t="shared" si="9"/>
        <v>7.1834023179402602E-3</v>
      </c>
      <c r="M16" s="541" t="str">
        <f>'Proposed Budget'!C27</f>
        <v>Streaming/Music</v>
      </c>
      <c r="N16" s="542">
        <f>'Proposed Budget'!F27</f>
        <v>1200</v>
      </c>
      <c r="O16" s="543">
        <f t="shared" si="10"/>
        <v>5.8206313638822253E-3</v>
      </c>
      <c r="P16" s="544">
        <f>'Monthly Breakdown'!E27</f>
        <v>789.70999999999992</v>
      </c>
      <c r="Q16" s="545">
        <f t="shared" si="11"/>
        <v>6.3031162716673363E-3</v>
      </c>
      <c r="T16" s="7"/>
      <c r="U16" s="11"/>
      <c r="V16" s="7"/>
      <c r="W16" s="50"/>
    </row>
    <row r="17" spans="7:17" ht="14.4" x14ac:dyDescent="0.3">
      <c r="G17" s="541" t="str">
        <f>'Proposed Budget'!C28</f>
        <v>GM Financial/Toyota</v>
      </c>
      <c r="H17" s="542">
        <f>'Proposed Budget'!F28</f>
        <v>14400</v>
      </c>
      <c r="I17" s="543">
        <f t="shared" si="7"/>
        <v>6.98475763665867E-2</v>
      </c>
      <c r="J17" s="544">
        <f>'Monthly Breakdown'!E28</f>
        <v>7560.4800000000014</v>
      </c>
      <c r="K17" s="545">
        <f t="shared" si="6"/>
        <v>6.0344410618601102E-2</v>
      </c>
      <c r="M17" s="541" t="str">
        <f>'Proposed Budget'!C38</f>
        <v>Camping/Vacation</v>
      </c>
      <c r="N17" s="542">
        <f>'Proposed Budget'!F38</f>
        <v>4800</v>
      </c>
      <c r="O17" s="543">
        <f t="shared" si="10"/>
        <v>2.3282525455528901E-2</v>
      </c>
      <c r="P17" s="544">
        <f>'Savings Transaction Log'!R5</f>
        <v>6528.84</v>
      </c>
      <c r="Q17" s="545">
        <f t="shared" si="11"/>
        <v>5.21103159882901E-2</v>
      </c>
    </row>
    <row r="18" spans="7:17" ht="14.4" x14ac:dyDescent="0.3">
      <c r="G18" s="541" t="str">
        <f>'Proposed Budget'!C29</f>
        <v>Ohio Turnpike</v>
      </c>
      <c r="H18" s="542">
        <f>'Proposed Budget'!F29</f>
        <v>1440</v>
      </c>
      <c r="I18" s="543">
        <f t="shared" ref="I18:I25" si="12">H18/$B$2</f>
        <v>6.9847576366586705E-3</v>
      </c>
      <c r="J18" s="544">
        <f>'Monthly Breakdown'!E29</f>
        <v>755.41000000000008</v>
      </c>
      <c r="K18" s="545">
        <f t="shared" ref="K18:K25" si="13">J18/$D$2</f>
        <v>6.0293488277725028E-3</v>
      </c>
      <c r="M18" s="541" t="str">
        <f>'Proposed Budget'!C39</f>
        <v>Home Maintenance</v>
      </c>
      <c r="N18" s="542">
        <f>'Proposed Budget'!F39*0.5</f>
        <v>2250</v>
      </c>
      <c r="O18" s="543">
        <f t="shared" si="10"/>
        <v>1.0913683807279173E-2</v>
      </c>
      <c r="P18" s="544">
        <f>'Savings Transaction Log'!T5*0.5</f>
        <v>8625.4649999999983</v>
      </c>
      <c r="Q18" s="545">
        <f t="shared" si="11"/>
        <v>6.8844650304791755E-2</v>
      </c>
    </row>
    <row r="19" spans="7:17" ht="14.4" x14ac:dyDescent="0.3">
      <c r="G19" s="541" t="str">
        <f>'Proposed Budget'!C30</f>
        <v>Water Bill - Main</v>
      </c>
      <c r="H19" s="542">
        <f>'Proposed Budget'!F30</f>
        <v>900</v>
      </c>
      <c r="I19" s="543">
        <f t="shared" si="12"/>
        <v>4.3654735229116687E-3</v>
      </c>
      <c r="J19" s="544">
        <f>'Monthly Breakdown'!E30</f>
        <v>697.27</v>
      </c>
      <c r="K19" s="545">
        <f t="shared" si="13"/>
        <v>5.5653010380335615E-3</v>
      </c>
      <c r="N19" s="11"/>
      <c r="O19" s="11"/>
      <c r="P19" s="11"/>
      <c r="Q19" s="11"/>
    </row>
    <row r="20" spans="7:17" ht="14.4" x14ac:dyDescent="0.3">
      <c r="G20" s="541" t="str">
        <f>'Proposed Budget'!C31</f>
        <v>Water Bill - Rental</v>
      </c>
      <c r="H20" s="542">
        <f>'Proposed Budget'!F31</f>
        <v>900</v>
      </c>
      <c r="I20" s="543">
        <f t="shared" si="12"/>
        <v>4.3654735229116687E-3</v>
      </c>
      <c r="J20" s="544">
        <f>'Monthly Breakdown'!E31</f>
        <v>483.06000000000006</v>
      </c>
      <c r="K20" s="545">
        <f t="shared" si="13"/>
        <v>3.8555714707824698E-3</v>
      </c>
      <c r="N20" s="39"/>
      <c r="O20" s="50"/>
      <c r="P20" s="39"/>
      <c r="Q20" s="50"/>
    </row>
    <row r="21" spans="7:17" ht="15.75" customHeight="1" x14ac:dyDescent="0.3">
      <c r="G21" s="541" t="str">
        <f>'Proposed Budget'!C33</f>
        <v>Vehicle Maintenance</v>
      </c>
      <c r="H21" s="542">
        <f>'Proposed Budget'!F33</f>
        <v>4200</v>
      </c>
      <c r="I21" s="543">
        <f t="shared" si="12"/>
        <v>2.037220977358779E-2</v>
      </c>
      <c r="J21" s="544">
        <f>'Savings Transaction Log'!H5</f>
        <v>1616.6400000000003</v>
      </c>
      <c r="K21" s="545">
        <f t="shared" si="13"/>
        <v>1.2903306136972161E-2</v>
      </c>
      <c r="N21" s="39"/>
      <c r="O21" s="50"/>
      <c r="P21" s="39"/>
      <c r="Q21" s="50"/>
    </row>
    <row r="22" spans="7:17" ht="15.75" customHeight="1" x14ac:dyDescent="0.3">
      <c r="G22" s="541" t="str">
        <f>'Proposed Budget'!C34</f>
        <v>Car Insurance</v>
      </c>
      <c r="H22" s="542">
        <f>'Proposed Budget'!F34</f>
        <v>3840</v>
      </c>
      <c r="I22" s="543">
        <f t="shared" si="12"/>
        <v>1.862602036442312E-2</v>
      </c>
      <c r="J22" s="544">
        <f>'Savings Transaction Log'!J5</f>
        <v>2159</v>
      </c>
      <c r="K22" s="545">
        <f t="shared" si="13"/>
        <v>1.7232184004925582E-2</v>
      </c>
      <c r="N22" s="39"/>
      <c r="O22" s="11"/>
      <c r="P22" s="39"/>
      <c r="Q22" s="50"/>
    </row>
    <row r="23" spans="7:17" ht="15.75" customHeight="1" x14ac:dyDescent="0.3">
      <c r="G23" s="541" t="str">
        <f>'Proposed Budget'!C35</f>
        <v>Rental Garbage</v>
      </c>
      <c r="H23" s="542">
        <f>'Proposed Budget'!F35</f>
        <v>300</v>
      </c>
      <c r="I23" s="543">
        <f t="shared" si="12"/>
        <v>1.4551578409705563E-3</v>
      </c>
      <c r="J23" s="544">
        <f>'Savings Transaction Log'!L5</f>
        <v>193.53</v>
      </c>
      <c r="K23" s="545">
        <f t="shared" si="13"/>
        <v>1.5446709451010874E-3</v>
      </c>
      <c r="N23" s="39"/>
      <c r="O23" s="11"/>
      <c r="P23" s="39"/>
      <c r="Q23" s="50"/>
    </row>
    <row r="24" spans="7:17" ht="15.75" customHeight="1" x14ac:dyDescent="0.3">
      <c r="G24" s="541" t="str">
        <f>'Proposed Budget'!C36</f>
        <v>Garbage</v>
      </c>
      <c r="H24" s="542">
        <f>'Proposed Budget'!F36</f>
        <v>300</v>
      </c>
      <c r="I24" s="543">
        <f t="shared" si="12"/>
        <v>1.4551578409705563E-3</v>
      </c>
      <c r="J24" s="544">
        <f>'Savings Transaction Log'!N5</f>
        <v>193.53</v>
      </c>
      <c r="K24" s="545">
        <f t="shared" si="13"/>
        <v>1.5446709451010874E-3</v>
      </c>
      <c r="N24" s="11"/>
      <c r="O24" s="11"/>
      <c r="P24" s="11"/>
      <c r="Q24" s="11"/>
    </row>
    <row r="25" spans="7:17" ht="15.75" customHeight="1" x14ac:dyDescent="0.3">
      <c r="G25" s="541" t="str">
        <f>'Proposed Budget'!C37</f>
        <v>Sanitation - Main</v>
      </c>
      <c r="H25" s="542">
        <f>'Proposed Budget'!F37</f>
        <v>540</v>
      </c>
      <c r="I25" s="543">
        <f t="shared" si="12"/>
        <v>2.6192841137470013E-3</v>
      </c>
      <c r="J25" s="544">
        <f>'Savings Transaction Log'!P5</f>
        <v>278.45999999999998</v>
      </c>
      <c r="K25" s="545">
        <f t="shared" si="13"/>
        <v>2.2225446771707165E-3</v>
      </c>
      <c r="N25" s="11"/>
      <c r="O25" s="11"/>
      <c r="P25" s="11"/>
      <c r="Q25" s="11"/>
    </row>
    <row r="26" spans="7:17" ht="15.75" customHeight="1" x14ac:dyDescent="0.3">
      <c r="G26" s="541" t="str">
        <f>'Proposed Budget'!C39</f>
        <v>Home Maintenance</v>
      </c>
      <c r="H26" s="542">
        <f>'Proposed Budget'!F39*0.5</f>
        <v>2250</v>
      </c>
      <c r="I26" s="543">
        <f t="shared" si="7"/>
        <v>1.0913683807279173E-2</v>
      </c>
      <c r="J26" s="544">
        <f>'Savings Transaction Log'!T5*0.5</f>
        <v>8625.4649999999983</v>
      </c>
      <c r="K26" s="545">
        <f t="shared" si="6"/>
        <v>6.8844650304791755E-2</v>
      </c>
      <c r="N26" s="11"/>
      <c r="O26" s="11"/>
      <c r="P26" s="11"/>
      <c r="Q26" s="11"/>
    </row>
    <row r="27" spans="7:17" ht="15.75" customHeight="1" x14ac:dyDescent="0.3">
      <c r="G27" s="541" t="str">
        <f>'Proposed Budget'!C40</f>
        <v>Rental Repairs</v>
      </c>
      <c r="H27" s="542">
        <f>'Proposed Budget'!F40</f>
        <v>1200</v>
      </c>
      <c r="I27" s="543">
        <f>H27/$B$2</f>
        <v>5.8206313638822253E-3</v>
      </c>
      <c r="J27" s="544">
        <f>'Savings Transaction Log'!V5</f>
        <v>0</v>
      </c>
      <c r="K27" s="545">
        <f>J27/$D$2</f>
        <v>0</v>
      </c>
      <c r="N27" s="11"/>
      <c r="O27" s="11"/>
      <c r="P27" s="11"/>
      <c r="Q27" s="11"/>
    </row>
    <row r="28" spans="7:17" ht="15.75" customHeight="1" x14ac:dyDescent="0.3">
      <c r="G28" s="541" t="str">
        <f>'Proposed Budget'!C41</f>
        <v>Rental Insurance</v>
      </c>
      <c r="H28" s="542">
        <f>'Proposed Budget'!F41</f>
        <v>1020</v>
      </c>
      <c r="I28" s="543">
        <f>H28/$B$2</f>
        <v>4.9475366592998914E-3</v>
      </c>
      <c r="J28" s="544">
        <f>'Savings Transaction Log'!X5</f>
        <v>500.5</v>
      </c>
      <c r="K28" s="545">
        <f>J28/$D$2</f>
        <v>3.9947698445878897E-3</v>
      </c>
      <c r="N28" s="11"/>
      <c r="O28" s="11"/>
      <c r="P28" s="11"/>
      <c r="Q28" s="11"/>
    </row>
    <row r="29" spans="7:17" ht="15.75" customHeight="1" x14ac:dyDescent="0.3">
      <c r="G29" s="541" t="str">
        <f>'Proposed Budget'!C42</f>
        <v>Rental Property Taxes</v>
      </c>
      <c r="H29" s="542">
        <f>'Proposed Budget'!F42</f>
        <v>2760</v>
      </c>
      <c r="I29" s="543">
        <f t="shared" si="7"/>
        <v>1.3387452136929118E-2</v>
      </c>
      <c r="J29" s="544">
        <f>'Savings Transaction Log'!Z5</f>
        <v>2447.7800000000002</v>
      </c>
      <c r="K29" s="545">
        <f t="shared" si="6"/>
        <v>1.9537098362008679E-2</v>
      </c>
      <c r="N29" s="11"/>
      <c r="O29" s="11"/>
      <c r="P29" s="11"/>
      <c r="Q29" s="11"/>
    </row>
    <row r="30" spans="7:17" ht="15.75" customHeight="1" x14ac:dyDescent="0.3">
      <c r="G30" s="541" t="str">
        <f>'Proposed Budget'!C43</f>
        <v>Rental Sanitation</v>
      </c>
      <c r="H30" s="542">
        <f>'Proposed Budget'!F43</f>
        <v>540</v>
      </c>
      <c r="I30" s="543">
        <f t="shared" si="7"/>
        <v>2.6192841137470013E-3</v>
      </c>
      <c r="J30" s="544">
        <f>'Savings Transaction Log'!AB5</f>
        <v>278.45999999999998</v>
      </c>
      <c r="K30" s="545">
        <f t="shared" si="6"/>
        <v>2.2225446771707165E-3</v>
      </c>
      <c r="N30" s="11"/>
      <c r="O30" s="11"/>
      <c r="P30" s="11"/>
      <c r="Q30" s="11"/>
    </row>
    <row r="31" spans="7:17" ht="15.75" customHeight="1" x14ac:dyDescent="0.3">
      <c r="N31" s="11"/>
      <c r="O31" s="11"/>
      <c r="P31" s="11"/>
      <c r="Q31" s="11"/>
    </row>
    <row r="32" spans="7:17" ht="15.75" customHeight="1" x14ac:dyDescent="0.3">
      <c r="N32" s="11"/>
      <c r="O32" s="11"/>
      <c r="P32" s="11"/>
      <c r="Q32" s="11"/>
    </row>
    <row r="33" spans="14:17" ht="15.75" customHeight="1" x14ac:dyDescent="0.3">
      <c r="N33" s="11"/>
      <c r="O33" s="11"/>
      <c r="P33" s="11"/>
      <c r="Q33" s="11"/>
    </row>
    <row r="34" spans="14:17" ht="15.75" customHeight="1" x14ac:dyDescent="0.3">
      <c r="N34" s="11"/>
      <c r="O34" s="11"/>
      <c r="P34" s="11"/>
      <c r="Q34" s="11"/>
    </row>
    <row r="35" spans="14:17" ht="15.75" customHeight="1" x14ac:dyDescent="0.3">
      <c r="N35" s="11"/>
      <c r="O35" s="11"/>
      <c r="P35" s="11"/>
      <c r="Q35" s="11"/>
    </row>
    <row r="36" spans="14:17" ht="15.75" customHeight="1" x14ac:dyDescent="0.3">
      <c r="N36" s="11"/>
      <c r="O36" s="11"/>
      <c r="P36" s="11"/>
      <c r="Q36" s="11"/>
    </row>
    <row r="37" spans="14:17" ht="15.75" customHeight="1" x14ac:dyDescent="0.3">
      <c r="N37" s="11"/>
      <c r="O37" s="11"/>
      <c r="P37" s="11"/>
      <c r="Q37" s="11"/>
    </row>
    <row r="38" spans="14:17" ht="15.75" customHeight="1" x14ac:dyDescent="0.3">
      <c r="N38" s="11"/>
      <c r="O38" s="11"/>
      <c r="P38" s="11"/>
      <c r="Q38" s="11"/>
    </row>
    <row r="39" spans="14:17" ht="15.75" customHeight="1" x14ac:dyDescent="0.3">
      <c r="N39" s="11"/>
      <c r="O39" s="11"/>
      <c r="P39" s="11"/>
      <c r="Q39" s="11"/>
    </row>
    <row r="40" spans="14:17" ht="15.75" customHeight="1" x14ac:dyDescent="0.3">
      <c r="N40" s="11"/>
      <c r="O40" s="11"/>
      <c r="P40" s="11"/>
      <c r="Q40" s="11"/>
    </row>
    <row r="41" spans="14:17" ht="15.75" customHeight="1" x14ac:dyDescent="0.3">
      <c r="N41" s="11"/>
      <c r="O41" s="11"/>
      <c r="P41" s="11"/>
      <c r="Q41" s="11"/>
    </row>
    <row r="42" spans="14:17" ht="15.75" customHeight="1" x14ac:dyDescent="0.3">
      <c r="N42" s="11"/>
      <c r="O42" s="11"/>
      <c r="P42" s="11"/>
      <c r="Q42" s="11"/>
    </row>
    <row r="43" spans="14:17" ht="15.75" customHeight="1" x14ac:dyDescent="0.3">
      <c r="N43" s="11"/>
      <c r="O43" s="11"/>
      <c r="P43" s="11"/>
      <c r="Q43" s="11"/>
    </row>
    <row r="44" spans="14:17" ht="15.75" customHeight="1" x14ac:dyDescent="0.3">
      <c r="N44" s="11"/>
      <c r="O44" s="11"/>
      <c r="P44" s="11"/>
      <c r="Q44" s="11"/>
    </row>
    <row r="45" spans="14:17" ht="15.75" customHeight="1" x14ac:dyDescent="0.3">
      <c r="N45" s="11"/>
      <c r="O45" s="11"/>
      <c r="P45" s="11"/>
      <c r="Q45" s="11"/>
    </row>
    <row r="46" spans="14:17" ht="15.75" customHeight="1" x14ac:dyDescent="0.3">
      <c r="N46" s="11"/>
      <c r="O46" s="11"/>
      <c r="P46" s="11"/>
      <c r="Q46" s="11"/>
    </row>
    <row r="47" spans="14:17" ht="15.75" customHeight="1" x14ac:dyDescent="0.3">
      <c r="N47" s="11"/>
      <c r="O47" s="11"/>
      <c r="P47" s="11"/>
      <c r="Q47" s="11"/>
    </row>
    <row r="48" spans="14:17" ht="15.75" customHeight="1" x14ac:dyDescent="0.3">
      <c r="N48" s="11"/>
      <c r="O48" s="11"/>
      <c r="P48" s="11"/>
      <c r="Q48" s="11"/>
    </row>
    <row r="49" spans="14:17" ht="15.75" customHeight="1" x14ac:dyDescent="0.3">
      <c r="N49" s="11"/>
      <c r="O49" s="11"/>
      <c r="P49" s="11"/>
      <c r="Q49" s="11"/>
    </row>
    <row r="50" spans="14:17" ht="15.75" customHeight="1" x14ac:dyDescent="0.3">
      <c r="N50" s="11"/>
      <c r="O50" s="11"/>
      <c r="P50" s="11"/>
      <c r="Q50" s="11"/>
    </row>
    <row r="51" spans="14:17" ht="15.75" customHeight="1" x14ac:dyDescent="0.3">
      <c r="N51" s="11"/>
      <c r="O51" s="11"/>
      <c r="P51" s="11"/>
      <c r="Q51" s="11"/>
    </row>
    <row r="52" spans="14:17" ht="15.75" customHeight="1" x14ac:dyDescent="0.3">
      <c r="N52" s="11"/>
      <c r="O52" s="11"/>
      <c r="P52" s="11"/>
      <c r="Q52" s="11"/>
    </row>
    <row r="53" spans="14:17" ht="15.75" customHeight="1" x14ac:dyDescent="0.3">
      <c r="N53" s="11"/>
      <c r="O53" s="11"/>
      <c r="P53" s="11"/>
      <c r="Q53" s="11"/>
    </row>
    <row r="54" spans="14:17" ht="15.75" customHeight="1" x14ac:dyDescent="0.3">
      <c r="N54" s="11"/>
      <c r="O54" s="11"/>
      <c r="P54" s="11"/>
      <c r="Q54" s="11"/>
    </row>
    <row r="55" spans="14:17" ht="15.75" customHeight="1" x14ac:dyDescent="0.3">
      <c r="N55" s="11"/>
      <c r="O55" s="11"/>
      <c r="P55" s="11"/>
      <c r="Q55" s="11"/>
    </row>
    <row r="56" spans="14:17" ht="15.75" customHeight="1" x14ac:dyDescent="0.3">
      <c r="N56" s="11"/>
      <c r="O56" s="11"/>
      <c r="P56" s="11"/>
      <c r="Q56" s="11"/>
    </row>
    <row r="57" spans="14:17" ht="15.75" customHeight="1" x14ac:dyDescent="0.3">
      <c r="N57" s="11"/>
      <c r="O57" s="11"/>
      <c r="P57" s="11"/>
      <c r="Q57" s="11"/>
    </row>
    <row r="58" spans="14:17" ht="15.75" customHeight="1" x14ac:dyDescent="0.3">
      <c r="N58" s="11"/>
      <c r="O58" s="11"/>
      <c r="P58" s="11"/>
      <c r="Q58" s="11"/>
    </row>
    <row r="59" spans="14:17" ht="15.75" customHeight="1" x14ac:dyDescent="0.3">
      <c r="N59" s="11"/>
      <c r="O59" s="11"/>
      <c r="P59" s="11"/>
      <c r="Q59" s="11"/>
    </row>
    <row r="60" spans="14:17" ht="15.75" customHeight="1" x14ac:dyDescent="0.3">
      <c r="N60" s="11"/>
      <c r="O60" s="11"/>
      <c r="P60" s="11"/>
      <c r="Q60" s="11"/>
    </row>
    <row r="61" spans="14:17" ht="15.75" customHeight="1" x14ac:dyDescent="0.3">
      <c r="N61" s="11"/>
      <c r="O61" s="11"/>
      <c r="P61" s="11"/>
      <c r="Q61" s="11"/>
    </row>
    <row r="62" spans="14:17" ht="15.75" customHeight="1" x14ac:dyDescent="0.3">
      <c r="N62" s="11"/>
      <c r="O62" s="11"/>
      <c r="P62" s="11"/>
      <c r="Q62" s="11"/>
    </row>
    <row r="63" spans="14:17" ht="15.75" customHeight="1" x14ac:dyDescent="0.3">
      <c r="N63" s="11"/>
      <c r="O63" s="11"/>
      <c r="P63" s="11"/>
      <c r="Q63" s="11"/>
    </row>
    <row r="64" spans="14:17" ht="15.75" customHeight="1" x14ac:dyDescent="0.3">
      <c r="N64" s="11"/>
      <c r="O64" s="11"/>
      <c r="P64" s="11"/>
      <c r="Q64" s="11"/>
    </row>
    <row r="65" spans="14:17" ht="15.75" customHeight="1" x14ac:dyDescent="0.3">
      <c r="N65" s="11"/>
      <c r="O65" s="11"/>
      <c r="P65" s="11"/>
      <c r="Q65" s="11"/>
    </row>
    <row r="66" spans="14:17" ht="15.75" customHeight="1" x14ac:dyDescent="0.3">
      <c r="N66" s="11"/>
      <c r="O66" s="11"/>
      <c r="P66" s="11"/>
      <c r="Q66" s="11"/>
    </row>
    <row r="67" spans="14:17" ht="15.75" customHeight="1" x14ac:dyDescent="0.3">
      <c r="N67" s="11"/>
      <c r="O67" s="11"/>
      <c r="P67" s="11"/>
      <c r="Q67" s="11"/>
    </row>
    <row r="68" spans="14:17" ht="15.75" customHeight="1" x14ac:dyDescent="0.3">
      <c r="N68" s="11"/>
      <c r="O68" s="11"/>
      <c r="P68" s="11"/>
      <c r="Q68" s="11"/>
    </row>
    <row r="69" spans="14:17" ht="15.75" customHeight="1" x14ac:dyDescent="0.3">
      <c r="N69" s="11"/>
      <c r="O69" s="11"/>
      <c r="P69" s="11"/>
      <c r="Q69" s="11"/>
    </row>
    <row r="70" spans="14:17" ht="15.75" customHeight="1" x14ac:dyDescent="0.3">
      <c r="N70" s="11"/>
      <c r="O70" s="11"/>
      <c r="P70" s="11"/>
      <c r="Q70" s="11"/>
    </row>
    <row r="71" spans="14:17" ht="15.75" customHeight="1" x14ac:dyDescent="0.3">
      <c r="N71" s="11"/>
      <c r="O71" s="11"/>
      <c r="P71" s="11"/>
      <c r="Q71" s="11"/>
    </row>
    <row r="72" spans="14:17" ht="15.75" customHeight="1" x14ac:dyDescent="0.3">
      <c r="N72" s="11"/>
      <c r="O72" s="11"/>
      <c r="P72" s="11"/>
      <c r="Q72" s="11"/>
    </row>
    <row r="73" spans="14:17" ht="15.75" customHeight="1" x14ac:dyDescent="0.3">
      <c r="N73" s="11"/>
      <c r="O73" s="11"/>
      <c r="P73" s="11"/>
      <c r="Q73" s="11"/>
    </row>
    <row r="74" spans="14:17" ht="15.75" customHeight="1" x14ac:dyDescent="0.3">
      <c r="N74" s="11"/>
      <c r="O74" s="11"/>
      <c r="P74" s="11"/>
      <c r="Q74" s="11"/>
    </row>
    <row r="75" spans="14:17" ht="15.75" customHeight="1" x14ac:dyDescent="0.3">
      <c r="N75" s="11"/>
      <c r="O75" s="11"/>
      <c r="P75" s="11"/>
      <c r="Q75" s="11"/>
    </row>
    <row r="76" spans="14:17" ht="15.75" customHeight="1" x14ac:dyDescent="0.3">
      <c r="N76" s="11"/>
      <c r="O76" s="11"/>
      <c r="P76" s="11"/>
      <c r="Q76" s="11"/>
    </row>
    <row r="77" spans="14:17" ht="15.75" customHeight="1" x14ac:dyDescent="0.3">
      <c r="N77" s="11"/>
      <c r="O77" s="11"/>
      <c r="P77" s="11"/>
      <c r="Q77" s="11"/>
    </row>
    <row r="78" spans="14:17" ht="15.75" customHeight="1" x14ac:dyDescent="0.3">
      <c r="N78" s="11"/>
      <c r="O78" s="11"/>
      <c r="P78" s="11"/>
      <c r="Q78" s="11"/>
    </row>
    <row r="79" spans="14:17" ht="15.75" customHeight="1" x14ac:dyDescent="0.3">
      <c r="N79" s="11"/>
      <c r="O79" s="11"/>
      <c r="P79" s="11"/>
      <c r="Q79" s="11"/>
    </row>
    <row r="80" spans="14:17" ht="15.75" customHeight="1" x14ac:dyDescent="0.3">
      <c r="N80" s="11"/>
      <c r="O80" s="11"/>
      <c r="P80" s="11"/>
      <c r="Q80" s="11"/>
    </row>
    <row r="81" spans="14:17" ht="15.75" customHeight="1" x14ac:dyDescent="0.3">
      <c r="N81" s="11"/>
      <c r="O81" s="11"/>
      <c r="P81" s="11"/>
      <c r="Q81" s="11"/>
    </row>
    <row r="82" spans="14:17" ht="15.75" customHeight="1" x14ac:dyDescent="0.3">
      <c r="N82" s="11"/>
      <c r="O82" s="11"/>
      <c r="P82" s="11"/>
      <c r="Q82" s="11"/>
    </row>
    <row r="83" spans="14:17" ht="15.75" customHeight="1" x14ac:dyDescent="0.3">
      <c r="N83" s="11"/>
      <c r="O83" s="11"/>
      <c r="P83" s="11"/>
      <c r="Q83" s="11"/>
    </row>
    <row r="84" spans="14:17" ht="15.75" customHeight="1" x14ac:dyDescent="0.3">
      <c r="N84" s="11"/>
      <c r="O84" s="11"/>
      <c r="P84" s="11"/>
      <c r="Q84" s="11"/>
    </row>
    <row r="85" spans="14:17" ht="15.75" customHeight="1" x14ac:dyDescent="0.3">
      <c r="N85" s="11"/>
      <c r="O85" s="11"/>
      <c r="P85" s="11"/>
      <c r="Q85" s="11"/>
    </row>
    <row r="86" spans="14:17" ht="15.75" customHeight="1" x14ac:dyDescent="0.3">
      <c r="N86" s="11"/>
      <c r="O86" s="11"/>
      <c r="P86" s="11"/>
      <c r="Q86" s="11"/>
    </row>
    <row r="87" spans="14:17" ht="15.75" customHeight="1" x14ac:dyDescent="0.3">
      <c r="N87" s="11"/>
      <c r="O87" s="11"/>
      <c r="P87" s="11"/>
      <c r="Q87" s="11"/>
    </row>
    <row r="88" spans="14:17" ht="15.75" customHeight="1" x14ac:dyDescent="0.3">
      <c r="N88" s="11"/>
      <c r="O88" s="11"/>
      <c r="P88" s="11"/>
      <c r="Q88" s="11"/>
    </row>
    <row r="89" spans="14:17" ht="15.75" customHeight="1" x14ac:dyDescent="0.3">
      <c r="N89" s="11"/>
      <c r="O89" s="11"/>
      <c r="P89" s="11"/>
      <c r="Q89" s="11"/>
    </row>
    <row r="90" spans="14:17" ht="15.75" customHeight="1" x14ac:dyDescent="0.3">
      <c r="N90" s="11"/>
      <c r="O90" s="11"/>
      <c r="P90" s="11"/>
      <c r="Q90" s="11"/>
    </row>
    <row r="91" spans="14:17" ht="15.75" customHeight="1" x14ac:dyDescent="0.3">
      <c r="N91" s="11"/>
      <c r="O91" s="11"/>
      <c r="P91" s="11"/>
      <c r="Q91" s="11"/>
    </row>
    <row r="92" spans="14:17" ht="15.75" customHeight="1" x14ac:dyDescent="0.3">
      <c r="N92" s="11"/>
      <c r="O92" s="11"/>
      <c r="P92" s="11"/>
      <c r="Q92" s="11"/>
    </row>
    <row r="93" spans="14:17" ht="15.75" customHeight="1" x14ac:dyDescent="0.3">
      <c r="N93" s="11"/>
      <c r="O93" s="11"/>
      <c r="P93" s="11"/>
      <c r="Q93" s="11"/>
    </row>
    <row r="94" spans="14:17" ht="15.75" customHeight="1" x14ac:dyDescent="0.3">
      <c r="N94" s="11"/>
      <c r="O94" s="11"/>
      <c r="P94" s="11"/>
      <c r="Q94" s="11"/>
    </row>
    <row r="95" spans="14:17" ht="15.75" customHeight="1" x14ac:dyDescent="0.3">
      <c r="N95" s="11"/>
      <c r="O95" s="11"/>
      <c r="P95" s="11"/>
      <c r="Q95" s="11"/>
    </row>
    <row r="96" spans="14:17" ht="15.75" customHeight="1" x14ac:dyDescent="0.3">
      <c r="N96" s="11"/>
      <c r="O96" s="11"/>
      <c r="P96" s="11"/>
      <c r="Q96" s="11"/>
    </row>
    <row r="97" spans="14:17" ht="15.75" customHeight="1" x14ac:dyDescent="0.3">
      <c r="N97" s="11"/>
      <c r="O97" s="11"/>
      <c r="P97" s="11"/>
      <c r="Q97" s="11"/>
    </row>
    <row r="98" spans="14:17" ht="15.75" customHeight="1" x14ac:dyDescent="0.3">
      <c r="N98" s="11"/>
      <c r="O98" s="11"/>
      <c r="P98" s="11"/>
      <c r="Q98" s="11"/>
    </row>
    <row r="99" spans="14:17" ht="15.75" customHeight="1" x14ac:dyDescent="0.3">
      <c r="N99" s="11"/>
      <c r="O99" s="11"/>
      <c r="P99" s="11"/>
      <c r="Q99" s="11"/>
    </row>
    <row r="100" spans="14:17" ht="15.75" customHeight="1" x14ac:dyDescent="0.3">
      <c r="N100" s="11"/>
      <c r="O100" s="11"/>
      <c r="P100" s="11"/>
      <c r="Q100" s="11"/>
    </row>
    <row r="101" spans="14:17" ht="15.75" customHeight="1" x14ac:dyDescent="0.3">
      <c r="N101" s="11"/>
      <c r="O101" s="11"/>
      <c r="P101" s="11"/>
      <c r="Q101" s="11"/>
    </row>
    <row r="102" spans="14:17" ht="15.75" customHeight="1" x14ac:dyDescent="0.3">
      <c r="N102" s="11"/>
      <c r="O102" s="11"/>
      <c r="P102" s="11"/>
      <c r="Q102" s="11"/>
    </row>
    <row r="103" spans="14:17" ht="15.75" customHeight="1" x14ac:dyDescent="0.3">
      <c r="N103" s="11"/>
      <c r="O103" s="11"/>
      <c r="P103" s="11"/>
      <c r="Q103" s="11"/>
    </row>
    <row r="104" spans="14:17" ht="15.75" customHeight="1" x14ac:dyDescent="0.3">
      <c r="N104" s="11"/>
      <c r="O104" s="11"/>
      <c r="P104" s="11"/>
      <c r="Q104" s="11"/>
    </row>
    <row r="105" spans="14:17" ht="15.75" customHeight="1" x14ac:dyDescent="0.3">
      <c r="N105" s="11"/>
      <c r="O105" s="11"/>
      <c r="P105" s="11"/>
      <c r="Q105" s="11"/>
    </row>
    <row r="106" spans="14:17" ht="15.75" customHeight="1" x14ac:dyDescent="0.3">
      <c r="N106" s="11"/>
      <c r="O106" s="11"/>
      <c r="P106" s="11"/>
      <c r="Q106" s="11"/>
    </row>
    <row r="107" spans="14:17" ht="15.75" customHeight="1" x14ac:dyDescent="0.3">
      <c r="N107" s="11"/>
      <c r="O107" s="11"/>
      <c r="P107" s="11"/>
      <c r="Q107" s="11"/>
    </row>
    <row r="108" spans="14:17" ht="15.75" customHeight="1" x14ac:dyDescent="0.3">
      <c r="N108" s="11"/>
      <c r="O108" s="11"/>
      <c r="P108" s="11"/>
      <c r="Q108" s="11"/>
    </row>
    <row r="109" spans="14:17" ht="15.75" customHeight="1" x14ac:dyDescent="0.3">
      <c r="N109" s="11"/>
      <c r="O109" s="11"/>
      <c r="P109" s="11"/>
      <c r="Q109" s="11"/>
    </row>
    <row r="110" spans="14:17" ht="15.75" customHeight="1" x14ac:dyDescent="0.3">
      <c r="N110" s="11"/>
      <c r="O110" s="11"/>
      <c r="P110" s="11"/>
      <c r="Q110" s="11"/>
    </row>
    <row r="111" spans="14:17" ht="15.75" customHeight="1" x14ac:dyDescent="0.3">
      <c r="N111" s="11"/>
      <c r="O111" s="11"/>
      <c r="P111" s="11"/>
      <c r="Q111" s="11"/>
    </row>
    <row r="112" spans="14:17" ht="15.75" customHeight="1" x14ac:dyDescent="0.3">
      <c r="N112" s="11"/>
      <c r="O112" s="11"/>
      <c r="P112" s="11"/>
      <c r="Q112" s="11"/>
    </row>
    <row r="113" spans="14:17" ht="15.75" customHeight="1" x14ac:dyDescent="0.3">
      <c r="N113" s="11"/>
      <c r="O113" s="11"/>
      <c r="P113" s="11"/>
      <c r="Q113" s="11"/>
    </row>
    <row r="114" spans="14:17" ht="15.75" customHeight="1" x14ac:dyDescent="0.3">
      <c r="N114" s="11"/>
      <c r="O114" s="11"/>
      <c r="P114" s="11"/>
      <c r="Q114" s="11"/>
    </row>
    <row r="115" spans="14:17" ht="15.75" customHeight="1" x14ac:dyDescent="0.3">
      <c r="N115" s="11"/>
      <c r="O115" s="11"/>
      <c r="P115" s="11"/>
      <c r="Q115" s="11"/>
    </row>
    <row r="116" spans="14:17" ht="15.75" customHeight="1" x14ac:dyDescent="0.3">
      <c r="N116" s="11"/>
      <c r="O116" s="11"/>
      <c r="P116" s="11"/>
      <c r="Q116" s="11"/>
    </row>
    <row r="117" spans="14:17" ht="15.75" customHeight="1" x14ac:dyDescent="0.3">
      <c r="N117" s="11"/>
      <c r="O117" s="11"/>
      <c r="P117" s="11"/>
      <c r="Q117" s="11"/>
    </row>
    <row r="118" spans="14:17" ht="15.75" customHeight="1" x14ac:dyDescent="0.3">
      <c r="N118" s="11"/>
      <c r="O118" s="11"/>
      <c r="P118" s="11"/>
      <c r="Q118" s="11"/>
    </row>
    <row r="119" spans="14:17" ht="15.75" customHeight="1" x14ac:dyDescent="0.3">
      <c r="N119" s="11"/>
      <c r="O119" s="11"/>
      <c r="P119" s="11"/>
      <c r="Q119" s="11"/>
    </row>
    <row r="120" spans="14:17" ht="15.75" customHeight="1" x14ac:dyDescent="0.3">
      <c r="N120" s="11"/>
      <c r="O120" s="11"/>
      <c r="P120" s="11"/>
      <c r="Q120" s="11"/>
    </row>
    <row r="121" spans="14:17" ht="15.75" customHeight="1" x14ac:dyDescent="0.3">
      <c r="N121" s="11"/>
      <c r="O121" s="11"/>
      <c r="P121" s="11"/>
      <c r="Q121" s="11"/>
    </row>
    <row r="122" spans="14:17" ht="15.75" customHeight="1" x14ac:dyDescent="0.3">
      <c r="N122" s="11"/>
      <c r="O122" s="11"/>
      <c r="P122" s="11"/>
      <c r="Q122" s="11"/>
    </row>
    <row r="123" spans="14:17" ht="15.75" customHeight="1" x14ac:dyDescent="0.3">
      <c r="N123" s="11"/>
      <c r="O123" s="11"/>
      <c r="P123" s="11"/>
      <c r="Q123" s="11"/>
    </row>
    <row r="124" spans="14:17" ht="15.75" customHeight="1" x14ac:dyDescent="0.3">
      <c r="N124" s="11"/>
      <c r="O124" s="11"/>
      <c r="P124" s="11"/>
      <c r="Q124" s="11"/>
    </row>
    <row r="125" spans="14:17" ht="15.75" customHeight="1" x14ac:dyDescent="0.3">
      <c r="N125" s="11"/>
      <c r="O125" s="11"/>
      <c r="P125" s="11"/>
      <c r="Q125" s="11"/>
    </row>
    <row r="126" spans="14:17" ht="15.75" customHeight="1" x14ac:dyDescent="0.3">
      <c r="N126" s="11"/>
      <c r="O126" s="11"/>
      <c r="P126" s="11"/>
      <c r="Q126" s="11"/>
    </row>
    <row r="127" spans="14:17" ht="15.75" customHeight="1" x14ac:dyDescent="0.3">
      <c r="N127" s="11"/>
      <c r="O127" s="11"/>
      <c r="P127" s="11"/>
      <c r="Q127" s="11"/>
    </row>
    <row r="128" spans="14:17" ht="15.75" customHeight="1" x14ac:dyDescent="0.3">
      <c r="N128" s="11"/>
      <c r="O128" s="11"/>
      <c r="P128" s="11"/>
      <c r="Q128" s="11"/>
    </row>
    <row r="129" spans="14:17" ht="15.75" customHeight="1" x14ac:dyDescent="0.3">
      <c r="N129" s="11"/>
      <c r="O129" s="11"/>
      <c r="P129" s="11"/>
      <c r="Q129" s="11"/>
    </row>
    <row r="130" spans="14:17" ht="15.75" customHeight="1" x14ac:dyDescent="0.3">
      <c r="N130" s="11"/>
      <c r="O130" s="11"/>
      <c r="P130" s="11"/>
      <c r="Q130" s="11"/>
    </row>
    <row r="131" spans="14:17" ht="15.75" customHeight="1" x14ac:dyDescent="0.3">
      <c r="N131" s="11"/>
      <c r="O131" s="11"/>
      <c r="P131" s="11"/>
      <c r="Q131" s="11"/>
    </row>
    <row r="132" spans="14:17" ht="15.75" customHeight="1" x14ac:dyDescent="0.3">
      <c r="N132" s="11"/>
      <c r="O132" s="11"/>
      <c r="P132" s="11"/>
      <c r="Q132" s="11"/>
    </row>
    <row r="133" spans="14:17" ht="15.75" customHeight="1" x14ac:dyDescent="0.3">
      <c r="N133" s="11"/>
      <c r="O133" s="11"/>
      <c r="P133" s="11"/>
      <c r="Q133" s="11"/>
    </row>
    <row r="134" spans="14:17" ht="15.75" customHeight="1" x14ac:dyDescent="0.3">
      <c r="N134" s="11"/>
      <c r="O134" s="11"/>
      <c r="P134" s="11"/>
      <c r="Q134" s="11"/>
    </row>
    <row r="135" spans="14:17" ht="15.75" customHeight="1" x14ac:dyDescent="0.3">
      <c r="N135" s="11"/>
      <c r="O135" s="11"/>
      <c r="P135" s="11"/>
      <c r="Q135" s="11"/>
    </row>
    <row r="136" spans="14:17" ht="15.75" customHeight="1" x14ac:dyDescent="0.3">
      <c r="N136" s="11"/>
      <c r="O136" s="11"/>
      <c r="P136" s="11"/>
      <c r="Q136" s="11"/>
    </row>
    <row r="137" spans="14:17" ht="15.75" customHeight="1" x14ac:dyDescent="0.3">
      <c r="N137" s="11"/>
      <c r="O137" s="11"/>
      <c r="P137" s="11"/>
      <c r="Q137" s="11"/>
    </row>
    <row r="138" spans="14:17" ht="15.75" customHeight="1" x14ac:dyDescent="0.3">
      <c r="N138" s="11"/>
      <c r="O138" s="11"/>
      <c r="P138" s="11"/>
      <c r="Q138" s="11"/>
    </row>
    <row r="139" spans="14:17" ht="15.75" customHeight="1" x14ac:dyDescent="0.3">
      <c r="N139" s="11"/>
      <c r="O139" s="11"/>
      <c r="P139" s="11"/>
      <c r="Q139" s="11"/>
    </row>
    <row r="140" spans="14:17" ht="15.75" customHeight="1" x14ac:dyDescent="0.3">
      <c r="N140" s="11"/>
      <c r="O140" s="11"/>
      <c r="P140" s="11"/>
      <c r="Q140" s="11"/>
    </row>
    <row r="141" spans="14:17" ht="15.75" customHeight="1" x14ac:dyDescent="0.3">
      <c r="N141" s="11"/>
      <c r="O141" s="11"/>
      <c r="P141" s="11"/>
      <c r="Q141" s="11"/>
    </row>
    <row r="142" spans="14:17" ht="15.75" customHeight="1" x14ac:dyDescent="0.3">
      <c r="N142" s="11"/>
      <c r="O142" s="11"/>
      <c r="P142" s="11"/>
      <c r="Q142" s="11"/>
    </row>
    <row r="143" spans="14:17" ht="15.75" customHeight="1" x14ac:dyDescent="0.3">
      <c r="N143" s="11"/>
      <c r="O143" s="11"/>
      <c r="P143" s="11"/>
      <c r="Q143" s="11"/>
    </row>
    <row r="144" spans="14:17" ht="15.75" customHeight="1" x14ac:dyDescent="0.3">
      <c r="N144" s="11"/>
      <c r="O144" s="11"/>
      <c r="P144" s="11"/>
      <c r="Q144" s="11"/>
    </row>
    <row r="145" spans="14:17" ht="15.75" customHeight="1" x14ac:dyDescent="0.3">
      <c r="N145" s="11"/>
      <c r="O145" s="11"/>
      <c r="P145" s="11"/>
      <c r="Q145" s="11"/>
    </row>
    <row r="146" spans="14:17" ht="15.75" customHeight="1" x14ac:dyDescent="0.3">
      <c r="N146" s="11"/>
      <c r="O146" s="11"/>
      <c r="P146" s="11"/>
      <c r="Q146" s="11"/>
    </row>
    <row r="147" spans="14:17" ht="15.75" customHeight="1" x14ac:dyDescent="0.3">
      <c r="N147" s="11"/>
      <c r="O147" s="11"/>
      <c r="P147" s="11"/>
      <c r="Q147" s="11"/>
    </row>
    <row r="148" spans="14:17" ht="15.75" customHeight="1" x14ac:dyDescent="0.3">
      <c r="N148" s="11"/>
      <c r="O148" s="11"/>
      <c r="P148" s="11"/>
      <c r="Q148" s="11"/>
    </row>
    <row r="149" spans="14:17" ht="15.75" customHeight="1" x14ac:dyDescent="0.3">
      <c r="N149" s="11"/>
      <c r="O149" s="11"/>
      <c r="P149" s="11"/>
      <c r="Q149" s="11"/>
    </row>
    <row r="150" spans="14:17" ht="15.75" customHeight="1" x14ac:dyDescent="0.3">
      <c r="N150" s="11"/>
      <c r="O150" s="11"/>
      <c r="P150" s="11"/>
      <c r="Q150" s="11"/>
    </row>
    <row r="151" spans="14:17" ht="15.75" customHeight="1" x14ac:dyDescent="0.3">
      <c r="N151" s="11"/>
      <c r="O151" s="11"/>
      <c r="P151" s="11"/>
      <c r="Q151" s="11"/>
    </row>
    <row r="152" spans="14:17" ht="15.75" customHeight="1" x14ac:dyDescent="0.3">
      <c r="N152" s="11"/>
      <c r="O152" s="11"/>
      <c r="P152" s="11"/>
      <c r="Q152" s="11"/>
    </row>
    <row r="153" spans="14:17" ht="15.75" customHeight="1" x14ac:dyDescent="0.3">
      <c r="N153" s="11"/>
      <c r="O153" s="11"/>
      <c r="P153" s="11"/>
      <c r="Q153" s="11"/>
    </row>
    <row r="154" spans="14:17" ht="15.75" customHeight="1" x14ac:dyDescent="0.3">
      <c r="N154" s="11"/>
      <c r="O154" s="11"/>
      <c r="P154" s="11"/>
      <c r="Q154" s="11"/>
    </row>
    <row r="155" spans="14:17" ht="15.75" customHeight="1" x14ac:dyDescent="0.3">
      <c r="N155" s="11"/>
      <c r="O155" s="11"/>
      <c r="P155" s="11"/>
      <c r="Q155" s="11"/>
    </row>
    <row r="156" spans="14:17" ht="15.75" customHeight="1" x14ac:dyDescent="0.3">
      <c r="N156" s="11"/>
      <c r="O156" s="11"/>
      <c r="P156" s="11"/>
      <c r="Q156" s="11"/>
    </row>
    <row r="157" spans="14:17" ht="15.75" customHeight="1" x14ac:dyDescent="0.3">
      <c r="N157" s="11"/>
      <c r="O157" s="11"/>
      <c r="P157" s="11"/>
      <c r="Q157" s="11"/>
    </row>
    <row r="158" spans="14:17" ht="15.75" customHeight="1" x14ac:dyDescent="0.3">
      <c r="N158" s="11"/>
      <c r="O158" s="11"/>
      <c r="P158" s="11"/>
      <c r="Q158" s="11"/>
    </row>
    <row r="159" spans="14:17" ht="15.75" customHeight="1" x14ac:dyDescent="0.3">
      <c r="N159" s="11"/>
      <c r="O159" s="11"/>
      <c r="P159" s="11"/>
      <c r="Q159" s="11"/>
    </row>
    <row r="160" spans="14:17" ht="15.75" customHeight="1" x14ac:dyDescent="0.3">
      <c r="N160" s="11"/>
      <c r="O160" s="11"/>
      <c r="P160" s="11"/>
      <c r="Q160" s="11"/>
    </row>
    <row r="161" spans="14:17" ht="15.75" customHeight="1" x14ac:dyDescent="0.3">
      <c r="N161" s="11"/>
      <c r="O161" s="11"/>
      <c r="P161" s="11"/>
      <c r="Q161" s="11"/>
    </row>
    <row r="162" spans="14:17" ht="15.75" customHeight="1" x14ac:dyDescent="0.3">
      <c r="N162" s="11"/>
      <c r="O162" s="11"/>
      <c r="P162" s="11"/>
      <c r="Q162" s="11"/>
    </row>
    <row r="163" spans="14:17" ht="15.75" customHeight="1" x14ac:dyDescent="0.3">
      <c r="N163" s="11"/>
      <c r="O163" s="11"/>
      <c r="P163" s="11"/>
      <c r="Q163" s="11"/>
    </row>
    <row r="164" spans="14:17" ht="15.75" customHeight="1" x14ac:dyDescent="0.3">
      <c r="N164" s="11"/>
      <c r="O164" s="11"/>
      <c r="P164" s="11"/>
      <c r="Q164" s="11"/>
    </row>
    <row r="165" spans="14:17" ht="15.75" customHeight="1" x14ac:dyDescent="0.3">
      <c r="N165" s="11"/>
      <c r="O165" s="11"/>
      <c r="P165" s="11"/>
      <c r="Q165" s="11"/>
    </row>
    <row r="166" spans="14:17" ht="15.75" customHeight="1" x14ac:dyDescent="0.3">
      <c r="N166" s="11"/>
      <c r="O166" s="11"/>
      <c r="P166" s="11"/>
      <c r="Q166" s="11"/>
    </row>
    <row r="167" spans="14:17" ht="15.75" customHeight="1" x14ac:dyDescent="0.3">
      <c r="N167" s="11"/>
      <c r="O167" s="11"/>
      <c r="P167" s="11"/>
      <c r="Q167" s="11"/>
    </row>
    <row r="168" spans="14:17" ht="15.75" customHeight="1" x14ac:dyDescent="0.3">
      <c r="N168" s="11"/>
      <c r="O168" s="11"/>
      <c r="P168" s="11"/>
      <c r="Q168" s="11"/>
    </row>
    <row r="169" spans="14:17" ht="15.75" customHeight="1" x14ac:dyDescent="0.3">
      <c r="N169" s="11"/>
      <c r="O169" s="11"/>
      <c r="P169" s="11"/>
      <c r="Q169" s="11"/>
    </row>
    <row r="170" spans="14:17" ht="15.75" customHeight="1" x14ac:dyDescent="0.3">
      <c r="N170" s="11"/>
      <c r="O170" s="11"/>
      <c r="P170" s="11"/>
      <c r="Q170" s="11"/>
    </row>
    <row r="171" spans="14:17" ht="15.75" customHeight="1" x14ac:dyDescent="0.3">
      <c r="N171" s="11"/>
      <c r="O171" s="11"/>
      <c r="P171" s="11"/>
      <c r="Q171" s="11"/>
    </row>
    <row r="172" spans="14:17" ht="15.75" customHeight="1" x14ac:dyDescent="0.3">
      <c r="N172" s="11"/>
      <c r="O172" s="11"/>
      <c r="P172" s="11"/>
      <c r="Q172" s="11"/>
    </row>
    <row r="173" spans="14:17" ht="15.75" customHeight="1" x14ac:dyDescent="0.3">
      <c r="N173" s="11"/>
      <c r="O173" s="11"/>
      <c r="P173" s="11"/>
      <c r="Q173" s="11"/>
    </row>
    <row r="174" spans="14:17" ht="15.75" customHeight="1" x14ac:dyDescent="0.3">
      <c r="N174" s="11"/>
      <c r="O174" s="11"/>
      <c r="P174" s="11"/>
      <c r="Q174" s="11"/>
    </row>
    <row r="175" spans="14:17" ht="15.75" customHeight="1" x14ac:dyDescent="0.3">
      <c r="N175" s="11"/>
      <c r="O175" s="11"/>
      <c r="P175" s="11"/>
      <c r="Q175" s="11"/>
    </row>
    <row r="176" spans="14:17" ht="15.75" customHeight="1" x14ac:dyDescent="0.3">
      <c r="N176" s="11"/>
      <c r="O176" s="11"/>
      <c r="P176" s="11"/>
      <c r="Q176" s="11"/>
    </row>
    <row r="177" spans="14:17" ht="15.75" customHeight="1" x14ac:dyDescent="0.3">
      <c r="N177" s="11"/>
      <c r="O177" s="11"/>
      <c r="P177" s="11"/>
      <c r="Q177" s="11"/>
    </row>
    <row r="178" spans="14:17" ht="15.75" customHeight="1" x14ac:dyDescent="0.3">
      <c r="N178" s="11"/>
      <c r="O178" s="11"/>
      <c r="P178" s="11"/>
      <c r="Q178" s="11"/>
    </row>
    <row r="179" spans="14:17" ht="15.75" customHeight="1" x14ac:dyDescent="0.3">
      <c r="N179" s="11"/>
      <c r="O179" s="11"/>
      <c r="P179" s="11"/>
      <c r="Q179" s="11"/>
    </row>
    <row r="180" spans="14:17" ht="15.75" customHeight="1" x14ac:dyDescent="0.3">
      <c r="N180" s="11"/>
      <c r="O180" s="11"/>
      <c r="P180" s="11"/>
      <c r="Q180" s="11"/>
    </row>
    <row r="181" spans="14:17" ht="15.75" customHeight="1" x14ac:dyDescent="0.3">
      <c r="N181" s="11"/>
      <c r="O181" s="11"/>
      <c r="P181" s="11"/>
      <c r="Q181" s="11"/>
    </row>
    <row r="182" spans="14:17" ht="15.75" customHeight="1" x14ac:dyDescent="0.3">
      <c r="N182" s="11"/>
      <c r="O182" s="11"/>
      <c r="P182" s="11"/>
      <c r="Q182" s="11"/>
    </row>
    <row r="183" spans="14:17" ht="15.75" customHeight="1" x14ac:dyDescent="0.3">
      <c r="N183" s="11"/>
      <c r="O183" s="11"/>
      <c r="P183" s="11"/>
      <c r="Q183" s="11"/>
    </row>
    <row r="184" spans="14:17" ht="15.75" customHeight="1" x14ac:dyDescent="0.3">
      <c r="N184" s="11"/>
      <c r="O184" s="11"/>
      <c r="P184" s="11"/>
      <c r="Q184" s="11"/>
    </row>
    <row r="185" spans="14:17" ht="15.75" customHeight="1" x14ac:dyDescent="0.3">
      <c r="N185" s="11"/>
      <c r="O185" s="11"/>
      <c r="P185" s="11"/>
      <c r="Q185" s="11"/>
    </row>
    <row r="186" spans="14:17" ht="15.75" customHeight="1" x14ac:dyDescent="0.3">
      <c r="N186" s="11"/>
      <c r="O186" s="11"/>
      <c r="P186" s="11"/>
      <c r="Q186" s="11"/>
    </row>
    <row r="187" spans="14:17" ht="15.75" customHeight="1" x14ac:dyDescent="0.3">
      <c r="N187" s="11"/>
      <c r="O187" s="11"/>
      <c r="P187" s="11"/>
      <c r="Q187" s="11"/>
    </row>
    <row r="188" spans="14:17" ht="15.75" customHeight="1" x14ac:dyDescent="0.3">
      <c r="N188" s="11"/>
      <c r="O188" s="11"/>
      <c r="P188" s="11"/>
      <c r="Q188" s="11"/>
    </row>
    <row r="189" spans="14:17" ht="15.75" customHeight="1" x14ac:dyDescent="0.3">
      <c r="N189" s="11"/>
      <c r="O189" s="11"/>
      <c r="P189" s="11"/>
      <c r="Q189" s="11"/>
    </row>
    <row r="190" spans="14:17" ht="15.75" customHeight="1" x14ac:dyDescent="0.3">
      <c r="N190" s="11"/>
      <c r="O190" s="11"/>
      <c r="P190" s="11"/>
      <c r="Q190" s="11"/>
    </row>
    <row r="191" spans="14:17" ht="15.75" customHeight="1" x14ac:dyDescent="0.3">
      <c r="N191" s="11"/>
      <c r="O191" s="11"/>
      <c r="P191" s="11"/>
      <c r="Q191" s="11"/>
    </row>
    <row r="192" spans="14:17" ht="15.75" customHeight="1" x14ac:dyDescent="0.3">
      <c r="N192" s="11"/>
      <c r="O192" s="11"/>
      <c r="P192" s="11"/>
      <c r="Q192" s="11"/>
    </row>
    <row r="193" spans="14:17" ht="15.75" customHeight="1" x14ac:dyDescent="0.3">
      <c r="N193" s="11"/>
      <c r="O193" s="11"/>
      <c r="P193" s="11"/>
      <c r="Q193" s="11"/>
    </row>
    <row r="194" spans="14:17" ht="15.75" customHeight="1" x14ac:dyDescent="0.3">
      <c r="N194" s="11"/>
      <c r="O194" s="11"/>
      <c r="P194" s="11"/>
      <c r="Q194" s="11"/>
    </row>
    <row r="195" spans="14:17" ht="15.75" customHeight="1" x14ac:dyDescent="0.3">
      <c r="N195" s="11"/>
      <c r="O195" s="11"/>
      <c r="P195" s="11"/>
      <c r="Q195" s="11"/>
    </row>
    <row r="196" spans="14:17" ht="15.75" customHeight="1" x14ac:dyDescent="0.3">
      <c r="N196" s="11"/>
      <c r="O196" s="11"/>
      <c r="P196" s="11"/>
      <c r="Q196" s="11"/>
    </row>
    <row r="197" spans="14:17" ht="15.75" customHeight="1" x14ac:dyDescent="0.3">
      <c r="N197" s="11"/>
      <c r="O197" s="11"/>
      <c r="P197" s="11"/>
      <c r="Q197" s="11"/>
    </row>
    <row r="198" spans="14:17" ht="15.75" customHeight="1" x14ac:dyDescent="0.3">
      <c r="N198" s="11"/>
      <c r="O198" s="11"/>
      <c r="P198" s="11"/>
      <c r="Q198" s="11"/>
    </row>
    <row r="199" spans="14:17" ht="15.75" customHeight="1" x14ac:dyDescent="0.3">
      <c r="N199" s="11"/>
      <c r="O199" s="11"/>
      <c r="P199" s="11"/>
      <c r="Q199" s="11"/>
    </row>
    <row r="200" spans="14:17" ht="15.75" customHeight="1" x14ac:dyDescent="0.3">
      <c r="N200" s="11"/>
      <c r="O200" s="11"/>
      <c r="P200" s="11"/>
      <c r="Q200" s="11"/>
    </row>
    <row r="201" spans="14:17" ht="15.75" customHeight="1" x14ac:dyDescent="0.3">
      <c r="N201" s="11"/>
      <c r="O201" s="11"/>
      <c r="P201" s="11"/>
      <c r="Q201" s="11"/>
    </row>
    <row r="202" spans="14:17" ht="15.75" customHeight="1" x14ac:dyDescent="0.3">
      <c r="N202" s="11"/>
      <c r="O202" s="11"/>
      <c r="P202" s="11"/>
      <c r="Q202" s="11"/>
    </row>
    <row r="203" spans="14:17" ht="15.75" customHeight="1" x14ac:dyDescent="0.3">
      <c r="N203" s="11"/>
      <c r="O203" s="11"/>
      <c r="P203" s="11"/>
      <c r="Q203" s="11"/>
    </row>
    <row r="204" spans="14:17" ht="15.75" customHeight="1" x14ac:dyDescent="0.3">
      <c r="N204" s="11"/>
      <c r="O204" s="11"/>
      <c r="P204" s="11"/>
      <c r="Q204" s="11"/>
    </row>
    <row r="205" spans="14:17" ht="15.75" customHeight="1" x14ac:dyDescent="0.3">
      <c r="N205" s="11"/>
      <c r="O205" s="11"/>
      <c r="P205" s="11"/>
      <c r="Q205" s="11"/>
    </row>
    <row r="206" spans="14:17" ht="15.75" customHeight="1" x14ac:dyDescent="0.3">
      <c r="N206" s="11"/>
      <c r="O206" s="11"/>
      <c r="P206" s="11"/>
      <c r="Q206" s="11"/>
    </row>
    <row r="207" spans="14:17" ht="15.75" customHeight="1" x14ac:dyDescent="0.3">
      <c r="N207" s="11"/>
      <c r="O207" s="11"/>
      <c r="P207" s="11"/>
      <c r="Q207" s="11"/>
    </row>
    <row r="208" spans="14:17" ht="15.75" customHeight="1" x14ac:dyDescent="0.3">
      <c r="N208" s="11"/>
      <c r="O208" s="11"/>
      <c r="P208" s="11"/>
      <c r="Q208" s="11"/>
    </row>
    <row r="209" spans="14:17" ht="15.75" customHeight="1" x14ac:dyDescent="0.3">
      <c r="N209" s="11"/>
      <c r="O209" s="11"/>
      <c r="P209" s="11"/>
      <c r="Q209" s="11"/>
    </row>
    <row r="210" spans="14:17" ht="15.75" customHeight="1" x14ac:dyDescent="0.3">
      <c r="N210" s="11"/>
      <c r="O210" s="11"/>
      <c r="P210" s="11"/>
      <c r="Q210" s="11"/>
    </row>
    <row r="211" spans="14:17" ht="15.75" customHeight="1" x14ac:dyDescent="0.3">
      <c r="N211" s="11"/>
      <c r="O211" s="11"/>
      <c r="P211" s="11"/>
      <c r="Q211" s="11"/>
    </row>
    <row r="212" spans="14:17" ht="15.75" customHeight="1" x14ac:dyDescent="0.3">
      <c r="N212" s="11"/>
      <c r="O212" s="11"/>
      <c r="P212" s="11"/>
      <c r="Q212" s="11"/>
    </row>
    <row r="213" spans="14:17" ht="15.75" customHeight="1" x14ac:dyDescent="0.3">
      <c r="N213" s="11"/>
      <c r="O213" s="11"/>
      <c r="P213" s="11"/>
      <c r="Q213" s="11"/>
    </row>
    <row r="214" spans="14:17" ht="15.75" customHeight="1" x14ac:dyDescent="0.3">
      <c r="N214" s="11"/>
      <c r="O214" s="11"/>
      <c r="P214" s="11"/>
      <c r="Q214" s="11"/>
    </row>
    <row r="215" spans="14:17" ht="15.75" customHeight="1" x14ac:dyDescent="0.3">
      <c r="N215" s="11"/>
      <c r="O215" s="11"/>
      <c r="P215" s="11"/>
      <c r="Q215" s="11"/>
    </row>
    <row r="216" spans="14:17" ht="15.75" customHeight="1" x14ac:dyDescent="0.3">
      <c r="N216" s="11"/>
      <c r="O216" s="11"/>
      <c r="P216" s="11"/>
      <c r="Q216" s="11"/>
    </row>
    <row r="217" spans="14:17" ht="15.75" customHeight="1" x14ac:dyDescent="0.3">
      <c r="N217" s="11"/>
      <c r="O217" s="11"/>
      <c r="P217" s="11"/>
      <c r="Q217" s="11"/>
    </row>
    <row r="218" spans="14:17" ht="15.75" customHeight="1" x14ac:dyDescent="0.3">
      <c r="N218" s="11"/>
      <c r="O218" s="11"/>
      <c r="P218" s="11"/>
      <c r="Q218" s="11"/>
    </row>
    <row r="219" spans="14:17" ht="15.75" customHeight="1" x14ac:dyDescent="0.3">
      <c r="N219" s="11"/>
      <c r="O219" s="11"/>
      <c r="P219" s="11"/>
      <c r="Q219" s="11"/>
    </row>
    <row r="220" spans="14:17" ht="15.75" customHeight="1" x14ac:dyDescent="0.3">
      <c r="N220" s="11"/>
      <c r="O220" s="11"/>
      <c r="P220" s="11"/>
      <c r="Q220" s="11"/>
    </row>
    <row r="221" spans="14:17" ht="15.75" customHeight="1" x14ac:dyDescent="0.3">
      <c r="N221" s="11"/>
      <c r="O221" s="11"/>
      <c r="P221" s="11"/>
      <c r="Q221" s="11"/>
    </row>
    <row r="222" spans="14:17" ht="15.75" customHeight="1" x14ac:dyDescent="0.3">
      <c r="N222" s="11"/>
      <c r="O222" s="11"/>
      <c r="P222" s="11"/>
      <c r="Q222" s="11"/>
    </row>
    <row r="223" spans="14:17" ht="15.75" customHeight="1" x14ac:dyDescent="0.3">
      <c r="N223" s="11"/>
      <c r="O223" s="11"/>
      <c r="P223" s="11"/>
      <c r="Q223" s="11"/>
    </row>
    <row r="224" spans="14:17" ht="15.75" customHeight="1" x14ac:dyDescent="0.3">
      <c r="N224" s="11"/>
      <c r="O224" s="11"/>
      <c r="P224" s="11"/>
      <c r="Q224" s="11"/>
    </row>
    <row r="225" spans="14:17" ht="15.75" customHeight="1" x14ac:dyDescent="0.3">
      <c r="N225" s="11"/>
      <c r="O225" s="11"/>
      <c r="P225" s="11"/>
      <c r="Q225" s="11"/>
    </row>
    <row r="226" spans="14:17" ht="15.75" customHeight="1" x14ac:dyDescent="0.3">
      <c r="N226" s="11"/>
      <c r="O226" s="11"/>
      <c r="P226" s="11"/>
      <c r="Q226" s="11"/>
    </row>
    <row r="227" spans="14:17" ht="15.75" customHeight="1" x14ac:dyDescent="0.3">
      <c r="N227" s="11"/>
      <c r="O227" s="11"/>
      <c r="P227" s="11"/>
      <c r="Q227" s="11"/>
    </row>
    <row r="228" spans="14:17" ht="15.75" customHeight="1" x14ac:dyDescent="0.3">
      <c r="N228" s="11"/>
      <c r="O228" s="11"/>
      <c r="P228" s="11"/>
      <c r="Q228" s="11"/>
    </row>
    <row r="229" spans="14:17" ht="15.75" customHeight="1" x14ac:dyDescent="0.3">
      <c r="N229" s="11"/>
      <c r="O229" s="11"/>
      <c r="P229" s="11"/>
      <c r="Q229" s="11"/>
    </row>
    <row r="230" spans="14:17" ht="15.75" customHeight="1" x14ac:dyDescent="0.3">
      <c r="N230" s="11"/>
      <c r="O230" s="11"/>
      <c r="P230" s="11"/>
      <c r="Q230" s="11"/>
    </row>
    <row r="231" spans="14:17" ht="15.75" customHeight="1" x14ac:dyDescent="0.3">
      <c r="N231" s="11"/>
      <c r="O231" s="11"/>
      <c r="P231" s="11"/>
      <c r="Q231" s="11"/>
    </row>
    <row r="232" spans="14:17" ht="15.75" customHeight="1" x14ac:dyDescent="0.3">
      <c r="N232" s="11"/>
      <c r="O232" s="11"/>
      <c r="P232" s="11"/>
      <c r="Q232" s="11"/>
    </row>
    <row r="233" spans="14:17" ht="15.75" customHeight="1" x14ac:dyDescent="0.3">
      <c r="N233" s="11"/>
      <c r="O233" s="11"/>
      <c r="P233" s="11"/>
      <c r="Q233" s="11"/>
    </row>
    <row r="234" spans="14:17" ht="15.75" customHeight="1" x14ac:dyDescent="0.3">
      <c r="N234" s="11"/>
      <c r="O234" s="11"/>
      <c r="P234" s="11"/>
      <c r="Q234" s="11"/>
    </row>
    <row r="235" spans="14:17" ht="15.75" customHeight="1" x14ac:dyDescent="0.3">
      <c r="N235" s="11"/>
      <c r="O235" s="11"/>
      <c r="P235" s="11"/>
      <c r="Q235" s="11"/>
    </row>
    <row r="236" spans="14:17" ht="15.75" customHeight="1" x14ac:dyDescent="0.3">
      <c r="N236" s="11"/>
      <c r="O236" s="11"/>
      <c r="P236" s="11"/>
      <c r="Q236" s="11"/>
    </row>
    <row r="237" spans="14:17" ht="15.75" customHeight="1" x14ac:dyDescent="0.3">
      <c r="N237" s="11"/>
      <c r="O237" s="11"/>
      <c r="P237" s="11"/>
      <c r="Q237" s="11"/>
    </row>
    <row r="238" spans="14:17" ht="15.75" customHeight="1" x14ac:dyDescent="0.3">
      <c r="N238" s="11"/>
      <c r="O238" s="11"/>
      <c r="P238" s="11"/>
      <c r="Q238" s="11"/>
    </row>
    <row r="239" spans="14:17" ht="15.75" customHeight="1" x14ac:dyDescent="0.3">
      <c r="N239" s="11"/>
      <c r="O239" s="11"/>
      <c r="P239" s="11"/>
      <c r="Q239" s="11"/>
    </row>
    <row r="240" spans="14:17" ht="15.75" customHeight="1" x14ac:dyDescent="0.3">
      <c r="N240" s="11"/>
      <c r="O240" s="11"/>
      <c r="P240" s="11"/>
      <c r="Q240" s="11"/>
    </row>
    <row r="241" spans="14:17" ht="15.75" customHeight="1" x14ac:dyDescent="0.3">
      <c r="N241" s="11"/>
      <c r="O241" s="11"/>
      <c r="P241" s="11"/>
      <c r="Q241" s="11"/>
    </row>
    <row r="242" spans="14:17" ht="15.75" customHeight="1" x14ac:dyDescent="0.3">
      <c r="N242" s="11"/>
      <c r="O242" s="11"/>
      <c r="P242" s="11"/>
      <c r="Q242" s="11"/>
    </row>
    <row r="243" spans="14:17" ht="15.75" customHeight="1" x14ac:dyDescent="0.3">
      <c r="N243" s="11"/>
      <c r="O243" s="11"/>
      <c r="P243" s="11"/>
      <c r="Q243" s="11"/>
    </row>
    <row r="244" spans="14:17" ht="15.75" customHeight="1" x14ac:dyDescent="0.3">
      <c r="N244" s="11"/>
      <c r="O244" s="11"/>
      <c r="P244" s="11"/>
      <c r="Q244" s="11"/>
    </row>
    <row r="245" spans="14:17" ht="15.75" customHeight="1" x14ac:dyDescent="0.3">
      <c r="N245" s="11"/>
      <c r="O245" s="11"/>
      <c r="P245" s="11"/>
      <c r="Q245" s="11"/>
    </row>
    <row r="246" spans="14:17" ht="15.75" customHeight="1" x14ac:dyDescent="0.3">
      <c r="N246" s="11"/>
      <c r="O246" s="11"/>
      <c r="P246" s="11"/>
      <c r="Q246" s="11"/>
    </row>
    <row r="247" spans="14:17" ht="15.75" customHeight="1" x14ac:dyDescent="0.3">
      <c r="N247" s="11"/>
      <c r="O247" s="11"/>
      <c r="P247" s="11"/>
      <c r="Q247" s="11"/>
    </row>
    <row r="248" spans="14:17" ht="15.75" customHeight="1" x14ac:dyDescent="0.3">
      <c r="N248" s="11"/>
      <c r="O248" s="11"/>
      <c r="P248" s="11"/>
      <c r="Q248" s="11"/>
    </row>
    <row r="249" spans="14:17" ht="15.75" customHeight="1" x14ac:dyDescent="0.3">
      <c r="N249" s="11"/>
      <c r="O249" s="11"/>
      <c r="P249" s="11"/>
      <c r="Q249" s="11"/>
    </row>
    <row r="250" spans="14:17" ht="15.75" customHeight="1" x14ac:dyDescent="0.3">
      <c r="N250" s="11"/>
      <c r="O250" s="11"/>
      <c r="P250" s="11"/>
      <c r="Q250" s="11"/>
    </row>
    <row r="251" spans="14:17" ht="15.75" customHeight="1" x14ac:dyDescent="0.3">
      <c r="N251" s="11"/>
      <c r="O251" s="11"/>
      <c r="P251" s="11"/>
      <c r="Q251" s="11"/>
    </row>
    <row r="252" spans="14:17" ht="15.75" customHeight="1" x14ac:dyDescent="0.3">
      <c r="N252" s="11"/>
      <c r="O252" s="11"/>
      <c r="P252" s="11"/>
      <c r="Q252" s="11"/>
    </row>
    <row r="253" spans="14:17" ht="15.75" customHeight="1" x14ac:dyDescent="0.3">
      <c r="N253" s="11"/>
      <c r="O253" s="11"/>
      <c r="P253" s="11"/>
      <c r="Q253" s="11"/>
    </row>
    <row r="254" spans="14:17" ht="15.75" customHeight="1" x14ac:dyDescent="0.3">
      <c r="N254" s="11"/>
      <c r="O254" s="11"/>
      <c r="P254" s="11"/>
      <c r="Q254" s="11"/>
    </row>
    <row r="255" spans="14:17" ht="15.75" customHeight="1" x14ac:dyDescent="0.3">
      <c r="N255" s="11"/>
      <c r="O255" s="11"/>
      <c r="P255" s="11"/>
      <c r="Q255" s="11"/>
    </row>
    <row r="256" spans="14:17" ht="15.75" customHeight="1" x14ac:dyDescent="0.3">
      <c r="N256" s="11"/>
      <c r="O256" s="11"/>
      <c r="P256" s="11"/>
      <c r="Q256" s="11"/>
    </row>
    <row r="257" spans="14:17" ht="15.75" customHeight="1" x14ac:dyDescent="0.3">
      <c r="N257" s="11"/>
      <c r="O257" s="11"/>
      <c r="P257" s="11"/>
      <c r="Q257" s="11"/>
    </row>
    <row r="258" spans="14:17" ht="15.75" customHeight="1" x14ac:dyDescent="0.3">
      <c r="N258" s="11"/>
      <c r="O258" s="11"/>
      <c r="P258" s="11"/>
      <c r="Q258" s="11"/>
    </row>
    <row r="259" spans="14:17" ht="15.75" customHeight="1" x14ac:dyDescent="0.3">
      <c r="N259" s="11"/>
      <c r="O259" s="11"/>
      <c r="P259" s="11"/>
      <c r="Q259" s="11"/>
    </row>
    <row r="260" spans="14:17" ht="15.75" customHeight="1" x14ac:dyDescent="0.3">
      <c r="N260" s="11"/>
      <c r="O260" s="11"/>
      <c r="P260" s="11"/>
      <c r="Q260" s="11"/>
    </row>
    <row r="261" spans="14:17" ht="15.75" customHeight="1" x14ac:dyDescent="0.3">
      <c r="N261" s="11"/>
      <c r="O261" s="11"/>
      <c r="P261" s="11"/>
      <c r="Q261" s="11"/>
    </row>
    <row r="262" spans="14:17" ht="15.75" customHeight="1" x14ac:dyDescent="0.3">
      <c r="N262" s="11"/>
      <c r="O262" s="11"/>
      <c r="P262" s="11"/>
      <c r="Q262" s="11"/>
    </row>
    <row r="263" spans="14:17" ht="15.75" customHeight="1" x14ac:dyDescent="0.3">
      <c r="N263" s="11"/>
      <c r="O263" s="11"/>
      <c r="P263" s="11"/>
      <c r="Q263" s="11"/>
    </row>
    <row r="264" spans="14:17" ht="15.75" customHeight="1" x14ac:dyDescent="0.3">
      <c r="N264" s="11"/>
      <c r="O264" s="11"/>
      <c r="P264" s="11"/>
      <c r="Q264" s="11"/>
    </row>
    <row r="265" spans="14:17" ht="15.75" customHeight="1" x14ac:dyDescent="0.3">
      <c r="N265" s="11"/>
      <c r="O265" s="11"/>
      <c r="P265" s="11"/>
      <c r="Q265" s="11"/>
    </row>
    <row r="266" spans="14:17" ht="15.75" customHeight="1" x14ac:dyDescent="0.3">
      <c r="N266" s="11"/>
      <c r="O266" s="11"/>
      <c r="P266" s="11"/>
      <c r="Q266" s="11"/>
    </row>
    <row r="267" spans="14:17" ht="15.75" customHeight="1" x14ac:dyDescent="0.3">
      <c r="N267" s="11"/>
      <c r="O267" s="11"/>
      <c r="P267" s="11"/>
      <c r="Q267" s="11"/>
    </row>
    <row r="268" spans="14:17" ht="15.75" customHeight="1" x14ac:dyDescent="0.3">
      <c r="N268" s="11"/>
      <c r="O268" s="11"/>
      <c r="P268" s="11"/>
      <c r="Q268" s="11"/>
    </row>
    <row r="269" spans="14:17" ht="15.75" customHeight="1" x14ac:dyDescent="0.3">
      <c r="N269" s="11"/>
      <c r="O269" s="11"/>
      <c r="P269" s="11"/>
      <c r="Q269" s="11"/>
    </row>
    <row r="270" spans="14:17" ht="15.75" customHeight="1" x14ac:dyDescent="0.3">
      <c r="N270" s="11"/>
      <c r="O270" s="11"/>
      <c r="P270" s="11"/>
      <c r="Q270" s="11"/>
    </row>
    <row r="271" spans="14:17" ht="15.75" customHeight="1" x14ac:dyDescent="0.3">
      <c r="N271" s="11"/>
      <c r="O271" s="11"/>
      <c r="P271" s="11"/>
      <c r="Q271" s="11"/>
    </row>
    <row r="272" spans="14:17" ht="15.75" customHeight="1" x14ac:dyDescent="0.3">
      <c r="N272" s="11"/>
      <c r="O272" s="11"/>
      <c r="P272" s="11"/>
      <c r="Q272" s="11"/>
    </row>
    <row r="273" spans="14:17" ht="15.75" customHeight="1" x14ac:dyDescent="0.3">
      <c r="N273" s="11"/>
      <c r="O273" s="11"/>
      <c r="P273" s="11"/>
      <c r="Q273" s="11"/>
    </row>
    <row r="274" spans="14:17" ht="15.75" customHeight="1" x14ac:dyDescent="0.3">
      <c r="N274" s="11"/>
      <c r="O274" s="11"/>
      <c r="P274" s="11"/>
      <c r="Q274" s="11"/>
    </row>
    <row r="275" spans="14:17" ht="15.75" customHeight="1" x14ac:dyDescent="0.3">
      <c r="N275" s="11"/>
      <c r="O275" s="11"/>
      <c r="P275" s="11"/>
      <c r="Q275" s="11"/>
    </row>
    <row r="276" spans="14:17" ht="15.75" customHeight="1" x14ac:dyDescent="0.3">
      <c r="N276" s="11"/>
      <c r="O276" s="11"/>
      <c r="P276" s="11"/>
      <c r="Q276" s="11"/>
    </row>
    <row r="277" spans="14:17" ht="15.75" customHeight="1" x14ac:dyDescent="0.3">
      <c r="N277" s="11"/>
      <c r="O277" s="11"/>
      <c r="P277" s="11"/>
      <c r="Q277" s="11"/>
    </row>
    <row r="278" spans="14:17" ht="15.75" customHeight="1" x14ac:dyDescent="0.3">
      <c r="N278" s="11"/>
      <c r="O278" s="11"/>
      <c r="P278" s="11"/>
      <c r="Q278" s="11"/>
    </row>
    <row r="279" spans="14:17" ht="15.75" customHeight="1" x14ac:dyDescent="0.3">
      <c r="N279" s="11"/>
      <c r="O279" s="11"/>
      <c r="P279" s="11"/>
      <c r="Q279" s="11"/>
    </row>
    <row r="280" spans="14:17" ht="15.75" customHeight="1" x14ac:dyDescent="0.3">
      <c r="N280" s="11"/>
      <c r="O280" s="11"/>
      <c r="P280" s="11"/>
      <c r="Q280" s="11"/>
    </row>
    <row r="281" spans="14:17" ht="15.75" customHeight="1" x14ac:dyDescent="0.3">
      <c r="N281" s="11"/>
      <c r="O281" s="11"/>
      <c r="P281" s="11"/>
      <c r="Q281" s="11"/>
    </row>
    <row r="282" spans="14:17" ht="15.75" customHeight="1" x14ac:dyDescent="0.3">
      <c r="N282" s="11"/>
      <c r="O282" s="11"/>
      <c r="P282" s="11"/>
      <c r="Q282" s="11"/>
    </row>
    <row r="283" spans="14:17" ht="15.75" customHeight="1" x14ac:dyDescent="0.3">
      <c r="N283" s="11"/>
      <c r="O283" s="11"/>
      <c r="P283" s="11"/>
      <c r="Q283" s="11"/>
    </row>
    <row r="284" spans="14:17" ht="15.75" customHeight="1" x14ac:dyDescent="0.3">
      <c r="N284" s="11"/>
      <c r="O284" s="11"/>
      <c r="P284" s="11"/>
      <c r="Q284" s="11"/>
    </row>
    <row r="285" spans="14:17" ht="15.75" customHeight="1" x14ac:dyDescent="0.3">
      <c r="N285" s="11"/>
      <c r="O285" s="11"/>
      <c r="P285" s="11"/>
      <c r="Q285" s="11"/>
    </row>
    <row r="286" spans="14:17" ht="15.75" customHeight="1" x14ac:dyDescent="0.3">
      <c r="N286" s="11"/>
      <c r="O286" s="11"/>
      <c r="P286" s="11"/>
      <c r="Q286" s="11"/>
    </row>
    <row r="287" spans="14:17" ht="15.75" customHeight="1" x14ac:dyDescent="0.3">
      <c r="N287" s="11"/>
      <c r="O287" s="11"/>
      <c r="P287" s="11"/>
      <c r="Q287" s="11"/>
    </row>
    <row r="288" spans="14:17" ht="15.75" customHeight="1" x14ac:dyDescent="0.3">
      <c r="N288" s="11"/>
      <c r="O288" s="11"/>
      <c r="P288" s="11"/>
      <c r="Q288" s="11"/>
    </row>
    <row r="289" spans="14:17" ht="15.75" customHeight="1" x14ac:dyDescent="0.3">
      <c r="N289" s="11"/>
      <c r="O289" s="11"/>
      <c r="P289" s="11"/>
      <c r="Q289" s="11"/>
    </row>
    <row r="290" spans="14:17" ht="15.75" customHeight="1" x14ac:dyDescent="0.3">
      <c r="N290" s="11"/>
      <c r="O290" s="11"/>
      <c r="P290" s="11"/>
      <c r="Q290" s="11"/>
    </row>
    <row r="291" spans="14:17" ht="15.75" customHeight="1" x14ac:dyDescent="0.3">
      <c r="N291" s="11"/>
      <c r="O291" s="11"/>
      <c r="P291" s="11"/>
      <c r="Q291" s="11"/>
    </row>
    <row r="292" spans="14:17" ht="15.75" customHeight="1" x14ac:dyDescent="0.3">
      <c r="N292" s="11"/>
      <c r="O292" s="11"/>
      <c r="P292" s="11"/>
      <c r="Q292" s="11"/>
    </row>
    <row r="293" spans="14:17" ht="15.75" customHeight="1" x14ac:dyDescent="0.3">
      <c r="N293" s="11"/>
      <c r="O293" s="11"/>
      <c r="P293" s="11"/>
      <c r="Q293" s="11"/>
    </row>
    <row r="294" spans="14:17" ht="15.75" customHeight="1" x14ac:dyDescent="0.3">
      <c r="N294" s="11"/>
      <c r="O294" s="11"/>
      <c r="P294" s="11"/>
      <c r="Q294" s="11"/>
    </row>
    <row r="295" spans="14:17" ht="15.75" customHeight="1" x14ac:dyDescent="0.3">
      <c r="N295" s="11"/>
      <c r="O295" s="11"/>
      <c r="P295" s="11"/>
      <c r="Q295" s="11"/>
    </row>
    <row r="296" spans="14:17" ht="15.75" customHeight="1" x14ac:dyDescent="0.3">
      <c r="N296" s="11"/>
      <c r="O296" s="11"/>
      <c r="P296" s="11"/>
      <c r="Q296" s="11"/>
    </row>
    <row r="297" spans="14:17" ht="15.75" customHeight="1" x14ac:dyDescent="0.3">
      <c r="N297" s="11"/>
      <c r="O297" s="11"/>
      <c r="P297" s="11"/>
      <c r="Q297" s="11"/>
    </row>
    <row r="298" spans="14:17" ht="15.75" customHeight="1" x14ac:dyDescent="0.3">
      <c r="N298" s="11"/>
      <c r="O298" s="11"/>
      <c r="P298" s="11"/>
      <c r="Q298" s="11"/>
    </row>
    <row r="299" spans="14:17" ht="15.75" customHeight="1" x14ac:dyDescent="0.3">
      <c r="N299" s="11"/>
      <c r="O299" s="11"/>
      <c r="P299" s="11"/>
      <c r="Q299" s="11"/>
    </row>
    <row r="300" spans="14:17" ht="15.75" customHeight="1" x14ac:dyDescent="0.3">
      <c r="N300" s="11"/>
      <c r="O300" s="11"/>
      <c r="P300" s="11"/>
      <c r="Q300" s="11"/>
    </row>
    <row r="301" spans="14:17" ht="15.75" customHeight="1" x14ac:dyDescent="0.3">
      <c r="N301" s="11"/>
      <c r="O301" s="11"/>
      <c r="P301" s="11"/>
      <c r="Q301" s="11"/>
    </row>
    <row r="302" spans="14:17" ht="15.75" customHeight="1" x14ac:dyDescent="0.3">
      <c r="N302" s="11"/>
      <c r="O302" s="11"/>
      <c r="P302" s="11"/>
      <c r="Q302" s="11"/>
    </row>
    <row r="303" spans="14:17" ht="15.75" customHeight="1" x14ac:dyDescent="0.3">
      <c r="N303" s="11"/>
      <c r="O303" s="11"/>
      <c r="P303" s="11"/>
      <c r="Q303" s="11"/>
    </row>
    <row r="304" spans="14:17" ht="15.75" customHeight="1" x14ac:dyDescent="0.3">
      <c r="N304" s="11"/>
      <c r="O304" s="11"/>
      <c r="P304" s="11"/>
      <c r="Q304" s="11"/>
    </row>
    <row r="305" spans="14:17" ht="15.75" customHeight="1" x14ac:dyDescent="0.3">
      <c r="N305" s="11"/>
      <c r="O305" s="11"/>
      <c r="P305" s="11"/>
      <c r="Q305" s="11"/>
    </row>
    <row r="306" spans="14:17" ht="15.75" customHeight="1" x14ac:dyDescent="0.3">
      <c r="N306" s="11"/>
      <c r="O306" s="11"/>
      <c r="P306" s="11"/>
      <c r="Q306" s="11"/>
    </row>
    <row r="307" spans="14:17" ht="15.75" customHeight="1" x14ac:dyDescent="0.3">
      <c r="N307" s="11"/>
      <c r="O307" s="11"/>
      <c r="P307" s="11"/>
      <c r="Q307" s="11"/>
    </row>
    <row r="308" spans="14:17" ht="15.75" customHeight="1" x14ac:dyDescent="0.3">
      <c r="N308" s="11"/>
      <c r="O308" s="11"/>
      <c r="P308" s="11"/>
      <c r="Q308" s="11"/>
    </row>
    <row r="309" spans="14:17" ht="15.75" customHeight="1" x14ac:dyDescent="0.3">
      <c r="N309" s="11"/>
      <c r="O309" s="11"/>
      <c r="P309" s="11"/>
      <c r="Q309" s="11"/>
    </row>
    <row r="310" spans="14:17" ht="15.75" customHeight="1" x14ac:dyDescent="0.3">
      <c r="N310" s="11"/>
      <c r="O310" s="11"/>
      <c r="P310" s="11"/>
      <c r="Q310" s="11"/>
    </row>
    <row r="311" spans="14:17" ht="15.75" customHeight="1" x14ac:dyDescent="0.3">
      <c r="N311" s="11"/>
      <c r="O311" s="11"/>
      <c r="P311" s="11"/>
      <c r="Q311" s="11"/>
    </row>
    <row r="312" spans="14:17" ht="15.75" customHeight="1" x14ac:dyDescent="0.3">
      <c r="N312" s="11"/>
      <c r="O312" s="11"/>
      <c r="P312" s="11"/>
      <c r="Q312" s="11"/>
    </row>
    <row r="313" spans="14:17" ht="15.75" customHeight="1" x14ac:dyDescent="0.3">
      <c r="N313" s="11"/>
      <c r="O313" s="11"/>
      <c r="P313" s="11"/>
      <c r="Q313" s="11"/>
    </row>
    <row r="314" spans="14:17" ht="15.75" customHeight="1" x14ac:dyDescent="0.3">
      <c r="N314" s="11"/>
      <c r="O314" s="11"/>
      <c r="P314" s="11"/>
      <c r="Q314" s="11"/>
    </row>
    <row r="315" spans="14:17" ht="15.75" customHeight="1" x14ac:dyDescent="0.3">
      <c r="N315" s="11"/>
      <c r="O315" s="11"/>
      <c r="P315" s="11"/>
      <c r="Q315" s="11"/>
    </row>
    <row r="316" spans="14:17" ht="15.75" customHeight="1" x14ac:dyDescent="0.3">
      <c r="N316" s="11"/>
      <c r="O316" s="11"/>
      <c r="P316" s="11"/>
      <c r="Q316" s="11"/>
    </row>
    <row r="317" spans="14:17" ht="15.75" customHeight="1" x14ac:dyDescent="0.3">
      <c r="N317" s="11"/>
      <c r="O317" s="11"/>
      <c r="P317" s="11"/>
      <c r="Q317" s="11"/>
    </row>
    <row r="318" spans="14:17" ht="15.75" customHeight="1" x14ac:dyDescent="0.3">
      <c r="N318" s="11"/>
      <c r="O318" s="11"/>
      <c r="P318" s="11"/>
      <c r="Q318" s="11"/>
    </row>
    <row r="319" spans="14:17" ht="15.75" customHeight="1" x14ac:dyDescent="0.3">
      <c r="N319" s="11"/>
      <c r="O319" s="11"/>
      <c r="P319" s="11"/>
      <c r="Q319" s="11"/>
    </row>
    <row r="320" spans="14:17" ht="15.75" customHeight="1" x14ac:dyDescent="0.3">
      <c r="N320" s="11"/>
      <c r="O320" s="11"/>
      <c r="P320" s="11"/>
      <c r="Q320" s="11"/>
    </row>
    <row r="321" spans="14:17" ht="15.75" customHeight="1" x14ac:dyDescent="0.3">
      <c r="N321" s="11"/>
      <c r="O321" s="11"/>
      <c r="P321" s="11"/>
      <c r="Q321" s="11"/>
    </row>
    <row r="322" spans="14:17" ht="15.75" customHeight="1" x14ac:dyDescent="0.3">
      <c r="N322" s="11"/>
      <c r="O322" s="11"/>
      <c r="P322" s="11"/>
      <c r="Q322" s="11"/>
    </row>
    <row r="323" spans="14:17" ht="15.75" customHeight="1" x14ac:dyDescent="0.3">
      <c r="N323" s="11"/>
      <c r="O323" s="11"/>
      <c r="P323" s="11"/>
      <c r="Q323" s="11"/>
    </row>
    <row r="324" spans="14:17" ht="15.75" customHeight="1" x14ac:dyDescent="0.3">
      <c r="N324" s="11"/>
      <c r="O324" s="11"/>
      <c r="P324" s="11"/>
      <c r="Q324" s="11"/>
    </row>
    <row r="325" spans="14:17" ht="15.75" customHeight="1" x14ac:dyDescent="0.3">
      <c r="N325" s="11"/>
      <c r="O325" s="11"/>
      <c r="P325" s="11"/>
      <c r="Q325" s="11"/>
    </row>
    <row r="326" spans="14:17" ht="15.75" customHeight="1" x14ac:dyDescent="0.3">
      <c r="N326" s="11"/>
      <c r="O326" s="11"/>
      <c r="P326" s="11"/>
      <c r="Q326" s="11"/>
    </row>
    <row r="327" spans="14:17" ht="15.75" customHeight="1" x14ac:dyDescent="0.3">
      <c r="N327" s="11"/>
      <c r="O327" s="11"/>
      <c r="P327" s="11"/>
      <c r="Q327" s="11"/>
    </row>
    <row r="328" spans="14:17" ht="15.75" customHeight="1" x14ac:dyDescent="0.3">
      <c r="N328" s="11"/>
      <c r="O328" s="11"/>
      <c r="P328" s="11"/>
      <c r="Q328" s="11"/>
    </row>
    <row r="329" spans="14:17" ht="15.75" customHeight="1" x14ac:dyDescent="0.3">
      <c r="N329" s="11"/>
      <c r="O329" s="11"/>
      <c r="P329" s="11"/>
      <c r="Q329" s="11"/>
    </row>
    <row r="330" spans="14:17" ht="15.75" customHeight="1" x14ac:dyDescent="0.3">
      <c r="N330" s="11"/>
      <c r="O330" s="11"/>
      <c r="P330" s="11"/>
      <c r="Q330" s="11"/>
    </row>
    <row r="331" spans="14:17" ht="15.75" customHeight="1" x14ac:dyDescent="0.3">
      <c r="N331" s="11"/>
      <c r="O331" s="11"/>
      <c r="P331" s="11"/>
      <c r="Q331" s="11"/>
    </row>
    <row r="332" spans="14:17" ht="15.75" customHeight="1" x14ac:dyDescent="0.3">
      <c r="N332" s="11"/>
      <c r="O332" s="11"/>
      <c r="P332" s="11"/>
      <c r="Q332" s="11"/>
    </row>
    <row r="333" spans="14:17" ht="15.75" customHeight="1" x14ac:dyDescent="0.3">
      <c r="N333" s="11"/>
      <c r="O333" s="11"/>
      <c r="P333" s="11"/>
      <c r="Q333" s="11"/>
    </row>
    <row r="334" spans="14:17" ht="15.75" customHeight="1" x14ac:dyDescent="0.3">
      <c r="N334" s="11"/>
      <c r="O334" s="11"/>
      <c r="P334" s="11"/>
      <c r="Q334" s="11"/>
    </row>
    <row r="335" spans="14:17" ht="15.75" customHeight="1" x14ac:dyDescent="0.3">
      <c r="N335" s="11"/>
      <c r="O335" s="11"/>
      <c r="P335" s="11"/>
      <c r="Q335" s="11"/>
    </row>
    <row r="336" spans="14:17" ht="15.75" customHeight="1" x14ac:dyDescent="0.3">
      <c r="N336" s="11"/>
      <c r="O336" s="11"/>
      <c r="P336" s="11"/>
      <c r="Q336" s="11"/>
    </row>
    <row r="337" spans="14:17" ht="15.75" customHeight="1" x14ac:dyDescent="0.3">
      <c r="N337" s="11"/>
      <c r="O337" s="11"/>
      <c r="P337" s="11"/>
      <c r="Q337" s="11"/>
    </row>
    <row r="338" spans="14:17" ht="15.75" customHeight="1" x14ac:dyDescent="0.3">
      <c r="N338" s="11"/>
      <c r="O338" s="11"/>
      <c r="P338" s="11"/>
      <c r="Q338" s="11"/>
    </row>
    <row r="339" spans="14:17" ht="15.75" customHeight="1" x14ac:dyDescent="0.3">
      <c r="N339" s="11"/>
      <c r="O339" s="11"/>
      <c r="P339" s="11"/>
      <c r="Q339" s="11"/>
    </row>
    <row r="340" spans="14:17" ht="15.75" customHeight="1" x14ac:dyDescent="0.3">
      <c r="N340" s="11"/>
      <c r="O340" s="11"/>
      <c r="P340" s="11"/>
      <c r="Q340" s="11"/>
    </row>
    <row r="341" spans="14:17" ht="15.75" customHeight="1" x14ac:dyDescent="0.3">
      <c r="N341" s="11"/>
      <c r="O341" s="11"/>
      <c r="P341" s="11"/>
      <c r="Q341" s="11"/>
    </row>
    <row r="342" spans="14:17" ht="15.75" customHeight="1" x14ac:dyDescent="0.3">
      <c r="N342" s="11"/>
      <c r="O342" s="11"/>
      <c r="P342" s="11"/>
      <c r="Q342" s="11"/>
    </row>
    <row r="343" spans="14:17" ht="15.75" customHeight="1" x14ac:dyDescent="0.3">
      <c r="N343" s="11"/>
      <c r="O343" s="11"/>
      <c r="P343" s="11"/>
      <c r="Q343" s="11"/>
    </row>
    <row r="344" spans="14:17" ht="15.75" customHeight="1" x14ac:dyDescent="0.3">
      <c r="N344" s="11"/>
      <c r="O344" s="11"/>
      <c r="P344" s="11"/>
      <c r="Q344" s="11"/>
    </row>
    <row r="345" spans="14:17" ht="15.75" customHeight="1" x14ac:dyDescent="0.3">
      <c r="N345" s="11"/>
      <c r="O345" s="11"/>
      <c r="P345" s="11"/>
      <c r="Q345" s="11"/>
    </row>
    <row r="346" spans="14:17" ht="15.75" customHeight="1" x14ac:dyDescent="0.3">
      <c r="N346" s="11"/>
      <c r="O346" s="11"/>
      <c r="P346" s="11"/>
      <c r="Q346" s="11"/>
    </row>
    <row r="347" spans="14:17" ht="15.75" customHeight="1" x14ac:dyDescent="0.3">
      <c r="N347" s="11"/>
      <c r="O347" s="11"/>
      <c r="P347" s="11"/>
      <c r="Q347" s="11"/>
    </row>
    <row r="348" spans="14:17" ht="15.75" customHeight="1" x14ac:dyDescent="0.3">
      <c r="N348" s="11"/>
      <c r="O348" s="11"/>
      <c r="P348" s="11"/>
      <c r="Q348" s="11"/>
    </row>
    <row r="349" spans="14:17" ht="15.75" customHeight="1" x14ac:dyDescent="0.3">
      <c r="N349" s="11"/>
      <c r="O349" s="11"/>
      <c r="P349" s="11"/>
      <c r="Q349" s="11"/>
    </row>
    <row r="350" spans="14:17" ht="15.75" customHeight="1" x14ac:dyDescent="0.3">
      <c r="N350" s="11"/>
      <c r="O350" s="11"/>
      <c r="P350" s="11"/>
      <c r="Q350" s="11"/>
    </row>
    <row r="351" spans="14:17" ht="15.75" customHeight="1" x14ac:dyDescent="0.3">
      <c r="N351" s="11"/>
      <c r="O351" s="11"/>
      <c r="P351" s="11"/>
      <c r="Q351" s="11"/>
    </row>
    <row r="352" spans="14:17" ht="15.75" customHeight="1" x14ac:dyDescent="0.3">
      <c r="N352" s="11"/>
      <c r="O352" s="11"/>
      <c r="P352" s="11"/>
      <c r="Q352" s="11"/>
    </row>
    <row r="353" spans="14:17" ht="15.75" customHeight="1" x14ac:dyDescent="0.3">
      <c r="N353" s="11"/>
      <c r="O353" s="11"/>
      <c r="P353" s="11"/>
      <c r="Q353" s="11"/>
    </row>
    <row r="354" spans="14:17" ht="15.75" customHeight="1" x14ac:dyDescent="0.3">
      <c r="N354" s="11"/>
      <c r="O354" s="11"/>
      <c r="P354" s="11"/>
      <c r="Q354" s="11"/>
    </row>
    <row r="355" spans="14:17" ht="15.75" customHeight="1" x14ac:dyDescent="0.3">
      <c r="N355" s="11"/>
      <c r="O355" s="11"/>
      <c r="P355" s="11"/>
      <c r="Q355" s="11"/>
    </row>
    <row r="356" spans="14:17" ht="15.75" customHeight="1" x14ac:dyDescent="0.3">
      <c r="N356" s="11"/>
      <c r="O356" s="11"/>
      <c r="P356" s="11"/>
      <c r="Q356" s="11"/>
    </row>
    <row r="357" spans="14:17" ht="15.75" customHeight="1" x14ac:dyDescent="0.3">
      <c r="N357" s="11"/>
      <c r="O357" s="11"/>
      <c r="P357" s="11"/>
      <c r="Q357" s="11"/>
    </row>
    <row r="358" spans="14:17" ht="15.75" customHeight="1" x14ac:dyDescent="0.3">
      <c r="N358" s="11"/>
      <c r="O358" s="11"/>
      <c r="P358" s="11"/>
      <c r="Q358" s="11"/>
    </row>
    <row r="359" spans="14:17" ht="15.75" customHeight="1" x14ac:dyDescent="0.3">
      <c r="N359" s="11"/>
      <c r="O359" s="11"/>
      <c r="P359" s="11"/>
      <c r="Q359" s="11"/>
    </row>
    <row r="360" spans="14:17" ht="15.75" customHeight="1" x14ac:dyDescent="0.3">
      <c r="N360" s="11"/>
      <c r="O360" s="11"/>
      <c r="P360" s="11"/>
      <c r="Q360" s="11"/>
    </row>
    <row r="361" spans="14:17" ht="15.75" customHeight="1" x14ac:dyDescent="0.3">
      <c r="N361" s="11"/>
      <c r="O361" s="11"/>
      <c r="P361" s="11"/>
      <c r="Q361" s="11"/>
    </row>
    <row r="362" spans="14:17" ht="15.75" customHeight="1" x14ac:dyDescent="0.3">
      <c r="N362" s="11"/>
      <c r="O362" s="11"/>
      <c r="P362" s="11"/>
      <c r="Q362" s="11"/>
    </row>
    <row r="363" spans="14:17" ht="15.75" customHeight="1" x14ac:dyDescent="0.3">
      <c r="N363" s="11"/>
      <c r="O363" s="11"/>
      <c r="P363" s="11"/>
      <c r="Q363" s="11"/>
    </row>
    <row r="364" spans="14:17" ht="15.75" customHeight="1" x14ac:dyDescent="0.3">
      <c r="N364" s="11"/>
      <c r="O364" s="11"/>
      <c r="P364" s="11"/>
      <c r="Q364" s="11"/>
    </row>
    <row r="365" spans="14:17" ht="15.75" customHeight="1" x14ac:dyDescent="0.3">
      <c r="N365" s="11"/>
      <c r="O365" s="11"/>
      <c r="P365" s="11"/>
      <c r="Q365" s="11"/>
    </row>
    <row r="366" spans="14:17" ht="15.75" customHeight="1" x14ac:dyDescent="0.3">
      <c r="N366" s="11"/>
      <c r="O366" s="11"/>
      <c r="P366" s="11"/>
      <c r="Q366" s="11"/>
    </row>
    <row r="367" spans="14:17" ht="15.75" customHeight="1" x14ac:dyDescent="0.3">
      <c r="N367" s="11"/>
      <c r="O367" s="11"/>
      <c r="P367" s="11"/>
      <c r="Q367" s="11"/>
    </row>
    <row r="368" spans="14:17" ht="15.75" customHeight="1" x14ac:dyDescent="0.3">
      <c r="N368" s="11"/>
      <c r="O368" s="11"/>
      <c r="P368" s="11"/>
      <c r="Q368" s="11"/>
    </row>
    <row r="369" spans="14:17" ht="15.75" customHeight="1" x14ac:dyDescent="0.3">
      <c r="N369" s="11"/>
      <c r="O369" s="11"/>
      <c r="P369" s="11"/>
      <c r="Q369" s="11"/>
    </row>
    <row r="370" spans="14:17" ht="15.75" customHeight="1" x14ac:dyDescent="0.3">
      <c r="N370" s="11"/>
      <c r="O370" s="11"/>
      <c r="P370" s="11"/>
      <c r="Q370" s="11"/>
    </row>
    <row r="371" spans="14:17" ht="15.75" customHeight="1" x14ac:dyDescent="0.3">
      <c r="N371" s="11"/>
      <c r="O371" s="11"/>
      <c r="P371" s="11"/>
      <c r="Q371" s="11"/>
    </row>
    <row r="372" spans="14:17" ht="15.75" customHeight="1" x14ac:dyDescent="0.3">
      <c r="N372" s="11"/>
      <c r="O372" s="11"/>
      <c r="P372" s="11"/>
      <c r="Q372" s="11"/>
    </row>
    <row r="373" spans="14:17" ht="15.75" customHeight="1" x14ac:dyDescent="0.3">
      <c r="N373" s="11"/>
      <c r="O373" s="11"/>
      <c r="P373" s="11"/>
      <c r="Q373" s="11"/>
    </row>
    <row r="374" spans="14:17" ht="15.75" customHeight="1" x14ac:dyDescent="0.3">
      <c r="N374" s="11"/>
      <c r="O374" s="11"/>
      <c r="P374" s="11"/>
      <c r="Q374" s="11"/>
    </row>
    <row r="375" spans="14:17" ht="15.75" customHeight="1" x14ac:dyDescent="0.3">
      <c r="N375" s="11"/>
      <c r="O375" s="11"/>
      <c r="P375" s="11"/>
      <c r="Q375" s="11"/>
    </row>
    <row r="376" spans="14:17" ht="15.75" customHeight="1" x14ac:dyDescent="0.3">
      <c r="N376" s="11"/>
      <c r="O376" s="11"/>
      <c r="P376" s="11"/>
      <c r="Q376" s="11"/>
    </row>
    <row r="377" spans="14:17" ht="15.75" customHeight="1" x14ac:dyDescent="0.3">
      <c r="N377" s="11"/>
      <c r="O377" s="11"/>
      <c r="P377" s="11"/>
      <c r="Q377" s="11"/>
    </row>
    <row r="378" spans="14:17" ht="15.75" customHeight="1" x14ac:dyDescent="0.3">
      <c r="N378" s="11"/>
      <c r="O378" s="11"/>
      <c r="P378" s="11"/>
      <c r="Q378" s="11"/>
    </row>
    <row r="379" spans="14:17" ht="15.75" customHeight="1" x14ac:dyDescent="0.3">
      <c r="N379" s="11"/>
      <c r="O379" s="11"/>
      <c r="P379" s="11"/>
      <c r="Q379" s="11"/>
    </row>
    <row r="380" spans="14:17" ht="15.75" customHeight="1" x14ac:dyDescent="0.3">
      <c r="N380" s="11"/>
      <c r="O380" s="11"/>
      <c r="P380" s="11"/>
      <c r="Q380" s="11"/>
    </row>
    <row r="381" spans="14:17" ht="15.75" customHeight="1" x14ac:dyDescent="0.3">
      <c r="N381" s="11"/>
      <c r="O381" s="11"/>
      <c r="P381" s="11"/>
      <c r="Q381" s="11"/>
    </row>
    <row r="382" spans="14:17" ht="15.75" customHeight="1" x14ac:dyDescent="0.3">
      <c r="N382" s="11"/>
      <c r="O382" s="11"/>
      <c r="P382" s="11"/>
      <c r="Q382" s="11"/>
    </row>
    <row r="383" spans="14:17" ht="15.75" customHeight="1" x14ac:dyDescent="0.3">
      <c r="N383" s="11"/>
      <c r="O383" s="11"/>
      <c r="P383" s="11"/>
      <c r="Q383" s="11"/>
    </row>
    <row r="384" spans="14:17" ht="15.75" customHeight="1" x14ac:dyDescent="0.3">
      <c r="N384" s="11"/>
      <c r="O384" s="11"/>
      <c r="P384" s="11"/>
      <c r="Q384" s="11"/>
    </row>
    <row r="385" spans="14:17" ht="15.75" customHeight="1" x14ac:dyDescent="0.3">
      <c r="N385" s="11"/>
      <c r="O385" s="11"/>
      <c r="P385" s="11"/>
      <c r="Q385" s="11"/>
    </row>
    <row r="386" spans="14:17" ht="15.75" customHeight="1" x14ac:dyDescent="0.3">
      <c r="N386" s="11"/>
      <c r="O386" s="11"/>
      <c r="P386" s="11"/>
      <c r="Q386" s="11"/>
    </row>
    <row r="387" spans="14:17" ht="15.75" customHeight="1" x14ac:dyDescent="0.3">
      <c r="N387" s="11"/>
      <c r="O387" s="11"/>
      <c r="P387" s="11"/>
      <c r="Q387" s="11"/>
    </row>
    <row r="388" spans="14:17" ht="15.75" customHeight="1" x14ac:dyDescent="0.3">
      <c r="N388" s="11"/>
      <c r="O388" s="11"/>
      <c r="P388" s="11"/>
      <c r="Q388" s="11"/>
    </row>
    <row r="389" spans="14:17" ht="15.75" customHeight="1" x14ac:dyDescent="0.3">
      <c r="N389" s="11"/>
      <c r="O389" s="11"/>
      <c r="P389" s="11"/>
      <c r="Q389" s="11"/>
    </row>
    <row r="390" spans="14:17" ht="15.75" customHeight="1" x14ac:dyDescent="0.3">
      <c r="N390" s="11"/>
      <c r="O390" s="11"/>
      <c r="P390" s="11"/>
      <c r="Q390" s="11"/>
    </row>
    <row r="391" spans="14:17" ht="15.75" customHeight="1" x14ac:dyDescent="0.3">
      <c r="N391" s="11"/>
      <c r="O391" s="11"/>
      <c r="P391" s="11"/>
      <c r="Q391" s="11"/>
    </row>
    <row r="392" spans="14:17" ht="15.75" customHeight="1" x14ac:dyDescent="0.3">
      <c r="N392" s="11"/>
      <c r="O392" s="11"/>
      <c r="P392" s="11"/>
      <c r="Q392" s="11"/>
    </row>
    <row r="393" spans="14:17" ht="15.75" customHeight="1" x14ac:dyDescent="0.3">
      <c r="N393" s="11"/>
      <c r="O393" s="11"/>
      <c r="P393" s="11"/>
      <c r="Q393" s="11"/>
    </row>
    <row r="394" spans="14:17" ht="15.75" customHeight="1" x14ac:dyDescent="0.3">
      <c r="N394" s="11"/>
      <c r="O394" s="11"/>
      <c r="P394" s="11"/>
      <c r="Q394" s="11"/>
    </row>
    <row r="395" spans="14:17" ht="15.75" customHeight="1" x14ac:dyDescent="0.3">
      <c r="N395" s="11"/>
      <c r="O395" s="11"/>
      <c r="P395" s="11"/>
      <c r="Q395" s="11"/>
    </row>
    <row r="396" spans="14:17" ht="15.75" customHeight="1" x14ac:dyDescent="0.3">
      <c r="N396" s="11"/>
      <c r="O396" s="11"/>
      <c r="P396" s="11"/>
      <c r="Q396" s="11"/>
    </row>
    <row r="397" spans="14:17" ht="15.75" customHeight="1" x14ac:dyDescent="0.3">
      <c r="N397" s="11"/>
      <c r="O397" s="11"/>
      <c r="P397" s="11"/>
      <c r="Q397" s="11"/>
    </row>
    <row r="398" spans="14:17" ht="15.75" customHeight="1" x14ac:dyDescent="0.3">
      <c r="N398" s="11"/>
      <c r="O398" s="11"/>
      <c r="P398" s="11"/>
      <c r="Q398" s="11"/>
    </row>
    <row r="399" spans="14:17" ht="15.75" customHeight="1" x14ac:dyDescent="0.3">
      <c r="N399" s="11"/>
      <c r="O399" s="11"/>
      <c r="P399" s="11"/>
      <c r="Q399" s="11"/>
    </row>
    <row r="400" spans="14:17" ht="15.75" customHeight="1" x14ac:dyDescent="0.3">
      <c r="N400" s="11"/>
      <c r="O400" s="11"/>
      <c r="P400" s="11"/>
      <c r="Q400" s="11"/>
    </row>
    <row r="401" spans="14:17" ht="15.75" customHeight="1" x14ac:dyDescent="0.3">
      <c r="N401" s="11"/>
      <c r="O401" s="11"/>
      <c r="P401" s="11"/>
      <c r="Q401" s="11"/>
    </row>
    <row r="402" spans="14:17" ht="15.75" customHeight="1" x14ac:dyDescent="0.3">
      <c r="N402" s="11"/>
      <c r="O402" s="11"/>
      <c r="P402" s="11"/>
      <c r="Q402" s="11"/>
    </row>
    <row r="403" spans="14:17" ht="15.75" customHeight="1" x14ac:dyDescent="0.3">
      <c r="N403" s="11"/>
      <c r="O403" s="11"/>
      <c r="P403" s="11"/>
      <c r="Q403" s="11"/>
    </row>
    <row r="404" spans="14:17" ht="15.75" customHeight="1" x14ac:dyDescent="0.3">
      <c r="N404" s="11"/>
      <c r="O404" s="11"/>
      <c r="P404" s="11"/>
      <c r="Q404" s="11"/>
    </row>
    <row r="405" spans="14:17" ht="15.75" customHeight="1" x14ac:dyDescent="0.3">
      <c r="N405" s="11"/>
      <c r="O405" s="11"/>
      <c r="P405" s="11"/>
      <c r="Q405" s="11"/>
    </row>
    <row r="406" spans="14:17" ht="15.75" customHeight="1" x14ac:dyDescent="0.3">
      <c r="N406" s="11"/>
      <c r="O406" s="11"/>
      <c r="P406" s="11"/>
      <c r="Q406" s="11"/>
    </row>
    <row r="407" spans="14:17" ht="15.75" customHeight="1" x14ac:dyDescent="0.3">
      <c r="N407" s="11"/>
      <c r="O407" s="11"/>
      <c r="P407" s="11"/>
      <c r="Q407" s="11"/>
    </row>
    <row r="408" spans="14:17" ht="15.75" customHeight="1" x14ac:dyDescent="0.3">
      <c r="N408" s="11"/>
      <c r="O408" s="11"/>
      <c r="P408" s="11"/>
      <c r="Q408" s="11"/>
    </row>
    <row r="409" spans="14:17" ht="15.75" customHeight="1" x14ac:dyDescent="0.3">
      <c r="N409" s="11"/>
      <c r="O409" s="11"/>
      <c r="P409" s="11"/>
      <c r="Q409" s="11"/>
    </row>
    <row r="410" spans="14:17" ht="15.75" customHeight="1" x14ac:dyDescent="0.3">
      <c r="N410" s="11"/>
      <c r="O410" s="11"/>
      <c r="P410" s="11"/>
      <c r="Q410" s="11"/>
    </row>
    <row r="411" spans="14:17" ht="15.75" customHeight="1" x14ac:dyDescent="0.3">
      <c r="N411" s="11"/>
      <c r="O411" s="11"/>
      <c r="P411" s="11"/>
      <c r="Q411" s="11"/>
    </row>
    <row r="412" spans="14:17" ht="15.75" customHeight="1" x14ac:dyDescent="0.3">
      <c r="N412" s="11"/>
      <c r="O412" s="11"/>
      <c r="P412" s="11"/>
      <c r="Q412" s="11"/>
    </row>
    <row r="413" spans="14:17" ht="15.75" customHeight="1" x14ac:dyDescent="0.3">
      <c r="N413" s="11"/>
      <c r="O413" s="11"/>
      <c r="P413" s="11"/>
      <c r="Q413" s="11"/>
    </row>
    <row r="414" spans="14:17" ht="15.75" customHeight="1" x14ac:dyDescent="0.3">
      <c r="N414" s="11"/>
      <c r="O414" s="11"/>
      <c r="P414" s="11"/>
      <c r="Q414" s="11"/>
    </row>
    <row r="415" spans="14:17" ht="15.75" customHeight="1" x14ac:dyDescent="0.3">
      <c r="N415" s="11"/>
      <c r="O415" s="11"/>
      <c r="P415" s="11"/>
      <c r="Q415" s="11"/>
    </row>
    <row r="416" spans="14:17" ht="15.75" customHeight="1" x14ac:dyDescent="0.3">
      <c r="N416" s="11"/>
      <c r="O416" s="11"/>
      <c r="P416" s="11"/>
      <c r="Q416" s="11"/>
    </row>
    <row r="417" spans="14:17" ht="15.75" customHeight="1" x14ac:dyDescent="0.3">
      <c r="N417" s="11"/>
      <c r="O417" s="11"/>
      <c r="P417" s="11"/>
      <c r="Q417" s="11"/>
    </row>
    <row r="418" spans="14:17" ht="15.75" customHeight="1" x14ac:dyDescent="0.3">
      <c r="N418" s="11"/>
      <c r="O418" s="11"/>
      <c r="P418" s="11"/>
      <c r="Q418" s="11"/>
    </row>
    <row r="419" spans="14:17" ht="15.75" customHeight="1" x14ac:dyDescent="0.3">
      <c r="N419" s="11"/>
      <c r="O419" s="11"/>
      <c r="P419" s="11"/>
      <c r="Q419" s="11"/>
    </row>
    <row r="420" spans="14:17" ht="15.75" customHeight="1" x14ac:dyDescent="0.3">
      <c r="N420" s="11"/>
      <c r="O420" s="11"/>
      <c r="P420" s="11"/>
      <c r="Q420" s="11"/>
    </row>
    <row r="421" spans="14:17" ht="15.75" customHeight="1" x14ac:dyDescent="0.3">
      <c r="N421" s="11"/>
      <c r="O421" s="11"/>
      <c r="P421" s="11"/>
      <c r="Q421" s="11"/>
    </row>
    <row r="422" spans="14:17" ht="15.75" customHeight="1" x14ac:dyDescent="0.3">
      <c r="N422" s="11"/>
      <c r="O422" s="11"/>
      <c r="P422" s="11"/>
      <c r="Q422" s="11"/>
    </row>
    <row r="423" spans="14:17" ht="15.75" customHeight="1" x14ac:dyDescent="0.3">
      <c r="N423" s="11"/>
      <c r="O423" s="11"/>
      <c r="P423" s="11"/>
      <c r="Q423" s="11"/>
    </row>
    <row r="424" spans="14:17" ht="15.75" customHeight="1" x14ac:dyDescent="0.3">
      <c r="N424" s="11"/>
      <c r="O424" s="11"/>
      <c r="P424" s="11"/>
      <c r="Q424" s="11"/>
    </row>
    <row r="425" spans="14:17" ht="15.75" customHeight="1" x14ac:dyDescent="0.3">
      <c r="N425" s="11"/>
      <c r="O425" s="11"/>
      <c r="P425" s="11"/>
      <c r="Q425" s="11"/>
    </row>
    <row r="426" spans="14:17" ht="15.75" customHeight="1" x14ac:dyDescent="0.3">
      <c r="N426" s="11"/>
      <c r="O426" s="11"/>
      <c r="P426" s="11"/>
      <c r="Q426" s="11"/>
    </row>
    <row r="427" spans="14:17" ht="15.75" customHeight="1" x14ac:dyDescent="0.3">
      <c r="N427" s="11"/>
      <c r="O427" s="11"/>
      <c r="P427" s="11"/>
      <c r="Q427" s="11"/>
    </row>
    <row r="428" spans="14:17" ht="15.75" customHeight="1" x14ac:dyDescent="0.3">
      <c r="N428" s="11"/>
      <c r="O428" s="11"/>
      <c r="P428" s="11"/>
      <c r="Q428" s="11"/>
    </row>
    <row r="429" spans="14:17" ht="15.75" customHeight="1" x14ac:dyDescent="0.3">
      <c r="N429" s="11"/>
      <c r="O429" s="11"/>
      <c r="P429" s="11"/>
      <c r="Q429" s="11"/>
    </row>
    <row r="430" spans="14:17" ht="15.75" customHeight="1" x14ac:dyDescent="0.3">
      <c r="N430" s="11"/>
      <c r="O430" s="11"/>
      <c r="P430" s="11"/>
      <c r="Q430" s="11"/>
    </row>
    <row r="431" spans="14:17" ht="15.75" customHeight="1" x14ac:dyDescent="0.3">
      <c r="N431" s="11"/>
      <c r="O431" s="11"/>
      <c r="P431" s="11"/>
      <c r="Q431" s="11"/>
    </row>
    <row r="432" spans="14:17" ht="15.75" customHeight="1" x14ac:dyDescent="0.3">
      <c r="N432" s="11"/>
      <c r="O432" s="11"/>
      <c r="P432" s="11"/>
      <c r="Q432" s="11"/>
    </row>
    <row r="433" spans="14:17" ht="15.75" customHeight="1" x14ac:dyDescent="0.3">
      <c r="N433" s="11"/>
      <c r="O433" s="11"/>
      <c r="P433" s="11"/>
      <c r="Q433" s="11"/>
    </row>
    <row r="434" spans="14:17" ht="15.75" customHeight="1" x14ac:dyDescent="0.3">
      <c r="N434" s="11"/>
      <c r="O434" s="11"/>
      <c r="P434" s="11"/>
      <c r="Q434" s="11"/>
    </row>
    <row r="435" spans="14:17" ht="15.75" customHeight="1" x14ac:dyDescent="0.3">
      <c r="N435" s="11"/>
      <c r="O435" s="11"/>
      <c r="P435" s="11"/>
      <c r="Q435" s="11"/>
    </row>
    <row r="436" spans="14:17" ht="15.75" customHeight="1" x14ac:dyDescent="0.3">
      <c r="N436" s="11"/>
      <c r="O436" s="11"/>
      <c r="P436" s="11"/>
      <c r="Q436" s="11"/>
    </row>
    <row r="437" spans="14:17" ht="15.75" customHeight="1" x14ac:dyDescent="0.3">
      <c r="N437" s="11"/>
      <c r="O437" s="11"/>
      <c r="P437" s="11"/>
      <c r="Q437" s="11"/>
    </row>
    <row r="438" spans="14:17" ht="15.75" customHeight="1" x14ac:dyDescent="0.3">
      <c r="N438" s="11"/>
      <c r="O438" s="11"/>
      <c r="P438" s="11"/>
      <c r="Q438" s="11"/>
    </row>
    <row r="439" spans="14:17" ht="15.75" customHeight="1" x14ac:dyDescent="0.3">
      <c r="N439" s="11"/>
      <c r="O439" s="11"/>
      <c r="P439" s="11"/>
      <c r="Q439" s="11"/>
    </row>
    <row r="440" spans="14:17" ht="15.75" customHeight="1" x14ac:dyDescent="0.3">
      <c r="N440" s="11"/>
      <c r="O440" s="11"/>
      <c r="P440" s="11"/>
      <c r="Q440" s="11"/>
    </row>
    <row r="441" spans="14:17" ht="15.75" customHeight="1" x14ac:dyDescent="0.3">
      <c r="N441" s="11"/>
      <c r="O441" s="11"/>
      <c r="P441" s="11"/>
      <c r="Q441" s="11"/>
    </row>
    <row r="442" spans="14:17" ht="15.75" customHeight="1" x14ac:dyDescent="0.3">
      <c r="N442" s="11"/>
      <c r="O442" s="11"/>
      <c r="P442" s="11"/>
      <c r="Q442" s="11"/>
    </row>
    <row r="443" spans="14:17" ht="15.75" customHeight="1" x14ac:dyDescent="0.3">
      <c r="N443" s="11"/>
      <c r="O443" s="11"/>
      <c r="P443" s="11"/>
      <c r="Q443" s="11"/>
    </row>
    <row r="444" spans="14:17" ht="15.75" customHeight="1" x14ac:dyDescent="0.3">
      <c r="N444" s="11"/>
      <c r="O444" s="11"/>
      <c r="P444" s="11"/>
      <c r="Q444" s="11"/>
    </row>
    <row r="445" spans="14:17" ht="15.75" customHeight="1" x14ac:dyDescent="0.3">
      <c r="N445" s="11"/>
      <c r="O445" s="11"/>
      <c r="P445" s="11"/>
      <c r="Q445" s="11"/>
    </row>
    <row r="446" spans="14:17" ht="15.75" customHeight="1" x14ac:dyDescent="0.3">
      <c r="N446" s="11"/>
      <c r="O446" s="11"/>
      <c r="P446" s="11"/>
      <c r="Q446" s="11"/>
    </row>
    <row r="447" spans="14:17" ht="15.75" customHeight="1" x14ac:dyDescent="0.3">
      <c r="N447" s="11"/>
      <c r="O447" s="11"/>
      <c r="P447" s="11"/>
      <c r="Q447" s="11"/>
    </row>
    <row r="448" spans="14:17" ht="15.75" customHeight="1" x14ac:dyDescent="0.3">
      <c r="N448" s="11"/>
      <c r="O448" s="11"/>
      <c r="P448" s="11"/>
      <c r="Q448" s="11"/>
    </row>
    <row r="449" spans="14:17" ht="15.75" customHeight="1" x14ac:dyDescent="0.3">
      <c r="N449" s="11"/>
      <c r="O449" s="11"/>
      <c r="P449" s="11"/>
      <c r="Q449" s="11"/>
    </row>
    <row r="450" spans="14:17" ht="15.75" customHeight="1" x14ac:dyDescent="0.3">
      <c r="N450" s="11"/>
      <c r="O450" s="11"/>
      <c r="P450" s="11"/>
      <c r="Q450" s="11"/>
    </row>
    <row r="451" spans="14:17" ht="15.75" customHeight="1" x14ac:dyDescent="0.3">
      <c r="N451" s="11"/>
      <c r="O451" s="11"/>
      <c r="P451" s="11"/>
      <c r="Q451" s="11"/>
    </row>
    <row r="452" spans="14:17" ht="15.75" customHeight="1" x14ac:dyDescent="0.3">
      <c r="N452" s="11"/>
      <c r="O452" s="11"/>
      <c r="P452" s="11"/>
      <c r="Q452" s="11"/>
    </row>
    <row r="453" spans="14:17" ht="15.75" customHeight="1" x14ac:dyDescent="0.3">
      <c r="N453" s="11"/>
      <c r="O453" s="11"/>
      <c r="P453" s="11"/>
      <c r="Q453" s="11"/>
    </row>
    <row r="454" spans="14:17" ht="15.75" customHeight="1" x14ac:dyDescent="0.3">
      <c r="N454" s="11"/>
      <c r="O454" s="11"/>
      <c r="P454" s="11"/>
      <c r="Q454" s="11"/>
    </row>
    <row r="455" spans="14:17" ht="15.75" customHeight="1" x14ac:dyDescent="0.3">
      <c r="N455" s="11"/>
      <c r="O455" s="11"/>
      <c r="P455" s="11"/>
      <c r="Q455" s="11"/>
    </row>
    <row r="456" spans="14:17" ht="15.75" customHeight="1" x14ac:dyDescent="0.3">
      <c r="N456" s="11"/>
      <c r="O456" s="11"/>
      <c r="P456" s="11"/>
      <c r="Q456" s="11"/>
    </row>
    <row r="457" spans="14:17" ht="15.75" customHeight="1" x14ac:dyDescent="0.3">
      <c r="N457" s="11"/>
      <c r="O457" s="11"/>
      <c r="P457" s="11"/>
      <c r="Q457" s="11"/>
    </row>
    <row r="458" spans="14:17" ht="15.75" customHeight="1" x14ac:dyDescent="0.3">
      <c r="N458" s="11"/>
      <c r="O458" s="11"/>
      <c r="P458" s="11"/>
      <c r="Q458" s="11"/>
    </row>
    <row r="459" spans="14:17" ht="15.75" customHeight="1" x14ac:dyDescent="0.3">
      <c r="N459" s="11"/>
      <c r="O459" s="11"/>
      <c r="P459" s="11"/>
      <c r="Q459" s="11"/>
    </row>
    <row r="460" spans="14:17" ht="15.75" customHeight="1" x14ac:dyDescent="0.3">
      <c r="N460" s="11"/>
      <c r="O460" s="11"/>
      <c r="P460" s="11"/>
      <c r="Q460" s="11"/>
    </row>
    <row r="461" spans="14:17" ht="15.75" customHeight="1" x14ac:dyDescent="0.3">
      <c r="N461" s="11"/>
      <c r="O461" s="11"/>
      <c r="P461" s="11"/>
      <c r="Q461" s="11"/>
    </row>
    <row r="462" spans="14:17" ht="15.75" customHeight="1" x14ac:dyDescent="0.3">
      <c r="N462" s="11"/>
      <c r="O462" s="11"/>
      <c r="P462" s="11"/>
      <c r="Q462" s="11"/>
    </row>
    <row r="463" spans="14:17" ht="15.75" customHeight="1" x14ac:dyDescent="0.3">
      <c r="N463" s="11"/>
      <c r="O463" s="11"/>
      <c r="P463" s="11"/>
      <c r="Q463" s="11"/>
    </row>
    <row r="464" spans="14:17" ht="15.75" customHeight="1" x14ac:dyDescent="0.3">
      <c r="N464" s="11"/>
      <c r="O464" s="11"/>
      <c r="P464" s="11"/>
      <c r="Q464" s="11"/>
    </row>
    <row r="465" spans="14:17" ht="15.75" customHeight="1" x14ac:dyDescent="0.3">
      <c r="N465" s="11"/>
      <c r="O465" s="11"/>
      <c r="P465" s="11"/>
      <c r="Q465" s="11"/>
    </row>
    <row r="466" spans="14:17" ht="15.75" customHeight="1" x14ac:dyDescent="0.3">
      <c r="N466" s="11"/>
      <c r="O466" s="11"/>
      <c r="P466" s="11"/>
      <c r="Q466" s="11"/>
    </row>
    <row r="467" spans="14:17" ht="15.75" customHeight="1" x14ac:dyDescent="0.3">
      <c r="N467" s="11"/>
      <c r="O467" s="11"/>
      <c r="P467" s="11"/>
      <c r="Q467" s="11"/>
    </row>
    <row r="468" spans="14:17" ht="15.75" customHeight="1" x14ac:dyDescent="0.3">
      <c r="N468" s="11"/>
      <c r="O468" s="11"/>
      <c r="P468" s="11"/>
      <c r="Q468" s="11"/>
    </row>
    <row r="469" spans="14:17" ht="15.75" customHeight="1" x14ac:dyDescent="0.3">
      <c r="N469" s="11"/>
      <c r="O469" s="11"/>
      <c r="P469" s="11"/>
      <c r="Q469" s="11"/>
    </row>
    <row r="470" spans="14:17" ht="15.75" customHeight="1" x14ac:dyDescent="0.3">
      <c r="N470" s="11"/>
      <c r="O470" s="11"/>
      <c r="P470" s="11"/>
      <c r="Q470" s="11"/>
    </row>
    <row r="471" spans="14:17" ht="15.75" customHeight="1" x14ac:dyDescent="0.3">
      <c r="N471" s="11"/>
      <c r="O471" s="11"/>
      <c r="P471" s="11"/>
      <c r="Q471" s="11"/>
    </row>
    <row r="472" spans="14:17" ht="15.75" customHeight="1" x14ac:dyDescent="0.3">
      <c r="N472" s="11"/>
      <c r="O472" s="11"/>
      <c r="P472" s="11"/>
      <c r="Q472" s="11"/>
    </row>
    <row r="473" spans="14:17" ht="15.75" customHeight="1" x14ac:dyDescent="0.3">
      <c r="N473" s="11"/>
      <c r="O473" s="11"/>
      <c r="P473" s="11"/>
      <c r="Q473" s="11"/>
    </row>
    <row r="474" spans="14:17" ht="15.75" customHeight="1" x14ac:dyDescent="0.3">
      <c r="N474" s="11"/>
      <c r="O474" s="11"/>
      <c r="P474" s="11"/>
      <c r="Q474" s="11"/>
    </row>
    <row r="475" spans="14:17" ht="15.75" customHeight="1" x14ac:dyDescent="0.3">
      <c r="N475" s="11"/>
      <c r="O475" s="11"/>
      <c r="P475" s="11"/>
      <c r="Q475" s="11"/>
    </row>
    <row r="476" spans="14:17" ht="15.75" customHeight="1" x14ac:dyDescent="0.3">
      <c r="N476" s="11"/>
      <c r="O476" s="11"/>
      <c r="P476" s="11"/>
      <c r="Q476" s="11"/>
    </row>
    <row r="477" spans="14:17" ht="15.75" customHeight="1" x14ac:dyDescent="0.3">
      <c r="N477" s="11"/>
      <c r="O477" s="11"/>
      <c r="P477" s="11"/>
      <c r="Q477" s="11"/>
    </row>
    <row r="478" spans="14:17" ht="15.75" customHeight="1" x14ac:dyDescent="0.3">
      <c r="N478" s="11"/>
      <c r="O478" s="11"/>
      <c r="P478" s="11"/>
      <c r="Q478" s="11"/>
    </row>
    <row r="479" spans="14:17" ht="15.75" customHeight="1" x14ac:dyDescent="0.3">
      <c r="N479" s="11"/>
      <c r="O479" s="11"/>
      <c r="P479" s="11"/>
      <c r="Q479" s="11"/>
    </row>
    <row r="480" spans="14:17" ht="15.75" customHeight="1" x14ac:dyDescent="0.3">
      <c r="N480" s="11"/>
      <c r="O480" s="11"/>
      <c r="P480" s="11"/>
      <c r="Q480" s="11"/>
    </row>
    <row r="481" spans="14:17" ht="15.75" customHeight="1" x14ac:dyDescent="0.3">
      <c r="N481" s="11"/>
      <c r="O481" s="11"/>
      <c r="P481" s="11"/>
      <c r="Q481" s="11"/>
    </row>
    <row r="482" spans="14:17" ht="15.75" customHeight="1" x14ac:dyDescent="0.3">
      <c r="N482" s="11"/>
      <c r="O482" s="11"/>
      <c r="P482" s="11"/>
      <c r="Q482" s="11"/>
    </row>
    <row r="483" spans="14:17" ht="15.75" customHeight="1" x14ac:dyDescent="0.3">
      <c r="N483" s="11"/>
      <c r="O483" s="11"/>
      <c r="P483" s="11"/>
      <c r="Q483" s="11"/>
    </row>
    <row r="484" spans="14:17" ht="15.75" customHeight="1" x14ac:dyDescent="0.3">
      <c r="N484" s="11"/>
      <c r="O484" s="11"/>
      <c r="P484" s="11"/>
      <c r="Q484" s="11"/>
    </row>
    <row r="485" spans="14:17" ht="15.75" customHeight="1" x14ac:dyDescent="0.3">
      <c r="N485" s="11"/>
      <c r="O485" s="11"/>
      <c r="P485" s="11"/>
      <c r="Q485" s="11"/>
    </row>
    <row r="486" spans="14:17" ht="15.75" customHeight="1" x14ac:dyDescent="0.3">
      <c r="N486" s="11"/>
      <c r="O486" s="11"/>
      <c r="P486" s="11"/>
      <c r="Q486" s="11"/>
    </row>
    <row r="487" spans="14:17" ht="15.75" customHeight="1" x14ac:dyDescent="0.3">
      <c r="N487" s="11"/>
      <c r="O487" s="11"/>
      <c r="P487" s="11"/>
      <c r="Q487" s="11"/>
    </row>
    <row r="488" spans="14:17" ht="15.75" customHeight="1" x14ac:dyDescent="0.3">
      <c r="N488" s="11"/>
      <c r="O488" s="11"/>
      <c r="P488" s="11"/>
      <c r="Q488" s="11"/>
    </row>
    <row r="489" spans="14:17" ht="15.75" customHeight="1" x14ac:dyDescent="0.3">
      <c r="N489" s="11"/>
      <c r="O489" s="11"/>
      <c r="P489" s="11"/>
      <c r="Q489" s="11"/>
    </row>
    <row r="490" spans="14:17" ht="15.75" customHeight="1" x14ac:dyDescent="0.3">
      <c r="N490" s="11"/>
      <c r="O490" s="11"/>
      <c r="P490" s="11"/>
      <c r="Q490" s="11"/>
    </row>
    <row r="491" spans="14:17" ht="15.75" customHeight="1" x14ac:dyDescent="0.3">
      <c r="N491" s="11"/>
      <c r="O491" s="11"/>
      <c r="P491" s="11"/>
      <c r="Q491" s="11"/>
    </row>
    <row r="492" spans="14:17" ht="15.75" customHeight="1" x14ac:dyDescent="0.3">
      <c r="N492" s="11"/>
      <c r="O492" s="11"/>
      <c r="P492" s="11"/>
      <c r="Q492" s="11"/>
    </row>
    <row r="493" spans="14:17" ht="15.75" customHeight="1" x14ac:dyDescent="0.3">
      <c r="N493" s="11"/>
      <c r="O493" s="11"/>
      <c r="P493" s="11"/>
      <c r="Q493" s="11"/>
    </row>
    <row r="494" spans="14:17" ht="15.75" customHeight="1" x14ac:dyDescent="0.3">
      <c r="N494" s="11"/>
      <c r="O494" s="11"/>
      <c r="P494" s="11"/>
      <c r="Q494" s="11"/>
    </row>
    <row r="495" spans="14:17" ht="15.75" customHeight="1" x14ac:dyDescent="0.3">
      <c r="N495" s="11"/>
      <c r="O495" s="11"/>
      <c r="P495" s="11"/>
      <c r="Q495" s="11"/>
    </row>
    <row r="496" spans="14:17" ht="15.75" customHeight="1" x14ac:dyDescent="0.3">
      <c r="N496" s="11"/>
      <c r="O496" s="11"/>
      <c r="P496" s="11"/>
      <c r="Q496" s="11"/>
    </row>
    <row r="497" spans="14:17" ht="15.75" customHeight="1" x14ac:dyDescent="0.3">
      <c r="N497" s="11"/>
      <c r="O497" s="11"/>
      <c r="P497" s="11"/>
      <c r="Q497" s="11"/>
    </row>
    <row r="498" spans="14:17" ht="15.75" customHeight="1" x14ac:dyDescent="0.3">
      <c r="N498" s="11"/>
      <c r="O498" s="11"/>
      <c r="P498" s="11"/>
      <c r="Q498" s="11"/>
    </row>
    <row r="499" spans="14:17" ht="15.75" customHeight="1" x14ac:dyDescent="0.3">
      <c r="N499" s="11"/>
      <c r="O499" s="11"/>
      <c r="P499" s="11"/>
      <c r="Q499" s="11"/>
    </row>
    <row r="500" spans="14:17" ht="15.75" customHeight="1" x14ac:dyDescent="0.3">
      <c r="N500" s="11"/>
      <c r="O500" s="11"/>
      <c r="P500" s="11"/>
      <c r="Q500" s="11"/>
    </row>
    <row r="501" spans="14:17" ht="15.75" customHeight="1" x14ac:dyDescent="0.3">
      <c r="N501" s="11"/>
      <c r="O501" s="11"/>
      <c r="P501" s="11"/>
      <c r="Q501" s="11"/>
    </row>
    <row r="502" spans="14:17" ht="15.75" customHeight="1" x14ac:dyDescent="0.3">
      <c r="N502" s="11"/>
      <c r="O502" s="11"/>
      <c r="P502" s="11"/>
      <c r="Q502" s="11"/>
    </row>
    <row r="503" spans="14:17" ht="15.75" customHeight="1" x14ac:dyDescent="0.3">
      <c r="N503" s="11"/>
      <c r="O503" s="11"/>
      <c r="P503" s="11"/>
      <c r="Q503" s="11"/>
    </row>
    <row r="504" spans="14:17" ht="15.75" customHeight="1" x14ac:dyDescent="0.3">
      <c r="N504" s="11"/>
      <c r="O504" s="11"/>
      <c r="P504" s="11"/>
      <c r="Q504" s="11"/>
    </row>
    <row r="505" spans="14:17" ht="15.75" customHeight="1" x14ac:dyDescent="0.3">
      <c r="N505" s="11"/>
      <c r="O505" s="11"/>
      <c r="P505" s="11"/>
      <c r="Q505" s="11"/>
    </row>
    <row r="506" spans="14:17" ht="15.75" customHeight="1" x14ac:dyDescent="0.3">
      <c r="N506" s="11"/>
      <c r="O506" s="11"/>
      <c r="P506" s="11"/>
      <c r="Q506" s="11"/>
    </row>
    <row r="507" spans="14:17" ht="15.75" customHeight="1" x14ac:dyDescent="0.3">
      <c r="N507" s="11"/>
      <c r="O507" s="11"/>
      <c r="P507" s="11"/>
      <c r="Q507" s="11"/>
    </row>
    <row r="508" spans="14:17" ht="15.75" customHeight="1" x14ac:dyDescent="0.3">
      <c r="N508" s="11"/>
      <c r="O508" s="11"/>
      <c r="P508" s="11"/>
      <c r="Q508" s="11"/>
    </row>
    <row r="509" spans="14:17" ht="15.75" customHeight="1" x14ac:dyDescent="0.3">
      <c r="N509" s="11"/>
      <c r="O509" s="11"/>
      <c r="P509" s="11"/>
      <c r="Q509" s="11"/>
    </row>
    <row r="510" spans="14:17" ht="15.75" customHeight="1" x14ac:dyDescent="0.3">
      <c r="N510" s="11"/>
      <c r="O510" s="11"/>
      <c r="P510" s="11"/>
      <c r="Q510" s="11"/>
    </row>
    <row r="511" spans="14:17" ht="15.75" customHeight="1" x14ac:dyDescent="0.3">
      <c r="N511" s="11"/>
      <c r="O511" s="11"/>
      <c r="P511" s="11"/>
      <c r="Q511" s="11"/>
    </row>
    <row r="512" spans="14:17" ht="15.75" customHeight="1" x14ac:dyDescent="0.3">
      <c r="N512" s="11"/>
      <c r="O512" s="11"/>
      <c r="P512" s="11"/>
      <c r="Q512" s="11"/>
    </row>
    <row r="513" spans="14:17" ht="15.75" customHeight="1" x14ac:dyDescent="0.3">
      <c r="N513" s="11"/>
      <c r="O513" s="11"/>
      <c r="P513" s="11"/>
      <c r="Q513" s="11"/>
    </row>
    <row r="514" spans="14:17" ht="15.75" customHeight="1" x14ac:dyDescent="0.3">
      <c r="N514" s="11"/>
      <c r="O514" s="11"/>
      <c r="P514" s="11"/>
      <c r="Q514" s="11"/>
    </row>
    <row r="515" spans="14:17" ht="15.75" customHeight="1" x14ac:dyDescent="0.3">
      <c r="N515" s="11"/>
      <c r="O515" s="11"/>
      <c r="P515" s="11"/>
      <c r="Q515" s="11"/>
    </row>
    <row r="516" spans="14:17" ht="15.75" customHeight="1" x14ac:dyDescent="0.3">
      <c r="N516" s="11"/>
      <c r="O516" s="11"/>
      <c r="P516" s="11"/>
      <c r="Q516" s="11"/>
    </row>
    <row r="517" spans="14:17" ht="15.75" customHeight="1" x14ac:dyDescent="0.3">
      <c r="N517" s="11"/>
      <c r="O517" s="11"/>
      <c r="P517" s="11"/>
      <c r="Q517" s="11"/>
    </row>
    <row r="518" spans="14:17" ht="15.75" customHeight="1" x14ac:dyDescent="0.3">
      <c r="N518" s="11"/>
      <c r="O518" s="11"/>
      <c r="P518" s="11"/>
      <c r="Q518" s="11"/>
    </row>
    <row r="519" spans="14:17" ht="15.75" customHeight="1" x14ac:dyDescent="0.3">
      <c r="N519" s="11"/>
      <c r="O519" s="11"/>
      <c r="P519" s="11"/>
      <c r="Q519" s="11"/>
    </row>
    <row r="520" spans="14:17" ht="15.75" customHeight="1" x14ac:dyDescent="0.3">
      <c r="N520" s="11"/>
      <c r="O520" s="11"/>
      <c r="P520" s="11"/>
      <c r="Q520" s="11"/>
    </row>
    <row r="521" spans="14:17" ht="15.75" customHeight="1" x14ac:dyDescent="0.3">
      <c r="N521" s="11"/>
      <c r="O521" s="11"/>
      <c r="P521" s="11"/>
      <c r="Q521" s="11"/>
    </row>
    <row r="522" spans="14:17" ht="15.75" customHeight="1" x14ac:dyDescent="0.3">
      <c r="N522" s="11"/>
      <c r="O522" s="11"/>
      <c r="P522" s="11"/>
      <c r="Q522" s="11"/>
    </row>
    <row r="523" spans="14:17" ht="15.75" customHeight="1" x14ac:dyDescent="0.3">
      <c r="N523" s="11"/>
      <c r="O523" s="11"/>
      <c r="P523" s="11"/>
      <c r="Q523" s="11"/>
    </row>
    <row r="524" spans="14:17" ht="15.75" customHeight="1" x14ac:dyDescent="0.3">
      <c r="N524" s="11"/>
      <c r="O524" s="11"/>
      <c r="P524" s="11"/>
      <c r="Q524" s="11"/>
    </row>
    <row r="525" spans="14:17" ht="15.75" customHeight="1" x14ac:dyDescent="0.3">
      <c r="N525" s="11"/>
      <c r="O525" s="11"/>
      <c r="P525" s="11"/>
      <c r="Q525" s="11"/>
    </row>
    <row r="526" spans="14:17" ht="15.75" customHeight="1" x14ac:dyDescent="0.3">
      <c r="N526" s="11"/>
      <c r="O526" s="11"/>
      <c r="P526" s="11"/>
      <c r="Q526" s="11"/>
    </row>
    <row r="527" spans="14:17" ht="15.75" customHeight="1" x14ac:dyDescent="0.3">
      <c r="N527" s="11"/>
      <c r="O527" s="11"/>
      <c r="P527" s="11"/>
      <c r="Q527" s="11"/>
    </row>
    <row r="528" spans="14:17" ht="15.75" customHeight="1" x14ac:dyDescent="0.3">
      <c r="N528" s="11"/>
      <c r="O528" s="11"/>
      <c r="P528" s="11"/>
      <c r="Q528" s="11"/>
    </row>
    <row r="529" spans="14:17" ht="15.75" customHeight="1" x14ac:dyDescent="0.3">
      <c r="N529" s="11"/>
      <c r="O529" s="11"/>
      <c r="P529" s="11"/>
      <c r="Q529" s="11"/>
    </row>
    <row r="530" spans="14:17" ht="15.75" customHeight="1" x14ac:dyDescent="0.3">
      <c r="N530" s="11"/>
      <c r="O530" s="11"/>
      <c r="P530" s="11"/>
      <c r="Q530" s="11"/>
    </row>
    <row r="531" spans="14:17" ht="15.75" customHeight="1" x14ac:dyDescent="0.3">
      <c r="N531" s="11"/>
      <c r="O531" s="11"/>
      <c r="P531" s="11"/>
      <c r="Q531" s="11"/>
    </row>
    <row r="532" spans="14:17" ht="15.75" customHeight="1" x14ac:dyDescent="0.3">
      <c r="N532" s="11"/>
      <c r="O532" s="11"/>
      <c r="P532" s="11"/>
      <c r="Q532" s="11"/>
    </row>
    <row r="533" spans="14:17" ht="15.75" customHeight="1" x14ac:dyDescent="0.3">
      <c r="N533" s="11"/>
      <c r="O533" s="11"/>
      <c r="P533" s="11"/>
      <c r="Q533" s="11"/>
    </row>
    <row r="534" spans="14:17" ht="15.75" customHeight="1" x14ac:dyDescent="0.3">
      <c r="N534" s="11"/>
      <c r="O534" s="11"/>
      <c r="P534" s="11"/>
      <c r="Q534" s="11"/>
    </row>
    <row r="535" spans="14:17" ht="15.75" customHeight="1" x14ac:dyDescent="0.3">
      <c r="N535" s="11"/>
      <c r="O535" s="11"/>
      <c r="P535" s="11"/>
      <c r="Q535" s="11"/>
    </row>
    <row r="536" spans="14:17" ht="15.75" customHeight="1" x14ac:dyDescent="0.3">
      <c r="N536" s="11"/>
      <c r="O536" s="11"/>
      <c r="P536" s="11"/>
      <c r="Q536" s="11"/>
    </row>
    <row r="537" spans="14:17" ht="15.75" customHeight="1" x14ac:dyDescent="0.3">
      <c r="N537" s="11"/>
      <c r="O537" s="11"/>
      <c r="P537" s="11"/>
      <c r="Q537" s="11"/>
    </row>
    <row r="538" spans="14:17" ht="15.75" customHeight="1" x14ac:dyDescent="0.3">
      <c r="N538" s="11"/>
      <c r="O538" s="11"/>
      <c r="P538" s="11"/>
      <c r="Q538" s="11"/>
    </row>
    <row r="539" spans="14:17" ht="15.75" customHeight="1" x14ac:dyDescent="0.3">
      <c r="N539" s="11"/>
      <c r="O539" s="11"/>
      <c r="P539" s="11"/>
      <c r="Q539" s="11"/>
    </row>
    <row r="540" spans="14:17" ht="15.75" customHeight="1" x14ac:dyDescent="0.3">
      <c r="N540" s="11"/>
      <c r="O540" s="11"/>
      <c r="P540" s="11"/>
      <c r="Q540" s="11"/>
    </row>
    <row r="541" spans="14:17" ht="15.75" customHeight="1" x14ac:dyDescent="0.3">
      <c r="N541" s="11"/>
      <c r="O541" s="11"/>
      <c r="P541" s="11"/>
      <c r="Q541" s="11"/>
    </row>
    <row r="542" spans="14:17" ht="15.75" customHeight="1" x14ac:dyDescent="0.3">
      <c r="N542" s="11"/>
      <c r="O542" s="11"/>
      <c r="P542" s="11"/>
      <c r="Q542" s="11"/>
    </row>
    <row r="543" spans="14:17" ht="15.75" customHeight="1" x14ac:dyDescent="0.3">
      <c r="N543" s="11"/>
      <c r="O543" s="11"/>
      <c r="P543" s="11"/>
      <c r="Q543" s="11"/>
    </row>
    <row r="544" spans="14:17" ht="15.75" customHeight="1" x14ac:dyDescent="0.3">
      <c r="N544" s="11"/>
      <c r="O544" s="11"/>
      <c r="P544" s="11"/>
      <c r="Q544" s="11"/>
    </row>
    <row r="545" spans="14:17" ht="15.75" customHeight="1" x14ac:dyDescent="0.3">
      <c r="N545" s="11"/>
      <c r="O545" s="11"/>
      <c r="P545" s="11"/>
      <c r="Q545" s="11"/>
    </row>
    <row r="546" spans="14:17" ht="15.75" customHeight="1" x14ac:dyDescent="0.3">
      <c r="N546" s="11"/>
      <c r="O546" s="11"/>
      <c r="P546" s="11"/>
      <c r="Q546" s="11"/>
    </row>
    <row r="547" spans="14:17" ht="15.75" customHeight="1" x14ac:dyDescent="0.3">
      <c r="N547" s="11"/>
      <c r="O547" s="11"/>
      <c r="P547" s="11"/>
      <c r="Q547" s="11"/>
    </row>
    <row r="548" spans="14:17" ht="15.75" customHeight="1" x14ac:dyDescent="0.3">
      <c r="N548" s="11"/>
      <c r="O548" s="11"/>
      <c r="P548" s="11"/>
      <c r="Q548" s="11"/>
    </row>
    <row r="549" spans="14:17" ht="15.75" customHeight="1" x14ac:dyDescent="0.3">
      <c r="N549" s="11"/>
      <c r="O549" s="11"/>
      <c r="P549" s="11"/>
      <c r="Q549" s="11"/>
    </row>
    <row r="550" spans="14:17" ht="15.75" customHeight="1" x14ac:dyDescent="0.3">
      <c r="N550" s="11"/>
      <c r="O550" s="11"/>
      <c r="P550" s="11"/>
      <c r="Q550" s="11"/>
    </row>
    <row r="551" spans="14:17" ht="15.75" customHeight="1" x14ac:dyDescent="0.3">
      <c r="N551" s="11"/>
      <c r="O551" s="11"/>
      <c r="P551" s="11"/>
      <c r="Q551" s="11"/>
    </row>
    <row r="552" spans="14:17" ht="15.75" customHeight="1" x14ac:dyDescent="0.3">
      <c r="N552" s="11"/>
      <c r="O552" s="11"/>
      <c r="P552" s="11"/>
      <c r="Q552" s="11"/>
    </row>
    <row r="553" spans="14:17" ht="15.75" customHeight="1" x14ac:dyDescent="0.3">
      <c r="N553" s="11"/>
      <c r="O553" s="11"/>
      <c r="P553" s="11"/>
      <c r="Q553" s="11"/>
    </row>
    <row r="554" spans="14:17" ht="15.75" customHeight="1" x14ac:dyDescent="0.3">
      <c r="N554" s="11"/>
      <c r="O554" s="11"/>
      <c r="P554" s="11"/>
      <c r="Q554" s="11"/>
    </row>
    <row r="555" spans="14:17" ht="15.75" customHeight="1" x14ac:dyDescent="0.3">
      <c r="N555" s="11"/>
      <c r="O555" s="11"/>
      <c r="P555" s="11"/>
      <c r="Q555" s="11"/>
    </row>
    <row r="556" spans="14:17" ht="15.75" customHeight="1" x14ac:dyDescent="0.3">
      <c r="N556" s="11"/>
      <c r="O556" s="11"/>
      <c r="P556" s="11"/>
      <c r="Q556" s="11"/>
    </row>
    <row r="557" spans="14:17" ht="15.75" customHeight="1" x14ac:dyDescent="0.3">
      <c r="N557" s="11"/>
      <c r="O557" s="11"/>
      <c r="P557" s="11"/>
      <c r="Q557" s="11"/>
    </row>
    <row r="558" spans="14:17" ht="15.75" customHeight="1" x14ac:dyDescent="0.3">
      <c r="N558" s="11"/>
      <c r="O558" s="11"/>
      <c r="P558" s="11"/>
      <c r="Q558" s="11"/>
    </row>
    <row r="559" spans="14:17" ht="15.75" customHeight="1" x14ac:dyDescent="0.3">
      <c r="N559" s="11"/>
      <c r="O559" s="11"/>
      <c r="P559" s="11"/>
      <c r="Q559" s="11"/>
    </row>
    <row r="560" spans="14:17" ht="15.75" customHeight="1" x14ac:dyDescent="0.3">
      <c r="N560" s="11"/>
      <c r="O560" s="11"/>
      <c r="P560" s="11"/>
      <c r="Q560" s="11"/>
    </row>
    <row r="561" spans="14:17" ht="15.75" customHeight="1" x14ac:dyDescent="0.3">
      <c r="N561" s="11"/>
      <c r="O561" s="11"/>
      <c r="P561" s="11"/>
      <c r="Q561" s="11"/>
    </row>
    <row r="562" spans="14:17" ht="15.75" customHeight="1" x14ac:dyDescent="0.3">
      <c r="N562" s="11"/>
      <c r="O562" s="11"/>
      <c r="P562" s="11"/>
      <c r="Q562" s="11"/>
    </row>
    <row r="563" spans="14:17" ht="15.75" customHeight="1" x14ac:dyDescent="0.3">
      <c r="N563" s="11"/>
      <c r="O563" s="11"/>
      <c r="P563" s="11"/>
      <c r="Q563" s="11"/>
    </row>
    <row r="564" spans="14:17" ht="15.75" customHeight="1" x14ac:dyDescent="0.3">
      <c r="N564" s="11"/>
      <c r="O564" s="11"/>
      <c r="P564" s="11"/>
      <c r="Q564" s="11"/>
    </row>
    <row r="565" spans="14:17" ht="15.75" customHeight="1" x14ac:dyDescent="0.3">
      <c r="N565" s="11"/>
      <c r="O565" s="11"/>
      <c r="P565" s="11"/>
      <c r="Q565" s="11"/>
    </row>
    <row r="566" spans="14:17" ht="15.75" customHeight="1" x14ac:dyDescent="0.3">
      <c r="N566" s="11"/>
      <c r="O566" s="11"/>
      <c r="P566" s="11"/>
      <c r="Q566" s="11"/>
    </row>
    <row r="567" spans="14:17" ht="15.75" customHeight="1" x14ac:dyDescent="0.3">
      <c r="N567" s="11"/>
      <c r="O567" s="11"/>
      <c r="P567" s="11"/>
      <c r="Q567" s="11"/>
    </row>
    <row r="568" spans="14:17" ht="15.75" customHeight="1" x14ac:dyDescent="0.3">
      <c r="N568" s="11"/>
      <c r="O568" s="11"/>
      <c r="P568" s="11"/>
      <c r="Q568" s="11"/>
    </row>
    <row r="569" spans="14:17" ht="15.75" customHeight="1" x14ac:dyDescent="0.3">
      <c r="N569" s="11"/>
      <c r="O569" s="11"/>
      <c r="P569" s="11"/>
      <c r="Q569" s="11"/>
    </row>
    <row r="570" spans="14:17" ht="15.75" customHeight="1" x14ac:dyDescent="0.3">
      <c r="N570" s="11"/>
      <c r="O570" s="11"/>
      <c r="P570" s="11"/>
      <c r="Q570" s="11"/>
    </row>
    <row r="571" spans="14:17" ht="15.75" customHeight="1" x14ac:dyDescent="0.3">
      <c r="N571" s="11"/>
      <c r="O571" s="11"/>
      <c r="P571" s="11"/>
      <c r="Q571" s="11"/>
    </row>
    <row r="572" spans="14:17" ht="15.75" customHeight="1" x14ac:dyDescent="0.3">
      <c r="N572" s="11"/>
      <c r="O572" s="11"/>
      <c r="P572" s="11"/>
      <c r="Q572" s="11"/>
    </row>
    <row r="573" spans="14:17" ht="15.75" customHeight="1" x14ac:dyDescent="0.3">
      <c r="N573" s="11"/>
      <c r="O573" s="11"/>
      <c r="P573" s="11"/>
      <c r="Q573" s="11"/>
    </row>
    <row r="574" spans="14:17" ht="15.75" customHeight="1" x14ac:dyDescent="0.3">
      <c r="N574" s="11"/>
      <c r="O574" s="11"/>
      <c r="P574" s="11"/>
      <c r="Q574" s="11"/>
    </row>
    <row r="575" spans="14:17" ht="15.75" customHeight="1" x14ac:dyDescent="0.3">
      <c r="N575" s="11"/>
      <c r="O575" s="11"/>
      <c r="P575" s="11"/>
      <c r="Q575" s="11"/>
    </row>
    <row r="576" spans="14:17" ht="15.75" customHeight="1" x14ac:dyDescent="0.3">
      <c r="N576" s="11"/>
      <c r="O576" s="11"/>
      <c r="P576" s="11"/>
      <c r="Q576" s="11"/>
    </row>
    <row r="577" spans="14:17" ht="15.75" customHeight="1" x14ac:dyDescent="0.3">
      <c r="N577" s="11"/>
      <c r="O577" s="11"/>
      <c r="P577" s="11"/>
      <c r="Q577" s="11"/>
    </row>
    <row r="578" spans="14:17" ht="15.75" customHeight="1" x14ac:dyDescent="0.3">
      <c r="N578" s="11"/>
      <c r="O578" s="11"/>
      <c r="P578" s="11"/>
      <c r="Q578" s="11"/>
    </row>
    <row r="579" spans="14:17" ht="15.75" customHeight="1" x14ac:dyDescent="0.3">
      <c r="N579" s="11"/>
      <c r="O579" s="11"/>
      <c r="P579" s="11"/>
      <c r="Q579" s="11"/>
    </row>
    <row r="580" spans="14:17" ht="15.75" customHeight="1" x14ac:dyDescent="0.3">
      <c r="N580" s="11"/>
      <c r="O580" s="11"/>
      <c r="P580" s="11"/>
      <c r="Q580" s="11"/>
    </row>
    <row r="581" spans="14:17" ht="15.75" customHeight="1" x14ac:dyDescent="0.3">
      <c r="N581" s="11"/>
      <c r="O581" s="11"/>
      <c r="P581" s="11"/>
      <c r="Q581" s="11"/>
    </row>
    <row r="582" spans="14:17" ht="15.75" customHeight="1" x14ac:dyDescent="0.3">
      <c r="N582" s="11"/>
      <c r="O582" s="11"/>
      <c r="P582" s="11"/>
      <c r="Q582" s="11"/>
    </row>
    <row r="583" spans="14:17" ht="15.75" customHeight="1" x14ac:dyDescent="0.3">
      <c r="N583" s="11"/>
      <c r="O583" s="11"/>
      <c r="P583" s="11"/>
      <c r="Q583" s="11"/>
    </row>
    <row r="584" spans="14:17" ht="15.75" customHeight="1" x14ac:dyDescent="0.3">
      <c r="N584" s="11"/>
      <c r="O584" s="11"/>
      <c r="P584" s="11"/>
      <c r="Q584" s="11"/>
    </row>
    <row r="585" spans="14:17" ht="15.75" customHeight="1" x14ac:dyDescent="0.3">
      <c r="N585" s="11"/>
      <c r="O585" s="11"/>
      <c r="P585" s="11"/>
      <c r="Q585" s="11"/>
    </row>
    <row r="586" spans="14:17" ht="15.75" customHeight="1" x14ac:dyDescent="0.3">
      <c r="N586" s="11"/>
      <c r="O586" s="11"/>
      <c r="P586" s="11"/>
      <c r="Q586" s="11"/>
    </row>
    <row r="587" spans="14:17" ht="15.75" customHeight="1" x14ac:dyDescent="0.3">
      <c r="N587" s="11"/>
      <c r="O587" s="11"/>
      <c r="P587" s="11"/>
      <c r="Q587" s="11"/>
    </row>
    <row r="588" spans="14:17" ht="15.75" customHeight="1" x14ac:dyDescent="0.3">
      <c r="N588" s="11"/>
      <c r="O588" s="11"/>
      <c r="P588" s="11"/>
      <c r="Q588" s="11"/>
    </row>
    <row r="589" spans="14:17" ht="15.75" customHeight="1" x14ac:dyDescent="0.3">
      <c r="N589" s="11"/>
      <c r="O589" s="11"/>
      <c r="P589" s="11"/>
      <c r="Q589" s="11"/>
    </row>
    <row r="590" spans="14:17" ht="15.75" customHeight="1" x14ac:dyDescent="0.3">
      <c r="N590" s="11"/>
      <c r="O590" s="11"/>
      <c r="P590" s="11"/>
      <c r="Q590" s="11"/>
    </row>
    <row r="591" spans="14:17" ht="15.75" customHeight="1" x14ac:dyDescent="0.3">
      <c r="N591" s="11"/>
      <c r="O591" s="11"/>
      <c r="P591" s="11"/>
      <c r="Q591" s="11"/>
    </row>
    <row r="592" spans="14:17" ht="15.75" customHeight="1" x14ac:dyDescent="0.3">
      <c r="N592" s="11"/>
      <c r="O592" s="11"/>
      <c r="P592" s="11"/>
      <c r="Q592" s="11"/>
    </row>
    <row r="593" spans="14:17" ht="15.75" customHeight="1" x14ac:dyDescent="0.3">
      <c r="N593" s="11"/>
      <c r="O593" s="11"/>
      <c r="P593" s="11"/>
      <c r="Q593" s="11"/>
    </row>
    <row r="594" spans="14:17" ht="15.75" customHeight="1" x14ac:dyDescent="0.3">
      <c r="N594" s="11"/>
      <c r="O594" s="11"/>
      <c r="P594" s="11"/>
      <c r="Q594" s="11"/>
    </row>
    <row r="595" spans="14:17" ht="15.75" customHeight="1" x14ac:dyDescent="0.3">
      <c r="N595" s="11"/>
      <c r="O595" s="11"/>
      <c r="P595" s="11"/>
      <c r="Q595" s="11"/>
    </row>
    <row r="596" spans="14:17" ht="15.75" customHeight="1" x14ac:dyDescent="0.3">
      <c r="N596" s="11"/>
      <c r="O596" s="11"/>
      <c r="P596" s="11"/>
      <c r="Q596" s="11"/>
    </row>
    <row r="597" spans="14:17" ht="15.75" customHeight="1" x14ac:dyDescent="0.3">
      <c r="N597" s="11"/>
      <c r="O597" s="11"/>
      <c r="P597" s="11"/>
      <c r="Q597" s="11"/>
    </row>
    <row r="598" spans="14:17" ht="15.75" customHeight="1" x14ac:dyDescent="0.3">
      <c r="N598" s="11"/>
      <c r="O598" s="11"/>
      <c r="P598" s="11"/>
      <c r="Q598" s="11"/>
    </row>
    <row r="599" spans="14:17" ht="15.75" customHeight="1" x14ac:dyDescent="0.3">
      <c r="N599" s="11"/>
      <c r="O599" s="11"/>
      <c r="P599" s="11"/>
      <c r="Q599" s="11"/>
    </row>
    <row r="600" spans="14:17" ht="15.75" customHeight="1" x14ac:dyDescent="0.3">
      <c r="N600" s="11"/>
      <c r="O600" s="11"/>
      <c r="P600" s="11"/>
      <c r="Q600" s="11"/>
    </row>
    <row r="601" spans="14:17" ht="15.75" customHeight="1" x14ac:dyDescent="0.3">
      <c r="N601" s="11"/>
      <c r="O601" s="11"/>
      <c r="P601" s="11"/>
      <c r="Q601" s="11"/>
    </row>
    <row r="602" spans="14:17" ht="15.75" customHeight="1" x14ac:dyDescent="0.3">
      <c r="N602" s="11"/>
      <c r="O602" s="11"/>
      <c r="P602" s="11"/>
      <c r="Q602" s="11"/>
    </row>
    <row r="603" spans="14:17" ht="15.75" customHeight="1" x14ac:dyDescent="0.3">
      <c r="N603" s="11"/>
      <c r="O603" s="11"/>
      <c r="P603" s="11"/>
      <c r="Q603" s="11"/>
    </row>
    <row r="604" spans="14:17" ht="15.75" customHeight="1" x14ac:dyDescent="0.3">
      <c r="N604" s="11"/>
      <c r="O604" s="11"/>
      <c r="P604" s="11"/>
      <c r="Q604" s="11"/>
    </row>
    <row r="605" spans="14:17" ht="15.75" customHeight="1" x14ac:dyDescent="0.3">
      <c r="N605" s="11"/>
      <c r="O605" s="11"/>
      <c r="P605" s="11"/>
      <c r="Q605" s="11"/>
    </row>
    <row r="606" spans="14:17" ht="15.75" customHeight="1" x14ac:dyDescent="0.3">
      <c r="N606" s="11"/>
      <c r="O606" s="11"/>
      <c r="P606" s="11"/>
      <c r="Q606" s="11"/>
    </row>
    <row r="607" spans="14:17" ht="15.75" customHeight="1" x14ac:dyDescent="0.3">
      <c r="N607" s="11"/>
      <c r="O607" s="11"/>
      <c r="P607" s="11"/>
      <c r="Q607" s="11"/>
    </row>
    <row r="608" spans="14:17" ht="15.75" customHeight="1" x14ac:dyDescent="0.3">
      <c r="N608" s="11"/>
      <c r="O608" s="11"/>
      <c r="P608" s="11"/>
      <c r="Q608" s="11"/>
    </row>
    <row r="609" spans="14:17" ht="15.75" customHeight="1" x14ac:dyDescent="0.3">
      <c r="N609" s="11"/>
      <c r="O609" s="11"/>
      <c r="P609" s="11"/>
      <c r="Q609" s="11"/>
    </row>
    <row r="610" spans="14:17" ht="15.75" customHeight="1" x14ac:dyDescent="0.3">
      <c r="N610" s="11"/>
      <c r="O610" s="11"/>
      <c r="P610" s="11"/>
      <c r="Q610" s="11"/>
    </row>
    <row r="611" spans="14:17" ht="15.75" customHeight="1" x14ac:dyDescent="0.3">
      <c r="N611" s="11"/>
      <c r="O611" s="11"/>
      <c r="P611" s="11"/>
      <c r="Q611" s="11"/>
    </row>
    <row r="612" spans="14:17" ht="15.75" customHeight="1" x14ac:dyDescent="0.3">
      <c r="N612" s="11"/>
      <c r="O612" s="11"/>
      <c r="P612" s="11"/>
      <c r="Q612" s="11"/>
    </row>
    <row r="613" spans="14:17" ht="15.75" customHeight="1" x14ac:dyDescent="0.3">
      <c r="N613" s="11"/>
      <c r="O613" s="11"/>
      <c r="P613" s="11"/>
      <c r="Q613" s="11"/>
    </row>
    <row r="614" spans="14:17" ht="15.75" customHeight="1" x14ac:dyDescent="0.3">
      <c r="N614" s="11"/>
      <c r="O614" s="11"/>
      <c r="P614" s="11"/>
      <c r="Q614" s="11"/>
    </row>
    <row r="615" spans="14:17" ht="15.75" customHeight="1" x14ac:dyDescent="0.3">
      <c r="N615" s="11"/>
      <c r="O615" s="11"/>
      <c r="P615" s="11"/>
      <c r="Q615" s="11"/>
    </row>
    <row r="616" spans="14:17" ht="15.75" customHeight="1" x14ac:dyDescent="0.3">
      <c r="N616" s="11"/>
      <c r="O616" s="11"/>
      <c r="P616" s="11"/>
      <c r="Q616" s="11"/>
    </row>
    <row r="617" spans="14:17" ht="15.75" customHeight="1" x14ac:dyDescent="0.3">
      <c r="N617" s="11"/>
      <c r="O617" s="11"/>
      <c r="P617" s="11"/>
      <c r="Q617" s="11"/>
    </row>
    <row r="618" spans="14:17" ht="15.75" customHeight="1" x14ac:dyDescent="0.3">
      <c r="N618" s="11"/>
      <c r="O618" s="11"/>
      <c r="P618" s="11"/>
      <c r="Q618" s="11"/>
    </row>
    <row r="619" spans="14:17" ht="15.75" customHeight="1" x14ac:dyDescent="0.3">
      <c r="N619" s="11"/>
      <c r="O619" s="11"/>
      <c r="P619" s="11"/>
      <c r="Q619" s="11"/>
    </row>
    <row r="620" spans="14:17" ht="15.75" customHeight="1" x14ac:dyDescent="0.3">
      <c r="N620" s="11"/>
      <c r="O620" s="11"/>
      <c r="P620" s="11"/>
      <c r="Q620" s="11"/>
    </row>
    <row r="621" spans="14:17" ht="15.75" customHeight="1" x14ac:dyDescent="0.3">
      <c r="N621" s="11"/>
      <c r="O621" s="11"/>
      <c r="P621" s="11"/>
      <c r="Q621" s="11"/>
    </row>
    <row r="622" spans="14:17" ht="15.75" customHeight="1" x14ac:dyDescent="0.3">
      <c r="N622" s="11"/>
      <c r="O622" s="11"/>
      <c r="P622" s="11"/>
      <c r="Q622" s="11"/>
    </row>
    <row r="623" spans="14:17" ht="15.75" customHeight="1" x14ac:dyDescent="0.3">
      <c r="N623" s="11"/>
      <c r="O623" s="11"/>
      <c r="P623" s="11"/>
      <c r="Q623" s="11"/>
    </row>
    <row r="624" spans="14:17" ht="15.75" customHeight="1" x14ac:dyDescent="0.3">
      <c r="N624" s="11"/>
      <c r="O624" s="11"/>
      <c r="P624" s="11"/>
      <c r="Q624" s="11"/>
    </row>
    <row r="625" spans="14:17" ht="15.75" customHeight="1" x14ac:dyDescent="0.3">
      <c r="N625" s="11"/>
      <c r="O625" s="11"/>
      <c r="P625" s="11"/>
      <c r="Q625" s="11"/>
    </row>
    <row r="626" spans="14:17" ht="15.75" customHeight="1" x14ac:dyDescent="0.3">
      <c r="N626" s="11"/>
      <c r="O626" s="11"/>
      <c r="P626" s="11"/>
      <c r="Q626" s="11"/>
    </row>
    <row r="627" spans="14:17" ht="15.75" customHeight="1" x14ac:dyDescent="0.3">
      <c r="N627" s="11"/>
      <c r="O627" s="11"/>
      <c r="P627" s="11"/>
      <c r="Q627" s="11"/>
    </row>
    <row r="628" spans="14:17" ht="15.75" customHeight="1" x14ac:dyDescent="0.3">
      <c r="N628" s="11"/>
      <c r="O628" s="11"/>
      <c r="P628" s="11"/>
      <c r="Q628" s="11"/>
    </row>
    <row r="629" spans="14:17" ht="15.75" customHeight="1" x14ac:dyDescent="0.3">
      <c r="N629" s="11"/>
      <c r="O629" s="11"/>
      <c r="P629" s="11"/>
      <c r="Q629" s="11"/>
    </row>
    <row r="630" spans="14:17" ht="15.75" customHeight="1" x14ac:dyDescent="0.3">
      <c r="N630" s="11"/>
      <c r="O630" s="11"/>
      <c r="P630" s="11"/>
      <c r="Q630" s="11"/>
    </row>
    <row r="631" spans="14:17" ht="15.75" customHeight="1" x14ac:dyDescent="0.3">
      <c r="N631" s="11"/>
      <c r="O631" s="11"/>
      <c r="P631" s="11"/>
      <c r="Q631" s="11"/>
    </row>
    <row r="632" spans="14:17" ht="15.75" customHeight="1" x14ac:dyDescent="0.3">
      <c r="N632" s="11"/>
      <c r="O632" s="11"/>
      <c r="P632" s="11"/>
      <c r="Q632" s="11"/>
    </row>
    <row r="633" spans="14:17" ht="15.75" customHeight="1" x14ac:dyDescent="0.3">
      <c r="N633" s="11"/>
      <c r="O633" s="11"/>
      <c r="P633" s="11"/>
      <c r="Q633" s="11"/>
    </row>
    <row r="634" spans="14:17" ht="15.75" customHeight="1" x14ac:dyDescent="0.3">
      <c r="N634" s="11"/>
      <c r="O634" s="11"/>
      <c r="P634" s="11"/>
      <c r="Q634" s="11"/>
    </row>
    <row r="635" spans="14:17" ht="15.75" customHeight="1" x14ac:dyDescent="0.3">
      <c r="N635" s="11"/>
      <c r="O635" s="11"/>
      <c r="P635" s="11"/>
      <c r="Q635" s="11"/>
    </row>
    <row r="636" spans="14:17" ht="15.75" customHeight="1" x14ac:dyDescent="0.3">
      <c r="N636" s="11"/>
      <c r="O636" s="11"/>
      <c r="P636" s="11"/>
      <c r="Q636" s="11"/>
    </row>
    <row r="637" spans="14:17" ht="15.75" customHeight="1" x14ac:dyDescent="0.3">
      <c r="N637" s="11"/>
      <c r="O637" s="11"/>
      <c r="P637" s="11"/>
      <c r="Q637" s="11"/>
    </row>
    <row r="638" spans="14:17" ht="15.75" customHeight="1" x14ac:dyDescent="0.3">
      <c r="N638" s="11"/>
      <c r="O638" s="11"/>
      <c r="P638" s="11"/>
      <c r="Q638" s="11"/>
    </row>
    <row r="639" spans="14:17" ht="15.75" customHeight="1" x14ac:dyDescent="0.3">
      <c r="N639" s="11"/>
      <c r="O639" s="11"/>
      <c r="P639" s="11"/>
      <c r="Q639" s="11"/>
    </row>
    <row r="640" spans="14:17" ht="15.75" customHeight="1" x14ac:dyDescent="0.3">
      <c r="N640" s="11"/>
      <c r="O640" s="11"/>
      <c r="P640" s="11"/>
      <c r="Q640" s="11"/>
    </row>
    <row r="641" spans="14:17" ht="15.75" customHeight="1" x14ac:dyDescent="0.3">
      <c r="N641" s="11"/>
      <c r="O641" s="11"/>
      <c r="P641" s="11"/>
      <c r="Q641" s="11"/>
    </row>
    <row r="642" spans="14:17" ht="15.75" customHeight="1" x14ac:dyDescent="0.3">
      <c r="N642" s="11"/>
      <c r="O642" s="11"/>
      <c r="P642" s="11"/>
      <c r="Q642" s="11"/>
    </row>
    <row r="643" spans="14:17" ht="15.75" customHeight="1" x14ac:dyDescent="0.3">
      <c r="N643" s="11"/>
      <c r="O643" s="11"/>
      <c r="P643" s="11"/>
      <c r="Q643" s="11"/>
    </row>
    <row r="644" spans="14:17" ht="15.75" customHeight="1" x14ac:dyDescent="0.3">
      <c r="N644" s="11"/>
      <c r="O644" s="11"/>
      <c r="P644" s="11"/>
      <c r="Q644" s="11"/>
    </row>
    <row r="645" spans="14:17" ht="15.75" customHeight="1" x14ac:dyDescent="0.3">
      <c r="N645" s="11"/>
      <c r="O645" s="11"/>
      <c r="P645" s="11"/>
      <c r="Q645" s="11"/>
    </row>
    <row r="646" spans="14:17" ht="15.75" customHeight="1" x14ac:dyDescent="0.3">
      <c r="N646" s="11"/>
      <c r="O646" s="11"/>
      <c r="P646" s="11"/>
      <c r="Q646" s="11"/>
    </row>
    <row r="647" spans="14:17" ht="15.75" customHeight="1" x14ac:dyDescent="0.3">
      <c r="N647" s="11"/>
      <c r="O647" s="11"/>
      <c r="P647" s="11"/>
      <c r="Q647" s="11"/>
    </row>
    <row r="648" spans="14:17" ht="15.75" customHeight="1" x14ac:dyDescent="0.3">
      <c r="N648" s="11"/>
      <c r="O648" s="11"/>
      <c r="P648" s="11"/>
      <c r="Q648" s="11"/>
    </row>
    <row r="649" spans="14:17" ht="15.75" customHeight="1" x14ac:dyDescent="0.3">
      <c r="N649" s="11"/>
      <c r="O649" s="11"/>
      <c r="P649" s="11"/>
      <c r="Q649" s="11"/>
    </row>
    <row r="650" spans="14:17" ht="15.75" customHeight="1" x14ac:dyDescent="0.3">
      <c r="N650" s="11"/>
      <c r="O650" s="11"/>
      <c r="P650" s="11"/>
      <c r="Q650" s="11"/>
    </row>
    <row r="651" spans="14:17" ht="15.75" customHeight="1" x14ac:dyDescent="0.3">
      <c r="N651" s="11"/>
      <c r="O651" s="11"/>
      <c r="P651" s="11"/>
      <c r="Q651" s="11"/>
    </row>
    <row r="652" spans="14:17" ht="15.75" customHeight="1" x14ac:dyDescent="0.3">
      <c r="N652" s="11"/>
      <c r="O652" s="11"/>
      <c r="P652" s="11"/>
      <c r="Q652" s="11"/>
    </row>
    <row r="653" spans="14:17" ht="15.75" customHeight="1" x14ac:dyDescent="0.3">
      <c r="N653" s="11"/>
      <c r="O653" s="11"/>
      <c r="P653" s="11"/>
      <c r="Q653" s="11"/>
    </row>
    <row r="654" spans="14:17" ht="15.75" customHeight="1" x14ac:dyDescent="0.3">
      <c r="N654" s="11"/>
      <c r="O654" s="11"/>
      <c r="P654" s="11"/>
      <c r="Q654" s="11"/>
    </row>
    <row r="655" spans="14:17" ht="15.75" customHeight="1" x14ac:dyDescent="0.3">
      <c r="N655" s="11"/>
      <c r="O655" s="11"/>
      <c r="P655" s="11"/>
      <c r="Q655" s="11"/>
    </row>
    <row r="656" spans="14:17" ht="15.75" customHeight="1" x14ac:dyDescent="0.3">
      <c r="N656" s="11"/>
      <c r="O656" s="11"/>
      <c r="P656" s="11"/>
      <c r="Q656" s="11"/>
    </row>
    <row r="657" spans="14:17" ht="15.75" customHeight="1" x14ac:dyDescent="0.3">
      <c r="N657" s="11"/>
      <c r="O657" s="11"/>
      <c r="P657" s="11"/>
      <c r="Q657" s="11"/>
    </row>
    <row r="658" spans="14:17" ht="15.75" customHeight="1" x14ac:dyDescent="0.3">
      <c r="N658" s="11"/>
      <c r="O658" s="11"/>
      <c r="P658" s="11"/>
      <c r="Q658" s="11"/>
    </row>
    <row r="659" spans="14:17" ht="15.75" customHeight="1" x14ac:dyDescent="0.3">
      <c r="N659" s="11"/>
      <c r="O659" s="11"/>
      <c r="P659" s="11"/>
      <c r="Q659" s="11"/>
    </row>
    <row r="660" spans="14:17" ht="15.75" customHeight="1" x14ac:dyDescent="0.3">
      <c r="N660" s="11"/>
      <c r="O660" s="11"/>
      <c r="P660" s="11"/>
      <c r="Q660" s="11"/>
    </row>
    <row r="661" spans="14:17" ht="15.75" customHeight="1" x14ac:dyDescent="0.3">
      <c r="N661" s="11"/>
      <c r="O661" s="11"/>
      <c r="P661" s="11"/>
      <c r="Q661" s="11"/>
    </row>
    <row r="662" spans="14:17" ht="15.75" customHeight="1" x14ac:dyDescent="0.3">
      <c r="N662" s="11"/>
      <c r="O662" s="11"/>
      <c r="P662" s="11"/>
      <c r="Q662" s="11"/>
    </row>
    <row r="663" spans="14:17" ht="15.75" customHeight="1" x14ac:dyDescent="0.3">
      <c r="N663" s="11"/>
      <c r="O663" s="11"/>
      <c r="P663" s="11"/>
      <c r="Q663" s="11"/>
    </row>
    <row r="664" spans="14:17" ht="15.75" customHeight="1" x14ac:dyDescent="0.3">
      <c r="N664" s="11"/>
      <c r="O664" s="11"/>
      <c r="P664" s="11"/>
      <c r="Q664" s="11"/>
    </row>
    <row r="665" spans="14:17" ht="15.75" customHeight="1" x14ac:dyDescent="0.3">
      <c r="N665" s="11"/>
      <c r="O665" s="11"/>
      <c r="P665" s="11"/>
      <c r="Q665" s="11"/>
    </row>
    <row r="666" spans="14:17" ht="15.75" customHeight="1" x14ac:dyDescent="0.3">
      <c r="N666" s="11"/>
      <c r="O666" s="11"/>
      <c r="P666" s="11"/>
      <c r="Q666" s="11"/>
    </row>
    <row r="667" spans="14:17" ht="15.75" customHeight="1" x14ac:dyDescent="0.3">
      <c r="N667" s="11"/>
      <c r="O667" s="11"/>
      <c r="P667" s="11"/>
      <c r="Q667" s="11"/>
    </row>
    <row r="668" spans="14:17" ht="15.75" customHeight="1" x14ac:dyDescent="0.3">
      <c r="N668" s="11"/>
      <c r="O668" s="11"/>
      <c r="P668" s="11"/>
      <c r="Q668" s="11"/>
    </row>
    <row r="669" spans="14:17" ht="15.75" customHeight="1" x14ac:dyDescent="0.3">
      <c r="N669" s="11"/>
      <c r="O669" s="11"/>
      <c r="P669" s="11"/>
      <c r="Q669" s="11"/>
    </row>
    <row r="670" spans="14:17" ht="15.75" customHeight="1" x14ac:dyDescent="0.3">
      <c r="N670" s="11"/>
      <c r="O670" s="11"/>
      <c r="P670" s="11"/>
      <c r="Q670" s="11"/>
    </row>
    <row r="671" spans="14:17" ht="15.75" customHeight="1" x14ac:dyDescent="0.3">
      <c r="N671" s="11"/>
      <c r="O671" s="11"/>
      <c r="P671" s="11"/>
      <c r="Q671" s="11"/>
    </row>
    <row r="672" spans="14:17" ht="15.75" customHeight="1" x14ac:dyDescent="0.3">
      <c r="N672" s="11"/>
      <c r="O672" s="11"/>
      <c r="P672" s="11"/>
      <c r="Q672" s="11"/>
    </row>
    <row r="673" spans="14:17" ht="15.75" customHeight="1" x14ac:dyDescent="0.3">
      <c r="N673" s="11"/>
      <c r="O673" s="11"/>
      <c r="P673" s="11"/>
      <c r="Q673" s="11"/>
    </row>
    <row r="674" spans="14:17" ht="15.75" customHeight="1" x14ac:dyDescent="0.3">
      <c r="N674" s="11"/>
      <c r="O674" s="11"/>
      <c r="P674" s="11"/>
      <c r="Q674" s="11"/>
    </row>
    <row r="675" spans="14:17" ht="15.75" customHeight="1" x14ac:dyDescent="0.3">
      <c r="N675" s="11"/>
      <c r="O675" s="11"/>
      <c r="P675" s="11"/>
      <c r="Q675" s="11"/>
    </row>
    <row r="676" spans="14:17" ht="15.75" customHeight="1" x14ac:dyDescent="0.3">
      <c r="N676" s="11"/>
      <c r="O676" s="11"/>
      <c r="P676" s="11"/>
      <c r="Q676" s="11"/>
    </row>
    <row r="677" spans="14:17" ht="15.75" customHeight="1" x14ac:dyDescent="0.3">
      <c r="N677" s="11"/>
      <c r="O677" s="11"/>
      <c r="P677" s="11"/>
      <c r="Q677" s="11"/>
    </row>
    <row r="678" spans="14:17" ht="15.75" customHeight="1" x14ac:dyDescent="0.3">
      <c r="N678" s="11"/>
      <c r="O678" s="11"/>
      <c r="P678" s="11"/>
      <c r="Q678" s="11"/>
    </row>
    <row r="679" spans="14:17" ht="15.75" customHeight="1" x14ac:dyDescent="0.3">
      <c r="N679" s="11"/>
      <c r="O679" s="11"/>
      <c r="P679" s="11"/>
      <c r="Q679" s="11"/>
    </row>
    <row r="680" spans="14:17" ht="15.75" customHeight="1" x14ac:dyDescent="0.3">
      <c r="N680" s="11"/>
      <c r="O680" s="11"/>
      <c r="P680" s="11"/>
      <c r="Q680" s="11"/>
    </row>
    <row r="681" spans="14:17" ht="15.75" customHeight="1" x14ac:dyDescent="0.3">
      <c r="N681" s="11"/>
      <c r="O681" s="11"/>
      <c r="P681" s="11"/>
      <c r="Q681" s="11"/>
    </row>
    <row r="682" spans="14:17" ht="15.75" customHeight="1" x14ac:dyDescent="0.3">
      <c r="N682" s="11"/>
      <c r="O682" s="11"/>
      <c r="P682" s="11"/>
      <c r="Q682" s="11"/>
    </row>
    <row r="683" spans="14:17" ht="15.75" customHeight="1" x14ac:dyDescent="0.3">
      <c r="N683" s="11"/>
      <c r="O683" s="11"/>
      <c r="P683" s="11"/>
      <c r="Q683" s="11"/>
    </row>
    <row r="684" spans="14:17" ht="15.75" customHeight="1" x14ac:dyDescent="0.3">
      <c r="N684" s="11"/>
      <c r="O684" s="11"/>
      <c r="P684" s="11"/>
      <c r="Q684" s="11"/>
    </row>
    <row r="685" spans="14:17" ht="15.75" customHeight="1" x14ac:dyDescent="0.3">
      <c r="N685" s="11"/>
      <c r="O685" s="11"/>
      <c r="P685" s="11"/>
      <c r="Q685" s="11"/>
    </row>
    <row r="686" spans="14:17" ht="15.75" customHeight="1" x14ac:dyDescent="0.3">
      <c r="N686" s="11"/>
      <c r="O686" s="11"/>
      <c r="P686" s="11"/>
      <c r="Q686" s="11"/>
    </row>
    <row r="687" spans="14:17" ht="15.75" customHeight="1" x14ac:dyDescent="0.3">
      <c r="N687" s="11"/>
      <c r="O687" s="11"/>
      <c r="P687" s="11"/>
      <c r="Q687" s="11"/>
    </row>
    <row r="688" spans="14:17" ht="15.75" customHeight="1" x14ac:dyDescent="0.3">
      <c r="N688" s="11"/>
      <c r="O688" s="11"/>
      <c r="P688" s="11"/>
      <c r="Q688" s="11"/>
    </row>
    <row r="689" spans="14:17" ht="15.75" customHeight="1" x14ac:dyDescent="0.3">
      <c r="N689" s="11"/>
      <c r="O689" s="11"/>
      <c r="P689" s="11"/>
      <c r="Q689" s="11"/>
    </row>
    <row r="690" spans="14:17" ht="15.75" customHeight="1" x14ac:dyDescent="0.3">
      <c r="N690" s="11"/>
      <c r="O690" s="11"/>
      <c r="P690" s="11"/>
      <c r="Q690" s="11"/>
    </row>
    <row r="691" spans="14:17" ht="15.75" customHeight="1" x14ac:dyDescent="0.3">
      <c r="N691" s="11"/>
      <c r="O691" s="11"/>
      <c r="P691" s="11"/>
      <c r="Q691" s="11"/>
    </row>
    <row r="692" spans="14:17" ht="15.75" customHeight="1" x14ac:dyDescent="0.3">
      <c r="N692" s="11"/>
      <c r="O692" s="11"/>
      <c r="P692" s="11"/>
      <c r="Q692" s="11"/>
    </row>
    <row r="693" spans="14:17" ht="15.75" customHeight="1" x14ac:dyDescent="0.3">
      <c r="N693" s="11"/>
      <c r="O693" s="11"/>
      <c r="P693" s="11"/>
      <c r="Q693" s="11"/>
    </row>
    <row r="694" spans="14:17" ht="15.75" customHeight="1" x14ac:dyDescent="0.3">
      <c r="N694" s="11"/>
      <c r="O694" s="11"/>
      <c r="P694" s="11"/>
      <c r="Q694" s="11"/>
    </row>
    <row r="695" spans="14:17" ht="15.75" customHeight="1" x14ac:dyDescent="0.3">
      <c r="N695" s="11"/>
      <c r="O695" s="11"/>
      <c r="P695" s="11"/>
      <c r="Q695" s="11"/>
    </row>
    <row r="696" spans="14:17" ht="15.75" customHeight="1" x14ac:dyDescent="0.3">
      <c r="N696" s="11"/>
      <c r="O696" s="11"/>
      <c r="P696" s="11"/>
      <c r="Q696" s="11"/>
    </row>
    <row r="697" spans="14:17" ht="15.75" customHeight="1" x14ac:dyDescent="0.3">
      <c r="N697" s="11"/>
      <c r="O697" s="11"/>
      <c r="P697" s="11"/>
      <c r="Q697" s="11"/>
    </row>
    <row r="698" spans="14:17" ht="15.75" customHeight="1" x14ac:dyDescent="0.3">
      <c r="N698" s="11"/>
      <c r="O698" s="11"/>
      <c r="P698" s="11"/>
      <c r="Q698" s="11"/>
    </row>
    <row r="699" spans="14:17" ht="15.75" customHeight="1" x14ac:dyDescent="0.3">
      <c r="N699" s="11"/>
      <c r="O699" s="11"/>
      <c r="P699" s="11"/>
      <c r="Q699" s="11"/>
    </row>
    <row r="700" spans="14:17" ht="15.75" customHeight="1" x14ac:dyDescent="0.3">
      <c r="N700" s="11"/>
      <c r="O700" s="11"/>
      <c r="P700" s="11"/>
      <c r="Q700" s="11"/>
    </row>
    <row r="701" spans="14:17" ht="15.75" customHeight="1" x14ac:dyDescent="0.3">
      <c r="N701" s="11"/>
      <c r="O701" s="11"/>
      <c r="P701" s="11"/>
      <c r="Q701" s="11"/>
    </row>
    <row r="702" spans="14:17" ht="15.75" customHeight="1" x14ac:dyDescent="0.3">
      <c r="N702" s="11"/>
      <c r="O702" s="11"/>
      <c r="P702" s="11"/>
      <c r="Q702" s="11"/>
    </row>
    <row r="703" spans="14:17" ht="15.75" customHeight="1" x14ac:dyDescent="0.3">
      <c r="N703" s="11"/>
      <c r="O703" s="11"/>
      <c r="P703" s="11"/>
      <c r="Q703" s="11"/>
    </row>
    <row r="704" spans="14:17" ht="15.75" customHeight="1" x14ac:dyDescent="0.3">
      <c r="N704" s="11"/>
      <c r="O704" s="11"/>
      <c r="P704" s="11"/>
      <c r="Q704" s="11"/>
    </row>
    <row r="705" spans="14:17" ht="15.75" customHeight="1" x14ac:dyDescent="0.3">
      <c r="N705" s="11"/>
      <c r="O705" s="11"/>
      <c r="P705" s="11"/>
      <c r="Q705" s="11"/>
    </row>
    <row r="706" spans="14:17" ht="15.75" customHeight="1" x14ac:dyDescent="0.3">
      <c r="N706" s="11"/>
      <c r="O706" s="11"/>
      <c r="P706" s="11"/>
      <c r="Q706" s="11"/>
    </row>
    <row r="707" spans="14:17" ht="15.75" customHeight="1" x14ac:dyDescent="0.3">
      <c r="N707" s="11"/>
      <c r="O707" s="11"/>
      <c r="P707" s="11"/>
      <c r="Q707" s="11"/>
    </row>
    <row r="708" spans="14:17" ht="15.75" customHeight="1" x14ac:dyDescent="0.3">
      <c r="N708" s="11"/>
      <c r="O708" s="11"/>
      <c r="P708" s="11"/>
      <c r="Q708" s="11"/>
    </row>
    <row r="709" spans="14:17" ht="15.75" customHeight="1" x14ac:dyDescent="0.3">
      <c r="N709" s="11"/>
      <c r="O709" s="11"/>
      <c r="P709" s="11"/>
      <c r="Q709" s="11"/>
    </row>
    <row r="710" spans="14:17" ht="15.75" customHeight="1" x14ac:dyDescent="0.3">
      <c r="N710" s="11"/>
      <c r="O710" s="11"/>
      <c r="P710" s="11"/>
      <c r="Q710" s="11"/>
    </row>
    <row r="711" spans="14:17" ht="15.75" customHeight="1" x14ac:dyDescent="0.3">
      <c r="N711" s="11"/>
      <c r="O711" s="11"/>
      <c r="P711" s="11"/>
      <c r="Q711" s="11"/>
    </row>
    <row r="712" spans="14:17" ht="15.75" customHeight="1" x14ac:dyDescent="0.3">
      <c r="N712" s="11"/>
      <c r="O712" s="11"/>
      <c r="P712" s="11"/>
      <c r="Q712" s="11"/>
    </row>
    <row r="713" spans="14:17" ht="15.75" customHeight="1" x14ac:dyDescent="0.3">
      <c r="N713" s="11"/>
      <c r="O713" s="11"/>
      <c r="P713" s="11"/>
      <c r="Q713" s="11"/>
    </row>
    <row r="714" spans="14:17" ht="15.75" customHeight="1" x14ac:dyDescent="0.3">
      <c r="N714" s="11"/>
      <c r="O714" s="11"/>
      <c r="P714" s="11"/>
      <c r="Q714" s="11"/>
    </row>
    <row r="715" spans="14:17" ht="15.75" customHeight="1" x14ac:dyDescent="0.3">
      <c r="N715" s="11"/>
      <c r="O715" s="11"/>
      <c r="P715" s="11"/>
      <c r="Q715" s="11"/>
    </row>
    <row r="716" spans="14:17" ht="15.75" customHeight="1" x14ac:dyDescent="0.3">
      <c r="N716" s="11"/>
      <c r="O716" s="11"/>
      <c r="P716" s="11"/>
      <c r="Q716" s="11"/>
    </row>
    <row r="717" spans="14:17" ht="15.75" customHeight="1" x14ac:dyDescent="0.3">
      <c r="N717" s="11"/>
      <c r="O717" s="11"/>
      <c r="P717" s="11"/>
      <c r="Q717" s="11"/>
    </row>
    <row r="718" spans="14:17" ht="15.75" customHeight="1" x14ac:dyDescent="0.3">
      <c r="N718" s="11"/>
      <c r="O718" s="11"/>
      <c r="P718" s="11"/>
      <c r="Q718" s="11"/>
    </row>
    <row r="719" spans="14:17" ht="15.75" customHeight="1" x14ac:dyDescent="0.3">
      <c r="N719" s="11"/>
      <c r="O719" s="11"/>
      <c r="P719" s="11"/>
      <c r="Q719" s="11"/>
    </row>
    <row r="720" spans="14:17" ht="15.75" customHeight="1" x14ac:dyDescent="0.3">
      <c r="N720" s="11"/>
      <c r="O720" s="11"/>
      <c r="P720" s="11"/>
      <c r="Q720" s="11"/>
    </row>
    <row r="721" spans="14:17" ht="15.75" customHeight="1" x14ac:dyDescent="0.3">
      <c r="N721" s="11"/>
      <c r="O721" s="11"/>
      <c r="P721" s="11"/>
      <c r="Q721" s="11"/>
    </row>
    <row r="722" spans="14:17" ht="15.75" customHeight="1" x14ac:dyDescent="0.3">
      <c r="N722" s="11"/>
      <c r="O722" s="11"/>
      <c r="P722" s="11"/>
      <c r="Q722" s="11"/>
    </row>
    <row r="723" spans="14:17" ht="15.75" customHeight="1" x14ac:dyDescent="0.3">
      <c r="N723" s="11"/>
      <c r="O723" s="11"/>
      <c r="P723" s="11"/>
      <c r="Q723" s="11"/>
    </row>
    <row r="724" spans="14:17" ht="15.75" customHeight="1" x14ac:dyDescent="0.3">
      <c r="N724" s="11"/>
      <c r="O724" s="11"/>
      <c r="P724" s="11"/>
      <c r="Q724" s="11"/>
    </row>
    <row r="725" spans="14:17" ht="15.75" customHeight="1" x14ac:dyDescent="0.3">
      <c r="N725" s="11"/>
      <c r="O725" s="11"/>
      <c r="P725" s="11"/>
      <c r="Q725" s="11"/>
    </row>
    <row r="726" spans="14:17" ht="15.75" customHeight="1" x14ac:dyDescent="0.3">
      <c r="N726" s="11"/>
      <c r="O726" s="11"/>
      <c r="P726" s="11"/>
      <c r="Q726" s="11"/>
    </row>
    <row r="727" spans="14:17" ht="15.75" customHeight="1" x14ac:dyDescent="0.3">
      <c r="N727" s="11"/>
      <c r="O727" s="11"/>
      <c r="P727" s="11"/>
      <c r="Q727" s="11"/>
    </row>
    <row r="728" spans="14:17" ht="15.75" customHeight="1" x14ac:dyDescent="0.3">
      <c r="N728" s="11"/>
      <c r="O728" s="11"/>
      <c r="P728" s="11"/>
      <c r="Q728" s="11"/>
    </row>
    <row r="729" spans="14:17" ht="15.75" customHeight="1" x14ac:dyDescent="0.3">
      <c r="N729" s="11"/>
      <c r="O729" s="11"/>
      <c r="P729" s="11"/>
      <c r="Q729" s="11"/>
    </row>
    <row r="730" spans="14:17" ht="15.75" customHeight="1" x14ac:dyDescent="0.3">
      <c r="N730" s="11"/>
      <c r="O730" s="11"/>
      <c r="P730" s="11"/>
      <c r="Q730" s="11"/>
    </row>
    <row r="731" spans="14:17" ht="15.75" customHeight="1" x14ac:dyDescent="0.3">
      <c r="N731" s="11"/>
      <c r="O731" s="11"/>
      <c r="P731" s="11"/>
      <c r="Q731" s="11"/>
    </row>
    <row r="732" spans="14:17" ht="15.75" customHeight="1" x14ac:dyDescent="0.3">
      <c r="N732" s="11"/>
      <c r="O732" s="11"/>
      <c r="P732" s="11"/>
      <c r="Q732" s="11"/>
    </row>
    <row r="733" spans="14:17" ht="15.75" customHeight="1" x14ac:dyDescent="0.3">
      <c r="N733" s="11"/>
      <c r="O733" s="11"/>
      <c r="P733" s="11"/>
      <c r="Q733" s="11"/>
    </row>
    <row r="734" spans="14:17" ht="15.75" customHeight="1" x14ac:dyDescent="0.3">
      <c r="N734" s="11"/>
      <c r="O734" s="11"/>
      <c r="P734" s="11"/>
      <c r="Q734" s="11"/>
    </row>
    <row r="735" spans="14:17" ht="15.75" customHeight="1" x14ac:dyDescent="0.3">
      <c r="N735" s="11"/>
      <c r="O735" s="11"/>
      <c r="P735" s="11"/>
      <c r="Q735" s="11"/>
    </row>
    <row r="736" spans="14:17" ht="15.75" customHeight="1" x14ac:dyDescent="0.3">
      <c r="N736" s="11"/>
      <c r="O736" s="11"/>
      <c r="P736" s="11"/>
      <c r="Q736" s="11"/>
    </row>
    <row r="737" spans="14:17" ht="15.75" customHeight="1" x14ac:dyDescent="0.3">
      <c r="N737" s="11"/>
      <c r="O737" s="11"/>
      <c r="P737" s="11"/>
      <c r="Q737" s="11"/>
    </row>
    <row r="738" spans="14:17" ht="15.75" customHeight="1" x14ac:dyDescent="0.3">
      <c r="N738" s="11"/>
      <c r="O738" s="11"/>
      <c r="P738" s="11"/>
      <c r="Q738" s="11"/>
    </row>
    <row r="739" spans="14:17" ht="15.75" customHeight="1" x14ac:dyDescent="0.3">
      <c r="N739" s="11"/>
      <c r="O739" s="11"/>
      <c r="P739" s="11"/>
      <c r="Q739" s="11"/>
    </row>
    <row r="740" spans="14:17" ht="15.75" customHeight="1" x14ac:dyDescent="0.3">
      <c r="N740" s="11"/>
      <c r="O740" s="11"/>
      <c r="P740" s="11"/>
      <c r="Q740" s="11"/>
    </row>
    <row r="741" spans="14:17" ht="15.75" customHeight="1" x14ac:dyDescent="0.3">
      <c r="N741" s="11"/>
      <c r="O741" s="11"/>
      <c r="P741" s="11"/>
      <c r="Q741" s="11"/>
    </row>
    <row r="742" spans="14:17" ht="15.75" customHeight="1" x14ac:dyDescent="0.3">
      <c r="N742" s="11"/>
      <c r="O742" s="11"/>
      <c r="P742" s="11"/>
      <c r="Q742" s="11"/>
    </row>
    <row r="743" spans="14:17" ht="15.75" customHeight="1" x14ac:dyDescent="0.3">
      <c r="N743" s="11"/>
      <c r="O743" s="11"/>
      <c r="P743" s="11"/>
      <c r="Q743" s="11"/>
    </row>
    <row r="744" spans="14:17" ht="15.75" customHeight="1" x14ac:dyDescent="0.3">
      <c r="N744" s="11"/>
      <c r="O744" s="11"/>
      <c r="P744" s="11"/>
      <c r="Q744" s="11"/>
    </row>
    <row r="745" spans="14:17" ht="15.75" customHeight="1" x14ac:dyDescent="0.3">
      <c r="N745" s="11"/>
      <c r="O745" s="11"/>
      <c r="P745" s="11"/>
      <c r="Q745" s="11"/>
    </row>
    <row r="746" spans="14:17" ht="15.75" customHeight="1" x14ac:dyDescent="0.3">
      <c r="N746" s="11"/>
      <c r="O746" s="11"/>
      <c r="P746" s="11"/>
      <c r="Q746" s="11"/>
    </row>
    <row r="747" spans="14:17" ht="15.75" customHeight="1" x14ac:dyDescent="0.3">
      <c r="N747" s="11"/>
      <c r="O747" s="11"/>
      <c r="P747" s="11"/>
      <c r="Q747" s="11"/>
    </row>
    <row r="748" spans="14:17" ht="15.75" customHeight="1" x14ac:dyDescent="0.3">
      <c r="N748" s="11"/>
      <c r="O748" s="11"/>
      <c r="P748" s="11"/>
      <c r="Q748" s="11"/>
    </row>
    <row r="749" spans="14:17" ht="15.75" customHeight="1" x14ac:dyDescent="0.3">
      <c r="N749" s="11"/>
      <c r="O749" s="11"/>
      <c r="P749" s="11"/>
      <c r="Q749" s="11"/>
    </row>
    <row r="750" spans="14:17" ht="15.75" customHeight="1" x14ac:dyDescent="0.3">
      <c r="N750" s="11"/>
      <c r="O750" s="11"/>
      <c r="P750" s="11"/>
      <c r="Q750" s="11"/>
    </row>
    <row r="751" spans="14:17" ht="15.75" customHeight="1" x14ac:dyDescent="0.3">
      <c r="N751" s="11"/>
      <c r="O751" s="11"/>
      <c r="P751" s="11"/>
      <c r="Q751" s="11"/>
    </row>
    <row r="752" spans="14:17" ht="15.75" customHeight="1" x14ac:dyDescent="0.3">
      <c r="N752" s="11"/>
      <c r="O752" s="11"/>
      <c r="P752" s="11"/>
      <c r="Q752" s="11"/>
    </row>
    <row r="753" spans="14:17" ht="15.75" customHeight="1" x14ac:dyDescent="0.3">
      <c r="N753" s="11"/>
      <c r="O753" s="11"/>
      <c r="P753" s="11"/>
      <c r="Q753" s="11"/>
    </row>
    <row r="754" spans="14:17" ht="15.75" customHeight="1" x14ac:dyDescent="0.3">
      <c r="N754" s="11"/>
      <c r="O754" s="11"/>
      <c r="P754" s="11"/>
      <c r="Q754" s="11"/>
    </row>
    <row r="755" spans="14:17" ht="15.75" customHeight="1" x14ac:dyDescent="0.3">
      <c r="N755" s="11"/>
      <c r="O755" s="11"/>
      <c r="P755" s="11"/>
      <c r="Q755" s="11"/>
    </row>
    <row r="756" spans="14:17" ht="15.75" customHeight="1" x14ac:dyDescent="0.3">
      <c r="N756" s="11"/>
      <c r="O756" s="11"/>
      <c r="P756" s="11"/>
      <c r="Q756" s="11"/>
    </row>
    <row r="757" spans="14:17" ht="15.75" customHeight="1" x14ac:dyDescent="0.3">
      <c r="N757" s="11"/>
      <c r="O757" s="11"/>
      <c r="P757" s="11"/>
      <c r="Q757" s="11"/>
    </row>
    <row r="758" spans="14:17" ht="15.75" customHeight="1" x14ac:dyDescent="0.3">
      <c r="N758" s="11"/>
      <c r="O758" s="11"/>
      <c r="P758" s="11"/>
      <c r="Q758" s="11"/>
    </row>
    <row r="759" spans="14:17" ht="15.75" customHeight="1" x14ac:dyDescent="0.3">
      <c r="N759" s="11"/>
      <c r="O759" s="11"/>
      <c r="P759" s="11"/>
      <c r="Q759" s="11"/>
    </row>
    <row r="760" spans="14:17" ht="15.75" customHeight="1" x14ac:dyDescent="0.3">
      <c r="N760" s="11"/>
      <c r="O760" s="11"/>
      <c r="P760" s="11"/>
      <c r="Q760" s="11"/>
    </row>
    <row r="761" spans="14:17" ht="15.75" customHeight="1" x14ac:dyDescent="0.3">
      <c r="N761" s="11"/>
      <c r="O761" s="11"/>
      <c r="P761" s="11"/>
      <c r="Q761" s="11"/>
    </row>
    <row r="762" spans="14:17" ht="15.75" customHeight="1" x14ac:dyDescent="0.3">
      <c r="N762" s="11"/>
      <c r="O762" s="11"/>
      <c r="P762" s="11"/>
      <c r="Q762" s="11"/>
    </row>
    <row r="763" spans="14:17" ht="15.75" customHeight="1" x14ac:dyDescent="0.3">
      <c r="N763" s="11"/>
      <c r="O763" s="11"/>
      <c r="P763" s="11"/>
      <c r="Q763" s="11"/>
    </row>
    <row r="764" spans="14:17" ht="15.75" customHeight="1" x14ac:dyDescent="0.3">
      <c r="N764" s="11"/>
      <c r="O764" s="11"/>
      <c r="P764" s="11"/>
      <c r="Q764" s="11"/>
    </row>
    <row r="765" spans="14:17" ht="15.75" customHeight="1" x14ac:dyDescent="0.3">
      <c r="N765" s="11"/>
      <c r="O765" s="11"/>
      <c r="P765" s="11"/>
      <c r="Q765" s="11"/>
    </row>
    <row r="766" spans="14:17" ht="15.75" customHeight="1" x14ac:dyDescent="0.3">
      <c r="N766" s="11"/>
      <c r="O766" s="11"/>
      <c r="P766" s="11"/>
      <c r="Q766" s="11"/>
    </row>
    <row r="767" spans="14:17" ht="15.75" customHeight="1" x14ac:dyDescent="0.3">
      <c r="N767" s="11"/>
      <c r="O767" s="11"/>
      <c r="P767" s="11"/>
      <c r="Q767" s="11"/>
    </row>
    <row r="768" spans="14:17" ht="15.75" customHeight="1" x14ac:dyDescent="0.3">
      <c r="N768" s="11"/>
      <c r="O768" s="11"/>
      <c r="P768" s="11"/>
      <c r="Q768" s="11"/>
    </row>
    <row r="769" spans="14:17" ht="15.75" customHeight="1" x14ac:dyDescent="0.3">
      <c r="N769" s="11"/>
      <c r="O769" s="11"/>
      <c r="P769" s="11"/>
      <c r="Q769" s="11"/>
    </row>
    <row r="770" spans="14:17" ht="15.75" customHeight="1" x14ac:dyDescent="0.3">
      <c r="N770" s="11"/>
      <c r="O770" s="11"/>
      <c r="P770" s="11"/>
      <c r="Q770" s="11"/>
    </row>
    <row r="771" spans="14:17" ht="15.75" customHeight="1" x14ac:dyDescent="0.3">
      <c r="N771" s="11"/>
      <c r="O771" s="11"/>
      <c r="P771" s="11"/>
      <c r="Q771" s="11"/>
    </row>
    <row r="772" spans="14:17" ht="15.75" customHeight="1" x14ac:dyDescent="0.3">
      <c r="N772" s="11"/>
      <c r="O772" s="11"/>
      <c r="P772" s="11"/>
      <c r="Q772" s="11"/>
    </row>
    <row r="773" spans="14:17" ht="15.75" customHeight="1" x14ac:dyDescent="0.3">
      <c r="N773" s="11"/>
      <c r="O773" s="11"/>
      <c r="P773" s="11"/>
      <c r="Q773" s="11"/>
    </row>
    <row r="774" spans="14:17" ht="15.75" customHeight="1" x14ac:dyDescent="0.3">
      <c r="N774" s="11"/>
      <c r="O774" s="11"/>
      <c r="P774" s="11"/>
      <c r="Q774" s="11"/>
    </row>
    <row r="775" spans="14:17" ht="15.75" customHeight="1" x14ac:dyDescent="0.3">
      <c r="N775" s="11"/>
      <c r="O775" s="11"/>
      <c r="P775" s="11"/>
      <c r="Q775" s="11"/>
    </row>
    <row r="776" spans="14:17" ht="15.75" customHeight="1" x14ac:dyDescent="0.3">
      <c r="N776" s="11"/>
      <c r="O776" s="11"/>
      <c r="P776" s="11"/>
      <c r="Q776" s="11"/>
    </row>
    <row r="777" spans="14:17" ht="15.75" customHeight="1" x14ac:dyDescent="0.3">
      <c r="N777" s="11"/>
      <c r="O777" s="11"/>
      <c r="P777" s="11"/>
      <c r="Q777" s="11"/>
    </row>
    <row r="778" spans="14:17" ht="15.75" customHeight="1" x14ac:dyDescent="0.3">
      <c r="N778" s="11"/>
      <c r="O778" s="11"/>
      <c r="P778" s="11"/>
      <c r="Q778" s="11"/>
    </row>
    <row r="779" spans="14:17" ht="15.75" customHeight="1" x14ac:dyDescent="0.3">
      <c r="N779" s="11"/>
      <c r="O779" s="11"/>
      <c r="P779" s="11"/>
      <c r="Q779" s="11"/>
    </row>
    <row r="780" spans="14:17" ht="15.75" customHeight="1" x14ac:dyDescent="0.3">
      <c r="N780" s="11"/>
      <c r="O780" s="11"/>
      <c r="P780" s="11"/>
      <c r="Q780" s="11"/>
    </row>
    <row r="781" spans="14:17" ht="15.75" customHeight="1" x14ac:dyDescent="0.3">
      <c r="N781" s="11"/>
      <c r="O781" s="11"/>
      <c r="P781" s="11"/>
      <c r="Q781" s="11"/>
    </row>
    <row r="782" spans="14:17" ht="15.75" customHeight="1" x14ac:dyDescent="0.3">
      <c r="N782" s="11"/>
      <c r="O782" s="11"/>
      <c r="P782" s="11"/>
      <c r="Q782" s="11"/>
    </row>
    <row r="783" spans="14:17" ht="15.75" customHeight="1" x14ac:dyDescent="0.3">
      <c r="N783" s="11"/>
      <c r="O783" s="11"/>
      <c r="P783" s="11"/>
      <c r="Q783" s="11"/>
    </row>
    <row r="784" spans="14:17" ht="15.75" customHeight="1" x14ac:dyDescent="0.3">
      <c r="N784" s="11"/>
      <c r="O784" s="11"/>
      <c r="P784" s="11"/>
      <c r="Q784" s="11"/>
    </row>
    <row r="785" spans="14:17" ht="15.75" customHeight="1" x14ac:dyDescent="0.3">
      <c r="N785" s="11"/>
      <c r="O785" s="11"/>
      <c r="P785" s="11"/>
      <c r="Q785" s="11"/>
    </row>
    <row r="786" spans="14:17" ht="15.75" customHeight="1" x14ac:dyDescent="0.3">
      <c r="N786" s="11"/>
      <c r="O786" s="11"/>
      <c r="P786" s="11"/>
      <c r="Q786" s="11"/>
    </row>
    <row r="787" spans="14:17" ht="15.75" customHeight="1" x14ac:dyDescent="0.3">
      <c r="N787" s="11"/>
      <c r="O787" s="11"/>
      <c r="P787" s="11"/>
      <c r="Q787" s="11"/>
    </row>
    <row r="788" spans="14:17" ht="15.75" customHeight="1" x14ac:dyDescent="0.3">
      <c r="N788" s="11"/>
      <c r="O788" s="11"/>
      <c r="P788" s="11"/>
      <c r="Q788" s="11"/>
    </row>
    <row r="789" spans="14:17" ht="15.75" customHeight="1" x14ac:dyDescent="0.3">
      <c r="N789" s="11"/>
      <c r="O789" s="11"/>
      <c r="P789" s="11"/>
      <c r="Q789" s="11"/>
    </row>
    <row r="790" spans="14:17" ht="15.75" customHeight="1" x14ac:dyDescent="0.3">
      <c r="N790" s="11"/>
      <c r="O790" s="11"/>
      <c r="P790" s="11"/>
      <c r="Q790" s="11"/>
    </row>
    <row r="791" spans="14:17" ht="15.75" customHeight="1" x14ac:dyDescent="0.3">
      <c r="N791" s="11"/>
      <c r="O791" s="11"/>
      <c r="P791" s="11"/>
      <c r="Q791" s="11"/>
    </row>
    <row r="792" spans="14:17" ht="15.75" customHeight="1" x14ac:dyDescent="0.3">
      <c r="N792" s="11"/>
      <c r="O792" s="11"/>
      <c r="P792" s="11"/>
      <c r="Q792" s="11"/>
    </row>
    <row r="793" spans="14:17" ht="15.75" customHeight="1" x14ac:dyDescent="0.3">
      <c r="N793" s="11"/>
      <c r="O793" s="11"/>
      <c r="P793" s="11"/>
      <c r="Q793" s="11"/>
    </row>
    <row r="794" spans="14:17" ht="15.75" customHeight="1" x14ac:dyDescent="0.3">
      <c r="N794" s="11"/>
      <c r="O794" s="11"/>
      <c r="P794" s="11"/>
      <c r="Q794" s="11"/>
    </row>
    <row r="795" spans="14:17" ht="15.75" customHeight="1" x14ac:dyDescent="0.3">
      <c r="N795" s="11"/>
      <c r="O795" s="11"/>
      <c r="P795" s="11"/>
      <c r="Q795" s="11"/>
    </row>
    <row r="796" spans="14:17" ht="15.75" customHeight="1" x14ac:dyDescent="0.3">
      <c r="N796" s="11"/>
      <c r="O796" s="11"/>
      <c r="P796" s="11"/>
      <c r="Q796" s="11"/>
    </row>
    <row r="797" spans="14:17" ht="15.75" customHeight="1" x14ac:dyDescent="0.3">
      <c r="N797" s="11"/>
      <c r="O797" s="11"/>
      <c r="P797" s="11"/>
      <c r="Q797" s="11"/>
    </row>
    <row r="798" spans="14:17" ht="15.75" customHeight="1" x14ac:dyDescent="0.3">
      <c r="N798" s="11"/>
      <c r="O798" s="11"/>
      <c r="P798" s="11"/>
      <c r="Q798" s="11"/>
    </row>
    <row r="799" spans="14:17" ht="15.75" customHeight="1" x14ac:dyDescent="0.3">
      <c r="N799" s="11"/>
      <c r="O799" s="11"/>
      <c r="P799" s="11"/>
      <c r="Q799" s="11"/>
    </row>
    <row r="800" spans="14:17" ht="15.75" customHeight="1" x14ac:dyDescent="0.3">
      <c r="N800" s="11"/>
      <c r="O800" s="11"/>
      <c r="P800" s="11"/>
      <c r="Q800" s="11"/>
    </row>
    <row r="801" spans="14:17" ht="15.75" customHeight="1" x14ac:dyDescent="0.3">
      <c r="N801" s="11"/>
      <c r="O801" s="11"/>
      <c r="P801" s="11"/>
      <c r="Q801" s="11"/>
    </row>
    <row r="802" spans="14:17" ht="15.75" customHeight="1" x14ac:dyDescent="0.3">
      <c r="N802" s="11"/>
      <c r="O802" s="11"/>
      <c r="P802" s="11"/>
      <c r="Q802" s="11"/>
    </row>
    <row r="803" spans="14:17" ht="15.75" customHeight="1" x14ac:dyDescent="0.3">
      <c r="N803" s="11"/>
      <c r="O803" s="11"/>
      <c r="P803" s="11"/>
      <c r="Q803" s="11"/>
    </row>
    <row r="804" spans="14:17" ht="15.75" customHeight="1" x14ac:dyDescent="0.3">
      <c r="N804" s="11"/>
      <c r="O804" s="11"/>
      <c r="P804" s="11"/>
      <c r="Q804" s="11"/>
    </row>
    <row r="805" spans="14:17" ht="15.75" customHeight="1" x14ac:dyDescent="0.3">
      <c r="N805" s="11"/>
      <c r="O805" s="11"/>
      <c r="P805" s="11"/>
      <c r="Q805" s="11"/>
    </row>
    <row r="806" spans="14:17" ht="15.75" customHeight="1" x14ac:dyDescent="0.3">
      <c r="N806" s="11"/>
      <c r="O806" s="11"/>
      <c r="P806" s="11"/>
      <c r="Q806" s="11"/>
    </row>
    <row r="807" spans="14:17" ht="15.75" customHeight="1" x14ac:dyDescent="0.3">
      <c r="N807" s="11"/>
      <c r="O807" s="11"/>
      <c r="P807" s="11"/>
      <c r="Q807" s="11"/>
    </row>
    <row r="808" spans="14:17" ht="15.75" customHeight="1" x14ac:dyDescent="0.3">
      <c r="N808" s="11"/>
      <c r="O808" s="11"/>
      <c r="P808" s="11"/>
      <c r="Q808" s="11"/>
    </row>
    <row r="809" spans="14:17" ht="15.75" customHeight="1" x14ac:dyDescent="0.3">
      <c r="N809" s="11"/>
      <c r="O809" s="11"/>
      <c r="P809" s="11"/>
      <c r="Q809" s="11"/>
    </row>
    <row r="810" spans="14:17" ht="15.75" customHeight="1" x14ac:dyDescent="0.3">
      <c r="N810" s="11"/>
      <c r="O810" s="11"/>
      <c r="P810" s="11"/>
      <c r="Q810" s="11"/>
    </row>
    <row r="811" spans="14:17" ht="15.75" customHeight="1" x14ac:dyDescent="0.3">
      <c r="N811" s="11"/>
      <c r="O811" s="11"/>
      <c r="P811" s="11"/>
      <c r="Q811" s="11"/>
    </row>
    <row r="812" spans="14:17" ht="15.75" customHeight="1" x14ac:dyDescent="0.3">
      <c r="N812" s="11"/>
      <c r="O812" s="11"/>
      <c r="P812" s="11"/>
      <c r="Q812" s="11"/>
    </row>
    <row r="813" spans="14:17" ht="15.75" customHeight="1" x14ac:dyDescent="0.3">
      <c r="N813" s="11"/>
      <c r="O813" s="11"/>
      <c r="P813" s="11"/>
      <c r="Q813" s="11"/>
    </row>
    <row r="814" spans="14:17" ht="15.75" customHeight="1" x14ac:dyDescent="0.3">
      <c r="N814" s="11"/>
      <c r="O814" s="11"/>
      <c r="P814" s="11"/>
      <c r="Q814" s="11"/>
    </row>
    <row r="815" spans="14:17" ht="15.75" customHeight="1" x14ac:dyDescent="0.3">
      <c r="N815" s="11"/>
      <c r="O815" s="11"/>
      <c r="P815" s="11"/>
      <c r="Q815" s="11"/>
    </row>
    <row r="816" spans="14:17" ht="15.75" customHeight="1" x14ac:dyDescent="0.3">
      <c r="N816" s="11"/>
      <c r="O816" s="11"/>
      <c r="P816" s="11"/>
      <c r="Q816" s="11"/>
    </row>
    <row r="817" spans="14:17" ht="15.75" customHeight="1" x14ac:dyDescent="0.3">
      <c r="N817" s="11"/>
      <c r="O817" s="11"/>
      <c r="P817" s="11"/>
      <c r="Q817" s="11"/>
    </row>
    <row r="818" spans="14:17" ht="15.75" customHeight="1" x14ac:dyDescent="0.3">
      <c r="N818" s="11"/>
      <c r="O818" s="11"/>
      <c r="P818" s="11"/>
      <c r="Q818" s="11"/>
    </row>
    <row r="819" spans="14:17" ht="15.75" customHeight="1" x14ac:dyDescent="0.3">
      <c r="N819" s="11"/>
      <c r="O819" s="11"/>
      <c r="P819" s="11"/>
      <c r="Q819" s="11"/>
    </row>
    <row r="820" spans="14:17" ht="15.75" customHeight="1" x14ac:dyDescent="0.3">
      <c r="N820" s="11"/>
      <c r="O820" s="11"/>
      <c r="P820" s="11"/>
      <c r="Q820" s="11"/>
    </row>
    <row r="821" spans="14:17" ht="15.75" customHeight="1" x14ac:dyDescent="0.3">
      <c r="N821" s="11"/>
      <c r="O821" s="11"/>
      <c r="P821" s="11"/>
      <c r="Q821" s="11"/>
    </row>
    <row r="822" spans="14:17" ht="15.75" customHeight="1" x14ac:dyDescent="0.3">
      <c r="N822" s="11"/>
      <c r="O822" s="11"/>
      <c r="P822" s="11"/>
      <c r="Q822" s="11"/>
    </row>
    <row r="823" spans="14:17" ht="15.75" customHeight="1" x14ac:dyDescent="0.3">
      <c r="N823" s="11"/>
      <c r="O823" s="11"/>
      <c r="P823" s="11"/>
      <c r="Q823" s="11"/>
    </row>
    <row r="824" spans="14:17" ht="15.75" customHeight="1" x14ac:dyDescent="0.3">
      <c r="N824" s="11"/>
      <c r="O824" s="11"/>
      <c r="P824" s="11"/>
      <c r="Q824" s="11"/>
    </row>
    <row r="825" spans="14:17" ht="15.75" customHeight="1" x14ac:dyDescent="0.3">
      <c r="N825" s="11"/>
      <c r="O825" s="11"/>
      <c r="P825" s="11"/>
      <c r="Q825" s="11"/>
    </row>
    <row r="826" spans="14:17" ht="15.75" customHeight="1" x14ac:dyDescent="0.3">
      <c r="N826" s="11"/>
      <c r="O826" s="11"/>
      <c r="P826" s="11"/>
      <c r="Q826" s="11"/>
    </row>
    <row r="827" spans="14:17" ht="15.75" customHeight="1" x14ac:dyDescent="0.3">
      <c r="N827" s="11"/>
      <c r="O827" s="11"/>
      <c r="P827" s="11"/>
      <c r="Q827" s="11"/>
    </row>
    <row r="828" spans="14:17" ht="15.75" customHeight="1" x14ac:dyDescent="0.3">
      <c r="N828" s="11"/>
      <c r="O828" s="11"/>
      <c r="P828" s="11"/>
      <c r="Q828" s="11"/>
    </row>
    <row r="829" spans="14:17" ht="15.75" customHeight="1" x14ac:dyDescent="0.3">
      <c r="N829" s="11"/>
      <c r="O829" s="11"/>
      <c r="P829" s="11"/>
      <c r="Q829" s="11"/>
    </row>
    <row r="830" spans="14:17" ht="15.75" customHeight="1" x14ac:dyDescent="0.3">
      <c r="N830" s="11"/>
      <c r="O830" s="11"/>
      <c r="P830" s="11"/>
      <c r="Q830" s="11"/>
    </row>
    <row r="831" spans="14:17" ht="15.75" customHeight="1" x14ac:dyDescent="0.3">
      <c r="N831" s="11"/>
      <c r="O831" s="11"/>
      <c r="P831" s="11"/>
      <c r="Q831" s="11"/>
    </row>
    <row r="832" spans="14:17" ht="15.75" customHeight="1" x14ac:dyDescent="0.3">
      <c r="N832" s="11"/>
      <c r="O832" s="11"/>
      <c r="P832" s="11"/>
      <c r="Q832" s="11"/>
    </row>
    <row r="833" spans="14:17" ht="15.75" customHeight="1" x14ac:dyDescent="0.3">
      <c r="N833" s="11"/>
      <c r="O833" s="11"/>
      <c r="P833" s="11"/>
      <c r="Q833" s="11"/>
    </row>
    <row r="834" spans="14:17" ht="15.75" customHeight="1" x14ac:dyDescent="0.3">
      <c r="N834" s="11"/>
      <c r="O834" s="11"/>
      <c r="P834" s="11"/>
      <c r="Q834" s="11"/>
    </row>
    <row r="835" spans="14:17" ht="15.75" customHeight="1" x14ac:dyDescent="0.3">
      <c r="N835" s="11"/>
      <c r="O835" s="11"/>
      <c r="P835" s="11"/>
      <c r="Q835" s="11"/>
    </row>
    <row r="836" spans="14:17" ht="15.75" customHeight="1" x14ac:dyDescent="0.3">
      <c r="N836" s="11"/>
      <c r="O836" s="11"/>
      <c r="P836" s="11"/>
      <c r="Q836" s="11"/>
    </row>
    <row r="837" spans="14:17" ht="15.75" customHeight="1" x14ac:dyDescent="0.3">
      <c r="N837" s="11"/>
      <c r="O837" s="11"/>
      <c r="P837" s="11"/>
      <c r="Q837" s="11"/>
    </row>
    <row r="838" spans="14:17" ht="15.75" customHeight="1" x14ac:dyDescent="0.3">
      <c r="N838" s="11"/>
      <c r="O838" s="11"/>
      <c r="P838" s="11"/>
      <c r="Q838" s="11"/>
    </row>
    <row r="839" spans="14:17" ht="15.75" customHeight="1" x14ac:dyDescent="0.3">
      <c r="N839" s="11"/>
      <c r="O839" s="11"/>
      <c r="P839" s="11"/>
      <c r="Q839" s="11"/>
    </row>
    <row r="840" spans="14:17" ht="15.75" customHeight="1" x14ac:dyDescent="0.3">
      <c r="N840" s="11"/>
      <c r="O840" s="11"/>
      <c r="P840" s="11"/>
      <c r="Q840" s="11"/>
    </row>
    <row r="841" spans="14:17" ht="15.75" customHeight="1" x14ac:dyDescent="0.3">
      <c r="N841" s="11"/>
      <c r="O841" s="11"/>
      <c r="P841" s="11"/>
      <c r="Q841" s="11"/>
    </row>
    <row r="842" spans="14:17" ht="15.75" customHeight="1" x14ac:dyDescent="0.3">
      <c r="N842" s="11"/>
      <c r="O842" s="11"/>
      <c r="P842" s="11"/>
      <c r="Q842" s="11"/>
    </row>
    <row r="843" spans="14:17" ht="15.75" customHeight="1" x14ac:dyDescent="0.3">
      <c r="N843" s="11"/>
      <c r="O843" s="11"/>
      <c r="P843" s="11"/>
      <c r="Q843" s="11"/>
    </row>
    <row r="844" spans="14:17" ht="15.75" customHeight="1" x14ac:dyDescent="0.3">
      <c r="N844" s="11"/>
      <c r="O844" s="11"/>
      <c r="P844" s="11"/>
      <c r="Q844" s="11"/>
    </row>
    <row r="845" spans="14:17" ht="15.75" customHeight="1" x14ac:dyDescent="0.3">
      <c r="N845" s="11"/>
      <c r="O845" s="11"/>
      <c r="P845" s="11"/>
      <c r="Q845" s="11"/>
    </row>
    <row r="846" spans="14:17" ht="15.75" customHeight="1" x14ac:dyDescent="0.3">
      <c r="N846" s="11"/>
      <c r="O846" s="11"/>
      <c r="P846" s="11"/>
      <c r="Q846" s="11"/>
    </row>
    <row r="847" spans="14:17" ht="15.75" customHeight="1" x14ac:dyDescent="0.3">
      <c r="N847" s="11"/>
      <c r="O847" s="11"/>
      <c r="P847" s="11"/>
      <c r="Q847" s="11"/>
    </row>
    <row r="848" spans="14:17" ht="15.75" customHeight="1" x14ac:dyDescent="0.3">
      <c r="N848" s="11"/>
      <c r="O848" s="11"/>
      <c r="P848" s="11"/>
      <c r="Q848" s="11"/>
    </row>
    <row r="849" spans="14:17" ht="15.75" customHeight="1" x14ac:dyDescent="0.3">
      <c r="N849" s="11"/>
      <c r="O849" s="11"/>
      <c r="P849" s="11"/>
      <c r="Q849" s="11"/>
    </row>
    <row r="850" spans="14:17" ht="15.75" customHeight="1" x14ac:dyDescent="0.3">
      <c r="N850" s="11"/>
      <c r="O850" s="11"/>
      <c r="P850" s="11"/>
      <c r="Q850" s="11"/>
    </row>
    <row r="851" spans="14:17" ht="15.75" customHeight="1" x14ac:dyDescent="0.3">
      <c r="N851" s="11"/>
      <c r="O851" s="11"/>
      <c r="P851" s="11"/>
      <c r="Q851" s="11"/>
    </row>
    <row r="852" spans="14:17" ht="15.75" customHeight="1" x14ac:dyDescent="0.3">
      <c r="N852" s="11"/>
      <c r="O852" s="11"/>
      <c r="P852" s="11"/>
      <c r="Q852" s="11"/>
    </row>
    <row r="853" spans="14:17" ht="15.75" customHeight="1" x14ac:dyDescent="0.3">
      <c r="N853" s="11"/>
      <c r="O853" s="11"/>
      <c r="P853" s="11"/>
      <c r="Q853" s="11"/>
    </row>
    <row r="854" spans="14:17" ht="15.75" customHeight="1" x14ac:dyDescent="0.3">
      <c r="N854" s="11"/>
      <c r="O854" s="11"/>
      <c r="P854" s="11"/>
      <c r="Q854" s="11"/>
    </row>
    <row r="855" spans="14:17" ht="15.75" customHeight="1" x14ac:dyDescent="0.3">
      <c r="N855" s="11"/>
      <c r="O855" s="11"/>
      <c r="P855" s="11"/>
      <c r="Q855" s="11"/>
    </row>
    <row r="856" spans="14:17" ht="15.75" customHeight="1" x14ac:dyDescent="0.3">
      <c r="N856" s="11"/>
      <c r="O856" s="11"/>
      <c r="P856" s="11"/>
      <c r="Q856" s="11"/>
    </row>
    <row r="857" spans="14:17" ht="15.75" customHeight="1" x14ac:dyDescent="0.3">
      <c r="N857" s="11"/>
      <c r="O857" s="11"/>
      <c r="P857" s="11"/>
      <c r="Q857" s="11"/>
    </row>
    <row r="858" spans="14:17" ht="15.75" customHeight="1" x14ac:dyDescent="0.3">
      <c r="N858" s="11"/>
      <c r="O858" s="11"/>
      <c r="P858" s="11"/>
      <c r="Q858" s="11"/>
    </row>
    <row r="859" spans="14:17" ht="15.75" customHeight="1" x14ac:dyDescent="0.3">
      <c r="N859" s="11"/>
      <c r="O859" s="11"/>
      <c r="P859" s="11"/>
      <c r="Q859" s="11"/>
    </row>
    <row r="860" spans="14:17" ht="15.75" customHeight="1" x14ac:dyDescent="0.3">
      <c r="N860" s="11"/>
      <c r="O860" s="11"/>
      <c r="P860" s="11"/>
      <c r="Q860" s="11"/>
    </row>
    <row r="861" spans="14:17" ht="15.75" customHeight="1" x14ac:dyDescent="0.3">
      <c r="N861" s="11"/>
      <c r="O861" s="11"/>
      <c r="P861" s="11"/>
      <c r="Q861" s="11"/>
    </row>
    <row r="862" spans="14:17" ht="15.75" customHeight="1" x14ac:dyDescent="0.3">
      <c r="N862" s="11"/>
      <c r="O862" s="11"/>
      <c r="P862" s="11"/>
      <c r="Q862" s="11"/>
    </row>
    <row r="863" spans="14:17" ht="15.75" customHeight="1" x14ac:dyDescent="0.3">
      <c r="N863" s="11"/>
      <c r="O863" s="11"/>
      <c r="P863" s="11"/>
      <c r="Q863" s="11"/>
    </row>
    <row r="864" spans="14:17" ht="15.75" customHeight="1" x14ac:dyDescent="0.3">
      <c r="N864" s="11"/>
      <c r="O864" s="11"/>
      <c r="P864" s="11"/>
      <c r="Q864" s="11"/>
    </row>
    <row r="865" spans="14:17" ht="15.75" customHeight="1" x14ac:dyDescent="0.3">
      <c r="N865" s="11"/>
      <c r="O865" s="11"/>
      <c r="P865" s="11"/>
      <c r="Q865" s="11"/>
    </row>
    <row r="866" spans="14:17" ht="15.75" customHeight="1" x14ac:dyDescent="0.3">
      <c r="N866" s="11"/>
      <c r="O866" s="11"/>
      <c r="P866" s="11"/>
      <c r="Q866" s="11"/>
    </row>
    <row r="867" spans="14:17" ht="15.75" customHeight="1" x14ac:dyDescent="0.3">
      <c r="N867" s="11"/>
      <c r="O867" s="11"/>
      <c r="P867" s="11"/>
      <c r="Q867" s="11"/>
    </row>
    <row r="868" spans="14:17" ht="15.75" customHeight="1" x14ac:dyDescent="0.3">
      <c r="N868" s="11"/>
      <c r="O868" s="11"/>
      <c r="P868" s="11"/>
      <c r="Q868" s="11"/>
    </row>
    <row r="869" spans="14:17" ht="15.75" customHeight="1" x14ac:dyDescent="0.3">
      <c r="N869" s="11"/>
      <c r="O869" s="11"/>
      <c r="P869" s="11"/>
      <c r="Q869" s="11"/>
    </row>
    <row r="870" spans="14:17" ht="15.75" customHeight="1" x14ac:dyDescent="0.3">
      <c r="N870" s="11"/>
      <c r="O870" s="11"/>
      <c r="P870" s="11"/>
      <c r="Q870" s="11"/>
    </row>
    <row r="871" spans="14:17" ht="15.75" customHeight="1" x14ac:dyDescent="0.3">
      <c r="N871" s="11"/>
      <c r="O871" s="11"/>
      <c r="P871" s="11"/>
      <c r="Q871" s="11"/>
    </row>
    <row r="872" spans="14:17" ht="15.75" customHeight="1" x14ac:dyDescent="0.3">
      <c r="N872" s="11"/>
      <c r="O872" s="11"/>
      <c r="P872" s="11"/>
      <c r="Q872" s="11"/>
    </row>
    <row r="873" spans="14:17" ht="15.75" customHeight="1" x14ac:dyDescent="0.3">
      <c r="N873" s="11"/>
      <c r="O873" s="11"/>
      <c r="P873" s="11"/>
      <c r="Q873" s="11"/>
    </row>
    <row r="874" spans="14:17" ht="15.75" customHeight="1" x14ac:dyDescent="0.3">
      <c r="N874" s="11"/>
      <c r="O874" s="11"/>
      <c r="P874" s="11"/>
      <c r="Q874" s="11"/>
    </row>
    <row r="875" spans="14:17" ht="15.75" customHeight="1" x14ac:dyDescent="0.3">
      <c r="N875" s="11"/>
      <c r="O875" s="11"/>
      <c r="P875" s="11"/>
      <c r="Q875" s="11"/>
    </row>
    <row r="876" spans="14:17" ht="15.75" customHeight="1" x14ac:dyDescent="0.3">
      <c r="N876" s="11"/>
      <c r="O876" s="11"/>
      <c r="P876" s="11"/>
      <c r="Q876" s="11"/>
    </row>
    <row r="877" spans="14:17" ht="15.75" customHeight="1" x14ac:dyDescent="0.3">
      <c r="N877" s="11"/>
      <c r="O877" s="11"/>
      <c r="P877" s="11"/>
      <c r="Q877" s="11"/>
    </row>
    <row r="878" spans="14:17" ht="15.75" customHeight="1" x14ac:dyDescent="0.3">
      <c r="N878" s="11"/>
      <c r="O878" s="11"/>
      <c r="P878" s="11"/>
      <c r="Q878" s="11"/>
    </row>
    <row r="879" spans="14:17" ht="15.75" customHeight="1" x14ac:dyDescent="0.3">
      <c r="N879" s="11"/>
      <c r="O879" s="11"/>
      <c r="P879" s="11"/>
      <c r="Q879" s="11"/>
    </row>
    <row r="880" spans="14:17" ht="15.75" customHeight="1" x14ac:dyDescent="0.3">
      <c r="N880" s="11"/>
      <c r="O880" s="11"/>
      <c r="P880" s="11"/>
      <c r="Q880" s="11"/>
    </row>
    <row r="881" spans="14:17" ht="15.75" customHeight="1" x14ac:dyDescent="0.3">
      <c r="N881" s="11"/>
      <c r="O881" s="11"/>
      <c r="P881" s="11"/>
      <c r="Q881" s="11"/>
    </row>
    <row r="882" spans="14:17" ht="15.75" customHeight="1" x14ac:dyDescent="0.3">
      <c r="N882" s="11"/>
      <c r="O882" s="11"/>
      <c r="P882" s="11"/>
      <c r="Q882" s="11"/>
    </row>
    <row r="883" spans="14:17" ht="15.75" customHeight="1" x14ac:dyDescent="0.3">
      <c r="N883" s="11"/>
      <c r="O883" s="11"/>
      <c r="P883" s="11"/>
      <c r="Q883" s="11"/>
    </row>
    <row r="884" spans="14:17" ht="15.75" customHeight="1" x14ac:dyDescent="0.3">
      <c r="N884" s="11"/>
      <c r="O884" s="11"/>
      <c r="P884" s="11"/>
      <c r="Q884" s="11"/>
    </row>
    <row r="885" spans="14:17" ht="15.75" customHeight="1" x14ac:dyDescent="0.3">
      <c r="N885" s="11"/>
      <c r="O885" s="11"/>
      <c r="P885" s="11"/>
      <c r="Q885" s="11"/>
    </row>
    <row r="886" spans="14:17" ht="15.75" customHeight="1" x14ac:dyDescent="0.3">
      <c r="N886" s="11"/>
      <c r="O886" s="11"/>
      <c r="P886" s="11"/>
      <c r="Q886" s="11"/>
    </row>
    <row r="887" spans="14:17" ht="15.75" customHeight="1" x14ac:dyDescent="0.3">
      <c r="N887" s="11"/>
      <c r="O887" s="11"/>
      <c r="P887" s="11"/>
      <c r="Q887" s="11"/>
    </row>
    <row r="888" spans="14:17" ht="15.75" customHeight="1" x14ac:dyDescent="0.3">
      <c r="N888" s="11"/>
      <c r="O888" s="11"/>
      <c r="P888" s="11"/>
      <c r="Q888" s="11"/>
    </row>
    <row r="889" spans="14:17" ht="15.75" customHeight="1" x14ac:dyDescent="0.3">
      <c r="N889" s="11"/>
      <c r="O889" s="11"/>
      <c r="P889" s="11"/>
      <c r="Q889" s="11"/>
    </row>
    <row r="890" spans="14:17" ht="15.75" customHeight="1" x14ac:dyDescent="0.3">
      <c r="N890" s="11"/>
      <c r="O890" s="11"/>
      <c r="P890" s="11"/>
      <c r="Q890" s="11"/>
    </row>
    <row r="891" spans="14:17" ht="15.75" customHeight="1" x14ac:dyDescent="0.3">
      <c r="N891" s="11"/>
      <c r="O891" s="11"/>
      <c r="P891" s="11"/>
      <c r="Q891" s="11"/>
    </row>
    <row r="892" spans="14:17" ht="15.75" customHeight="1" x14ac:dyDescent="0.3">
      <c r="N892" s="11"/>
      <c r="O892" s="11"/>
      <c r="P892" s="11"/>
      <c r="Q892" s="11"/>
    </row>
    <row r="893" spans="14:17" ht="15.75" customHeight="1" x14ac:dyDescent="0.3">
      <c r="N893" s="11"/>
      <c r="O893" s="11"/>
      <c r="P893" s="11"/>
      <c r="Q893" s="11"/>
    </row>
    <row r="894" spans="14:17" ht="15.75" customHeight="1" x14ac:dyDescent="0.3">
      <c r="N894" s="11"/>
      <c r="O894" s="11"/>
      <c r="P894" s="11"/>
      <c r="Q894" s="11"/>
    </row>
    <row r="895" spans="14:17" ht="15.75" customHeight="1" x14ac:dyDescent="0.3">
      <c r="N895" s="11"/>
      <c r="O895" s="11"/>
      <c r="P895" s="11"/>
      <c r="Q895" s="11"/>
    </row>
    <row r="896" spans="14:17" ht="15.75" customHeight="1" x14ac:dyDescent="0.3">
      <c r="N896" s="11"/>
      <c r="O896" s="11"/>
      <c r="P896" s="11"/>
      <c r="Q896" s="11"/>
    </row>
    <row r="897" spans="14:17" ht="15.75" customHeight="1" x14ac:dyDescent="0.3">
      <c r="N897" s="11"/>
      <c r="O897" s="11"/>
      <c r="P897" s="11"/>
      <c r="Q897" s="11"/>
    </row>
    <row r="898" spans="14:17" ht="15.75" customHeight="1" x14ac:dyDescent="0.3">
      <c r="N898" s="11"/>
      <c r="O898" s="11"/>
      <c r="P898" s="11"/>
      <c r="Q898" s="11"/>
    </row>
    <row r="899" spans="14:17" ht="15.75" customHeight="1" x14ac:dyDescent="0.3">
      <c r="N899" s="11"/>
      <c r="O899" s="11"/>
      <c r="P899" s="11"/>
      <c r="Q899" s="11"/>
    </row>
    <row r="900" spans="14:17" ht="15.75" customHeight="1" x14ac:dyDescent="0.3">
      <c r="N900" s="11"/>
      <c r="O900" s="11"/>
      <c r="P900" s="11"/>
      <c r="Q900" s="11"/>
    </row>
    <row r="901" spans="14:17" ht="15.75" customHeight="1" x14ac:dyDescent="0.3">
      <c r="N901" s="11"/>
      <c r="O901" s="11"/>
      <c r="P901" s="11"/>
      <c r="Q901" s="11"/>
    </row>
    <row r="902" spans="14:17" ht="15.75" customHeight="1" x14ac:dyDescent="0.3">
      <c r="N902" s="11"/>
      <c r="O902" s="11"/>
      <c r="P902" s="11"/>
      <c r="Q902" s="11"/>
    </row>
    <row r="903" spans="14:17" ht="15.75" customHeight="1" x14ac:dyDescent="0.3">
      <c r="N903" s="11"/>
      <c r="O903" s="11"/>
      <c r="P903" s="11"/>
      <c r="Q903" s="11"/>
    </row>
    <row r="904" spans="14:17" ht="15.75" customHeight="1" x14ac:dyDescent="0.3">
      <c r="N904" s="11"/>
      <c r="O904" s="11"/>
      <c r="P904" s="11"/>
      <c r="Q904" s="11"/>
    </row>
    <row r="905" spans="14:17" ht="15.75" customHeight="1" x14ac:dyDescent="0.3">
      <c r="N905" s="11"/>
      <c r="O905" s="11"/>
      <c r="P905" s="11"/>
      <c r="Q905" s="11"/>
    </row>
    <row r="906" spans="14:17" ht="15.75" customHeight="1" x14ac:dyDescent="0.3">
      <c r="N906" s="11"/>
      <c r="O906" s="11"/>
      <c r="P906" s="11"/>
      <c r="Q906" s="11"/>
    </row>
    <row r="907" spans="14:17" ht="15.75" customHeight="1" x14ac:dyDescent="0.3">
      <c r="N907" s="11"/>
      <c r="O907" s="11"/>
      <c r="P907" s="11"/>
      <c r="Q907" s="11"/>
    </row>
    <row r="908" spans="14:17" ht="15.75" customHeight="1" x14ac:dyDescent="0.3">
      <c r="N908" s="11"/>
      <c r="O908" s="11"/>
      <c r="P908" s="11"/>
      <c r="Q908" s="11"/>
    </row>
    <row r="909" spans="14:17" ht="15.75" customHeight="1" x14ac:dyDescent="0.3">
      <c r="N909" s="11"/>
      <c r="O909" s="11"/>
      <c r="P909" s="11"/>
      <c r="Q909" s="11"/>
    </row>
    <row r="910" spans="14:17" ht="15.75" customHeight="1" x14ac:dyDescent="0.3">
      <c r="N910" s="11"/>
      <c r="O910" s="11"/>
      <c r="P910" s="11"/>
      <c r="Q910" s="11"/>
    </row>
    <row r="911" spans="14:17" ht="15.75" customHeight="1" x14ac:dyDescent="0.3">
      <c r="N911" s="11"/>
      <c r="O911" s="11"/>
      <c r="P911" s="11"/>
      <c r="Q911" s="11"/>
    </row>
    <row r="912" spans="14:17" ht="15.75" customHeight="1" x14ac:dyDescent="0.3">
      <c r="N912" s="11"/>
      <c r="O912" s="11"/>
      <c r="P912" s="11"/>
      <c r="Q912" s="11"/>
    </row>
    <row r="913" spans="14:17" ht="15.75" customHeight="1" x14ac:dyDescent="0.3">
      <c r="N913" s="11"/>
      <c r="O913" s="11"/>
      <c r="P913" s="11"/>
      <c r="Q913" s="11"/>
    </row>
    <row r="914" spans="14:17" ht="15.75" customHeight="1" x14ac:dyDescent="0.3">
      <c r="N914" s="11"/>
      <c r="O914" s="11"/>
      <c r="P914" s="11"/>
      <c r="Q914" s="11"/>
    </row>
    <row r="915" spans="14:17" ht="15.75" customHeight="1" x14ac:dyDescent="0.3">
      <c r="N915" s="11"/>
      <c r="O915" s="11"/>
      <c r="P915" s="11"/>
      <c r="Q915" s="11"/>
    </row>
    <row r="916" spans="14:17" ht="15.75" customHeight="1" x14ac:dyDescent="0.3">
      <c r="N916" s="11"/>
      <c r="O916" s="11"/>
      <c r="P916" s="11"/>
      <c r="Q916" s="11"/>
    </row>
    <row r="917" spans="14:17" ht="15.75" customHeight="1" x14ac:dyDescent="0.3">
      <c r="N917" s="11"/>
      <c r="O917" s="11"/>
      <c r="P917" s="11"/>
      <c r="Q917" s="11"/>
    </row>
    <row r="918" spans="14:17" ht="15.75" customHeight="1" x14ac:dyDescent="0.3">
      <c r="N918" s="11"/>
      <c r="O918" s="11"/>
      <c r="P918" s="11"/>
      <c r="Q918" s="11"/>
    </row>
    <row r="919" spans="14:17" ht="15.75" customHeight="1" x14ac:dyDescent="0.3">
      <c r="N919" s="11"/>
      <c r="O919" s="11"/>
      <c r="P919" s="11"/>
      <c r="Q919" s="11"/>
    </row>
    <row r="920" spans="14:17" ht="15.75" customHeight="1" x14ac:dyDescent="0.3">
      <c r="N920" s="11"/>
      <c r="O920" s="11"/>
      <c r="P920" s="11"/>
      <c r="Q920" s="11"/>
    </row>
    <row r="921" spans="14:17" ht="15.75" customHeight="1" x14ac:dyDescent="0.3">
      <c r="N921" s="11"/>
      <c r="O921" s="11"/>
      <c r="P921" s="11"/>
      <c r="Q921" s="11"/>
    </row>
    <row r="922" spans="14:17" ht="15.75" customHeight="1" x14ac:dyDescent="0.3">
      <c r="N922" s="11"/>
      <c r="O922" s="11"/>
      <c r="P922" s="11"/>
      <c r="Q922" s="11"/>
    </row>
    <row r="923" spans="14:17" ht="15.75" customHeight="1" x14ac:dyDescent="0.3">
      <c r="N923" s="11"/>
      <c r="O923" s="11"/>
      <c r="P923" s="11"/>
      <c r="Q923" s="11"/>
    </row>
    <row r="924" spans="14:17" ht="15.75" customHeight="1" x14ac:dyDescent="0.3">
      <c r="N924" s="11"/>
      <c r="O924" s="11"/>
      <c r="P924" s="11"/>
      <c r="Q924" s="11"/>
    </row>
    <row r="925" spans="14:17" ht="15.75" customHeight="1" x14ac:dyDescent="0.3">
      <c r="N925" s="11"/>
      <c r="O925" s="11"/>
      <c r="P925" s="11"/>
      <c r="Q925" s="11"/>
    </row>
    <row r="926" spans="14:17" ht="15.75" customHeight="1" x14ac:dyDescent="0.3">
      <c r="N926" s="11"/>
      <c r="O926" s="11"/>
      <c r="P926" s="11"/>
      <c r="Q926" s="11"/>
    </row>
    <row r="927" spans="14:17" ht="15.75" customHeight="1" x14ac:dyDescent="0.3">
      <c r="N927" s="11"/>
      <c r="O927" s="11"/>
      <c r="P927" s="11"/>
      <c r="Q927" s="11"/>
    </row>
    <row r="928" spans="14:17" ht="15.75" customHeight="1" x14ac:dyDescent="0.3">
      <c r="N928" s="11"/>
      <c r="O928" s="11"/>
      <c r="P928" s="11"/>
      <c r="Q928" s="11"/>
    </row>
    <row r="929" spans="14:17" ht="15.75" customHeight="1" x14ac:dyDescent="0.3">
      <c r="N929" s="11"/>
      <c r="O929" s="11"/>
      <c r="P929" s="11"/>
      <c r="Q929" s="11"/>
    </row>
    <row r="930" spans="14:17" ht="15.75" customHeight="1" x14ac:dyDescent="0.3">
      <c r="N930" s="11"/>
      <c r="O930" s="11"/>
      <c r="P930" s="11"/>
      <c r="Q930" s="11"/>
    </row>
    <row r="931" spans="14:17" ht="15.75" customHeight="1" x14ac:dyDescent="0.3">
      <c r="N931" s="11"/>
      <c r="O931" s="11"/>
      <c r="P931" s="11"/>
      <c r="Q931" s="11"/>
    </row>
    <row r="932" spans="14:17" ht="15.75" customHeight="1" x14ac:dyDescent="0.3">
      <c r="N932" s="11"/>
      <c r="O932" s="11"/>
      <c r="P932" s="11"/>
      <c r="Q932" s="11"/>
    </row>
    <row r="933" spans="14:17" ht="15.75" customHeight="1" x14ac:dyDescent="0.3">
      <c r="N933" s="11"/>
      <c r="O933" s="11"/>
      <c r="P933" s="11"/>
      <c r="Q933" s="11"/>
    </row>
    <row r="934" spans="14:17" ht="15.75" customHeight="1" x14ac:dyDescent="0.3">
      <c r="N934" s="11"/>
      <c r="O934" s="11"/>
      <c r="P934" s="11"/>
      <c r="Q934" s="11"/>
    </row>
    <row r="935" spans="14:17" ht="15.75" customHeight="1" x14ac:dyDescent="0.3">
      <c r="N935" s="11"/>
      <c r="O935" s="11"/>
      <c r="P935" s="11"/>
      <c r="Q935" s="11"/>
    </row>
    <row r="936" spans="14:17" ht="15.75" customHeight="1" x14ac:dyDescent="0.3">
      <c r="N936" s="11"/>
      <c r="O936" s="11"/>
      <c r="P936" s="11"/>
      <c r="Q936" s="11"/>
    </row>
    <row r="937" spans="14:17" ht="15.75" customHeight="1" x14ac:dyDescent="0.3">
      <c r="N937" s="11"/>
      <c r="O937" s="11"/>
      <c r="P937" s="11"/>
      <c r="Q937" s="11"/>
    </row>
    <row r="938" spans="14:17" ht="15.75" customHeight="1" x14ac:dyDescent="0.3">
      <c r="N938" s="11"/>
      <c r="O938" s="11"/>
      <c r="P938" s="11"/>
      <c r="Q938" s="11"/>
    </row>
    <row r="939" spans="14:17" ht="15.75" customHeight="1" x14ac:dyDescent="0.3">
      <c r="N939" s="11"/>
      <c r="O939" s="11"/>
      <c r="P939" s="11"/>
      <c r="Q939" s="11"/>
    </row>
    <row r="940" spans="14:17" ht="15.75" customHeight="1" x14ac:dyDescent="0.3">
      <c r="N940" s="11"/>
      <c r="O940" s="11"/>
      <c r="P940" s="11"/>
      <c r="Q940" s="11"/>
    </row>
    <row r="941" spans="14:17" ht="15.75" customHeight="1" x14ac:dyDescent="0.3">
      <c r="N941" s="11"/>
      <c r="O941" s="11"/>
      <c r="P941" s="11"/>
      <c r="Q941" s="11"/>
    </row>
    <row r="942" spans="14:17" ht="15.75" customHeight="1" x14ac:dyDescent="0.3">
      <c r="N942" s="11"/>
      <c r="O942" s="11"/>
      <c r="P942" s="11"/>
      <c r="Q942" s="11"/>
    </row>
    <row r="943" spans="14:17" ht="15.75" customHeight="1" x14ac:dyDescent="0.3">
      <c r="N943" s="11"/>
      <c r="O943" s="11"/>
      <c r="P943" s="11"/>
      <c r="Q943" s="11"/>
    </row>
    <row r="944" spans="14:17" ht="15.75" customHeight="1" x14ac:dyDescent="0.3">
      <c r="N944" s="11"/>
      <c r="O944" s="11"/>
      <c r="P944" s="11"/>
      <c r="Q944" s="11"/>
    </row>
    <row r="945" spans="14:17" ht="15.75" customHeight="1" x14ac:dyDescent="0.3">
      <c r="N945" s="11"/>
      <c r="O945" s="11"/>
      <c r="P945" s="11"/>
      <c r="Q945" s="11"/>
    </row>
    <row r="946" spans="14:17" ht="15.75" customHeight="1" x14ac:dyDescent="0.3">
      <c r="N946" s="11"/>
      <c r="O946" s="11"/>
      <c r="P946" s="11"/>
      <c r="Q946" s="11"/>
    </row>
    <row r="947" spans="14:17" ht="15.75" customHeight="1" x14ac:dyDescent="0.3">
      <c r="N947" s="11"/>
      <c r="O947" s="11"/>
      <c r="P947" s="11"/>
      <c r="Q947" s="11"/>
    </row>
    <row r="948" spans="14:17" ht="15.75" customHeight="1" x14ac:dyDescent="0.3">
      <c r="N948" s="11"/>
      <c r="O948" s="11"/>
      <c r="P948" s="11"/>
      <c r="Q948" s="11"/>
    </row>
    <row r="949" spans="14:17" ht="15.75" customHeight="1" x14ac:dyDescent="0.3">
      <c r="N949" s="11"/>
      <c r="O949" s="11"/>
      <c r="P949" s="11"/>
      <c r="Q949" s="11"/>
    </row>
    <row r="950" spans="14:17" ht="15.75" customHeight="1" x14ac:dyDescent="0.3">
      <c r="N950" s="11"/>
      <c r="O950" s="11"/>
      <c r="P950" s="11"/>
      <c r="Q950" s="11"/>
    </row>
    <row r="951" spans="14:17" ht="15.75" customHeight="1" x14ac:dyDescent="0.3">
      <c r="N951" s="11"/>
      <c r="O951" s="11"/>
      <c r="P951" s="11"/>
      <c r="Q951" s="11"/>
    </row>
    <row r="952" spans="14:17" ht="15.75" customHeight="1" x14ac:dyDescent="0.3">
      <c r="N952" s="11"/>
      <c r="O952" s="11"/>
      <c r="P952" s="11"/>
      <c r="Q952" s="11"/>
    </row>
    <row r="953" spans="14:17" ht="15.75" customHeight="1" x14ac:dyDescent="0.3">
      <c r="N953" s="11"/>
      <c r="O953" s="11"/>
      <c r="P953" s="11"/>
      <c r="Q953" s="11"/>
    </row>
    <row r="954" spans="14:17" ht="15.75" customHeight="1" x14ac:dyDescent="0.3">
      <c r="N954" s="11"/>
      <c r="O954" s="11"/>
      <c r="P954" s="11"/>
      <c r="Q954" s="11"/>
    </row>
    <row r="955" spans="14:17" ht="15.75" customHeight="1" x14ac:dyDescent="0.3">
      <c r="N955" s="11"/>
      <c r="O955" s="11"/>
      <c r="P955" s="11"/>
      <c r="Q955" s="11"/>
    </row>
    <row r="956" spans="14:17" ht="15.75" customHeight="1" x14ac:dyDescent="0.3">
      <c r="N956" s="11"/>
      <c r="O956" s="11"/>
      <c r="P956" s="11"/>
      <c r="Q956" s="11"/>
    </row>
    <row r="957" spans="14:17" ht="15.75" customHeight="1" x14ac:dyDescent="0.3">
      <c r="N957" s="11"/>
      <c r="O957" s="11"/>
      <c r="P957" s="11"/>
      <c r="Q957" s="11"/>
    </row>
    <row r="958" spans="14:17" ht="15.75" customHeight="1" x14ac:dyDescent="0.3">
      <c r="N958" s="11"/>
      <c r="O958" s="11"/>
      <c r="P958" s="11"/>
      <c r="Q958" s="11"/>
    </row>
    <row r="959" spans="14:17" ht="15.75" customHeight="1" x14ac:dyDescent="0.3">
      <c r="N959" s="11"/>
      <c r="O959" s="11"/>
      <c r="P959" s="11"/>
      <c r="Q959" s="11"/>
    </row>
    <row r="960" spans="14:17" ht="15.75" customHeight="1" x14ac:dyDescent="0.3">
      <c r="N960" s="11"/>
      <c r="O960" s="11"/>
      <c r="P960" s="11"/>
      <c r="Q960" s="11"/>
    </row>
    <row r="961" spans="14:17" ht="15.75" customHeight="1" x14ac:dyDescent="0.3">
      <c r="N961" s="11"/>
      <c r="O961" s="11"/>
      <c r="P961" s="11"/>
      <c r="Q961" s="11"/>
    </row>
    <row r="962" spans="14:17" ht="15.75" customHeight="1" x14ac:dyDescent="0.3">
      <c r="N962" s="11"/>
      <c r="O962" s="11"/>
      <c r="P962" s="11"/>
      <c r="Q962" s="11"/>
    </row>
    <row r="963" spans="14:17" ht="15.75" customHeight="1" x14ac:dyDescent="0.3">
      <c r="N963" s="11"/>
      <c r="O963" s="11"/>
      <c r="P963" s="11"/>
      <c r="Q963" s="11"/>
    </row>
    <row r="964" spans="14:17" ht="15.75" customHeight="1" x14ac:dyDescent="0.3">
      <c r="N964" s="11"/>
      <c r="O964" s="11"/>
      <c r="P964" s="11"/>
      <c r="Q964" s="11"/>
    </row>
    <row r="965" spans="14:17" ht="15.75" customHeight="1" x14ac:dyDescent="0.3">
      <c r="N965" s="11"/>
      <c r="O965" s="11"/>
      <c r="P965" s="11"/>
      <c r="Q965" s="11"/>
    </row>
    <row r="966" spans="14:17" ht="15.75" customHeight="1" x14ac:dyDescent="0.3">
      <c r="N966" s="11"/>
      <c r="O966" s="11"/>
      <c r="P966" s="11"/>
      <c r="Q966" s="11"/>
    </row>
    <row r="967" spans="14:17" ht="15.75" customHeight="1" x14ac:dyDescent="0.3">
      <c r="N967" s="11"/>
      <c r="O967" s="11"/>
      <c r="P967" s="11"/>
      <c r="Q967" s="11"/>
    </row>
    <row r="968" spans="14:17" ht="15.75" customHeight="1" x14ac:dyDescent="0.3">
      <c r="N968" s="11"/>
      <c r="O968" s="11"/>
      <c r="P968" s="11"/>
      <c r="Q968" s="11"/>
    </row>
    <row r="969" spans="14:17" ht="15.75" customHeight="1" x14ac:dyDescent="0.3">
      <c r="N969" s="11"/>
      <c r="O969" s="11"/>
      <c r="P969" s="11"/>
      <c r="Q969" s="11"/>
    </row>
    <row r="970" spans="14:17" ht="15.75" customHeight="1" x14ac:dyDescent="0.3">
      <c r="N970" s="11"/>
      <c r="O970" s="11"/>
      <c r="P970" s="11"/>
      <c r="Q970" s="11"/>
    </row>
    <row r="971" spans="14:17" ht="15.75" customHeight="1" x14ac:dyDescent="0.3">
      <c r="N971" s="11"/>
      <c r="O971" s="11"/>
      <c r="P971" s="11"/>
      <c r="Q971" s="11"/>
    </row>
    <row r="972" spans="14:17" ht="15.75" customHeight="1" x14ac:dyDescent="0.3">
      <c r="N972" s="11"/>
      <c r="O972" s="11"/>
      <c r="P972" s="11"/>
      <c r="Q972" s="11"/>
    </row>
    <row r="973" spans="14:17" ht="15.75" customHeight="1" x14ac:dyDescent="0.3">
      <c r="N973" s="11"/>
      <c r="O973" s="11"/>
      <c r="P973" s="11"/>
      <c r="Q973" s="11"/>
    </row>
    <row r="974" spans="14:17" ht="15.75" customHeight="1" x14ac:dyDescent="0.3">
      <c r="N974" s="11"/>
      <c r="O974" s="11"/>
      <c r="P974" s="11"/>
      <c r="Q974" s="11"/>
    </row>
    <row r="975" spans="14:17" ht="15.75" customHeight="1" x14ac:dyDescent="0.3">
      <c r="N975" s="11"/>
      <c r="O975" s="11"/>
      <c r="P975" s="11"/>
      <c r="Q975" s="11"/>
    </row>
    <row r="976" spans="14:17" ht="15.75" customHeight="1" x14ac:dyDescent="0.3">
      <c r="N976" s="11"/>
      <c r="O976" s="11"/>
      <c r="P976" s="11"/>
      <c r="Q976" s="11"/>
    </row>
    <row r="977" spans="14:17" ht="15.75" customHeight="1" x14ac:dyDescent="0.3">
      <c r="N977" s="11"/>
      <c r="O977" s="11"/>
      <c r="P977" s="11"/>
      <c r="Q977" s="11"/>
    </row>
    <row r="978" spans="14:17" ht="15.75" customHeight="1" x14ac:dyDescent="0.3">
      <c r="N978" s="11"/>
      <c r="O978" s="11"/>
      <c r="P978" s="11"/>
      <c r="Q978" s="11"/>
    </row>
    <row r="979" spans="14:17" ht="15.75" customHeight="1" x14ac:dyDescent="0.3">
      <c r="N979" s="11"/>
      <c r="O979" s="11"/>
      <c r="P979" s="11"/>
      <c r="Q979" s="11"/>
    </row>
    <row r="980" spans="14:17" ht="15.75" customHeight="1" x14ac:dyDescent="0.3">
      <c r="N980" s="11"/>
      <c r="O980" s="11"/>
      <c r="P980" s="11"/>
      <c r="Q980" s="11"/>
    </row>
    <row r="981" spans="14:17" ht="15.75" customHeight="1" x14ac:dyDescent="0.3">
      <c r="N981" s="11"/>
      <c r="O981" s="11"/>
      <c r="P981" s="11"/>
      <c r="Q981" s="11"/>
    </row>
    <row r="982" spans="14:17" ht="15.75" customHeight="1" x14ac:dyDescent="0.3">
      <c r="N982" s="11"/>
      <c r="O982" s="11"/>
      <c r="P982" s="11"/>
      <c r="Q982" s="11"/>
    </row>
    <row r="983" spans="14:17" ht="15.75" customHeight="1" x14ac:dyDescent="0.3">
      <c r="N983" s="11"/>
      <c r="O983" s="11"/>
      <c r="P983" s="11"/>
      <c r="Q983" s="11"/>
    </row>
    <row r="984" spans="14:17" ht="15.75" customHeight="1" x14ac:dyDescent="0.3">
      <c r="N984" s="11"/>
      <c r="O984" s="11"/>
      <c r="P984" s="11"/>
      <c r="Q984" s="11"/>
    </row>
    <row r="985" spans="14:17" ht="15.75" customHeight="1" x14ac:dyDescent="0.3">
      <c r="N985" s="11"/>
      <c r="O985" s="11"/>
      <c r="P985" s="11"/>
      <c r="Q985" s="11"/>
    </row>
    <row r="986" spans="14:17" ht="15.75" customHeight="1" x14ac:dyDescent="0.3">
      <c r="N986" s="11"/>
      <c r="O986" s="11"/>
      <c r="P986" s="11"/>
      <c r="Q986" s="11"/>
    </row>
    <row r="987" spans="14:17" ht="15.75" customHeight="1" x14ac:dyDescent="0.3">
      <c r="N987" s="11"/>
      <c r="O987" s="11"/>
      <c r="P987" s="11"/>
      <c r="Q987" s="11"/>
    </row>
    <row r="988" spans="14:17" ht="15.75" customHeight="1" x14ac:dyDescent="0.3">
      <c r="N988" s="11"/>
      <c r="O988" s="11"/>
      <c r="P988" s="11"/>
      <c r="Q988" s="11"/>
    </row>
    <row r="989" spans="14:17" ht="15.75" customHeight="1" x14ac:dyDescent="0.3">
      <c r="N989" s="11"/>
      <c r="O989" s="11"/>
      <c r="P989" s="11"/>
      <c r="Q989" s="11"/>
    </row>
    <row r="990" spans="14:17" ht="15.75" customHeight="1" x14ac:dyDescent="0.3">
      <c r="N990" s="11"/>
      <c r="O990" s="11"/>
      <c r="P990" s="11"/>
      <c r="Q990" s="11"/>
    </row>
    <row r="991" spans="14:17" ht="15.75" customHeight="1" x14ac:dyDescent="0.3">
      <c r="N991" s="11"/>
      <c r="O991" s="11"/>
      <c r="P991" s="11"/>
      <c r="Q991" s="11"/>
    </row>
    <row r="992" spans="14:17" ht="15.75" customHeight="1" x14ac:dyDescent="0.3">
      <c r="N992" s="11"/>
      <c r="O992" s="11"/>
      <c r="P992" s="11"/>
      <c r="Q992" s="11"/>
    </row>
    <row r="993" spans="14:17" ht="15.75" customHeight="1" x14ac:dyDescent="0.3">
      <c r="N993" s="11"/>
      <c r="O993" s="11"/>
      <c r="P993" s="11"/>
      <c r="Q993" s="11"/>
    </row>
    <row r="994" spans="14:17" ht="15.75" customHeight="1" x14ac:dyDescent="0.3">
      <c r="N994" s="11"/>
      <c r="O994" s="11"/>
      <c r="P994" s="11"/>
      <c r="Q994" s="11"/>
    </row>
    <row r="995" spans="14:17" ht="15.75" customHeight="1" x14ac:dyDescent="0.3">
      <c r="N995" s="11"/>
      <c r="O995" s="11"/>
      <c r="P995" s="11"/>
      <c r="Q995" s="11"/>
    </row>
    <row r="996" spans="14:17" ht="15.75" customHeight="1" x14ac:dyDescent="0.3">
      <c r="N996" s="11"/>
      <c r="O996" s="11"/>
      <c r="P996" s="11"/>
      <c r="Q996" s="11"/>
    </row>
    <row r="997" spans="14:17" ht="15.75" customHeight="1" x14ac:dyDescent="0.3">
      <c r="N997" s="11"/>
      <c r="O997" s="11"/>
      <c r="P997" s="11"/>
      <c r="Q997" s="11"/>
    </row>
    <row r="998" spans="14:17" ht="15.75" customHeight="1" x14ac:dyDescent="0.3">
      <c r="N998" s="11"/>
      <c r="O998" s="11"/>
      <c r="P998" s="11"/>
      <c r="Q998" s="11"/>
    </row>
    <row r="999" spans="14:17" ht="15.75" customHeight="1" x14ac:dyDescent="0.3">
      <c r="N999" s="11"/>
      <c r="O999" s="11"/>
      <c r="P999" s="11"/>
      <c r="Q999" s="11"/>
    </row>
    <row r="1000" spans="14:17" ht="15.75" customHeight="1" x14ac:dyDescent="0.3"/>
  </sheetData>
  <mergeCells count="8">
    <mergeCell ref="P1:Q1"/>
    <mergeCell ref="T1:U1"/>
    <mergeCell ref="V1:W1"/>
    <mergeCell ref="B1:C1"/>
    <mergeCell ref="D1:E1"/>
    <mergeCell ref="H1:I1"/>
    <mergeCell ref="J1:K1"/>
    <mergeCell ref="N1:O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workbookViewId="0">
      <selection activeCell="D16" sqref="D16"/>
    </sheetView>
  </sheetViews>
  <sheetFormatPr defaultColWidth="14.44140625" defaultRowHeight="15" customHeight="1" x14ac:dyDescent="0.3"/>
  <cols>
    <col min="1" max="1" width="2" customWidth="1"/>
    <col min="2" max="2" width="3" customWidth="1"/>
    <col min="3" max="3" width="26.5546875" customWidth="1"/>
    <col min="4" max="4" width="13.109375" customWidth="1"/>
    <col min="5" max="5" width="8" customWidth="1"/>
    <col min="6" max="6" width="14.109375" customWidth="1"/>
    <col min="7" max="7" width="12" customWidth="1"/>
    <col min="8" max="8" width="1.6640625" customWidth="1"/>
    <col min="9" max="9" width="22.44140625" customWidth="1"/>
    <col min="10" max="10" width="14.109375" customWidth="1"/>
    <col min="11" max="11" width="8" customWidth="1"/>
    <col min="12" max="12" width="14.109375" customWidth="1"/>
    <col min="13" max="13" width="13.109375" customWidth="1"/>
    <col min="14" max="14" width="18.33203125" customWidth="1"/>
    <col min="15" max="15" width="13.109375" customWidth="1"/>
  </cols>
  <sheetData>
    <row r="1" spans="1:26" ht="11.25" customHeight="1" x14ac:dyDescent="0.3">
      <c r="A1" s="560" t="s">
        <v>151</v>
      </c>
      <c r="B1" s="561"/>
      <c r="C1" s="561"/>
      <c r="D1" s="561"/>
      <c r="E1" s="561"/>
      <c r="F1" s="561"/>
      <c r="G1" s="561"/>
      <c r="H1" s="561"/>
      <c r="I1" s="561"/>
      <c r="J1" s="561"/>
      <c r="K1" s="561"/>
      <c r="L1" s="561"/>
      <c r="M1" s="561"/>
      <c r="N1" s="119"/>
      <c r="O1" s="120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</row>
    <row r="2" spans="1:26" ht="11.25" customHeight="1" x14ac:dyDescent="0.3">
      <c r="A2" s="122"/>
      <c r="B2" s="123"/>
      <c r="C2" s="119"/>
      <c r="D2" s="124" t="s">
        <v>152</v>
      </c>
      <c r="E2" s="125" t="s">
        <v>153</v>
      </c>
      <c r="F2" s="125" t="s">
        <v>154</v>
      </c>
      <c r="G2" s="126" t="s">
        <v>155</v>
      </c>
      <c r="H2" s="119"/>
      <c r="I2" s="127"/>
      <c r="J2" s="125" t="s">
        <v>154</v>
      </c>
      <c r="K2" s="125" t="s">
        <v>153</v>
      </c>
      <c r="L2" s="126" t="s">
        <v>152</v>
      </c>
      <c r="M2" s="122"/>
      <c r="N2" s="119"/>
      <c r="O2" s="120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</row>
    <row r="3" spans="1:26" ht="11.25" customHeight="1" x14ac:dyDescent="0.3">
      <c r="A3" s="122"/>
      <c r="B3" s="123"/>
      <c r="C3" s="128" t="s">
        <v>156</v>
      </c>
      <c r="D3" s="129">
        <f t="shared" ref="D3:F3" si="0">SUM(D5:D61)</f>
        <v>17180.266838493331</v>
      </c>
      <c r="E3" s="130">
        <f t="shared" si="0"/>
        <v>1</v>
      </c>
      <c r="F3" s="131">
        <f t="shared" si="0"/>
        <v>206163.20206191996</v>
      </c>
      <c r="G3" s="132">
        <f>F3/52</f>
        <v>3964.6769627292301</v>
      </c>
      <c r="H3" s="119"/>
      <c r="I3" s="133" t="s">
        <v>157</v>
      </c>
      <c r="J3" s="134">
        <f>L29+L49</f>
        <v>276499.56874399999</v>
      </c>
      <c r="K3" s="135"/>
      <c r="L3" s="136">
        <f>J3/12</f>
        <v>23041.630728666667</v>
      </c>
      <c r="M3" s="122"/>
      <c r="N3" s="119"/>
      <c r="O3" s="120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</row>
    <row r="4" spans="1:26" ht="11.25" customHeight="1" x14ac:dyDescent="0.3">
      <c r="A4" s="122"/>
      <c r="B4" s="123"/>
      <c r="C4" s="119"/>
      <c r="D4" s="137"/>
      <c r="E4" s="138"/>
      <c r="F4" s="137"/>
      <c r="G4" s="137"/>
      <c r="H4" s="119"/>
      <c r="I4" s="139"/>
      <c r="J4" s="140"/>
      <c r="K4" s="141"/>
      <c r="L4" s="142"/>
      <c r="M4" s="122"/>
      <c r="N4" s="119"/>
      <c r="O4" s="120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</row>
    <row r="5" spans="1:26" ht="11.25" customHeight="1" x14ac:dyDescent="0.3">
      <c r="A5" s="124" t="s">
        <v>158</v>
      </c>
      <c r="B5" s="143">
        <v>1</v>
      </c>
      <c r="C5" s="144" t="s">
        <v>159</v>
      </c>
      <c r="D5" s="145">
        <v>1200</v>
      </c>
      <c r="E5" s="146">
        <f t="shared" ref="E5:E12" si="1">D5/$O$24</f>
        <v>6.98475763665867E-2</v>
      </c>
      <c r="F5" s="145">
        <f t="shared" ref="F5:F12" si="2">D5*12</f>
        <v>14400</v>
      </c>
      <c r="G5" s="147">
        <f t="shared" ref="G5:G12" si="3">F5/52</f>
        <v>276.92307692307691</v>
      </c>
      <c r="H5" s="119"/>
      <c r="I5" s="139" t="s">
        <v>160</v>
      </c>
      <c r="J5" s="140">
        <f>L31+L53+L54+L55</f>
        <v>4120.8999999999996</v>
      </c>
      <c r="K5" s="148">
        <f>J5/J3</f>
        <v>1.4903820713787E-2</v>
      </c>
      <c r="L5" s="142">
        <f t="shared" ref="L5:L6" si="4">J5/12</f>
        <v>343.4083333333333</v>
      </c>
      <c r="M5" s="122"/>
      <c r="N5" s="119"/>
      <c r="O5" s="120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</row>
    <row r="6" spans="1:26" ht="11.25" customHeight="1" x14ac:dyDescent="0.3">
      <c r="A6" s="149" t="s">
        <v>158</v>
      </c>
      <c r="B6" s="150">
        <v>2</v>
      </c>
      <c r="C6" s="151" t="s">
        <v>161</v>
      </c>
      <c r="D6" s="140">
        <v>1200</v>
      </c>
      <c r="E6" s="148">
        <f t="shared" si="1"/>
        <v>6.98475763665867E-2</v>
      </c>
      <c r="F6" s="140">
        <f t="shared" si="2"/>
        <v>14400</v>
      </c>
      <c r="G6" s="142">
        <f t="shared" si="3"/>
        <v>276.92307692307691</v>
      </c>
      <c r="H6" s="119"/>
      <c r="I6" s="139" t="s">
        <v>162</v>
      </c>
      <c r="J6" s="140">
        <f>L32+L56</f>
        <v>17269.97781208</v>
      </c>
      <c r="K6" s="148">
        <f>J6/J3</f>
        <v>6.2459330010997557E-2</v>
      </c>
      <c r="L6" s="142">
        <f t="shared" si="4"/>
        <v>1439.1648176733333</v>
      </c>
      <c r="M6" s="122"/>
      <c r="N6" s="119"/>
      <c r="O6" s="120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</row>
    <row r="7" spans="1:26" ht="11.25" customHeight="1" x14ac:dyDescent="0.3">
      <c r="A7" s="149" t="s">
        <v>158</v>
      </c>
      <c r="B7" s="150">
        <v>3</v>
      </c>
      <c r="C7" s="151" t="s">
        <v>163</v>
      </c>
      <c r="D7" s="140">
        <v>150</v>
      </c>
      <c r="E7" s="148">
        <f t="shared" si="1"/>
        <v>8.7309470458233375E-3</v>
      </c>
      <c r="F7" s="140">
        <f t="shared" si="2"/>
        <v>1800</v>
      </c>
      <c r="G7" s="142">
        <f t="shared" si="3"/>
        <v>34.615384615384613</v>
      </c>
      <c r="H7" s="119"/>
      <c r="I7" s="133" t="s">
        <v>164</v>
      </c>
      <c r="J7" s="134">
        <f>SUM(J5:J6)</f>
        <v>21390.877812079998</v>
      </c>
      <c r="K7" s="152">
        <f>J7/J3</f>
        <v>7.7363150724784543E-2</v>
      </c>
      <c r="L7" s="136">
        <f>SUM(L5:L6)</f>
        <v>1782.5731510066666</v>
      </c>
      <c r="M7" s="122"/>
      <c r="N7" s="119"/>
      <c r="O7" s="120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</row>
    <row r="8" spans="1:26" ht="11.25" customHeight="1" x14ac:dyDescent="0.3">
      <c r="A8" s="149" t="s">
        <v>158</v>
      </c>
      <c r="B8" s="150">
        <v>4</v>
      </c>
      <c r="C8" s="151" t="s">
        <v>165</v>
      </c>
      <c r="D8" s="140">
        <v>600</v>
      </c>
      <c r="E8" s="148">
        <f t="shared" si="1"/>
        <v>3.492378818329335E-2</v>
      </c>
      <c r="F8" s="140">
        <f t="shared" si="2"/>
        <v>7200</v>
      </c>
      <c r="G8" s="142">
        <f t="shared" si="3"/>
        <v>138.46153846153845</v>
      </c>
      <c r="H8" s="119"/>
      <c r="I8" s="139"/>
      <c r="J8" s="141"/>
      <c r="K8" s="148"/>
      <c r="L8" s="142"/>
      <c r="M8" s="122"/>
      <c r="N8" s="119"/>
      <c r="O8" s="120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</row>
    <row r="9" spans="1:26" ht="11.25" customHeight="1" x14ac:dyDescent="0.3">
      <c r="A9" s="149" t="s">
        <v>158</v>
      </c>
      <c r="B9" s="150">
        <v>5</v>
      </c>
      <c r="C9" s="151" t="s">
        <v>166</v>
      </c>
      <c r="D9" s="140">
        <v>700</v>
      </c>
      <c r="E9" s="148">
        <f t="shared" si="1"/>
        <v>4.0744419547175573E-2</v>
      </c>
      <c r="F9" s="140">
        <f t="shared" si="2"/>
        <v>8400</v>
      </c>
      <c r="G9" s="142">
        <f t="shared" si="3"/>
        <v>161.53846153846155</v>
      </c>
      <c r="H9" s="119"/>
      <c r="I9" s="133" t="s">
        <v>167</v>
      </c>
      <c r="J9" s="134">
        <f>L35+L59</f>
        <v>255924.69093192002</v>
      </c>
      <c r="K9" s="152"/>
      <c r="L9" s="136">
        <f>J9/12</f>
        <v>21327.057577660002</v>
      </c>
      <c r="M9" s="137"/>
      <c r="N9" s="119"/>
      <c r="O9" s="120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</row>
    <row r="10" spans="1:26" ht="11.25" customHeight="1" x14ac:dyDescent="0.3">
      <c r="A10" s="149" t="s">
        <v>158</v>
      </c>
      <c r="B10" s="150">
        <v>6</v>
      </c>
      <c r="C10" s="151" t="s">
        <v>168</v>
      </c>
      <c r="D10" s="140">
        <v>900</v>
      </c>
      <c r="E10" s="148">
        <f t="shared" si="1"/>
        <v>5.2385682274940025E-2</v>
      </c>
      <c r="F10" s="140">
        <f t="shared" si="2"/>
        <v>10800</v>
      </c>
      <c r="G10" s="142">
        <f t="shared" si="3"/>
        <v>207.69230769230768</v>
      </c>
      <c r="H10" s="119"/>
      <c r="I10" s="139"/>
      <c r="J10" s="140"/>
      <c r="K10" s="148"/>
      <c r="L10" s="142"/>
      <c r="M10" s="137"/>
      <c r="N10" s="119"/>
      <c r="O10" s="120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</row>
    <row r="11" spans="1:26" ht="11.25" customHeight="1" x14ac:dyDescent="0.3">
      <c r="A11" s="153" t="s">
        <v>158</v>
      </c>
      <c r="B11" s="154">
        <v>7</v>
      </c>
      <c r="C11" s="155" t="s">
        <v>169</v>
      </c>
      <c r="D11" s="156">
        <v>350</v>
      </c>
      <c r="E11" s="157">
        <f t="shared" si="1"/>
        <v>2.0372209773587786E-2</v>
      </c>
      <c r="F11" s="156">
        <f t="shared" si="2"/>
        <v>4200</v>
      </c>
      <c r="G11" s="158">
        <f t="shared" si="3"/>
        <v>80.769230769230774</v>
      </c>
      <c r="H11" s="119"/>
      <c r="I11" s="139" t="s">
        <v>170</v>
      </c>
      <c r="J11" s="140">
        <f t="shared" ref="J11:J14" si="5">L37+L61</f>
        <v>39427.360000000001</v>
      </c>
      <c r="K11" s="148">
        <f>J11/J9</f>
        <v>0.15405844530447552</v>
      </c>
      <c r="L11" s="142">
        <f t="shared" ref="L11:L16" si="6">J11/12</f>
        <v>3285.6133333333332</v>
      </c>
      <c r="M11" s="122"/>
      <c r="N11" s="119"/>
      <c r="O11" s="120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</row>
    <row r="12" spans="1:26" ht="11.25" customHeight="1" x14ac:dyDescent="0.3">
      <c r="A12" s="159" t="s">
        <v>158</v>
      </c>
      <c r="B12" s="160">
        <v>8</v>
      </c>
      <c r="C12" s="161" t="s">
        <v>171</v>
      </c>
      <c r="D12" s="131">
        <v>700</v>
      </c>
      <c r="E12" s="130">
        <f t="shared" si="1"/>
        <v>4.0744419547175573E-2</v>
      </c>
      <c r="F12" s="131">
        <f t="shared" si="2"/>
        <v>8400</v>
      </c>
      <c r="G12" s="132">
        <f t="shared" si="3"/>
        <v>161.53846153846155</v>
      </c>
      <c r="H12" s="119"/>
      <c r="I12" s="139" t="s">
        <v>172</v>
      </c>
      <c r="J12" s="140">
        <f t="shared" si="5"/>
        <v>7415.6</v>
      </c>
      <c r="K12" s="148">
        <f>J12/J9</f>
        <v>2.8975711460261823E-2</v>
      </c>
      <c r="L12" s="142">
        <f t="shared" si="6"/>
        <v>617.9666666666667</v>
      </c>
      <c r="M12" s="122"/>
      <c r="N12" s="119"/>
      <c r="O12" s="120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</row>
    <row r="13" spans="1:26" ht="11.25" customHeight="1" x14ac:dyDescent="0.3">
      <c r="A13" s="122"/>
      <c r="B13" s="123"/>
      <c r="C13" s="162"/>
      <c r="D13" s="137"/>
      <c r="E13" s="138"/>
      <c r="F13" s="137"/>
      <c r="G13" s="137"/>
      <c r="H13" s="119"/>
      <c r="I13" s="139" t="s">
        <v>173</v>
      </c>
      <c r="J13" s="140">
        <f t="shared" si="5"/>
        <v>3961.26451</v>
      </c>
      <c r="K13" s="148">
        <f>J13/(J9+J6)</f>
        <v>1.4499787013457225E-2</v>
      </c>
      <c r="L13" s="142">
        <f t="shared" si="6"/>
        <v>330.10537583333331</v>
      </c>
      <c r="M13" s="122"/>
      <c r="N13" s="119"/>
      <c r="O13" s="120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</row>
    <row r="14" spans="1:26" ht="11.25" customHeight="1" x14ac:dyDescent="0.3">
      <c r="A14" s="124" t="s">
        <v>174</v>
      </c>
      <c r="B14" s="143">
        <v>9</v>
      </c>
      <c r="C14" s="163" t="s">
        <v>58</v>
      </c>
      <c r="D14" s="145">
        <v>1285</v>
      </c>
      <c r="E14" s="146">
        <f t="shared" ref="E14:E31" si="7">D14/$O$24</f>
        <v>7.4795113025886595E-2</v>
      </c>
      <c r="F14" s="145">
        <f t="shared" ref="F14:F31" si="8">D14*12</f>
        <v>15420</v>
      </c>
      <c r="G14" s="147">
        <f t="shared" ref="G14:G31" si="9">F14/52</f>
        <v>296.53846153846155</v>
      </c>
      <c r="H14" s="119"/>
      <c r="I14" s="139" t="s">
        <v>175</v>
      </c>
      <c r="J14" s="140">
        <f t="shared" si="5"/>
        <v>16938.027560000002</v>
      </c>
      <c r="K14" s="148">
        <f>J14/(J9+J6)</f>
        <v>6.1999846621721456E-2</v>
      </c>
      <c r="L14" s="142">
        <f t="shared" si="6"/>
        <v>1411.5022966666668</v>
      </c>
      <c r="M14" s="122"/>
      <c r="N14" s="119"/>
      <c r="O14" s="120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</row>
    <row r="15" spans="1:26" ht="11.25" customHeight="1" x14ac:dyDescent="0.3">
      <c r="A15" s="149" t="s">
        <v>174</v>
      </c>
      <c r="B15" s="150">
        <v>10</v>
      </c>
      <c r="C15" s="164" t="s">
        <v>176</v>
      </c>
      <c r="D15" s="140">
        <v>20</v>
      </c>
      <c r="E15" s="148">
        <f t="shared" si="7"/>
        <v>1.164126272776445E-3</v>
      </c>
      <c r="F15" s="140">
        <f t="shared" si="8"/>
        <v>240</v>
      </c>
      <c r="G15" s="142">
        <f t="shared" si="9"/>
        <v>4.615384615384615</v>
      </c>
      <c r="H15" s="119"/>
      <c r="I15" s="139" t="s">
        <v>177</v>
      </c>
      <c r="J15" s="140">
        <f>L41</f>
        <v>833.99680000000001</v>
      </c>
      <c r="K15" s="148">
        <f>J15/J3</f>
        <v>3.0162679956009793E-3</v>
      </c>
      <c r="L15" s="142">
        <f t="shared" si="6"/>
        <v>69.499733333333339</v>
      </c>
      <c r="M15" s="122"/>
      <c r="N15" s="119"/>
      <c r="O15" s="120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</row>
    <row r="16" spans="1:26" ht="11.25" customHeight="1" x14ac:dyDescent="0.3">
      <c r="A16" s="149" t="s">
        <v>174</v>
      </c>
      <c r="B16" s="150">
        <v>11</v>
      </c>
      <c r="C16" s="164" t="s">
        <v>178</v>
      </c>
      <c r="D16" s="140">
        <v>270</v>
      </c>
      <c r="E16" s="148">
        <f t="shared" si="7"/>
        <v>1.5715704682482009E-2</v>
      </c>
      <c r="F16" s="140">
        <f t="shared" si="8"/>
        <v>3240</v>
      </c>
      <c r="G16" s="142">
        <f t="shared" si="9"/>
        <v>62.307692307692307</v>
      </c>
      <c r="H16" s="119"/>
      <c r="I16" s="139" t="s">
        <v>179</v>
      </c>
      <c r="J16" s="140">
        <f>L65</f>
        <v>4326.24</v>
      </c>
      <c r="K16" s="148">
        <f>J16/J9</f>
        <v>1.6904347854232039E-2</v>
      </c>
      <c r="L16" s="142">
        <f t="shared" si="6"/>
        <v>360.52</v>
      </c>
      <c r="M16" s="122"/>
      <c r="N16" s="119"/>
      <c r="O16" s="120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</row>
    <row r="17" spans="1:26" ht="11.25" customHeight="1" x14ac:dyDescent="0.3">
      <c r="A17" s="149" t="s">
        <v>174</v>
      </c>
      <c r="B17" s="150">
        <v>12</v>
      </c>
      <c r="C17" s="151" t="s">
        <v>180</v>
      </c>
      <c r="D17" s="140">
        <v>205</v>
      </c>
      <c r="E17" s="148">
        <f t="shared" si="7"/>
        <v>1.1932294295958561E-2</v>
      </c>
      <c r="F17" s="140">
        <f t="shared" si="8"/>
        <v>2460</v>
      </c>
      <c r="G17" s="142">
        <f t="shared" si="9"/>
        <v>47.307692307692307</v>
      </c>
      <c r="H17" s="119"/>
      <c r="I17" s="133" t="s">
        <v>181</v>
      </c>
      <c r="J17" s="134">
        <f>SUM(J11:J16)</f>
        <v>72902.488870000001</v>
      </c>
      <c r="K17" s="152">
        <f>J17/J3</f>
        <v>0.26366221546442098</v>
      </c>
      <c r="L17" s="136">
        <f>SUM(L11:L16)</f>
        <v>6075.2074058333328</v>
      </c>
      <c r="M17" s="122"/>
      <c r="N17" s="119"/>
      <c r="O17" s="120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</row>
    <row r="18" spans="1:26" ht="11.25" customHeight="1" x14ac:dyDescent="0.3">
      <c r="A18" s="149" t="s">
        <v>174</v>
      </c>
      <c r="B18" s="150">
        <v>13</v>
      </c>
      <c r="C18" s="151" t="s">
        <v>182</v>
      </c>
      <c r="D18" s="140">
        <v>180</v>
      </c>
      <c r="E18" s="148">
        <f t="shared" si="7"/>
        <v>1.0477136454988005E-2</v>
      </c>
      <c r="F18" s="140">
        <f t="shared" si="8"/>
        <v>2160</v>
      </c>
      <c r="G18" s="142">
        <f t="shared" si="9"/>
        <v>41.53846153846154</v>
      </c>
      <c r="H18" s="119"/>
      <c r="I18" s="139"/>
      <c r="J18" s="140"/>
      <c r="K18" s="148"/>
      <c r="L18" s="142"/>
      <c r="M18" s="122"/>
      <c r="N18" s="119"/>
      <c r="O18" s="120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</row>
    <row r="19" spans="1:26" ht="11.25" customHeight="1" x14ac:dyDescent="0.3">
      <c r="A19" s="149" t="s">
        <v>174</v>
      </c>
      <c r="B19" s="150">
        <v>14</v>
      </c>
      <c r="C19" s="165" t="s">
        <v>183</v>
      </c>
      <c r="D19" s="140">
        <v>140</v>
      </c>
      <c r="E19" s="148">
        <f t="shared" si="7"/>
        <v>8.1488839094351149E-3</v>
      </c>
      <c r="F19" s="140">
        <f t="shared" si="8"/>
        <v>1680</v>
      </c>
      <c r="G19" s="142">
        <f t="shared" si="9"/>
        <v>32.307692307692307</v>
      </c>
      <c r="H19" s="119"/>
      <c r="I19" s="166" t="s">
        <v>184</v>
      </c>
      <c r="J19" s="167">
        <f>L44+L68</f>
        <v>182206.20206191996</v>
      </c>
      <c r="K19" s="168">
        <f>J19/J3</f>
        <v>0.65897463381079435</v>
      </c>
      <c r="L19" s="169"/>
      <c r="M19" s="122"/>
      <c r="N19" s="119"/>
      <c r="O19" s="120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</row>
    <row r="20" spans="1:26" ht="11.25" customHeight="1" x14ac:dyDescent="0.3">
      <c r="A20" s="149" t="s">
        <v>174</v>
      </c>
      <c r="B20" s="150">
        <v>15</v>
      </c>
      <c r="C20" s="151" t="s">
        <v>185</v>
      </c>
      <c r="D20" s="140">
        <v>100</v>
      </c>
      <c r="E20" s="148">
        <f t="shared" si="7"/>
        <v>5.8206313638822253E-3</v>
      </c>
      <c r="F20" s="140">
        <f t="shared" si="8"/>
        <v>1200</v>
      </c>
      <c r="G20" s="142">
        <f t="shared" si="9"/>
        <v>23.076923076923077</v>
      </c>
      <c r="H20" s="119"/>
      <c r="I20" s="139"/>
      <c r="J20" s="140"/>
      <c r="K20" s="148"/>
      <c r="L20" s="142"/>
      <c r="M20" s="122"/>
      <c r="N20" s="119"/>
      <c r="O20" s="120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</row>
    <row r="21" spans="1:26" ht="11.25" customHeight="1" x14ac:dyDescent="0.3">
      <c r="A21" s="149" t="s">
        <v>174</v>
      </c>
      <c r="B21" s="150">
        <v>16</v>
      </c>
      <c r="C21" s="164" t="s">
        <v>186</v>
      </c>
      <c r="D21" s="140">
        <v>0</v>
      </c>
      <c r="E21" s="148">
        <f t="shared" si="7"/>
        <v>0</v>
      </c>
      <c r="F21" s="140">
        <f t="shared" si="8"/>
        <v>0</v>
      </c>
      <c r="G21" s="142">
        <f t="shared" si="9"/>
        <v>0</v>
      </c>
      <c r="H21" s="119"/>
      <c r="I21" s="139" t="s">
        <v>187</v>
      </c>
      <c r="J21" s="140">
        <v>14357</v>
      </c>
      <c r="K21" s="148"/>
      <c r="L21" s="142">
        <f t="shared" ref="L21:L22" si="10">J21/12</f>
        <v>1196.4166666666667</v>
      </c>
      <c r="M21" s="122"/>
      <c r="N21" s="119"/>
      <c r="O21" s="120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</row>
    <row r="22" spans="1:26" ht="11.25" customHeight="1" x14ac:dyDescent="0.3">
      <c r="A22" s="149" t="s">
        <v>174</v>
      </c>
      <c r="B22" s="150">
        <v>17</v>
      </c>
      <c r="C22" s="151" t="s">
        <v>188</v>
      </c>
      <c r="D22" s="140">
        <v>145</v>
      </c>
      <c r="E22" s="148">
        <f t="shared" si="7"/>
        <v>8.4399154776292253E-3</v>
      </c>
      <c r="F22" s="140">
        <f t="shared" si="8"/>
        <v>1740</v>
      </c>
      <c r="G22" s="142">
        <f t="shared" si="9"/>
        <v>33.46153846153846</v>
      </c>
      <c r="H22" s="119"/>
      <c r="I22" s="139" t="s">
        <v>189</v>
      </c>
      <c r="J22" s="140">
        <v>9600</v>
      </c>
      <c r="K22" s="148"/>
      <c r="L22" s="142">
        <f t="shared" si="10"/>
        <v>800</v>
      </c>
      <c r="M22" s="137">
        <f>L22-D31-D35-D40-D41-D42-D43</f>
        <v>240</v>
      </c>
      <c r="N22" s="120">
        <f>M22*12</f>
        <v>2880</v>
      </c>
      <c r="O22" s="120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</row>
    <row r="23" spans="1:26" ht="11.25" customHeight="1" x14ac:dyDescent="0.3">
      <c r="A23" s="149" t="s">
        <v>174</v>
      </c>
      <c r="B23" s="150">
        <v>18</v>
      </c>
      <c r="C23" s="165" t="s">
        <v>190</v>
      </c>
      <c r="D23" s="140">
        <v>400</v>
      </c>
      <c r="E23" s="148">
        <f t="shared" si="7"/>
        <v>2.3282525455528901E-2</v>
      </c>
      <c r="F23" s="140">
        <f t="shared" si="8"/>
        <v>4800</v>
      </c>
      <c r="G23" s="142">
        <f t="shared" si="9"/>
        <v>92.307692307692307</v>
      </c>
      <c r="H23" s="119"/>
      <c r="I23" s="139"/>
      <c r="J23" s="141"/>
      <c r="K23" s="141"/>
      <c r="L23" s="142"/>
      <c r="M23" s="122"/>
      <c r="N23" s="119"/>
      <c r="O23" s="120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</row>
    <row r="24" spans="1:26" ht="11.25" customHeight="1" x14ac:dyDescent="0.3">
      <c r="A24" s="149" t="s">
        <v>174</v>
      </c>
      <c r="B24" s="150">
        <v>19</v>
      </c>
      <c r="C24" s="165" t="s">
        <v>191</v>
      </c>
      <c r="D24" s="140">
        <v>200</v>
      </c>
      <c r="E24" s="148">
        <f t="shared" si="7"/>
        <v>1.1641262727764451E-2</v>
      </c>
      <c r="F24" s="140">
        <f t="shared" si="8"/>
        <v>2400</v>
      </c>
      <c r="G24" s="142">
        <f t="shared" si="9"/>
        <v>46.153846153846153</v>
      </c>
      <c r="H24" s="119"/>
      <c r="I24" s="170" t="s">
        <v>192</v>
      </c>
      <c r="J24" s="171">
        <f>J19+J22+J21</f>
        <v>206163.20206191996</v>
      </c>
      <c r="K24" s="172">
        <f>(J24+J6)/J3</f>
        <v>0.8080778602619374</v>
      </c>
      <c r="L24" s="173">
        <f>J24/12</f>
        <v>17180.266838493331</v>
      </c>
      <c r="M24" s="122"/>
      <c r="N24" s="174">
        <f>J21+J22+N44+N68</f>
        <v>206163.20206191996</v>
      </c>
      <c r="O24" s="120">
        <f>N24/12</f>
        <v>17180.266838493331</v>
      </c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</row>
    <row r="25" spans="1:26" ht="11.25" customHeight="1" x14ac:dyDescent="0.3">
      <c r="A25" s="149" t="s">
        <v>174</v>
      </c>
      <c r="B25" s="150">
        <v>20</v>
      </c>
      <c r="C25" s="165" t="s">
        <v>193</v>
      </c>
      <c r="D25" s="140">
        <v>600</v>
      </c>
      <c r="E25" s="148">
        <f t="shared" si="7"/>
        <v>3.492378818329335E-2</v>
      </c>
      <c r="F25" s="140">
        <f t="shared" si="8"/>
        <v>7200</v>
      </c>
      <c r="G25" s="142">
        <f t="shared" si="9"/>
        <v>138.46153846153845</v>
      </c>
      <c r="H25" s="119"/>
      <c r="I25" s="119"/>
      <c r="J25" s="137"/>
      <c r="K25" s="138"/>
      <c r="L25" s="137"/>
      <c r="M25" s="122"/>
      <c r="N25" s="119"/>
      <c r="O25" s="120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</row>
    <row r="26" spans="1:26" ht="11.25" customHeight="1" x14ac:dyDescent="0.3">
      <c r="A26" s="149" t="s">
        <v>174</v>
      </c>
      <c r="B26" s="150">
        <v>21</v>
      </c>
      <c r="C26" s="164" t="s">
        <v>194</v>
      </c>
      <c r="D26" s="140">
        <v>85</v>
      </c>
      <c r="E26" s="148">
        <f t="shared" si="7"/>
        <v>4.9475366592998914E-3</v>
      </c>
      <c r="F26" s="140">
        <f t="shared" si="8"/>
        <v>1020</v>
      </c>
      <c r="G26" s="142">
        <f t="shared" si="9"/>
        <v>19.615384615384617</v>
      </c>
      <c r="H26" s="119"/>
      <c r="I26" s="119"/>
      <c r="J26" s="137"/>
      <c r="K26" s="138"/>
      <c r="L26" s="137"/>
      <c r="M26" s="122"/>
      <c r="N26" s="119"/>
      <c r="O26" s="120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</row>
    <row r="27" spans="1:26" ht="11.25" customHeight="1" x14ac:dyDescent="0.3">
      <c r="A27" s="149" t="s">
        <v>174</v>
      </c>
      <c r="B27" s="150">
        <v>22</v>
      </c>
      <c r="C27" s="164" t="s">
        <v>195</v>
      </c>
      <c r="D27" s="140">
        <v>100</v>
      </c>
      <c r="E27" s="148">
        <f t="shared" si="7"/>
        <v>5.8206313638822253E-3</v>
      </c>
      <c r="F27" s="140">
        <f t="shared" si="8"/>
        <v>1200</v>
      </c>
      <c r="G27" s="142">
        <f t="shared" si="9"/>
        <v>23.076923076923077</v>
      </c>
      <c r="H27" s="119"/>
      <c r="I27" s="127" t="s">
        <v>196</v>
      </c>
      <c r="J27" s="175">
        <v>50.12</v>
      </c>
      <c r="K27" s="163"/>
      <c r="L27" s="163"/>
      <c r="M27" s="176"/>
      <c r="N27" s="119"/>
      <c r="O27" s="120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</row>
    <row r="28" spans="1:26" ht="11.25" customHeight="1" x14ac:dyDescent="0.3">
      <c r="A28" s="149" t="s">
        <v>174</v>
      </c>
      <c r="B28" s="150">
        <v>23</v>
      </c>
      <c r="C28" s="165" t="s">
        <v>197</v>
      </c>
      <c r="D28" s="140">
        <v>1200</v>
      </c>
      <c r="E28" s="148">
        <f t="shared" si="7"/>
        <v>6.98475763665867E-2</v>
      </c>
      <c r="F28" s="140">
        <f t="shared" si="8"/>
        <v>14400</v>
      </c>
      <c r="G28" s="142">
        <f t="shared" si="9"/>
        <v>276.92307692307691</v>
      </c>
      <c r="H28" s="119"/>
      <c r="I28" s="139"/>
      <c r="J28" s="141" t="s">
        <v>198</v>
      </c>
      <c r="K28" s="141" t="s">
        <v>153</v>
      </c>
      <c r="L28" s="141" t="s">
        <v>154</v>
      </c>
      <c r="M28" s="177" t="s">
        <v>152</v>
      </c>
      <c r="N28" s="119"/>
      <c r="O28" s="120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 spans="1:26" ht="11.25" customHeight="1" x14ac:dyDescent="0.3">
      <c r="A29" s="149" t="s">
        <v>174</v>
      </c>
      <c r="B29" s="150">
        <v>24</v>
      </c>
      <c r="C29" s="164" t="s">
        <v>199</v>
      </c>
      <c r="D29" s="140">
        <v>120</v>
      </c>
      <c r="E29" s="148">
        <f t="shared" si="7"/>
        <v>6.9847576366586697E-3</v>
      </c>
      <c r="F29" s="140">
        <f t="shared" si="8"/>
        <v>1440</v>
      </c>
      <c r="G29" s="142">
        <f t="shared" si="9"/>
        <v>27.692307692307693</v>
      </c>
      <c r="H29" s="119"/>
      <c r="I29" s="133" t="s">
        <v>157</v>
      </c>
      <c r="J29" s="134">
        <f>J27*80</f>
        <v>4009.6</v>
      </c>
      <c r="K29" s="135"/>
      <c r="L29" s="134">
        <f>J29*26</f>
        <v>104249.59999999999</v>
      </c>
      <c r="M29" s="136">
        <f>L29/12</f>
        <v>8687.4666666666653</v>
      </c>
      <c r="N29" s="119"/>
      <c r="O29" s="120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</row>
    <row r="30" spans="1:26" ht="11.25" customHeight="1" x14ac:dyDescent="0.3">
      <c r="A30" s="149" t="s">
        <v>174</v>
      </c>
      <c r="B30" s="150">
        <v>42</v>
      </c>
      <c r="C30" s="164" t="s">
        <v>200</v>
      </c>
      <c r="D30" s="140">
        <v>75</v>
      </c>
      <c r="E30" s="148">
        <f t="shared" si="7"/>
        <v>4.3654735229116687E-3</v>
      </c>
      <c r="F30" s="140">
        <f t="shared" si="8"/>
        <v>900</v>
      </c>
      <c r="G30" s="142">
        <f t="shared" si="9"/>
        <v>17.307692307692307</v>
      </c>
      <c r="H30" s="119"/>
      <c r="I30" s="139"/>
      <c r="J30" s="140"/>
      <c r="K30" s="141"/>
      <c r="L30" s="140"/>
      <c r="M30" s="142"/>
      <c r="N30" s="119"/>
      <c r="O30" s="120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</row>
    <row r="31" spans="1:26" ht="11.25" customHeight="1" x14ac:dyDescent="0.3">
      <c r="A31" s="159" t="s">
        <v>174</v>
      </c>
      <c r="B31" s="160">
        <v>43</v>
      </c>
      <c r="C31" s="178" t="s">
        <v>201</v>
      </c>
      <c r="D31" s="131">
        <v>75</v>
      </c>
      <c r="E31" s="130">
        <f t="shared" si="7"/>
        <v>4.3654735229116687E-3</v>
      </c>
      <c r="F31" s="131">
        <f t="shared" si="8"/>
        <v>900</v>
      </c>
      <c r="G31" s="132">
        <f t="shared" si="9"/>
        <v>17.307692307692307</v>
      </c>
      <c r="H31" s="119"/>
      <c r="I31" s="139" t="s">
        <v>202</v>
      </c>
      <c r="J31" s="140">
        <v>157.97</v>
      </c>
      <c r="K31" s="148">
        <f>J31/J29</f>
        <v>3.9397944932162809E-2</v>
      </c>
      <c r="L31" s="140">
        <f t="shared" ref="L31:L32" si="11">J31*26</f>
        <v>4107.22</v>
      </c>
      <c r="M31" s="142">
        <f t="shared" ref="M31:M32" si="12">L31/12</f>
        <v>342.26833333333337</v>
      </c>
      <c r="N31" s="119"/>
      <c r="O31" s="120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</row>
    <row r="32" spans="1:26" ht="11.25" customHeight="1" x14ac:dyDescent="0.3">
      <c r="A32" s="122"/>
      <c r="B32" s="123"/>
      <c r="C32" s="119"/>
      <c r="D32" s="137"/>
      <c r="E32" s="138"/>
      <c r="F32" s="137"/>
      <c r="G32" s="137"/>
      <c r="H32" s="119"/>
      <c r="I32" s="139" t="s">
        <v>97</v>
      </c>
      <c r="J32" s="140">
        <f>K32*J29</f>
        <v>200.48000000000002</v>
      </c>
      <c r="K32" s="148">
        <v>0.05</v>
      </c>
      <c r="L32" s="140">
        <f t="shared" si="11"/>
        <v>5212.4800000000005</v>
      </c>
      <c r="M32" s="142">
        <f t="shared" si="12"/>
        <v>434.37333333333339</v>
      </c>
      <c r="N32" s="119"/>
      <c r="O32" s="120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</row>
    <row r="33" spans="1:26" ht="11.25" customHeight="1" x14ac:dyDescent="0.3">
      <c r="A33" s="124" t="s">
        <v>203</v>
      </c>
      <c r="B33" s="143">
        <v>25</v>
      </c>
      <c r="C33" s="144" t="s">
        <v>204</v>
      </c>
      <c r="D33" s="145">
        <v>350</v>
      </c>
      <c r="E33" s="146">
        <f t="shared" ref="E33:E43" si="13">D33/$O$24</f>
        <v>2.0372209773587786E-2</v>
      </c>
      <c r="F33" s="145">
        <f t="shared" ref="F33:F43" si="14">D33*12</f>
        <v>4200</v>
      </c>
      <c r="G33" s="147">
        <f t="shared" ref="G33:G43" si="15">F33/52</f>
        <v>80.769230769230774</v>
      </c>
      <c r="H33" s="119"/>
      <c r="I33" s="133" t="s">
        <v>164</v>
      </c>
      <c r="J33" s="134">
        <f>SUM(J31:J32)</f>
        <v>358.45000000000005</v>
      </c>
      <c r="K33" s="152"/>
      <c r="L33" s="134"/>
      <c r="M33" s="136"/>
      <c r="N33" s="119"/>
      <c r="O33" s="120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</row>
    <row r="34" spans="1:26" ht="11.25" customHeight="1" x14ac:dyDescent="0.3">
      <c r="A34" s="149" t="s">
        <v>203</v>
      </c>
      <c r="B34" s="150">
        <v>26</v>
      </c>
      <c r="C34" s="164" t="s">
        <v>205</v>
      </c>
      <c r="D34" s="140">
        <v>320</v>
      </c>
      <c r="E34" s="148">
        <f t="shared" si="13"/>
        <v>1.862602036442312E-2</v>
      </c>
      <c r="F34" s="140">
        <f t="shared" si="14"/>
        <v>3840</v>
      </c>
      <c r="G34" s="142">
        <f t="shared" si="15"/>
        <v>73.84615384615384</v>
      </c>
      <c r="H34" s="119"/>
      <c r="I34" s="139"/>
      <c r="J34" s="140"/>
      <c r="K34" s="148"/>
      <c r="L34" s="140"/>
      <c r="M34" s="142"/>
      <c r="N34" s="119"/>
      <c r="O34" s="120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</row>
    <row r="35" spans="1:26" ht="11.25" customHeight="1" x14ac:dyDescent="0.3">
      <c r="A35" s="149" t="s">
        <v>203</v>
      </c>
      <c r="B35" s="150">
        <v>27</v>
      </c>
      <c r="C35" s="164" t="s">
        <v>206</v>
      </c>
      <c r="D35" s="140">
        <v>25</v>
      </c>
      <c r="E35" s="148">
        <f t="shared" si="13"/>
        <v>1.4551578409705563E-3</v>
      </c>
      <c r="F35" s="140">
        <f t="shared" si="14"/>
        <v>300</v>
      </c>
      <c r="G35" s="142">
        <f t="shared" si="15"/>
        <v>5.7692307692307692</v>
      </c>
      <c r="H35" s="119"/>
      <c r="I35" s="133" t="s">
        <v>167</v>
      </c>
      <c r="J35" s="134">
        <f>J29+J30-J31-J32</f>
        <v>3651.15</v>
      </c>
      <c r="K35" s="152">
        <f>J35/J29</f>
        <v>0.9106020550678372</v>
      </c>
      <c r="L35" s="134">
        <f>J35*26</f>
        <v>94929.900000000009</v>
      </c>
      <c r="M35" s="136">
        <f>L35/12</f>
        <v>7910.8250000000007</v>
      </c>
      <c r="N35" s="119"/>
      <c r="O35" s="120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</row>
    <row r="36" spans="1:26" ht="11.25" customHeight="1" x14ac:dyDescent="0.3">
      <c r="A36" s="149" t="s">
        <v>203</v>
      </c>
      <c r="B36" s="150">
        <v>28</v>
      </c>
      <c r="C36" s="164" t="s">
        <v>207</v>
      </c>
      <c r="D36" s="140">
        <v>25</v>
      </c>
      <c r="E36" s="148">
        <f t="shared" si="13"/>
        <v>1.4551578409705563E-3</v>
      </c>
      <c r="F36" s="140">
        <f t="shared" si="14"/>
        <v>300</v>
      </c>
      <c r="G36" s="142">
        <f t="shared" si="15"/>
        <v>5.7692307692307692</v>
      </c>
      <c r="H36" s="119"/>
      <c r="I36" s="139"/>
      <c r="J36" s="140"/>
      <c r="K36" s="148"/>
      <c r="L36" s="140"/>
      <c r="M36" s="142"/>
      <c r="N36" s="119"/>
      <c r="O36" s="120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</row>
    <row r="37" spans="1:26" ht="11.25" customHeight="1" x14ac:dyDescent="0.3">
      <c r="A37" s="149" t="s">
        <v>203</v>
      </c>
      <c r="B37" s="150">
        <v>29</v>
      </c>
      <c r="C37" s="164" t="s">
        <v>208</v>
      </c>
      <c r="D37" s="140">
        <v>45</v>
      </c>
      <c r="E37" s="148">
        <f t="shared" si="13"/>
        <v>2.6192841137470013E-3</v>
      </c>
      <c r="F37" s="140">
        <f t="shared" si="14"/>
        <v>540</v>
      </c>
      <c r="G37" s="142">
        <f t="shared" si="15"/>
        <v>10.384615384615385</v>
      </c>
      <c r="H37" s="119"/>
      <c r="I37" s="139" t="s">
        <v>170</v>
      </c>
      <c r="J37" s="140">
        <v>463.64</v>
      </c>
      <c r="K37" s="148">
        <f>J37/J35</f>
        <v>0.12698464867233611</v>
      </c>
      <c r="L37" s="140">
        <f t="shared" ref="L37:L41" si="16">J37*26</f>
        <v>12054.64</v>
      </c>
      <c r="M37" s="142">
        <f t="shared" ref="M37:M41" si="17">L37/12</f>
        <v>1004.5533333333333</v>
      </c>
      <c r="N37" s="119"/>
      <c r="O37" s="120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</row>
    <row r="38" spans="1:26" ht="11.25" customHeight="1" x14ac:dyDescent="0.3">
      <c r="A38" s="149" t="s">
        <v>203</v>
      </c>
      <c r="B38" s="150">
        <v>30</v>
      </c>
      <c r="C38" s="164" t="s">
        <v>209</v>
      </c>
      <c r="D38" s="140">
        <v>400</v>
      </c>
      <c r="E38" s="148">
        <f t="shared" si="13"/>
        <v>2.3282525455528901E-2</v>
      </c>
      <c r="F38" s="140">
        <f t="shared" si="14"/>
        <v>4800</v>
      </c>
      <c r="G38" s="142">
        <f t="shared" si="15"/>
        <v>92.307692307692307</v>
      </c>
      <c r="H38" s="119"/>
      <c r="I38" s="139" t="s">
        <v>172</v>
      </c>
      <c r="J38" s="140">
        <v>97</v>
      </c>
      <c r="K38" s="148">
        <f>J38/J35</f>
        <v>2.6566972049902084E-2</v>
      </c>
      <c r="L38" s="140">
        <f t="shared" si="16"/>
        <v>2522</v>
      </c>
      <c r="M38" s="142">
        <f t="shared" si="17"/>
        <v>210.16666666666666</v>
      </c>
      <c r="N38" s="119"/>
      <c r="O38" s="120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</row>
    <row r="39" spans="1:26" ht="11.25" customHeight="1" x14ac:dyDescent="0.3">
      <c r="A39" s="149" t="s">
        <v>203</v>
      </c>
      <c r="B39" s="150">
        <v>31</v>
      </c>
      <c r="C39" s="164" t="s">
        <v>210</v>
      </c>
      <c r="D39" s="140">
        <v>375</v>
      </c>
      <c r="E39" s="148">
        <f t="shared" si="13"/>
        <v>2.1827367614558342E-2</v>
      </c>
      <c r="F39" s="140">
        <f t="shared" si="14"/>
        <v>4500</v>
      </c>
      <c r="G39" s="142">
        <f t="shared" si="15"/>
        <v>86.538461538461533</v>
      </c>
      <c r="H39" s="119"/>
      <c r="I39" s="139" t="s">
        <v>173</v>
      </c>
      <c r="J39" s="140">
        <f>(J35+J32)*K39</f>
        <v>55.848635000000002</v>
      </c>
      <c r="K39" s="148">
        <v>1.4500000000000001E-2</v>
      </c>
      <c r="L39" s="140">
        <f t="shared" si="16"/>
        <v>1452.0645100000002</v>
      </c>
      <c r="M39" s="142">
        <f t="shared" si="17"/>
        <v>121.00537583333335</v>
      </c>
      <c r="N39" s="119"/>
      <c r="O39" s="120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</row>
    <row r="40" spans="1:26" ht="11.25" customHeight="1" x14ac:dyDescent="0.3">
      <c r="A40" s="149" t="s">
        <v>203</v>
      </c>
      <c r="B40" s="150">
        <v>32</v>
      </c>
      <c r="C40" s="164" t="s">
        <v>211</v>
      </c>
      <c r="D40" s="140">
        <v>100</v>
      </c>
      <c r="E40" s="148">
        <f t="shared" si="13"/>
        <v>5.8206313638822253E-3</v>
      </c>
      <c r="F40" s="140">
        <f t="shared" si="14"/>
        <v>1200</v>
      </c>
      <c r="G40" s="142">
        <f t="shared" si="15"/>
        <v>23.076923076923077</v>
      </c>
      <c r="H40" s="119"/>
      <c r="I40" s="139" t="s">
        <v>175</v>
      </c>
      <c r="J40" s="140">
        <f>(J35+J32)*K40</f>
        <v>238.80106000000001</v>
      </c>
      <c r="K40" s="148">
        <v>6.2E-2</v>
      </c>
      <c r="L40" s="140">
        <f t="shared" si="16"/>
        <v>6208.8275599999997</v>
      </c>
      <c r="M40" s="142">
        <f t="shared" si="17"/>
        <v>517.40229666666664</v>
      </c>
      <c r="N40" s="119"/>
      <c r="O40" s="120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</row>
    <row r="41" spans="1:26" ht="11.25" customHeight="1" x14ac:dyDescent="0.3">
      <c r="A41" s="149" t="s">
        <v>203</v>
      </c>
      <c r="B41" s="150">
        <v>33</v>
      </c>
      <c r="C41" s="164" t="s">
        <v>212</v>
      </c>
      <c r="D41" s="140">
        <v>85</v>
      </c>
      <c r="E41" s="148">
        <f t="shared" si="13"/>
        <v>4.9475366592998914E-3</v>
      </c>
      <c r="F41" s="140">
        <f t="shared" si="14"/>
        <v>1020</v>
      </c>
      <c r="G41" s="142">
        <f t="shared" si="15"/>
        <v>19.615384615384617</v>
      </c>
      <c r="H41" s="119"/>
      <c r="I41" s="139" t="s">
        <v>177</v>
      </c>
      <c r="J41" s="140">
        <f>K41*J29</f>
        <v>32.076799999999999</v>
      </c>
      <c r="K41" s="148">
        <v>8.0000000000000002E-3</v>
      </c>
      <c r="L41" s="140">
        <f t="shared" si="16"/>
        <v>833.99680000000001</v>
      </c>
      <c r="M41" s="142">
        <f t="shared" si="17"/>
        <v>69.499733333333339</v>
      </c>
      <c r="N41" s="119"/>
      <c r="O41" s="122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</row>
    <row r="42" spans="1:26" ht="11.25" customHeight="1" x14ac:dyDescent="0.3">
      <c r="A42" s="149" t="s">
        <v>203</v>
      </c>
      <c r="B42" s="150">
        <v>34</v>
      </c>
      <c r="C42" s="164" t="s">
        <v>213</v>
      </c>
      <c r="D42" s="140">
        <v>230</v>
      </c>
      <c r="E42" s="148">
        <f t="shared" si="13"/>
        <v>1.3387452136929117E-2</v>
      </c>
      <c r="F42" s="140">
        <f t="shared" si="14"/>
        <v>2760</v>
      </c>
      <c r="G42" s="142">
        <f t="shared" si="15"/>
        <v>53.07692307692308</v>
      </c>
      <c r="H42" s="119"/>
      <c r="I42" s="133" t="s">
        <v>181</v>
      </c>
      <c r="J42" s="134">
        <f>SUM(J37:J41)</f>
        <v>887.36649499999999</v>
      </c>
      <c r="K42" s="152">
        <f>J42/J29</f>
        <v>0.22131047860135675</v>
      </c>
      <c r="L42" s="134"/>
      <c r="M42" s="136"/>
      <c r="N42" s="119"/>
      <c r="O42" s="122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</row>
    <row r="43" spans="1:26" ht="11.25" customHeight="1" x14ac:dyDescent="0.3">
      <c r="A43" s="159" t="s">
        <v>203</v>
      </c>
      <c r="B43" s="160">
        <v>35</v>
      </c>
      <c r="C43" s="178" t="s">
        <v>214</v>
      </c>
      <c r="D43" s="131">
        <v>45</v>
      </c>
      <c r="E43" s="130">
        <f t="shared" si="13"/>
        <v>2.6192841137470013E-3</v>
      </c>
      <c r="F43" s="131">
        <f t="shared" si="14"/>
        <v>540</v>
      </c>
      <c r="G43" s="132">
        <f t="shared" si="15"/>
        <v>10.384615384615385</v>
      </c>
      <c r="H43" s="119"/>
      <c r="I43" s="139"/>
      <c r="J43" s="140"/>
      <c r="K43" s="148"/>
      <c r="L43" s="140"/>
      <c r="M43" s="142"/>
      <c r="N43" s="119"/>
      <c r="O43" s="122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</row>
    <row r="44" spans="1:26" ht="11.25" customHeight="1" x14ac:dyDescent="0.3">
      <c r="A44" s="122"/>
      <c r="B44" s="123"/>
      <c r="C44" s="119"/>
      <c r="D44" s="122"/>
      <c r="E44" s="137"/>
      <c r="F44" s="137"/>
      <c r="G44" s="137"/>
      <c r="H44" s="119"/>
      <c r="I44" s="179" t="s">
        <v>215</v>
      </c>
      <c r="J44" s="180">
        <f>J29-J33-J42</f>
        <v>2763.7835049999994</v>
      </c>
      <c r="K44" s="181">
        <f>(J44+J32)/J29</f>
        <v>0.73929157646648036</v>
      </c>
      <c r="L44" s="180">
        <f>J44*26</f>
        <v>71858.371129999985</v>
      </c>
      <c r="M44" s="182">
        <f>L44/12</f>
        <v>5988.1975941666651</v>
      </c>
      <c r="N44" s="174">
        <f>L44</f>
        <v>71858.371129999985</v>
      </c>
      <c r="O44" s="120">
        <f>N44/26</f>
        <v>2763.7835049999994</v>
      </c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</row>
    <row r="45" spans="1:26" ht="11.25" customHeight="1" x14ac:dyDescent="0.3">
      <c r="A45" s="124" t="s">
        <v>216</v>
      </c>
      <c r="B45" s="143">
        <v>36</v>
      </c>
      <c r="C45" s="163" t="s">
        <v>103</v>
      </c>
      <c r="D45" s="145">
        <f t="shared" ref="D45:D46" si="18">F45/12</f>
        <v>50</v>
      </c>
      <c r="E45" s="146">
        <f t="shared" ref="E45:E46" si="19">D45/$O$24</f>
        <v>2.9103156819411126E-3</v>
      </c>
      <c r="F45" s="145">
        <f>50*12</f>
        <v>600</v>
      </c>
      <c r="G45" s="147">
        <f t="shared" ref="G45:G46" si="20">F45/52</f>
        <v>11.538461538461538</v>
      </c>
      <c r="H45" s="119"/>
      <c r="I45" s="119"/>
      <c r="J45" s="122"/>
      <c r="K45" s="122"/>
      <c r="L45" s="122"/>
      <c r="M45" s="137"/>
      <c r="N45" s="119"/>
      <c r="O45" s="120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</row>
    <row r="46" spans="1:26" ht="11.25" customHeight="1" x14ac:dyDescent="0.3">
      <c r="A46" s="159" t="s">
        <v>216</v>
      </c>
      <c r="B46" s="160">
        <v>37</v>
      </c>
      <c r="C46" s="178" t="s">
        <v>217</v>
      </c>
      <c r="D46" s="131">
        <f t="shared" si="18"/>
        <v>4130.2668384933304</v>
      </c>
      <c r="E46" s="130">
        <f t="shared" si="19"/>
        <v>0.24040760701336958</v>
      </c>
      <c r="F46" s="183">
        <f>(N24-SUM(F5:F45))</f>
        <v>49563.202061919961</v>
      </c>
      <c r="G46" s="132">
        <f t="shared" si="20"/>
        <v>953.13850119076847</v>
      </c>
      <c r="H46" s="119"/>
      <c r="I46" s="119"/>
      <c r="J46" s="122"/>
      <c r="K46" s="122"/>
      <c r="L46" s="122"/>
      <c r="M46" s="137"/>
      <c r="N46" s="119"/>
      <c r="O46" s="120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</row>
    <row r="47" spans="1:26" ht="11.25" customHeight="1" x14ac:dyDescent="0.3">
      <c r="A47" s="122"/>
      <c r="B47" s="123"/>
      <c r="C47" s="119"/>
      <c r="D47" s="137"/>
      <c r="E47" s="138"/>
      <c r="F47" s="137"/>
      <c r="G47" s="137"/>
      <c r="H47" s="119"/>
      <c r="I47" s="127" t="s">
        <v>218</v>
      </c>
      <c r="J47" s="175">
        <v>82.809299999999993</v>
      </c>
      <c r="K47" s="163"/>
      <c r="L47" s="163"/>
      <c r="M47" s="176"/>
      <c r="N47" s="119"/>
      <c r="O47" s="120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</row>
    <row r="48" spans="1:26" ht="11.25" customHeight="1" x14ac:dyDescent="0.3">
      <c r="A48" s="122"/>
      <c r="B48" s="123"/>
      <c r="C48" s="119"/>
      <c r="D48" s="122"/>
      <c r="E48" s="122"/>
      <c r="F48" s="122"/>
      <c r="G48" s="122"/>
      <c r="H48" s="119"/>
      <c r="I48" s="139"/>
      <c r="J48" s="141" t="s">
        <v>198</v>
      </c>
      <c r="K48" s="141" t="s">
        <v>153</v>
      </c>
      <c r="L48" s="141" t="s">
        <v>154</v>
      </c>
      <c r="M48" s="177" t="s">
        <v>152</v>
      </c>
      <c r="N48" s="119"/>
      <c r="O48" s="120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</row>
    <row r="49" spans="1:26" ht="11.25" customHeight="1" x14ac:dyDescent="0.3">
      <c r="A49" s="122"/>
      <c r="B49" s="123"/>
      <c r="C49" s="119"/>
      <c r="D49" s="122"/>
      <c r="E49" s="122"/>
      <c r="F49" s="122"/>
      <c r="G49" s="122"/>
      <c r="H49" s="119"/>
      <c r="I49" s="139" t="s">
        <v>157</v>
      </c>
      <c r="J49" s="140">
        <f>J47*86.67</f>
        <v>7177.0820309999999</v>
      </c>
      <c r="K49" s="141"/>
      <c r="L49" s="140">
        <f>J49*24</f>
        <v>172249.96874400001</v>
      </c>
      <c r="M49" s="142">
        <f>L49/12</f>
        <v>14354.164062000002</v>
      </c>
      <c r="N49" s="119"/>
      <c r="O49" s="120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</row>
    <row r="50" spans="1:26" ht="11.25" customHeight="1" x14ac:dyDescent="0.3">
      <c r="A50" s="122"/>
      <c r="B50" s="123"/>
      <c r="C50" s="119"/>
      <c r="D50" s="122"/>
      <c r="E50" s="122"/>
      <c r="F50" s="122"/>
      <c r="G50" s="122"/>
      <c r="H50" s="119"/>
      <c r="I50" s="139" t="s">
        <v>219</v>
      </c>
      <c r="J50" s="140">
        <v>34</v>
      </c>
      <c r="K50" s="141"/>
      <c r="L50" s="140"/>
      <c r="M50" s="142"/>
      <c r="N50" s="119"/>
      <c r="O50" s="120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</row>
    <row r="51" spans="1:26" ht="11.25" customHeight="1" x14ac:dyDescent="0.3">
      <c r="A51" s="122"/>
      <c r="B51" s="123"/>
      <c r="C51" s="119"/>
      <c r="D51" s="122"/>
      <c r="E51" s="122"/>
      <c r="F51" s="122"/>
      <c r="G51" s="122"/>
      <c r="H51" s="119"/>
      <c r="I51" s="133" t="s">
        <v>220</v>
      </c>
      <c r="J51" s="134">
        <f>J49+J50</f>
        <v>7211.0820309999999</v>
      </c>
      <c r="K51" s="135"/>
      <c r="L51" s="134"/>
      <c r="M51" s="136"/>
      <c r="N51" s="119"/>
      <c r="O51" s="120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</row>
    <row r="52" spans="1:26" ht="11.25" customHeight="1" x14ac:dyDescent="0.3">
      <c r="A52" s="122"/>
      <c r="B52" s="123"/>
      <c r="C52" s="119"/>
      <c r="D52" s="184"/>
      <c r="E52" s="122"/>
      <c r="F52" s="122"/>
      <c r="G52" s="122"/>
      <c r="H52" s="119"/>
      <c r="I52" s="139"/>
      <c r="J52" s="140"/>
      <c r="K52" s="141"/>
      <c r="L52" s="140"/>
      <c r="M52" s="142"/>
      <c r="N52" s="119"/>
      <c r="O52" s="120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</row>
    <row r="53" spans="1:26" ht="11.25" customHeight="1" x14ac:dyDescent="0.3">
      <c r="A53" s="121"/>
      <c r="B53" s="121"/>
      <c r="C53" s="121"/>
      <c r="D53" s="121"/>
      <c r="E53" s="121"/>
      <c r="F53" s="121"/>
      <c r="G53" s="121"/>
      <c r="H53" s="121"/>
      <c r="I53" s="139" t="s">
        <v>221</v>
      </c>
      <c r="J53" s="140">
        <v>9.0500000000000007</v>
      </c>
      <c r="K53" s="148">
        <f>J53/J49</f>
        <v>1.2609581388244274E-3</v>
      </c>
      <c r="L53" s="140">
        <f t="shared" ref="L53:L56" si="21">J53*24</f>
        <v>217.20000000000002</v>
      </c>
      <c r="M53" s="142">
        <f t="shared" ref="M53:M56" si="22">L53/12</f>
        <v>18.100000000000001</v>
      </c>
      <c r="N53" s="119"/>
      <c r="O53" s="120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</row>
    <row r="54" spans="1:26" ht="11.25" customHeight="1" x14ac:dyDescent="0.3">
      <c r="A54" s="121"/>
      <c r="B54" s="121"/>
      <c r="C54" s="121"/>
      <c r="D54" s="121"/>
      <c r="E54" s="121"/>
      <c r="F54" s="121"/>
      <c r="G54" s="121"/>
      <c r="H54" s="121"/>
      <c r="I54" s="139" t="s">
        <v>222</v>
      </c>
      <c r="J54" s="140">
        <v>23.67</v>
      </c>
      <c r="K54" s="148">
        <f>J54/J49</f>
        <v>3.2979976956877561E-3</v>
      </c>
      <c r="L54" s="140">
        <f t="shared" si="21"/>
        <v>568.08000000000004</v>
      </c>
      <c r="M54" s="142">
        <f t="shared" si="22"/>
        <v>47.34</v>
      </c>
      <c r="N54" s="119"/>
      <c r="O54" s="120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</row>
    <row r="55" spans="1:26" ht="11.25" customHeight="1" x14ac:dyDescent="0.3">
      <c r="A55" s="121"/>
      <c r="B55" s="121"/>
      <c r="C55" s="121"/>
      <c r="D55" s="121"/>
      <c r="E55" s="121"/>
      <c r="F55" s="121"/>
      <c r="G55" s="121"/>
      <c r="H55" s="121"/>
      <c r="I55" s="139" t="s">
        <v>223</v>
      </c>
      <c r="J55" s="140">
        <v>-32.15</v>
      </c>
      <c r="K55" s="148">
        <f>J55/J49</f>
        <v>-4.4795363716248985E-3</v>
      </c>
      <c r="L55" s="140">
        <f t="shared" si="21"/>
        <v>-771.59999999999991</v>
      </c>
      <c r="M55" s="142">
        <f t="shared" si="22"/>
        <v>-64.3</v>
      </c>
      <c r="N55" s="119"/>
      <c r="O55" s="120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</row>
    <row r="56" spans="1:26" ht="11.25" customHeight="1" x14ac:dyDescent="0.3">
      <c r="A56" s="121"/>
      <c r="B56" s="121"/>
      <c r="C56" s="121"/>
      <c r="D56" s="121"/>
      <c r="E56" s="121"/>
      <c r="F56" s="121"/>
      <c r="G56" s="121"/>
      <c r="H56" s="121"/>
      <c r="I56" s="139" t="s">
        <v>162</v>
      </c>
      <c r="J56" s="140">
        <f>J49*K56</f>
        <v>502.39574217000006</v>
      </c>
      <c r="K56" s="148">
        <v>7.0000000000000007E-2</v>
      </c>
      <c r="L56" s="140">
        <f t="shared" si="21"/>
        <v>12057.497812080001</v>
      </c>
      <c r="M56" s="142">
        <f t="shared" si="22"/>
        <v>1004.79148434</v>
      </c>
      <c r="N56" s="119"/>
      <c r="O56" s="120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</row>
    <row r="57" spans="1:26" ht="11.25" customHeight="1" x14ac:dyDescent="0.3">
      <c r="A57" s="121"/>
      <c r="B57" s="121"/>
      <c r="C57" s="121"/>
      <c r="D57" s="121"/>
      <c r="E57" s="121"/>
      <c r="F57" s="121"/>
      <c r="G57" s="121"/>
      <c r="H57" s="121"/>
      <c r="I57" s="133" t="s">
        <v>164</v>
      </c>
      <c r="J57" s="134">
        <f>SUM(J53:J56)</f>
        <v>502.96574217000006</v>
      </c>
      <c r="K57" s="135"/>
      <c r="L57" s="134"/>
      <c r="M57" s="136"/>
      <c r="N57" s="120"/>
      <c r="O57" s="120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</row>
    <row r="58" spans="1:26" ht="11.25" customHeight="1" x14ac:dyDescent="0.3">
      <c r="A58" s="121"/>
      <c r="B58" s="121"/>
      <c r="C58" s="121"/>
      <c r="D58" s="121"/>
      <c r="E58" s="121"/>
      <c r="F58" s="121"/>
      <c r="G58" s="121"/>
      <c r="H58" s="121"/>
      <c r="I58" s="139"/>
      <c r="J58" s="140"/>
      <c r="K58" s="141"/>
      <c r="L58" s="140"/>
      <c r="M58" s="142"/>
      <c r="N58" s="120"/>
      <c r="O58" s="120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</row>
    <row r="59" spans="1:26" ht="11.25" customHeight="1" x14ac:dyDescent="0.3">
      <c r="A59" s="121"/>
      <c r="B59" s="121"/>
      <c r="C59" s="121"/>
      <c r="D59" s="121"/>
      <c r="E59" s="121"/>
      <c r="F59" s="121"/>
      <c r="G59" s="121"/>
      <c r="H59" s="121"/>
      <c r="I59" s="133" t="s">
        <v>167</v>
      </c>
      <c r="J59" s="134">
        <f>J51-J57</f>
        <v>6708.1162888299996</v>
      </c>
      <c r="K59" s="135"/>
      <c r="L59" s="134">
        <f>J59*24</f>
        <v>160994.79093192</v>
      </c>
      <c r="M59" s="136">
        <f>L59/12</f>
        <v>13416.232577659999</v>
      </c>
      <c r="N59" s="119"/>
      <c r="O59" s="120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</row>
    <row r="60" spans="1:26" ht="11.25" customHeight="1" x14ac:dyDescent="0.3">
      <c r="A60" s="121"/>
      <c r="B60" s="121"/>
      <c r="C60" s="121"/>
      <c r="D60" s="121"/>
      <c r="E60" s="121"/>
      <c r="F60" s="121"/>
      <c r="G60" s="121"/>
      <c r="H60" s="121"/>
      <c r="I60" s="139"/>
      <c r="J60" s="140"/>
      <c r="K60" s="141"/>
      <c r="L60" s="140"/>
      <c r="M60" s="142"/>
      <c r="N60" s="119"/>
      <c r="O60" s="120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</row>
    <row r="61" spans="1:26" ht="11.25" customHeight="1" x14ac:dyDescent="0.3">
      <c r="A61" s="121"/>
      <c r="B61" s="121"/>
      <c r="C61" s="121"/>
      <c r="D61" s="121"/>
      <c r="E61" s="121"/>
      <c r="F61" s="121"/>
      <c r="G61" s="121"/>
      <c r="H61" s="121"/>
      <c r="I61" s="139" t="s">
        <v>170</v>
      </c>
      <c r="J61" s="140">
        <v>1140.53</v>
      </c>
      <c r="K61" s="148">
        <f>J61/J59</f>
        <v>0.17002239539274985</v>
      </c>
      <c r="L61" s="140">
        <f t="shared" ref="L61:L65" si="23">J61*24</f>
        <v>27372.720000000001</v>
      </c>
      <c r="M61" s="142">
        <f t="shared" ref="M61:M65" si="24">L61/12</f>
        <v>2281.06</v>
      </c>
      <c r="N61" s="119"/>
      <c r="O61" s="120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</row>
    <row r="62" spans="1:26" ht="11.25" customHeight="1" x14ac:dyDescent="0.3">
      <c r="A62" s="121"/>
      <c r="B62" s="121"/>
      <c r="C62" s="121"/>
      <c r="D62" s="121"/>
      <c r="E62" s="121"/>
      <c r="F62" s="121"/>
      <c r="G62" s="121"/>
      <c r="H62" s="121"/>
      <c r="I62" s="139" t="s">
        <v>172</v>
      </c>
      <c r="J62" s="140">
        <v>203.9</v>
      </c>
      <c r="K62" s="148">
        <f>J62/J59</f>
        <v>3.0396014502539783E-2</v>
      </c>
      <c r="L62" s="140">
        <f t="shared" si="23"/>
        <v>4893.6000000000004</v>
      </c>
      <c r="M62" s="142">
        <f t="shared" si="24"/>
        <v>407.8</v>
      </c>
      <c r="N62" s="119"/>
      <c r="O62" s="120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</row>
    <row r="63" spans="1:26" ht="11.25" customHeight="1" x14ac:dyDescent="0.3">
      <c r="A63" s="121"/>
      <c r="B63" s="121"/>
      <c r="C63" s="121"/>
      <c r="D63" s="121"/>
      <c r="E63" s="121"/>
      <c r="F63" s="121"/>
      <c r="G63" s="121"/>
      <c r="H63" s="121"/>
      <c r="I63" s="139" t="s">
        <v>173</v>
      </c>
      <c r="J63" s="140">
        <v>104.55</v>
      </c>
      <c r="K63" s="148">
        <f>J63/J51</f>
        <v>1.4498517635847984E-2</v>
      </c>
      <c r="L63" s="140">
        <f t="shared" si="23"/>
        <v>2509.1999999999998</v>
      </c>
      <c r="M63" s="142">
        <f t="shared" si="24"/>
        <v>209.1</v>
      </c>
      <c r="N63" s="119"/>
      <c r="O63" s="120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</row>
    <row r="64" spans="1:26" ht="11.25" customHeight="1" x14ac:dyDescent="0.3">
      <c r="A64" s="121"/>
      <c r="B64" s="121"/>
      <c r="C64" s="121"/>
      <c r="D64" s="121"/>
      <c r="E64" s="121"/>
      <c r="F64" s="121"/>
      <c r="G64" s="121"/>
      <c r="H64" s="121"/>
      <c r="I64" s="139" t="s">
        <v>175</v>
      </c>
      <c r="J64" s="140">
        <v>447.05</v>
      </c>
      <c r="K64" s="148">
        <f>J64/J51</f>
        <v>6.1994857093312691E-2</v>
      </c>
      <c r="L64" s="140">
        <f t="shared" si="23"/>
        <v>10729.2</v>
      </c>
      <c r="M64" s="142">
        <f t="shared" si="24"/>
        <v>894.1</v>
      </c>
      <c r="N64" s="119"/>
      <c r="O64" s="120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</row>
    <row r="65" spans="1:26" ht="11.25" customHeight="1" x14ac:dyDescent="0.3">
      <c r="A65" s="121"/>
      <c r="B65" s="121"/>
      <c r="C65" s="121"/>
      <c r="D65" s="121"/>
      <c r="E65" s="121"/>
      <c r="F65" s="121"/>
      <c r="G65" s="121"/>
      <c r="H65" s="121"/>
      <c r="I65" s="139" t="s">
        <v>179</v>
      </c>
      <c r="J65" s="140">
        <v>180.26</v>
      </c>
      <c r="K65" s="148">
        <f>J65/J51</f>
        <v>2.4997635476211932E-2</v>
      </c>
      <c r="L65" s="140">
        <f t="shared" si="23"/>
        <v>4326.24</v>
      </c>
      <c r="M65" s="142">
        <f t="shared" si="24"/>
        <v>360.52</v>
      </c>
      <c r="N65" s="119"/>
      <c r="O65" s="120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</row>
    <row r="66" spans="1:26" ht="11.25" customHeight="1" x14ac:dyDescent="0.3">
      <c r="A66" s="121"/>
      <c r="B66" s="121"/>
      <c r="C66" s="121"/>
      <c r="D66" s="121"/>
      <c r="E66" s="121"/>
      <c r="F66" s="121"/>
      <c r="G66" s="121"/>
      <c r="H66" s="121"/>
      <c r="I66" s="133" t="s">
        <v>181</v>
      </c>
      <c r="J66" s="134">
        <f>SUM(J61:J65)</f>
        <v>2076.29</v>
      </c>
      <c r="K66" s="152">
        <f>J66/J49</f>
        <v>0.28929445017235028</v>
      </c>
      <c r="L66" s="134"/>
      <c r="M66" s="136"/>
      <c r="N66" s="119"/>
      <c r="O66" s="120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</row>
    <row r="67" spans="1:26" ht="11.25" customHeight="1" x14ac:dyDescent="0.3">
      <c r="A67" s="121"/>
      <c r="B67" s="121"/>
      <c r="C67" s="121"/>
      <c r="D67" s="121"/>
      <c r="E67" s="121"/>
      <c r="F67" s="121"/>
      <c r="G67" s="121"/>
      <c r="H67" s="121"/>
      <c r="I67" s="139"/>
      <c r="J67" s="140"/>
      <c r="K67" s="141"/>
      <c r="L67" s="140"/>
      <c r="M67" s="142"/>
      <c r="N67" s="119"/>
      <c r="O67" s="120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</row>
    <row r="68" spans="1:26" ht="11.25" customHeight="1" x14ac:dyDescent="0.3">
      <c r="A68" s="121"/>
      <c r="B68" s="121"/>
      <c r="C68" s="121"/>
      <c r="D68" s="121"/>
      <c r="E68" s="121"/>
      <c r="F68" s="121"/>
      <c r="G68" s="121"/>
      <c r="H68" s="121"/>
      <c r="I68" s="179" t="s">
        <v>215</v>
      </c>
      <c r="J68" s="180">
        <f>J49-J57-J66</f>
        <v>4597.8262888299996</v>
      </c>
      <c r="K68" s="181">
        <f>(J68+J56)/J49</f>
        <v>0.71062613036476241</v>
      </c>
      <c r="L68" s="180">
        <f>J68*24</f>
        <v>110347.83093191999</v>
      </c>
      <c r="M68" s="182">
        <f>L68/12</f>
        <v>9195.6525776599992</v>
      </c>
      <c r="N68" s="174">
        <f>L68</f>
        <v>110347.83093191999</v>
      </c>
      <c r="O68" s="120">
        <f>N68/24</f>
        <v>4597.8262888299996</v>
      </c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</row>
    <row r="69" spans="1:26" ht="11.25" customHeight="1" x14ac:dyDescent="0.3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</row>
    <row r="70" spans="1:26" ht="11.25" customHeight="1" x14ac:dyDescent="0.3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</row>
    <row r="71" spans="1:26" ht="11.25" customHeight="1" x14ac:dyDescent="0.3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</row>
    <row r="72" spans="1:26" ht="11.25" customHeight="1" x14ac:dyDescent="0.3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</row>
    <row r="73" spans="1:26" ht="11.25" customHeight="1" x14ac:dyDescent="0.3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</row>
    <row r="74" spans="1:26" ht="11.25" customHeight="1" x14ac:dyDescent="0.3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</row>
    <row r="75" spans="1:26" ht="11.25" customHeight="1" x14ac:dyDescent="0.3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</row>
    <row r="76" spans="1:26" ht="11.25" customHeight="1" x14ac:dyDescent="0.3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</row>
    <row r="77" spans="1:26" ht="11.25" customHeight="1" x14ac:dyDescent="0.3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</row>
    <row r="78" spans="1:26" ht="11.25" customHeight="1" x14ac:dyDescent="0.3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</row>
    <row r="79" spans="1:26" ht="11.25" customHeight="1" x14ac:dyDescent="0.3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</row>
    <row r="80" spans="1:26" ht="11.25" customHeight="1" x14ac:dyDescent="0.3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</row>
    <row r="81" spans="1:26" ht="11.25" customHeight="1" x14ac:dyDescent="0.3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</row>
    <row r="82" spans="1:26" ht="11.25" customHeight="1" x14ac:dyDescent="0.3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</row>
    <row r="83" spans="1:26" ht="11.25" customHeight="1" x14ac:dyDescent="0.3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</row>
    <row r="84" spans="1:26" ht="11.25" customHeight="1" x14ac:dyDescent="0.3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</row>
    <row r="85" spans="1:26" ht="11.25" customHeight="1" x14ac:dyDescent="0.3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</row>
    <row r="86" spans="1:26" ht="11.25" customHeight="1" x14ac:dyDescent="0.3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</row>
    <row r="87" spans="1:26" ht="11.25" customHeight="1" x14ac:dyDescent="0.3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</row>
    <row r="88" spans="1:26" ht="11.25" customHeight="1" x14ac:dyDescent="0.3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</row>
    <row r="89" spans="1:26" ht="11.25" customHeight="1" x14ac:dyDescent="0.3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</row>
    <row r="90" spans="1:26" ht="11.25" customHeight="1" x14ac:dyDescent="0.3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</row>
    <row r="91" spans="1:26" ht="11.25" customHeight="1" x14ac:dyDescent="0.3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</row>
    <row r="92" spans="1:26" ht="11.25" customHeight="1" x14ac:dyDescent="0.3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</row>
    <row r="93" spans="1:26" ht="11.25" customHeight="1" x14ac:dyDescent="0.3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</row>
    <row r="94" spans="1:26" ht="11.25" customHeight="1" x14ac:dyDescent="0.3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</row>
    <row r="95" spans="1:26" ht="11.25" customHeight="1" x14ac:dyDescent="0.3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</row>
    <row r="96" spans="1:26" ht="11.25" customHeight="1" x14ac:dyDescent="0.3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</row>
    <row r="97" spans="1:26" ht="11.25" customHeight="1" x14ac:dyDescent="0.3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</row>
    <row r="98" spans="1:26" ht="11.25" customHeight="1" x14ac:dyDescent="0.3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</row>
    <row r="99" spans="1:26" ht="11.25" customHeight="1" x14ac:dyDescent="0.3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</row>
    <row r="100" spans="1:26" ht="11.25" customHeight="1" x14ac:dyDescent="0.3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</row>
    <row r="101" spans="1:26" ht="11.25" customHeight="1" x14ac:dyDescent="0.3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</row>
    <row r="102" spans="1:26" ht="11.25" customHeight="1" x14ac:dyDescent="0.3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</row>
    <row r="103" spans="1:26" ht="11.25" customHeight="1" x14ac:dyDescent="0.3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</row>
    <row r="104" spans="1:26" ht="11.25" customHeight="1" x14ac:dyDescent="0.3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</row>
    <row r="105" spans="1:26" ht="11.25" customHeight="1" x14ac:dyDescent="0.3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</row>
    <row r="106" spans="1:26" ht="11.25" customHeight="1" x14ac:dyDescent="0.3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</row>
    <row r="107" spans="1:26" ht="11.25" customHeight="1" x14ac:dyDescent="0.3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</row>
    <row r="108" spans="1:26" ht="11.25" customHeight="1" x14ac:dyDescent="0.3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</row>
    <row r="109" spans="1:26" ht="11.25" customHeight="1" x14ac:dyDescent="0.3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</row>
    <row r="110" spans="1:26" ht="11.25" customHeight="1" x14ac:dyDescent="0.3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</row>
    <row r="111" spans="1:26" ht="11.25" customHeight="1" x14ac:dyDescent="0.3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</row>
    <row r="112" spans="1:26" ht="11.25" customHeight="1" x14ac:dyDescent="0.3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</row>
    <row r="113" spans="1:26" ht="11.25" customHeight="1" x14ac:dyDescent="0.3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</row>
    <row r="114" spans="1:26" ht="11.25" customHeight="1" x14ac:dyDescent="0.3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</row>
    <row r="115" spans="1:26" ht="11.25" customHeight="1" x14ac:dyDescent="0.3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</row>
    <row r="116" spans="1:26" ht="11.25" customHeight="1" x14ac:dyDescent="0.3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</row>
    <row r="117" spans="1:26" ht="11.25" customHeight="1" x14ac:dyDescent="0.3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</row>
    <row r="118" spans="1:26" ht="11.25" customHeight="1" x14ac:dyDescent="0.3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</row>
    <row r="119" spans="1:26" ht="11.25" customHeight="1" x14ac:dyDescent="0.3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</row>
    <row r="120" spans="1:26" ht="11.25" customHeight="1" x14ac:dyDescent="0.3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</row>
    <row r="121" spans="1:26" ht="11.25" customHeight="1" x14ac:dyDescent="0.3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</row>
    <row r="122" spans="1:26" ht="11.25" customHeight="1" x14ac:dyDescent="0.3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</row>
    <row r="123" spans="1:26" ht="11.25" customHeight="1" x14ac:dyDescent="0.3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</row>
    <row r="124" spans="1:26" ht="11.25" customHeight="1" x14ac:dyDescent="0.3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</row>
    <row r="125" spans="1:26" ht="11.25" customHeight="1" x14ac:dyDescent="0.3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</row>
    <row r="126" spans="1:26" ht="11.25" customHeight="1" x14ac:dyDescent="0.3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</row>
    <row r="127" spans="1:26" ht="11.25" customHeight="1" x14ac:dyDescent="0.3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</row>
    <row r="128" spans="1:26" ht="11.25" customHeight="1" x14ac:dyDescent="0.3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</row>
    <row r="129" spans="1:26" ht="11.25" customHeight="1" x14ac:dyDescent="0.3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</row>
    <row r="130" spans="1:26" ht="11.25" customHeight="1" x14ac:dyDescent="0.3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</row>
    <row r="131" spans="1:26" ht="11.25" customHeight="1" x14ac:dyDescent="0.3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</row>
    <row r="132" spans="1:26" ht="11.25" customHeight="1" x14ac:dyDescent="0.3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</row>
    <row r="133" spans="1:26" ht="11.25" customHeight="1" x14ac:dyDescent="0.3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</row>
    <row r="134" spans="1:26" ht="11.25" customHeight="1" x14ac:dyDescent="0.3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</row>
    <row r="135" spans="1:26" ht="11.25" customHeight="1" x14ac:dyDescent="0.3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</row>
    <row r="136" spans="1:26" ht="11.25" customHeight="1" x14ac:dyDescent="0.3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</row>
    <row r="137" spans="1:26" ht="11.25" customHeight="1" x14ac:dyDescent="0.3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</row>
    <row r="138" spans="1:26" ht="11.25" customHeight="1" x14ac:dyDescent="0.3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</row>
    <row r="139" spans="1:26" ht="11.25" customHeight="1" x14ac:dyDescent="0.3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</row>
    <row r="140" spans="1:26" ht="11.25" customHeight="1" x14ac:dyDescent="0.3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</row>
    <row r="141" spans="1:26" ht="11.25" customHeight="1" x14ac:dyDescent="0.3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</row>
    <row r="142" spans="1:26" ht="11.25" customHeight="1" x14ac:dyDescent="0.3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</row>
    <row r="143" spans="1:26" ht="11.25" customHeight="1" x14ac:dyDescent="0.3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</row>
    <row r="144" spans="1:26" ht="11.25" customHeight="1" x14ac:dyDescent="0.3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</row>
    <row r="145" spans="1:26" ht="11.25" customHeight="1" x14ac:dyDescent="0.3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</row>
    <row r="146" spans="1:26" ht="11.25" customHeight="1" x14ac:dyDescent="0.3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</row>
    <row r="147" spans="1:26" ht="11.25" customHeight="1" x14ac:dyDescent="0.3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</row>
    <row r="148" spans="1:26" ht="11.25" customHeight="1" x14ac:dyDescent="0.3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</row>
    <row r="149" spans="1:26" ht="11.25" customHeight="1" x14ac:dyDescent="0.3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</row>
    <row r="150" spans="1:26" ht="11.25" customHeight="1" x14ac:dyDescent="0.3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</row>
    <row r="151" spans="1:26" ht="11.25" customHeight="1" x14ac:dyDescent="0.3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</row>
    <row r="152" spans="1:26" ht="11.25" customHeight="1" x14ac:dyDescent="0.3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</row>
    <row r="153" spans="1:26" ht="11.25" customHeight="1" x14ac:dyDescent="0.3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</row>
    <row r="154" spans="1:26" ht="11.25" customHeight="1" x14ac:dyDescent="0.3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</row>
    <row r="155" spans="1:26" ht="11.25" customHeight="1" x14ac:dyDescent="0.3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</row>
    <row r="156" spans="1:26" ht="11.25" customHeight="1" x14ac:dyDescent="0.3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</row>
    <row r="157" spans="1:26" ht="11.25" customHeight="1" x14ac:dyDescent="0.3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</row>
    <row r="158" spans="1:26" ht="11.25" customHeight="1" x14ac:dyDescent="0.3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</row>
    <row r="159" spans="1:26" ht="11.25" customHeight="1" x14ac:dyDescent="0.3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</row>
    <row r="160" spans="1:26" ht="11.25" customHeight="1" x14ac:dyDescent="0.3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</row>
    <row r="161" spans="1:26" ht="11.25" customHeight="1" x14ac:dyDescent="0.3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</row>
    <row r="162" spans="1:26" ht="11.25" customHeight="1" x14ac:dyDescent="0.3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</row>
    <row r="163" spans="1:26" ht="11.25" customHeight="1" x14ac:dyDescent="0.3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</row>
    <row r="164" spans="1:26" ht="11.25" customHeight="1" x14ac:dyDescent="0.3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</row>
    <row r="165" spans="1:26" ht="11.25" customHeight="1" x14ac:dyDescent="0.3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</row>
    <row r="166" spans="1:26" ht="11.25" customHeight="1" x14ac:dyDescent="0.3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</row>
    <row r="167" spans="1:26" ht="11.25" customHeight="1" x14ac:dyDescent="0.3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</row>
    <row r="168" spans="1:26" ht="11.25" customHeight="1" x14ac:dyDescent="0.3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</row>
    <row r="169" spans="1:26" ht="11.25" customHeight="1" x14ac:dyDescent="0.3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</row>
    <row r="170" spans="1:26" ht="11.25" customHeight="1" x14ac:dyDescent="0.3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</row>
    <row r="171" spans="1:26" ht="11.25" customHeight="1" x14ac:dyDescent="0.3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</row>
    <row r="172" spans="1:26" ht="11.25" customHeight="1" x14ac:dyDescent="0.3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</row>
    <row r="173" spans="1:26" ht="11.25" customHeight="1" x14ac:dyDescent="0.3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</row>
    <row r="174" spans="1:26" ht="11.25" customHeight="1" x14ac:dyDescent="0.3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</row>
    <row r="175" spans="1:26" ht="11.25" customHeight="1" x14ac:dyDescent="0.3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</row>
    <row r="176" spans="1:26" ht="11.25" customHeight="1" x14ac:dyDescent="0.3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</row>
    <row r="177" spans="1:26" ht="11.25" customHeight="1" x14ac:dyDescent="0.3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</row>
    <row r="178" spans="1:26" ht="11.25" customHeight="1" x14ac:dyDescent="0.3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</row>
    <row r="179" spans="1:26" ht="11.25" customHeight="1" x14ac:dyDescent="0.3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</row>
    <row r="180" spans="1:26" ht="11.25" customHeight="1" x14ac:dyDescent="0.3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</row>
    <row r="181" spans="1:26" ht="11.25" customHeight="1" x14ac:dyDescent="0.3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</row>
    <row r="182" spans="1:26" ht="11.25" customHeight="1" x14ac:dyDescent="0.3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</row>
    <row r="183" spans="1:26" ht="11.25" customHeight="1" x14ac:dyDescent="0.3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</row>
    <row r="184" spans="1:26" ht="11.25" customHeight="1" x14ac:dyDescent="0.3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</row>
    <row r="185" spans="1:26" ht="11.25" customHeight="1" x14ac:dyDescent="0.3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</row>
    <row r="186" spans="1:26" ht="11.25" customHeight="1" x14ac:dyDescent="0.3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</row>
    <row r="187" spans="1:26" ht="11.25" customHeight="1" x14ac:dyDescent="0.3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</row>
    <row r="188" spans="1:26" ht="11.25" customHeight="1" x14ac:dyDescent="0.3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</row>
    <row r="189" spans="1:26" ht="11.25" customHeight="1" x14ac:dyDescent="0.3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</row>
    <row r="190" spans="1:26" ht="11.25" customHeight="1" x14ac:dyDescent="0.3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</row>
    <row r="191" spans="1:26" ht="11.25" customHeight="1" x14ac:dyDescent="0.3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</row>
    <row r="192" spans="1:26" ht="11.25" customHeight="1" x14ac:dyDescent="0.3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</row>
    <row r="193" spans="1:26" ht="11.25" customHeight="1" x14ac:dyDescent="0.3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</row>
    <row r="194" spans="1:26" ht="11.25" customHeight="1" x14ac:dyDescent="0.3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</row>
    <row r="195" spans="1:26" ht="11.25" customHeight="1" x14ac:dyDescent="0.3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</row>
    <row r="196" spans="1:26" ht="11.25" customHeight="1" x14ac:dyDescent="0.3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</row>
    <row r="197" spans="1:26" ht="11.25" customHeight="1" x14ac:dyDescent="0.3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</row>
    <row r="198" spans="1:26" ht="11.25" customHeight="1" x14ac:dyDescent="0.3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</row>
    <row r="199" spans="1:26" ht="11.25" customHeight="1" x14ac:dyDescent="0.3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</row>
    <row r="200" spans="1:26" ht="11.25" customHeight="1" x14ac:dyDescent="0.3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</row>
    <row r="201" spans="1:26" ht="11.25" customHeight="1" x14ac:dyDescent="0.3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</row>
    <row r="202" spans="1:26" ht="11.25" customHeight="1" x14ac:dyDescent="0.3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</row>
    <row r="203" spans="1:26" ht="11.25" customHeight="1" x14ac:dyDescent="0.3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</row>
    <row r="204" spans="1:26" ht="11.25" customHeight="1" x14ac:dyDescent="0.3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</row>
    <row r="205" spans="1:26" ht="11.25" customHeight="1" x14ac:dyDescent="0.3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</row>
    <row r="206" spans="1:26" ht="11.25" customHeight="1" x14ac:dyDescent="0.3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</row>
    <row r="207" spans="1:26" ht="11.25" customHeight="1" x14ac:dyDescent="0.3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</row>
    <row r="208" spans="1:26" ht="11.25" customHeight="1" x14ac:dyDescent="0.3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</row>
    <row r="209" spans="1:26" ht="11.25" customHeight="1" x14ac:dyDescent="0.3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</row>
    <row r="210" spans="1:26" ht="11.25" customHeight="1" x14ac:dyDescent="0.3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</row>
    <row r="211" spans="1:26" ht="11.25" customHeight="1" x14ac:dyDescent="0.3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</row>
    <row r="212" spans="1:26" ht="11.25" customHeight="1" x14ac:dyDescent="0.3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</row>
    <row r="213" spans="1:26" ht="11.25" customHeight="1" x14ac:dyDescent="0.3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</row>
    <row r="214" spans="1:26" ht="11.25" customHeight="1" x14ac:dyDescent="0.3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</row>
    <row r="215" spans="1:26" ht="11.25" customHeight="1" x14ac:dyDescent="0.3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</row>
    <row r="216" spans="1:26" ht="11.25" customHeight="1" x14ac:dyDescent="0.3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</row>
    <row r="217" spans="1:26" ht="11.25" customHeight="1" x14ac:dyDescent="0.3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</row>
    <row r="218" spans="1:26" ht="11.25" customHeight="1" x14ac:dyDescent="0.3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</row>
    <row r="219" spans="1:26" ht="11.25" customHeight="1" x14ac:dyDescent="0.3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</row>
    <row r="220" spans="1:26" ht="11.25" customHeight="1" x14ac:dyDescent="0.3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</row>
    <row r="221" spans="1:26" ht="11.25" customHeight="1" x14ac:dyDescent="0.3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</row>
    <row r="222" spans="1:26" ht="11.25" customHeight="1" x14ac:dyDescent="0.3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</row>
    <row r="223" spans="1:26" ht="11.25" customHeight="1" x14ac:dyDescent="0.3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</row>
    <row r="224" spans="1:26" ht="11.25" customHeight="1" x14ac:dyDescent="0.3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</row>
    <row r="225" spans="1:26" ht="11.25" customHeight="1" x14ac:dyDescent="0.3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</row>
    <row r="226" spans="1:26" ht="11.25" customHeight="1" x14ac:dyDescent="0.3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</row>
    <row r="227" spans="1:26" ht="11.25" customHeight="1" x14ac:dyDescent="0.3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</row>
    <row r="228" spans="1:26" ht="11.25" customHeight="1" x14ac:dyDescent="0.3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</row>
    <row r="229" spans="1:26" ht="11.25" customHeight="1" x14ac:dyDescent="0.3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</row>
    <row r="230" spans="1:26" ht="11.25" customHeight="1" x14ac:dyDescent="0.3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</row>
    <row r="231" spans="1:26" ht="11.25" customHeight="1" x14ac:dyDescent="0.3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</row>
    <row r="232" spans="1:26" ht="11.25" customHeight="1" x14ac:dyDescent="0.3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</row>
    <row r="233" spans="1:26" ht="11.25" customHeight="1" x14ac:dyDescent="0.3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</row>
    <row r="234" spans="1:26" ht="11.25" customHeight="1" x14ac:dyDescent="0.3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</row>
    <row r="235" spans="1:26" ht="11.25" customHeight="1" x14ac:dyDescent="0.3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</row>
    <row r="236" spans="1:26" ht="11.25" customHeight="1" x14ac:dyDescent="0.3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</row>
    <row r="237" spans="1:26" ht="11.25" customHeight="1" x14ac:dyDescent="0.3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</row>
    <row r="238" spans="1:26" ht="11.25" customHeight="1" x14ac:dyDescent="0.3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</row>
    <row r="239" spans="1:26" ht="11.25" customHeight="1" x14ac:dyDescent="0.3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</row>
    <row r="240" spans="1:26" ht="11.25" customHeight="1" x14ac:dyDescent="0.3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</row>
    <row r="241" spans="1:26" ht="11.25" customHeight="1" x14ac:dyDescent="0.3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</row>
    <row r="242" spans="1:26" ht="11.25" customHeight="1" x14ac:dyDescent="0.3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</row>
    <row r="243" spans="1:26" ht="11.25" customHeight="1" x14ac:dyDescent="0.3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</row>
    <row r="244" spans="1:26" ht="11.25" customHeight="1" x14ac:dyDescent="0.3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</row>
    <row r="245" spans="1:26" ht="11.25" customHeight="1" x14ac:dyDescent="0.3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</row>
    <row r="246" spans="1:26" ht="11.25" customHeight="1" x14ac:dyDescent="0.3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</row>
    <row r="247" spans="1:26" ht="11.25" customHeight="1" x14ac:dyDescent="0.3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</row>
    <row r="248" spans="1:26" ht="11.25" customHeight="1" x14ac:dyDescent="0.3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</row>
    <row r="249" spans="1:26" ht="11.25" customHeight="1" x14ac:dyDescent="0.3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</row>
    <row r="250" spans="1:26" ht="11.25" customHeight="1" x14ac:dyDescent="0.3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</row>
    <row r="251" spans="1:26" ht="11.25" customHeight="1" x14ac:dyDescent="0.3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</row>
    <row r="252" spans="1:26" ht="11.25" customHeight="1" x14ac:dyDescent="0.3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</row>
    <row r="253" spans="1:26" ht="11.25" customHeight="1" x14ac:dyDescent="0.3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</row>
    <row r="254" spans="1:26" ht="11.25" customHeight="1" x14ac:dyDescent="0.3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</row>
    <row r="255" spans="1:26" ht="11.25" customHeight="1" x14ac:dyDescent="0.3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</row>
    <row r="256" spans="1:26" ht="11.25" customHeight="1" x14ac:dyDescent="0.3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</row>
    <row r="257" spans="1:26" ht="11.25" customHeight="1" x14ac:dyDescent="0.3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</row>
    <row r="258" spans="1:26" ht="11.25" customHeight="1" x14ac:dyDescent="0.3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</row>
    <row r="259" spans="1:26" ht="11.25" customHeight="1" x14ac:dyDescent="0.3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</row>
    <row r="260" spans="1:26" ht="11.25" customHeight="1" x14ac:dyDescent="0.3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</row>
    <row r="261" spans="1:26" ht="11.25" customHeight="1" x14ac:dyDescent="0.3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</row>
    <row r="262" spans="1:26" ht="11.25" customHeight="1" x14ac:dyDescent="0.3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</row>
    <row r="263" spans="1:26" ht="11.25" customHeight="1" x14ac:dyDescent="0.3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</row>
    <row r="264" spans="1:26" ht="11.25" customHeight="1" x14ac:dyDescent="0.3">
      <c r="A264" s="121"/>
      <c r="B264" s="121"/>
      <c r="C264" s="121"/>
      <c r="D264" s="121"/>
      <c r="E264" s="121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</row>
    <row r="265" spans="1:26" ht="11.25" customHeight="1" x14ac:dyDescent="0.3">
      <c r="A265" s="121"/>
      <c r="B265" s="121"/>
      <c r="C265" s="121"/>
      <c r="D265" s="121"/>
      <c r="E265" s="121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</row>
    <row r="266" spans="1:26" ht="11.25" customHeight="1" x14ac:dyDescent="0.3">
      <c r="A266" s="121"/>
      <c r="B266" s="121"/>
      <c r="C266" s="121"/>
      <c r="D266" s="121"/>
      <c r="E266" s="121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</row>
    <row r="267" spans="1:26" ht="11.25" customHeight="1" x14ac:dyDescent="0.3">
      <c r="A267" s="121"/>
      <c r="B267" s="121"/>
      <c r="C267" s="121"/>
      <c r="D267" s="121"/>
      <c r="E267" s="121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</row>
    <row r="268" spans="1:26" ht="11.25" customHeight="1" x14ac:dyDescent="0.3">
      <c r="A268" s="121"/>
      <c r="B268" s="121"/>
      <c r="C268" s="121"/>
      <c r="D268" s="121"/>
      <c r="E268" s="121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</row>
    <row r="269" spans="1:26" ht="11.25" customHeight="1" x14ac:dyDescent="0.3">
      <c r="A269" s="121"/>
      <c r="B269" s="121"/>
      <c r="C269" s="121"/>
      <c r="D269" s="121"/>
      <c r="E269" s="121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</row>
    <row r="270" spans="1:26" ht="11.25" customHeight="1" x14ac:dyDescent="0.3">
      <c r="A270" s="121"/>
      <c r="B270" s="121"/>
      <c r="C270" s="121"/>
      <c r="D270" s="121"/>
      <c r="E270" s="121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</row>
    <row r="271" spans="1:26" ht="11.25" customHeight="1" x14ac:dyDescent="0.3">
      <c r="A271" s="121"/>
      <c r="B271" s="121"/>
      <c r="C271" s="121"/>
      <c r="D271" s="121"/>
      <c r="E271" s="121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</row>
    <row r="272" spans="1:26" ht="11.25" customHeight="1" x14ac:dyDescent="0.3">
      <c r="A272" s="121"/>
      <c r="B272" s="121"/>
      <c r="C272" s="121"/>
      <c r="D272" s="121"/>
      <c r="E272" s="121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</row>
    <row r="273" spans="1:26" ht="11.25" customHeight="1" x14ac:dyDescent="0.3">
      <c r="A273" s="121"/>
      <c r="B273" s="121"/>
      <c r="C273" s="121"/>
      <c r="D273" s="121"/>
      <c r="E273" s="121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</row>
    <row r="274" spans="1:26" ht="11.25" customHeight="1" x14ac:dyDescent="0.3">
      <c r="A274" s="121"/>
      <c r="B274" s="121"/>
      <c r="C274" s="121"/>
      <c r="D274" s="121"/>
      <c r="E274" s="121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</row>
    <row r="275" spans="1:26" ht="11.25" customHeight="1" x14ac:dyDescent="0.3">
      <c r="A275" s="121"/>
      <c r="B275" s="121"/>
      <c r="C275" s="121"/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</row>
    <row r="276" spans="1:26" ht="11.25" customHeight="1" x14ac:dyDescent="0.3">
      <c r="A276" s="121"/>
      <c r="B276" s="121"/>
      <c r="C276" s="121"/>
      <c r="D276" s="121"/>
      <c r="E276" s="121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</row>
    <row r="277" spans="1:26" ht="11.25" customHeight="1" x14ac:dyDescent="0.3">
      <c r="A277" s="121"/>
      <c r="B277" s="121"/>
      <c r="C277" s="121"/>
      <c r="D277" s="121"/>
      <c r="E277" s="121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</row>
    <row r="278" spans="1:26" ht="11.25" customHeight="1" x14ac:dyDescent="0.3">
      <c r="A278" s="121"/>
      <c r="B278" s="121"/>
      <c r="C278" s="121"/>
      <c r="D278" s="121"/>
      <c r="E278" s="121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</row>
    <row r="279" spans="1:26" ht="11.25" customHeight="1" x14ac:dyDescent="0.3">
      <c r="A279" s="121"/>
      <c r="B279" s="121"/>
      <c r="C279" s="121"/>
      <c r="D279" s="121"/>
      <c r="E279" s="121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</row>
    <row r="280" spans="1:26" ht="11.25" customHeight="1" x14ac:dyDescent="0.3">
      <c r="A280" s="121"/>
      <c r="B280" s="121"/>
      <c r="C280" s="121"/>
      <c r="D280" s="121"/>
      <c r="E280" s="121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</row>
    <row r="281" spans="1:26" ht="11.25" customHeight="1" x14ac:dyDescent="0.3">
      <c r="A281" s="121"/>
      <c r="B281" s="121"/>
      <c r="C281" s="121"/>
      <c r="D281" s="121"/>
      <c r="E281" s="121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</row>
    <row r="282" spans="1:26" ht="11.25" customHeight="1" x14ac:dyDescent="0.3">
      <c r="A282" s="121"/>
      <c r="B282" s="121"/>
      <c r="C282" s="121"/>
      <c r="D282" s="121"/>
      <c r="E282" s="121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</row>
    <row r="283" spans="1:26" ht="11.25" customHeight="1" x14ac:dyDescent="0.3">
      <c r="A283" s="121"/>
      <c r="B283" s="121"/>
      <c r="C283" s="121"/>
      <c r="D283" s="121"/>
      <c r="E283" s="121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</row>
    <row r="284" spans="1:26" ht="11.25" customHeight="1" x14ac:dyDescent="0.3">
      <c r="A284" s="121"/>
      <c r="B284" s="121"/>
      <c r="C284" s="121"/>
      <c r="D284" s="121"/>
      <c r="E284" s="121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</row>
    <row r="285" spans="1:26" ht="11.25" customHeight="1" x14ac:dyDescent="0.3">
      <c r="A285" s="121"/>
      <c r="B285" s="121"/>
      <c r="C285" s="121"/>
      <c r="D285" s="121"/>
      <c r="E285" s="121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</row>
    <row r="286" spans="1:26" ht="11.25" customHeight="1" x14ac:dyDescent="0.3">
      <c r="A286" s="121"/>
      <c r="B286" s="121"/>
      <c r="C286" s="121"/>
      <c r="D286" s="121"/>
      <c r="E286" s="121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</row>
    <row r="287" spans="1:26" ht="11.25" customHeight="1" x14ac:dyDescent="0.3">
      <c r="A287" s="121"/>
      <c r="B287" s="121"/>
      <c r="C287" s="121"/>
      <c r="D287" s="121"/>
      <c r="E287" s="121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</row>
    <row r="288" spans="1:26" ht="11.25" customHeight="1" x14ac:dyDescent="0.3">
      <c r="A288" s="121"/>
      <c r="B288" s="121"/>
      <c r="C288" s="121"/>
      <c r="D288" s="121"/>
      <c r="E288" s="121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</row>
    <row r="289" spans="1:26" ht="11.25" customHeight="1" x14ac:dyDescent="0.3">
      <c r="A289" s="121"/>
      <c r="B289" s="121"/>
      <c r="C289" s="121"/>
      <c r="D289" s="121"/>
      <c r="E289" s="121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</row>
    <row r="290" spans="1:26" ht="11.25" customHeight="1" x14ac:dyDescent="0.3">
      <c r="A290" s="121"/>
      <c r="B290" s="121"/>
      <c r="C290" s="121"/>
      <c r="D290" s="121"/>
      <c r="E290" s="121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</row>
    <row r="291" spans="1:26" ht="11.25" customHeight="1" x14ac:dyDescent="0.3">
      <c r="A291" s="121"/>
      <c r="B291" s="121"/>
      <c r="C291" s="121"/>
      <c r="D291" s="121"/>
      <c r="E291" s="121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</row>
    <row r="292" spans="1:26" ht="11.25" customHeight="1" x14ac:dyDescent="0.3">
      <c r="A292" s="121"/>
      <c r="B292" s="121"/>
      <c r="C292" s="121"/>
      <c r="D292" s="121"/>
      <c r="E292" s="121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</row>
    <row r="293" spans="1:26" ht="11.25" customHeight="1" x14ac:dyDescent="0.3">
      <c r="A293" s="121"/>
      <c r="B293" s="121"/>
      <c r="C293" s="121"/>
      <c r="D293" s="121"/>
      <c r="E293" s="121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</row>
    <row r="294" spans="1:26" ht="11.25" customHeight="1" x14ac:dyDescent="0.3">
      <c r="A294" s="121"/>
      <c r="B294" s="121"/>
      <c r="C294" s="121"/>
      <c r="D294" s="121"/>
      <c r="E294" s="121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</row>
    <row r="295" spans="1:26" ht="11.25" customHeight="1" x14ac:dyDescent="0.3">
      <c r="A295" s="121"/>
      <c r="B295" s="121"/>
      <c r="C295" s="121"/>
      <c r="D295" s="121"/>
      <c r="E295" s="121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</row>
    <row r="296" spans="1:26" ht="11.25" customHeight="1" x14ac:dyDescent="0.3">
      <c r="A296" s="121"/>
      <c r="B296" s="121"/>
      <c r="C296" s="121"/>
      <c r="D296" s="121"/>
      <c r="E296" s="121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</row>
    <row r="297" spans="1:26" ht="11.25" customHeight="1" x14ac:dyDescent="0.3">
      <c r="A297" s="121"/>
      <c r="B297" s="121"/>
      <c r="C297" s="121"/>
      <c r="D297" s="121"/>
      <c r="E297" s="121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</row>
    <row r="298" spans="1:26" ht="11.25" customHeight="1" x14ac:dyDescent="0.3">
      <c r="A298" s="121"/>
      <c r="B298" s="121"/>
      <c r="C298" s="121"/>
      <c r="D298" s="121"/>
      <c r="E298" s="121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</row>
    <row r="299" spans="1:26" ht="11.25" customHeight="1" x14ac:dyDescent="0.3">
      <c r="A299" s="121"/>
      <c r="B299" s="121"/>
      <c r="C299" s="121"/>
      <c r="D299" s="121"/>
      <c r="E299" s="121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</row>
    <row r="300" spans="1:26" ht="11.25" customHeight="1" x14ac:dyDescent="0.3">
      <c r="A300" s="121"/>
      <c r="B300" s="121"/>
      <c r="C300" s="121"/>
      <c r="D300" s="121"/>
      <c r="E300" s="121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</row>
    <row r="301" spans="1:26" ht="11.25" customHeight="1" x14ac:dyDescent="0.3">
      <c r="A301" s="121"/>
      <c r="B301" s="121"/>
      <c r="C301" s="121"/>
      <c r="D301" s="121"/>
      <c r="E301" s="121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</row>
    <row r="302" spans="1:26" ht="11.25" customHeight="1" x14ac:dyDescent="0.3">
      <c r="A302" s="121"/>
      <c r="B302" s="121"/>
      <c r="C302" s="121"/>
      <c r="D302" s="121"/>
      <c r="E302" s="121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</row>
    <row r="303" spans="1:26" ht="11.25" customHeight="1" x14ac:dyDescent="0.3">
      <c r="A303" s="121"/>
      <c r="B303" s="121"/>
      <c r="C303" s="121"/>
      <c r="D303" s="121"/>
      <c r="E303" s="121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</row>
    <row r="304" spans="1:26" ht="11.25" customHeight="1" x14ac:dyDescent="0.3">
      <c r="A304" s="121"/>
      <c r="B304" s="121"/>
      <c r="C304" s="121"/>
      <c r="D304" s="121"/>
      <c r="E304" s="121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</row>
    <row r="305" spans="1:26" ht="11.25" customHeight="1" x14ac:dyDescent="0.3">
      <c r="A305" s="121"/>
      <c r="B305" s="121"/>
      <c r="C305" s="121"/>
      <c r="D305" s="121"/>
      <c r="E305" s="121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</row>
    <row r="306" spans="1:26" ht="11.25" customHeight="1" x14ac:dyDescent="0.3">
      <c r="A306" s="121"/>
      <c r="B306" s="121"/>
      <c r="C306" s="121"/>
      <c r="D306" s="121"/>
      <c r="E306" s="121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</row>
    <row r="307" spans="1:26" ht="11.25" customHeight="1" x14ac:dyDescent="0.3">
      <c r="A307" s="121"/>
      <c r="B307" s="121"/>
      <c r="C307" s="121"/>
      <c r="D307" s="121"/>
      <c r="E307" s="121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</row>
    <row r="308" spans="1:26" ht="11.25" customHeight="1" x14ac:dyDescent="0.3">
      <c r="A308" s="121"/>
      <c r="B308" s="121"/>
      <c r="C308" s="121"/>
      <c r="D308" s="121"/>
      <c r="E308" s="121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</row>
    <row r="309" spans="1:26" ht="11.25" customHeight="1" x14ac:dyDescent="0.3">
      <c r="A309" s="121"/>
      <c r="B309" s="121"/>
      <c r="C309" s="121"/>
      <c r="D309" s="121"/>
      <c r="E309" s="121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</row>
    <row r="310" spans="1:26" ht="11.25" customHeight="1" x14ac:dyDescent="0.3">
      <c r="A310" s="121"/>
      <c r="B310" s="121"/>
      <c r="C310" s="121"/>
      <c r="D310" s="121"/>
      <c r="E310" s="121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</row>
    <row r="311" spans="1:26" ht="11.25" customHeight="1" x14ac:dyDescent="0.3">
      <c r="A311" s="121"/>
      <c r="B311" s="121"/>
      <c r="C311" s="121"/>
      <c r="D311" s="121"/>
      <c r="E311" s="121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</row>
    <row r="312" spans="1:26" ht="11.25" customHeight="1" x14ac:dyDescent="0.3">
      <c r="A312" s="121"/>
      <c r="B312" s="121"/>
      <c r="C312" s="121"/>
      <c r="D312" s="121"/>
      <c r="E312" s="121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</row>
    <row r="313" spans="1:26" ht="11.25" customHeight="1" x14ac:dyDescent="0.3">
      <c r="A313" s="121"/>
      <c r="B313" s="121"/>
      <c r="C313" s="121"/>
      <c r="D313" s="121"/>
      <c r="E313" s="121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</row>
    <row r="314" spans="1:26" ht="11.25" customHeight="1" x14ac:dyDescent="0.3">
      <c r="A314" s="121"/>
      <c r="B314" s="121"/>
      <c r="C314" s="121"/>
      <c r="D314" s="121"/>
      <c r="E314" s="121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</row>
    <row r="315" spans="1:26" ht="11.25" customHeight="1" x14ac:dyDescent="0.3">
      <c r="A315" s="121"/>
      <c r="B315" s="121"/>
      <c r="C315" s="121"/>
      <c r="D315" s="121"/>
      <c r="E315" s="121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</row>
    <row r="316" spans="1:26" ht="11.25" customHeight="1" x14ac:dyDescent="0.3">
      <c r="A316" s="121"/>
      <c r="B316" s="121"/>
      <c r="C316" s="121"/>
      <c r="D316" s="121"/>
      <c r="E316" s="121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</row>
    <row r="317" spans="1:26" ht="11.25" customHeight="1" x14ac:dyDescent="0.3">
      <c r="A317" s="121"/>
      <c r="B317" s="121"/>
      <c r="C317" s="121"/>
      <c r="D317" s="121"/>
      <c r="E317" s="121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</row>
    <row r="318" spans="1:26" ht="11.25" customHeight="1" x14ac:dyDescent="0.3">
      <c r="A318" s="121"/>
      <c r="B318" s="121"/>
      <c r="C318" s="121"/>
      <c r="D318" s="121"/>
      <c r="E318" s="121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</row>
    <row r="319" spans="1:26" ht="11.25" customHeight="1" x14ac:dyDescent="0.3">
      <c r="A319" s="121"/>
      <c r="B319" s="121"/>
      <c r="C319" s="121"/>
      <c r="D319" s="121"/>
      <c r="E319" s="121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</row>
    <row r="320" spans="1:26" ht="11.25" customHeight="1" x14ac:dyDescent="0.3">
      <c r="A320" s="121"/>
      <c r="B320" s="121"/>
      <c r="C320" s="121"/>
      <c r="D320" s="121"/>
      <c r="E320" s="121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</row>
    <row r="321" spans="1:26" ht="11.25" customHeight="1" x14ac:dyDescent="0.3">
      <c r="A321" s="121"/>
      <c r="B321" s="121"/>
      <c r="C321" s="121"/>
      <c r="D321" s="121"/>
      <c r="E321" s="121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</row>
    <row r="322" spans="1:26" ht="11.25" customHeight="1" x14ac:dyDescent="0.3">
      <c r="A322" s="121"/>
      <c r="B322" s="121"/>
      <c r="C322" s="121"/>
      <c r="D322" s="121"/>
      <c r="E322" s="121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</row>
    <row r="323" spans="1:26" ht="11.25" customHeight="1" x14ac:dyDescent="0.3">
      <c r="A323" s="121"/>
      <c r="B323" s="121"/>
      <c r="C323" s="121"/>
      <c r="D323" s="121"/>
      <c r="E323" s="121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</row>
    <row r="324" spans="1:26" ht="11.25" customHeight="1" x14ac:dyDescent="0.3">
      <c r="A324" s="121"/>
      <c r="B324" s="121"/>
      <c r="C324" s="121"/>
      <c r="D324" s="121"/>
      <c r="E324" s="121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</row>
    <row r="325" spans="1:26" ht="11.25" customHeight="1" x14ac:dyDescent="0.3">
      <c r="A325" s="121"/>
      <c r="B325" s="121"/>
      <c r="C325" s="121"/>
      <c r="D325" s="121"/>
      <c r="E325" s="121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</row>
    <row r="326" spans="1:26" ht="11.25" customHeight="1" x14ac:dyDescent="0.3">
      <c r="A326" s="121"/>
      <c r="B326" s="121"/>
      <c r="C326" s="121"/>
      <c r="D326" s="121"/>
      <c r="E326" s="121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</row>
    <row r="327" spans="1:26" ht="11.25" customHeight="1" x14ac:dyDescent="0.3">
      <c r="A327" s="121"/>
      <c r="B327" s="121"/>
      <c r="C327" s="121"/>
      <c r="D327" s="121"/>
      <c r="E327" s="121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</row>
    <row r="328" spans="1:26" ht="11.25" customHeight="1" x14ac:dyDescent="0.3">
      <c r="A328" s="121"/>
      <c r="B328" s="121"/>
      <c r="C328" s="121"/>
      <c r="D328" s="121"/>
      <c r="E328" s="121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</row>
    <row r="329" spans="1:26" ht="11.25" customHeight="1" x14ac:dyDescent="0.3">
      <c r="A329" s="121"/>
      <c r="B329" s="121"/>
      <c r="C329" s="121"/>
      <c r="D329" s="121"/>
      <c r="E329" s="121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</row>
    <row r="330" spans="1:26" ht="11.25" customHeight="1" x14ac:dyDescent="0.3">
      <c r="A330" s="121"/>
      <c r="B330" s="121"/>
      <c r="C330" s="121"/>
      <c r="D330" s="121"/>
      <c r="E330" s="121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</row>
    <row r="331" spans="1:26" ht="11.25" customHeight="1" x14ac:dyDescent="0.3">
      <c r="A331" s="121"/>
      <c r="B331" s="121"/>
      <c r="C331" s="121"/>
      <c r="D331" s="121"/>
      <c r="E331" s="121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</row>
    <row r="332" spans="1:26" ht="11.25" customHeight="1" x14ac:dyDescent="0.3">
      <c r="A332" s="121"/>
      <c r="B332" s="121"/>
      <c r="C332" s="121"/>
      <c r="D332" s="121"/>
      <c r="E332" s="121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</row>
    <row r="333" spans="1:26" ht="11.25" customHeight="1" x14ac:dyDescent="0.3">
      <c r="A333" s="121"/>
      <c r="B333" s="121"/>
      <c r="C333" s="121"/>
      <c r="D333" s="121"/>
      <c r="E333" s="121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</row>
    <row r="334" spans="1:26" ht="11.25" customHeight="1" x14ac:dyDescent="0.3">
      <c r="A334" s="121"/>
      <c r="B334" s="121"/>
      <c r="C334" s="121"/>
      <c r="D334" s="121"/>
      <c r="E334" s="121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</row>
    <row r="335" spans="1:26" ht="11.25" customHeight="1" x14ac:dyDescent="0.3">
      <c r="A335" s="121"/>
      <c r="B335" s="121"/>
      <c r="C335" s="121"/>
      <c r="D335" s="121"/>
      <c r="E335" s="121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</row>
    <row r="336" spans="1:26" ht="11.25" customHeight="1" x14ac:dyDescent="0.3">
      <c r="A336" s="121"/>
      <c r="B336" s="121"/>
      <c r="C336" s="121"/>
      <c r="D336" s="121"/>
      <c r="E336" s="121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</row>
    <row r="337" spans="1:26" ht="11.25" customHeight="1" x14ac:dyDescent="0.3">
      <c r="A337" s="121"/>
      <c r="B337" s="121"/>
      <c r="C337" s="121"/>
      <c r="D337" s="121"/>
      <c r="E337" s="121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</row>
    <row r="338" spans="1:26" ht="11.25" customHeight="1" x14ac:dyDescent="0.3">
      <c r="A338" s="121"/>
      <c r="B338" s="121"/>
      <c r="C338" s="121"/>
      <c r="D338" s="121"/>
      <c r="E338" s="121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</row>
    <row r="339" spans="1:26" ht="11.25" customHeight="1" x14ac:dyDescent="0.3">
      <c r="A339" s="121"/>
      <c r="B339" s="121"/>
      <c r="C339" s="121"/>
      <c r="D339" s="121"/>
      <c r="E339" s="121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</row>
    <row r="340" spans="1:26" ht="11.25" customHeight="1" x14ac:dyDescent="0.3">
      <c r="A340" s="121"/>
      <c r="B340" s="121"/>
      <c r="C340" s="121"/>
      <c r="D340" s="121"/>
      <c r="E340" s="121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</row>
    <row r="341" spans="1:26" ht="11.25" customHeight="1" x14ac:dyDescent="0.3">
      <c r="A341" s="121"/>
      <c r="B341" s="121"/>
      <c r="C341" s="121"/>
      <c r="D341" s="121"/>
      <c r="E341" s="121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</row>
    <row r="342" spans="1:26" ht="11.25" customHeight="1" x14ac:dyDescent="0.3">
      <c r="A342" s="121"/>
      <c r="B342" s="121"/>
      <c r="C342" s="121"/>
      <c r="D342" s="121"/>
      <c r="E342" s="121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</row>
    <row r="343" spans="1:26" ht="11.25" customHeight="1" x14ac:dyDescent="0.3">
      <c r="A343" s="121"/>
      <c r="B343" s="121"/>
      <c r="C343" s="121"/>
      <c r="D343" s="121"/>
      <c r="E343" s="121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</row>
    <row r="344" spans="1:26" ht="11.25" customHeight="1" x14ac:dyDescent="0.3">
      <c r="A344" s="121"/>
      <c r="B344" s="121"/>
      <c r="C344" s="121"/>
      <c r="D344" s="121"/>
      <c r="E344" s="121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</row>
    <row r="345" spans="1:26" ht="11.25" customHeight="1" x14ac:dyDescent="0.3">
      <c r="A345" s="121"/>
      <c r="B345" s="121"/>
      <c r="C345" s="121"/>
      <c r="D345" s="121"/>
      <c r="E345" s="121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</row>
    <row r="346" spans="1:26" ht="11.25" customHeight="1" x14ac:dyDescent="0.3">
      <c r="A346" s="121"/>
      <c r="B346" s="121"/>
      <c r="C346" s="121"/>
      <c r="D346" s="121"/>
      <c r="E346" s="121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</row>
    <row r="347" spans="1:26" ht="11.25" customHeight="1" x14ac:dyDescent="0.3">
      <c r="A347" s="121"/>
      <c r="B347" s="121"/>
      <c r="C347" s="121"/>
      <c r="D347" s="121"/>
      <c r="E347" s="121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</row>
    <row r="348" spans="1:26" ht="11.25" customHeight="1" x14ac:dyDescent="0.3">
      <c r="A348" s="121"/>
      <c r="B348" s="121"/>
      <c r="C348" s="121"/>
      <c r="D348" s="121"/>
      <c r="E348" s="121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</row>
    <row r="349" spans="1:26" ht="11.25" customHeight="1" x14ac:dyDescent="0.3">
      <c r="A349" s="121"/>
      <c r="B349" s="121"/>
      <c r="C349" s="121"/>
      <c r="D349" s="121"/>
      <c r="E349" s="121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</row>
    <row r="350" spans="1:26" ht="11.25" customHeight="1" x14ac:dyDescent="0.3">
      <c r="A350" s="121"/>
      <c r="B350" s="121"/>
      <c r="C350" s="121"/>
      <c r="D350" s="121"/>
      <c r="E350" s="121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</row>
    <row r="351" spans="1:26" ht="11.25" customHeight="1" x14ac:dyDescent="0.3">
      <c r="A351" s="121"/>
      <c r="B351" s="121"/>
      <c r="C351" s="121"/>
      <c r="D351" s="121"/>
      <c r="E351" s="121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</row>
    <row r="352" spans="1:26" ht="11.25" customHeight="1" x14ac:dyDescent="0.3">
      <c r="A352" s="121"/>
      <c r="B352" s="121"/>
      <c r="C352" s="121"/>
      <c r="D352" s="121"/>
      <c r="E352" s="121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</row>
    <row r="353" spans="1:26" ht="11.25" customHeight="1" x14ac:dyDescent="0.3">
      <c r="A353" s="121"/>
      <c r="B353" s="121"/>
      <c r="C353" s="121"/>
      <c r="D353" s="121"/>
      <c r="E353" s="121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</row>
    <row r="354" spans="1:26" ht="11.25" customHeight="1" x14ac:dyDescent="0.3">
      <c r="A354" s="121"/>
      <c r="B354" s="121"/>
      <c r="C354" s="121"/>
      <c r="D354" s="121"/>
      <c r="E354" s="121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</row>
    <row r="355" spans="1:26" ht="11.25" customHeight="1" x14ac:dyDescent="0.3">
      <c r="A355" s="121"/>
      <c r="B355" s="121"/>
      <c r="C355" s="121"/>
      <c r="D355" s="121"/>
      <c r="E355" s="121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</row>
    <row r="356" spans="1:26" ht="11.25" customHeight="1" x14ac:dyDescent="0.3">
      <c r="A356" s="121"/>
      <c r="B356" s="121"/>
      <c r="C356" s="121"/>
      <c r="D356" s="121"/>
      <c r="E356" s="121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</row>
    <row r="357" spans="1:26" ht="11.25" customHeight="1" x14ac:dyDescent="0.3">
      <c r="A357" s="121"/>
      <c r="B357" s="121"/>
      <c r="C357" s="121"/>
      <c r="D357" s="121"/>
      <c r="E357" s="121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</row>
    <row r="358" spans="1:26" ht="11.25" customHeight="1" x14ac:dyDescent="0.3">
      <c r="A358" s="121"/>
      <c r="B358" s="121"/>
      <c r="C358" s="121"/>
      <c r="D358" s="121"/>
      <c r="E358" s="121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</row>
    <row r="359" spans="1:26" ht="11.25" customHeight="1" x14ac:dyDescent="0.3">
      <c r="A359" s="121"/>
      <c r="B359" s="121"/>
      <c r="C359" s="121"/>
      <c r="D359" s="121"/>
      <c r="E359" s="121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</row>
    <row r="360" spans="1:26" ht="11.25" customHeight="1" x14ac:dyDescent="0.3">
      <c r="A360" s="121"/>
      <c r="B360" s="121"/>
      <c r="C360" s="121"/>
      <c r="D360" s="121"/>
      <c r="E360" s="121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</row>
    <row r="361" spans="1:26" ht="11.25" customHeight="1" x14ac:dyDescent="0.3">
      <c r="A361" s="121"/>
      <c r="B361" s="121"/>
      <c r="C361" s="121"/>
      <c r="D361" s="121"/>
      <c r="E361" s="121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</row>
    <row r="362" spans="1:26" ht="11.25" customHeight="1" x14ac:dyDescent="0.3">
      <c r="A362" s="121"/>
      <c r="B362" s="121"/>
      <c r="C362" s="121"/>
      <c r="D362" s="121"/>
      <c r="E362" s="121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</row>
    <row r="363" spans="1:26" ht="11.25" customHeight="1" x14ac:dyDescent="0.3">
      <c r="A363" s="121"/>
      <c r="B363" s="121"/>
      <c r="C363" s="121"/>
      <c r="D363" s="121"/>
      <c r="E363" s="121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</row>
    <row r="364" spans="1:26" ht="11.25" customHeight="1" x14ac:dyDescent="0.3">
      <c r="A364" s="121"/>
      <c r="B364" s="121"/>
      <c r="C364" s="121"/>
      <c r="D364" s="121"/>
      <c r="E364" s="121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</row>
    <row r="365" spans="1:26" ht="11.25" customHeight="1" x14ac:dyDescent="0.3">
      <c r="A365" s="121"/>
      <c r="B365" s="121"/>
      <c r="C365" s="121"/>
      <c r="D365" s="121"/>
      <c r="E365" s="121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</row>
    <row r="366" spans="1:26" ht="11.25" customHeight="1" x14ac:dyDescent="0.3">
      <c r="A366" s="121"/>
      <c r="B366" s="121"/>
      <c r="C366" s="121"/>
      <c r="D366" s="121"/>
      <c r="E366" s="121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</row>
    <row r="367" spans="1:26" ht="11.25" customHeight="1" x14ac:dyDescent="0.3">
      <c r="A367" s="121"/>
      <c r="B367" s="121"/>
      <c r="C367" s="121"/>
      <c r="D367" s="121"/>
      <c r="E367" s="121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</row>
    <row r="368" spans="1:26" ht="11.25" customHeight="1" x14ac:dyDescent="0.3">
      <c r="A368" s="121"/>
      <c r="B368" s="121"/>
      <c r="C368" s="121"/>
      <c r="D368" s="121"/>
      <c r="E368" s="121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</row>
    <row r="369" spans="1:26" ht="11.25" customHeight="1" x14ac:dyDescent="0.3">
      <c r="A369" s="121"/>
      <c r="B369" s="121"/>
      <c r="C369" s="121"/>
      <c r="D369" s="121"/>
      <c r="E369" s="121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</row>
    <row r="370" spans="1:26" ht="11.25" customHeight="1" x14ac:dyDescent="0.3">
      <c r="A370" s="121"/>
      <c r="B370" s="121"/>
      <c r="C370" s="121"/>
      <c r="D370" s="121"/>
      <c r="E370" s="121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</row>
    <row r="371" spans="1:26" ht="11.25" customHeight="1" x14ac:dyDescent="0.3">
      <c r="A371" s="121"/>
      <c r="B371" s="121"/>
      <c r="C371" s="121"/>
      <c r="D371" s="121"/>
      <c r="E371" s="121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</row>
    <row r="372" spans="1:26" ht="11.25" customHeight="1" x14ac:dyDescent="0.3">
      <c r="A372" s="121"/>
      <c r="B372" s="121"/>
      <c r="C372" s="121"/>
      <c r="D372" s="121"/>
      <c r="E372" s="121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</row>
    <row r="373" spans="1:26" ht="11.25" customHeight="1" x14ac:dyDescent="0.3">
      <c r="A373" s="121"/>
      <c r="B373" s="121"/>
      <c r="C373" s="121"/>
      <c r="D373" s="121"/>
      <c r="E373" s="121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</row>
    <row r="374" spans="1:26" ht="11.25" customHeight="1" x14ac:dyDescent="0.3">
      <c r="A374" s="121"/>
      <c r="B374" s="121"/>
      <c r="C374" s="121"/>
      <c r="D374" s="121"/>
      <c r="E374" s="121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</row>
    <row r="375" spans="1:26" ht="11.25" customHeight="1" x14ac:dyDescent="0.3">
      <c r="A375" s="121"/>
      <c r="B375" s="121"/>
      <c r="C375" s="121"/>
      <c r="D375" s="121"/>
      <c r="E375" s="121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</row>
    <row r="376" spans="1:26" ht="11.25" customHeight="1" x14ac:dyDescent="0.3">
      <c r="A376" s="121"/>
      <c r="B376" s="121"/>
      <c r="C376" s="121"/>
      <c r="D376" s="121"/>
      <c r="E376" s="121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</row>
    <row r="377" spans="1:26" ht="11.25" customHeight="1" x14ac:dyDescent="0.3">
      <c r="A377" s="121"/>
      <c r="B377" s="121"/>
      <c r="C377" s="121"/>
      <c r="D377" s="121"/>
      <c r="E377" s="121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</row>
    <row r="378" spans="1:26" ht="11.25" customHeight="1" x14ac:dyDescent="0.3">
      <c r="A378" s="121"/>
      <c r="B378" s="121"/>
      <c r="C378" s="121"/>
      <c r="D378" s="121"/>
      <c r="E378" s="121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</row>
    <row r="379" spans="1:26" ht="11.25" customHeight="1" x14ac:dyDescent="0.3">
      <c r="A379" s="121"/>
      <c r="B379" s="121"/>
      <c r="C379" s="121"/>
      <c r="D379" s="121"/>
      <c r="E379" s="121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</row>
    <row r="380" spans="1:26" ht="11.25" customHeight="1" x14ac:dyDescent="0.3">
      <c r="A380" s="121"/>
      <c r="B380" s="121"/>
      <c r="C380" s="121"/>
      <c r="D380" s="121"/>
      <c r="E380" s="121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</row>
    <row r="381" spans="1:26" ht="11.25" customHeight="1" x14ac:dyDescent="0.3">
      <c r="A381" s="121"/>
      <c r="B381" s="121"/>
      <c r="C381" s="121"/>
      <c r="D381" s="121"/>
      <c r="E381" s="121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</row>
    <row r="382" spans="1:26" ht="11.25" customHeight="1" x14ac:dyDescent="0.3">
      <c r="A382" s="121"/>
      <c r="B382" s="121"/>
      <c r="C382" s="121"/>
      <c r="D382" s="121"/>
      <c r="E382" s="121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</row>
    <row r="383" spans="1:26" ht="11.25" customHeight="1" x14ac:dyDescent="0.3">
      <c r="A383" s="121"/>
      <c r="B383" s="121"/>
      <c r="C383" s="121"/>
      <c r="D383" s="121"/>
      <c r="E383" s="121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</row>
    <row r="384" spans="1:26" ht="11.25" customHeight="1" x14ac:dyDescent="0.3">
      <c r="A384" s="121"/>
      <c r="B384" s="121"/>
      <c r="C384" s="121"/>
      <c r="D384" s="121"/>
      <c r="E384" s="121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</row>
    <row r="385" spans="1:26" ht="11.25" customHeight="1" x14ac:dyDescent="0.3">
      <c r="A385" s="121"/>
      <c r="B385" s="121"/>
      <c r="C385" s="121"/>
      <c r="D385" s="121"/>
      <c r="E385" s="121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</row>
    <row r="386" spans="1:26" ht="11.25" customHeight="1" x14ac:dyDescent="0.3">
      <c r="A386" s="121"/>
      <c r="B386" s="121"/>
      <c r="C386" s="121"/>
      <c r="D386" s="121"/>
      <c r="E386" s="121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</row>
    <row r="387" spans="1:26" ht="11.25" customHeight="1" x14ac:dyDescent="0.3">
      <c r="A387" s="121"/>
      <c r="B387" s="121"/>
      <c r="C387" s="121"/>
      <c r="D387" s="121"/>
      <c r="E387" s="121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</row>
    <row r="388" spans="1:26" ht="11.25" customHeight="1" x14ac:dyDescent="0.3">
      <c r="A388" s="121"/>
      <c r="B388" s="121"/>
      <c r="C388" s="121"/>
      <c r="D388" s="121"/>
      <c r="E388" s="121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</row>
    <row r="389" spans="1:26" ht="11.25" customHeight="1" x14ac:dyDescent="0.3">
      <c r="A389" s="121"/>
      <c r="B389" s="121"/>
      <c r="C389" s="121"/>
      <c r="D389" s="121"/>
      <c r="E389" s="121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</row>
    <row r="390" spans="1:26" ht="11.25" customHeight="1" x14ac:dyDescent="0.3">
      <c r="A390" s="121"/>
      <c r="B390" s="121"/>
      <c r="C390" s="121"/>
      <c r="D390" s="121"/>
      <c r="E390" s="121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</row>
    <row r="391" spans="1:26" ht="11.25" customHeight="1" x14ac:dyDescent="0.3">
      <c r="A391" s="121"/>
      <c r="B391" s="121"/>
      <c r="C391" s="121"/>
      <c r="D391" s="121"/>
      <c r="E391" s="121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</row>
    <row r="392" spans="1:26" ht="11.25" customHeight="1" x14ac:dyDescent="0.3">
      <c r="A392" s="121"/>
      <c r="B392" s="121"/>
      <c r="C392" s="121"/>
      <c r="D392" s="121"/>
      <c r="E392" s="121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</row>
    <row r="393" spans="1:26" ht="11.25" customHeight="1" x14ac:dyDescent="0.3">
      <c r="A393" s="121"/>
      <c r="B393" s="121"/>
      <c r="C393" s="121"/>
      <c r="D393" s="121"/>
      <c r="E393" s="121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</row>
    <row r="394" spans="1:26" ht="11.25" customHeight="1" x14ac:dyDescent="0.3">
      <c r="A394" s="121"/>
      <c r="B394" s="121"/>
      <c r="C394" s="121"/>
      <c r="D394" s="121"/>
      <c r="E394" s="121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</row>
    <row r="395" spans="1:26" ht="11.25" customHeight="1" x14ac:dyDescent="0.3">
      <c r="A395" s="121"/>
      <c r="B395" s="121"/>
      <c r="C395" s="121"/>
      <c r="D395" s="121"/>
      <c r="E395" s="121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</row>
    <row r="396" spans="1:26" ht="11.25" customHeight="1" x14ac:dyDescent="0.3">
      <c r="A396" s="121"/>
      <c r="B396" s="121"/>
      <c r="C396" s="121"/>
      <c r="D396" s="121"/>
      <c r="E396" s="121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</row>
    <row r="397" spans="1:26" ht="11.25" customHeight="1" x14ac:dyDescent="0.3">
      <c r="A397" s="121"/>
      <c r="B397" s="121"/>
      <c r="C397" s="121"/>
      <c r="D397" s="121"/>
      <c r="E397" s="121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</row>
    <row r="398" spans="1:26" ht="11.25" customHeight="1" x14ac:dyDescent="0.3">
      <c r="A398" s="121"/>
      <c r="B398" s="121"/>
      <c r="C398" s="121"/>
      <c r="D398" s="121"/>
      <c r="E398" s="121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</row>
    <row r="399" spans="1:26" ht="11.25" customHeight="1" x14ac:dyDescent="0.3">
      <c r="A399" s="121"/>
      <c r="B399" s="121"/>
      <c r="C399" s="121"/>
      <c r="D399" s="121"/>
      <c r="E399" s="121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</row>
    <row r="400" spans="1:26" ht="11.25" customHeight="1" x14ac:dyDescent="0.3">
      <c r="A400" s="121"/>
      <c r="B400" s="121"/>
      <c r="C400" s="121"/>
      <c r="D400" s="121"/>
      <c r="E400" s="121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</row>
    <row r="401" spans="1:26" ht="11.25" customHeight="1" x14ac:dyDescent="0.3">
      <c r="A401" s="121"/>
      <c r="B401" s="121"/>
      <c r="C401" s="121"/>
      <c r="D401" s="121"/>
      <c r="E401" s="121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</row>
    <row r="402" spans="1:26" ht="11.25" customHeight="1" x14ac:dyDescent="0.3">
      <c r="A402" s="121"/>
      <c r="B402" s="121"/>
      <c r="C402" s="121"/>
      <c r="D402" s="121"/>
      <c r="E402" s="121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</row>
    <row r="403" spans="1:26" ht="11.25" customHeight="1" x14ac:dyDescent="0.3">
      <c r="A403" s="121"/>
      <c r="B403" s="121"/>
      <c r="C403" s="121"/>
      <c r="D403" s="121"/>
      <c r="E403" s="121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</row>
    <row r="404" spans="1:26" ht="11.25" customHeight="1" x14ac:dyDescent="0.3">
      <c r="A404" s="121"/>
      <c r="B404" s="121"/>
      <c r="C404" s="121"/>
      <c r="D404" s="121"/>
      <c r="E404" s="121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</row>
    <row r="405" spans="1:26" ht="11.25" customHeight="1" x14ac:dyDescent="0.3">
      <c r="A405" s="121"/>
      <c r="B405" s="121"/>
      <c r="C405" s="121"/>
      <c r="D405" s="121"/>
      <c r="E405" s="121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</row>
    <row r="406" spans="1:26" ht="11.25" customHeight="1" x14ac:dyDescent="0.3">
      <c r="A406" s="121"/>
      <c r="B406" s="121"/>
      <c r="C406" s="121"/>
      <c r="D406" s="121"/>
      <c r="E406" s="121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</row>
    <row r="407" spans="1:26" ht="11.25" customHeight="1" x14ac:dyDescent="0.3">
      <c r="A407" s="121"/>
      <c r="B407" s="121"/>
      <c r="C407" s="121"/>
      <c r="D407" s="121"/>
      <c r="E407" s="121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</row>
    <row r="408" spans="1:26" ht="11.25" customHeight="1" x14ac:dyDescent="0.3">
      <c r="A408" s="121"/>
      <c r="B408" s="121"/>
      <c r="C408" s="121"/>
      <c r="D408" s="121"/>
      <c r="E408" s="121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</row>
    <row r="409" spans="1:26" ht="11.25" customHeight="1" x14ac:dyDescent="0.3">
      <c r="A409" s="121"/>
      <c r="B409" s="121"/>
      <c r="C409" s="121"/>
      <c r="D409" s="121"/>
      <c r="E409" s="121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</row>
    <row r="410" spans="1:26" ht="11.25" customHeight="1" x14ac:dyDescent="0.3">
      <c r="A410" s="121"/>
      <c r="B410" s="121"/>
      <c r="C410" s="121"/>
      <c r="D410" s="121"/>
      <c r="E410" s="121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</row>
    <row r="411" spans="1:26" ht="11.25" customHeight="1" x14ac:dyDescent="0.3">
      <c r="A411" s="121"/>
      <c r="B411" s="121"/>
      <c r="C411" s="121"/>
      <c r="D411" s="121"/>
      <c r="E411" s="121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</row>
    <row r="412" spans="1:26" ht="11.25" customHeight="1" x14ac:dyDescent="0.3">
      <c r="A412" s="121"/>
      <c r="B412" s="121"/>
      <c r="C412" s="121"/>
      <c r="D412" s="121"/>
      <c r="E412" s="121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</row>
    <row r="413" spans="1:26" ht="11.25" customHeight="1" x14ac:dyDescent="0.3">
      <c r="A413" s="121"/>
      <c r="B413" s="121"/>
      <c r="C413" s="121"/>
      <c r="D413" s="121"/>
      <c r="E413" s="121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</row>
    <row r="414" spans="1:26" ht="11.25" customHeight="1" x14ac:dyDescent="0.3">
      <c r="A414" s="121"/>
      <c r="B414" s="121"/>
      <c r="C414" s="121"/>
      <c r="D414" s="121"/>
      <c r="E414" s="121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</row>
    <row r="415" spans="1:26" ht="11.25" customHeight="1" x14ac:dyDescent="0.3">
      <c r="A415" s="121"/>
      <c r="B415" s="121"/>
      <c r="C415" s="121"/>
      <c r="D415" s="121"/>
      <c r="E415" s="121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</row>
    <row r="416" spans="1:26" ht="11.25" customHeight="1" x14ac:dyDescent="0.3">
      <c r="A416" s="121"/>
      <c r="B416" s="121"/>
      <c r="C416" s="121"/>
      <c r="D416" s="121"/>
      <c r="E416" s="121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</row>
    <row r="417" spans="1:26" ht="11.25" customHeight="1" x14ac:dyDescent="0.3">
      <c r="A417" s="121"/>
      <c r="B417" s="121"/>
      <c r="C417" s="121"/>
      <c r="D417" s="121"/>
      <c r="E417" s="121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</row>
    <row r="418" spans="1:26" ht="11.25" customHeight="1" x14ac:dyDescent="0.3">
      <c r="A418" s="121"/>
      <c r="B418" s="121"/>
      <c r="C418" s="121"/>
      <c r="D418" s="121"/>
      <c r="E418" s="121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</row>
    <row r="419" spans="1:26" ht="11.25" customHeight="1" x14ac:dyDescent="0.3">
      <c r="A419" s="121"/>
      <c r="B419" s="121"/>
      <c r="C419" s="121"/>
      <c r="D419" s="121"/>
      <c r="E419" s="121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</row>
    <row r="420" spans="1:26" ht="11.25" customHeight="1" x14ac:dyDescent="0.3">
      <c r="A420" s="121"/>
      <c r="B420" s="121"/>
      <c r="C420" s="121"/>
      <c r="D420" s="121"/>
      <c r="E420" s="121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</row>
    <row r="421" spans="1:26" ht="11.25" customHeight="1" x14ac:dyDescent="0.3">
      <c r="A421" s="121"/>
      <c r="B421" s="121"/>
      <c r="C421" s="121"/>
      <c r="D421" s="121"/>
      <c r="E421" s="121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</row>
    <row r="422" spans="1:26" ht="11.25" customHeight="1" x14ac:dyDescent="0.3">
      <c r="A422" s="121"/>
      <c r="B422" s="121"/>
      <c r="C422" s="121"/>
      <c r="D422" s="121"/>
      <c r="E422" s="121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</row>
    <row r="423" spans="1:26" ht="11.25" customHeight="1" x14ac:dyDescent="0.3">
      <c r="A423" s="121"/>
      <c r="B423" s="121"/>
      <c r="C423" s="121"/>
      <c r="D423" s="121"/>
      <c r="E423" s="121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</row>
    <row r="424" spans="1:26" ht="11.25" customHeight="1" x14ac:dyDescent="0.3">
      <c r="A424" s="121"/>
      <c r="B424" s="121"/>
      <c r="C424" s="121"/>
      <c r="D424" s="121"/>
      <c r="E424" s="121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</row>
    <row r="425" spans="1:26" ht="11.25" customHeight="1" x14ac:dyDescent="0.3">
      <c r="A425" s="121"/>
      <c r="B425" s="121"/>
      <c r="C425" s="121"/>
      <c r="D425" s="121"/>
      <c r="E425" s="121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</row>
    <row r="426" spans="1:26" ht="11.25" customHeight="1" x14ac:dyDescent="0.3">
      <c r="A426" s="121"/>
      <c r="B426" s="121"/>
      <c r="C426" s="121"/>
      <c r="D426" s="121"/>
      <c r="E426" s="121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</row>
    <row r="427" spans="1:26" ht="11.25" customHeight="1" x14ac:dyDescent="0.3">
      <c r="A427" s="121"/>
      <c r="B427" s="121"/>
      <c r="C427" s="121"/>
      <c r="D427" s="121"/>
      <c r="E427" s="121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</row>
    <row r="428" spans="1:26" ht="11.25" customHeight="1" x14ac:dyDescent="0.3">
      <c r="A428" s="121"/>
      <c r="B428" s="121"/>
      <c r="C428" s="121"/>
      <c r="D428" s="121"/>
      <c r="E428" s="121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</row>
    <row r="429" spans="1:26" ht="11.25" customHeight="1" x14ac:dyDescent="0.3">
      <c r="A429" s="121"/>
      <c r="B429" s="121"/>
      <c r="C429" s="121"/>
      <c r="D429" s="121"/>
      <c r="E429" s="121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</row>
    <row r="430" spans="1:26" ht="11.25" customHeight="1" x14ac:dyDescent="0.3">
      <c r="A430" s="121"/>
      <c r="B430" s="121"/>
      <c r="C430" s="121"/>
      <c r="D430" s="121"/>
      <c r="E430" s="121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</row>
    <row r="431" spans="1:26" ht="11.25" customHeight="1" x14ac:dyDescent="0.3">
      <c r="A431" s="121"/>
      <c r="B431" s="121"/>
      <c r="C431" s="121"/>
      <c r="D431" s="121"/>
      <c r="E431" s="121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</row>
    <row r="432" spans="1:26" ht="11.25" customHeight="1" x14ac:dyDescent="0.3">
      <c r="A432" s="121"/>
      <c r="B432" s="121"/>
      <c r="C432" s="121"/>
      <c r="D432" s="121"/>
      <c r="E432" s="121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</row>
    <row r="433" spans="1:26" ht="11.25" customHeight="1" x14ac:dyDescent="0.3">
      <c r="A433" s="121"/>
      <c r="B433" s="121"/>
      <c r="C433" s="121"/>
      <c r="D433" s="121"/>
      <c r="E433" s="121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</row>
    <row r="434" spans="1:26" ht="11.25" customHeight="1" x14ac:dyDescent="0.3">
      <c r="A434" s="121"/>
      <c r="B434" s="121"/>
      <c r="C434" s="121"/>
      <c r="D434" s="121"/>
      <c r="E434" s="121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</row>
    <row r="435" spans="1:26" ht="11.25" customHeight="1" x14ac:dyDescent="0.3">
      <c r="A435" s="121"/>
      <c r="B435" s="121"/>
      <c r="C435" s="121"/>
      <c r="D435" s="121"/>
      <c r="E435" s="121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</row>
    <row r="436" spans="1:26" ht="11.25" customHeight="1" x14ac:dyDescent="0.3">
      <c r="A436" s="121"/>
      <c r="B436" s="121"/>
      <c r="C436" s="121"/>
      <c r="D436" s="121"/>
      <c r="E436" s="121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</row>
    <row r="437" spans="1:26" ht="11.25" customHeight="1" x14ac:dyDescent="0.3">
      <c r="A437" s="121"/>
      <c r="B437" s="121"/>
      <c r="C437" s="121"/>
      <c r="D437" s="121"/>
      <c r="E437" s="121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</row>
    <row r="438" spans="1:26" ht="11.25" customHeight="1" x14ac:dyDescent="0.3">
      <c r="A438" s="121"/>
      <c r="B438" s="121"/>
      <c r="C438" s="121"/>
      <c r="D438" s="121"/>
      <c r="E438" s="121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</row>
    <row r="439" spans="1:26" ht="11.25" customHeight="1" x14ac:dyDescent="0.3">
      <c r="A439" s="121"/>
      <c r="B439" s="121"/>
      <c r="C439" s="121"/>
      <c r="D439" s="121"/>
      <c r="E439" s="121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</row>
    <row r="440" spans="1:26" ht="11.25" customHeight="1" x14ac:dyDescent="0.3">
      <c r="A440" s="121"/>
      <c r="B440" s="121"/>
      <c r="C440" s="121"/>
      <c r="D440" s="121"/>
      <c r="E440" s="121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</row>
    <row r="441" spans="1:26" ht="11.25" customHeight="1" x14ac:dyDescent="0.3">
      <c r="A441" s="121"/>
      <c r="B441" s="121"/>
      <c r="C441" s="121"/>
      <c r="D441" s="121"/>
      <c r="E441" s="121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</row>
    <row r="442" spans="1:26" ht="11.25" customHeight="1" x14ac:dyDescent="0.3">
      <c r="A442" s="121"/>
      <c r="B442" s="121"/>
      <c r="C442" s="121"/>
      <c r="D442" s="121"/>
      <c r="E442" s="121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</row>
    <row r="443" spans="1:26" ht="11.25" customHeight="1" x14ac:dyDescent="0.3">
      <c r="A443" s="121"/>
      <c r="B443" s="121"/>
      <c r="C443" s="121"/>
      <c r="D443" s="121"/>
      <c r="E443" s="121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</row>
    <row r="444" spans="1:26" ht="11.25" customHeight="1" x14ac:dyDescent="0.3">
      <c r="A444" s="121"/>
      <c r="B444" s="121"/>
      <c r="C444" s="121"/>
      <c r="D444" s="121"/>
      <c r="E444" s="121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</row>
    <row r="445" spans="1:26" ht="11.25" customHeight="1" x14ac:dyDescent="0.3">
      <c r="A445" s="121"/>
      <c r="B445" s="121"/>
      <c r="C445" s="121"/>
      <c r="D445" s="121"/>
      <c r="E445" s="121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</row>
    <row r="446" spans="1:26" ht="11.25" customHeight="1" x14ac:dyDescent="0.3">
      <c r="A446" s="121"/>
      <c r="B446" s="121"/>
      <c r="C446" s="121"/>
      <c r="D446" s="121"/>
      <c r="E446" s="121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</row>
    <row r="447" spans="1:26" ht="11.25" customHeight="1" x14ac:dyDescent="0.3">
      <c r="A447" s="121"/>
      <c r="B447" s="121"/>
      <c r="C447" s="121"/>
      <c r="D447" s="121"/>
      <c r="E447" s="121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</row>
    <row r="448" spans="1:26" ht="11.25" customHeight="1" x14ac:dyDescent="0.3">
      <c r="A448" s="121"/>
      <c r="B448" s="121"/>
      <c r="C448" s="121"/>
      <c r="D448" s="121"/>
      <c r="E448" s="121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</row>
    <row r="449" spans="1:26" ht="11.25" customHeight="1" x14ac:dyDescent="0.3">
      <c r="A449" s="121"/>
      <c r="B449" s="121"/>
      <c r="C449" s="121"/>
      <c r="D449" s="121"/>
      <c r="E449" s="121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</row>
    <row r="450" spans="1:26" ht="11.25" customHeight="1" x14ac:dyDescent="0.3">
      <c r="A450" s="121"/>
      <c r="B450" s="121"/>
      <c r="C450" s="121"/>
      <c r="D450" s="121"/>
      <c r="E450" s="121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</row>
    <row r="451" spans="1:26" ht="11.25" customHeight="1" x14ac:dyDescent="0.3">
      <c r="A451" s="121"/>
      <c r="B451" s="121"/>
      <c r="C451" s="121"/>
      <c r="D451" s="121"/>
      <c r="E451" s="121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</row>
    <row r="452" spans="1:26" ht="11.25" customHeight="1" x14ac:dyDescent="0.3">
      <c r="A452" s="121"/>
      <c r="B452" s="121"/>
      <c r="C452" s="121"/>
      <c r="D452" s="121"/>
      <c r="E452" s="121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</row>
    <row r="453" spans="1:26" ht="11.25" customHeight="1" x14ac:dyDescent="0.3">
      <c r="A453" s="121"/>
      <c r="B453" s="121"/>
      <c r="C453" s="121"/>
      <c r="D453" s="121"/>
      <c r="E453" s="121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</row>
    <row r="454" spans="1:26" ht="11.25" customHeight="1" x14ac:dyDescent="0.3">
      <c r="A454" s="121"/>
      <c r="B454" s="121"/>
      <c r="C454" s="121"/>
      <c r="D454" s="121"/>
      <c r="E454" s="121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</row>
    <row r="455" spans="1:26" ht="11.25" customHeight="1" x14ac:dyDescent="0.3">
      <c r="A455" s="121"/>
      <c r="B455" s="121"/>
      <c r="C455" s="121"/>
      <c r="D455" s="121"/>
      <c r="E455" s="121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</row>
    <row r="456" spans="1:26" ht="11.25" customHeight="1" x14ac:dyDescent="0.3">
      <c r="A456" s="121"/>
      <c r="B456" s="121"/>
      <c r="C456" s="121"/>
      <c r="D456" s="121"/>
      <c r="E456" s="121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</row>
    <row r="457" spans="1:26" ht="11.25" customHeight="1" x14ac:dyDescent="0.3">
      <c r="A457" s="121"/>
      <c r="B457" s="121"/>
      <c r="C457" s="121"/>
      <c r="D457" s="121"/>
      <c r="E457" s="121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</row>
    <row r="458" spans="1:26" ht="11.25" customHeight="1" x14ac:dyDescent="0.3">
      <c r="A458" s="121"/>
      <c r="B458" s="121"/>
      <c r="C458" s="121"/>
      <c r="D458" s="121"/>
      <c r="E458" s="121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</row>
    <row r="459" spans="1:26" ht="11.25" customHeight="1" x14ac:dyDescent="0.3">
      <c r="A459" s="121"/>
      <c r="B459" s="121"/>
      <c r="C459" s="121"/>
      <c r="D459" s="121"/>
      <c r="E459" s="121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</row>
    <row r="460" spans="1:26" ht="11.25" customHeight="1" x14ac:dyDescent="0.3">
      <c r="A460" s="121"/>
      <c r="B460" s="121"/>
      <c r="C460" s="121"/>
      <c r="D460" s="121"/>
      <c r="E460" s="121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</row>
    <row r="461" spans="1:26" ht="11.25" customHeight="1" x14ac:dyDescent="0.3">
      <c r="A461" s="121"/>
      <c r="B461" s="121"/>
      <c r="C461" s="121"/>
      <c r="D461" s="121"/>
      <c r="E461" s="121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</row>
    <row r="462" spans="1:26" ht="11.25" customHeight="1" x14ac:dyDescent="0.3">
      <c r="A462" s="121"/>
      <c r="B462" s="121"/>
      <c r="C462" s="121"/>
      <c r="D462" s="121"/>
      <c r="E462" s="121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</row>
    <row r="463" spans="1:26" ht="11.25" customHeight="1" x14ac:dyDescent="0.3">
      <c r="A463" s="121"/>
      <c r="B463" s="121"/>
      <c r="C463" s="121"/>
      <c r="D463" s="121"/>
      <c r="E463" s="121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</row>
    <row r="464" spans="1:26" ht="11.25" customHeight="1" x14ac:dyDescent="0.3">
      <c r="A464" s="121"/>
      <c r="B464" s="121"/>
      <c r="C464" s="121"/>
      <c r="D464" s="121"/>
      <c r="E464" s="121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</row>
    <row r="465" spans="1:26" ht="11.25" customHeight="1" x14ac:dyDescent="0.3">
      <c r="A465" s="121"/>
      <c r="B465" s="121"/>
      <c r="C465" s="121"/>
      <c r="D465" s="121"/>
      <c r="E465" s="121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</row>
    <row r="466" spans="1:26" ht="11.25" customHeight="1" x14ac:dyDescent="0.3">
      <c r="A466" s="121"/>
      <c r="B466" s="121"/>
      <c r="C466" s="121"/>
      <c r="D466" s="121"/>
      <c r="E466" s="121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</row>
    <row r="467" spans="1:26" ht="11.25" customHeight="1" x14ac:dyDescent="0.3">
      <c r="A467" s="121"/>
      <c r="B467" s="121"/>
      <c r="C467" s="121"/>
      <c r="D467" s="121"/>
      <c r="E467" s="121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</row>
    <row r="468" spans="1:26" ht="11.25" customHeight="1" x14ac:dyDescent="0.3">
      <c r="A468" s="121"/>
      <c r="B468" s="121"/>
      <c r="C468" s="121"/>
      <c r="D468" s="121"/>
      <c r="E468" s="121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</row>
    <row r="469" spans="1:26" ht="11.25" customHeight="1" x14ac:dyDescent="0.3">
      <c r="A469" s="121"/>
      <c r="B469" s="121"/>
      <c r="C469" s="121"/>
      <c r="D469" s="121"/>
      <c r="E469" s="121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</row>
    <row r="470" spans="1:26" ht="11.25" customHeight="1" x14ac:dyDescent="0.3">
      <c r="A470" s="121"/>
      <c r="B470" s="121"/>
      <c r="C470" s="121"/>
      <c r="D470" s="121"/>
      <c r="E470" s="121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</row>
    <row r="471" spans="1:26" ht="11.25" customHeight="1" x14ac:dyDescent="0.3">
      <c r="A471" s="121"/>
      <c r="B471" s="121"/>
      <c r="C471" s="121"/>
      <c r="D471" s="121"/>
      <c r="E471" s="121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</row>
    <row r="472" spans="1:26" ht="11.25" customHeight="1" x14ac:dyDescent="0.3">
      <c r="A472" s="121"/>
      <c r="B472" s="121"/>
      <c r="C472" s="121"/>
      <c r="D472" s="121"/>
      <c r="E472" s="121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</row>
    <row r="473" spans="1:26" ht="11.25" customHeight="1" x14ac:dyDescent="0.3">
      <c r="A473" s="121"/>
      <c r="B473" s="121"/>
      <c r="C473" s="121"/>
      <c r="D473" s="121"/>
      <c r="E473" s="121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</row>
    <row r="474" spans="1:26" ht="11.25" customHeight="1" x14ac:dyDescent="0.3">
      <c r="A474" s="121"/>
      <c r="B474" s="121"/>
      <c r="C474" s="121"/>
      <c r="D474" s="121"/>
      <c r="E474" s="121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</row>
    <row r="475" spans="1:26" ht="11.25" customHeight="1" x14ac:dyDescent="0.3">
      <c r="A475" s="121"/>
      <c r="B475" s="121"/>
      <c r="C475" s="121"/>
      <c r="D475" s="121"/>
      <c r="E475" s="121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</row>
    <row r="476" spans="1:26" ht="11.25" customHeight="1" x14ac:dyDescent="0.3">
      <c r="A476" s="121"/>
      <c r="B476" s="121"/>
      <c r="C476" s="121"/>
      <c r="D476" s="121"/>
      <c r="E476" s="121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</row>
    <row r="477" spans="1:26" ht="11.25" customHeight="1" x14ac:dyDescent="0.3">
      <c r="A477" s="121"/>
      <c r="B477" s="121"/>
      <c r="C477" s="121"/>
      <c r="D477" s="121"/>
      <c r="E477" s="121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</row>
    <row r="478" spans="1:26" ht="11.25" customHeight="1" x14ac:dyDescent="0.3">
      <c r="A478" s="121"/>
      <c r="B478" s="121"/>
      <c r="C478" s="121"/>
      <c r="D478" s="121"/>
      <c r="E478" s="121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</row>
    <row r="479" spans="1:26" ht="11.25" customHeight="1" x14ac:dyDescent="0.3">
      <c r="A479" s="121"/>
      <c r="B479" s="121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</row>
    <row r="480" spans="1:26" ht="11.25" customHeight="1" x14ac:dyDescent="0.3">
      <c r="A480" s="121"/>
      <c r="B480" s="121"/>
      <c r="C480" s="121"/>
      <c r="D480" s="121"/>
      <c r="E480" s="121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</row>
    <row r="481" spans="1:26" ht="11.25" customHeight="1" x14ac:dyDescent="0.3">
      <c r="A481" s="121"/>
      <c r="B481" s="121"/>
      <c r="C481" s="121"/>
      <c r="D481" s="121"/>
      <c r="E481" s="121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</row>
    <row r="482" spans="1:26" ht="11.25" customHeight="1" x14ac:dyDescent="0.3">
      <c r="A482" s="121"/>
      <c r="B482" s="121"/>
      <c r="C482" s="121"/>
      <c r="D482" s="121"/>
      <c r="E482" s="121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</row>
    <row r="483" spans="1:26" ht="11.25" customHeight="1" x14ac:dyDescent="0.3">
      <c r="A483" s="121"/>
      <c r="B483" s="121"/>
      <c r="C483" s="121"/>
      <c r="D483" s="121"/>
      <c r="E483" s="121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</row>
    <row r="484" spans="1:26" ht="11.25" customHeight="1" x14ac:dyDescent="0.3">
      <c r="A484" s="121"/>
      <c r="B484" s="121"/>
      <c r="C484" s="121"/>
      <c r="D484" s="121"/>
      <c r="E484" s="121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</row>
    <row r="485" spans="1:26" ht="11.25" customHeight="1" x14ac:dyDescent="0.3">
      <c r="A485" s="121"/>
      <c r="B485" s="121"/>
      <c r="C485" s="121"/>
      <c r="D485" s="121"/>
      <c r="E485" s="121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</row>
    <row r="486" spans="1:26" ht="11.25" customHeight="1" x14ac:dyDescent="0.3">
      <c r="A486" s="121"/>
      <c r="B486" s="121"/>
      <c r="C486" s="121"/>
      <c r="D486" s="121"/>
      <c r="E486" s="121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</row>
    <row r="487" spans="1:26" ht="11.25" customHeight="1" x14ac:dyDescent="0.3">
      <c r="A487" s="121"/>
      <c r="B487" s="121"/>
      <c r="C487" s="121"/>
      <c r="D487" s="121"/>
      <c r="E487" s="121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</row>
    <row r="488" spans="1:26" ht="11.25" customHeight="1" x14ac:dyDescent="0.3">
      <c r="A488" s="121"/>
      <c r="B488" s="121"/>
      <c r="C488" s="121"/>
      <c r="D488" s="121"/>
      <c r="E488" s="121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</row>
    <row r="489" spans="1:26" ht="11.25" customHeight="1" x14ac:dyDescent="0.3">
      <c r="A489" s="121"/>
      <c r="B489" s="121"/>
      <c r="C489" s="121"/>
      <c r="D489" s="121"/>
      <c r="E489" s="121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</row>
    <row r="490" spans="1:26" ht="11.25" customHeight="1" x14ac:dyDescent="0.3">
      <c r="A490" s="121"/>
      <c r="B490" s="121"/>
      <c r="C490" s="121"/>
      <c r="D490" s="121"/>
      <c r="E490" s="121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</row>
    <row r="491" spans="1:26" ht="11.25" customHeight="1" x14ac:dyDescent="0.3">
      <c r="A491" s="121"/>
      <c r="B491" s="121"/>
      <c r="C491" s="121"/>
      <c r="D491" s="121"/>
      <c r="E491" s="121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</row>
    <row r="492" spans="1:26" ht="11.25" customHeight="1" x14ac:dyDescent="0.3">
      <c r="A492" s="121"/>
      <c r="B492" s="121"/>
      <c r="C492" s="121"/>
      <c r="D492" s="121"/>
      <c r="E492" s="121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</row>
    <row r="493" spans="1:26" ht="11.25" customHeight="1" x14ac:dyDescent="0.3">
      <c r="A493" s="121"/>
      <c r="B493" s="121"/>
      <c r="C493" s="121"/>
      <c r="D493" s="121"/>
      <c r="E493" s="121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</row>
    <row r="494" spans="1:26" ht="11.25" customHeight="1" x14ac:dyDescent="0.3">
      <c r="A494" s="121"/>
      <c r="B494" s="121"/>
      <c r="C494" s="121"/>
      <c r="D494" s="121"/>
      <c r="E494" s="121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</row>
    <row r="495" spans="1:26" ht="11.25" customHeight="1" x14ac:dyDescent="0.3">
      <c r="A495" s="121"/>
      <c r="B495" s="121"/>
      <c r="C495" s="121"/>
      <c r="D495" s="121"/>
      <c r="E495" s="121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</row>
    <row r="496" spans="1:26" ht="11.25" customHeight="1" x14ac:dyDescent="0.3">
      <c r="A496" s="121"/>
      <c r="B496" s="121"/>
      <c r="C496" s="121"/>
      <c r="D496" s="121"/>
      <c r="E496" s="121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</row>
    <row r="497" spans="1:26" ht="11.25" customHeight="1" x14ac:dyDescent="0.3">
      <c r="A497" s="121"/>
      <c r="B497" s="121"/>
      <c r="C497" s="121"/>
      <c r="D497" s="121"/>
      <c r="E497" s="121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</row>
    <row r="498" spans="1:26" ht="11.25" customHeight="1" x14ac:dyDescent="0.3">
      <c r="A498" s="121"/>
      <c r="B498" s="121"/>
      <c r="C498" s="121"/>
      <c r="D498" s="121"/>
      <c r="E498" s="121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</row>
    <row r="499" spans="1:26" ht="11.25" customHeight="1" x14ac:dyDescent="0.3">
      <c r="A499" s="121"/>
      <c r="B499" s="121"/>
      <c r="C499" s="121"/>
      <c r="D499" s="121"/>
      <c r="E499" s="121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</row>
    <row r="500" spans="1:26" ht="11.25" customHeight="1" x14ac:dyDescent="0.3">
      <c r="A500" s="121"/>
      <c r="B500" s="121"/>
      <c r="C500" s="121"/>
      <c r="D500" s="121"/>
      <c r="E500" s="121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</row>
    <row r="501" spans="1:26" ht="11.25" customHeight="1" x14ac:dyDescent="0.3">
      <c r="A501" s="121"/>
      <c r="B501" s="121"/>
      <c r="C501" s="121"/>
      <c r="D501" s="121"/>
      <c r="E501" s="121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</row>
    <row r="502" spans="1:26" ht="11.25" customHeight="1" x14ac:dyDescent="0.3">
      <c r="A502" s="121"/>
      <c r="B502" s="121"/>
      <c r="C502" s="121"/>
      <c r="D502" s="121"/>
      <c r="E502" s="121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</row>
    <row r="503" spans="1:26" ht="11.25" customHeight="1" x14ac:dyDescent="0.3">
      <c r="A503" s="121"/>
      <c r="B503" s="121"/>
      <c r="C503" s="121"/>
      <c r="D503" s="121"/>
      <c r="E503" s="121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</row>
    <row r="504" spans="1:26" ht="11.25" customHeight="1" x14ac:dyDescent="0.3">
      <c r="A504" s="121"/>
      <c r="B504" s="121"/>
      <c r="C504" s="121"/>
      <c r="D504" s="121"/>
      <c r="E504" s="121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</row>
    <row r="505" spans="1:26" ht="11.25" customHeight="1" x14ac:dyDescent="0.3">
      <c r="A505" s="121"/>
      <c r="B505" s="121"/>
      <c r="C505" s="121"/>
      <c r="D505" s="121"/>
      <c r="E505" s="121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</row>
    <row r="506" spans="1:26" ht="11.25" customHeight="1" x14ac:dyDescent="0.3">
      <c r="A506" s="121"/>
      <c r="B506" s="121"/>
      <c r="C506" s="121"/>
      <c r="D506" s="121"/>
      <c r="E506" s="121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</row>
    <row r="507" spans="1:26" ht="11.25" customHeight="1" x14ac:dyDescent="0.3">
      <c r="A507" s="121"/>
      <c r="B507" s="121"/>
      <c r="C507" s="121"/>
      <c r="D507" s="121"/>
      <c r="E507" s="121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</row>
    <row r="508" spans="1:26" ht="11.25" customHeight="1" x14ac:dyDescent="0.3">
      <c r="A508" s="121"/>
      <c r="B508" s="121"/>
      <c r="C508" s="121"/>
      <c r="D508" s="121"/>
      <c r="E508" s="121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</row>
    <row r="509" spans="1:26" ht="11.25" customHeight="1" x14ac:dyDescent="0.3">
      <c r="A509" s="121"/>
      <c r="B509" s="121"/>
      <c r="C509" s="121"/>
      <c r="D509" s="121"/>
      <c r="E509" s="121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</row>
    <row r="510" spans="1:26" ht="11.25" customHeight="1" x14ac:dyDescent="0.3">
      <c r="A510" s="121"/>
      <c r="B510" s="121"/>
      <c r="C510" s="121"/>
      <c r="D510" s="121"/>
      <c r="E510" s="121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</row>
    <row r="511" spans="1:26" ht="11.25" customHeight="1" x14ac:dyDescent="0.3">
      <c r="A511" s="121"/>
      <c r="B511" s="121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</row>
    <row r="512" spans="1:26" ht="11.25" customHeight="1" x14ac:dyDescent="0.3">
      <c r="A512" s="121"/>
      <c r="B512" s="121"/>
      <c r="C512" s="121"/>
      <c r="D512" s="121"/>
      <c r="E512" s="121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</row>
    <row r="513" spans="1:26" ht="11.25" customHeight="1" x14ac:dyDescent="0.3">
      <c r="A513" s="121"/>
      <c r="B513" s="121"/>
      <c r="C513" s="121"/>
      <c r="D513" s="121"/>
      <c r="E513" s="121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</row>
    <row r="514" spans="1:26" ht="11.25" customHeight="1" x14ac:dyDescent="0.3">
      <c r="A514" s="121"/>
      <c r="B514" s="121"/>
      <c r="C514" s="121"/>
      <c r="D514" s="121"/>
      <c r="E514" s="121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</row>
    <row r="515" spans="1:26" ht="11.25" customHeight="1" x14ac:dyDescent="0.3">
      <c r="A515" s="121"/>
      <c r="B515" s="121"/>
      <c r="C515" s="121"/>
      <c r="D515" s="121"/>
      <c r="E515" s="121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</row>
    <row r="516" spans="1:26" ht="11.25" customHeight="1" x14ac:dyDescent="0.3">
      <c r="A516" s="121"/>
      <c r="B516" s="121"/>
      <c r="C516" s="121"/>
      <c r="D516" s="121"/>
      <c r="E516" s="121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</row>
    <row r="517" spans="1:26" ht="11.25" customHeight="1" x14ac:dyDescent="0.3">
      <c r="A517" s="121"/>
      <c r="B517" s="121"/>
      <c r="C517" s="121"/>
      <c r="D517" s="121"/>
      <c r="E517" s="121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</row>
    <row r="518" spans="1:26" ht="11.25" customHeight="1" x14ac:dyDescent="0.3">
      <c r="A518" s="121"/>
      <c r="B518" s="121"/>
      <c r="C518" s="121"/>
      <c r="D518" s="121"/>
      <c r="E518" s="121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</row>
    <row r="519" spans="1:26" ht="11.25" customHeight="1" x14ac:dyDescent="0.3">
      <c r="A519" s="121"/>
      <c r="B519" s="121"/>
      <c r="C519" s="121"/>
      <c r="D519" s="121"/>
      <c r="E519" s="121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</row>
    <row r="520" spans="1:26" ht="11.25" customHeight="1" x14ac:dyDescent="0.3">
      <c r="A520" s="121"/>
      <c r="B520" s="121"/>
      <c r="C520" s="121"/>
      <c r="D520" s="121"/>
      <c r="E520" s="121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</row>
    <row r="521" spans="1:26" ht="11.25" customHeight="1" x14ac:dyDescent="0.3">
      <c r="A521" s="121"/>
      <c r="B521" s="121"/>
      <c r="C521" s="121"/>
      <c r="D521" s="121"/>
      <c r="E521" s="121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</row>
    <row r="522" spans="1:26" ht="11.25" customHeight="1" x14ac:dyDescent="0.3">
      <c r="A522" s="121"/>
      <c r="B522" s="121"/>
      <c r="C522" s="121"/>
      <c r="D522" s="121"/>
      <c r="E522" s="121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</row>
    <row r="523" spans="1:26" ht="11.25" customHeight="1" x14ac:dyDescent="0.3">
      <c r="A523" s="121"/>
      <c r="B523" s="121"/>
      <c r="C523" s="121"/>
      <c r="D523" s="121"/>
      <c r="E523" s="121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</row>
    <row r="524" spans="1:26" ht="11.25" customHeight="1" x14ac:dyDescent="0.3">
      <c r="A524" s="121"/>
      <c r="B524" s="121"/>
      <c r="C524" s="121"/>
      <c r="D524" s="121"/>
      <c r="E524" s="121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</row>
    <row r="525" spans="1:26" ht="11.25" customHeight="1" x14ac:dyDescent="0.3">
      <c r="A525" s="121"/>
      <c r="B525" s="121"/>
      <c r="C525" s="121"/>
      <c r="D525" s="121"/>
      <c r="E525" s="121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</row>
    <row r="526" spans="1:26" ht="11.25" customHeight="1" x14ac:dyDescent="0.3">
      <c r="A526" s="121"/>
      <c r="B526" s="121"/>
      <c r="C526" s="121"/>
      <c r="D526" s="121"/>
      <c r="E526" s="121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</row>
    <row r="527" spans="1:26" ht="11.25" customHeight="1" x14ac:dyDescent="0.3">
      <c r="A527" s="121"/>
      <c r="B527" s="121"/>
      <c r="C527" s="121"/>
      <c r="D527" s="121"/>
      <c r="E527" s="121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</row>
    <row r="528" spans="1:26" ht="11.25" customHeight="1" x14ac:dyDescent="0.3">
      <c r="A528" s="121"/>
      <c r="B528" s="121"/>
      <c r="C528" s="121"/>
      <c r="D528" s="121"/>
      <c r="E528" s="121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</row>
    <row r="529" spans="1:26" ht="11.25" customHeight="1" x14ac:dyDescent="0.3">
      <c r="A529" s="121"/>
      <c r="B529" s="121"/>
      <c r="C529" s="121"/>
      <c r="D529" s="121"/>
      <c r="E529" s="121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</row>
    <row r="530" spans="1:26" ht="11.25" customHeight="1" x14ac:dyDescent="0.3">
      <c r="A530" s="121"/>
      <c r="B530" s="121"/>
      <c r="C530" s="121"/>
      <c r="D530" s="121"/>
      <c r="E530" s="121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</row>
    <row r="531" spans="1:26" ht="11.25" customHeight="1" x14ac:dyDescent="0.3">
      <c r="A531" s="121"/>
      <c r="B531" s="121"/>
      <c r="C531" s="121"/>
      <c r="D531" s="121"/>
      <c r="E531" s="121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</row>
    <row r="532" spans="1:26" ht="11.25" customHeight="1" x14ac:dyDescent="0.3">
      <c r="A532" s="121"/>
      <c r="B532" s="121"/>
      <c r="C532" s="121"/>
      <c r="D532" s="121"/>
      <c r="E532" s="121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</row>
    <row r="533" spans="1:26" ht="11.25" customHeight="1" x14ac:dyDescent="0.3">
      <c r="A533" s="121"/>
      <c r="B533" s="121"/>
      <c r="C533" s="121"/>
      <c r="D533" s="121"/>
      <c r="E533" s="121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</row>
    <row r="534" spans="1:26" ht="11.25" customHeight="1" x14ac:dyDescent="0.3">
      <c r="A534" s="121"/>
      <c r="B534" s="121"/>
      <c r="C534" s="121"/>
      <c r="D534" s="121"/>
      <c r="E534" s="121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</row>
    <row r="535" spans="1:26" ht="11.25" customHeight="1" x14ac:dyDescent="0.3">
      <c r="A535" s="121"/>
      <c r="B535" s="121"/>
      <c r="C535" s="121"/>
      <c r="D535" s="121"/>
      <c r="E535" s="121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</row>
    <row r="536" spans="1:26" ht="11.25" customHeight="1" x14ac:dyDescent="0.3">
      <c r="A536" s="121"/>
      <c r="B536" s="121"/>
      <c r="C536" s="121"/>
      <c r="D536" s="121"/>
      <c r="E536" s="121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</row>
    <row r="537" spans="1:26" ht="11.25" customHeight="1" x14ac:dyDescent="0.3">
      <c r="A537" s="121"/>
      <c r="B537" s="121"/>
      <c r="C537" s="121"/>
      <c r="D537" s="121"/>
      <c r="E537" s="121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</row>
    <row r="538" spans="1:26" ht="11.25" customHeight="1" x14ac:dyDescent="0.3">
      <c r="A538" s="121"/>
      <c r="B538" s="121"/>
      <c r="C538" s="121"/>
      <c r="D538" s="121"/>
      <c r="E538" s="121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</row>
    <row r="539" spans="1:26" ht="11.25" customHeight="1" x14ac:dyDescent="0.3">
      <c r="A539" s="121"/>
      <c r="B539" s="121"/>
      <c r="C539" s="121"/>
      <c r="D539" s="121"/>
      <c r="E539" s="121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</row>
    <row r="540" spans="1:26" ht="11.25" customHeight="1" x14ac:dyDescent="0.3">
      <c r="A540" s="121"/>
      <c r="B540" s="121"/>
      <c r="C540" s="121"/>
      <c r="D540" s="121"/>
      <c r="E540" s="121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</row>
    <row r="541" spans="1:26" ht="11.25" customHeight="1" x14ac:dyDescent="0.3">
      <c r="A541" s="121"/>
      <c r="B541" s="121"/>
      <c r="C541" s="121"/>
      <c r="D541" s="121"/>
      <c r="E541" s="121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</row>
    <row r="542" spans="1:26" ht="11.25" customHeight="1" x14ac:dyDescent="0.3">
      <c r="A542" s="121"/>
      <c r="B542" s="121"/>
      <c r="C542" s="121"/>
      <c r="D542" s="121"/>
      <c r="E542" s="121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</row>
    <row r="543" spans="1:26" ht="11.25" customHeight="1" x14ac:dyDescent="0.3">
      <c r="A543" s="121"/>
      <c r="B543" s="121"/>
      <c r="C543" s="121"/>
      <c r="D543" s="121"/>
      <c r="E543" s="121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</row>
    <row r="544" spans="1:26" ht="11.25" customHeight="1" x14ac:dyDescent="0.3">
      <c r="A544" s="121"/>
      <c r="B544" s="121"/>
      <c r="C544" s="121"/>
      <c r="D544" s="121"/>
      <c r="E544" s="121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</row>
    <row r="545" spans="1:26" ht="11.25" customHeight="1" x14ac:dyDescent="0.3">
      <c r="A545" s="121"/>
      <c r="B545" s="121"/>
      <c r="C545" s="121"/>
      <c r="D545" s="121"/>
      <c r="E545" s="121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</row>
    <row r="546" spans="1:26" ht="11.25" customHeight="1" x14ac:dyDescent="0.3">
      <c r="A546" s="121"/>
      <c r="B546" s="121"/>
      <c r="C546" s="121"/>
      <c r="D546" s="121"/>
      <c r="E546" s="121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</row>
    <row r="547" spans="1:26" ht="11.25" customHeight="1" x14ac:dyDescent="0.3">
      <c r="A547" s="121"/>
      <c r="B547" s="121"/>
      <c r="C547" s="121"/>
      <c r="D547" s="121"/>
      <c r="E547" s="121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</row>
    <row r="548" spans="1:26" ht="11.25" customHeight="1" x14ac:dyDescent="0.3">
      <c r="A548" s="121"/>
      <c r="B548" s="121"/>
      <c r="C548" s="121"/>
      <c r="D548" s="121"/>
      <c r="E548" s="121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</row>
    <row r="549" spans="1:26" ht="11.25" customHeight="1" x14ac:dyDescent="0.3">
      <c r="A549" s="121"/>
      <c r="B549" s="121"/>
      <c r="C549" s="121"/>
      <c r="D549" s="121"/>
      <c r="E549" s="121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</row>
    <row r="550" spans="1:26" ht="11.25" customHeight="1" x14ac:dyDescent="0.3">
      <c r="A550" s="121"/>
      <c r="B550" s="121"/>
      <c r="C550" s="121"/>
      <c r="D550" s="121"/>
      <c r="E550" s="121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</row>
    <row r="551" spans="1:26" ht="11.25" customHeight="1" x14ac:dyDescent="0.3">
      <c r="A551" s="121"/>
      <c r="B551" s="121"/>
      <c r="C551" s="121"/>
      <c r="D551" s="121"/>
      <c r="E551" s="121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</row>
    <row r="552" spans="1:26" ht="11.25" customHeight="1" x14ac:dyDescent="0.3">
      <c r="A552" s="121"/>
      <c r="B552" s="121"/>
      <c r="C552" s="121"/>
      <c r="D552" s="121"/>
      <c r="E552" s="121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</row>
    <row r="553" spans="1:26" ht="11.25" customHeight="1" x14ac:dyDescent="0.3">
      <c r="A553" s="121"/>
      <c r="B553" s="121"/>
      <c r="C553" s="121"/>
      <c r="D553" s="121"/>
      <c r="E553" s="121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</row>
    <row r="554" spans="1:26" ht="11.25" customHeight="1" x14ac:dyDescent="0.3">
      <c r="A554" s="121"/>
      <c r="B554" s="121"/>
      <c r="C554" s="121"/>
      <c r="D554" s="121"/>
      <c r="E554" s="121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</row>
    <row r="555" spans="1:26" ht="11.25" customHeight="1" x14ac:dyDescent="0.3">
      <c r="A555" s="121"/>
      <c r="B555" s="121"/>
      <c r="C555" s="121"/>
      <c r="D555" s="121"/>
      <c r="E555" s="121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</row>
    <row r="556" spans="1:26" ht="11.25" customHeight="1" x14ac:dyDescent="0.3">
      <c r="A556" s="121"/>
      <c r="B556" s="121"/>
      <c r="C556" s="121"/>
      <c r="D556" s="121"/>
      <c r="E556" s="121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</row>
    <row r="557" spans="1:26" ht="11.25" customHeight="1" x14ac:dyDescent="0.3">
      <c r="A557" s="121"/>
      <c r="B557" s="121"/>
      <c r="C557" s="121"/>
      <c r="D557" s="121"/>
      <c r="E557" s="121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</row>
    <row r="558" spans="1:26" ht="11.25" customHeight="1" x14ac:dyDescent="0.3">
      <c r="A558" s="121"/>
      <c r="B558" s="121"/>
      <c r="C558" s="121"/>
      <c r="D558" s="121"/>
      <c r="E558" s="121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</row>
    <row r="559" spans="1:26" ht="11.25" customHeight="1" x14ac:dyDescent="0.3">
      <c r="A559" s="121"/>
      <c r="B559" s="121"/>
      <c r="C559" s="121"/>
      <c r="D559" s="121"/>
      <c r="E559" s="121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</row>
    <row r="560" spans="1:26" ht="11.25" customHeight="1" x14ac:dyDescent="0.3">
      <c r="A560" s="121"/>
      <c r="B560" s="121"/>
      <c r="C560" s="121"/>
      <c r="D560" s="121"/>
      <c r="E560" s="121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</row>
    <row r="561" spans="1:26" ht="11.25" customHeight="1" x14ac:dyDescent="0.3">
      <c r="A561" s="121"/>
      <c r="B561" s="121"/>
      <c r="C561" s="121"/>
      <c r="D561" s="121"/>
      <c r="E561" s="121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</row>
    <row r="562" spans="1:26" ht="11.25" customHeight="1" x14ac:dyDescent="0.3">
      <c r="A562" s="121"/>
      <c r="B562" s="121"/>
      <c r="C562" s="121"/>
      <c r="D562" s="121"/>
      <c r="E562" s="121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</row>
    <row r="563" spans="1:26" ht="11.25" customHeight="1" x14ac:dyDescent="0.3">
      <c r="A563" s="121"/>
      <c r="B563" s="121"/>
      <c r="C563" s="121"/>
      <c r="D563" s="121"/>
      <c r="E563" s="121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</row>
    <row r="564" spans="1:26" ht="11.25" customHeight="1" x14ac:dyDescent="0.3">
      <c r="A564" s="121"/>
      <c r="B564" s="121"/>
      <c r="C564" s="121"/>
      <c r="D564" s="121"/>
      <c r="E564" s="121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</row>
    <row r="565" spans="1:26" ht="11.25" customHeight="1" x14ac:dyDescent="0.3">
      <c r="A565" s="121"/>
      <c r="B565" s="121"/>
      <c r="C565" s="121"/>
      <c r="D565" s="121"/>
      <c r="E565" s="121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</row>
    <row r="566" spans="1:26" ht="11.25" customHeight="1" x14ac:dyDescent="0.3">
      <c r="A566" s="121"/>
      <c r="B566" s="121"/>
      <c r="C566" s="121"/>
      <c r="D566" s="121"/>
      <c r="E566" s="121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</row>
    <row r="567" spans="1:26" ht="11.25" customHeight="1" x14ac:dyDescent="0.3">
      <c r="A567" s="121"/>
      <c r="B567" s="121"/>
      <c r="C567" s="121"/>
      <c r="D567" s="121"/>
      <c r="E567" s="121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</row>
    <row r="568" spans="1:26" ht="11.25" customHeight="1" x14ac:dyDescent="0.3">
      <c r="A568" s="121"/>
      <c r="B568" s="121"/>
      <c r="C568" s="121"/>
      <c r="D568" s="121"/>
      <c r="E568" s="121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</row>
    <row r="569" spans="1:26" ht="11.25" customHeight="1" x14ac:dyDescent="0.3">
      <c r="A569" s="121"/>
      <c r="B569" s="121"/>
      <c r="C569" s="121"/>
      <c r="D569" s="121"/>
      <c r="E569" s="121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</row>
    <row r="570" spans="1:26" ht="11.25" customHeight="1" x14ac:dyDescent="0.3">
      <c r="A570" s="121"/>
      <c r="B570" s="121"/>
      <c r="C570" s="121"/>
      <c r="D570" s="121"/>
      <c r="E570" s="121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</row>
    <row r="571" spans="1:26" ht="11.25" customHeight="1" x14ac:dyDescent="0.3">
      <c r="A571" s="121"/>
      <c r="B571" s="121"/>
      <c r="C571" s="121"/>
      <c r="D571" s="121"/>
      <c r="E571" s="121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</row>
    <row r="572" spans="1:26" ht="11.25" customHeight="1" x14ac:dyDescent="0.3">
      <c r="A572" s="121"/>
      <c r="B572" s="121"/>
      <c r="C572" s="121"/>
      <c r="D572" s="121"/>
      <c r="E572" s="121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</row>
    <row r="573" spans="1:26" ht="11.25" customHeight="1" x14ac:dyDescent="0.3">
      <c r="A573" s="121"/>
      <c r="B573" s="121"/>
      <c r="C573" s="121"/>
      <c r="D573" s="121"/>
      <c r="E573" s="121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</row>
    <row r="574" spans="1:26" ht="11.25" customHeight="1" x14ac:dyDescent="0.3">
      <c r="A574" s="121"/>
      <c r="B574" s="121"/>
      <c r="C574" s="121"/>
      <c r="D574" s="121"/>
      <c r="E574" s="121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</row>
    <row r="575" spans="1:26" ht="11.25" customHeight="1" x14ac:dyDescent="0.3">
      <c r="A575" s="121"/>
      <c r="B575" s="121"/>
      <c r="C575" s="121"/>
      <c r="D575" s="121"/>
      <c r="E575" s="121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</row>
    <row r="576" spans="1:26" ht="11.25" customHeight="1" x14ac:dyDescent="0.3">
      <c r="A576" s="121"/>
      <c r="B576" s="121"/>
      <c r="C576" s="121"/>
      <c r="D576" s="121"/>
      <c r="E576" s="121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</row>
    <row r="577" spans="1:26" ht="11.25" customHeight="1" x14ac:dyDescent="0.3">
      <c r="A577" s="121"/>
      <c r="B577" s="121"/>
      <c r="C577" s="121"/>
      <c r="D577" s="121"/>
      <c r="E577" s="121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</row>
    <row r="578" spans="1:26" ht="11.25" customHeight="1" x14ac:dyDescent="0.3">
      <c r="A578" s="121"/>
      <c r="B578" s="121"/>
      <c r="C578" s="121"/>
      <c r="D578" s="121"/>
      <c r="E578" s="121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</row>
    <row r="579" spans="1:26" ht="11.25" customHeight="1" x14ac:dyDescent="0.3">
      <c r="A579" s="121"/>
      <c r="B579" s="121"/>
      <c r="C579" s="121"/>
      <c r="D579" s="121"/>
      <c r="E579" s="121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</row>
    <row r="580" spans="1:26" ht="11.25" customHeight="1" x14ac:dyDescent="0.3">
      <c r="A580" s="121"/>
      <c r="B580" s="121"/>
      <c r="C580" s="121"/>
      <c r="D580" s="121"/>
      <c r="E580" s="121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</row>
    <row r="581" spans="1:26" ht="11.25" customHeight="1" x14ac:dyDescent="0.3">
      <c r="A581" s="121"/>
      <c r="B581" s="121"/>
      <c r="C581" s="121"/>
      <c r="D581" s="121"/>
      <c r="E581" s="121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</row>
    <row r="582" spans="1:26" ht="11.25" customHeight="1" x14ac:dyDescent="0.3">
      <c r="A582" s="121"/>
      <c r="B582" s="121"/>
      <c r="C582" s="121"/>
      <c r="D582" s="121"/>
      <c r="E582" s="121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</row>
    <row r="583" spans="1:26" ht="11.25" customHeight="1" x14ac:dyDescent="0.3">
      <c r="A583" s="121"/>
      <c r="B583" s="121"/>
      <c r="C583" s="121"/>
      <c r="D583" s="121"/>
      <c r="E583" s="121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</row>
    <row r="584" spans="1:26" ht="11.25" customHeight="1" x14ac:dyDescent="0.3">
      <c r="A584" s="121"/>
      <c r="B584" s="121"/>
      <c r="C584" s="121"/>
      <c r="D584" s="121"/>
      <c r="E584" s="121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</row>
    <row r="585" spans="1:26" ht="11.25" customHeight="1" x14ac:dyDescent="0.3">
      <c r="A585" s="121"/>
      <c r="B585" s="121"/>
      <c r="C585" s="121"/>
      <c r="D585" s="121"/>
      <c r="E585" s="121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</row>
    <row r="586" spans="1:26" ht="11.25" customHeight="1" x14ac:dyDescent="0.3">
      <c r="A586" s="121"/>
      <c r="B586" s="121"/>
      <c r="C586" s="121"/>
      <c r="D586" s="121"/>
      <c r="E586" s="121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</row>
    <row r="587" spans="1:26" ht="11.25" customHeight="1" x14ac:dyDescent="0.3">
      <c r="A587" s="121"/>
      <c r="B587" s="121"/>
      <c r="C587" s="121"/>
      <c r="D587" s="121"/>
      <c r="E587" s="121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</row>
    <row r="588" spans="1:26" ht="11.25" customHeight="1" x14ac:dyDescent="0.3">
      <c r="A588" s="121"/>
      <c r="B588" s="121"/>
      <c r="C588" s="121"/>
      <c r="D588" s="121"/>
      <c r="E588" s="121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</row>
    <row r="589" spans="1:26" ht="11.25" customHeight="1" x14ac:dyDescent="0.3">
      <c r="A589" s="121"/>
      <c r="B589" s="121"/>
      <c r="C589" s="121"/>
      <c r="D589" s="121"/>
      <c r="E589" s="121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</row>
    <row r="590" spans="1:26" ht="11.25" customHeight="1" x14ac:dyDescent="0.3">
      <c r="A590" s="121"/>
      <c r="B590" s="121"/>
      <c r="C590" s="121"/>
      <c r="D590" s="121"/>
      <c r="E590" s="121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</row>
    <row r="591" spans="1:26" ht="11.25" customHeight="1" x14ac:dyDescent="0.3">
      <c r="A591" s="121"/>
      <c r="B591" s="121"/>
      <c r="C591" s="121"/>
      <c r="D591" s="121"/>
      <c r="E591" s="121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</row>
    <row r="592" spans="1:26" ht="11.25" customHeight="1" x14ac:dyDescent="0.3">
      <c r="A592" s="121"/>
      <c r="B592" s="121"/>
      <c r="C592" s="121"/>
      <c r="D592" s="121"/>
      <c r="E592" s="121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</row>
    <row r="593" spans="1:26" ht="11.25" customHeight="1" x14ac:dyDescent="0.3">
      <c r="A593" s="121"/>
      <c r="B593" s="121"/>
      <c r="C593" s="121"/>
      <c r="D593" s="121"/>
      <c r="E593" s="121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</row>
    <row r="594" spans="1:26" ht="11.25" customHeight="1" x14ac:dyDescent="0.3">
      <c r="A594" s="121"/>
      <c r="B594" s="121"/>
      <c r="C594" s="121"/>
      <c r="D594" s="121"/>
      <c r="E594" s="121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</row>
    <row r="595" spans="1:26" ht="11.25" customHeight="1" x14ac:dyDescent="0.3">
      <c r="A595" s="121"/>
      <c r="B595" s="121"/>
      <c r="C595" s="121"/>
      <c r="D595" s="121"/>
      <c r="E595" s="121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</row>
    <row r="596" spans="1:26" ht="11.25" customHeight="1" x14ac:dyDescent="0.3">
      <c r="A596" s="121"/>
      <c r="B596" s="121"/>
      <c r="C596" s="121"/>
      <c r="D596" s="121"/>
      <c r="E596" s="121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</row>
    <row r="597" spans="1:26" ht="11.25" customHeight="1" x14ac:dyDescent="0.3">
      <c r="A597" s="121"/>
      <c r="B597" s="121"/>
      <c r="C597" s="121"/>
      <c r="D597" s="121"/>
      <c r="E597" s="121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</row>
    <row r="598" spans="1:26" ht="11.25" customHeight="1" x14ac:dyDescent="0.3">
      <c r="A598" s="121"/>
      <c r="B598" s="121"/>
      <c r="C598" s="121"/>
      <c r="D598" s="121"/>
      <c r="E598" s="121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</row>
    <row r="599" spans="1:26" ht="11.25" customHeight="1" x14ac:dyDescent="0.3">
      <c r="A599" s="121"/>
      <c r="B599" s="121"/>
      <c r="C599" s="121"/>
      <c r="D599" s="121"/>
      <c r="E599" s="121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</row>
    <row r="600" spans="1:26" ht="11.25" customHeight="1" x14ac:dyDescent="0.3">
      <c r="A600" s="121"/>
      <c r="B600" s="121"/>
      <c r="C600" s="121"/>
      <c r="D600" s="121"/>
      <c r="E600" s="121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</row>
    <row r="601" spans="1:26" ht="11.25" customHeight="1" x14ac:dyDescent="0.3">
      <c r="A601" s="121"/>
      <c r="B601" s="121"/>
      <c r="C601" s="121"/>
      <c r="D601" s="121"/>
      <c r="E601" s="121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</row>
    <row r="602" spans="1:26" ht="11.25" customHeight="1" x14ac:dyDescent="0.3">
      <c r="A602" s="121"/>
      <c r="B602" s="121"/>
      <c r="C602" s="121"/>
      <c r="D602" s="121"/>
      <c r="E602" s="121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</row>
    <row r="603" spans="1:26" ht="11.25" customHeight="1" x14ac:dyDescent="0.3">
      <c r="A603" s="121"/>
      <c r="B603" s="121"/>
      <c r="C603" s="121"/>
      <c r="D603" s="121"/>
      <c r="E603" s="121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</row>
    <row r="604" spans="1:26" ht="11.25" customHeight="1" x14ac:dyDescent="0.3">
      <c r="A604" s="121"/>
      <c r="B604" s="121"/>
      <c r="C604" s="121"/>
      <c r="D604" s="121"/>
      <c r="E604" s="121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</row>
    <row r="605" spans="1:26" ht="11.25" customHeight="1" x14ac:dyDescent="0.3">
      <c r="A605" s="121"/>
      <c r="B605" s="121"/>
      <c r="C605" s="121"/>
      <c r="D605" s="121"/>
      <c r="E605" s="121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</row>
    <row r="606" spans="1:26" ht="11.25" customHeight="1" x14ac:dyDescent="0.3">
      <c r="A606" s="121"/>
      <c r="B606" s="121"/>
      <c r="C606" s="121"/>
      <c r="D606" s="121"/>
      <c r="E606" s="121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</row>
    <row r="607" spans="1:26" ht="11.25" customHeight="1" x14ac:dyDescent="0.3">
      <c r="A607" s="121"/>
      <c r="B607" s="121"/>
      <c r="C607" s="121"/>
      <c r="D607" s="121"/>
      <c r="E607" s="121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</row>
    <row r="608" spans="1:26" ht="11.25" customHeight="1" x14ac:dyDescent="0.3">
      <c r="A608" s="121"/>
      <c r="B608" s="121"/>
      <c r="C608" s="121"/>
      <c r="D608" s="121"/>
      <c r="E608" s="121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</row>
    <row r="609" spans="1:26" ht="11.25" customHeight="1" x14ac:dyDescent="0.3">
      <c r="A609" s="121"/>
      <c r="B609" s="121"/>
      <c r="C609" s="121"/>
      <c r="D609" s="121"/>
      <c r="E609" s="121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</row>
    <row r="610" spans="1:26" ht="11.25" customHeight="1" x14ac:dyDescent="0.3">
      <c r="A610" s="121"/>
      <c r="B610" s="121"/>
      <c r="C610" s="121"/>
      <c r="D610" s="121"/>
      <c r="E610" s="121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</row>
    <row r="611" spans="1:26" ht="11.25" customHeight="1" x14ac:dyDescent="0.3">
      <c r="A611" s="121"/>
      <c r="B611" s="121"/>
      <c r="C611" s="121"/>
      <c r="D611" s="121"/>
      <c r="E611" s="121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</row>
    <row r="612" spans="1:26" ht="11.25" customHeight="1" x14ac:dyDescent="0.3">
      <c r="A612" s="121"/>
      <c r="B612" s="121"/>
      <c r="C612" s="121"/>
      <c r="D612" s="121"/>
      <c r="E612" s="121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</row>
    <row r="613" spans="1:26" ht="11.25" customHeight="1" x14ac:dyDescent="0.3">
      <c r="A613" s="121"/>
      <c r="B613" s="121"/>
      <c r="C613" s="121"/>
      <c r="D613" s="121"/>
      <c r="E613" s="121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</row>
    <row r="614" spans="1:26" ht="11.25" customHeight="1" x14ac:dyDescent="0.3">
      <c r="A614" s="121"/>
      <c r="B614" s="121"/>
      <c r="C614" s="121"/>
      <c r="D614" s="121"/>
      <c r="E614" s="121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</row>
    <row r="615" spans="1:26" ht="11.25" customHeight="1" x14ac:dyDescent="0.3">
      <c r="A615" s="121"/>
      <c r="B615" s="121"/>
      <c r="C615" s="121"/>
      <c r="D615" s="121"/>
      <c r="E615" s="121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</row>
    <row r="616" spans="1:26" ht="11.25" customHeight="1" x14ac:dyDescent="0.3">
      <c r="A616" s="121"/>
      <c r="B616" s="121"/>
      <c r="C616" s="121"/>
      <c r="D616" s="121"/>
      <c r="E616" s="121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</row>
    <row r="617" spans="1:26" ht="11.25" customHeight="1" x14ac:dyDescent="0.3">
      <c r="A617" s="121"/>
      <c r="B617" s="121"/>
      <c r="C617" s="121"/>
      <c r="D617" s="121"/>
      <c r="E617" s="121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</row>
    <row r="618" spans="1:26" ht="11.25" customHeight="1" x14ac:dyDescent="0.3">
      <c r="A618" s="121"/>
      <c r="B618" s="121"/>
      <c r="C618" s="121"/>
      <c r="D618" s="121"/>
      <c r="E618" s="121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</row>
    <row r="619" spans="1:26" ht="11.25" customHeight="1" x14ac:dyDescent="0.3">
      <c r="A619" s="121"/>
      <c r="B619" s="121"/>
      <c r="C619" s="121"/>
      <c r="D619" s="121"/>
      <c r="E619" s="121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</row>
    <row r="620" spans="1:26" ht="11.25" customHeight="1" x14ac:dyDescent="0.3">
      <c r="A620" s="121"/>
      <c r="B620" s="121"/>
      <c r="C620" s="121"/>
      <c r="D620" s="121"/>
      <c r="E620" s="121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</row>
    <row r="621" spans="1:26" ht="11.25" customHeight="1" x14ac:dyDescent="0.3">
      <c r="A621" s="121"/>
      <c r="B621" s="121"/>
      <c r="C621" s="121"/>
      <c r="D621" s="121"/>
      <c r="E621" s="121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</row>
    <row r="622" spans="1:26" ht="11.25" customHeight="1" x14ac:dyDescent="0.3">
      <c r="A622" s="121"/>
      <c r="B622" s="121"/>
      <c r="C622" s="121"/>
      <c r="D622" s="121"/>
      <c r="E622" s="121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</row>
    <row r="623" spans="1:26" ht="11.25" customHeight="1" x14ac:dyDescent="0.3">
      <c r="A623" s="121"/>
      <c r="B623" s="121"/>
      <c r="C623" s="121"/>
      <c r="D623" s="121"/>
      <c r="E623" s="121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</row>
    <row r="624" spans="1:26" ht="11.25" customHeight="1" x14ac:dyDescent="0.3">
      <c r="A624" s="121"/>
      <c r="B624" s="121"/>
      <c r="C624" s="121"/>
      <c r="D624" s="121"/>
      <c r="E624" s="121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</row>
    <row r="625" spans="1:26" ht="11.25" customHeight="1" x14ac:dyDescent="0.3">
      <c r="A625" s="121"/>
      <c r="B625" s="121"/>
      <c r="C625" s="121"/>
      <c r="D625" s="121"/>
      <c r="E625" s="121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</row>
    <row r="626" spans="1:26" ht="11.25" customHeight="1" x14ac:dyDescent="0.3">
      <c r="A626" s="121"/>
      <c r="B626" s="121"/>
      <c r="C626" s="121"/>
      <c r="D626" s="121"/>
      <c r="E626" s="121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</row>
    <row r="627" spans="1:26" ht="11.25" customHeight="1" x14ac:dyDescent="0.3">
      <c r="A627" s="121"/>
      <c r="B627" s="121"/>
      <c r="C627" s="121"/>
      <c r="D627" s="121"/>
      <c r="E627" s="121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</row>
    <row r="628" spans="1:26" ht="11.25" customHeight="1" x14ac:dyDescent="0.3">
      <c r="A628" s="121"/>
      <c r="B628" s="121"/>
      <c r="C628" s="121"/>
      <c r="D628" s="121"/>
      <c r="E628" s="121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</row>
    <row r="629" spans="1:26" ht="11.25" customHeight="1" x14ac:dyDescent="0.3">
      <c r="A629" s="121"/>
      <c r="B629" s="121"/>
      <c r="C629" s="121"/>
      <c r="D629" s="121"/>
      <c r="E629" s="121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</row>
    <row r="630" spans="1:26" ht="11.25" customHeight="1" x14ac:dyDescent="0.3">
      <c r="A630" s="121"/>
      <c r="B630" s="121"/>
      <c r="C630" s="121"/>
      <c r="D630" s="121"/>
      <c r="E630" s="121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</row>
    <row r="631" spans="1:26" ht="11.25" customHeight="1" x14ac:dyDescent="0.3">
      <c r="A631" s="121"/>
      <c r="B631" s="121"/>
      <c r="C631" s="121"/>
      <c r="D631" s="121"/>
      <c r="E631" s="121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</row>
    <row r="632" spans="1:26" ht="11.25" customHeight="1" x14ac:dyDescent="0.3">
      <c r="A632" s="121"/>
      <c r="B632" s="121"/>
      <c r="C632" s="121"/>
      <c r="D632" s="121"/>
      <c r="E632" s="121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</row>
    <row r="633" spans="1:26" ht="11.25" customHeight="1" x14ac:dyDescent="0.3">
      <c r="A633" s="121"/>
      <c r="B633" s="121"/>
      <c r="C633" s="121"/>
      <c r="D633" s="121"/>
      <c r="E633" s="121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</row>
    <row r="634" spans="1:26" ht="11.25" customHeight="1" x14ac:dyDescent="0.3">
      <c r="A634" s="121"/>
      <c r="B634" s="121"/>
      <c r="C634" s="121"/>
      <c r="D634" s="121"/>
      <c r="E634" s="121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</row>
    <row r="635" spans="1:26" ht="11.25" customHeight="1" x14ac:dyDescent="0.3">
      <c r="A635" s="121"/>
      <c r="B635" s="121"/>
      <c r="C635" s="121"/>
      <c r="D635" s="121"/>
      <c r="E635" s="121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</row>
    <row r="636" spans="1:26" ht="11.25" customHeight="1" x14ac:dyDescent="0.3">
      <c r="A636" s="121"/>
      <c r="B636" s="121"/>
      <c r="C636" s="121"/>
      <c r="D636" s="121"/>
      <c r="E636" s="121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</row>
    <row r="637" spans="1:26" ht="11.25" customHeight="1" x14ac:dyDescent="0.3">
      <c r="A637" s="121"/>
      <c r="B637" s="121"/>
      <c r="C637" s="121"/>
      <c r="D637" s="121"/>
      <c r="E637" s="121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</row>
    <row r="638" spans="1:26" ht="11.25" customHeight="1" x14ac:dyDescent="0.3">
      <c r="A638" s="121"/>
      <c r="B638" s="121"/>
      <c r="C638" s="121"/>
      <c r="D638" s="121"/>
      <c r="E638" s="121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</row>
    <row r="639" spans="1:26" ht="11.25" customHeight="1" x14ac:dyDescent="0.3">
      <c r="A639" s="121"/>
      <c r="B639" s="121"/>
      <c r="C639" s="121"/>
      <c r="D639" s="121"/>
      <c r="E639" s="121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</row>
    <row r="640" spans="1:26" ht="11.25" customHeight="1" x14ac:dyDescent="0.3">
      <c r="A640" s="121"/>
      <c r="B640" s="121"/>
      <c r="C640" s="121"/>
      <c r="D640" s="121"/>
      <c r="E640" s="121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</row>
    <row r="641" spans="1:26" ht="11.25" customHeight="1" x14ac:dyDescent="0.3">
      <c r="A641" s="121"/>
      <c r="B641" s="121"/>
      <c r="C641" s="121"/>
      <c r="D641" s="121"/>
      <c r="E641" s="121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</row>
    <row r="642" spans="1:26" ht="11.25" customHeight="1" x14ac:dyDescent="0.3">
      <c r="A642" s="121"/>
      <c r="B642" s="121"/>
      <c r="C642" s="121"/>
      <c r="D642" s="121"/>
      <c r="E642" s="121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</row>
    <row r="643" spans="1:26" ht="11.25" customHeight="1" x14ac:dyDescent="0.3">
      <c r="A643" s="121"/>
      <c r="B643" s="121"/>
      <c r="C643" s="121"/>
      <c r="D643" s="121"/>
      <c r="E643" s="121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</row>
    <row r="644" spans="1:26" ht="11.25" customHeight="1" x14ac:dyDescent="0.3">
      <c r="A644" s="121"/>
      <c r="B644" s="121"/>
      <c r="C644" s="121"/>
      <c r="D644" s="121"/>
      <c r="E644" s="121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</row>
    <row r="645" spans="1:26" ht="11.25" customHeight="1" x14ac:dyDescent="0.3">
      <c r="A645" s="121"/>
      <c r="B645" s="121"/>
      <c r="C645" s="121"/>
      <c r="D645" s="121"/>
      <c r="E645" s="121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</row>
    <row r="646" spans="1:26" ht="11.25" customHeight="1" x14ac:dyDescent="0.3">
      <c r="A646" s="121"/>
      <c r="B646" s="121"/>
      <c r="C646" s="121"/>
      <c r="D646" s="121"/>
      <c r="E646" s="121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</row>
    <row r="647" spans="1:26" ht="11.25" customHeight="1" x14ac:dyDescent="0.3">
      <c r="A647" s="121"/>
      <c r="B647" s="121"/>
      <c r="C647" s="121"/>
      <c r="D647" s="121"/>
      <c r="E647" s="121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</row>
    <row r="648" spans="1:26" ht="11.25" customHeight="1" x14ac:dyDescent="0.3">
      <c r="A648" s="121"/>
      <c r="B648" s="121"/>
      <c r="C648" s="121"/>
      <c r="D648" s="121"/>
      <c r="E648" s="121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</row>
    <row r="649" spans="1:26" ht="11.25" customHeight="1" x14ac:dyDescent="0.3">
      <c r="A649" s="121"/>
      <c r="B649" s="121"/>
      <c r="C649" s="121"/>
      <c r="D649" s="121"/>
      <c r="E649" s="121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</row>
    <row r="650" spans="1:26" ht="11.25" customHeight="1" x14ac:dyDescent="0.3">
      <c r="A650" s="121"/>
      <c r="B650" s="121"/>
      <c r="C650" s="121"/>
      <c r="D650" s="121"/>
      <c r="E650" s="121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</row>
    <row r="651" spans="1:26" ht="11.25" customHeight="1" x14ac:dyDescent="0.3">
      <c r="A651" s="121"/>
      <c r="B651" s="121"/>
      <c r="C651" s="121"/>
      <c r="D651" s="121"/>
      <c r="E651" s="121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</row>
    <row r="652" spans="1:26" ht="11.25" customHeight="1" x14ac:dyDescent="0.3">
      <c r="A652" s="121"/>
      <c r="B652" s="121"/>
      <c r="C652" s="121"/>
      <c r="D652" s="121"/>
      <c r="E652" s="121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</row>
    <row r="653" spans="1:26" ht="11.25" customHeight="1" x14ac:dyDescent="0.3">
      <c r="A653" s="121"/>
      <c r="B653" s="121"/>
      <c r="C653" s="121"/>
      <c r="D653" s="121"/>
      <c r="E653" s="121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</row>
    <row r="654" spans="1:26" ht="11.25" customHeight="1" x14ac:dyDescent="0.3">
      <c r="A654" s="121"/>
      <c r="B654" s="121"/>
      <c r="C654" s="121"/>
      <c r="D654" s="121"/>
      <c r="E654" s="121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</row>
    <row r="655" spans="1:26" ht="11.25" customHeight="1" x14ac:dyDescent="0.3">
      <c r="A655" s="121"/>
      <c r="B655" s="121"/>
      <c r="C655" s="121"/>
      <c r="D655" s="121"/>
      <c r="E655" s="121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</row>
    <row r="656" spans="1:26" ht="11.25" customHeight="1" x14ac:dyDescent="0.3">
      <c r="A656" s="121"/>
      <c r="B656" s="121"/>
      <c r="C656" s="121"/>
      <c r="D656" s="121"/>
      <c r="E656" s="121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</row>
    <row r="657" spans="1:26" ht="11.25" customHeight="1" x14ac:dyDescent="0.3">
      <c r="A657" s="121"/>
      <c r="B657" s="121"/>
      <c r="C657" s="121"/>
      <c r="D657" s="121"/>
      <c r="E657" s="121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</row>
    <row r="658" spans="1:26" ht="11.25" customHeight="1" x14ac:dyDescent="0.3">
      <c r="A658" s="121"/>
      <c r="B658" s="121"/>
      <c r="C658" s="121"/>
      <c r="D658" s="121"/>
      <c r="E658" s="121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</row>
    <row r="659" spans="1:26" ht="11.25" customHeight="1" x14ac:dyDescent="0.3">
      <c r="A659" s="121"/>
      <c r="B659" s="121"/>
      <c r="C659" s="121"/>
      <c r="D659" s="121"/>
      <c r="E659" s="121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</row>
    <row r="660" spans="1:26" ht="11.25" customHeight="1" x14ac:dyDescent="0.3">
      <c r="A660" s="121"/>
      <c r="B660" s="121"/>
      <c r="C660" s="121"/>
      <c r="D660" s="121"/>
      <c r="E660" s="121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</row>
    <row r="661" spans="1:26" ht="11.25" customHeight="1" x14ac:dyDescent="0.3">
      <c r="A661" s="121"/>
      <c r="B661" s="121"/>
      <c r="C661" s="121"/>
      <c r="D661" s="121"/>
      <c r="E661" s="121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</row>
    <row r="662" spans="1:26" ht="11.25" customHeight="1" x14ac:dyDescent="0.3">
      <c r="A662" s="121"/>
      <c r="B662" s="121"/>
      <c r="C662" s="121"/>
      <c r="D662" s="121"/>
      <c r="E662" s="121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</row>
    <row r="663" spans="1:26" ht="11.25" customHeight="1" x14ac:dyDescent="0.3">
      <c r="A663" s="121"/>
      <c r="B663" s="121"/>
      <c r="C663" s="121"/>
      <c r="D663" s="121"/>
      <c r="E663" s="121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</row>
    <row r="664" spans="1:26" ht="11.25" customHeight="1" x14ac:dyDescent="0.3">
      <c r="A664" s="121"/>
      <c r="B664" s="121"/>
      <c r="C664" s="121"/>
      <c r="D664" s="121"/>
      <c r="E664" s="121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</row>
    <row r="665" spans="1:26" ht="11.25" customHeight="1" x14ac:dyDescent="0.3">
      <c r="A665" s="121"/>
      <c r="B665" s="121"/>
      <c r="C665" s="121"/>
      <c r="D665" s="121"/>
      <c r="E665" s="121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</row>
    <row r="666" spans="1:26" ht="11.25" customHeight="1" x14ac:dyDescent="0.3">
      <c r="A666" s="121"/>
      <c r="B666" s="121"/>
      <c r="C666" s="121"/>
      <c r="D666" s="121"/>
      <c r="E666" s="121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</row>
    <row r="667" spans="1:26" ht="11.25" customHeight="1" x14ac:dyDescent="0.3">
      <c r="A667" s="121"/>
      <c r="B667" s="121"/>
      <c r="C667" s="121"/>
      <c r="D667" s="121"/>
      <c r="E667" s="121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</row>
    <row r="668" spans="1:26" ht="11.25" customHeight="1" x14ac:dyDescent="0.3">
      <c r="A668" s="121"/>
      <c r="B668" s="121"/>
      <c r="C668" s="121"/>
      <c r="D668" s="121"/>
      <c r="E668" s="121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</row>
    <row r="669" spans="1:26" ht="11.25" customHeight="1" x14ac:dyDescent="0.3">
      <c r="A669" s="121"/>
      <c r="B669" s="121"/>
      <c r="C669" s="121"/>
      <c r="D669" s="121"/>
      <c r="E669" s="121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</row>
    <row r="670" spans="1:26" ht="11.25" customHeight="1" x14ac:dyDescent="0.3">
      <c r="A670" s="121"/>
      <c r="B670" s="121"/>
      <c r="C670" s="121"/>
      <c r="D670" s="121"/>
      <c r="E670" s="121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</row>
    <row r="671" spans="1:26" ht="11.25" customHeight="1" x14ac:dyDescent="0.3">
      <c r="A671" s="121"/>
      <c r="B671" s="121"/>
      <c r="C671" s="121"/>
      <c r="D671" s="121"/>
      <c r="E671" s="121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</row>
    <row r="672" spans="1:26" ht="11.25" customHeight="1" x14ac:dyDescent="0.3">
      <c r="A672" s="121"/>
      <c r="B672" s="121"/>
      <c r="C672" s="121"/>
      <c r="D672" s="121"/>
      <c r="E672" s="121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</row>
    <row r="673" spans="1:26" ht="11.25" customHeight="1" x14ac:dyDescent="0.3">
      <c r="A673" s="121"/>
      <c r="B673" s="121"/>
      <c r="C673" s="121"/>
      <c r="D673" s="121"/>
      <c r="E673" s="121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</row>
    <row r="674" spans="1:26" ht="11.25" customHeight="1" x14ac:dyDescent="0.3">
      <c r="A674" s="121"/>
      <c r="B674" s="121"/>
      <c r="C674" s="121"/>
      <c r="D674" s="121"/>
      <c r="E674" s="121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</row>
    <row r="675" spans="1:26" ht="11.25" customHeight="1" x14ac:dyDescent="0.3">
      <c r="A675" s="121"/>
      <c r="B675" s="121"/>
      <c r="C675" s="121"/>
      <c r="D675" s="121"/>
      <c r="E675" s="121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</row>
    <row r="676" spans="1:26" ht="11.25" customHeight="1" x14ac:dyDescent="0.3">
      <c r="A676" s="121"/>
      <c r="B676" s="121"/>
      <c r="C676" s="121"/>
      <c r="D676" s="121"/>
      <c r="E676" s="121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</row>
    <row r="677" spans="1:26" ht="11.25" customHeight="1" x14ac:dyDescent="0.3">
      <c r="A677" s="121"/>
      <c r="B677" s="121"/>
      <c r="C677" s="121"/>
      <c r="D677" s="121"/>
      <c r="E677" s="121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</row>
    <row r="678" spans="1:26" ht="11.25" customHeight="1" x14ac:dyDescent="0.3">
      <c r="A678" s="121"/>
      <c r="B678" s="121"/>
      <c r="C678" s="121"/>
      <c r="D678" s="121"/>
      <c r="E678" s="121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</row>
    <row r="679" spans="1:26" ht="11.25" customHeight="1" x14ac:dyDescent="0.3">
      <c r="A679" s="121"/>
      <c r="B679" s="121"/>
      <c r="C679" s="121"/>
      <c r="D679" s="121"/>
      <c r="E679" s="121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</row>
    <row r="680" spans="1:26" ht="11.25" customHeight="1" x14ac:dyDescent="0.3">
      <c r="A680" s="121"/>
      <c r="B680" s="121"/>
      <c r="C680" s="121"/>
      <c r="D680" s="121"/>
      <c r="E680" s="121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</row>
    <row r="681" spans="1:26" ht="11.25" customHeight="1" x14ac:dyDescent="0.3">
      <c r="A681" s="121"/>
      <c r="B681" s="121"/>
      <c r="C681" s="121"/>
      <c r="D681" s="121"/>
      <c r="E681" s="121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</row>
    <row r="682" spans="1:26" ht="11.25" customHeight="1" x14ac:dyDescent="0.3">
      <c r="A682" s="121"/>
      <c r="B682" s="121"/>
      <c r="C682" s="121"/>
      <c r="D682" s="121"/>
      <c r="E682" s="121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</row>
    <row r="683" spans="1:26" ht="11.25" customHeight="1" x14ac:dyDescent="0.3">
      <c r="A683" s="121"/>
      <c r="B683" s="121"/>
      <c r="C683" s="121"/>
      <c r="D683" s="121"/>
      <c r="E683" s="121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</row>
    <row r="684" spans="1:26" ht="11.25" customHeight="1" x14ac:dyDescent="0.3">
      <c r="A684" s="121"/>
      <c r="B684" s="121"/>
      <c r="C684" s="121"/>
      <c r="D684" s="121"/>
      <c r="E684" s="121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</row>
    <row r="685" spans="1:26" ht="11.25" customHeight="1" x14ac:dyDescent="0.3">
      <c r="A685" s="121"/>
      <c r="B685" s="121"/>
      <c r="C685" s="121"/>
      <c r="D685" s="121"/>
      <c r="E685" s="121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</row>
    <row r="686" spans="1:26" ht="11.25" customHeight="1" x14ac:dyDescent="0.3">
      <c r="A686" s="121"/>
      <c r="B686" s="121"/>
      <c r="C686" s="121"/>
      <c r="D686" s="121"/>
      <c r="E686" s="121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</row>
    <row r="687" spans="1:26" ht="11.25" customHeight="1" x14ac:dyDescent="0.3">
      <c r="A687" s="121"/>
      <c r="B687" s="121"/>
      <c r="C687" s="121"/>
      <c r="D687" s="121"/>
      <c r="E687" s="121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</row>
    <row r="688" spans="1:26" ht="11.25" customHeight="1" x14ac:dyDescent="0.3">
      <c r="A688" s="121"/>
      <c r="B688" s="121"/>
      <c r="C688" s="121"/>
      <c r="D688" s="121"/>
      <c r="E688" s="121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</row>
    <row r="689" spans="1:26" ht="11.25" customHeight="1" x14ac:dyDescent="0.3">
      <c r="A689" s="121"/>
      <c r="B689" s="121"/>
      <c r="C689" s="121"/>
      <c r="D689" s="121"/>
      <c r="E689" s="121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</row>
    <row r="690" spans="1:26" ht="11.25" customHeight="1" x14ac:dyDescent="0.3">
      <c r="A690" s="121"/>
      <c r="B690" s="121"/>
      <c r="C690" s="121"/>
      <c r="D690" s="121"/>
      <c r="E690" s="121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</row>
    <row r="691" spans="1:26" ht="11.25" customHeight="1" x14ac:dyDescent="0.3">
      <c r="A691" s="121"/>
      <c r="B691" s="121"/>
      <c r="C691" s="121"/>
      <c r="D691" s="121"/>
      <c r="E691" s="121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</row>
    <row r="692" spans="1:26" ht="11.25" customHeight="1" x14ac:dyDescent="0.3">
      <c r="A692" s="121"/>
      <c r="B692" s="121"/>
      <c r="C692" s="121"/>
      <c r="D692" s="121"/>
      <c r="E692" s="121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</row>
    <row r="693" spans="1:26" ht="11.25" customHeight="1" x14ac:dyDescent="0.3">
      <c r="A693" s="121"/>
      <c r="B693" s="121"/>
      <c r="C693" s="121"/>
      <c r="D693" s="121"/>
      <c r="E693" s="121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</row>
    <row r="694" spans="1:26" ht="11.25" customHeight="1" x14ac:dyDescent="0.3">
      <c r="A694" s="121"/>
      <c r="B694" s="121"/>
      <c r="C694" s="121"/>
      <c r="D694" s="121"/>
      <c r="E694" s="121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</row>
    <row r="695" spans="1:26" ht="11.25" customHeight="1" x14ac:dyDescent="0.3">
      <c r="A695" s="121"/>
      <c r="B695" s="121"/>
      <c r="C695" s="121"/>
      <c r="D695" s="121"/>
      <c r="E695" s="121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</row>
    <row r="696" spans="1:26" ht="11.25" customHeight="1" x14ac:dyDescent="0.3">
      <c r="A696" s="121"/>
      <c r="B696" s="121"/>
      <c r="C696" s="121"/>
      <c r="D696" s="121"/>
      <c r="E696" s="121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</row>
    <row r="697" spans="1:26" ht="11.25" customHeight="1" x14ac:dyDescent="0.3">
      <c r="A697" s="121"/>
      <c r="B697" s="121"/>
      <c r="C697" s="121"/>
      <c r="D697" s="121"/>
      <c r="E697" s="121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</row>
    <row r="698" spans="1:26" ht="11.25" customHeight="1" x14ac:dyDescent="0.3">
      <c r="A698" s="121"/>
      <c r="B698" s="121"/>
      <c r="C698" s="121"/>
      <c r="D698" s="121"/>
      <c r="E698" s="121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</row>
    <row r="699" spans="1:26" ht="11.25" customHeight="1" x14ac:dyDescent="0.3">
      <c r="A699" s="121"/>
      <c r="B699" s="121"/>
      <c r="C699" s="121"/>
      <c r="D699" s="121"/>
      <c r="E699" s="121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</row>
    <row r="700" spans="1:26" ht="11.25" customHeight="1" x14ac:dyDescent="0.3">
      <c r="A700" s="121"/>
      <c r="B700" s="121"/>
      <c r="C700" s="121"/>
      <c r="D700" s="121"/>
      <c r="E700" s="121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</row>
    <row r="701" spans="1:26" ht="11.25" customHeight="1" x14ac:dyDescent="0.3">
      <c r="A701" s="121"/>
      <c r="B701" s="121"/>
      <c r="C701" s="121"/>
      <c r="D701" s="121"/>
      <c r="E701" s="121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</row>
    <row r="702" spans="1:26" ht="11.25" customHeight="1" x14ac:dyDescent="0.3">
      <c r="A702" s="121"/>
      <c r="B702" s="121"/>
      <c r="C702" s="121"/>
      <c r="D702" s="121"/>
      <c r="E702" s="121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</row>
    <row r="703" spans="1:26" ht="11.25" customHeight="1" x14ac:dyDescent="0.3">
      <c r="A703" s="121"/>
      <c r="B703" s="121"/>
      <c r="C703" s="121"/>
      <c r="D703" s="121"/>
      <c r="E703" s="121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</row>
    <row r="704" spans="1:26" ht="11.25" customHeight="1" x14ac:dyDescent="0.3">
      <c r="A704" s="121"/>
      <c r="B704" s="121"/>
      <c r="C704" s="121"/>
      <c r="D704" s="121"/>
      <c r="E704" s="121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</row>
    <row r="705" spans="1:26" ht="11.25" customHeight="1" x14ac:dyDescent="0.3">
      <c r="A705" s="121"/>
      <c r="B705" s="121"/>
      <c r="C705" s="121"/>
      <c r="D705" s="121"/>
      <c r="E705" s="121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</row>
    <row r="706" spans="1:26" ht="11.25" customHeight="1" x14ac:dyDescent="0.3">
      <c r="A706" s="121"/>
      <c r="B706" s="121"/>
      <c r="C706" s="121"/>
      <c r="D706" s="121"/>
      <c r="E706" s="121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</row>
    <row r="707" spans="1:26" ht="11.25" customHeight="1" x14ac:dyDescent="0.3">
      <c r="A707" s="121"/>
      <c r="B707" s="121"/>
      <c r="C707" s="121"/>
      <c r="D707" s="121"/>
      <c r="E707" s="121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</row>
    <row r="708" spans="1:26" ht="11.25" customHeight="1" x14ac:dyDescent="0.3">
      <c r="A708" s="121"/>
      <c r="B708" s="121"/>
      <c r="C708" s="121"/>
      <c r="D708" s="121"/>
      <c r="E708" s="121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</row>
    <row r="709" spans="1:26" ht="11.25" customHeight="1" x14ac:dyDescent="0.3">
      <c r="A709" s="121"/>
      <c r="B709" s="121"/>
      <c r="C709" s="121"/>
      <c r="D709" s="121"/>
      <c r="E709" s="121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</row>
    <row r="710" spans="1:26" ht="11.25" customHeight="1" x14ac:dyDescent="0.3">
      <c r="A710" s="121"/>
      <c r="B710" s="121"/>
      <c r="C710" s="121"/>
      <c r="D710" s="121"/>
      <c r="E710" s="121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</row>
    <row r="711" spans="1:26" ht="11.25" customHeight="1" x14ac:dyDescent="0.3">
      <c r="A711" s="121"/>
      <c r="B711" s="121"/>
      <c r="C711" s="121"/>
      <c r="D711" s="121"/>
      <c r="E711" s="121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</row>
    <row r="712" spans="1:26" ht="11.25" customHeight="1" x14ac:dyDescent="0.3">
      <c r="A712" s="121"/>
      <c r="B712" s="121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</row>
    <row r="713" spans="1:26" ht="11.25" customHeight="1" x14ac:dyDescent="0.3">
      <c r="A713" s="121"/>
      <c r="B713" s="121"/>
      <c r="C713" s="121"/>
      <c r="D713" s="121"/>
      <c r="E713" s="121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</row>
    <row r="714" spans="1:26" ht="11.25" customHeight="1" x14ac:dyDescent="0.3">
      <c r="A714" s="121"/>
      <c r="B714" s="121"/>
      <c r="C714" s="121"/>
      <c r="D714" s="121"/>
      <c r="E714" s="121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</row>
    <row r="715" spans="1:26" ht="11.25" customHeight="1" x14ac:dyDescent="0.3">
      <c r="A715" s="121"/>
      <c r="B715" s="121"/>
      <c r="C715" s="121"/>
      <c r="D715" s="121"/>
      <c r="E715" s="121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</row>
    <row r="716" spans="1:26" ht="11.25" customHeight="1" x14ac:dyDescent="0.3">
      <c r="A716" s="121"/>
      <c r="B716" s="121"/>
      <c r="C716" s="121"/>
      <c r="D716" s="121"/>
      <c r="E716" s="121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</row>
    <row r="717" spans="1:26" ht="11.25" customHeight="1" x14ac:dyDescent="0.3">
      <c r="A717" s="121"/>
      <c r="B717" s="121"/>
      <c r="C717" s="121"/>
      <c r="D717" s="121"/>
      <c r="E717" s="121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</row>
    <row r="718" spans="1:26" ht="11.25" customHeight="1" x14ac:dyDescent="0.3">
      <c r="A718" s="121"/>
      <c r="B718" s="121"/>
      <c r="C718" s="121"/>
      <c r="D718" s="121"/>
      <c r="E718" s="121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</row>
    <row r="719" spans="1:26" ht="11.25" customHeight="1" x14ac:dyDescent="0.3">
      <c r="A719" s="121"/>
      <c r="B719" s="121"/>
      <c r="C719" s="121"/>
      <c r="D719" s="121"/>
      <c r="E719" s="121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</row>
    <row r="720" spans="1:26" ht="11.25" customHeight="1" x14ac:dyDescent="0.3">
      <c r="A720" s="121"/>
      <c r="B720" s="121"/>
      <c r="C720" s="121"/>
      <c r="D720" s="121"/>
      <c r="E720" s="121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</row>
    <row r="721" spans="1:26" ht="11.25" customHeight="1" x14ac:dyDescent="0.3">
      <c r="A721" s="121"/>
      <c r="B721" s="121"/>
      <c r="C721" s="121"/>
      <c r="D721" s="121"/>
      <c r="E721" s="121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</row>
    <row r="722" spans="1:26" ht="11.25" customHeight="1" x14ac:dyDescent="0.3">
      <c r="A722" s="121"/>
      <c r="B722" s="121"/>
      <c r="C722" s="121"/>
      <c r="D722" s="121"/>
      <c r="E722" s="121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</row>
    <row r="723" spans="1:26" ht="11.25" customHeight="1" x14ac:dyDescent="0.3">
      <c r="A723" s="121"/>
      <c r="B723" s="121"/>
      <c r="C723" s="121"/>
      <c r="D723" s="121"/>
      <c r="E723" s="121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</row>
    <row r="724" spans="1:26" ht="11.25" customHeight="1" x14ac:dyDescent="0.3">
      <c r="A724" s="121"/>
      <c r="B724" s="121"/>
      <c r="C724" s="121"/>
      <c r="D724" s="121"/>
      <c r="E724" s="121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</row>
    <row r="725" spans="1:26" ht="11.25" customHeight="1" x14ac:dyDescent="0.3">
      <c r="A725" s="121"/>
      <c r="B725" s="121"/>
      <c r="C725" s="121"/>
      <c r="D725" s="121"/>
      <c r="E725" s="121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</row>
    <row r="726" spans="1:26" ht="11.25" customHeight="1" x14ac:dyDescent="0.3">
      <c r="A726" s="121"/>
      <c r="B726" s="121"/>
      <c r="C726" s="121"/>
      <c r="D726" s="121"/>
      <c r="E726" s="121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</row>
    <row r="727" spans="1:26" ht="11.25" customHeight="1" x14ac:dyDescent="0.3">
      <c r="A727" s="121"/>
      <c r="B727" s="121"/>
      <c r="C727" s="121"/>
      <c r="D727" s="121"/>
      <c r="E727" s="121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</row>
    <row r="728" spans="1:26" ht="11.25" customHeight="1" x14ac:dyDescent="0.3">
      <c r="A728" s="121"/>
      <c r="B728" s="121"/>
      <c r="C728" s="121"/>
      <c r="D728" s="121"/>
      <c r="E728" s="121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</row>
    <row r="729" spans="1:26" ht="11.25" customHeight="1" x14ac:dyDescent="0.3">
      <c r="A729" s="121"/>
      <c r="B729" s="121"/>
      <c r="C729" s="121"/>
      <c r="D729" s="121"/>
      <c r="E729" s="121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</row>
    <row r="730" spans="1:26" ht="11.25" customHeight="1" x14ac:dyDescent="0.3">
      <c r="A730" s="121"/>
      <c r="B730" s="121"/>
      <c r="C730" s="121"/>
      <c r="D730" s="121"/>
      <c r="E730" s="121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</row>
    <row r="731" spans="1:26" ht="11.25" customHeight="1" x14ac:dyDescent="0.3">
      <c r="A731" s="121"/>
      <c r="B731" s="121"/>
      <c r="C731" s="121"/>
      <c r="D731" s="121"/>
      <c r="E731" s="121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</row>
    <row r="732" spans="1:26" ht="11.25" customHeight="1" x14ac:dyDescent="0.3">
      <c r="A732" s="121"/>
      <c r="B732" s="121"/>
      <c r="C732" s="121"/>
      <c r="D732" s="121"/>
      <c r="E732" s="121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</row>
    <row r="733" spans="1:26" ht="11.25" customHeight="1" x14ac:dyDescent="0.3">
      <c r="A733" s="121"/>
      <c r="B733" s="121"/>
      <c r="C733" s="121"/>
      <c r="D733" s="121"/>
      <c r="E733" s="121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</row>
    <row r="734" spans="1:26" ht="11.25" customHeight="1" x14ac:dyDescent="0.3">
      <c r="A734" s="121"/>
      <c r="B734" s="121"/>
      <c r="C734" s="121"/>
      <c r="D734" s="121"/>
      <c r="E734" s="121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</row>
    <row r="735" spans="1:26" ht="11.25" customHeight="1" x14ac:dyDescent="0.3">
      <c r="A735" s="121"/>
      <c r="B735" s="121"/>
      <c r="C735" s="121"/>
      <c r="D735" s="121"/>
      <c r="E735" s="121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</row>
    <row r="736" spans="1:26" ht="11.25" customHeight="1" x14ac:dyDescent="0.3">
      <c r="A736" s="121"/>
      <c r="B736" s="121"/>
      <c r="C736" s="121"/>
      <c r="D736" s="121"/>
      <c r="E736" s="121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</row>
    <row r="737" spans="1:26" ht="11.25" customHeight="1" x14ac:dyDescent="0.3">
      <c r="A737" s="121"/>
      <c r="B737" s="121"/>
      <c r="C737" s="121"/>
      <c r="D737" s="121"/>
      <c r="E737" s="121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</row>
    <row r="738" spans="1:26" ht="11.25" customHeight="1" x14ac:dyDescent="0.3">
      <c r="A738" s="121"/>
      <c r="B738" s="121"/>
      <c r="C738" s="121"/>
      <c r="D738" s="121"/>
      <c r="E738" s="121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</row>
    <row r="739" spans="1:26" ht="11.25" customHeight="1" x14ac:dyDescent="0.3">
      <c r="A739" s="121"/>
      <c r="B739" s="121"/>
      <c r="C739" s="121"/>
      <c r="D739" s="121"/>
      <c r="E739" s="121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</row>
    <row r="740" spans="1:26" ht="11.25" customHeight="1" x14ac:dyDescent="0.3">
      <c r="A740" s="121"/>
      <c r="B740" s="121"/>
      <c r="C740" s="121"/>
      <c r="D740" s="121"/>
      <c r="E740" s="121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</row>
    <row r="741" spans="1:26" ht="11.25" customHeight="1" x14ac:dyDescent="0.3">
      <c r="A741" s="121"/>
      <c r="B741" s="121"/>
      <c r="C741" s="121"/>
      <c r="D741" s="121"/>
      <c r="E741" s="121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</row>
    <row r="742" spans="1:26" ht="11.25" customHeight="1" x14ac:dyDescent="0.3">
      <c r="A742" s="121"/>
      <c r="B742" s="121"/>
      <c r="C742" s="121"/>
      <c r="D742" s="121"/>
      <c r="E742" s="121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</row>
    <row r="743" spans="1:26" ht="11.25" customHeight="1" x14ac:dyDescent="0.3">
      <c r="A743" s="121"/>
      <c r="B743" s="121"/>
      <c r="C743" s="121"/>
      <c r="D743" s="121"/>
      <c r="E743" s="121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</row>
    <row r="744" spans="1:26" ht="11.25" customHeight="1" x14ac:dyDescent="0.3">
      <c r="A744" s="121"/>
      <c r="B744" s="121"/>
      <c r="C744" s="121"/>
      <c r="D744" s="121"/>
      <c r="E744" s="121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</row>
    <row r="745" spans="1:26" ht="11.25" customHeight="1" x14ac:dyDescent="0.3">
      <c r="A745" s="121"/>
      <c r="B745" s="121"/>
      <c r="C745" s="121"/>
      <c r="D745" s="121"/>
      <c r="E745" s="121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</row>
    <row r="746" spans="1:26" ht="11.25" customHeight="1" x14ac:dyDescent="0.3">
      <c r="A746" s="121"/>
      <c r="B746" s="121"/>
      <c r="C746" s="121"/>
      <c r="D746" s="121"/>
      <c r="E746" s="121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</row>
    <row r="747" spans="1:26" ht="11.25" customHeight="1" x14ac:dyDescent="0.3">
      <c r="A747" s="121"/>
      <c r="B747" s="121"/>
      <c r="C747" s="121"/>
      <c r="D747" s="121"/>
      <c r="E747" s="121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</row>
    <row r="748" spans="1:26" ht="11.25" customHeight="1" x14ac:dyDescent="0.3">
      <c r="A748" s="121"/>
      <c r="B748" s="121"/>
      <c r="C748" s="121"/>
      <c r="D748" s="121"/>
      <c r="E748" s="121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</row>
    <row r="749" spans="1:26" ht="11.25" customHeight="1" x14ac:dyDescent="0.3">
      <c r="A749" s="121"/>
      <c r="B749" s="121"/>
      <c r="C749" s="121"/>
      <c r="D749" s="121"/>
      <c r="E749" s="121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</row>
    <row r="750" spans="1:26" ht="11.25" customHeight="1" x14ac:dyDescent="0.3">
      <c r="A750" s="121"/>
      <c r="B750" s="121"/>
      <c r="C750" s="121"/>
      <c r="D750" s="121"/>
      <c r="E750" s="121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</row>
    <row r="751" spans="1:26" ht="11.25" customHeight="1" x14ac:dyDescent="0.3">
      <c r="A751" s="121"/>
      <c r="B751" s="121"/>
      <c r="C751" s="121"/>
      <c r="D751" s="121"/>
      <c r="E751" s="121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</row>
    <row r="752" spans="1:26" ht="11.25" customHeight="1" x14ac:dyDescent="0.3">
      <c r="A752" s="121"/>
      <c r="B752" s="121"/>
      <c r="C752" s="121"/>
      <c r="D752" s="121"/>
      <c r="E752" s="121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</row>
    <row r="753" spans="1:26" ht="11.25" customHeight="1" x14ac:dyDescent="0.3">
      <c r="A753" s="121"/>
      <c r="B753" s="121"/>
      <c r="C753" s="121"/>
      <c r="D753" s="121"/>
      <c r="E753" s="121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</row>
    <row r="754" spans="1:26" ht="11.25" customHeight="1" x14ac:dyDescent="0.3">
      <c r="A754" s="121"/>
      <c r="B754" s="121"/>
      <c r="C754" s="121"/>
      <c r="D754" s="121"/>
      <c r="E754" s="121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</row>
    <row r="755" spans="1:26" ht="11.25" customHeight="1" x14ac:dyDescent="0.3">
      <c r="A755" s="121"/>
      <c r="B755" s="121"/>
      <c r="C755" s="121"/>
      <c r="D755" s="121"/>
      <c r="E755" s="121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</row>
    <row r="756" spans="1:26" ht="11.25" customHeight="1" x14ac:dyDescent="0.3">
      <c r="A756" s="121"/>
      <c r="B756" s="121"/>
      <c r="C756" s="121"/>
      <c r="D756" s="121"/>
      <c r="E756" s="121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</row>
    <row r="757" spans="1:26" ht="11.25" customHeight="1" x14ac:dyDescent="0.3">
      <c r="A757" s="121"/>
      <c r="B757" s="121"/>
      <c r="C757" s="121"/>
      <c r="D757" s="121"/>
      <c r="E757" s="121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</row>
    <row r="758" spans="1:26" ht="11.25" customHeight="1" x14ac:dyDescent="0.3">
      <c r="A758" s="121"/>
      <c r="B758" s="121"/>
      <c r="C758" s="121"/>
      <c r="D758" s="121"/>
      <c r="E758" s="121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</row>
    <row r="759" spans="1:26" ht="11.25" customHeight="1" x14ac:dyDescent="0.3">
      <c r="A759" s="121"/>
      <c r="B759" s="121"/>
      <c r="C759" s="121"/>
      <c r="D759" s="121"/>
      <c r="E759" s="121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</row>
    <row r="760" spans="1:26" ht="11.25" customHeight="1" x14ac:dyDescent="0.3">
      <c r="A760" s="121"/>
      <c r="B760" s="121"/>
      <c r="C760" s="121"/>
      <c r="D760" s="121"/>
      <c r="E760" s="121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</row>
    <row r="761" spans="1:26" ht="11.25" customHeight="1" x14ac:dyDescent="0.3">
      <c r="A761" s="121"/>
      <c r="B761" s="121"/>
      <c r="C761" s="121"/>
      <c r="D761" s="121"/>
      <c r="E761" s="121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</row>
    <row r="762" spans="1:26" ht="11.25" customHeight="1" x14ac:dyDescent="0.3">
      <c r="A762" s="121"/>
      <c r="B762" s="121"/>
      <c r="C762" s="121"/>
      <c r="D762" s="121"/>
      <c r="E762" s="121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</row>
    <row r="763" spans="1:26" ht="11.25" customHeight="1" x14ac:dyDescent="0.3">
      <c r="A763" s="121"/>
      <c r="B763" s="121"/>
      <c r="C763" s="121"/>
      <c r="D763" s="121"/>
      <c r="E763" s="121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</row>
    <row r="764" spans="1:26" ht="11.25" customHeight="1" x14ac:dyDescent="0.3">
      <c r="A764" s="121"/>
      <c r="B764" s="121"/>
      <c r="C764" s="121"/>
      <c r="D764" s="121"/>
      <c r="E764" s="121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</row>
    <row r="765" spans="1:26" ht="11.25" customHeight="1" x14ac:dyDescent="0.3">
      <c r="A765" s="121"/>
      <c r="B765" s="121"/>
      <c r="C765" s="121"/>
      <c r="D765" s="121"/>
      <c r="E765" s="121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</row>
    <row r="766" spans="1:26" ht="11.25" customHeight="1" x14ac:dyDescent="0.3">
      <c r="A766" s="121"/>
      <c r="B766" s="121"/>
      <c r="C766" s="121"/>
      <c r="D766" s="121"/>
      <c r="E766" s="121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</row>
    <row r="767" spans="1:26" ht="11.25" customHeight="1" x14ac:dyDescent="0.3">
      <c r="A767" s="121"/>
      <c r="B767" s="121"/>
      <c r="C767" s="121"/>
      <c r="D767" s="121"/>
      <c r="E767" s="121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</row>
    <row r="768" spans="1:26" ht="11.25" customHeight="1" x14ac:dyDescent="0.3">
      <c r="A768" s="121"/>
      <c r="B768" s="121"/>
      <c r="C768" s="121"/>
      <c r="D768" s="121"/>
      <c r="E768" s="121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</row>
    <row r="769" spans="1:26" ht="11.25" customHeight="1" x14ac:dyDescent="0.3">
      <c r="A769" s="121"/>
      <c r="B769" s="121"/>
      <c r="C769" s="121"/>
      <c r="D769" s="121"/>
      <c r="E769" s="121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</row>
    <row r="770" spans="1:26" ht="11.25" customHeight="1" x14ac:dyDescent="0.3">
      <c r="A770" s="121"/>
      <c r="B770" s="121"/>
      <c r="C770" s="121"/>
      <c r="D770" s="121"/>
      <c r="E770" s="121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</row>
    <row r="771" spans="1:26" ht="11.25" customHeight="1" x14ac:dyDescent="0.3">
      <c r="A771" s="121"/>
      <c r="B771" s="121"/>
      <c r="C771" s="121"/>
      <c r="D771" s="121"/>
      <c r="E771" s="121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</row>
    <row r="772" spans="1:26" ht="11.25" customHeight="1" x14ac:dyDescent="0.3">
      <c r="A772" s="121"/>
      <c r="B772" s="121"/>
      <c r="C772" s="121"/>
      <c r="D772" s="121"/>
      <c r="E772" s="121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</row>
    <row r="773" spans="1:26" ht="11.25" customHeight="1" x14ac:dyDescent="0.3">
      <c r="A773" s="121"/>
      <c r="B773" s="121"/>
      <c r="C773" s="121"/>
      <c r="D773" s="121"/>
      <c r="E773" s="121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</row>
    <row r="774" spans="1:26" ht="11.25" customHeight="1" x14ac:dyDescent="0.3">
      <c r="A774" s="121"/>
      <c r="B774" s="121"/>
      <c r="C774" s="121"/>
      <c r="D774" s="121"/>
      <c r="E774" s="121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</row>
    <row r="775" spans="1:26" ht="11.25" customHeight="1" x14ac:dyDescent="0.3">
      <c r="A775" s="121"/>
      <c r="B775" s="121"/>
      <c r="C775" s="121"/>
      <c r="D775" s="121"/>
      <c r="E775" s="121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</row>
    <row r="776" spans="1:26" ht="11.25" customHeight="1" x14ac:dyDescent="0.3">
      <c r="A776" s="121"/>
      <c r="B776" s="121"/>
      <c r="C776" s="121"/>
      <c r="D776" s="121"/>
      <c r="E776" s="121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</row>
    <row r="777" spans="1:26" ht="11.25" customHeight="1" x14ac:dyDescent="0.3">
      <c r="A777" s="121"/>
      <c r="B777" s="121"/>
      <c r="C777" s="121"/>
      <c r="D777" s="121"/>
      <c r="E777" s="121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</row>
    <row r="778" spans="1:26" ht="11.25" customHeight="1" x14ac:dyDescent="0.3">
      <c r="A778" s="121"/>
      <c r="B778" s="121"/>
      <c r="C778" s="121"/>
      <c r="D778" s="121"/>
      <c r="E778" s="121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</row>
    <row r="779" spans="1:26" ht="11.25" customHeight="1" x14ac:dyDescent="0.3">
      <c r="A779" s="121"/>
      <c r="B779" s="121"/>
      <c r="C779" s="121"/>
      <c r="D779" s="121"/>
      <c r="E779" s="121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</row>
    <row r="780" spans="1:26" ht="11.25" customHeight="1" x14ac:dyDescent="0.3">
      <c r="A780" s="121"/>
      <c r="B780" s="121"/>
      <c r="C780" s="121"/>
      <c r="D780" s="121"/>
      <c r="E780" s="121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</row>
    <row r="781" spans="1:26" ht="11.25" customHeight="1" x14ac:dyDescent="0.3">
      <c r="A781" s="121"/>
      <c r="B781" s="121"/>
      <c r="C781" s="121"/>
      <c r="D781" s="121"/>
      <c r="E781" s="121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</row>
    <row r="782" spans="1:26" ht="11.25" customHeight="1" x14ac:dyDescent="0.3">
      <c r="A782" s="121"/>
      <c r="B782" s="121"/>
      <c r="C782" s="121"/>
      <c r="D782" s="121"/>
      <c r="E782" s="121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</row>
    <row r="783" spans="1:26" ht="11.25" customHeight="1" x14ac:dyDescent="0.3">
      <c r="A783" s="121"/>
      <c r="B783" s="121"/>
      <c r="C783" s="121"/>
      <c r="D783" s="121"/>
      <c r="E783" s="121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</row>
    <row r="784" spans="1:26" ht="11.25" customHeight="1" x14ac:dyDescent="0.3">
      <c r="A784" s="121"/>
      <c r="B784" s="121"/>
      <c r="C784" s="121"/>
      <c r="D784" s="121"/>
      <c r="E784" s="121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</row>
    <row r="785" spans="1:26" ht="11.25" customHeight="1" x14ac:dyDescent="0.3">
      <c r="A785" s="121"/>
      <c r="B785" s="121"/>
      <c r="C785" s="121"/>
      <c r="D785" s="121"/>
      <c r="E785" s="121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</row>
    <row r="786" spans="1:26" ht="11.25" customHeight="1" x14ac:dyDescent="0.3">
      <c r="A786" s="121"/>
      <c r="B786" s="121"/>
      <c r="C786" s="121"/>
      <c r="D786" s="121"/>
      <c r="E786" s="121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</row>
    <row r="787" spans="1:26" ht="11.25" customHeight="1" x14ac:dyDescent="0.3">
      <c r="A787" s="121"/>
      <c r="B787" s="121"/>
      <c r="C787" s="121"/>
      <c r="D787" s="121"/>
      <c r="E787" s="121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</row>
    <row r="788" spans="1:26" ht="11.25" customHeight="1" x14ac:dyDescent="0.3">
      <c r="A788" s="121"/>
      <c r="B788" s="121"/>
      <c r="C788" s="121"/>
      <c r="D788" s="121"/>
      <c r="E788" s="121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</row>
    <row r="789" spans="1:26" ht="11.25" customHeight="1" x14ac:dyDescent="0.3">
      <c r="A789" s="121"/>
      <c r="B789" s="121"/>
      <c r="C789" s="121"/>
      <c r="D789" s="121"/>
      <c r="E789" s="121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</row>
    <row r="790" spans="1:26" ht="11.25" customHeight="1" x14ac:dyDescent="0.3">
      <c r="A790" s="121"/>
      <c r="B790" s="121"/>
      <c r="C790" s="121"/>
      <c r="D790" s="121"/>
      <c r="E790" s="121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</row>
    <row r="791" spans="1:26" ht="11.25" customHeight="1" x14ac:dyDescent="0.3">
      <c r="A791" s="121"/>
      <c r="B791" s="121"/>
      <c r="C791" s="121"/>
      <c r="D791" s="121"/>
      <c r="E791" s="121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</row>
    <row r="792" spans="1:26" ht="11.25" customHeight="1" x14ac:dyDescent="0.3">
      <c r="A792" s="121"/>
      <c r="B792" s="121"/>
      <c r="C792" s="121"/>
      <c r="D792" s="121"/>
      <c r="E792" s="121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</row>
    <row r="793" spans="1:26" ht="11.25" customHeight="1" x14ac:dyDescent="0.3">
      <c r="A793" s="121"/>
      <c r="B793" s="121"/>
      <c r="C793" s="121"/>
      <c r="D793" s="121"/>
      <c r="E793" s="121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</row>
    <row r="794" spans="1:26" ht="11.25" customHeight="1" x14ac:dyDescent="0.3">
      <c r="A794" s="121"/>
      <c r="B794" s="121"/>
      <c r="C794" s="121"/>
      <c r="D794" s="121"/>
      <c r="E794" s="121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</row>
    <row r="795" spans="1:26" ht="11.25" customHeight="1" x14ac:dyDescent="0.3">
      <c r="A795" s="121"/>
      <c r="B795" s="121"/>
      <c r="C795" s="121"/>
      <c r="D795" s="121"/>
      <c r="E795" s="121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</row>
    <row r="796" spans="1:26" ht="11.25" customHeight="1" x14ac:dyDescent="0.3">
      <c r="A796" s="121"/>
      <c r="B796" s="121"/>
      <c r="C796" s="121"/>
      <c r="D796" s="121"/>
      <c r="E796" s="121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</row>
    <row r="797" spans="1:26" ht="11.25" customHeight="1" x14ac:dyDescent="0.3">
      <c r="A797" s="121"/>
      <c r="B797" s="121"/>
      <c r="C797" s="121"/>
      <c r="D797" s="121"/>
      <c r="E797" s="121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</row>
    <row r="798" spans="1:26" ht="11.25" customHeight="1" x14ac:dyDescent="0.3">
      <c r="A798" s="121"/>
      <c r="B798" s="121"/>
      <c r="C798" s="121"/>
      <c r="D798" s="121"/>
      <c r="E798" s="121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</row>
    <row r="799" spans="1:26" ht="11.25" customHeight="1" x14ac:dyDescent="0.3">
      <c r="A799" s="121"/>
      <c r="B799" s="121"/>
      <c r="C799" s="121"/>
      <c r="D799" s="121"/>
      <c r="E799" s="121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</row>
    <row r="800" spans="1:26" ht="11.25" customHeight="1" x14ac:dyDescent="0.3">
      <c r="A800" s="121"/>
      <c r="B800" s="121"/>
      <c r="C800" s="121"/>
      <c r="D800" s="121"/>
      <c r="E800" s="121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</row>
    <row r="801" spans="1:26" ht="11.25" customHeight="1" x14ac:dyDescent="0.3">
      <c r="A801" s="121"/>
      <c r="B801" s="121"/>
      <c r="C801" s="121"/>
      <c r="D801" s="121"/>
      <c r="E801" s="121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</row>
    <row r="802" spans="1:26" ht="11.25" customHeight="1" x14ac:dyDescent="0.3">
      <c r="A802" s="121"/>
      <c r="B802" s="121"/>
      <c r="C802" s="121"/>
      <c r="D802" s="121"/>
      <c r="E802" s="121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</row>
    <row r="803" spans="1:26" ht="11.25" customHeight="1" x14ac:dyDescent="0.3">
      <c r="A803" s="121"/>
      <c r="B803" s="121"/>
      <c r="C803" s="121"/>
      <c r="D803" s="121"/>
      <c r="E803" s="121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</row>
    <row r="804" spans="1:26" ht="11.25" customHeight="1" x14ac:dyDescent="0.3">
      <c r="A804" s="121"/>
      <c r="B804" s="121"/>
      <c r="C804" s="121"/>
      <c r="D804" s="121"/>
      <c r="E804" s="121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</row>
    <row r="805" spans="1:26" ht="11.25" customHeight="1" x14ac:dyDescent="0.3">
      <c r="A805" s="121"/>
      <c r="B805" s="121"/>
      <c r="C805" s="121"/>
      <c r="D805" s="121"/>
      <c r="E805" s="121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</row>
    <row r="806" spans="1:26" ht="11.25" customHeight="1" x14ac:dyDescent="0.3">
      <c r="A806" s="121"/>
      <c r="B806" s="121"/>
      <c r="C806" s="121"/>
      <c r="D806" s="121"/>
      <c r="E806" s="121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</row>
    <row r="807" spans="1:26" ht="11.25" customHeight="1" x14ac:dyDescent="0.3">
      <c r="A807" s="121"/>
      <c r="B807" s="121"/>
      <c r="C807" s="121"/>
      <c r="D807" s="121"/>
      <c r="E807" s="121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</row>
    <row r="808" spans="1:26" ht="11.25" customHeight="1" x14ac:dyDescent="0.3">
      <c r="A808" s="121"/>
      <c r="B808" s="121"/>
      <c r="C808" s="121"/>
      <c r="D808" s="121"/>
      <c r="E808" s="121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</row>
    <row r="809" spans="1:26" ht="11.25" customHeight="1" x14ac:dyDescent="0.3">
      <c r="A809" s="121"/>
      <c r="B809" s="121"/>
      <c r="C809" s="121"/>
      <c r="D809" s="121"/>
      <c r="E809" s="121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</row>
    <row r="810" spans="1:26" ht="11.25" customHeight="1" x14ac:dyDescent="0.3">
      <c r="A810" s="121"/>
      <c r="B810" s="121"/>
      <c r="C810" s="121"/>
      <c r="D810" s="121"/>
      <c r="E810" s="121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</row>
    <row r="811" spans="1:26" ht="11.25" customHeight="1" x14ac:dyDescent="0.3">
      <c r="A811" s="121"/>
      <c r="B811" s="121"/>
      <c r="C811" s="121"/>
      <c r="D811" s="121"/>
      <c r="E811" s="121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</row>
    <row r="812" spans="1:26" ht="11.25" customHeight="1" x14ac:dyDescent="0.3">
      <c r="A812" s="121"/>
      <c r="B812" s="121"/>
      <c r="C812" s="121"/>
      <c r="D812" s="121"/>
      <c r="E812" s="121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</row>
    <row r="813" spans="1:26" ht="11.25" customHeight="1" x14ac:dyDescent="0.3">
      <c r="A813" s="121"/>
      <c r="B813" s="121"/>
      <c r="C813" s="121"/>
      <c r="D813" s="121"/>
      <c r="E813" s="121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</row>
    <row r="814" spans="1:26" ht="11.25" customHeight="1" x14ac:dyDescent="0.3">
      <c r="A814" s="121"/>
      <c r="B814" s="121"/>
      <c r="C814" s="121"/>
      <c r="D814" s="121"/>
      <c r="E814" s="121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</row>
    <row r="815" spans="1:26" ht="11.25" customHeight="1" x14ac:dyDescent="0.3">
      <c r="A815" s="121"/>
      <c r="B815" s="121"/>
      <c r="C815" s="121"/>
      <c r="D815" s="121"/>
      <c r="E815" s="121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</row>
    <row r="816" spans="1:26" ht="11.25" customHeight="1" x14ac:dyDescent="0.3">
      <c r="A816" s="121"/>
      <c r="B816" s="121"/>
      <c r="C816" s="121"/>
      <c r="D816" s="121"/>
      <c r="E816" s="121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</row>
    <row r="817" spans="1:26" ht="11.25" customHeight="1" x14ac:dyDescent="0.3">
      <c r="A817" s="121"/>
      <c r="B817" s="121"/>
      <c r="C817" s="121"/>
      <c r="D817" s="121"/>
      <c r="E817" s="121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</row>
    <row r="818" spans="1:26" ht="11.25" customHeight="1" x14ac:dyDescent="0.3">
      <c r="A818" s="121"/>
      <c r="B818" s="121"/>
      <c r="C818" s="121"/>
      <c r="D818" s="121"/>
      <c r="E818" s="121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</row>
    <row r="819" spans="1:26" ht="11.25" customHeight="1" x14ac:dyDescent="0.3">
      <c r="A819" s="121"/>
      <c r="B819" s="121"/>
      <c r="C819" s="121"/>
      <c r="D819" s="121"/>
      <c r="E819" s="121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</row>
    <row r="820" spans="1:26" ht="11.25" customHeight="1" x14ac:dyDescent="0.3">
      <c r="A820" s="121"/>
      <c r="B820" s="121"/>
      <c r="C820" s="121"/>
      <c r="D820" s="121"/>
      <c r="E820" s="121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</row>
    <row r="821" spans="1:26" ht="11.25" customHeight="1" x14ac:dyDescent="0.3">
      <c r="A821" s="121"/>
      <c r="B821" s="121"/>
      <c r="C821" s="121"/>
      <c r="D821" s="121"/>
      <c r="E821" s="121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</row>
    <row r="822" spans="1:26" ht="11.25" customHeight="1" x14ac:dyDescent="0.3">
      <c r="A822" s="121"/>
      <c r="B822" s="121"/>
      <c r="C822" s="121"/>
      <c r="D822" s="121"/>
      <c r="E822" s="121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</row>
    <row r="823" spans="1:26" ht="11.25" customHeight="1" x14ac:dyDescent="0.3">
      <c r="A823" s="121"/>
      <c r="B823" s="121"/>
      <c r="C823" s="121"/>
      <c r="D823" s="121"/>
      <c r="E823" s="121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</row>
    <row r="824" spans="1:26" ht="11.25" customHeight="1" x14ac:dyDescent="0.3">
      <c r="A824" s="121"/>
      <c r="B824" s="121"/>
      <c r="C824" s="121"/>
      <c r="D824" s="121"/>
      <c r="E824" s="121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</row>
    <row r="825" spans="1:26" ht="11.25" customHeight="1" x14ac:dyDescent="0.3">
      <c r="A825" s="121"/>
      <c r="B825" s="121"/>
      <c r="C825" s="121"/>
      <c r="D825" s="121"/>
      <c r="E825" s="121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</row>
    <row r="826" spans="1:26" ht="11.25" customHeight="1" x14ac:dyDescent="0.3">
      <c r="A826" s="121"/>
      <c r="B826" s="121"/>
      <c r="C826" s="121"/>
      <c r="D826" s="121"/>
      <c r="E826" s="121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</row>
    <row r="827" spans="1:26" ht="11.25" customHeight="1" x14ac:dyDescent="0.3">
      <c r="A827" s="121"/>
      <c r="B827" s="121"/>
      <c r="C827" s="121"/>
      <c r="D827" s="121"/>
      <c r="E827" s="121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</row>
    <row r="828" spans="1:26" ht="11.25" customHeight="1" x14ac:dyDescent="0.3">
      <c r="A828" s="121"/>
      <c r="B828" s="121"/>
      <c r="C828" s="121"/>
      <c r="D828" s="121"/>
      <c r="E828" s="121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</row>
    <row r="829" spans="1:26" ht="11.25" customHeight="1" x14ac:dyDescent="0.3">
      <c r="A829" s="121"/>
      <c r="B829" s="121"/>
      <c r="C829" s="121"/>
      <c r="D829" s="121"/>
      <c r="E829" s="121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</row>
    <row r="830" spans="1:26" ht="11.25" customHeight="1" x14ac:dyDescent="0.3">
      <c r="A830" s="121"/>
      <c r="B830" s="121"/>
      <c r="C830" s="121"/>
      <c r="D830" s="121"/>
      <c r="E830" s="121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</row>
    <row r="831" spans="1:26" ht="11.25" customHeight="1" x14ac:dyDescent="0.3">
      <c r="A831" s="121"/>
      <c r="B831" s="121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</row>
    <row r="832" spans="1:26" ht="11.25" customHeight="1" x14ac:dyDescent="0.3">
      <c r="A832" s="121"/>
      <c r="B832" s="121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</row>
    <row r="833" spans="1:26" ht="11.25" customHeight="1" x14ac:dyDescent="0.3">
      <c r="A833" s="121"/>
      <c r="B833" s="121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</row>
    <row r="834" spans="1:26" ht="11.25" customHeight="1" x14ac:dyDescent="0.3">
      <c r="A834" s="121"/>
      <c r="B834" s="121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</row>
    <row r="835" spans="1:26" ht="11.25" customHeight="1" x14ac:dyDescent="0.3">
      <c r="A835" s="121"/>
      <c r="B835" s="121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</row>
    <row r="836" spans="1:26" ht="11.25" customHeight="1" x14ac:dyDescent="0.3">
      <c r="A836" s="121"/>
      <c r="B836" s="121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</row>
    <row r="837" spans="1:26" ht="11.25" customHeight="1" x14ac:dyDescent="0.3">
      <c r="A837" s="121"/>
      <c r="B837" s="121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</row>
    <row r="838" spans="1:26" ht="11.25" customHeight="1" x14ac:dyDescent="0.3">
      <c r="A838" s="121"/>
      <c r="B838" s="121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</row>
    <row r="839" spans="1:26" ht="11.25" customHeight="1" x14ac:dyDescent="0.3">
      <c r="A839" s="121"/>
      <c r="B839" s="121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</row>
    <row r="840" spans="1:26" ht="11.25" customHeight="1" x14ac:dyDescent="0.3">
      <c r="A840" s="121"/>
      <c r="B840" s="121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</row>
    <row r="841" spans="1:26" ht="11.25" customHeight="1" x14ac:dyDescent="0.3">
      <c r="A841" s="121"/>
      <c r="B841" s="121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</row>
    <row r="842" spans="1:26" ht="11.25" customHeight="1" x14ac:dyDescent="0.3">
      <c r="A842" s="121"/>
      <c r="B842" s="121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</row>
    <row r="843" spans="1:26" ht="11.25" customHeight="1" x14ac:dyDescent="0.3">
      <c r="A843" s="121"/>
      <c r="B843" s="121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</row>
    <row r="844" spans="1:26" ht="11.25" customHeight="1" x14ac:dyDescent="0.3">
      <c r="A844" s="121"/>
      <c r="B844" s="121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</row>
    <row r="845" spans="1:26" ht="11.25" customHeight="1" x14ac:dyDescent="0.3">
      <c r="A845" s="121"/>
      <c r="B845" s="121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</row>
    <row r="846" spans="1:26" ht="11.25" customHeight="1" x14ac:dyDescent="0.3">
      <c r="A846" s="121"/>
      <c r="B846" s="121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</row>
    <row r="847" spans="1:26" ht="11.25" customHeight="1" x14ac:dyDescent="0.3">
      <c r="A847" s="121"/>
      <c r="B847" s="121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</row>
    <row r="848" spans="1:26" ht="11.25" customHeight="1" x14ac:dyDescent="0.3">
      <c r="A848" s="121"/>
      <c r="B848" s="121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</row>
    <row r="849" spans="1:26" ht="11.25" customHeight="1" x14ac:dyDescent="0.3">
      <c r="A849" s="121"/>
      <c r="B849" s="121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</row>
    <row r="850" spans="1:26" ht="11.25" customHeight="1" x14ac:dyDescent="0.3">
      <c r="A850" s="121"/>
      <c r="B850" s="121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</row>
    <row r="851" spans="1:26" ht="11.25" customHeight="1" x14ac:dyDescent="0.3">
      <c r="A851" s="121"/>
      <c r="B851" s="121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</row>
    <row r="852" spans="1:26" ht="11.25" customHeight="1" x14ac:dyDescent="0.3">
      <c r="A852" s="121"/>
      <c r="B852" s="121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</row>
    <row r="853" spans="1:26" ht="11.25" customHeight="1" x14ac:dyDescent="0.3">
      <c r="A853" s="121"/>
      <c r="B853" s="121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</row>
    <row r="854" spans="1:26" ht="11.25" customHeight="1" x14ac:dyDescent="0.3">
      <c r="A854" s="121"/>
      <c r="B854" s="121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</row>
    <row r="855" spans="1:26" ht="11.25" customHeight="1" x14ac:dyDescent="0.3">
      <c r="A855" s="121"/>
      <c r="B855" s="121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</row>
    <row r="856" spans="1:26" ht="11.25" customHeight="1" x14ac:dyDescent="0.3">
      <c r="A856" s="121"/>
      <c r="B856" s="121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</row>
    <row r="857" spans="1:26" ht="11.25" customHeight="1" x14ac:dyDescent="0.3">
      <c r="A857" s="121"/>
      <c r="B857" s="121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</row>
    <row r="858" spans="1:26" ht="11.25" customHeight="1" x14ac:dyDescent="0.3">
      <c r="A858" s="121"/>
      <c r="B858" s="121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</row>
    <row r="859" spans="1:26" ht="11.25" customHeight="1" x14ac:dyDescent="0.3">
      <c r="A859" s="121"/>
      <c r="B859" s="121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</row>
    <row r="860" spans="1:26" ht="11.25" customHeight="1" x14ac:dyDescent="0.3">
      <c r="A860" s="121"/>
      <c r="B860" s="121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</row>
    <row r="861" spans="1:26" ht="11.25" customHeight="1" x14ac:dyDescent="0.3">
      <c r="A861" s="121"/>
      <c r="B861" s="121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</row>
    <row r="862" spans="1:26" ht="11.25" customHeight="1" x14ac:dyDescent="0.3">
      <c r="A862" s="121"/>
      <c r="B862" s="121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</row>
    <row r="863" spans="1:26" ht="11.25" customHeight="1" x14ac:dyDescent="0.3">
      <c r="A863" s="121"/>
      <c r="B863" s="121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</row>
    <row r="864" spans="1:26" ht="11.25" customHeight="1" x14ac:dyDescent="0.3">
      <c r="A864" s="121"/>
      <c r="B864" s="121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</row>
    <row r="865" spans="1:26" ht="11.25" customHeight="1" x14ac:dyDescent="0.3">
      <c r="A865" s="121"/>
      <c r="B865" s="121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</row>
    <row r="866" spans="1:26" ht="11.25" customHeight="1" x14ac:dyDescent="0.3">
      <c r="A866" s="121"/>
      <c r="B866" s="121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</row>
    <row r="867" spans="1:26" ht="11.25" customHeight="1" x14ac:dyDescent="0.3">
      <c r="A867" s="121"/>
      <c r="B867" s="121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</row>
    <row r="868" spans="1:26" ht="11.25" customHeight="1" x14ac:dyDescent="0.3">
      <c r="A868" s="121"/>
      <c r="B868" s="121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</row>
    <row r="869" spans="1:26" ht="11.25" customHeight="1" x14ac:dyDescent="0.3">
      <c r="A869" s="121"/>
      <c r="B869" s="121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</row>
    <row r="870" spans="1:26" ht="11.25" customHeight="1" x14ac:dyDescent="0.3">
      <c r="A870" s="121"/>
      <c r="B870" s="121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</row>
    <row r="871" spans="1:26" ht="11.25" customHeight="1" x14ac:dyDescent="0.3">
      <c r="A871" s="121"/>
      <c r="B871" s="121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</row>
    <row r="872" spans="1:26" ht="11.25" customHeight="1" x14ac:dyDescent="0.3">
      <c r="A872" s="121"/>
      <c r="B872" s="121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</row>
    <row r="873" spans="1:26" ht="11.25" customHeight="1" x14ac:dyDescent="0.3">
      <c r="A873" s="121"/>
      <c r="B873" s="121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</row>
    <row r="874" spans="1:26" ht="11.25" customHeight="1" x14ac:dyDescent="0.3">
      <c r="A874" s="121"/>
      <c r="B874" s="121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</row>
    <row r="875" spans="1:26" ht="11.25" customHeight="1" x14ac:dyDescent="0.3">
      <c r="A875" s="121"/>
      <c r="B875" s="121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</row>
    <row r="876" spans="1:26" ht="11.25" customHeight="1" x14ac:dyDescent="0.3">
      <c r="A876" s="121"/>
      <c r="B876" s="121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</row>
    <row r="877" spans="1:26" ht="11.25" customHeight="1" x14ac:dyDescent="0.3">
      <c r="A877" s="121"/>
      <c r="B877" s="121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</row>
    <row r="878" spans="1:26" ht="11.25" customHeight="1" x14ac:dyDescent="0.3">
      <c r="A878" s="121"/>
      <c r="B878" s="121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</row>
    <row r="879" spans="1:26" ht="11.25" customHeight="1" x14ac:dyDescent="0.3">
      <c r="A879" s="121"/>
      <c r="B879" s="121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</row>
    <row r="880" spans="1:26" ht="11.25" customHeight="1" x14ac:dyDescent="0.3">
      <c r="A880" s="121"/>
      <c r="B880" s="121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</row>
    <row r="881" spans="1:26" ht="11.25" customHeight="1" x14ac:dyDescent="0.3">
      <c r="A881" s="121"/>
      <c r="B881" s="121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</row>
    <row r="882" spans="1:26" ht="11.25" customHeight="1" x14ac:dyDescent="0.3">
      <c r="A882" s="121"/>
      <c r="B882" s="121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</row>
    <row r="883" spans="1:26" ht="11.25" customHeight="1" x14ac:dyDescent="0.3">
      <c r="A883" s="121"/>
      <c r="B883" s="121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</row>
    <row r="884" spans="1:26" ht="11.25" customHeight="1" x14ac:dyDescent="0.3">
      <c r="A884" s="121"/>
      <c r="B884" s="121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</row>
    <row r="885" spans="1:26" ht="11.25" customHeight="1" x14ac:dyDescent="0.3">
      <c r="A885" s="121"/>
      <c r="B885" s="121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</row>
    <row r="886" spans="1:26" ht="11.25" customHeight="1" x14ac:dyDescent="0.3">
      <c r="A886" s="121"/>
      <c r="B886" s="121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</row>
    <row r="887" spans="1:26" ht="11.25" customHeight="1" x14ac:dyDescent="0.3">
      <c r="A887" s="121"/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</row>
    <row r="888" spans="1:26" ht="11.25" customHeight="1" x14ac:dyDescent="0.3">
      <c r="A888" s="121"/>
      <c r="B888" s="121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</row>
    <row r="889" spans="1:26" ht="11.25" customHeight="1" x14ac:dyDescent="0.3">
      <c r="A889" s="121"/>
      <c r="B889" s="121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</row>
    <row r="890" spans="1:26" ht="11.25" customHeight="1" x14ac:dyDescent="0.3">
      <c r="A890" s="121"/>
      <c r="B890" s="121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</row>
    <row r="891" spans="1:26" ht="11.25" customHeight="1" x14ac:dyDescent="0.3">
      <c r="A891" s="121"/>
      <c r="B891" s="121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</row>
    <row r="892" spans="1:26" ht="11.25" customHeight="1" x14ac:dyDescent="0.3">
      <c r="A892" s="121"/>
      <c r="B892" s="121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</row>
    <row r="893" spans="1:26" ht="11.25" customHeight="1" x14ac:dyDescent="0.3">
      <c r="A893" s="121"/>
      <c r="B893" s="121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</row>
    <row r="894" spans="1:26" ht="11.25" customHeight="1" x14ac:dyDescent="0.3">
      <c r="A894" s="121"/>
      <c r="B894" s="121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</row>
    <row r="895" spans="1:26" ht="11.25" customHeight="1" x14ac:dyDescent="0.3">
      <c r="A895" s="121"/>
      <c r="B895" s="121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</row>
    <row r="896" spans="1:26" ht="11.25" customHeight="1" x14ac:dyDescent="0.3">
      <c r="A896" s="121"/>
      <c r="B896" s="121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</row>
    <row r="897" spans="1:26" ht="11.25" customHeight="1" x14ac:dyDescent="0.3">
      <c r="A897" s="121"/>
      <c r="B897" s="121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</row>
    <row r="898" spans="1:26" ht="11.25" customHeight="1" x14ac:dyDescent="0.3">
      <c r="A898" s="121"/>
      <c r="B898" s="121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</row>
    <row r="899" spans="1:26" ht="11.25" customHeight="1" x14ac:dyDescent="0.3">
      <c r="A899" s="121"/>
      <c r="B899" s="121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</row>
    <row r="900" spans="1:26" ht="11.25" customHeight="1" x14ac:dyDescent="0.3">
      <c r="A900" s="121"/>
      <c r="B900" s="121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</row>
    <row r="901" spans="1:26" ht="11.25" customHeight="1" x14ac:dyDescent="0.3">
      <c r="A901" s="121"/>
      <c r="B901" s="121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</row>
    <row r="902" spans="1:26" ht="11.25" customHeight="1" x14ac:dyDescent="0.3">
      <c r="A902" s="121"/>
      <c r="B902" s="121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</row>
    <row r="903" spans="1:26" ht="11.25" customHeight="1" x14ac:dyDescent="0.3">
      <c r="A903" s="121"/>
      <c r="B903" s="121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</row>
    <row r="904" spans="1:26" ht="11.25" customHeight="1" x14ac:dyDescent="0.3">
      <c r="A904" s="121"/>
      <c r="B904" s="121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</row>
    <row r="905" spans="1:26" ht="11.25" customHeight="1" x14ac:dyDescent="0.3">
      <c r="A905" s="121"/>
      <c r="B905" s="121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</row>
    <row r="906" spans="1:26" ht="11.25" customHeight="1" x14ac:dyDescent="0.3">
      <c r="A906" s="121"/>
      <c r="B906" s="121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</row>
    <row r="907" spans="1:26" ht="11.25" customHeight="1" x14ac:dyDescent="0.3">
      <c r="A907" s="121"/>
      <c r="B907" s="121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</row>
    <row r="908" spans="1:26" ht="11.25" customHeight="1" x14ac:dyDescent="0.3">
      <c r="A908" s="121"/>
      <c r="B908" s="121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</row>
    <row r="909" spans="1:26" ht="11.25" customHeight="1" x14ac:dyDescent="0.3">
      <c r="A909" s="121"/>
      <c r="B909" s="121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</row>
    <row r="910" spans="1:26" ht="11.25" customHeight="1" x14ac:dyDescent="0.3">
      <c r="A910" s="121"/>
      <c r="B910" s="121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</row>
    <row r="911" spans="1:26" ht="11.25" customHeight="1" x14ac:dyDescent="0.3">
      <c r="A911" s="121"/>
      <c r="B911" s="121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</row>
    <row r="912" spans="1:26" ht="11.25" customHeight="1" x14ac:dyDescent="0.3">
      <c r="A912" s="121"/>
      <c r="B912" s="121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</row>
    <row r="913" spans="1:26" ht="11.25" customHeight="1" x14ac:dyDescent="0.3">
      <c r="A913" s="121"/>
      <c r="B913" s="121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</row>
    <row r="914" spans="1:26" ht="11.25" customHeight="1" x14ac:dyDescent="0.3">
      <c r="A914" s="121"/>
      <c r="B914" s="121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</row>
    <row r="915" spans="1:26" ht="11.25" customHeight="1" x14ac:dyDescent="0.3">
      <c r="A915" s="121"/>
      <c r="B915" s="121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</row>
    <row r="916" spans="1:26" ht="11.25" customHeight="1" x14ac:dyDescent="0.3">
      <c r="A916" s="121"/>
      <c r="B916" s="121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</row>
    <row r="917" spans="1:26" ht="11.25" customHeight="1" x14ac:dyDescent="0.3">
      <c r="A917" s="121"/>
      <c r="B917" s="121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</row>
    <row r="918" spans="1:26" ht="11.25" customHeight="1" x14ac:dyDescent="0.3">
      <c r="A918" s="121"/>
      <c r="B918" s="121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</row>
    <row r="919" spans="1:26" ht="11.25" customHeight="1" x14ac:dyDescent="0.3">
      <c r="A919" s="121"/>
      <c r="B919" s="121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</row>
    <row r="920" spans="1:26" ht="11.25" customHeight="1" x14ac:dyDescent="0.3">
      <c r="A920" s="121"/>
      <c r="B920" s="121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</row>
    <row r="921" spans="1:26" ht="11.25" customHeight="1" x14ac:dyDescent="0.3">
      <c r="A921" s="121"/>
      <c r="B921" s="121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</row>
    <row r="922" spans="1:26" ht="11.25" customHeight="1" x14ac:dyDescent="0.3">
      <c r="A922" s="121"/>
      <c r="B922" s="121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</row>
    <row r="923" spans="1:26" ht="11.25" customHeight="1" x14ac:dyDescent="0.3">
      <c r="A923" s="121"/>
      <c r="B923" s="121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</row>
    <row r="924" spans="1:26" ht="11.25" customHeight="1" x14ac:dyDescent="0.3">
      <c r="A924" s="121"/>
      <c r="B924" s="121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</row>
    <row r="925" spans="1:26" ht="11.25" customHeight="1" x14ac:dyDescent="0.3">
      <c r="A925" s="121"/>
      <c r="B925" s="121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</row>
    <row r="926" spans="1:26" ht="11.25" customHeight="1" x14ac:dyDescent="0.3">
      <c r="A926" s="121"/>
      <c r="B926" s="121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</row>
    <row r="927" spans="1:26" ht="11.25" customHeight="1" x14ac:dyDescent="0.3">
      <c r="A927" s="121"/>
      <c r="B927" s="121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</row>
    <row r="928" spans="1:26" ht="11.25" customHeight="1" x14ac:dyDescent="0.3">
      <c r="A928" s="121"/>
      <c r="B928" s="121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</row>
    <row r="929" spans="1:26" ht="11.25" customHeight="1" x14ac:dyDescent="0.3">
      <c r="A929" s="121"/>
      <c r="B929" s="121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</row>
    <row r="930" spans="1:26" ht="11.25" customHeight="1" x14ac:dyDescent="0.3">
      <c r="A930" s="121"/>
      <c r="B930" s="121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</row>
    <row r="931" spans="1:26" ht="11.25" customHeight="1" x14ac:dyDescent="0.3">
      <c r="A931" s="121"/>
      <c r="B931" s="121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</row>
    <row r="932" spans="1:26" ht="11.25" customHeight="1" x14ac:dyDescent="0.3">
      <c r="A932" s="121"/>
      <c r="B932" s="121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</row>
    <row r="933" spans="1:26" ht="11.25" customHeight="1" x14ac:dyDescent="0.3">
      <c r="A933" s="121"/>
      <c r="B933" s="121"/>
      <c r="C933" s="121"/>
      <c r="D933" s="121"/>
      <c r="E933" s="121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</row>
    <row r="934" spans="1:26" ht="11.25" customHeight="1" x14ac:dyDescent="0.3">
      <c r="A934" s="121"/>
      <c r="B934" s="121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</row>
    <row r="935" spans="1:26" ht="11.25" customHeight="1" x14ac:dyDescent="0.3">
      <c r="A935" s="121"/>
      <c r="B935" s="121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</row>
    <row r="936" spans="1:26" ht="11.25" customHeight="1" x14ac:dyDescent="0.3">
      <c r="A936" s="121"/>
      <c r="B936" s="121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</row>
    <row r="937" spans="1:26" ht="11.25" customHeight="1" x14ac:dyDescent="0.3">
      <c r="A937" s="121"/>
      <c r="B937" s="121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</row>
    <row r="938" spans="1:26" ht="11.25" customHeight="1" x14ac:dyDescent="0.3">
      <c r="A938" s="121"/>
      <c r="B938" s="121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</row>
    <row r="939" spans="1:26" ht="11.25" customHeight="1" x14ac:dyDescent="0.3">
      <c r="A939" s="121"/>
      <c r="B939" s="121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</row>
    <row r="940" spans="1:26" ht="11.25" customHeight="1" x14ac:dyDescent="0.3">
      <c r="A940" s="121"/>
      <c r="B940" s="121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</row>
    <row r="941" spans="1:26" ht="11.25" customHeight="1" x14ac:dyDescent="0.3">
      <c r="A941" s="121"/>
      <c r="B941" s="121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</row>
    <row r="942" spans="1:26" ht="11.25" customHeight="1" x14ac:dyDescent="0.3">
      <c r="A942" s="121"/>
      <c r="B942" s="121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</row>
    <row r="943" spans="1:26" ht="11.25" customHeight="1" x14ac:dyDescent="0.3">
      <c r="A943" s="121"/>
      <c r="B943" s="121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</row>
    <row r="944" spans="1:26" ht="11.25" customHeight="1" x14ac:dyDescent="0.3">
      <c r="A944" s="121"/>
      <c r="B944" s="121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</row>
    <row r="945" spans="1:26" ht="11.25" customHeight="1" x14ac:dyDescent="0.3">
      <c r="A945" s="121"/>
      <c r="B945" s="121"/>
      <c r="C945" s="121"/>
      <c r="D945" s="121"/>
      <c r="E945" s="121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</row>
    <row r="946" spans="1:26" ht="11.25" customHeight="1" x14ac:dyDescent="0.3">
      <c r="A946" s="121"/>
      <c r="B946" s="121"/>
      <c r="C946" s="121"/>
      <c r="D946" s="121"/>
      <c r="E946" s="121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</row>
    <row r="947" spans="1:26" ht="11.25" customHeight="1" x14ac:dyDescent="0.3">
      <c r="A947" s="121"/>
      <c r="B947" s="121"/>
      <c r="C947" s="121"/>
      <c r="D947" s="121"/>
      <c r="E947" s="121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</row>
    <row r="948" spans="1:26" ht="11.25" customHeight="1" x14ac:dyDescent="0.3">
      <c r="A948" s="121"/>
      <c r="B948" s="121"/>
      <c r="C948" s="121"/>
      <c r="D948" s="121"/>
      <c r="E948" s="121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</row>
    <row r="949" spans="1:26" ht="11.25" customHeight="1" x14ac:dyDescent="0.3">
      <c r="A949" s="121"/>
      <c r="B949" s="121"/>
      <c r="C949" s="121"/>
      <c r="D949" s="121"/>
      <c r="E949" s="121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</row>
    <row r="950" spans="1:26" ht="11.25" customHeight="1" x14ac:dyDescent="0.3">
      <c r="A950" s="121"/>
      <c r="B950" s="121"/>
      <c r="C950" s="121"/>
      <c r="D950" s="121"/>
      <c r="E950" s="121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</row>
    <row r="951" spans="1:26" ht="11.25" customHeight="1" x14ac:dyDescent="0.3">
      <c r="A951" s="121"/>
      <c r="B951" s="121"/>
      <c r="C951" s="121"/>
      <c r="D951" s="121"/>
      <c r="E951" s="121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</row>
    <row r="952" spans="1:26" ht="11.25" customHeight="1" x14ac:dyDescent="0.3">
      <c r="A952" s="121"/>
      <c r="B952" s="121"/>
      <c r="C952" s="121"/>
      <c r="D952" s="121"/>
      <c r="E952" s="121"/>
      <c r="F952" s="121"/>
      <c r="G952" s="121"/>
      <c r="H952" s="121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</row>
    <row r="953" spans="1:26" ht="11.25" customHeight="1" x14ac:dyDescent="0.3">
      <c r="A953" s="121"/>
      <c r="B953" s="121"/>
      <c r="C953" s="121"/>
      <c r="D953" s="121"/>
      <c r="E953" s="121"/>
      <c r="F953" s="121"/>
      <c r="G953" s="121"/>
      <c r="H953" s="121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</row>
    <row r="954" spans="1:26" ht="11.25" customHeight="1" x14ac:dyDescent="0.3">
      <c r="A954" s="121"/>
      <c r="B954" s="121"/>
      <c r="C954" s="121"/>
      <c r="D954" s="121"/>
      <c r="E954" s="121"/>
      <c r="F954" s="121"/>
      <c r="G954" s="121"/>
      <c r="H954" s="121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</row>
    <row r="955" spans="1:26" ht="11.25" customHeight="1" x14ac:dyDescent="0.3">
      <c r="A955" s="121"/>
      <c r="B955" s="121"/>
      <c r="C955" s="121"/>
      <c r="D955" s="121"/>
      <c r="E955" s="121"/>
      <c r="F955" s="121"/>
      <c r="G955" s="121"/>
      <c r="H955" s="121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</row>
    <row r="956" spans="1:26" ht="11.25" customHeight="1" x14ac:dyDescent="0.3">
      <c r="A956" s="121"/>
      <c r="B956" s="121"/>
      <c r="C956" s="121"/>
      <c r="D956" s="121"/>
      <c r="E956" s="121"/>
      <c r="F956" s="121"/>
      <c r="G956" s="121"/>
      <c r="H956" s="121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</row>
    <row r="957" spans="1:26" ht="11.25" customHeight="1" x14ac:dyDescent="0.3">
      <c r="A957" s="121"/>
      <c r="B957" s="121"/>
      <c r="C957" s="121"/>
      <c r="D957" s="121"/>
      <c r="E957" s="121"/>
      <c r="F957" s="121"/>
      <c r="G957" s="121"/>
      <c r="H957" s="121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</row>
    <row r="958" spans="1:26" ht="11.25" customHeight="1" x14ac:dyDescent="0.3">
      <c r="A958" s="121"/>
      <c r="B958" s="121"/>
      <c r="C958" s="121"/>
      <c r="D958" s="121"/>
      <c r="E958" s="121"/>
      <c r="F958" s="121"/>
      <c r="G958" s="121"/>
      <c r="H958" s="121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</row>
    <row r="959" spans="1:26" ht="11.25" customHeight="1" x14ac:dyDescent="0.3">
      <c r="A959" s="121"/>
      <c r="B959" s="121"/>
      <c r="C959" s="121"/>
      <c r="D959" s="121"/>
      <c r="E959" s="121"/>
      <c r="F959" s="121"/>
      <c r="G959" s="121"/>
      <c r="H959" s="121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</row>
    <row r="960" spans="1:26" ht="11.25" customHeight="1" x14ac:dyDescent="0.3">
      <c r="A960" s="121"/>
      <c r="B960" s="121"/>
      <c r="C960" s="121"/>
      <c r="D960" s="121"/>
      <c r="E960" s="121"/>
      <c r="F960" s="121"/>
      <c r="G960" s="121"/>
      <c r="H960" s="121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</row>
    <row r="961" spans="1:26" ht="11.25" customHeight="1" x14ac:dyDescent="0.3">
      <c r="A961" s="121"/>
      <c r="B961" s="121"/>
      <c r="C961" s="121"/>
      <c r="D961" s="121"/>
      <c r="E961" s="121"/>
      <c r="F961" s="121"/>
      <c r="G961" s="121"/>
      <c r="H961" s="121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</row>
    <row r="962" spans="1:26" ht="11.25" customHeight="1" x14ac:dyDescent="0.3">
      <c r="A962" s="121"/>
      <c r="B962" s="121"/>
      <c r="C962" s="121"/>
      <c r="D962" s="121"/>
      <c r="E962" s="121"/>
      <c r="F962" s="121"/>
      <c r="G962" s="121"/>
      <c r="H962" s="121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</row>
    <row r="963" spans="1:26" ht="11.25" customHeight="1" x14ac:dyDescent="0.3">
      <c r="A963" s="121"/>
      <c r="B963" s="121"/>
      <c r="C963" s="121"/>
      <c r="D963" s="121"/>
      <c r="E963" s="121"/>
      <c r="F963" s="121"/>
      <c r="G963" s="121"/>
      <c r="H963" s="121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</row>
    <row r="964" spans="1:26" ht="11.25" customHeight="1" x14ac:dyDescent="0.3">
      <c r="A964" s="121"/>
      <c r="B964" s="121"/>
      <c r="C964" s="121"/>
      <c r="D964" s="121"/>
      <c r="E964" s="121"/>
      <c r="F964" s="121"/>
      <c r="G964" s="121"/>
      <c r="H964" s="121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</row>
    <row r="965" spans="1:26" ht="11.25" customHeight="1" x14ac:dyDescent="0.3">
      <c r="A965" s="121"/>
      <c r="B965" s="121"/>
      <c r="C965" s="121"/>
      <c r="D965" s="121"/>
      <c r="E965" s="121"/>
      <c r="F965" s="121"/>
      <c r="G965" s="121"/>
      <c r="H965" s="121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</row>
    <row r="966" spans="1:26" ht="11.25" customHeight="1" x14ac:dyDescent="0.3">
      <c r="A966" s="121"/>
      <c r="B966" s="121"/>
      <c r="C966" s="121"/>
      <c r="D966" s="121"/>
      <c r="E966" s="121"/>
      <c r="F966" s="121"/>
      <c r="G966" s="121"/>
      <c r="H966" s="121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</row>
    <row r="967" spans="1:26" ht="11.25" customHeight="1" x14ac:dyDescent="0.3">
      <c r="A967" s="121"/>
      <c r="B967" s="121"/>
      <c r="C967" s="121"/>
      <c r="D967" s="121"/>
      <c r="E967" s="121"/>
      <c r="F967" s="121"/>
      <c r="G967" s="121"/>
      <c r="H967" s="121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</row>
    <row r="968" spans="1:26" ht="11.25" customHeight="1" x14ac:dyDescent="0.3">
      <c r="A968" s="121"/>
      <c r="B968" s="121"/>
      <c r="C968" s="121"/>
      <c r="D968" s="121"/>
      <c r="E968" s="121"/>
      <c r="F968" s="121"/>
      <c r="G968" s="121"/>
      <c r="H968" s="121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</row>
    <row r="969" spans="1:26" ht="11.25" customHeight="1" x14ac:dyDescent="0.3">
      <c r="A969" s="121"/>
      <c r="B969" s="121"/>
      <c r="C969" s="121"/>
      <c r="D969" s="121"/>
      <c r="E969" s="121"/>
      <c r="F969" s="121"/>
      <c r="G969" s="121"/>
      <c r="H969" s="121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</row>
    <row r="970" spans="1:26" ht="11.25" customHeight="1" x14ac:dyDescent="0.3">
      <c r="A970" s="121"/>
      <c r="B970" s="121"/>
      <c r="C970" s="121"/>
      <c r="D970" s="121"/>
      <c r="E970" s="121"/>
      <c r="F970" s="121"/>
      <c r="G970" s="121"/>
      <c r="H970" s="121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</row>
    <row r="971" spans="1:26" ht="11.25" customHeight="1" x14ac:dyDescent="0.3">
      <c r="A971" s="121"/>
      <c r="B971" s="121"/>
      <c r="C971" s="121"/>
      <c r="D971" s="121"/>
      <c r="E971" s="121"/>
      <c r="F971" s="121"/>
      <c r="G971" s="121"/>
      <c r="H971" s="121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</row>
    <row r="972" spans="1:26" ht="11.25" customHeight="1" x14ac:dyDescent="0.3">
      <c r="A972" s="121"/>
      <c r="B972" s="121"/>
      <c r="C972" s="121"/>
      <c r="D972" s="121"/>
      <c r="E972" s="121"/>
      <c r="F972" s="121"/>
      <c r="G972" s="121"/>
      <c r="H972" s="121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</row>
    <row r="973" spans="1:26" ht="11.25" customHeight="1" x14ac:dyDescent="0.3">
      <c r="A973" s="121"/>
      <c r="B973" s="121"/>
      <c r="C973" s="121"/>
      <c r="D973" s="121"/>
      <c r="E973" s="121"/>
      <c r="F973" s="121"/>
      <c r="G973" s="121"/>
      <c r="H973" s="121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</row>
    <row r="974" spans="1:26" ht="11.25" customHeight="1" x14ac:dyDescent="0.3">
      <c r="A974" s="121"/>
      <c r="B974" s="121"/>
      <c r="C974" s="121"/>
      <c r="D974" s="121"/>
      <c r="E974" s="121"/>
      <c r="F974" s="121"/>
      <c r="G974" s="121"/>
      <c r="H974" s="121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</row>
    <row r="975" spans="1:26" ht="11.25" customHeight="1" x14ac:dyDescent="0.3">
      <c r="A975" s="121"/>
      <c r="B975" s="121"/>
      <c r="C975" s="121"/>
      <c r="D975" s="121"/>
      <c r="E975" s="121"/>
      <c r="F975" s="121"/>
      <c r="G975" s="121"/>
      <c r="H975" s="121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</row>
    <row r="976" spans="1:26" ht="11.25" customHeight="1" x14ac:dyDescent="0.3">
      <c r="A976" s="121"/>
      <c r="B976" s="121"/>
      <c r="C976" s="121"/>
      <c r="D976" s="121"/>
      <c r="E976" s="121"/>
      <c r="F976" s="121"/>
      <c r="G976" s="121"/>
      <c r="H976" s="121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</row>
    <row r="977" spans="1:26" ht="11.25" customHeight="1" x14ac:dyDescent="0.3">
      <c r="A977" s="121"/>
      <c r="B977" s="121"/>
      <c r="C977" s="121"/>
      <c r="D977" s="121"/>
      <c r="E977" s="121"/>
      <c r="F977" s="121"/>
      <c r="G977" s="121"/>
      <c r="H977" s="121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</row>
    <row r="978" spans="1:26" ht="11.25" customHeight="1" x14ac:dyDescent="0.3">
      <c r="A978" s="121"/>
      <c r="B978" s="121"/>
      <c r="C978" s="121"/>
      <c r="D978" s="121"/>
      <c r="E978" s="121"/>
      <c r="F978" s="121"/>
      <c r="G978" s="121"/>
      <c r="H978" s="121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</row>
    <row r="979" spans="1:26" ht="11.25" customHeight="1" x14ac:dyDescent="0.3">
      <c r="A979" s="121"/>
      <c r="B979" s="121"/>
      <c r="C979" s="121"/>
      <c r="D979" s="121"/>
      <c r="E979" s="121"/>
      <c r="F979" s="121"/>
      <c r="G979" s="121"/>
      <c r="H979" s="121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</row>
    <row r="980" spans="1:26" ht="11.25" customHeight="1" x14ac:dyDescent="0.3">
      <c r="A980" s="121"/>
      <c r="B980" s="121"/>
      <c r="C980" s="121"/>
      <c r="D980" s="121"/>
      <c r="E980" s="121"/>
      <c r="F980" s="121"/>
      <c r="G980" s="121"/>
      <c r="H980" s="121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</row>
    <row r="981" spans="1:26" ht="11.25" customHeight="1" x14ac:dyDescent="0.3">
      <c r="A981" s="121"/>
      <c r="B981" s="121"/>
      <c r="C981" s="121"/>
      <c r="D981" s="121"/>
      <c r="E981" s="121"/>
      <c r="F981" s="121"/>
      <c r="G981" s="121"/>
      <c r="H981" s="121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</row>
    <row r="982" spans="1:26" ht="11.25" customHeight="1" x14ac:dyDescent="0.3">
      <c r="A982" s="121"/>
      <c r="B982" s="121"/>
      <c r="C982" s="121"/>
      <c r="D982" s="121"/>
      <c r="E982" s="121"/>
      <c r="F982" s="121"/>
      <c r="G982" s="121"/>
      <c r="H982" s="121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</row>
    <row r="983" spans="1:26" ht="11.25" customHeight="1" x14ac:dyDescent="0.3">
      <c r="A983" s="121"/>
      <c r="B983" s="121"/>
      <c r="C983" s="121"/>
      <c r="D983" s="121"/>
      <c r="E983" s="121"/>
      <c r="F983" s="121"/>
      <c r="G983" s="121"/>
      <c r="H983" s="121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</row>
    <row r="984" spans="1:26" ht="11.25" customHeight="1" x14ac:dyDescent="0.3">
      <c r="A984" s="121"/>
      <c r="B984" s="121"/>
      <c r="C984" s="121"/>
      <c r="D984" s="121"/>
      <c r="E984" s="121"/>
      <c r="F984" s="121"/>
      <c r="G984" s="121"/>
      <c r="H984" s="121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</row>
    <row r="985" spans="1:26" ht="11.25" customHeight="1" x14ac:dyDescent="0.3">
      <c r="A985" s="121"/>
      <c r="B985" s="121"/>
      <c r="C985" s="121"/>
      <c r="D985" s="121"/>
      <c r="E985" s="121"/>
      <c r="F985" s="121"/>
      <c r="G985" s="121"/>
      <c r="H985" s="121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</row>
    <row r="986" spans="1:26" ht="11.25" customHeight="1" x14ac:dyDescent="0.3">
      <c r="A986" s="121"/>
      <c r="B986" s="121"/>
      <c r="C986" s="121"/>
      <c r="D986" s="121"/>
      <c r="E986" s="121"/>
      <c r="F986" s="121"/>
      <c r="G986" s="121"/>
      <c r="H986" s="121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</row>
    <row r="987" spans="1:26" ht="11.25" customHeight="1" x14ac:dyDescent="0.3">
      <c r="A987" s="121"/>
      <c r="B987" s="121"/>
      <c r="C987" s="121"/>
      <c r="D987" s="121"/>
      <c r="E987" s="121"/>
      <c r="F987" s="121"/>
      <c r="G987" s="121"/>
      <c r="H987" s="121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</row>
    <row r="988" spans="1:26" ht="11.25" customHeight="1" x14ac:dyDescent="0.3">
      <c r="A988" s="121"/>
      <c r="B988" s="121"/>
      <c r="C988" s="121"/>
      <c r="D988" s="121"/>
      <c r="E988" s="121"/>
      <c r="F988" s="121"/>
      <c r="G988" s="121"/>
      <c r="H988" s="121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</row>
    <row r="989" spans="1:26" ht="11.25" customHeight="1" x14ac:dyDescent="0.3">
      <c r="A989" s="121"/>
      <c r="B989" s="121"/>
      <c r="C989" s="121"/>
      <c r="D989" s="121"/>
      <c r="E989" s="121"/>
      <c r="F989" s="121"/>
      <c r="G989" s="121"/>
      <c r="H989" s="121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</row>
    <row r="990" spans="1:26" ht="11.25" customHeight="1" x14ac:dyDescent="0.3">
      <c r="A990" s="121"/>
      <c r="B990" s="121"/>
      <c r="C990" s="121"/>
      <c r="D990" s="121"/>
      <c r="E990" s="121"/>
      <c r="F990" s="121"/>
      <c r="G990" s="121"/>
      <c r="H990" s="121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</row>
    <row r="991" spans="1:26" ht="11.25" customHeight="1" x14ac:dyDescent="0.3">
      <c r="A991" s="121"/>
      <c r="B991" s="121"/>
      <c r="C991" s="121"/>
      <c r="D991" s="121"/>
      <c r="E991" s="121"/>
      <c r="F991" s="121"/>
      <c r="G991" s="121"/>
      <c r="H991" s="121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</row>
    <row r="992" spans="1:26" ht="11.25" customHeight="1" x14ac:dyDescent="0.3">
      <c r="A992" s="121"/>
      <c r="B992" s="121"/>
      <c r="C992" s="121"/>
      <c r="D992" s="121"/>
      <c r="E992" s="121"/>
      <c r="F992" s="121"/>
      <c r="G992" s="121"/>
      <c r="H992" s="121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</row>
    <row r="993" spans="1:26" ht="11.25" customHeight="1" x14ac:dyDescent="0.3">
      <c r="A993" s="121"/>
      <c r="B993" s="121"/>
      <c r="C993" s="121"/>
      <c r="D993" s="121"/>
      <c r="E993" s="121"/>
      <c r="F993" s="121"/>
      <c r="G993" s="121"/>
      <c r="H993" s="121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</row>
    <row r="994" spans="1:26" ht="11.25" customHeight="1" x14ac:dyDescent="0.3">
      <c r="A994" s="121"/>
      <c r="B994" s="121"/>
      <c r="C994" s="121"/>
      <c r="D994" s="121"/>
      <c r="E994" s="121"/>
      <c r="F994" s="121"/>
      <c r="G994" s="121"/>
      <c r="H994" s="121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</row>
    <row r="995" spans="1:26" ht="11.25" customHeight="1" x14ac:dyDescent="0.3">
      <c r="A995" s="121"/>
      <c r="B995" s="121"/>
      <c r="C995" s="121"/>
      <c r="D995" s="121"/>
      <c r="E995" s="121"/>
      <c r="F995" s="121"/>
      <c r="G995" s="121"/>
      <c r="H995" s="121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</row>
    <row r="996" spans="1:26" ht="11.25" customHeight="1" x14ac:dyDescent="0.3">
      <c r="A996" s="121"/>
      <c r="B996" s="121"/>
      <c r="C996" s="121"/>
      <c r="D996" s="121"/>
      <c r="E996" s="121"/>
      <c r="F996" s="121"/>
      <c r="G996" s="121"/>
      <c r="H996" s="121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</row>
    <row r="997" spans="1:26" ht="11.25" customHeight="1" x14ac:dyDescent="0.3">
      <c r="A997" s="121"/>
      <c r="B997" s="121"/>
      <c r="C997" s="121"/>
      <c r="D997" s="121"/>
      <c r="E997" s="121"/>
      <c r="F997" s="121"/>
      <c r="G997" s="121"/>
      <c r="H997" s="121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</row>
    <row r="998" spans="1:26" ht="11.25" customHeight="1" x14ac:dyDescent="0.3">
      <c r="A998" s="121"/>
      <c r="B998" s="121"/>
      <c r="C998" s="121"/>
      <c r="D998" s="121"/>
      <c r="E998" s="121"/>
      <c r="F998" s="121"/>
      <c r="G998" s="121"/>
      <c r="H998" s="121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</row>
    <row r="999" spans="1:26" ht="11.25" customHeight="1" x14ac:dyDescent="0.3">
      <c r="A999" s="121"/>
      <c r="B999" s="121"/>
      <c r="C999" s="121"/>
      <c r="D999" s="121"/>
      <c r="E999" s="121"/>
      <c r="F999" s="121"/>
      <c r="G999" s="121"/>
      <c r="H999" s="121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</row>
    <row r="1000" spans="1:26" ht="11.25" customHeight="1" x14ac:dyDescent="0.3">
      <c r="A1000" s="121"/>
      <c r="B1000" s="121"/>
      <c r="C1000" s="121"/>
      <c r="D1000" s="121"/>
      <c r="E1000" s="121"/>
      <c r="F1000" s="121"/>
      <c r="G1000" s="121"/>
      <c r="H1000" s="121"/>
      <c r="I1000" s="121"/>
      <c r="J1000" s="121"/>
      <c r="K1000" s="121"/>
      <c r="L1000" s="121"/>
      <c r="M1000" s="121"/>
      <c r="N1000" s="121"/>
      <c r="O1000" s="121"/>
      <c r="P1000" s="121"/>
      <c r="Q1000" s="121"/>
      <c r="R1000" s="121"/>
      <c r="S1000" s="121"/>
      <c r="T1000" s="121"/>
      <c r="U1000" s="121"/>
      <c r="V1000" s="121"/>
      <c r="W1000" s="121"/>
      <c r="X1000" s="121"/>
      <c r="Y1000" s="121"/>
      <c r="Z1000" s="121"/>
    </row>
  </sheetData>
  <mergeCells count="1"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1000"/>
  <sheetViews>
    <sheetView workbookViewId="0">
      <pane xSplit="8" topLeftCell="U1" activePane="topRight" state="frozen"/>
      <selection pane="topRight" activeCell="W1" sqref="W1"/>
    </sheetView>
  </sheetViews>
  <sheetFormatPr defaultColWidth="14.44140625" defaultRowHeight="15" customHeight="1" x14ac:dyDescent="0.3"/>
  <cols>
    <col min="1" max="1" width="3.88671875" customWidth="1"/>
    <col min="2" max="2" width="2.88671875" customWidth="1"/>
    <col min="3" max="3" width="25.6640625" customWidth="1"/>
    <col min="4" max="4" width="12" customWidth="1"/>
    <col min="5" max="6" width="13.6640625" customWidth="1"/>
    <col min="7" max="7" width="9.6640625" bestFit="1" customWidth="1"/>
    <col min="8" max="11" width="12.6640625" customWidth="1"/>
    <col min="12" max="12" width="11.6640625" customWidth="1"/>
    <col min="13" max="13" width="12.6640625" customWidth="1"/>
    <col min="14" max="14" width="11.6640625" customWidth="1"/>
    <col min="15" max="17" width="12.6640625" customWidth="1"/>
    <col min="18" max="18" width="11.6640625" customWidth="1"/>
    <col min="19" max="21" width="12.6640625" customWidth="1"/>
    <col min="22" max="22" width="11.6640625" customWidth="1"/>
    <col min="23" max="30" width="12.6640625" customWidth="1"/>
    <col min="31" max="32" width="11.6640625" customWidth="1"/>
  </cols>
  <sheetData>
    <row r="1" spans="1:32" ht="11.25" customHeight="1" x14ac:dyDescent="0.3">
      <c r="A1" s="241"/>
      <c r="B1" s="242"/>
      <c r="C1" s="243"/>
      <c r="D1" s="244" t="s">
        <v>254</v>
      </c>
      <c r="E1" s="245" t="s">
        <v>68</v>
      </c>
      <c r="F1" s="245" t="s">
        <v>68</v>
      </c>
      <c r="G1" s="246" t="s">
        <v>255</v>
      </c>
      <c r="H1" s="245" t="s">
        <v>254</v>
      </c>
      <c r="I1" s="247">
        <v>46023</v>
      </c>
      <c r="J1" s="247">
        <v>46053</v>
      </c>
      <c r="K1" s="248">
        <v>46054</v>
      </c>
      <c r="L1" s="248">
        <v>46081</v>
      </c>
      <c r="M1" s="249">
        <v>46082</v>
      </c>
      <c r="N1" s="249">
        <v>46112</v>
      </c>
      <c r="O1" s="250">
        <v>46113</v>
      </c>
      <c r="P1" s="250">
        <v>46142</v>
      </c>
      <c r="Q1" s="247">
        <v>46143</v>
      </c>
      <c r="R1" s="247">
        <v>46173</v>
      </c>
      <c r="S1" s="248">
        <v>46174</v>
      </c>
      <c r="T1" s="248">
        <v>46203</v>
      </c>
      <c r="U1" s="249">
        <v>46204</v>
      </c>
      <c r="V1" s="249">
        <v>46234</v>
      </c>
      <c r="W1" s="250">
        <v>46235</v>
      </c>
      <c r="X1" s="250">
        <v>46265</v>
      </c>
      <c r="Y1" s="251">
        <v>45901</v>
      </c>
      <c r="Z1" s="251">
        <v>45930</v>
      </c>
      <c r="AA1" s="252">
        <v>45931</v>
      </c>
      <c r="AB1" s="252">
        <v>45961</v>
      </c>
      <c r="AC1" s="253">
        <v>45962</v>
      </c>
      <c r="AD1" s="253">
        <v>45991</v>
      </c>
      <c r="AE1" s="254">
        <v>45627</v>
      </c>
      <c r="AF1" s="254">
        <v>45657</v>
      </c>
    </row>
    <row r="2" spans="1:32" ht="11.25" customHeight="1" x14ac:dyDescent="0.3">
      <c r="A2" s="255"/>
      <c r="B2" s="255"/>
      <c r="C2" s="256"/>
      <c r="D2" s="257" t="s">
        <v>256</v>
      </c>
      <c r="E2" s="245" t="s">
        <v>257</v>
      </c>
      <c r="F2" s="245" t="s">
        <v>258</v>
      </c>
      <c r="G2" s="246" t="s">
        <v>259</v>
      </c>
      <c r="H2" s="245" t="s">
        <v>260</v>
      </c>
      <c r="I2" s="258" t="s">
        <v>257</v>
      </c>
      <c r="J2" s="258" t="s">
        <v>258</v>
      </c>
      <c r="K2" s="259" t="s">
        <v>257</v>
      </c>
      <c r="L2" s="259" t="s">
        <v>258</v>
      </c>
      <c r="M2" s="260" t="s">
        <v>257</v>
      </c>
      <c r="N2" s="260" t="s">
        <v>258</v>
      </c>
      <c r="O2" s="261" t="s">
        <v>257</v>
      </c>
      <c r="P2" s="261"/>
      <c r="Q2" s="258" t="s">
        <v>257</v>
      </c>
      <c r="R2" s="258" t="s">
        <v>258</v>
      </c>
      <c r="S2" s="259" t="s">
        <v>257</v>
      </c>
      <c r="T2" s="259" t="s">
        <v>258</v>
      </c>
      <c r="U2" s="260" t="s">
        <v>257</v>
      </c>
      <c r="V2" s="260" t="s">
        <v>258</v>
      </c>
      <c r="W2" s="261" t="s">
        <v>257</v>
      </c>
      <c r="X2" s="261" t="s">
        <v>258</v>
      </c>
      <c r="Y2" s="262" t="s">
        <v>257</v>
      </c>
      <c r="Z2" s="262" t="s">
        <v>258</v>
      </c>
      <c r="AA2" s="263" t="s">
        <v>257</v>
      </c>
      <c r="AB2" s="263" t="s">
        <v>258</v>
      </c>
      <c r="AC2" s="264" t="s">
        <v>257</v>
      </c>
      <c r="AD2" s="264" t="s">
        <v>258</v>
      </c>
      <c r="AE2" s="265" t="s">
        <v>257</v>
      </c>
      <c r="AF2" s="265" t="s">
        <v>258</v>
      </c>
    </row>
    <row r="3" spans="1:32" ht="11.25" customHeight="1" x14ac:dyDescent="0.3">
      <c r="A3" s="562" t="s">
        <v>261</v>
      </c>
      <c r="B3" s="548"/>
      <c r="C3" s="266" t="s">
        <v>156</v>
      </c>
      <c r="D3" s="267"/>
      <c r="E3" s="268">
        <f t="shared" ref="E3:F3" si="0">SUM(E5:E46)</f>
        <v>121576.1</v>
      </c>
      <c r="F3" s="268">
        <f t="shared" si="0"/>
        <v>2255.6810309599823</v>
      </c>
      <c r="G3" s="269">
        <f>1-((E3/SUM(E3:F3)))</f>
        <v>1.8215687541439984E-2</v>
      </c>
      <c r="H3" s="268">
        <f>SUM(H5:H67)</f>
        <v>17180.266838493331</v>
      </c>
      <c r="I3" s="270">
        <f>SUM(I5:I46)</f>
        <v>15639.36</v>
      </c>
      <c r="J3" s="271"/>
      <c r="K3" s="232">
        <f>SUM(K5:K46)</f>
        <v>16615.620000000003</v>
      </c>
      <c r="L3" s="272"/>
      <c r="M3" s="273">
        <f>SUM(M5:M46)</f>
        <v>16971.29</v>
      </c>
      <c r="N3" s="274"/>
      <c r="O3" s="236">
        <f>SUM(O5:O46)</f>
        <v>18875.669999999998</v>
      </c>
      <c r="P3" s="275"/>
      <c r="Q3" s="270">
        <f>SUM(Q5:Q46)</f>
        <v>14973.200000000003</v>
      </c>
      <c r="R3" s="271"/>
      <c r="S3" s="232">
        <f>SUM(S5:S46)</f>
        <v>17750.78</v>
      </c>
      <c r="T3" s="272"/>
      <c r="U3" s="273">
        <f>SUM(U5:U46)</f>
        <v>20061.939999999999</v>
      </c>
      <c r="V3" s="274"/>
      <c r="W3" s="236">
        <f>SUM(W5:W46)</f>
        <v>688.24</v>
      </c>
      <c r="X3" s="275"/>
      <c r="Y3" s="276">
        <f>SUM(Y5:Y46)</f>
        <v>0</v>
      </c>
      <c r="Z3" s="277"/>
      <c r="AA3" s="278">
        <f>SUM(AA5:AA46)</f>
        <v>0</v>
      </c>
      <c r="AB3" s="279"/>
      <c r="AC3" s="280">
        <f>SUM(AC5:AC46)</f>
        <v>0</v>
      </c>
      <c r="AD3" s="281"/>
      <c r="AE3" s="282">
        <f>SUM(AE5:AE46)</f>
        <v>0</v>
      </c>
      <c r="AF3" s="283"/>
    </row>
    <row r="4" spans="1:32" ht="11.25" customHeight="1" x14ac:dyDescent="0.3">
      <c r="A4" s="562" t="s">
        <v>262</v>
      </c>
      <c r="B4" s="563"/>
      <c r="C4" s="548"/>
      <c r="D4" s="267"/>
      <c r="E4" s="284"/>
      <c r="F4" s="284"/>
      <c r="G4" s="285"/>
      <c r="H4" s="286"/>
      <c r="I4" s="271"/>
      <c r="J4" s="271"/>
      <c r="K4" s="272"/>
      <c r="L4" s="272"/>
      <c r="M4" s="274"/>
      <c r="N4" s="274"/>
      <c r="O4" s="275"/>
      <c r="P4" s="275"/>
      <c r="Q4" s="271"/>
      <c r="R4" s="271"/>
      <c r="S4" s="272"/>
      <c r="T4" s="272"/>
      <c r="U4" s="274"/>
      <c r="V4" s="274"/>
      <c r="W4" s="275"/>
      <c r="X4" s="275"/>
      <c r="Y4" s="277"/>
      <c r="Z4" s="277"/>
      <c r="AA4" s="279"/>
      <c r="AB4" s="279"/>
      <c r="AC4" s="281"/>
      <c r="AD4" s="281"/>
      <c r="AE4" s="283"/>
      <c r="AF4" s="283"/>
    </row>
    <row r="5" spans="1:32" ht="11.25" customHeight="1" x14ac:dyDescent="0.3">
      <c r="A5" s="284" t="str">
        <f>'Proposed Budget'!A5</f>
        <v>D</v>
      </c>
      <c r="B5" s="255">
        <f>'Proposed Budget'!B5</f>
        <v>1</v>
      </c>
      <c r="C5" s="287" t="str">
        <f>'Proposed Budget'!C5</f>
        <v>Groceries/Household</v>
      </c>
      <c r="D5" s="288">
        <f t="shared" ref="D5:D12" ca="1" si="1">(E5/(TODAY()-$I$1))*30.42</f>
        <v>1197.9620294930878</v>
      </c>
      <c r="E5" s="289">
        <f>I5+K5+M5+O5+Q5+S5+U5+W5+Y5+AA5+AC5+AE5</f>
        <v>8545.6200000000008</v>
      </c>
      <c r="F5" s="289">
        <f t="shared" ref="F5:F12" si="2">J5+L5+N5+P5+R5+T5</f>
        <v>-101.26000000000067</v>
      </c>
      <c r="G5" s="269">
        <f t="shared" ref="G5:G12" si="3">1-((E5/SUM(E5:F5)))</f>
        <v>-1.1991435703830655E-2</v>
      </c>
      <c r="H5" s="289">
        <f>'Proposed Budget'!D5</f>
        <v>1200</v>
      </c>
      <c r="I5" s="270">
        <f>SUMIFS('Checking Transaction Log'!$E:$E,'Checking Transaction Log'!$C:$C,"&gt;="&amp;I1,'Checking Transaction Log'!$C:$C,"&lt;="&amp;J1,'Checking Transaction Log'!$A:$A,"D",'Checking Transaction Log'!$B:$B,1)</f>
        <v>1067.56</v>
      </c>
      <c r="J5" s="270">
        <f t="shared" ref="J5:J12" si="4">H5-I5</f>
        <v>132.44000000000005</v>
      </c>
      <c r="K5" s="232">
        <f>SUMIFS('Checking Transaction Log'!$E:$E,'Checking Transaction Log'!$C:$C,"&gt;="&amp;K1,'Checking Transaction Log'!$C:$C,"&lt;="&amp;L1,'Checking Transaction Log'!$A:$A,"D",'Checking Transaction Log'!$B:$B,1)</f>
        <v>1033.9000000000001</v>
      </c>
      <c r="L5" s="232">
        <f t="shared" ref="L5:L12" si="5">H5-K5</f>
        <v>166.09999999999991</v>
      </c>
      <c r="M5" s="273">
        <f>SUMIFS('Checking Transaction Log'!$E:$E,'Checking Transaction Log'!$C:$C,"&gt;="&amp;M1,'Checking Transaction Log'!$C:$C,"&lt;="&amp;N1,'Checking Transaction Log'!$A:$A,"D",'Checking Transaction Log'!$B:$B,1)</f>
        <v>1358.86</v>
      </c>
      <c r="N5" s="273">
        <f t="shared" ref="N5:N12" si="6">H5-M5</f>
        <v>-158.8599999999999</v>
      </c>
      <c r="O5" s="236">
        <f>SUMIFS('Checking Transaction Log'!$E:$E,'Checking Transaction Log'!$C:$C,"&gt;="&amp;O1,'Checking Transaction Log'!$C:$C,"&lt;="&amp;P1,'Checking Transaction Log'!$A:$A,"D",'Checking Transaction Log'!$B:$B,1)</f>
        <v>1284.83</v>
      </c>
      <c r="P5" s="236">
        <f t="shared" ref="P5:P12" si="7">H5-O5</f>
        <v>-84.829999999999927</v>
      </c>
      <c r="Q5" s="270">
        <f>SUMIFS('Checking Transaction Log'!$E:$E,'Checking Transaction Log'!$C:$C,"&gt;="&amp;Q1,'Checking Transaction Log'!$C:$C,"&lt;="&amp;R1,'Checking Transaction Log'!$A:$A,"D",'Checking Transaction Log'!$B:$B,1)</f>
        <v>1263.1500000000003</v>
      </c>
      <c r="R5" s="270">
        <f t="shared" ref="R5:R12" si="8">H5-Q5</f>
        <v>-63.150000000000318</v>
      </c>
      <c r="S5" s="232">
        <f>SUMIFS('Checking Transaction Log'!$E:$E,'Checking Transaction Log'!$C:$C,"&gt;="&amp;S1,'Checking Transaction Log'!$C:$C,"&lt;="&amp;T1,'Checking Transaction Log'!$A:$A,"D",'Checking Transaction Log'!$B:$B,1)</f>
        <v>1292.9600000000005</v>
      </c>
      <c r="T5" s="232">
        <f t="shared" ref="T5:T12" si="9">H5-S5</f>
        <v>-92.960000000000491</v>
      </c>
      <c r="U5" s="273">
        <f>SUMIFS('Checking Transaction Log'!$E:$E,'Checking Transaction Log'!$C:$C,"&gt;="&amp;U1,'Checking Transaction Log'!$C:$C,"&lt;="&amp;V1,'Checking Transaction Log'!$A:$A,"D",'Checking Transaction Log'!$B:$B,1)</f>
        <v>1111.57</v>
      </c>
      <c r="V5" s="273">
        <f t="shared" ref="V5:V12" si="10">H5-U5</f>
        <v>88.430000000000064</v>
      </c>
      <c r="W5" s="236">
        <f>SUMIFS('Checking Transaction Log'!$E:$E,'Checking Transaction Log'!$C:$C,"&gt;="&amp;W1,'Checking Transaction Log'!$C:$C,"&lt;="&amp;X1,'Checking Transaction Log'!$A:$A,"D",'Checking Transaction Log'!$B:$B,1)</f>
        <v>132.79</v>
      </c>
      <c r="X5" s="236">
        <f t="shared" ref="X5:X12" si="11">H5-W5</f>
        <v>1067.21</v>
      </c>
      <c r="Y5" s="276">
        <f>SUMIFS('Checking Transaction Log'!$E:$E,'Checking Transaction Log'!$C:$C,"&gt;="&amp;Y1,'Checking Transaction Log'!$C:$C,"&lt;="&amp;Z1,'Checking Transaction Log'!$A:$A,"D",'Checking Transaction Log'!$B:$B,1)</f>
        <v>0</v>
      </c>
      <c r="Z5" s="276">
        <f t="shared" ref="Z5:Z12" si="12">H5-Y5</f>
        <v>1200</v>
      </c>
      <c r="AA5" s="278">
        <f>SUMIFS('Checking Transaction Log'!$E:$E,'Checking Transaction Log'!$C:$C,"&gt;="&amp;AA1,'Checking Transaction Log'!$C:$C,"&lt;="&amp;AB1,'Checking Transaction Log'!$A:$A,"D",'Checking Transaction Log'!$B:$B,1)</f>
        <v>0</v>
      </c>
      <c r="AB5" s="278">
        <f t="shared" ref="AB5:AB12" si="13">H5-AA5</f>
        <v>1200</v>
      </c>
      <c r="AC5" s="280">
        <f>SUMIFS('Checking Transaction Log'!$E:$E,'Checking Transaction Log'!$C:$C,"&gt;="&amp;AC1,'Checking Transaction Log'!$C:$C,"&lt;="&amp;AD1,'Checking Transaction Log'!$A:$A,"D",'Checking Transaction Log'!$B:$B,1)</f>
        <v>0</v>
      </c>
      <c r="AD5" s="280">
        <f t="shared" ref="AD5:AD12" si="14">H5-AC5</f>
        <v>1200</v>
      </c>
      <c r="AE5" s="282">
        <f>SUMIFS('Checking Transaction Log'!$E:$E,'Checking Transaction Log'!$C:$C,"&gt;="&amp;AE1,'Checking Transaction Log'!$C:$C,"&lt;="&amp;AF1,'Checking Transaction Log'!$A:$A,"D",'Checking Transaction Log'!$B:$B,1)</f>
        <v>0</v>
      </c>
      <c r="AF5" s="282">
        <f t="shared" ref="AF5:AF12" si="15">H5-AE5</f>
        <v>1200</v>
      </c>
    </row>
    <row r="6" spans="1:32" ht="11.25" customHeight="1" x14ac:dyDescent="0.3">
      <c r="A6" s="284" t="str">
        <f>'Proposed Budget'!A6</f>
        <v>D</v>
      </c>
      <c r="B6" s="255">
        <f>'Proposed Budget'!B6</f>
        <v>2</v>
      </c>
      <c r="C6" s="287" t="str">
        <f>'Proposed Budget'!C6</f>
        <v>Dining Out</v>
      </c>
      <c r="D6" s="288">
        <f t="shared" ca="1" si="1"/>
        <v>1112.3332341013827</v>
      </c>
      <c r="E6" s="289">
        <f t="shared" ref="E6:E12" si="16">Q6+S6+U6+W6+Y6+AA6+AC6+AE6+I6+K6+M6+O6</f>
        <v>7934.7900000000009</v>
      </c>
      <c r="F6" s="289">
        <f t="shared" si="2"/>
        <v>420.15000000000077</v>
      </c>
      <c r="G6" s="269">
        <f t="shared" si="3"/>
        <v>5.0287614273711312E-2</v>
      </c>
      <c r="H6" s="289">
        <f>'Proposed Budget'!D6</f>
        <v>1200</v>
      </c>
      <c r="I6" s="270">
        <f>SUMIFS('Checking Transaction Log'!E:E,'Checking Transaction Log'!C:C,"&gt;="&amp;I1,'Checking Transaction Log'!C:C,"&lt;="&amp;J1,'Checking Transaction Log'!A:A,"D",'Checking Transaction Log'!B:B,2)</f>
        <v>1061.45</v>
      </c>
      <c r="J6" s="270">
        <f t="shared" si="4"/>
        <v>138.54999999999995</v>
      </c>
      <c r="K6" s="232">
        <f>SUMIFS('Checking Transaction Log'!E:E,'Checking Transaction Log'!C:C,"&gt;="&amp;K1,'Checking Transaction Log'!C:C,"&lt;="&amp;L1,'Checking Transaction Log'!A:A,"D",'Checking Transaction Log'!B:B,2)</f>
        <v>911.68</v>
      </c>
      <c r="L6" s="232">
        <f t="shared" si="5"/>
        <v>288.32000000000005</v>
      </c>
      <c r="M6" s="273">
        <f>SUMIFS('Checking Transaction Log'!$E:$E,'Checking Transaction Log'!$C:$C,"&gt;="&amp;M1,'Checking Transaction Log'!$C:$C,"&lt;="&amp;N1,'Checking Transaction Log'!$A:$A,"D",'Checking Transaction Log'!$B:$B,2)</f>
        <v>1233.4599999999996</v>
      </c>
      <c r="N6" s="273">
        <f t="shared" si="6"/>
        <v>-33.459999999999582</v>
      </c>
      <c r="O6" s="236">
        <f>SUMIFS('Checking Transaction Log'!$E:$E,'Checking Transaction Log'!$C:$C,"&gt;="&amp;O1,'Checking Transaction Log'!$C:$C,"&lt;="&amp;P1,'Checking Transaction Log'!$A:$A,"D",'Checking Transaction Log'!$B:$B,2)</f>
        <v>984.17999999999984</v>
      </c>
      <c r="P6" s="236">
        <f t="shared" si="7"/>
        <v>215.82000000000016</v>
      </c>
      <c r="Q6" s="270">
        <f>SUMIFS('Checking Transaction Log'!$E:$E,'Checking Transaction Log'!$C:$C,"&gt;="&amp;Q1,'Checking Transaction Log'!$C:$C,"&lt;="&amp;R1,'Checking Transaction Log'!$A:$A,"D",'Checking Transaction Log'!$B:$B,2)</f>
        <v>1603.86</v>
      </c>
      <c r="R6" s="270">
        <f t="shared" si="8"/>
        <v>-403.8599999999999</v>
      </c>
      <c r="S6" s="232">
        <f>SUMIFS('Checking Transaction Log'!$E:$E,'Checking Transaction Log'!$C:$C,"&gt;="&amp;S1,'Checking Transaction Log'!$C:$C,"&lt;="&amp;T1,'Checking Transaction Log'!$A:$A,"D",'Checking Transaction Log'!$B:$B,2)</f>
        <v>985.21999999999991</v>
      </c>
      <c r="T6" s="232">
        <f t="shared" si="9"/>
        <v>214.78000000000009</v>
      </c>
      <c r="U6" s="273">
        <f>SUMIFS('Checking Transaction Log'!$E:$E,'Checking Transaction Log'!$C:$C,"&gt;="&amp;U1,'Checking Transaction Log'!$C:$C,"&lt;="&amp;V1,'Checking Transaction Log'!$A:$A,"D",'Checking Transaction Log'!$B:$B,2)</f>
        <v>1129.5999999999999</v>
      </c>
      <c r="V6" s="273">
        <f t="shared" si="10"/>
        <v>70.400000000000091</v>
      </c>
      <c r="W6" s="236">
        <f>SUMIFS('Checking Transaction Log'!$E:$E,'Checking Transaction Log'!$C:$C,"&gt;="&amp;W1,'Checking Transaction Log'!$C:$C,"&lt;="&amp;X1,'Checking Transaction Log'!$A:$A,"D",'Checking Transaction Log'!$B:$B,2)</f>
        <v>25.34</v>
      </c>
      <c r="X6" s="236">
        <f t="shared" si="11"/>
        <v>1174.6600000000001</v>
      </c>
      <c r="Y6" s="276">
        <f>SUMIFS('Checking Transaction Log'!$E:$E,'Checking Transaction Log'!$C:$C,"&gt;="&amp;Y1,'Checking Transaction Log'!$C:$C,"&lt;="&amp;Z1,'Checking Transaction Log'!$A:$A,"D",'Checking Transaction Log'!$B:$B,2)</f>
        <v>0</v>
      </c>
      <c r="Z6" s="276">
        <f t="shared" si="12"/>
        <v>1200</v>
      </c>
      <c r="AA6" s="278">
        <f>SUMIFS('Checking Transaction Log'!$E:$E,'Checking Transaction Log'!$C:$C,"&gt;="&amp;AA1,'Checking Transaction Log'!$C:$C,"&lt;="&amp;AB1,'Checking Transaction Log'!$A:$A,"D",'Checking Transaction Log'!$B:$B,2)</f>
        <v>0</v>
      </c>
      <c r="AB6" s="278">
        <f t="shared" si="13"/>
        <v>1200</v>
      </c>
      <c r="AC6" s="280">
        <f>SUMIFS('Checking Transaction Log'!$E:$E,'Checking Transaction Log'!$C:$C,"&gt;="&amp;AC1,'Checking Transaction Log'!$C:$C,"&lt;="&amp;AD1,'Checking Transaction Log'!$A:$A,"D",'Checking Transaction Log'!$B:$B,2)</f>
        <v>0</v>
      </c>
      <c r="AD6" s="280">
        <f t="shared" si="14"/>
        <v>1200</v>
      </c>
      <c r="AE6" s="282">
        <f>SUMIFS('Checking Transaction Log'!$E:$E,'Checking Transaction Log'!$C:$C,"&gt;="&amp;AE1,'Checking Transaction Log'!$C:$C,"&lt;="&amp;AF1,'Checking Transaction Log'!$A:$A,"D",'Checking Transaction Log'!$B:$B,2)</f>
        <v>0</v>
      </c>
      <c r="AF6" s="282">
        <f t="shared" si="15"/>
        <v>1200</v>
      </c>
    </row>
    <row r="7" spans="1:32" ht="11.25" customHeight="1" x14ac:dyDescent="0.3">
      <c r="A7" s="284" t="str">
        <f>'Proposed Budget'!A7</f>
        <v>D</v>
      </c>
      <c r="B7" s="255">
        <f>'Proposed Budget'!B7</f>
        <v>3</v>
      </c>
      <c r="C7" s="287" t="str">
        <f>'Proposed Budget'!C7</f>
        <v>Misc Food</v>
      </c>
      <c r="D7" s="288">
        <f t="shared" ca="1" si="1"/>
        <v>129.25836497695852</v>
      </c>
      <c r="E7" s="289">
        <f t="shared" si="16"/>
        <v>922.06</v>
      </c>
      <c r="F7" s="289">
        <f t="shared" si="2"/>
        <v>145.85000000000002</v>
      </c>
      <c r="G7" s="269">
        <f t="shared" si="3"/>
        <v>0.13657517955632958</v>
      </c>
      <c r="H7" s="289">
        <f>'Proposed Budget'!D7</f>
        <v>150</v>
      </c>
      <c r="I7" s="270">
        <f>SUMIFS('Checking Transaction Log'!E:E,'Checking Transaction Log'!C:C,"&gt;="&amp;I1,'Checking Transaction Log'!C:C,"&lt;="&amp;J1,'Checking Transaction Log'!A:A,"D",'Checking Transaction Log'!B:B,3)</f>
        <v>144.51</v>
      </c>
      <c r="J7" s="270">
        <f t="shared" si="4"/>
        <v>5.4900000000000091</v>
      </c>
      <c r="K7" s="232">
        <f>SUMIFS('Checking Transaction Log'!E:E,'Checking Transaction Log'!C:C,"&gt;="&amp;K1,'Checking Transaction Log'!C:C,"&lt;="&amp;L1,'Checking Transaction Log'!A:A,"D",'Checking Transaction Log'!B:B,3)</f>
        <v>90.76</v>
      </c>
      <c r="L7" s="232">
        <f t="shared" si="5"/>
        <v>59.239999999999995</v>
      </c>
      <c r="M7" s="273">
        <f>SUMIFS('Checking Transaction Log'!$E:$E,'Checking Transaction Log'!$C:$C,"&gt;="&amp;M1,'Checking Transaction Log'!$C:$C,"&lt;="&amp;N1,'Checking Transaction Log'!$A:$A,"D",'Checking Transaction Log'!$B:$B,3)</f>
        <v>173.53</v>
      </c>
      <c r="N7" s="273">
        <f t="shared" si="6"/>
        <v>-23.53</v>
      </c>
      <c r="O7" s="236">
        <f>SUMIFS('Checking Transaction Log'!$E:$E,'Checking Transaction Log'!$C:$C,"&gt;="&amp;O1,'Checking Transaction Log'!$C:$C,"&lt;="&amp;P1,'Checking Transaction Log'!$A:$A,"D",'Checking Transaction Log'!$B:$B,3)</f>
        <v>91.659999999999982</v>
      </c>
      <c r="P7" s="236">
        <f t="shared" si="7"/>
        <v>58.340000000000018</v>
      </c>
      <c r="Q7" s="270">
        <f>SUMIFS('Checking Transaction Log'!$E:$E,'Checking Transaction Log'!$C:$C,"&gt;="&amp;Q1,'Checking Transaction Log'!$C:$C,"&lt;="&amp;R1,'Checking Transaction Log'!$A:$A,"D",'Checking Transaction Log'!$B:$B,3)</f>
        <v>180.06</v>
      </c>
      <c r="R7" s="270">
        <f t="shared" si="8"/>
        <v>-30.060000000000002</v>
      </c>
      <c r="S7" s="232">
        <f>SUMIFS('Checking Transaction Log'!$E:$E,'Checking Transaction Log'!$C:$C,"&gt;="&amp;S1,'Checking Transaction Log'!$C:$C,"&lt;="&amp;T1,'Checking Transaction Log'!$A:$A,"D",'Checking Transaction Log'!$B:$B,3)</f>
        <v>73.63</v>
      </c>
      <c r="T7" s="232">
        <f t="shared" si="9"/>
        <v>76.37</v>
      </c>
      <c r="U7" s="273">
        <f>SUMIFS('Checking Transaction Log'!$E:$E,'Checking Transaction Log'!$C:$C,"&gt;="&amp;U1,'Checking Transaction Log'!$C:$C,"&lt;="&amp;V1,'Checking Transaction Log'!$A:$A,"D",'Checking Transaction Log'!$B:$B,3)</f>
        <v>167.91</v>
      </c>
      <c r="V7" s="273">
        <f t="shared" si="10"/>
        <v>-17.909999999999997</v>
      </c>
      <c r="W7" s="236">
        <f>SUMIFS('Checking Transaction Log'!$E:$E,'Checking Transaction Log'!$C:$C,"&gt;="&amp;W1,'Checking Transaction Log'!$C:$C,"&lt;="&amp;X1,'Checking Transaction Log'!$A:$A,"D",'Checking Transaction Log'!$B:$B,3)</f>
        <v>0</v>
      </c>
      <c r="X7" s="236">
        <f t="shared" si="11"/>
        <v>150</v>
      </c>
      <c r="Y7" s="276">
        <f>SUMIFS('Checking Transaction Log'!$E:$E,'Checking Transaction Log'!$C:$C,"&gt;="&amp;Y1,'Checking Transaction Log'!$C:$C,"&lt;="&amp;Z1,'Checking Transaction Log'!$A:$A,"D",'Checking Transaction Log'!$B:$B,3)</f>
        <v>0</v>
      </c>
      <c r="Z7" s="276">
        <f t="shared" si="12"/>
        <v>150</v>
      </c>
      <c r="AA7" s="278">
        <f>SUMIFS('Checking Transaction Log'!$E:$E,'Checking Transaction Log'!$C:$C,"&gt;="&amp;AA1,'Checking Transaction Log'!$C:$C,"&lt;="&amp;AB1,'Checking Transaction Log'!$A:$A,"D",'Checking Transaction Log'!$B:$B,3)</f>
        <v>0</v>
      </c>
      <c r="AB7" s="278">
        <f t="shared" si="13"/>
        <v>150</v>
      </c>
      <c r="AC7" s="280">
        <f>SUMIFS('Checking Transaction Log'!$E:$E,'Checking Transaction Log'!$C:$C,"&gt;="&amp;AC1,'Checking Transaction Log'!$C:$C,"&lt;="&amp;AD1,'Checking Transaction Log'!$A:$A,"D",'Checking Transaction Log'!$B:$B,3)</f>
        <v>0</v>
      </c>
      <c r="AD7" s="280">
        <f t="shared" si="14"/>
        <v>150</v>
      </c>
      <c r="AE7" s="282">
        <f>SUMIFS('Checking Transaction Log'!$E:$E,'Checking Transaction Log'!$C:$C,"&gt;="&amp;AE1,'Checking Transaction Log'!$C:$C,"&lt;="&amp;AF1,'Checking Transaction Log'!$A:$A,"D",'Checking Transaction Log'!$B:$B,3)</f>
        <v>0</v>
      </c>
      <c r="AF7" s="282">
        <f t="shared" si="15"/>
        <v>150</v>
      </c>
    </row>
    <row r="8" spans="1:32" ht="11.25" customHeight="1" x14ac:dyDescent="0.3">
      <c r="A8" s="284" t="str">
        <f>'Proposed Budget'!A8</f>
        <v>D</v>
      </c>
      <c r="B8" s="255">
        <f>'Proposed Budget'!B8</f>
        <v>4</v>
      </c>
      <c r="C8" s="287" t="str">
        <f>'Proposed Budget'!C8</f>
        <v>Gasoline</v>
      </c>
      <c r="D8" s="288">
        <f t="shared" ca="1" si="1"/>
        <v>642.07788387096775</v>
      </c>
      <c r="E8" s="289">
        <f t="shared" si="16"/>
        <v>4580.24</v>
      </c>
      <c r="F8" s="289">
        <f t="shared" si="2"/>
        <v>-293.23000000000013</v>
      </c>
      <c r="G8" s="269">
        <f t="shared" si="3"/>
        <v>-6.8399653837989849E-2</v>
      </c>
      <c r="H8" s="289">
        <f>'Proposed Budget'!D8</f>
        <v>600</v>
      </c>
      <c r="I8" s="270">
        <f>SUMIFS('Checking Transaction Log'!E:E,'Checking Transaction Log'!C:C,"&gt;="&amp;I1,'Checking Transaction Log'!C:C,"&lt;="&amp;J1,'Checking Transaction Log'!A:A,"D",'Checking Transaction Log'!B:B,4)</f>
        <v>561.41</v>
      </c>
      <c r="J8" s="270">
        <f t="shared" si="4"/>
        <v>38.590000000000032</v>
      </c>
      <c r="K8" s="232">
        <f>SUMIFS('Checking Transaction Log'!E:E,'Checking Transaction Log'!C:C,"&gt;="&amp;K1,'Checking Transaction Log'!C:C,"&lt;="&amp;L1,'Checking Transaction Log'!A:A,"D",'Checking Transaction Log'!B:B,4)</f>
        <v>710.78</v>
      </c>
      <c r="L8" s="232">
        <f t="shared" si="5"/>
        <v>-110.77999999999997</v>
      </c>
      <c r="M8" s="273">
        <f>SUMIFS('Checking Transaction Log'!$E:$E,'Checking Transaction Log'!$C:$C,"&gt;="&amp;M1,'Checking Transaction Log'!$C:$C,"&lt;="&amp;N1,'Checking Transaction Log'!$A:$A,"D",'Checking Transaction Log'!$B:$B,4)</f>
        <v>537.41000000000008</v>
      </c>
      <c r="N8" s="273">
        <f t="shared" si="6"/>
        <v>62.589999999999918</v>
      </c>
      <c r="O8" s="236">
        <f>SUMIFS('Checking Transaction Log'!$E:$E,'Checking Transaction Log'!$C:$C,"&gt;="&amp;O1,'Checking Transaction Log'!$C:$C,"&lt;="&amp;P1,'Checking Transaction Log'!$A:$A,"D",'Checking Transaction Log'!$B:$B,4)</f>
        <v>592.33000000000004</v>
      </c>
      <c r="P8" s="236">
        <f t="shared" si="7"/>
        <v>7.6699999999999591</v>
      </c>
      <c r="Q8" s="270">
        <f>SUMIFS('Checking Transaction Log'!$E:$E,'Checking Transaction Log'!$C:$C,"&gt;="&amp;Q1,'Checking Transaction Log'!$C:$C,"&lt;="&amp;R1,'Checking Transaction Log'!$A:$A,"D",'Checking Transaction Log'!$B:$B,4)</f>
        <v>942.96</v>
      </c>
      <c r="R8" s="270">
        <f t="shared" si="8"/>
        <v>-342.96000000000004</v>
      </c>
      <c r="S8" s="232">
        <f>SUMIFS('Checking Transaction Log'!$E:$E,'Checking Transaction Log'!$C:$C,"&gt;="&amp;S1,'Checking Transaction Log'!$C:$C,"&lt;="&amp;T1,'Checking Transaction Log'!$A:$A,"D",'Checking Transaction Log'!$B:$B,4)</f>
        <v>548.34</v>
      </c>
      <c r="T8" s="232">
        <f t="shared" si="9"/>
        <v>51.659999999999968</v>
      </c>
      <c r="U8" s="273">
        <f>SUMIFS('Checking Transaction Log'!$E:$E,'Checking Transaction Log'!$C:$C,"&gt;="&amp;U1,'Checking Transaction Log'!$C:$C,"&lt;="&amp;V1,'Checking Transaction Log'!$A:$A,"D",'Checking Transaction Log'!$B:$B,4)</f>
        <v>604.87</v>
      </c>
      <c r="V8" s="273">
        <f t="shared" si="10"/>
        <v>-4.8700000000000045</v>
      </c>
      <c r="W8" s="236">
        <f>SUMIFS('Checking Transaction Log'!$E:$E,'Checking Transaction Log'!$C:$C,"&gt;="&amp;W1,'Checking Transaction Log'!$C:$C,"&lt;="&amp;X1,'Checking Transaction Log'!$A:$A,"D",'Checking Transaction Log'!$B:$B,4)</f>
        <v>82.14</v>
      </c>
      <c r="X8" s="236">
        <f t="shared" si="11"/>
        <v>517.86</v>
      </c>
      <c r="Y8" s="276">
        <f>SUMIFS('Checking Transaction Log'!$E:$E,'Checking Transaction Log'!$C:$C,"&gt;="&amp;Y1,'Checking Transaction Log'!$C:$C,"&lt;="&amp;Z1,'Checking Transaction Log'!$A:$A,"D",'Checking Transaction Log'!$B:$B,4)</f>
        <v>0</v>
      </c>
      <c r="Z8" s="276">
        <f t="shared" si="12"/>
        <v>600</v>
      </c>
      <c r="AA8" s="278">
        <f>SUMIFS('Checking Transaction Log'!$E:$E,'Checking Transaction Log'!$C:$C,"&gt;="&amp;AA1,'Checking Transaction Log'!$C:$C,"&lt;="&amp;AB1,'Checking Transaction Log'!$A:$A,"D",'Checking Transaction Log'!$B:$B,4)</f>
        <v>0</v>
      </c>
      <c r="AB8" s="278">
        <f t="shared" si="13"/>
        <v>600</v>
      </c>
      <c r="AC8" s="280">
        <f>SUMIFS('Checking Transaction Log'!$E:$E,'Checking Transaction Log'!$C:$C,"&gt;="&amp;AC1,'Checking Transaction Log'!$C:$C,"&lt;="&amp;AD1,'Checking Transaction Log'!$A:$A,"D",'Checking Transaction Log'!$B:$B,4)</f>
        <v>0</v>
      </c>
      <c r="AD8" s="280">
        <f t="shared" si="14"/>
        <v>600</v>
      </c>
      <c r="AE8" s="282">
        <f>SUMIFS('Checking Transaction Log'!$E:$E,'Checking Transaction Log'!$C:$C,"&gt;="&amp;AE1,'Checking Transaction Log'!$C:$C,"&lt;="&amp;AF1,'Checking Transaction Log'!$A:$A,"D",'Checking Transaction Log'!$B:$B,4)</f>
        <v>0</v>
      </c>
      <c r="AF8" s="282">
        <f t="shared" si="15"/>
        <v>600</v>
      </c>
    </row>
    <row r="9" spans="1:32" ht="11.25" customHeight="1" x14ac:dyDescent="0.3">
      <c r="A9" s="284" t="str">
        <f>'Proposed Budget'!A9</f>
        <v>D</v>
      </c>
      <c r="B9" s="255">
        <f>'Proposed Budget'!B9</f>
        <v>5</v>
      </c>
      <c r="C9" s="287" t="str">
        <f>'Proposed Budget'!C9</f>
        <v>Family Entertainment</v>
      </c>
      <c r="D9" s="288">
        <f t="shared" ca="1" si="1"/>
        <v>680.97483041474641</v>
      </c>
      <c r="E9" s="289">
        <f t="shared" si="16"/>
        <v>4857.7099999999991</v>
      </c>
      <c r="F9" s="289">
        <f t="shared" si="2"/>
        <v>-34.81</v>
      </c>
      <c r="G9" s="269">
        <f t="shared" si="3"/>
        <v>-7.2176491322648584E-3</v>
      </c>
      <c r="H9" s="289">
        <f>'Proposed Budget'!D9</f>
        <v>700</v>
      </c>
      <c r="I9" s="270">
        <f>SUMIFS('Checking Transaction Log'!E:E,'Checking Transaction Log'!C:C,"&gt;="&amp;I1,'Checking Transaction Log'!C:C,"&lt;="&amp;J1,'Checking Transaction Log'!A:A,"D",'Checking Transaction Log'!B:B,5)</f>
        <v>717.1</v>
      </c>
      <c r="J9" s="270">
        <f t="shared" si="4"/>
        <v>-17.100000000000023</v>
      </c>
      <c r="K9" s="232">
        <f>SUMIFS('Checking Transaction Log'!E:E,'Checking Transaction Log'!C:C,"&gt;="&amp;K1,'Checking Transaction Log'!C:C,"&lt;="&amp;L1,'Checking Transaction Log'!A:A,"D",'Checking Transaction Log'!B:B,5)</f>
        <v>780.14</v>
      </c>
      <c r="L9" s="232">
        <f t="shared" si="5"/>
        <v>-80.139999999999986</v>
      </c>
      <c r="M9" s="273">
        <f>SUMIFS('Checking Transaction Log'!$E:$E,'Checking Transaction Log'!$C:$C,"&gt;="&amp;M1,'Checking Transaction Log'!$C:$C,"&lt;="&amp;N1,'Checking Transaction Log'!$A:$A,"D",'Checking Transaction Log'!$B:$B,5)</f>
        <v>516.79</v>
      </c>
      <c r="N9" s="273">
        <f t="shared" si="6"/>
        <v>183.21000000000004</v>
      </c>
      <c r="O9" s="236">
        <f>SUMIFS('Checking Transaction Log'!$E:$E,'Checking Transaction Log'!$C:$C,"&gt;="&amp;O1,'Checking Transaction Log'!$C:$C,"&lt;="&amp;P1,'Checking Transaction Log'!$A:$A,"D",'Checking Transaction Log'!$B:$B,5)</f>
        <v>1673.98</v>
      </c>
      <c r="P9" s="236">
        <f t="shared" si="7"/>
        <v>-973.98</v>
      </c>
      <c r="Q9" s="270">
        <f>SUMIFS('Checking Transaction Log'!$E:$E,'Checking Transaction Log'!$C:$C,"&gt;="&amp;Q1,'Checking Transaction Log'!$C:$C,"&lt;="&amp;R1,'Checking Transaction Log'!$A:$A,"D",'Checking Transaction Log'!$B:$B,5)</f>
        <v>310.77</v>
      </c>
      <c r="R9" s="270">
        <f t="shared" si="8"/>
        <v>389.23</v>
      </c>
      <c r="S9" s="232">
        <f>SUMIFS('Checking Transaction Log'!$E:$E,'Checking Transaction Log'!$C:$C,"&gt;="&amp;S1,'Checking Transaction Log'!$C:$C,"&lt;="&amp;T1,'Checking Transaction Log'!$A:$A,"D",'Checking Transaction Log'!$B:$B,5)</f>
        <v>236.03000000000003</v>
      </c>
      <c r="T9" s="232">
        <f t="shared" si="9"/>
        <v>463.96999999999997</v>
      </c>
      <c r="U9" s="273">
        <f>SUMIFS('Checking Transaction Log'!$E:$E,'Checking Transaction Log'!$C:$C,"&gt;="&amp;U1,'Checking Transaction Log'!$C:$C,"&lt;="&amp;V1,'Checking Transaction Log'!$A:$A,"D",'Checking Transaction Log'!$B:$B,5)</f>
        <v>530.84</v>
      </c>
      <c r="V9" s="273">
        <f t="shared" si="10"/>
        <v>169.15999999999997</v>
      </c>
      <c r="W9" s="236">
        <f>SUMIFS('Checking Transaction Log'!$E:$E,'Checking Transaction Log'!$C:$C,"&gt;="&amp;W1,'Checking Transaction Log'!$C:$C,"&lt;="&amp;X1,'Checking Transaction Log'!$A:$A,"D",'Checking Transaction Log'!$B:$B,5)</f>
        <v>92.06</v>
      </c>
      <c r="X9" s="236">
        <f t="shared" si="11"/>
        <v>607.94000000000005</v>
      </c>
      <c r="Y9" s="276">
        <f>SUMIFS('Checking Transaction Log'!$E:$E,'Checking Transaction Log'!$C:$C,"&gt;="&amp;Y1,'Checking Transaction Log'!$C:$C,"&lt;="&amp;Z1,'Checking Transaction Log'!$A:$A,"D",'Checking Transaction Log'!$B:$B,5)</f>
        <v>0</v>
      </c>
      <c r="Z9" s="276">
        <f t="shared" si="12"/>
        <v>700</v>
      </c>
      <c r="AA9" s="278">
        <f>SUMIFS('Checking Transaction Log'!$E:$E,'Checking Transaction Log'!$C:$C,"&gt;="&amp;AA1,'Checking Transaction Log'!$C:$C,"&lt;="&amp;AB1,'Checking Transaction Log'!$A:$A,"D",'Checking Transaction Log'!$B:$B,5)</f>
        <v>0</v>
      </c>
      <c r="AB9" s="278">
        <f t="shared" si="13"/>
        <v>700</v>
      </c>
      <c r="AC9" s="280">
        <f>SUMIFS('Checking Transaction Log'!$E:$E,'Checking Transaction Log'!$C:$C,"&gt;="&amp;AC1,'Checking Transaction Log'!$C:$C,"&lt;="&amp;AD1,'Checking Transaction Log'!$A:$A,"D",'Checking Transaction Log'!$B:$B,5)</f>
        <v>0</v>
      </c>
      <c r="AD9" s="280">
        <f t="shared" si="14"/>
        <v>700</v>
      </c>
      <c r="AE9" s="282">
        <f>SUMIFS('Checking Transaction Log'!$E:$E,'Checking Transaction Log'!$C:$C,"&gt;="&amp;AE1,'Checking Transaction Log'!$C:$C,"&lt;="&amp;AF1,'Checking Transaction Log'!$A:$A,"D",'Checking Transaction Log'!$B:$B,5)</f>
        <v>0</v>
      </c>
      <c r="AF9" s="282">
        <f t="shared" si="15"/>
        <v>700</v>
      </c>
    </row>
    <row r="10" spans="1:32" ht="11.25" customHeight="1" x14ac:dyDescent="0.3">
      <c r="A10" s="284" t="str">
        <f>'Proposed Budget'!A10</f>
        <v>D</v>
      </c>
      <c r="B10" s="255">
        <f>'Proposed Budget'!B10</f>
        <v>6</v>
      </c>
      <c r="C10" s="287" t="str">
        <f>'Proposed Budget'!C10</f>
        <v>Miscellaneous Spending</v>
      </c>
      <c r="D10" s="288">
        <f t="shared" ca="1" si="1"/>
        <v>785.10935944700464</v>
      </c>
      <c r="E10" s="289">
        <f t="shared" si="16"/>
        <v>5600.55</v>
      </c>
      <c r="F10" s="289">
        <f t="shared" si="2"/>
        <v>593.5699999999996</v>
      </c>
      <c r="G10" s="269">
        <f t="shared" si="3"/>
        <v>9.5827978792790591E-2</v>
      </c>
      <c r="H10" s="289">
        <f>'Proposed Budget'!D10</f>
        <v>900</v>
      </c>
      <c r="I10" s="270">
        <f>SUMIFS('Checking Transaction Log'!E:E,'Checking Transaction Log'!C:C,"&gt;="&amp;I1,'Checking Transaction Log'!C:C,"&lt;="&amp;J1,'Checking Transaction Log'!A:A,"D",'Checking Transaction Log'!B:B,6)</f>
        <v>714.12000000000012</v>
      </c>
      <c r="J10" s="270">
        <f t="shared" si="4"/>
        <v>185.87999999999988</v>
      </c>
      <c r="K10" s="232">
        <f>SUMIFS('Checking Transaction Log'!E:E,'Checking Transaction Log'!C:C,"&gt;="&amp;K1,'Checking Transaction Log'!C:C,"&lt;="&amp;L1,'Checking Transaction Log'!A:A,"D",'Checking Transaction Log'!B:B,6)</f>
        <v>693.07999999999993</v>
      </c>
      <c r="L10" s="232">
        <f t="shared" si="5"/>
        <v>206.92000000000007</v>
      </c>
      <c r="M10" s="273">
        <f>SUMIFS('Checking Transaction Log'!$E:$E,'Checking Transaction Log'!$C:$C,"&gt;="&amp;M1,'Checking Transaction Log'!$C:$C,"&lt;="&amp;N1,'Checking Transaction Log'!$A:$A,"D",'Checking Transaction Log'!$B:$B,6)</f>
        <v>484.69999999999993</v>
      </c>
      <c r="N10" s="273">
        <f t="shared" si="6"/>
        <v>415.30000000000007</v>
      </c>
      <c r="O10" s="236">
        <f>SUMIFS('Checking Transaction Log'!$E:$E,'Checking Transaction Log'!$C:$C,"&gt;="&amp;O1,'Checking Transaction Log'!$C:$C,"&lt;="&amp;P1,'Checking Transaction Log'!$A:$A,"D",'Checking Transaction Log'!$B:$B,6)</f>
        <v>1146.7900000000002</v>
      </c>
      <c r="P10" s="236">
        <f t="shared" si="7"/>
        <v>-246.79000000000019</v>
      </c>
      <c r="Q10" s="270">
        <f>SUMIFS('Checking Transaction Log'!$E:$E,'Checking Transaction Log'!$C:$C,"&gt;="&amp;Q1,'Checking Transaction Log'!$C:$C,"&lt;="&amp;R1,'Checking Transaction Log'!$A:$A,"D",'Checking Transaction Log'!$B:$B,6)</f>
        <v>1049.97</v>
      </c>
      <c r="R10" s="270">
        <f t="shared" si="8"/>
        <v>-149.97000000000003</v>
      </c>
      <c r="S10" s="232">
        <f>SUMIFS('Checking Transaction Log'!$E:$E,'Checking Transaction Log'!$C:$C,"&gt;="&amp;S1,'Checking Transaction Log'!$C:$C,"&lt;="&amp;T1,'Checking Transaction Log'!$A:$A,"D",'Checking Transaction Log'!$B:$B,6)</f>
        <v>717.77000000000021</v>
      </c>
      <c r="T10" s="232">
        <f t="shared" si="9"/>
        <v>182.22999999999979</v>
      </c>
      <c r="U10" s="273">
        <f>SUMIFS('Checking Transaction Log'!$E:$E,'Checking Transaction Log'!$C:$C,"&gt;="&amp;U1,'Checking Transaction Log'!$C:$C,"&lt;="&amp;V1,'Checking Transaction Log'!$A:$A,"D",'Checking Transaction Log'!$B:$B,6)</f>
        <v>707.57999999999993</v>
      </c>
      <c r="V10" s="273">
        <f t="shared" si="10"/>
        <v>192.42000000000007</v>
      </c>
      <c r="W10" s="236">
        <f>SUMIFS('Checking Transaction Log'!$E:$E,'Checking Transaction Log'!$C:$C,"&gt;="&amp;W1,'Checking Transaction Log'!$C:$C,"&lt;="&amp;X1,'Checking Transaction Log'!$A:$A,"D",'Checking Transaction Log'!$B:$B,6)</f>
        <v>86.54</v>
      </c>
      <c r="X10" s="236">
        <f t="shared" si="11"/>
        <v>813.46</v>
      </c>
      <c r="Y10" s="276">
        <f>SUMIFS('Checking Transaction Log'!$E:$E,'Checking Transaction Log'!$C:$C,"&gt;="&amp;Y1,'Checking Transaction Log'!$C:$C,"&lt;="&amp;Z1,'Checking Transaction Log'!$A:$A,"D",'Checking Transaction Log'!$B:$B,6)</f>
        <v>0</v>
      </c>
      <c r="Z10" s="276">
        <f t="shared" si="12"/>
        <v>900</v>
      </c>
      <c r="AA10" s="278">
        <f>SUMIFS('Checking Transaction Log'!$E:$E,'Checking Transaction Log'!$C:$C,"&gt;="&amp;AA1,'Checking Transaction Log'!$C:$C,"&lt;="&amp;AB1,'Checking Transaction Log'!$A:$A,"D",'Checking Transaction Log'!$B:$B,6)</f>
        <v>0</v>
      </c>
      <c r="AB10" s="278">
        <f t="shared" si="13"/>
        <v>900</v>
      </c>
      <c r="AC10" s="280">
        <f>SUMIFS('Checking Transaction Log'!$E:$E,'Checking Transaction Log'!$C:$C,"&gt;="&amp;AC1,'Checking Transaction Log'!$C:$C,"&lt;="&amp;AD1,'Checking Transaction Log'!$A:$A,"D",'Checking Transaction Log'!$B:$B,6)</f>
        <v>0</v>
      </c>
      <c r="AD10" s="280">
        <f t="shared" si="14"/>
        <v>900</v>
      </c>
      <c r="AE10" s="282">
        <f>SUMIFS('Checking Transaction Log'!$E:$E,'Checking Transaction Log'!$C:$C,"&gt;="&amp;AE1,'Checking Transaction Log'!$C:$C,"&lt;="&amp;AF1,'Checking Transaction Log'!$A:$A,"D",'Checking Transaction Log'!$B:$B,6)</f>
        <v>0</v>
      </c>
      <c r="AF10" s="282">
        <f t="shared" si="15"/>
        <v>900</v>
      </c>
    </row>
    <row r="11" spans="1:32" ht="11.25" customHeight="1" x14ac:dyDescent="0.3">
      <c r="A11" s="284" t="str">
        <f>'Proposed Budget'!A11</f>
        <v>D</v>
      </c>
      <c r="B11" s="255">
        <f>'Proposed Budget'!B11</f>
        <v>7</v>
      </c>
      <c r="C11" s="287" t="str">
        <f>'Proposed Budget'!C11</f>
        <v>Department Stores/Clothes</v>
      </c>
      <c r="D11" s="288">
        <f t="shared" ca="1" si="1"/>
        <v>303.38132350230416</v>
      </c>
      <c r="E11" s="289">
        <f t="shared" si="16"/>
        <v>2164.16</v>
      </c>
      <c r="F11" s="289">
        <f t="shared" si="2"/>
        <v>-64.159999999999854</v>
      </c>
      <c r="G11" s="269">
        <f t="shared" si="3"/>
        <v>-3.0552380952380886E-2</v>
      </c>
      <c r="H11" s="289">
        <f>'Proposed Budget'!D11</f>
        <v>350</v>
      </c>
      <c r="I11" s="270">
        <f>SUMIFS('Checking Transaction Log'!E:E,'Checking Transaction Log'!C:C,"&gt;="&amp;I1,'Checking Transaction Log'!C:C,"&lt;="&amp;J1,'Checking Transaction Log'!A:A,"D",'Checking Transaction Log'!B:B,7)</f>
        <v>626.04</v>
      </c>
      <c r="J11" s="270">
        <f t="shared" si="4"/>
        <v>-276.03999999999996</v>
      </c>
      <c r="K11" s="232">
        <f>SUMIFS('Checking Transaction Log'!E:E,'Checking Transaction Log'!C:C,"&gt;="&amp;K1,'Checking Transaction Log'!C:C,"&lt;="&amp;L1,'Checking Transaction Log'!A:A,"D",'Checking Transaction Log'!B:B,7)</f>
        <v>670.18</v>
      </c>
      <c r="L11" s="232">
        <f t="shared" si="5"/>
        <v>-320.17999999999995</v>
      </c>
      <c r="M11" s="273">
        <f>SUMIFS('Checking Transaction Log'!$E:$E,'Checking Transaction Log'!$C:$C,"&gt;="&amp;M1,'Checking Transaction Log'!$C:$C,"&lt;="&amp;N1,'Checking Transaction Log'!$A:$A,"D",'Checking Transaction Log'!$B:$B,7)</f>
        <v>221.64999999999998</v>
      </c>
      <c r="N11" s="273">
        <f t="shared" si="6"/>
        <v>128.35000000000002</v>
      </c>
      <c r="O11" s="236">
        <f>SUMIFS('Checking Transaction Log'!$E:$E,'Checking Transaction Log'!$C:$C,"&gt;="&amp;O1,'Checking Transaction Log'!$C:$C,"&lt;="&amp;P1,'Checking Transaction Log'!$A:$A,"D",'Checking Transaction Log'!$B:$B,7)</f>
        <v>269.88</v>
      </c>
      <c r="P11" s="236">
        <f t="shared" si="7"/>
        <v>80.12</v>
      </c>
      <c r="Q11" s="270">
        <f>SUMIFS('Checking Transaction Log'!$E:$E,'Checking Transaction Log'!$C:$C,"&gt;="&amp;Q1,'Checking Transaction Log'!$C:$C,"&lt;="&amp;R1,'Checking Transaction Log'!$A:$A,"D",'Checking Transaction Log'!$B:$B,7)</f>
        <v>376.40999999999997</v>
      </c>
      <c r="R11" s="270">
        <f t="shared" si="8"/>
        <v>-26.409999999999968</v>
      </c>
      <c r="S11" s="232">
        <f>SUMIFS('Checking Transaction Log'!$E:$E,'Checking Transaction Log'!$C:$C,"&gt;="&amp;S1,'Checking Transaction Log'!$C:$C,"&lt;="&amp;T1,'Checking Transaction Log'!$A:$A,"D",'Checking Transaction Log'!$B:$B,7)</f>
        <v>0</v>
      </c>
      <c r="T11" s="232">
        <f t="shared" si="9"/>
        <v>350</v>
      </c>
      <c r="U11" s="273">
        <f>SUMIFS('Checking Transaction Log'!$E:$E,'Checking Transaction Log'!$C:$C,"&gt;="&amp;U1,'Checking Transaction Log'!$C:$C,"&lt;="&amp;V1,'Checking Transaction Log'!$A:$A,"D",'Checking Transaction Log'!$B:$B,7)</f>
        <v>0</v>
      </c>
      <c r="V11" s="273">
        <f t="shared" si="10"/>
        <v>350</v>
      </c>
      <c r="W11" s="236">
        <f>SUMIFS('Checking Transaction Log'!$E:$E,'Checking Transaction Log'!$C:$C,"&gt;="&amp;W1,'Checking Transaction Log'!$C:$C,"&lt;="&amp;X1,'Checking Transaction Log'!$A:$A,"D",'Checking Transaction Log'!$B:$B,7)</f>
        <v>0</v>
      </c>
      <c r="X11" s="236">
        <f t="shared" si="11"/>
        <v>350</v>
      </c>
      <c r="Y11" s="276">
        <f>SUMIFS('Checking Transaction Log'!$E:$E,'Checking Transaction Log'!$C:$C,"&gt;="&amp;Y1,'Checking Transaction Log'!$C:$C,"&lt;="&amp;Z1,'Checking Transaction Log'!$A:$A,"D",'Checking Transaction Log'!$B:$B,7)</f>
        <v>0</v>
      </c>
      <c r="Z11" s="276">
        <f t="shared" si="12"/>
        <v>350</v>
      </c>
      <c r="AA11" s="278">
        <f>SUMIFS('Checking Transaction Log'!$E:$E,'Checking Transaction Log'!$C:$C,"&gt;="&amp;AA1,'Checking Transaction Log'!$C:$C,"&lt;="&amp;AB1,'Checking Transaction Log'!$A:$A,"D",'Checking Transaction Log'!$B:$B,7)</f>
        <v>0</v>
      </c>
      <c r="AB11" s="278">
        <f t="shared" si="13"/>
        <v>350</v>
      </c>
      <c r="AC11" s="280">
        <f>SUMIFS('Checking Transaction Log'!$E:$E,'Checking Transaction Log'!$C:$C,"&gt;="&amp;AC1,'Checking Transaction Log'!$C:$C,"&lt;="&amp;AD1,'Checking Transaction Log'!$A:$A,"D",'Checking Transaction Log'!$B:$B,7)</f>
        <v>0</v>
      </c>
      <c r="AD11" s="280">
        <f t="shared" si="14"/>
        <v>350</v>
      </c>
      <c r="AE11" s="282">
        <f>SUMIFS('Checking Transaction Log'!$E:$E,'Checking Transaction Log'!$C:$C,"&gt;="&amp;AE1,'Checking Transaction Log'!$C:$C,"&lt;="&amp;AF1,'Checking Transaction Log'!$A:$A,"D",'Checking Transaction Log'!$B:$B,7)</f>
        <v>0</v>
      </c>
      <c r="AF11" s="282">
        <f t="shared" si="15"/>
        <v>350</v>
      </c>
    </row>
    <row r="12" spans="1:32" ht="11.25" customHeight="1" x14ac:dyDescent="0.3">
      <c r="A12" s="284" t="str">
        <f>'Proposed Budget'!A12</f>
        <v>D</v>
      </c>
      <c r="B12" s="255">
        <f>'Proposed Budget'!B12</f>
        <v>8</v>
      </c>
      <c r="C12" s="287" t="str">
        <f>'Proposed Budget'!C12</f>
        <v>Alcohol/Bars</v>
      </c>
      <c r="D12" s="288">
        <f t="shared" ca="1" si="1"/>
        <v>771.62783225806459</v>
      </c>
      <c r="E12" s="289">
        <f t="shared" si="16"/>
        <v>5504.38</v>
      </c>
      <c r="F12" s="289">
        <f t="shared" si="2"/>
        <v>-347.42000000000007</v>
      </c>
      <c r="G12" s="269">
        <f t="shared" si="3"/>
        <v>-6.7369147714932742E-2</v>
      </c>
      <c r="H12" s="289">
        <f>'Proposed Budget'!D12</f>
        <v>700</v>
      </c>
      <c r="I12" s="270">
        <f>SUMIFS('Checking Transaction Log'!E:E,'Checking Transaction Log'!C:C,"&gt;="&amp;I1,'Checking Transaction Log'!C:C,"&lt;="&amp;J1,'Checking Transaction Log'!A:A,"D",'Checking Transaction Log'!B:B,8)</f>
        <v>683.49</v>
      </c>
      <c r="J12" s="270">
        <f t="shared" si="4"/>
        <v>16.509999999999991</v>
      </c>
      <c r="K12" s="232">
        <f>SUMIFS('Checking Transaction Log'!E:E,'Checking Transaction Log'!C:C,"&gt;="&amp;K1,'Checking Transaction Log'!C:C,"&lt;="&amp;L1,'Checking Transaction Log'!A:A,"D",'Checking Transaction Log'!B:B,8)</f>
        <v>979.71</v>
      </c>
      <c r="L12" s="232">
        <f t="shared" si="5"/>
        <v>-279.71000000000004</v>
      </c>
      <c r="M12" s="273">
        <f>SUMIFS('Checking Transaction Log'!$E:$E,'Checking Transaction Log'!$C:$C,"&gt;="&amp;M1,'Checking Transaction Log'!$C:$C,"&lt;="&amp;N1,'Checking Transaction Log'!$A:$A,"D",'Checking Transaction Log'!$B:$B,8)</f>
        <v>640.42000000000019</v>
      </c>
      <c r="N12" s="273">
        <f t="shared" si="6"/>
        <v>59.579999999999814</v>
      </c>
      <c r="O12" s="236">
        <f>SUMIFS('Checking Transaction Log'!$E:$E,'Checking Transaction Log'!$C:$C,"&gt;="&amp;O1,'Checking Transaction Log'!$C:$C,"&lt;="&amp;P1,'Checking Transaction Log'!$A:$A,"D",'Checking Transaction Log'!$B:$B,8)</f>
        <v>654.00999999999988</v>
      </c>
      <c r="P12" s="236">
        <f t="shared" si="7"/>
        <v>45.990000000000123</v>
      </c>
      <c r="Q12" s="270">
        <f>SUMIFS('Checking Transaction Log'!$E:$E,'Checking Transaction Log'!$C:$C,"&gt;="&amp;Q1,'Checking Transaction Log'!$C:$C,"&lt;="&amp;R1,'Checking Transaction Log'!$A:$A,"D",'Checking Transaction Log'!$B:$B,8)</f>
        <v>972.26</v>
      </c>
      <c r="R12" s="270">
        <f t="shared" si="8"/>
        <v>-272.26</v>
      </c>
      <c r="S12" s="232">
        <f>SUMIFS('Checking Transaction Log'!$E:$E,'Checking Transaction Log'!$C:$C,"&gt;="&amp;S1,'Checking Transaction Log'!$C:$C,"&lt;="&amp;T1,'Checking Transaction Log'!$A:$A,"D",'Checking Transaction Log'!$B:$B,8)</f>
        <v>617.53</v>
      </c>
      <c r="T12" s="232">
        <f t="shared" si="9"/>
        <v>82.470000000000027</v>
      </c>
      <c r="U12" s="273">
        <f>SUMIFS('Checking Transaction Log'!$E:$E,'Checking Transaction Log'!$C:$C,"&gt;="&amp;U1,'Checking Transaction Log'!$C:$C,"&lt;="&amp;V1,'Checking Transaction Log'!$A:$A,"D",'Checking Transaction Log'!$B:$B,8)</f>
        <v>925.9799999999999</v>
      </c>
      <c r="V12" s="273">
        <f t="shared" si="10"/>
        <v>-225.9799999999999</v>
      </c>
      <c r="W12" s="236">
        <f>SUMIFS('Checking Transaction Log'!$E:$E,'Checking Transaction Log'!$C:$C,"&gt;="&amp;W1,'Checking Transaction Log'!$C:$C,"&lt;="&amp;X1,'Checking Transaction Log'!$A:$A,"D",'Checking Transaction Log'!$B:$B,8)</f>
        <v>30.98</v>
      </c>
      <c r="X12" s="236">
        <f t="shared" si="11"/>
        <v>669.02</v>
      </c>
      <c r="Y12" s="276">
        <f>SUMIFS('Checking Transaction Log'!$E:$E,'Checking Transaction Log'!$C:$C,"&gt;="&amp;Y1,'Checking Transaction Log'!$C:$C,"&lt;="&amp;Z1,'Checking Transaction Log'!$A:$A,"D",'Checking Transaction Log'!$B:$B,8)</f>
        <v>0</v>
      </c>
      <c r="Z12" s="276">
        <f t="shared" si="12"/>
        <v>700</v>
      </c>
      <c r="AA12" s="278">
        <f>SUMIFS('Checking Transaction Log'!$E:$E,'Checking Transaction Log'!$C:$C,"&gt;="&amp;AA1,'Checking Transaction Log'!$C:$C,"&lt;="&amp;AB1,'Checking Transaction Log'!$A:$A,"D",'Checking Transaction Log'!$B:$B,8)</f>
        <v>0</v>
      </c>
      <c r="AB12" s="278">
        <f t="shared" si="13"/>
        <v>700</v>
      </c>
      <c r="AC12" s="280">
        <f>SUMIFS('Checking Transaction Log'!$E:$E,'Checking Transaction Log'!$C:$C,"&gt;="&amp;AC1,'Checking Transaction Log'!$C:$C,"&lt;="&amp;AD1,'Checking Transaction Log'!$A:$A,"D",'Checking Transaction Log'!$B:$B,8)</f>
        <v>0</v>
      </c>
      <c r="AD12" s="280">
        <f t="shared" si="14"/>
        <v>700</v>
      </c>
      <c r="AE12" s="282">
        <f>SUMIFS('Checking Transaction Log'!$E:$E,'Checking Transaction Log'!$C:$C,"&gt;="&amp;AE1,'Checking Transaction Log'!$C:$C,"&lt;="&amp;AF1,'Checking Transaction Log'!$A:$A,"D",'Checking Transaction Log'!$B:$B,8)</f>
        <v>0</v>
      </c>
      <c r="AF12" s="282">
        <f t="shared" si="15"/>
        <v>700</v>
      </c>
    </row>
    <row r="13" spans="1:32" ht="11.25" customHeight="1" x14ac:dyDescent="0.3">
      <c r="A13" s="284"/>
      <c r="B13" s="255"/>
      <c r="C13" s="287"/>
      <c r="D13" s="288"/>
      <c r="E13" s="290"/>
      <c r="F13" s="290"/>
      <c r="G13" s="269"/>
      <c r="H13" s="289"/>
      <c r="I13" s="270"/>
      <c r="J13" s="270"/>
      <c r="K13" s="232"/>
      <c r="L13" s="232"/>
      <c r="M13" s="273"/>
      <c r="N13" s="273"/>
      <c r="O13" s="236"/>
      <c r="P13" s="236"/>
      <c r="Q13" s="270"/>
      <c r="R13" s="270"/>
      <c r="S13" s="232"/>
      <c r="T13" s="232"/>
      <c r="U13" s="273"/>
      <c r="V13" s="273"/>
      <c r="W13" s="236"/>
      <c r="X13" s="236"/>
      <c r="Y13" s="276"/>
      <c r="Z13" s="276"/>
      <c r="AA13" s="278"/>
      <c r="AB13" s="278"/>
      <c r="AC13" s="280"/>
      <c r="AD13" s="280"/>
      <c r="AE13" s="282"/>
      <c r="AF13" s="282"/>
    </row>
    <row r="14" spans="1:32" ht="11.25" customHeight="1" x14ac:dyDescent="0.3">
      <c r="A14" s="284" t="str">
        <f>'Proposed Budget'!A14</f>
        <v>F</v>
      </c>
      <c r="B14" s="255">
        <f>'Proposed Budget'!B14</f>
        <v>9</v>
      </c>
      <c r="C14" s="287" t="str">
        <f>'Proposed Budget'!C14</f>
        <v>Rocket Mortgage</v>
      </c>
      <c r="D14" s="288">
        <f t="shared" ref="D14:D31" ca="1" si="17">(E14/(TODAY()-$I$1))*30.42</f>
        <v>1236.5884202764978</v>
      </c>
      <c r="E14" s="289">
        <f t="shared" ref="E14:E31" si="18">Q14+S14+U14+W14+Y14+AA14+AC14+AE14+I14+K14+M14+O14</f>
        <v>8821.16</v>
      </c>
      <c r="F14" s="289">
        <f t="shared" ref="F14:F31" si="19">J14+L14+N14+P14+R14+T14</f>
        <v>120.51999999999998</v>
      </c>
      <c r="G14" s="269">
        <f t="shared" ref="G14:G31" si="20">1-((E14/SUM(E14:F14)))</f>
        <v>1.3478451476680031E-2</v>
      </c>
      <c r="H14" s="289">
        <f>'Proposed Budget'!D14</f>
        <v>1285</v>
      </c>
      <c r="I14" s="270">
        <f>SUMIFS('Checking Transaction Log'!E:E,'Checking Transaction Log'!C:C,"&gt;="&amp;I1,'Checking Transaction Log'!C:C,"&lt;="&amp;J1,'Checking Transaction Log'!A:A,"F",'Checking Transaction Log'!B:B,9)</f>
        <v>1281.53</v>
      </c>
      <c r="J14" s="270">
        <f t="shared" ref="J14:J31" si="21">H14-I14</f>
        <v>3.4700000000000273</v>
      </c>
      <c r="K14" s="232">
        <f>SUMIFS('Checking Transaction Log'!E:E,'Checking Transaction Log'!C:C,"&gt;="&amp;K1,'Checking Transaction Log'!C:C,"&lt;="&amp;L1,'Checking Transaction Log'!A:A,"F",'Checking Transaction Log'!B:B,9)</f>
        <v>1281.53</v>
      </c>
      <c r="L14" s="232">
        <f t="shared" ref="L14:L31" si="22">H14-K14</f>
        <v>3.4700000000000273</v>
      </c>
      <c r="M14" s="273">
        <f>SUMIFS('Checking Transaction Log'!$E:$E,'Checking Transaction Log'!$C:$C,"&gt;="&amp;M1,'Checking Transaction Log'!$C:$C,"&lt;="&amp;N1,'Checking Transaction Log'!$A:$A,"F",'Checking Transaction Log'!$B:$B,9)</f>
        <v>1281.53</v>
      </c>
      <c r="N14" s="273">
        <f t="shared" ref="N14:N31" si="23">H14-M14</f>
        <v>3.4700000000000273</v>
      </c>
      <c r="O14" s="236">
        <f>SUMIFS('Checking Transaction Log'!$E:$E,'Checking Transaction Log'!$C:$C,"&gt;="&amp;O1,'Checking Transaction Log'!$C:$C,"&lt;="&amp;P1,'Checking Transaction Log'!$A:$A,"F",'Checking Transaction Log'!$B:$B,9)</f>
        <v>1281.53</v>
      </c>
      <c r="P14" s="236">
        <f t="shared" ref="P14:P31" si="24">H14-O14</f>
        <v>3.4700000000000273</v>
      </c>
      <c r="Q14" s="270">
        <f>SUMIFS('Checking Transaction Log'!$E:$E,'Checking Transaction Log'!$C:$C,"&gt;="&amp;Q1,'Checking Transaction Log'!$C:$C,"&lt;="&amp;R1,'Checking Transaction Log'!$A:$A,"F",'Checking Transaction Log'!$B:$B,9)</f>
        <v>1231.68</v>
      </c>
      <c r="R14" s="270">
        <f t="shared" ref="R14:R31" si="25">H14-Q14</f>
        <v>53.319999999999936</v>
      </c>
      <c r="S14" s="232">
        <f>SUMIFS('Checking Transaction Log'!$E:$E,'Checking Transaction Log'!$C:$C,"&gt;="&amp;S1,'Checking Transaction Log'!$C:$C,"&lt;="&amp;T1,'Checking Transaction Log'!$A:$A,"F",'Checking Transaction Log'!$B:$B,9)</f>
        <v>1231.68</v>
      </c>
      <c r="T14" s="232">
        <f t="shared" ref="T14:T31" si="26">H14-S14</f>
        <v>53.319999999999936</v>
      </c>
      <c r="U14" s="273">
        <f>SUMIFS('Checking Transaction Log'!$E:$E,'Checking Transaction Log'!$C:$C,"&gt;="&amp;U1,'Checking Transaction Log'!$C:$C,"&lt;="&amp;V1,'Checking Transaction Log'!$A:$A,"F",'Checking Transaction Log'!$B:$B,9)</f>
        <v>1231.68</v>
      </c>
      <c r="V14" s="273">
        <f t="shared" ref="V14:V31" si="27">H14-U14</f>
        <v>53.319999999999936</v>
      </c>
      <c r="W14" s="236">
        <f>SUMIFS('Checking Transaction Log'!$E:$E,'Checking Transaction Log'!$C:$C,"&gt;="&amp;W1,'Checking Transaction Log'!$C:$C,"&lt;="&amp;X1,'Checking Transaction Log'!$A:$A,"F",'Checking Transaction Log'!$B:$B,9)</f>
        <v>0</v>
      </c>
      <c r="X14" s="236">
        <f t="shared" ref="X14:X31" si="28">H14-W14</f>
        <v>1285</v>
      </c>
      <c r="Y14" s="276">
        <f>SUMIFS('Checking Transaction Log'!$E:$E,'Checking Transaction Log'!$C:$C,"&gt;="&amp;Y1,'Checking Transaction Log'!$C:$C,"&lt;="&amp;Z1,'Checking Transaction Log'!$A:$A,"F",'Checking Transaction Log'!$B:$B,9)</f>
        <v>0</v>
      </c>
      <c r="Z14" s="276">
        <f t="shared" ref="Z14:Z31" si="29">H14-Y14</f>
        <v>1285</v>
      </c>
      <c r="AA14" s="278">
        <f>SUMIFS('Checking Transaction Log'!$E:$E,'Checking Transaction Log'!$C:$C,"&gt;="&amp;AA1,'Checking Transaction Log'!$C:$C,"&lt;="&amp;AB1,'Checking Transaction Log'!$A:$A,"F",'Checking Transaction Log'!$B:$B,9)</f>
        <v>0</v>
      </c>
      <c r="AB14" s="278">
        <f t="shared" ref="AB14:AB31" si="30">H14-AA14</f>
        <v>1285</v>
      </c>
      <c r="AC14" s="280">
        <f>SUMIFS('Checking Transaction Log'!$E:$E,'Checking Transaction Log'!$C:$C,"&gt;="&amp;AC1,'Checking Transaction Log'!$C:$C,"&lt;="&amp;AD1,'Checking Transaction Log'!$A:$A,"F",'Checking Transaction Log'!$B:$B,9)</f>
        <v>0</v>
      </c>
      <c r="AD14" s="280">
        <f t="shared" ref="AD14:AD31" si="31">H14-AC14</f>
        <v>1285</v>
      </c>
      <c r="AE14" s="282">
        <f>SUMIFS('Checking Transaction Log'!$E:$E,'Checking Transaction Log'!$C:$C,"&gt;="&amp;AE1,'Checking Transaction Log'!$C:$C,"&lt;="&amp;AF1,'Checking Transaction Log'!$A:$A,"F",'Checking Transaction Log'!$B:$B,9)</f>
        <v>0</v>
      </c>
      <c r="AF14" s="282">
        <f t="shared" ref="AF14:AF31" si="32">H14-AE14</f>
        <v>1285</v>
      </c>
    </row>
    <row r="15" spans="1:32" ht="11.25" customHeight="1" x14ac:dyDescent="0.3">
      <c r="A15" s="284" t="str">
        <f>'Proposed Budget'!A15</f>
        <v>F</v>
      </c>
      <c r="B15" s="255">
        <f>'Proposed Budget'!B15</f>
        <v>10</v>
      </c>
      <c r="C15" s="287" t="str">
        <f>'Proposed Budget'!C15</f>
        <v>EH Roberts</v>
      </c>
      <c r="D15" s="288">
        <f t="shared" ca="1" si="17"/>
        <v>17.565096774193552</v>
      </c>
      <c r="E15" s="289">
        <f t="shared" si="18"/>
        <v>125.30000000000001</v>
      </c>
      <c r="F15" s="289">
        <f t="shared" si="19"/>
        <v>12.600000000000009</v>
      </c>
      <c r="G15" s="269">
        <f t="shared" si="20"/>
        <v>9.1370558375634681E-2</v>
      </c>
      <c r="H15" s="289">
        <f>'Proposed Budget'!D15</f>
        <v>20</v>
      </c>
      <c r="I15" s="270">
        <f>SUMIFS('Checking Transaction Log'!E:E,'Checking Transaction Log'!C:C,"&gt;="&amp;I1,'Checking Transaction Log'!C:C,"&lt;="&amp;J1,'Checking Transaction Log'!A:A,"F",'Checking Transaction Log'!B:B,10)</f>
        <v>17.899999999999999</v>
      </c>
      <c r="J15" s="270">
        <f t="shared" si="21"/>
        <v>2.1000000000000014</v>
      </c>
      <c r="K15" s="232">
        <f>SUMIFS('Checking Transaction Log'!E:E,'Checking Transaction Log'!C:C,"&gt;="&amp;K1,'Checking Transaction Log'!C:C,"&lt;="&amp;L1,'Checking Transaction Log'!A:A,"F",'Checking Transaction Log'!B:B,10)</f>
        <v>17.899999999999999</v>
      </c>
      <c r="L15" s="232">
        <f t="shared" si="22"/>
        <v>2.1000000000000014</v>
      </c>
      <c r="M15" s="273">
        <f>SUMIFS('Checking Transaction Log'!$E:$E,'Checking Transaction Log'!$C:$C,"&gt;="&amp;M1,'Checking Transaction Log'!$C:$C,"&lt;="&amp;N1,'Checking Transaction Log'!$A:$A,"F",'Checking Transaction Log'!$B:$B,10)</f>
        <v>17.899999999999999</v>
      </c>
      <c r="N15" s="273">
        <f t="shared" si="23"/>
        <v>2.1000000000000014</v>
      </c>
      <c r="O15" s="236">
        <f>SUMIFS('Checking Transaction Log'!$E:$E,'Checking Transaction Log'!$C:$C,"&gt;="&amp;O1,'Checking Transaction Log'!$C:$C,"&lt;="&amp;P1,'Checking Transaction Log'!$A:$A,"F",'Checking Transaction Log'!$B:$B,10)</f>
        <v>17.899999999999999</v>
      </c>
      <c r="P15" s="236">
        <f t="shared" si="24"/>
        <v>2.1000000000000014</v>
      </c>
      <c r="Q15" s="270">
        <f>SUMIFS('Checking Transaction Log'!$E:$E,'Checking Transaction Log'!$C:$C,"&gt;="&amp;Q1,'Checking Transaction Log'!$C:$C,"&lt;="&amp;R1,'Checking Transaction Log'!$A:$A,"F",'Checking Transaction Log'!$B:$B,10)</f>
        <v>17.899999999999999</v>
      </c>
      <c r="R15" s="270">
        <f t="shared" si="25"/>
        <v>2.1000000000000014</v>
      </c>
      <c r="S15" s="232">
        <f>SUMIFS('Checking Transaction Log'!$E:$E,'Checking Transaction Log'!$C:$C,"&gt;="&amp;S1,'Checking Transaction Log'!$C:$C,"&lt;="&amp;T1,'Checking Transaction Log'!$A:$A,"F",'Checking Transaction Log'!$B:$B,10)</f>
        <v>17.899999999999999</v>
      </c>
      <c r="T15" s="232">
        <f t="shared" si="26"/>
        <v>2.1000000000000014</v>
      </c>
      <c r="U15" s="273">
        <f>SUMIFS('Checking Transaction Log'!$E:$E,'Checking Transaction Log'!$C:$C,"&gt;="&amp;U1,'Checking Transaction Log'!$C:$C,"&lt;="&amp;V1,'Checking Transaction Log'!$A:$A,"F",'Checking Transaction Log'!$B:$B,10)</f>
        <v>17.899999999999999</v>
      </c>
      <c r="V15" s="273">
        <f t="shared" si="27"/>
        <v>2.1000000000000014</v>
      </c>
      <c r="W15" s="236">
        <f>SUMIFS('Checking Transaction Log'!$E:$E,'Checking Transaction Log'!$C:$C,"&gt;="&amp;W1,'Checking Transaction Log'!$C:$C,"&lt;="&amp;X1,'Checking Transaction Log'!$A:$A,"F",'Checking Transaction Log'!$B:$B,10)</f>
        <v>0</v>
      </c>
      <c r="X15" s="236">
        <f t="shared" si="28"/>
        <v>20</v>
      </c>
      <c r="Y15" s="276">
        <f>SUMIFS('Checking Transaction Log'!$E:$E,'Checking Transaction Log'!$C:$C,"&gt;="&amp;Y1,'Checking Transaction Log'!$C:$C,"&lt;="&amp;Z1,'Checking Transaction Log'!$A:$A,"F",'Checking Transaction Log'!$B:$B,10)</f>
        <v>0</v>
      </c>
      <c r="Z15" s="276">
        <f t="shared" si="29"/>
        <v>20</v>
      </c>
      <c r="AA15" s="278">
        <f>SUMIFS('Checking Transaction Log'!$E:$E,'Checking Transaction Log'!$C:$C,"&gt;="&amp;AA1,'Checking Transaction Log'!$C:$C,"&lt;="&amp;AB1,'Checking Transaction Log'!$A:$A,"F",'Checking Transaction Log'!$B:$B,10)</f>
        <v>0</v>
      </c>
      <c r="AB15" s="278">
        <f t="shared" si="30"/>
        <v>20</v>
      </c>
      <c r="AC15" s="280">
        <f>SUMIFS('Checking Transaction Log'!$E:$E,'Checking Transaction Log'!$C:$C,"&gt;="&amp;AC1,'Checking Transaction Log'!$C:$C,"&lt;="&amp;AD1,'Checking Transaction Log'!$A:$A,"F",'Checking Transaction Log'!$B:$B,10)</f>
        <v>0</v>
      </c>
      <c r="AD15" s="280">
        <f t="shared" si="31"/>
        <v>20</v>
      </c>
      <c r="AE15" s="282">
        <f>SUMIFS('Checking Transaction Log'!$E:$E,'Checking Transaction Log'!$C:$C,"&gt;="&amp;AE1,'Checking Transaction Log'!$C:$C,"&lt;="&amp;AF1,'Checking Transaction Log'!$A:$A,"F",'Checking Transaction Log'!$B:$B,10)</f>
        <v>0</v>
      </c>
      <c r="AF15" s="282">
        <f t="shared" si="32"/>
        <v>20</v>
      </c>
    </row>
    <row r="16" spans="1:32" ht="11.25" customHeight="1" x14ac:dyDescent="0.3">
      <c r="A16" s="284" t="str">
        <f>'Proposed Budget'!A16</f>
        <v>F</v>
      </c>
      <c r="B16" s="255">
        <f>'Proposed Budget'!B16</f>
        <v>11</v>
      </c>
      <c r="C16" s="287" t="str">
        <f>'Proposed Budget'!C16</f>
        <v>Verizon Wireless</v>
      </c>
      <c r="D16" s="288">
        <f t="shared" ca="1" si="17"/>
        <v>291.12921290322589</v>
      </c>
      <c r="E16" s="289">
        <f t="shared" si="18"/>
        <v>2076.7600000000002</v>
      </c>
      <c r="F16" s="289">
        <f t="shared" si="19"/>
        <v>-200.12000000000006</v>
      </c>
      <c r="G16" s="269">
        <f t="shared" si="20"/>
        <v>-0.10663739449228404</v>
      </c>
      <c r="H16" s="289">
        <f>'Proposed Budget'!D16</f>
        <v>270</v>
      </c>
      <c r="I16" s="270">
        <f>SUMIFS('Checking Transaction Log'!E:E,'Checking Transaction Log'!C:C,"&gt;="&amp;I1,'Checking Transaction Log'!C:C,"&lt;="&amp;J1,'Checking Transaction Log'!A:A,"F",'Checking Transaction Log'!B:B,11)</f>
        <v>267.95999999999998</v>
      </c>
      <c r="J16" s="270">
        <f t="shared" si="21"/>
        <v>2.0400000000000205</v>
      </c>
      <c r="K16" s="232">
        <f>SUMIFS('Checking Transaction Log'!E:E,'Checking Transaction Log'!C:C,"&gt;="&amp;K1,'Checking Transaction Log'!C:C,"&lt;="&amp;L1,'Checking Transaction Log'!A:A,"F",'Checking Transaction Log'!B:B,11)</f>
        <v>480.91</v>
      </c>
      <c r="L16" s="232">
        <f t="shared" si="22"/>
        <v>-210.91000000000003</v>
      </c>
      <c r="M16" s="273">
        <f>SUMIFS('Checking Transaction Log'!$E:$E,'Checking Transaction Log'!$C:$C,"&gt;="&amp;M1,'Checking Transaction Log'!$C:$C,"&lt;="&amp;N1,'Checking Transaction Log'!$A:$A,"F",'Checking Transaction Log'!$B:$B,11)</f>
        <v>267.91000000000003</v>
      </c>
      <c r="N16" s="273">
        <f t="shared" si="23"/>
        <v>2.089999999999975</v>
      </c>
      <c r="O16" s="236">
        <f>SUMIFS('Checking Transaction Log'!$E:$E,'Checking Transaction Log'!$C:$C,"&gt;="&amp;O1,'Checking Transaction Log'!$C:$C,"&lt;="&amp;P1,'Checking Transaction Log'!$A:$A,"F",'Checking Transaction Log'!$B:$B,11)</f>
        <v>267.91000000000003</v>
      </c>
      <c r="P16" s="236">
        <f t="shared" si="24"/>
        <v>2.089999999999975</v>
      </c>
      <c r="Q16" s="270">
        <f>SUMIFS('Checking Transaction Log'!$E:$E,'Checking Transaction Log'!$C:$C,"&gt;="&amp;Q1,'Checking Transaction Log'!$C:$C,"&lt;="&amp;R1,'Checking Transaction Log'!$A:$A,"F",'Checking Transaction Log'!$B:$B,11)</f>
        <v>267.68</v>
      </c>
      <c r="R16" s="270">
        <f t="shared" si="25"/>
        <v>2.3199999999999932</v>
      </c>
      <c r="S16" s="232">
        <f>SUMIFS('Checking Transaction Log'!$E:$E,'Checking Transaction Log'!$C:$C,"&gt;="&amp;S1,'Checking Transaction Log'!$C:$C,"&lt;="&amp;T1,'Checking Transaction Log'!$A:$A,"F",'Checking Transaction Log'!$B:$B,11)</f>
        <v>267.75</v>
      </c>
      <c r="T16" s="232">
        <f t="shared" si="26"/>
        <v>2.25</v>
      </c>
      <c r="U16" s="273">
        <f>SUMIFS('Checking Transaction Log'!$E:$E,'Checking Transaction Log'!$C:$C,"&gt;="&amp;U1,'Checking Transaction Log'!$C:$C,"&lt;="&amp;V1,'Checking Transaction Log'!$A:$A,"F",'Checking Transaction Log'!$B:$B,11)</f>
        <v>256.64</v>
      </c>
      <c r="V16" s="273">
        <f t="shared" si="27"/>
        <v>13.360000000000014</v>
      </c>
      <c r="W16" s="236">
        <f>SUMIFS('Checking Transaction Log'!$E:$E,'Checking Transaction Log'!$C:$C,"&gt;="&amp;W1,'Checking Transaction Log'!$C:$C,"&lt;="&amp;X1,'Checking Transaction Log'!$A:$A,"F",'Checking Transaction Log'!$B:$B,11)</f>
        <v>0</v>
      </c>
      <c r="X16" s="236">
        <f t="shared" si="28"/>
        <v>270</v>
      </c>
      <c r="Y16" s="276">
        <f>SUMIFS('Checking Transaction Log'!$E:$E,'Checking Transaction Log'!$C:$C,"&gt;="&amp;Y1,'Checking Transaction Log'!$C:$C,"&lt;="&amp;Z1,'Checking Transaction Log'!$A:$A,"F",'Checking Transaction Log'!$B:$B,11)</f>
        <v>0</v>
      </c>
      <c r="Z16" s="276">
        <f t="shared" si="29"/>
        <v>270</v>
      </c>
      <c r="AA16" s="278">
        <f>SUMIFS('Checking Transaction Log'!$E:$E,'Checking Transaction Log'!$C:$C,"&gt;="&amp;AA1,'Checking Transaction Log'!$C:$C,"&lt;="&amp;AB1,'Checking Transaction Log'!$A:$A,"F",'Checking Transaction Log'!$B:$B,11)</f>
        <v>0</v>
      </c>
      <c r="AB16" s="278">
        <f t="shared" si="30"/>
        <v>270</v>
      </c>
      <c r="AC16" s="280">
        <f>SUMIFS('Checking Transaction Log'!$E:$E,'Checking Transaction Log'!$C:$C,"&gt;="&amp;AC1,'Checking Transaction Log'!$C:$C,"&lt;="&amp;AD1,'Checking Transaction Log'!$A:$A,"F",'Checking Transaction Log'!$B:$B,11)</f>
        <v>0</v>
      </c>
      <c r="AD16" s="280">
        <f t="shared" si="31"/>
        <v>270</v>
      </c>
      <c r="AE16" s="282">
        <f>SUMIFS('Checking Transaction Log'!$E:$E,'Checking Transaction Log'!$C:$C,"&gt;="&amp;AE1,'Checking Transaction Log'!$C:$C,"&lt;="&amp;AF1,'Checking Transaction Log'!$A:$A,"F",'Checking Transaction Log'!$B:$B,11)</f>
        <v>0</v>
      </c>
      <c r="AF16" s="282">
        <f t="shared" si="32"/>
        <v>270</v>
      </c>
    </row>
    <row r="17" spans="1:32" ht="11.25" customHeight="1" x14ac:dyDescent="0.3">
      <c r="A17" s="284" t="str">
        <f>'Proposed Budget'!A17</f>
        <v>F</v>
      </c>
      <c r="B17" s="255">
        <f>'Proposed Budget'!B17</f>
        <v>12</v>
      </c>
      <c r="C17" s="287" t="str">
        <f>'Proposed Budget'!C17</f>
        <v>Spectrum TV/Internet</v>
      </c>
      <c r="D17" s="288">
        <f t="shared" ca="1" si="17"/>
        <v>202.13879723502305</v>
      </c>
      <c r="E17" s="289">
        <f t="shared" si="18"/>
        <v>1441.95</v>
      </c>
      <c r="F17" s="289">
        <f t="shared" si="19"/>
        <v>-7.4699999999999989</v>
      </c>
      <c r="G17" s="269">
        <f t="shared" si="20"/>
        <v>-5.2074619374267161E-3</v>
      </c>
      <c r="H17" s="289">
        <f>'Proposed Budget'!D17</f>
        <v>205</v>
      </c>
      <c r="I17" s="270">
        <f>SUMIFS('Checking Transaction Log'!E:E,'Checking Transaction Log'!C:C,"&gt;="&amp;I1,'Checking Transaction Log'!C:C,"&lt;="&amp;J1,'Checking Transaction Log'!A:A,"F",'Checking Transaction Log'!B:B,12)</f>
        <v>204.83</v>
      </c>
      <c r="J17" s="270">
        <f t="shared" si="21"/>
        <v>0.16999999999998749</v>
      </c>
      <c r="K17" s="232">
        <f>SUMIFS('Checking Transaction Log'!E:E,'Checking Transaction Log'!C:C,"&gt;="&amp;K1,'Checking Transaction Log'!C:C,"&lt;="&amp;L1,'Checking Transaction Log'!A:A,"F",'Checking Transaction Log'!B:B,12)</f>
        <v>204.47</v>
      </c>
      <c r="L17" s="232">
        <f t="shared" si="22"/>
        <v>0.53000000000000114</v>
      </c>
      <c r="M17" s="273">
        <f>SUMIFS('Checking Transaction Log'!$E:$E,'Checking Transaction Log'!$C:$C,"&gt;="&amp;M1,'Checking Transaction Log'!$C:$C,"&lt;="&amp;N1,'Checking Transaction Log'!$A:$A,"F",'Checking Transaction Log'!$B:$B,12)</f>
        <v>204.47</v>
      </c>
      <c r="N17" s="273">
        <f t="shared" si="23"/>
        <v>0.53000000000000114</v>
      </c>
      <c r="O17" s="236">
        <f>SUMIFS('Checking Transaction Log'!$E:$E,'Checking Transaction Log'!$C:$C,"&gt;="&amp;O1,'Checking Transaction Log'!$C:$C,"&lt;="&amp;P1,'Checking Transaction Log'!$A:$A,"F",'Checking Transaction Log'!$B:$B,12)</f>
        <v>214.74</v>
      </c>
      <c r="P17" s="236">
        <f t="shared" si="24"/>
        <v>-9.7400000000000091</v>
      </c>
      <c r="Q17" s="270">
        <f>SUMIFS('Checking Transaction Log'!$E:$E,'Checking Transaction Log'!$C:$C,"&gt;="&amp;Q1,'Checking Transaction Log'!$C:$C,"&lt;="&amp;R1,'Checking Transaction Log'!$A:$A,"F",'Checking Transaction Log'!$B:$B,12)</f>
        <v>204.48</v>
      </c>
      <c r="R17" s="270">
        <f t="shared" si="25"/>
        <v>0.52000000000001023</v>
      </c>
      <c r="S17" s="232">
        <f>SUMIFS('Checking Transaction Log'!$E:$E,'Checking Transaction Log'!$C:$C,"&gt;="&amp;S1,'Checking Transaction Log'!$C:$C,"&lt;="&amp;T1,'Checking Transaction Log'!$A:$A,"F",'Checking Transaction Log'!$B:$B,12)</f>
        <v>204.48</v>
      </c>
      <c r="T17" s="232">
        <f t="shared" si="26"/>
        <v>0.52000000000001023</v>
      </c>
      <c r="U17" s="273">
        <f>SUMIFS('Checking Transaction Log'!$E:$E,'Checking Transaction Log'!$C:$C,"&gt;="&amp;U1,'Checking Transaction Log'!$C:$C,"&lt;="&amp;V1,'Checking Transaction Log'!$A:$A,"F",'Checking Transaction Log'!$B:$B,12)</f>
        <v>204.48</v>
      </c>
      <c r="V17" s="273">
        <f t="shared" si="27"/>
        <v>0.52000000000001023</v>
      </c>
      <c r="W17" s="236">
        <f>SUMIFS('Checking Transaction Log'!$E:$E,'Checking Transaction Log'!$C:$C,"&gt;="&amp;W1,'Checking Transaction Log'!$C:$C,"&lt;="&amp;X1,'Checking Transaction Log'!$A:$A,"F",'Checking Transaction Log'!$B:$B,12)</f>
        <v>0</v>
      </c>
      <c r="X17" s="236">
        <f t="shared" si="28"/>
        <v>205</v>
      </c>
      <c r="Y17" s="276">
        <f>SUMIFS('Checking Transaction Log'!$E:$E,'Checking Transaction Log'!$C:$C,"&gt;="&amp;Y1,'Checking Transaction Log'!$C:$C,"&lt;="&amp;Z1,'Checking Transaction Log'!$A:$A,"F",'Checking Transaction Log'!$B:$B,12)</f>
        <v>0</v>
      </c>
      <c r="Z17" s="276">
        <f t="shared" si="29"/>
        <v>205</v>
      </c>
      <c r="AA17" s="278">
        <f>SUMIFS('Checking Transaction Log'!$E:$E,'Checking Transaction Log'!$C:$C,"&gt;="&amp;AA1,'Checking Transaction Log'!$C:$C,"&lt;="&amp;AB1,'Checking Transaction Log'!$A:$A,"F",'Checking Transaction Log'!$B:$B,12)</f>
        <v>0</v>
      </c>
      <c r="AB17" s="278">
        <f t="shared" si="30"/>
        <v>205</v>
      </c>
      <c r="AC17" s="280">
        <f>SUMIFS('Checking Transaction Log'!$E:$E,'Checking Transaction Log'!$C:$C,"&gt;="&amp;AC1,'Checking Transaction Log'!$C:$C,"&lt;="&amp;AD1,'Checking Transaction Log'!$A:$A,"F",'Checking Transaction Log'!$B:$B,12)</f>
        <v>0</v>
      </c>
      <c r="AD17" s="280">
        <f t="shared" si="31"/>
        <v>205</v>
      </c>
      <c r="AE17" s="282">
        <f>SUMIFS('Checking Transaction Log'!$E:$E,'Checking Transaction Log'!$C:$C,"&gt;="&amp;AE1,'Checking Transaction Log'!$C:$C,"&lt;="&amp;AF1,'Checking Transaction Log'!$A:$A,"F",'Checking Transaction Log'!$B:$B,12)</f>
        <v>0</v>
      </c>
      <c r="AF17" s="282">
        <f t="shared" si="32"/>
        <v>205</v>
      </c>
    </row>
    <row r="18" spans="1:32" ht="11.25" customHeight="1" x14ac:dyDescent="0.3">
      <c r="A18" s="284" t="str">
        <f>'Proposed Budget'!A18</f>
        <v>F</v>
      </c>
      <c r="B18" s="255">
        <f>'Proposed Budget'!B18</f>
        <v>13</v>
      </c>
      <c r="C18" s="287" t="str">
        <f>'Proposed Budget'!C18</f>
        <v>First Energy</v>
      </c>
      <c r="D18" s="288">
        <f t="shared" ca="1" si="17"/>
        <v>144.34079723502308</v>
      </c>
      <c r="E18" s="289">
        <f t="shared" si="18"/>
        <v>1029.6500000000001</v>
      </c>
      <c r="F18" s="289">
        <f t="shared" si="19"/>
        <v>268.68</v>
      </c>
      <c r="G18" s="269">
        <f t="shared" si="20"/>
        <v>0.20694276493649533</v>
      </c>
      <c r="H18" s="289">
        <f>'Proposed Budget'!D18</f>
        <v>180</v>
      </c>
      <c r="I18" s="270">
        <f>SUMIFS('Checking Transaction Log'!E:E,'Checking Transaction Log'!C:C,"&gt;="&amp;I1,'Checking Transaction Log'!C:C,"&lt;="&amp;J1,'Checking Transaction Log'!A:A,"F",'Checking Transaction Log'!B:B,13)</f>
        <v>167.42</v>
      </c>
      <c r="J18" s="270">
        <f t="shared" si="21"/>
        <v>12.580000000000013</v>
      </c>
      <c r="K18" s="232">
        <f>SUMIFS('Checking Transaction Log'!E:E,'Checking Transaction Log'!C:C,"&gt;="&amp;K1,'Checking Transaction Log'!C:C,"&lt;="&amp;L1,'Checking Transaction Log'!A:A,"F",'Checking Transaction Log'!B:B,13)</f>
        <v>159.35</v>
      </c>
      <c r="L18" s="232">
        <f t="shared" si="22"/>
        <v>20.650000000000006</v>
      </c>
      <c r="M18" s="273">
        <f>SUMIFS('Checking Transaction Log'!$E:$E,'Checking Transaction Log'!$C:$C,"&gt;="&amp;M1,'Checking Transaction Log'!$C:$C,"&lt;="&amp;N1,'Checking Transaction Log'!$A:$A,"F",'Checking Transaction Log'!$B:$B,13)</f>
        <v>134.93</v>
      </c>
      <c r="N18" s="273">
        <f t="shared" si="23"/>
        <v>45.069999999999993</v>
      </c>
      <c r="O18" s="236">
        <f>SUMIFS('Checking Transaction Log'!$E:$E,'Checking Transaction Log'!$C:$C,"&gt;="&amp;O1,'Checking Transaction Log'!$C:$C,"&lt;="&amp;P1,'Checking Transaction Log'!$A:$A,"F",'Checking Transaction Log'!$B:$B,13)</f>
        <v>104.98</v>
      </c>
      <c r="P18" s="236">
        <f t="shared" si="24"/>
        <v>75.02</v>
      </c>
      <c r="Q18" s="270">
        <f>SUMIFS('Checking Transaction Log'!$E:$E,'Checking Transaction Log'!$C:$C,"&gt;="&amp;Q1,'Checking Transaction Log'!$C:$C,"&lt;="&amp;R1,'Checking Transaction Log'!$A:$A,"F",'Checking Transaction Log'!$B:$B,13)</f>
        <v>122.18</v>
      </c>
      <c r="R18" s="270">
        <f t="shared" si="25"/>
        <v>57.819999999999993</v>
      </c>
      <c r="S18" s="232">
        <f>SUMIFS('Checking Transaction Log'!$E:$E,'Checking Transaction Log'!$C:$C,"&gt;="&amp;S1,'Checking Transaction Log'!$C:$C,"&lt;="&amp;T1,'Checking Transaction Log'!$A:$A,"F",'Checking Transaction Log'!$B:$B,13)</f>
        <v>122.46</v>
      </c>
      <c r="T18" s="232">
        <f t="shared" si="26"/>
        <v>57.540000000000006</v>
      </c>
      <c r="U18" s="273">
        <f>SUMIFS('Checking Transaction Log'!$E:$E,'Checking Transaction Log'!$C:$C,"&gt;="&amp;U1,'Checking Transaction Log'!$C:$C,"&lt;="&amp;V1,'Checking Transaction Log'!$A:$A,"F",'Checking Transaction Log'!$B:$B,13)</f>
        <v>218.33</v>
      </c>
      <c r="V18" s="273">
        <f t="shared" si="27"/>
        <v>-38.330000000000013</v>
      </c>
      <c r="W18" s="236">
        <f>SUMIFS('Checking Transaction Log'!$E:$E,'Checking Transaction Log'!$C:$C,"&gt;="&amp;W1,'Checking Transaction Log'!$C:$C,"&lt;="&amp;X1,'Checking Transaction Log'!$A:$A,"F",'Checking Transaction Log'!$B:$B,13)</f>
        <v>0</v>
      </c>
      <c r="X18" s="236">
        <f t="shared" si="28"/>
        <v>180</v>
      </c>
      <c r="Y18" s="276">
        <f>SUMIFS('Checking Transaction Log'!$E:$E,'Checking Transaction Log'!$C:$C,"&gt;="&amp;Y1,'Checking Transaction Log'!$C:$C,"&lt;="&amp;Z1,'Checking Transaction Log'!$A:$A,"F",'Checking Transaction Log'!$B:$B,13)</f>
        <v>0</v>
      </c>
      <c r="Z18" s="276">
        <f t="shared" si="29"/>
        <v>180</v>
      </c>
      <c r="AA18" s="278">
        <f>SUMIFS('Checking Transaction Log'!$E:$E,'Checking Transaction Log'!$C:$C,"&gt;="&amp;AA1,'Checking Transaction Log'!$C:$C,"&lt;="&amp;AB1,'Checking Transaction Log'!$A:$A,"F",'Checking Transaction Log'!$B:$B,13)</f>
        <v>0</v>
      </c>
      <c r="AB18" s="278">
        <f t="shared" si="30"/>
        <v>180</v>
      </c>
      <c r="AC18" s="280">
        <f>SUMIFS('Checking Transaction Log'!$E:$E,'Checking Transaction Log'!$C:$C,"&gt;="&amp;AC1,'Checking Transaction Log'!$C:$C,"&lt;="&amp;AD1,'Checking Transaction Log'!$A:$A,"F",'Checking Transaction Log'!$B:$B,13)</f>
        <v>0</v>
      </c>
      <c r="AD18" s="280">
        <f t="shared" si="31"/>
        <v>180</v>
      </c>
      <c r="AE18" s="282">
        <f>SUMIFS('Checking Transaction Log'!$E:$E,'Checking Transaction Log'!$C:$C,"&gt;="&amp;AE1,'Checking Transaction Log'!$C:$C,"&lt;="&amp;AF1,'Checking Transaction Log'!$A:$A,"F",'Checking Transaction Log'!$B:$B,13)</f>
        <v>0</v>
      </c>
      <c r="AF18" s="282">
        <f t="shared" si="32"/>
        <v>180</v>
      </c>
    </row>
    <row r="19" spans="1:32" ht="11.25" customHeight="1" x14ac:dyDescent="0.3">
      <c r="A19" s="284" t="str">
        <f>'Proposed Budget'!A19</f>
        <v>F</v>
      </c>
      <c r="B19" s="255">
        <f>'Proposed Budget'!B19</f>
        <v>14</v>
      </c>
      <c r="C19" s="287" t="str">
        <f>'Proposed Budget'!C19</f>
        <v>Vivint Home Security</v>
      </c>
      <c r="D19" s="288">
        <f t="shared" ca="1" si="17"/>
        <v>143.57118525345626</v>
      </c>
      <c r="E19" s="289">
        <f t="shared" si="18"/>
        <v>1024.1600000000001</v>
      </c>
      <c r="F19" s="289">
        <f t="shared" si="19"/>
        <v>23.009999999999962</v>
      </c>
      <c r="G19" s="269">
        <f t="shared" si="20"/>
        <v>2.1973509554322646E-2</v>
      </c>
      <c r="H19" s="289">
        <f>'Proposed Budget'!D19</f>
        <v>140</v>
      </c>
      <c r="I19" s="270">
        <f>SUMIFS('Checking Transaction Log'!E:E,'Checking Transaction Log'!C:C,"&gt;="&amp;I1,'Checking Transaction Log'!C:C,"&lt;="&amp;J1,'Checking Transaction Log'!A:A,"F",'Checking Transaction Log'!B:B,14)</f>
        <v>135.41</v>
      </c>
      <c r="J19" s="270">
        <f t="shared" si="21"/>
        <v>4.5900000000000034</v>
      </c>
      <c r="K19" s="232">
        <f>SUMIFS('Checking Transaction Log'!E:E,'Checking Transaction Log'!C:C,"&gt;="&amp;K1,'Checking Transaction Log'!C:C,"&lt;="&amp;L1,'Checking Transaction Log'!A:A,"F",'Checking Transaction Log'!B:B,14)</f>
        <v>135.41</v>
      </c>
      <c r="L19" s="232">
        <f t="shared" si="22"/>
        <v>4.5900000000000034</v>
      </c>
      <c r="M19" s="273">
        <f>SUMIFS('Checking Transaction Log'!$E:$E,'Checking Transaction Log'!$C:$C,"&gt;="&amp;M1,'Checking Transaction Log'!$C:$C,"&lt;="&amp;N1,'Checking Transaction Log'!$A:$A,"F",'Checking Transaction Log'!$B:$B,14)</f>
        <v>135.41</v>
      </c>
      <c r="N19" s="273">
        <f t="shared" si="23"/>
        <v>4.5900000000000034</v>
      </c>
      <c r="O19" s="236">
        <f>SUMIFS('Checking Transaction Log'!$E:$E,'Checking Transaction Log'!$C:$C,"&gt;="&amp;O1,'Checking Transaction Log'!$C:$C,"&lt;="&amp;P1,'Checking Transaction Log'!$A:$A,"F",'Checking Transaction Log'!$B:$B,14)</f>
        <v>136.92000000000002</v>
      </c>
      <c r="P19" s="236">
        <f t="shared" si="24"/>
        <v>3.0799999999999841</v>
      </c>
      <c r="Q19" s="270">
        <f>SUMIFS('Checking Transaction Log'!$E:$E,'Checking Transaction Log'!$C:$C,"&gt;="&amp;Q1,'Checking Transaction Log'!$C:$C,"&lt;="&amp;R1,'Checking Transaction Log'!$A:$A,"F",'Checking Transaction Log'!$B:$B,14)</f>
        <v>136.92000000000002</v>
      </c>
      <c r="R19" s="270">
        <f t="shared" si="25"/>
        <v>3.0799999999999841</v>
      </c>
      <c r="S19" s="232">
        <f>SUMIFS('Checking Transaction Log'!$E:$E,'Checking Transaction Log'!$C:$C,"&gt;="&amp;S1,'Checking Transaction Log'!$C:$C,"&lt;="&amp;T1,'Checking Transaction Log'!$A:$A,"F",'Checking Transaction Log'!$B:$B,14)</f>
        <v>136.92000000000002</v>
      </c>
      <c r="T19" s="232">
        <f t="shared" si="26"/>
        <v>3.0799999999999841</v>
      </c>
      <c r="U19" s="273">
        <f>SUMIFS('Checking Transaction Log'!$E:$E,'Checking Transaction Log'!$C:$C,"&gt;="&amp;U1,'Checking Transaction Log'!$C:$C,"&lt;="&amp;V1,'Checking Transaction Log'!$A:$A,"F",'Checking Transaction Log'!$B:$B,14)</f>
        <v>136.92000000000002</v>
      </c>
      <c r="V19" s="273">
        <f t="shared" si="27"/>
        <v>3.0799999999999841</v>
      </c>
      <c r="W19" s="236">
        <f>SUMIFS('Checking Transaction Log'!$E:$E,'Checking Transaction Log'!$C:$C,"&gt;="&amp;W1,'Checking Transaction Log'!$C:$C,"&lt;="&amp;X1,'Checking Transaction Log'!$A:$A,"F",'Checking Transaction Log'!$B:$B,14)</f>
        <v>70.25</v>
      </c>
      <c r="X19" s="236">
        <f t="shared" si="28"/>
        <v>69.75</v>
      </c>
      <c r="Y19" s="276">
        <f>SUMIFS('Checking Transaction Log'!$E:$E,'Checking Transaction Log'!$C:$C,"&gt;="&amp;Y1,'Checking Transaction Log'!$C:$C,"&lt;="&amp;Z1,'Checking Transaction Log'!$A:$A,"F",'Checking Transaction Log'!$B:$B,14)</f>
        <v>0</v>
      </c>
      <c r="Z19" s="276">
        <f t="shared" si="29"/>
        <v>140</v>
      </c>
      <c r="AA19" s="278">
        <f>SUMIFS('Checking Transaction Log'!$E:$E,'Checking Transaction Log'!$C:$C,"&gt;="&amp;AA1,'Checking Transaction Log'!$C:$C,"&lt;="&amp;AB1,'Checking Transaction Log'!$A:$A,"F",'Checking Transaction Log'!$B:$B,14)</f>
        <v>0</v>
      </c>
      <c r="AB19" s="278">
        <f t="shared" si="30"/>
        <v>140</v>
      </c>
      <c r="AC19" s="280">
        <f>SUMIFS('Checking Transaction Log'!$E:$E,'Checking Transaction Log'!$C:$C,"&gt;="&amp;AC1,'Checking Transaction Log'!$C:$C,"&lt;="&amp;AD1,'Checking Transaction Log'!$A:$A,"F",'Checking Transaction Log'!$B:$B,14)</f>
        <v>0</v>
      </c>
      <c r="AD19" s="280">
        <f t="shared" si="31"/>
        <v>140</v>
      </c>
      <c r="AE19" s="282">
        <f>SUMIFS('Checking Transaction Log'!$E:$E,'Checking Transaction Log'!$C:$C,"&gt;="&amp;AE1,'Checking Transaction Log'!$C:$C,"&lt;="&amp;AF1,'Checking Transaction Log'!$A:$A,"F",'Checking Transaction Log'!$B:$B,14)</f>
        <v>0</v>
      </c>
      <c r="AF19" s="282">
        <f t="shared" si="32"/>
        <v>140</v>
      </c>
    </row>
    <row r="20" spans="1:32" ht="11.25" customHeight="1" x14ac:dyDescent="0.3">
      <c r="A20" s="284" t="str">
        <f>'Proposed Budget'!A20</f>
        <v>F</v>
      </c>
      <c r="B20" s="255">
        <f>'Proposed Budget'!B20</f>
        <v>15</v>
      </c>
      <c r="C20" s="287" t="str">
        <f>'Proposed Budget'!C20</f>
        <v>Columbia Gas</v>
      </c>
      <c r="D20" s="288">
        <f t="shared" ca="1" si="17"/>
        <v>123.32155852534564</v>
      </c>
      <c r="E20" s="289">
        <f t="shared" si="18"/>
        <v>879.71</v>
      </c>
      <c r="F20" s="289">
        <f t="shared" si="19"/>
        <v>-215.66</v>
      </c>
      <c r="G20" s="269">
        <f t="shared" si="20"/>
        <v>-0.3247647014532038</v>
      </c>
      <c r="H20" s="289">
        <f>'Proposed Budget'!D20</f>
        <v>100</v>
      </c>
      <c r="I20" s="270">
        <f>SUMIFS('Checking Transaction Log'!E:E,'Checking Transaction Log'!C:C,"&gt;="&amp;I1,'Checking Transaction Log'!C:C,"&lt;="&amp;J1,'Checking Transaction Log'!A:A,"F",'Checking Transaction Log'!B:B,15)</f>
        <v>132.4</v>
      </c>
      <c r="J20" s="270">
        <f t="shared" si="21"/>
        <v>-32.400000000000006</v>
      </c>
      <c r="K20" s="232">
        <f>SUMIFS('Checking Transaction Log'!E:E,'Checking Transaction Log'!C:C,"&gt;="&amp;K1,'Checking Transaction Log'!C:C,"&lt;="&amp;L1,'Checking Transaction Log'!A:A,"F",'Checking Transaction Log'!B:B,15)</f>
        <v>188.16</v>
      </c>
      <c r="L20" s="232">
        <f t="shared" si="22"/>
        <v>-88.16</v>
      </c>
      <c r="M20" s="273">
        <f>SUMIFS('Checking Transaction Log'!$E:$E,'Checking Transaction Log'!$C:$C,"&gt;="&amp;M1,'Checking Transaction Log'!$C:$C,"&lt;="&amp;N1,'Checking Transaction Log'!$A:$A,"F",'Checking Transaction Log'!$B:$B,15)</f>
        <v>175.09</v>
      </c>
      <c r="N20" s="273">
        <f t="shared" si="23"/>
        <v>-75.09</v>
      </c>
      <c r="O20" s="236">
        <f>SUMIFS('Checking Transaction Log'!$E:$E,'Checking Transaction Log'!$C:$C,"&gt;="&amp;O1,'Checking Transaction Log'!$C:$C,"&lt;="&amp;P1,'Checking Transaction Log'!$A:$A,"F",'Checking Transaction Log'!$B:$B,15)</f>
        <v>131.22999999999999</v>
      </c>
      <c r="P20" s="236">
        <f t="shared" si="24"/>
        <v>-31.22999999999999</v>
      </c>
      <c r="Q20" s="270">
        <f>SUMIFS('Checking Transaction Log'!$E:$E,'Checking Transaction Log'!$C:$C,"&gt;="&amp;Q1,'Checking Transaction Log'!$C:$C,"&lt;="&amp;R1,'Checking Transaction Log'!$A:$A,"F",'Checking Transaction Log'!$B:$B,15)</f>
        <v>101.37</v>
      </c>
      <c r="R20" s="270">
        <f t="shared" si="25"/>
        <v>-1.3700000000000045</v>
      </c>
      <c r="S20" s="232">
        <f>SUMIFS('Checking Transaction Log'!$E:$E,'Checking Transaction Log'!$C:$C,"&gt;="&amp;S1,'Checking Transaction Log'!$C:$C,"&lt;="&amp;T1,'Checking Transaction Log'!$A:$A,"F",'Checking Transaction Log'!$B:$B,15)</f>
        <v>87.41</v>
      </c>
      <c r="T20" s="232">
        <f t="shared" si="26"/>
        <v>12.590000000000003</v>
      </c>
      <c r="U20" s="273">
        <f>SUMIFS('Checking Transaction Log'!$E:$E,'Checking Transaction Log'!$C:$C,"&gt;="&amp;U1,'Checking Transaction Log'!$C:$C,"&lt;="&amp;V1,'Checking Transaction Log'!$A:$A,"F",'Checking Transaction Log'!$B:$B,15)</f>
        <v>64.05</v>
      </c>
      <c r="V20" s="273">
        <f t="shared" si="27"/>
        <v>35.950000000000003</v>
      </c>
      <c r="W20" s="236">
        <f>SUMIFS('Checking Transaction Log'!$E:$E,'Checking Transaction Log'!$C:$C,"&gt;="&amp;W1,'Checking Transaction Log'!$C:$C,"&lt;="&amp;X1,'Checking Transaction Log'!$A:$A,"F",'Checking Transaction Log'!$B:$B,15)</f>
        <v>0</v>
      </c>
      <c r="X20" s="236">
        <f t="shared" si="28"/>
        <v>100</v>
      </c>
      <c r="Y20" s="276">
        <f>SUMIFS('Checking Transaction Log'!$E:$E,'Checking Transaction Log'!$C:$C,"&gt;="&amp;Y1,'Checking Transaction Log'!$C:$C,"&lt;="&amp;Z1,'Checking Transaction Log'!$A:$A,"F",'Checking Transaction Log'!$B:$B,15)</f>
        <v>0</v>
      </c>
      <c r="Z20" s="276">
        <f t="shared" si="29"/>
        <v>100</v>
      </c>
      <c r="AA20" s="278">
        <f>SUMIFS('Checking Transaction Log'!$E:$E,'Checking Transaction Log'!$C:$C,"&gt;="&amp;AA1,'Checking Transaction Log'!$C:$C,"&lt;="&amp;AB1,'Checking Transaction Log'!$A:$A,"F",'Checking Transaction Log'!$B:$B,15)</f>
        <v>0</v>
      </c>
      <c r="AB20" s="278">
        <f t="shared" si="30"/>
        <v>100</v>
      </c>
      <c r="AC20" s="280">
        <f>SUMIFS('Checking Transaction Log'!$E:$E,'Checking Transaction Log'!$C:$C,"&gt;="&amp;AC1,'Checking Transaction Log'!$C:$C,"&lt;="&amp;AD1,'Checking Transaction Log'!$A:$A,"F",'Checking Transaction Log'!$B:$B,15)</f>
        <v>0</v>
      </c>
      <c r="AD20" s="280">
        <f t="shared" si="31"/>
        <v>100</v>
      </c>
      <c r="AE20" s="282">
        <f>SUMIFS('Checking Transaction Log'!$E:$E,'Checking Transaction Log'!$C:$C,"&gt;="&amp;AE1,'Checking Transaction Log'!$C:$C,"&lt;="&amp;AF1,'Checking Transaction Log'!$A:$A,"F",'Checking Transaction Log'!$B:$B,15)</f>
        <v>0</v>
      </c>
      <c r="AF20" s="282">
        <f t="shared" si="32"/>
        <v>100</v>
      </c>
    </row>
    <row r="21" spans="1:32" ht="11.25" customHeight="1" x14ac:dyDescent="0.3">
      <c r="A21" s="284" t="str">
        <f>'Proposed Budget'!A21</f>
        <v>F</v>
      </c>
      <c r="B21" s="255">
        <f>'Proposed Budget'!B21</f>
        <v>16</v>
      </c>
      <c r="C21" s="287" t="str">
        <f>'Proposed Budget'!C21</f>
        <v>Medical Bills</v>
      </c>
      <c r="D21" s="288">
        <f t="shared" ca="1" si="17"/>
        <v>125.79721382488479</v>
      </c>
      <c r="E21" s="289">
        <f t="shared" si="18"/>
        <v>897.36999999999989</v>
      </c>
      <c r="F21" s="289">
        <f t="shared" si="19"/>
        <v>-897.36999999999989</v>
      </c>
      <c r="G21" s="269" t="e">
        <f t="shared" si="20"/>
        <v>#DIV/0!</v>
      </c>
      <c r="H21" s="289">
        <f>'Proposed Budget'!D21</f>
        <v>0</v>
      </c>
      <c r="I21" s="270">
        <f>SUMIFS('Checking Transaction Log'!E:E,'Checking Transaction Log'!C:C,"&gt;="&amp;I1,'Checking Transaction Log'!C:C,"&lt;="&amp;J1,'Checking Transaction Log'!A:A,"F",'Checking Transaction Log'!B:B,16)</f>
        <v>0</v>
      </c>
      <c r="J21" s="270">
        <f t="shared" si="21"/>
        <v>0</v>
      </c>
      <c r="K21" s="232">
        <f>SUMIFS('Checking Transaction Log'!E:E,'Checking Transaction Log'!C:C,"&gt;="&amp;K1,'Checking Transaction Log'!C:C,"&lt;="&amp;L1,'Checking Transaction Log'!A:A,"F",'Checking Transaction Log'!B:B,16)</f>
        <v>0</v>
      </c>
      <c r="L21" s="232">
        <f t="shared" si="22"/>
        <v>0</v>
      </c>
      <c r="M21" s="273">
        <f>SUMIFS('Checking Transaction Log'!$E:$E,'Checking Transaction Log'!$C:$C,"&gt;="&amp;M1,'Checking Transaction Log'!$C:$C,"&lt;="&amp;N1,'Checking Transaction Log'!$A:$A,"F",'Checking Transaction Log'!$B:$B,16)</f>
        <v>820.06</v>
      </c>
      <c r="N21" s="273">
        <f t="shared" si="23"/>
        <v>-820.06</v>
      </c>
      <c r="O21" s="236">
        <f>SUMIFS('Checking Transaction Log'!$E:$E,'Checking Transaction Log'!$C:$C,"&gt;="&amp;O1,'Checking Transaction Log'!$C:$C,"&lt;="&amp;P1,'Checking Transaction Log'!$A:$A,"F",'Checking Transaction Log'!$B:$B,16)</f>
        <v>15</v>
      </c>
      <c r="P21" s="236">
        <f t="shared" si="24"/>
        <v>-15</v>
      </c>
      <c r="Q21" s="270">
        <f>SUMIFS('Checking Transaction Log'!$E:$E,'Checking Transaction Log'!$C:$C,"&gt;="&amp;Q1,'Checking Transaction Log'!$C:$C,"&lt;="&amp;R1,'Checking Transaction Log'!$A:$A,"F",'Checking Transaction Log'!$B:$B,16)</f>
        <v>0</v>
      </c>
      <c r="R21" s="270">
        <f t="shared" si="25"/>
        <v>0</v>
      </c>
      <c r="S21" s="232">
        <f>SUMIFS('Checking Transaction Log'!$E:$E,'Checking Transaction Log'!$C:$C,"&gt;="&amp;S1,'Checking Transaction Log'!$C:$C,"&lt;="&amp;T1,'Checking Transaction Log'!$A:$A,"F",'Checking Transaction Log'!$B:$B,16)</f>
        <v>62.31</v>
      </c>
      <c r="T21" s="232">
        <f t="shared" si="26"/>
        <v>-62.31</v>
      </c>
      <c r="U21" s="273">
        <f>SUMIFS('Checking Transaction Log'!$E:$E,'Checking Transaction Log'!$C:$C,"&gt;="&amp;U1,'Checking Transaction Log'!$C:$C,"&lt;="&amp;V1,'Checking Transaction Log'!$A:$A,"F",'Checking Transaction Log'!$B:$B,16)</f>
        <v>0</v>
      </c>
      <c r="V21" s="273">
        <f t="shared" si="27"/>
        <v>0</v>
      </c>
      <c r="W21" s="236">
        <f>SUMIFS('Checking Transaction Log'!$E:$E,'Checking Transaction Log'!$C:$C,"&gt;="&amp;W1,'Checking Transaction Log'!$C:$C,"&lt;="&amp;X1,'Checking Transaction Log'!$A:$A,"F",'Checking Transaction Log'!$B:$B,16)</f>
        <v>0</v>
      </c>
      <c r="X21" s="236">
        <f t="shared" si="28"/>
        <v>0</v>
      </c>
      <c r="Y21" s="276">
        <f>SUMIFS('Checking Transaction Log'!$E:$E,'Checking Transaction Log'!$C:$C,"&gt;="&amp;Y1,'Checking Transaction Log'!$C:$C,"&lt;="&amp;Z1,'Checking Transaction Log'!$A:$A,"F",'Checking Transaction Log'!$B:$B,16)</f>
        <v>0</v>
      </c>
      <c r="Z21" s="276">
        <f t="shared" si="29"/>
        <v>0</v>
      </c>
      <c r="AA21" s="278">
        <f>SUMIFS('Checking Transaction Log'!$E:$E,'Checking Transaction Log'!$C:$C,"&gt;="&amp;AA1,'Checking Transaction Log'!$C:$C,"&lt;="&amp;AB1,'Checking Transaction Log'!$A:$A,"F",'Checking Transaction Log'!$B:$B,16)</f>
        <v>0</v>
      </c>
      <c r="AB21" s="278">
        <f t="shared" si="30"/>
        <v>0</v>
      </c>
      <c r="AC21" s="280">
        <f>SUMIFS('Checking Transaction Log'!$E:$E,'Checking Transaction Log'!$C:$C,"&gt;="&amp;AC1,'Checking Transaction Log'!$C:$C,"&lt;="&amp;AD1,'Checking Transaction Log'!$A:$A,"F",'Checking Transaction Log'!$B:$B,16)</f>
        <v>0</v>
      </c>
      <c r="AD21" s="280">
        <f t="shared" si="31"/>
        <v>0</v>
      </c>
      <c r="AE21" s="282">
        <f>SUMIFS('Checking Transaction Log'!$E:$E,'Checking Transaction Log'!$C:$C,"&gt;="&amp;AE1,'Checking Transaction Log'!$C:$C,"&lt;="&amp;AF1,'Checking Transaction Log'!$A:$A,"F",'Checking Transaction Log'!$B:$B,16)</f>
        <v>0</v>
      </c>
      <c r="AF21" s="282">
        <f t="shared" si="32"/>
        <v>0</v>
      </c>
    </row>
    <row r="22" spans="1:32" ht="11.25" customHeight="1" x14ac:dyDescent="0.3">
      <c r="A22" s="284" t="str">
        <f>'Proposed Budget'!A22</f>
        <v>F</v>
      </c>
      <c r="B22" s="255">
        <f>'Proposed Budget'!B22</f>
        <v>17</v>
      </c>
      <c r="C22" s="287" t="str">
        <f>'Proposed Budget'!C22</f>
        <v>Planet Fitness</v>
      </c>
      <c r="D22" s="288">
        <f t="shared" ca="1" si="17"/>
        <v>184.08025161290325</v>
      </c>
      <c r="E22" s="289">
        <f t="shared" si="18"/>
        <v>1313.13</v>
      </c>
      <c r="F22" s="289">
        <f t="shared" si="19"/>
        <v>-202.48000000000002</v>
      </c>
      <c r="G22" s="269">
        <f t="shared" si="20"/>
        <v>-0.18230765767793633</v>
      </c>
      <c r="H22" s="289">
        <f>'Proposed Budget'!D22</f>
        <v>145</v>
      </c>
      <c r="I22" s="270">
        <f>SUMIFS('Checking Transaction Log'!E:E,'Checking Transaction Log'!C:C,"&gt;="&amp;I1,'Checking Transaction Log'!C:C,"&lt;="&amp;J1,'Checking Transaction Log'!A:A,"F",'Checking Transaction Log'!B:B,17)</f>
        <v>281.25</v>
      </c>
      <c r="J22" s="270">
        <f t="shared" si="21"/>
        <v>-136.25</v>
      </c>
      <c r="K22" s="232">
        <f>SUMIFS('Checking Transaction Log'!E:E,'Checking Transaction Log'!C:C,"&gt;="&amp;K1,'Checking Transaction Log'!C:C,"&lt;="&amp;L1,'Checking Transaction Log'!A:A,"F",'Checking Transaction Log'!B:B,17)</f>
        <v>183.19</v>
      </c>
      <c r="L22" s="232">
        <f t="shared" si="22"/>
        <v>-38.19</v>
      </c>
      <c r="M22" s="273">
        <f>SUMIFS('Checking Transaction Log'!$E:$E,'Checking Transaction Log'!$C:$C,"&gt;="&amp;M1,'Checking Transaction Log'!$C:$C,"&lt;="&amp;N1,'Checking Transaction Log'!$A:$A,"F",'Checking Transaction Log'!$B:$B,17)</f>
        <v>183.09</v>
      </c>
      <c r="N22" s="273">
        <f t="shared" si="23"/>
        <v>-38.090000000000003</v>
      </c>
      <c r="O22" s="236">
        <f>SUMIFS('Checking Transaction Log'!$E:$E,'Checking Transaction Log'!$C:$C,"&gt;="&amp;O1,'Checking Transaction Log'!$C:$C,"&lt;="&amp;P1,'Checking Transaction Log'!$A:$A,"F",'Checking Transaction Log'!$B:$B,17)</f>
        <v>141.65</v>
      </c>
      <c r="P22" s="236">
        <f t="shared" si="24"/>
        <v>3.3499999999999943</v>
      </c>
      <c r="Q22" s="270">
        <f>SUMIFS('Checking Transaction Log'!$E:$E,'Checking Transaction Log'!$C:$C,"&gt;="&amp;Q1,'Checking Transaction Log'!$C:$C,"&lt;="&amp;R1,'Checking Transaction Log'!$A:$A,"F",'Checking Transaction Log'!$B:$B,17)</f>
        <v>141.65</v>
      </c>
      <c r="R22" s="270">
        <f t="shared" si="25"/>
        <v>3.3499999999999943</v>
      </c>
      <c r="S22" s="232">
        <f>SUMIFS('Checking Transaction Log'!$E:$E,'Checking Transaction Log'!$C:$C,"&gt;="&amp;S1,'Checking Transaction Log'!$C:$C,"&lt;="&amp;T1,'Checking Transaction Log'!$A:$A,"F",'Checking Transaction Log'!$B:$B,17)</f>
        <v>141.65</v>
      </c>
      <c r="T22" s="232">
        <f t="shared" si="26"/>
        <v>3.3499999999999943</v>
      </c>
      <c r="U22" s="273">
        <f>SUMIFS('Checking Transaction Log'!$E:$E,'Checking Transaction Log'!$C:$C,"&gt;="&amp;U1,'Checking Transaction Log'!$C:$C,"&lt;="&amp;V1,'Checking Transaction Log'!$A:$A,"F",'Checking Transaction Log'!$B:$B,17)</f>
        <v>141.65</v>
      </c>
      <c r="V22" s="273">
        <f t="shared" si="27"/>
        <v>3.3499999999999943</v>
      </c>
      <c r="W22" s="236">
        <f>SUMIFS('Checking Transaction Log'!$E:$E,'Checking Transaction Log'!$C:$C,"&gt;="&amp;W1,'Checking Transaction Log'!$C:$C,"&lt;="&amp;X1,'Checking Transaction Log'!$A:$A,"F",'Checking Transaction Log'!$B:$B,17)</f>
        <v>99</v>
      </c>
      <c r="X22" s="236">
        <f t="shared" si="28"/>
        <v>46</v>
      </c>
      <c r="Y22" s="276">
        <f>SUMIFS('Checking Transaction Log'!$E:$E,'Checking Transaction Log'!$C:$C,"&gt;="&amp;Y1,'Checking Transaction Log'!$C:$C,"&lt;="&amp;Z1,'Checking Transaction Log'!$A:$A,"F",'Checking Transaction Log'!$B:$B,17)</f>
        <v>0</v>
      </c>
      <c r="Z22" s="276">
        <f t="shared" si="29"/>
        <v>145</v>
      </c>
      <c r="AA22" s="278">
        <f>SUMIFS('Checking Transaction Log'!$E:$E,'Checking Transaction Log'!$C:$C,"&gt;="&amp;AA1,'Checking Transaction Log'!$C:$C,"&lt;="&amp;AB1,'Checking Transaction Log'!$A:$A,"F",'Checking Transaction Log'!$B:$B,17)</f>
        <v>0</v>
      </c>
      <c r="AB22" s="278">
        <f t="shared" si="30"/>
        <v>145</v>
      </c>
      <c r="AC22" s="280">
        <f>SUMIFS('Checking Transaction Log'!$E:$E,'Checking Transaction Log'!$C:$C,"&gt;="&amp;AC1,'Checking Transaction Log'!$C:$C,"&lt;="&amp;AD1,'Checking Transaction Log'!$A:$A,"F",'Checking Transaction Log'!$B:$B,17)</f>
        <v>0</v>
      </c>
      <c r="AD22" s="280">
        <f t="shared" si="31"/>
        <v>145</v>
      </c>
      <c r="AE22" s="282">
        <f>SUMIFS('Checking Transaction Log'!$E:$E,'Checking Transaction Log'!$C:$C,"&gt;="&amp;AE1,'Checking Transaction Log'!$C:$C,"&lt;="&amp;AF1,'Checking Transaction Log'!$A:$A,"F",'Checking Transaction Log'!$B:$B,17)</f>
        <v>0</v>
      </c>
      <c r="AF22" s="282">
        <f t="shared" si="32"/>
        <v>145</v>
      </c>
    </row>
    <row r="23" spans="1:32" ht="11.25" customHeight="1" x14ac:dyDescent="0.3">
      <c r="A23" s="284" t="str">
        <f>'Proposed Budget'!A23</f>
        <v>F</v>
      </c>
      <c r="B23" s="255">
        <f>'Proposed Budget'!B23</f>
        <v>18</v>
      </c>
      <c r="C23" s="287" t="str">
        <f>'Proposed Budget'!C23</f>
        <v>Lowes Rewards</v>
      </c>
      <c r="D23" s="288">
        <f t="shared" ca="1" si="17"/>
        <v>280.36866359447004</v>
      </c>
      <c r="E23" s="289">
        <f t="shared" si="18"/>
        <v>2000</v>
      </c>
      <c r="F23" s="289">
        <f t="shared" si="19"/>
        <v>400</v>
      </c>
      <c r="G23" s="269">
        <f t="shared" si="20"/>
        <v>0.16666666666666663</v>
      </c>
      <c r="H23" s="289">
        <f>'Proposed Budget'!D23</f>
        <v>400</v>
      </c>
      <c r="I23" s="270">
        <f>SUMIFS('Checking Transaction Log'!E:E,'Checking Transaction Log'!C:C,"&gt;="&amp;I1,'Checking Transaction Log'!C:C,"&lt;="&amp;J1,'Checking Transaction Log'!A:A,"F",'Checking Transaction Log'!B:B,18)</f>
        <v>400</v>
      </c>
      <c r="J23" s="270">
        <f t="shared" si="21"/>
        <v>0</v>
      </c>
      <c r="K23" s="232">
        <f>SUMIFS('Checking Transaction Log'!E:E,'Checking Transaction Log'!C:C,"&gt;="&amp;K1,'Checking Transaction Log'!C:C,"&lt;="&amp;L1,'Checking Transaction Log'!A:A,"F",'Checking Transaction Log'!B:B,18)</f>
        <v>400</v>
      </c>
      <c r="L23" s="232">
        <f t="shared" si="22"/>
        <v>0</v>
      </c>
      <c r="M23" s="273">
        <f>SUMIFS('Checking Transaction Log'!$E:$E,'Checking Transaction Log'!$C:$C,"&gt;="&amp;M1,'Checking Transaction Log'!$C:$C,"&lt;="&amp;N1,'Checking Transaction Log'!$A:$A,"F",'Checking Transaction Log'!$B:$B,18)</f>
        <v>400</v>
      </c>
      <c r="N23" s="273">
        <f t="shared" si="23"/>
        <v>0</v>
      </c>
      <c r="O23" s="236">
        <f>SUMIFS('Checking Transaction Log'!$E:$E,'Checking Transaction Log'!$C:$C,"&gt;="&amp;O1,'Checking Transaction Log'!$C:$C,"&lt;="&amp;P1,'Checking Transaction Log'!$A:$A,"F",'Checking Transaction Log'!$B:$B,18)</f>
        <v>400</v>
      </c>
      <c r="P23" s="236">
        <f t="shared" si="24"/>
        <v>0</v>
      </c>
      <c r="Q23" s="270">
        <f>SUMIFS('Checking Transaction Log'!$E:$E,'Checking Transaction Log'!$C:$C,"&gt;="&amp;Q1,'Checking Transaction Log'!$C:$C,"&lt;="&amp;R1,'Checking Transaction Log'!$A:$A,"F",'Checking Transaction Log'!$B:$B,18)</f>
        <v>400</v>
      </c>
      <c r="R23" s="270">
        <f t="shared" si="25"/>
        <v>0</v>
      </c>
      <c r="S23" s="232">
        <f>SUMIFS('Checking Transaction Log'!$E:$E,'Checking Transaction Log'!$C:$C,"&gt;="&amp;S1,'Checking Transaction Log'!$C:$C,"&lt;="&amp;T1,'Checking Transaction Log'!$A:$A,"F",'Checking Transaction Log'!$B:$B,18)</f>
        <v>0</v>
      </c>
      <c r="T23" s="232">
        <f t="shared" si="26"/>
        <v>400</v>
      </c>
      <c r="U23" s="273">
        <f>SUMIFS('Checking Transaction Log'!$E:$E,'Checking Transaction Log'!$C:$C,"&gt;="&amp;U1,'Checking Transaction Log'!$C:$C,"&lt;="&amp;V1,'Checking Transaction Log'!$A:$A,"F",'Checking Transaction Log'!$B:$B,18)</f>
        <v>0</v>
      </c>
      <c r="V23" s="273">
        <f t="shared" si="27"/>
        <v>400</v>
      </c>
      <c r="W23" s="236">
        <f>SUMIFS('Checking Transaction Log'!$E:$E,'Checking Transaction Log'!$C:$C,"&gt;="&amp;W1,'Checking Transaction Log'!$C:$C,"&lt;="&amp;X1,'Checking Transaction Log'!$A:$A,"F",'Checking Transaction Log'!$B:$B,18)</f>
        <v>0</v>
      </c>
      <c r="X23" s="236">
        <f t="shared" si="28"/>
        <v>400</v>
      </c>
      <c r="Y23" s="276">
        <f>SUMIFS('Checking Transaction Log'!$E:$E,'Checking Transaction Log'!$C:$C,"&gt;="&amp;Y1,'Checking Transaction Log'!$C:$C,"&lt;="&amp;Z1,'Checking Transaction Log'!$A:$A,"F",'Checking Transaction Log'!$B:$B,18)</f>
        <v>0</v>
      </c>
      <c r="Z23" s="276">
        <f t="shared" si="29"/>
        <v>400</v>
      </c>
      <c r="AA23" s="278">
        <f>SUMIFS('Checking Transaction Log'!$E:$E,'Checking Transaction Log'!$C:$C,"&gt;="&amp;AA1,'Checking Transaction Log'!$C:$C,"&lt;="&amp;AB1,'Checking Transaction Log'!$A:$A,"F",'Checking Transaction Log'!$B:$B,18)</f>
        <v>0</v>
      </c>
      <c r="AB23" s="278">
        <f t="shared" si="30"/>
        <v>400</v>
      </c>
      <c r="AC23" s="280">
        <f>SUMIFS('Checking Transaction Log'!$E:$E,'Checking Transaction Log'!$C:$C,"&gt;="&amp;AC1,'Checking Transaction Log'!$C:$C,"&lt;="&amp;AD1,'Checking Transaction Log'!$A:$A,"F",'Checking Transaction Log'!$B:$B,18)</f>
        <v>0</v>
      </c>
      <c r="AD23" s="280">
        <f t="shared" si="31"/>
        <v>400</v>
      </c>
      <c r="AE23" s="282">
        <f>SUMIFS('Checking Transaction Log'!$E:$E,'Checking Transaction Log'!$C:$C,"&gt;="&amp;AE1,'Checking Transaction Log'!$C:$C,"&lt;="&amp;AF1,'Checking Transaction Log'!$A:$A,"F",'Checking Transaction Log'!$B:$B,18)</f>
        <v>0</v>
      </c>
      <c r="AF23" s="282">
        <f t="shared" si="32"/>
        <v>400</v>
      </c>
    </row>
    <row r="24" spans="1:32" ht="11.25" customHeight="1" x14ac:dyDescent="0.3">
      <c r="A24" s="284" t="str">
        <f>'Proposed Budget'!A24</f>
        <v>F</v>
      </c>
      <c r="B24" s="255">
        <f>'Proposed Budget'!B24</f>
        <v>19</v>
      </c>
      <c r="C24" s="287" t="str">
        <f>'Proposed Budget'!C24</f>
        <v>Wells Fargo - Pool</v>
      </c>
      <c r="D24" s="288">
        <f t="shared" ca="1" si="17"/>
        <v>196.25806451612902</v>
      </c>
      <c r="E24" s="289">
        <f t="shared" si="18"/>
        <v>1400</v>
      </c>
      <c r="F24" s="289">
        <f t="shared" si="19"/>
        <v>0</v>
      </c>
      <c r="G24" s="269">
        <f t="shared" si="20"/>
        <v>0</v>
      </c>
      <c r="H24" s="289">
        <f>'Proposed Budget'!D24</f>
        <v>200</v>
      </c>
      <c r="I24" s="270">
        <f>SUMIFS('Checking Transaction Log'!E:E,'Checking Transaction Log'!C:C,"&gt;="&amp;I1,'Checking Transaction Log'!C:C,"&lt;="&amp;J1,'Checking Transaction Log'!A:A,"F",'Checking Transaction Log'!B:B,19)</f>
        <v>200</v>
      </c>
      <c r="J24" s="270">
        <f t="shared" si="21"/>
        <v>0</v>
      </c>
      <c r="K24" s="232">
        <f>SUMIFS('Checking Transaction Log'!E:E,'Checking Transaction Log'!C:C,"&gt;="&amp;K1,'Checking Transaction Log'!C:C,"&lt;="&amp;L1,'Checking Transaction Log'!A:A,"F",'Checking Transaction Log'!B:B,19)</f>
        <v>200</v>
      </c>
      <c r="L24" s="232">
        <f t="shared" si="22"/>
        <v>0</v>
      </c>
      <c r="M24" s="273">
        <f>SUMIFS('Checking Transaction Log'!$E:$E,'Checking Transaction Log'!$C:$C,"&gt;="&amp;M1,'Checking Transaction Log'!$C:$C,"&lt;="&amp;N1,'Checking Transaction Log'!$A:$A,"F",'Checking Transaction Log'!$B:$B,19)</f>
        <v>200</v>
      </c>
      <c r="N24" s="273">
        <f t="shared" si="23"/>
        <v>0</v>
      </c>
      <c r="O24" s="236">
        <f>SUMIFS('Checking Transaction Log'!$E:$E,'Checking Transaction Log'!$C:$C,"&gt;="&amp;O1,'Checking Transaction Log'!$C:$C,"&lt;="&amp;P1,'Checking Transaction Log'!$A:$A,"F",'Checking Transaction Log'!$B:$B,19)</f>
        <v>200</v>
      </c>
      <c r="P24" s="236">
        <f t="shared" si="24"/>
        <v>0</v>
      </c>
      <c r="Q24" s="270">
        <f>SUMIFS('Checking Transaction Log'!$E:$E,'Checking Transaction Log'!$C:$C,"&gt;="&amp;Q1,'Checking Transaction Log'!$C:$C,"&lt;="&amp;R1,'Checking Transaction Log'!$A:$A,"F",'Checking Transaction Log'!$B:$B,19)</f>
        <v>200</v>
      </c>
      <c r="R24" s="270">
        <f t="shared" si="25"/>
        <v>0</v>
      </c>
      <c r="S24" s="232">
        <f>SUMIFS('Checking Transaction Log'!$E:$E,'Checking Transaction Log'!$C:$C,"&gt;="&amp;S1,'Checking Transaction Log'!$C:$C,"&lt;="&amp;T1,'Checking Transaction Log'!$A:$A,"F",'Checking Transaction Log'!$B:$B,19)</f>
        <v>200</v>
      </c>
      <c r="T24" s="232">
        <f t="shared" si="26"/>
        <v>0</v>
      </c>
      <c r="U24" s="273">
        <f>SUMIFS('Checking Transaction Log'!$E:$E,'Checking Transaction Log'!$C:$C,"&gt;="&amp;U1,'Checking Transaction Log'!$C:$C,"&lt;="&amp;V1,'Checking Transaction Log'!$A:$A,"F",'Checking Transaction Log'!$B:$B,19)</f>
        <v>200</v>
      </c>
      <c r="V24" s="273">
        <f t="shared" si="27"/>
        <v>0</v>
      </c>
      <c r="W24" s="236">
        <f>SUMIFS('Checking Transaction Log'!$E:$E,'Checking Transaction Log'!$C:$C,"&gt;="&amp;W1,'Checking Transaction Log'!$C:$C,"&lt;="&amp;X1,'Checking Transaction Log'!$A:$A,"F",'Checking Transaction Log'!$B:$B,19)</f>
        <v>0</v>
      </c>
      <c r="X24" s="236">
        <f t="shared" si="28"/>
        <v>200</v>
      </c>
      <c r="Y24" s="276">
        <f>SUMIFS('Checking Transaction Log'!$E:$E,'Checking Transaction Log'!$C:$C,"&gt;="&amp;Y1,'Checking Transaction Log'!$C:$C,"&lt;="&amp;Z1,'Checking Transaction Log'!$A:$A,"F",'Checking Transaction Log'!$B:$B,19)</f>
        <v>0</v>
      </c>
      <c r="Z24" s="276">
        <f t="shared" si="29"/>
        <v>200</v>
      </c>
      <c r="AA24" s="278">
        <f>SUMIFS('Checking Transaction Log'!$E:$E,'Checking Transaction Log'!$C:$C,"&gt;="&amp;AA1,'Checking Transaction Log'!$C:$C,"&lt;="&amp;AB1,'Checking Transaction Log'!$A:$A,"F",'Checking Transaction Log'!$B:$B,19)</f>
        <v>0</v>
      </c>
      <c r="AB24" s="278">
        <f t="shared" si="30"/>
        <v>200</v>
      </c>
      <c r="AC24" s="280">
        <f>SUMIFS('Checking Transaction Log'!$E:$E,'Checking Transaction Log'!$C:$C,"&gt;="&amp;AC1,'Checking Transaction Log'!$C:$C,"&lt;="&amp;AD1,'Checking Transaction Log'!$A:$A,"F",'Checking Transaction Log'!$B:$B,19)</f>
        <v>0</v>
      </c>
      <c r="AD24" s="280">
        <f t="shared" si="31"/>
        <v>200</v>
      </c>
      <c r="AE24" s="282">
        <f>SUMIFS('Checking Transaction Log'!$E:$E,'Checking Transaction Log'!$C:$C,"&gt;="&amp;AE1,'Checking Transaction Log'!$C:$C,"&lt;="&amp;AF1,'Checking Transaction Log'!$A:$A,"F",'Checking Transaction Log'!$B:$B,19)</f>
        <v>0</v>
      </c>
      <c r="AF24" s="282">
        <f t="shared" si="32"/>
        <v>200</v>
      </c>
    </row>
    <row r="25" spans="1:32" ht="11.25" customHeight="1" x14ac:dyDescent="0.3">
      <c r="A25" s="284" t="str">
        <f>'Proposed Budget'!A25</f>
        <v>F</v>
      </c>
      <c r="B25" s="255">
        <f>'Proposed Budget'!B25</f>
        <v>20</v>
      </c>
      <c r="C25" s="287" t="str">
        <f>'Proposed Budget'!C25</f>
        <v>Wells Fargo - Deck</v>
      </c>
      <c r="D25" s="288">
        <f t="shared" ca="1" si="17"/>
        <v>252.33179723502306</v>
      </c>
      <c r="E25" s="289">
        <f t="shared" si="18"/>
        <v>1800</v>
      </c>
      <c r="F25" s="289">
        <f t="shared" si="19"/>
        <v>2400</v>
      </c>
      <c r="G25" s="269">
        <f t="shared" si="20"/>
        <v>0.5714285714285714</v>
      </c>
      <c r="H25" s="289">
        <f>'Proposed Budget'!D25</f>
        <v>600</v>
      </c>
      <c r="I25" s="270">
        <f>SUMIFS('Checking Transaction Log'!E:E,'Checking Transaction Log'!C:C,"&gt;="&amp;I1,'Checking Transaction Log'!C:C,"&lt;="&amp;J1,'Checking Transaction Log'!A:A,"F",'Checking Transaction Log'!B:B,20)</f>
        <v>0</v>
      </c>
      <c r="J25" s="270">
        <f t="shared" si="21"/>
        <v>600</v>
      </c>
      <c r="K25" s="232">
        <f>SUMIFS('Checking Transaction Log'!E:E,'Checking Transaction Log'!C:C,"&gt;="&amp;K1,'Checking Transaction Log'!C:C,"&lt;="&amp;L1,'Checking Transaction Log'!A:A,"F",'Checking Transaction Log'!B:B,20)</f>
        <v>0</v>
      </c>
      <c r="L25" s="232">
        <f t="shared" si="22"/>
        <v>600</v>
      </c>
      <c r="M25" s="273">
        <f>SUMIFS('Checking Transaction Log'!$E:$E,'Checking Transaction Log'!$C:$C,"&gt;="&amp;M1,'Checking Transaction Log'!$C:$C,"&lt;="&amp;N1,'Checking Transaction Log'!$A:$A,"F",'Checking Transaction Log'!$B:$B,20)</f>
        <v>0</v>
      </c>
      <c r="N25" s="273">
        <f t="shared" si="23"/>
        <v>600</v>
      </c>
      <c r="O25" s="236">
        <f>SUMIFS('Checking Transaction Log'!$E:$E,'Checking Transaction Log'!$C:$C,"&gt;="&amp;O1,'Checking Transaction Log'!$C:$C,"&lt;="&amp;P1,'Checking Transaction Log'!$A:$A,"F",'Checking Transaction Log'!$B:$B,20)</f>
        <v>0</v>
      </c>
      <c r="P25" s="236">
        <f t="shared" si="24"/>
        <v>600</v>
      </c>
      <c r="Q25" s="270">
        <f>SUMIFS('Checking Transaction Log'!$E:$E,'Checking Transaction Log'!$C:$C,"&gt;="&amp;Q1,'Checking Transaction Log'!$C:$C,"&lt;="&amp;R1,'Checking Transaction Log'!$A:$A,"F",'Checking Transaction Log'!$B:$B,20)</f>
        <v>600</v>
      </c>
      <c r="R25" s="270">
        <f t="shared" si="25"/>
        <v>0</v>
      </c>
      <c r="S25" s="232">
        <f>SUMIFS('Checking Transaction Log'!$E:$E,'Checking Transaction Log'!$C:$C,"&gt;="&amp;S1,'Checking Transaction Log'!$C:$C,"&lt;="&amp;T1,'Checking Transaction Log'!$A:$A,"F",'Checking Transaction Log'!$B:$B,20)</f>
        <v>600</v>
      </c>
      <c r="T25" s="232">
        <f t="shared" si="26"/>
        <v>0</v>
      </c>
      <c r="U25" s="273">
        <f>SUMIFS('Checking Transaction Log'!$E:$E,'Checking Transaction Log'!$C:$C,"&gt;="&amp;U1,'Checking Transaction Log'!$C:$C,"&lt;="&amp;V1,'Checking Transaction Log'!$A:$A,"F",'Checking Transaction Log'!$B:$B,20)</f>
        <v>600</v>
      </c>
      <c r="V25" s="273">
        <f t="shared" si="27"/>
        <v>0</v>
      </c>
      <c r="W25" s="236">
        <f>SUMIFS('Checking Transaction Log'!$E:$E,'Checking Transaction Log'!$C:$C,"&gt;="&amp;W1,'Checking Transaction Log'!$C:$C,"&lt;="&amp;X1,'Checking Transaction Log'!$A:$A,"F",'Checking Transaction Log'!$B:$B,20)</f>
        <v>0</v>
      </c>
      <c r="X25" s="236">
        <f t="shared" si="28"/>
        <v>600</v>
      </c>
      <c r="Y25" s="276">
        <f>SUMIFS('Checking Transaction Log'!$E:$E,'Checking Transaction Log'!$C:$C,"&gt;="&amp;Y1,'Checking Transaction Log'!$C:$C,"&lt;="&amp;Z1,'Checking Transaction Log'!$A:$A,"F",'Checking Transaction Log'!$B:$B,20)</f>
        <v>0</v>
      </c>
      <c r="Z25" s="276">
        <f t="shared" si="29"/>
        <v>600</v>
      </c>
      <c r="AA25" s="278">
        <f>SUMIFS('Checking Transaction Log'!$E:$E,'Checking Transaction Log'!$C:$C,"&gt;="&amp;AA1,'Checking Transaction Log'!$C:$C,"&lt;="&amp;AB1,'Checking Transaction Log'!$A:$A,"F",'Checking Transaction Log'!$B:$B,20)</f>
        <v>0</v>
      </c>
      <c r="AB25" s="278">
        <f t="shared" si="30"/>
        <v>600</v>
      </c>
      <c r="AC25" s="280">
        <f>SUMIFS('Checking Transaction Log'!$E:$E,'Checking Transaction Log'!$C:$C,"&gt;="&amp;AC1,'Checking Transaction Log'!$C:$C,"&lt;="&amp;AD1,'Checking Transaction Log'!$A:$A,"F",'Checking Transaction Log'!$B:$B,20)</f>
        <v>0</v>
      </c>
      <c r="AD25" s="280">
        <f t="shared" si="31"/>
        <v>600</v>
      </c>
      <c r="AE25" s="282">
        <f>SUMIFS('Checking Transaction Log'!$E:$E,'Checking Transaction Log'!$C:$C,"&gt;="&amp;AE1,'Checking Transaction Log'!$C:$C,"&lt;="&amp;AF1,'Checking Transaction Log'!$A:$A,"F",'Checking Transaction Log'!$B:$B,20)</f>
        <v>0</v>
      </c>
      <c r="AF25" s="282">
        <f t="shared" si="32"/>
        <v>600</v>
      </c>
    </row>
    <row r="26" spans="1:32" ht="11.25" customHeight="1" x14ac:dyDescent="0.3">
      <c r="A26" s="284" t="str">
        <f>'Proposed Budget'!A26</f>
        <v>F</v>
      </c>
      <c r="B26" s="255">
        <f>'Proposed Budget'!B26</f>
        <v>21</v>
      </c>
      <c r="C26" s="287" t="str">
        <f>'Proposed Budget'!C26</f>
        <v>Massage Envy</v>
      </c>
      <c r="D26" s="288">
        <f t="shared" ca="1" si="17"/>
        <v>96.969707834101399</v>
      </c>
      <c r="E26" s="289">
        <f t="shared" si="18"/>
        <v>691.73000000000013</v>
      </c>
      <c r="F26" s="289">
        <f t="shared" si="19"/>
        <v>-53.059999999999988</v>
      </c>
      <c r="G26" s="269">
        <f t="shared" si="20"/>
        <v>-8.3078898335603668E-2</v>
      </c>
      <c r="H26" s="289">
        <f>'Proposed Budget'!D26</f>
        <v>85</v>
      </c>
      <c r="I26" s="270">
        <f>SUMIFS('Checking Transaction Log'!E:E,'Checking Transaction Log'!C:C,"&gt;="&amp;I1,'Checking Transaction Log'!C:C,"&lt;="&amp;J1,'Checking Transaction Log'!A:A,"F",'Checking Transaction Log'!B:B,21)</f>
        <v>100.79</v>
      </c>
      <c r="J26" s="270">
        <f t="shared" si="21"/>
        <v>-15.790000000000006</v>
      </c>
      <c r="K26" s="232">
        <f>SUMIFS('Checking Transaction Log'!E:E,'Checking Transaction Log'!C:C,"&gt;="&amp;K1,'Checking Transaction Log'!C:C,"&lt;="&amp;L1,'Checking Transaction Log'!A:A,"F",'Checking Transaction Log'!B:B,21)</f>
        <v>108.35</v>
      </c>
      <c r="L26" s="232">
        <f t="shared" si="22"/>
        <v>-23.349999999999994</v>
      </c>
      <c r="M26" s="273">
        <f>SUMIFS('Checking Transaction Log'!$E:$E,'Checking Transaction Log'!$C:$C,"&gt;="&amp;M1,'Checking Transaction Log'!$C:$C,"&lt;="&amp;N1,'Checking Transaction Log'!$A:$A,"F",'Checking Transaction Log'!$B:$B,21)</f>
        <v>116.32</v>
      </c>
      <c r="N26" s="273">
        <f t="shared" si="23"/>
        <v>-31.319999999999993</v>
      </c>
      <c r="O26" s="236">
        <f>SUMIFS('Checking Transaction Log'!$E:$E,'Checking Transaction Log'!$C:$C,"&gt;="&amp;O1,'Checking Transaction Log'!$C:$C,"&lt;="&amp;P1,'Checking Transaction Log'!$A:$A,"F",'Checking Transaction Log'!$B:$B,21)</f>
        <v>75.599999999999994</v>
      </c>
      <c r="P26" s="236">
        <f t="shared" si="24"/>
        <v>9.4000000000000057</v>
      </c>
      <c r="Q26" s="270">
        <f>SUMIFS('Checking Transaction Log'!$E:$E,'Checking Transaction Log'!$C:$C,"&gt;="&amp;Q1,'Checking Transaction Log'!$C:$C,"&lt;="&amp;R1,'Checking Transaction Log'!$A:$A,"F",'Checking Transaction Log'!$B:$B,21)</f>
        <v>81</v>
      </c>
      <c r="R26" s="270">
        <f t="shared" si="25"/>
        <v>4</v>
      </c>
      <c r="S26" s="232">
        <f>SUMIFS('Checking Transaction Log'!$E:$E,'Checking Transaction Log'!$C:$C,"&gt;="&amp;S1,'Checking Transaction Log'!$C:$C,"&lt;="&amp;T1,'Checking Transaction Log'!$A:$A,"F",'Checking Transaction Log'!$B:$B,21)</f>
        <v>81</v>
      </c>
      <c r="T26" s="232">
        <f t="shared" si="26"/>
        <v>4</v>
      </c>
      <c r="U26" s="273">
        <f>SUMIFS('Checking Transaction Log'!$E:$E,'Checking Transaction Log'!$C:$C,"&gt;="&amp;U1,'Checking Transaction Log'!$C:$C,"&lt;="&amp;V1,'Checking Transaction Log'!$A:$A,"F",'Checking Transaction Log'!$B:$B,21)</f>
        <v>128.67000000000002</v>
      </c>
      <c r="V26" s="273">
        <f t="shared" si="27"/>
        <v>-43.670000000000016</v>
      </c>
      <c r="W26" s="236">
        <f>SUMIFS('Checking Transaction Log'!$E:$E,'Checking Transaction Log'!$C:$C,"&gt;="&amp;W1,'Checking Transaction Log'!$C:$C,"&lt;="&amp;X1,'Checking Transaction Log'!$A:$A,"F",'Checking Transaction Log'!$B:$B,21)</f>
        <v>0</v>
      </c>
      <c r="X26" s="236">
        <f t="shared" si="28"/>
        <v>85</v>
      </c>
      <c r="Y26" s="276">
        <f>SUMIFS('Checking Transaction Log'!$E:$E,'Checking Transaction Log'!$C:$C,"&gt;="&amp;Y1,'Checking Transaction Log'!$C:$C,"&lt;="&amp;Z1,'Checking Transaction Log'!$A:$A,"F",'Checking Transaction Log'!$B:$B,21)</f>
        <v>0</v>
      </c>
      <c r="Z26" s="276">
        <f t="shared" si="29"/>
        <v>85</v>
      </c>
      <c r="AA26" s="278">
        <f>SUMIFS('Checking Transaction Log'!$E:$E,'Checking Transaction Log'!$C:$C,"&gt;="&amp;AA1,'Checking Transaction Log'!$C:$C,"&lt;="&amp;AB1,'Checking Transaction Log'!$A:$A,"F",'Checking Transaction Log'!$B:$B,21)</f>
        <v>0</v>
      </c>
      <c r="AB26" s="278">
        <f t="shared" si="30"/>
        <v>85</v>
      </c>
      <c r="AC26" s="280">
        <f>SUMIFS('Checking Transaction Log'!$E:$E,'Checking Transaction Log'!$C:$C,"&gt;="&amp;AC1,'Checking Transaction Log'!$C:$C,"&lt;="&amp;AD1,'Checking Transaction Log'!$A:$A,"F",'Checking Transaction Log'!$B:$B,21)</f>
        <v>0</v>
      </c>
      <c r="AD26" s="280">
        <f t="shared" si="31"/>
        <v>85</v>
      </c>
      <c r="AE26" s="282">
        <f>SUMIFS('Checking Transaction Log'!$E:$E,'Checking Transaction Log'!$C:$C,"&gt;="&amp;AE1,'Checking Transaction Log'!$C:$C,"&lt;="&amp;AF1,'Checking Transaction Log'!$A:$A,"F",'Checking Transaction Log'!$B:$B,21)</f>
        <v>0</v>
      </c>
      <c r="AF26" s="282">
        <f t="shared" si="32"/>
        <v>85</v>
      </c>
    </row>
    <row r="27" spans="1:32" ht="11.25" customHeight="1" x14ac:dyDescent="0.3">
      <c r="A27" s="284" t="str">
        <f>'Proposed Budget'!A27</f>
        <v>F</v>
      </c>
      <c r="B27" s="255">
        <f>'Proposed Budget'!B27</f>
        <v>22</v>
      </c>
      <c r="C27" s="287" t="str">
        <f>'Proposed Budget'!C27</f>
        <v>Streaming/Music</v>
      </c>
      <c r="D27" s="288">
        <f t="shared" ca="1" si="17"/>
        <v>110.70496866359447</v>
      </c>
      <c r="E27" s="289">
        <f t="shared" si="18"/>
        <v>789.70999999999992</v>
      </c>
      <c r="F27" s="289">
        <f t="shared" si="19"/>
        <v>-67.349999999999994</v>
      </c>
      <c r="G27" s="269">
        <f t="shared" si="20"/>
        <v>-9.3236059582479713E-2</v>
      </c>
      <c r="H27" s="289">
        <f>'Proposed Budget'!D27</f>
        <v>100</v>
      </c>
      <c r="I27" s="270">
        <f>SUMIFS('Checking Transaction Log'!E:E,'Checking Transaction Log'!C:C,"&gt;="&amp;I1,'Checking Transaction Log'!C:C,"&lt;="&amp;J1,'Checking Transaction Log'!A:A,"F",'Checking Transaction Log'!B:B,22)</f>
        <v>218.26999999999998</v>
      </c>
      <c r="J27" s="270">
        <f t="shared" si="21"/>
        <v>-118.26999999999998</v>
      </c>
      <c r="K27" s="232">
        <f>SUMIFS('Checking Transaction Log'!E:E,'Checking Transaction Log'!C:C,"&gt;="&amp;K1,'Checking Transaction Log'!C:C,"&lt;="&amp;L1,'Checking Transaction Log'!A:A,"F",'Checking Transaction Log'!B:B,22)</f>
        <v>67.05</v>
      </c>
      <c r="L27" s="232">
        <f t="shared" si="22"/>
        <v>32.950000000000003</v>
      </c>
      <c r="M27" s="273">
        <f>SUMIFS('Checking Transaction Log'!$E:$E,'Checking Transaction Log'!$C:$C,"&gt;="&amp;M1,'Checking Transaction Log'!$C:$C,"&lt;="&amp;N1,'Checking Transaction Log'!$A:$A,"F",'Checking Transaction Log'!$B:$B,22)</f>
        <v>79.819999999999993</v>
      </c>
      <c r="N27" s="273">
        <f t="shared" si="23"/>
        <v>20.180000000000007</v>
      </c>
      <c r="O27" s="236">
        <f>SUMIFS('Checking Transaction Log'!$E:$E,'Checking Transaction Log'!$C:$C,"&gt;="&amp;O1,'Checking Transaction Log'!$C:$C,"&lt;="&amp;P1,'Checking Transaction Log'!$A:$A,"F",'Checking Transaction Log'!$B:$B,22)</f>
        <v>76.62</v>
      </c>
      <c r="P27" s="236">
        <f t="shared" si="24"/>
        <v>23.379999999999995</v>
      </c>
      <c r="Q27" s="270">
        <f>SUMIFS('Checking Transaction Log'!$E:$E,'Checking Transaction Log'!$C:$C,"&gt;="&amp;Q1,'Checking Transaction Log'!$C:$C,"&lt;="&amp;R1,'Checking Transaction Log'!$A:$A,"F",'Checking Transaction Log'!$B:$B,22)</f>
        <v>122.37</v>
      </c>
      <c r="R27" s="270">
        <f t="shared" si="25"/>
        <v>-22.370000000000005</v>
      </c>
      <c r="S27" s="232">
        <f>SUMIFS('Checking Transaction Log'!$E:$E,'Checking Transaction Log'!$C:$C,"&gt;="&amp;S1,'Checking Transaction Log'!$C:$C,"&lt;="&amp;T1,'Checking Transaction Log'!$A:$A,"F",'Checking Transaction Log'!$B:$B,22)</f>
        <v>103.22000000000001</v>
      </c>
      <c r="T27" s="232">
        <f t="shared" si="26"/>
        <v>-3.2200000000000131</v>
      </c>
      <c r="U27" s="273">
        <f>SUMIFS('Checking Transaction Log'!$E:$E,'Checking Transaction Log'!$C:$C,"&gt;="&amp;U1,'Checking Transaction Log'!$C:$C,"&lt;="&amp;V1,'Checking Transaction Log'!$A:$A,"F",'Checking Transaction Log'!$B:$B,22)</f>
        <v>103.22000000000001</v>
      </c>
      <c r="V27" s="273">
        <f t="shared" si="27"/>
        <v>-3.2200000000000131</v>
      </c>
      <c r="W27" s="236">
        <f>SUMIFS('Checking Transaction Log'!$E:$E,'Checking Transaction Log'!$C:$C,"&gt;="&amp;W1,'Checking Transaction Log'!$C:$C,"&lt;="&amp;X1,'Checking Transaction Log'!$A:$A,"F",'Checking Transaction Log'!$B:$B,22)</f>
        <v>19.14</v>
      </c>
      <c r="X27" s="236">
        <f t="shared" si="28"/>
        <v>80.86</v>
      </c>
      <c r="Y27" s="276">
        <f>SUMIFS('Checking Transaction Log'!$E:$E,'Checking Transaction Log'!$C:$C,"&gt;="&amp;Y1,'Checking Transaction Log'!$C:$C,"&lt;="&amp;Z1,'Checking Transaction Log'!$A:$A,"F",'Checking Transaction Log'!$B:$B,22)</f>
        <v>0</v>
      </c>
      <c r="Z27" s="276">
        <f t="shared" si="29"/>
        <v>100</v>
      </c>
      <c r="AA27" s="278">
        <f>SUMIFS('Checking Transaction Log'!$E:$E,'Checking Transaction Log'!$C:$C,"&gt;="&amp;AA1,'Checking Transaction Log'!$C:$C,"&lt;="&amp;AB1,'Checking Transaction Log'!$A:$A,"F",'Checking Transaction Log'!$B:$B,22)</f>
        <v>0</v>
      </c>
      <c r="AB27" s="278">
        <f t="shared" si="30"/>
        <v>100</v>
      </c>
      <c r="AC27" s="280">
        <f>SUMIFS('Checking Transaction Log'!$E:$E,'Checking Transaction Log'!$C:$C,"&gt;="&amp;AC1,'Checking Transaction Log'!$C:$C,"&lt;="&amp;AD1,'Checking Transaction Log'!$A:$A,"F",'Checking Transaction Log'!$B:$B,22)</f>
        <v>0</v>
      </c>
      <c r="AD27" s="280">
        <f t="shared" si="31"/>
        <v>100</v>
      </c>
      <c r="AE27" s="282">
        <f>SUMIFS('Checking Transaction Log'!$E:$E,'Checking Transaction Log'!$C:$C,"&gt;="&amp;AE1,'Checking Transaction Log'!$C:$C,"&lt;="&amp;AF1,'Checking Transaction Log'!$A:$A,"F",'Checking Transaction Log'!$B:$B,22)</f>
        <v>0</v>
      </c>
      <c r="AF27" s="282">
        <f t="shared" si="32"/>
        <v>100</v>
      </c>
    </row>
    <row r="28" spans="1:32" ht="11.25" customHeight="1" x14ac:dyDescent="0.3">
      <c r="A28" s="284" t="str">
        <f>'Proposed Budget'!A28</f>
        <v>F</v>
      </c>
      <c r="B28" s="255">
        <f>'Proposed Budget'!B28</f>
        <v>23</v>
      </c>
      <c r="C28" s="287" t="str">
        <f>'Proposed Budget'!C28</f>
        <v>GM Financial/Toyota</v>
      </c>
      <c r="D28" s="288">
        <f t="shared" ca="1" si="17"/>
        <v>1059.8608368663597</v>
      </c>
      <c r="E28" s="289">
        <f t="shared" si="18"/>
        <v>7560.4800000000014</v>
      </c>
      <c r="F28" s="289">
        <f t="shared" si="19"/>
        <v>168.97999999999911</v>
      </c>
      <c r="G28" s="269">
        <f t="shared" si="20"/>
        <v>2.1861811821265564E-2</v>
      </c>
      <c r="H28" s="289">
        <f>'Proposed Budget'!D28</f>
        <v>1200</v>
      </c>
      <c r="I28" s="270">
        <f>SUMIFS('Checking Transaction Log'!E:E,'Checking Transaction Log'!C:C,"&gt;="&amp;I1,'Checking Transaction Log'!C:C,"&lt;="&amp;J1,'Checking Transaction Log'!A:A,"F",'Checking Transaction Log'!B:B,23)</f>
        <v>1180.3400000000001</v>
      </c>
      <c r="J28" s="270">
        <f t="shared" si="21"/>
        <v>19.659999999999854</v>
      </c>
      <c r="K28" s="232">
        <f>SUMIFS('Checking Transaction Log'!E:E,'Checking Transaction Log'!C:C,"&gt;="&amp;K1,'Checking Transaction Log'!C:C,"&lt;="&amp;L1,'Checking Transaction Log'!A:A,"F",'Checking Transaction Log'!B:B,23)</f>
        <v>1180.3400000000001</v>
      </c>
      <c r="L28" s="232">
        <f t="shared" si="22"/>
        <v>19.659999999999854</v>
      </c>
      <c r="M28" s="273">
        <f>SUMIFS('Checking Transaction Log'!$E:$E,'Checking Transaction Log'!$C:$C,"&gt;="&amp;M1,'Checking Transaction Log'!$C:$C,"&lt;="&amp;N1,'Checking Transaction Log'!$A:$A,"F",'Checking Transaction Log'!$B:$B,23)</f>
        <v>1180.3400000000001</v>
      </c>
      <c r="N28" s="273">
        <f t="shared" si="23"/>
        <v>19.659999999999854</v>
      </c>
      <c r="O28" s="236">
        <f>SUMIFS('Checking Transaction Log'!$E:$E,'Checking Transaction Log'!$C:$C,"&gt;="&amp;O1,'Checking Transaction Log'!$C:$C,"&lt;="&amp;P1,'Checking Transaction Log'!$A:$A,"F",'Checking Transaction Log'!$B:$B,23)</f>
        <v>1180.3400000000001</v>
      </c>
      <c r="P28" s="236">
        <f t="shared" si="24"/>
        <v>19.659999999999854</v>
      </c>
      <c r="Q28" s="270">
        <f>SUMIFS('Checking Transaction Log'!$E:$E,'Checking Transaction Log'!$C:$C,"&gt;="&amp;Q1,'Checking Transaction Log'!$C:$C,"&lt;="&amp;R1,'Checking Transaction Log'!$A:$A,"F",'Checking Transaction Log'!$B:$B,23)</f>
        <v>1180.3400000000001</v>
      </c>
      <c r="R28" s="270">
        <f t="shared" si="25"/>
        <v>19.659999999999854</v>
      </c>
      <c r="S28" s="232">
        <f>SUMIFS('Checking Transaction Log'!$E:$E,'Checking Transaction Log'!$C:$C,"&gt;="&amp;S1,'Checking Transaction Log'!$C:$C,"&lt;="&amp;T1,'Checking Transaction Log'!$A:$A,"F",'Checking Transaction Log'!$B:$B,23)</f>
        <v>1129.3200000000002</v>
      </c>
      <c r="T28" s="232">
        <f t="shared" si="26"/>
        <v>70.679999999999836</v>
      </c>
      <c r="U28" s="273">
        <f>SUMIFS('Checking Transaction Log'!$E:$E,'Checking Transaction Log'!$C:$C,"&gt;="&amp;U1,'Checking Transaction Log'!$C:$C,"&lt;="&amp;V1,'Checking Transaction Log'!$A:$A,"F",'Checking Transaction Log'!$B:$B,23)</f>
        <v>529.46</v>
      </c>
      <c r="V28" s="273">
        <f t="shared" si="27"/>
        <v>670.54</v>
      </c>
      <c r="W28" s="236">
        <f>SUMIFS('Checking Transaction Log'!$E:$E,'Checking Transaction Log'!$C:$C,"&gt;="&amp;W1,'Checking Transaction Log'!$C:$C,"&lt;="&amp;X1,'Checking Transaction Log'!$A:$A,"F",'Checking Transaction Log'!$B:$B,23)</f>
        <v>0</v>
      </c>
      <c r="X28" s="236">
        <f t="shared" si="28"/>
        <v>1200</v>
      </c>
      <c r="Y28" s="276">
        <f>SUMIFS('Checking Transaction Log'!$E:$E,'Checking Transaction Log'!$C:$C,"&gt;="&amp;Y1,'Checking Transaction Log'!$C:$C,"&lt;="&amp;Z1,'Checking Transaction Log'!$A:$A,"F",'Checking Transaction Log'!$B:$B,23)</f>
        <v>0</v>
      </c>
      <c r="Z28" s="276">
        <f t="shared" si="29"/>
        <v>1200</v>
      </c>
      <c r="AA28" s="278">
        <f>SUMIFS('Checking Transaction Log'!$E:$E,'Checking Transaction Log'!$C:$C,"&gt;="&amp;AA1,'Checking Transaction Log'!$C:$C,"&lt;="&amp;AB1,'Checking Transaction Log'!$A:$A,"F",'Checking Transaction Log'!$B:$B,23)</f>
        <v>0</v>
      </c>
      <c r="AB28" s="278">
        <f t="shared" si="30"/>
        <v>1200</v>
      </c>
      <c r="AC28" s="280">
        <f>SUMIFS('Checking Transaction Log'!$E:$E,'Checking Transaction Log'!$C:$C,"&gt;="&amp;AC1,'Checking Transaction Log'!$C:$C,"&lt;="&amp;AD1,'Checking Transaction Log'!$A:$A,"F",'Checking Transaction Log'!$B:$B,23)</f>
        <v>0</v>
      </c>
      <c r="AD28" s="280">
        <f t="shared" si="31"/>
        <v>1200</v>
      </c>
      <c r="AE28" s="282">
        <f>SUMIFS('Checking Transaction Log'!$E:$E,'Checking Transaction Log'!$C:$C,"&gt;="&amp;AE1,'Checking Transaction Log'!$C:$C,"&lt;="&amp;AF1,'Checking Transaction Log'!$A:$A,"F",'Checking Transaction Log'!$B:$B,23)</f>
        <v>0</v>
      </c>
      <c r="AF28" s="282">
        <f t="shared" si="32"/>
        <v>1200</v>
      </c>
    </row>
    <row r="29" spans="1:32" ht="11.25" customHeight="1" x14ac:dyDescent="0.3">
      <c r="A29" s="284" t="str">
        <f>'Proposed Budget'!A29</f>
        <v>F</v>
      </c>
      <c r="B29" s="255">
        <f>'Proposed Budget'!B29</f>
        <v>24</v>
      </c>
      <c r="C29" s="287" t="str">
        <f>'Proposed Budget'!C29</f>
        <v>Ohio Turnpike</v>
      </c>
      <c r="D29" s="288">
        <f t="shared" ca="1" si="17"/>
        <v>105.89664608294933</v>
      </c>
      <c r="E29" s="289">
        <f t="shared" si="18"/>
        <v>755.41000000000008</v>
      </c>
      <c r="F29" s="289">
        <f t="shared" si="19"/>
        <v>56.84</v>
      </c>
      <c r="G29" s="269">
        <f t="shared" si="20"/>
        <v>6.9978454909202847E-2</v>
      </c>
      <c r="H29" s="289">
        <f>'Proposed Budget'!D29</f>
        <v>120</v>
      </c>
      <c r="I29" s="270">
        <f>SUMIFS('Checking Transaction Log'!E:E,'Checking Transaction Log'!C:C,"&gt;="&amp;I1,'Checking Transaction Log'!C:C,"&lt;="&amp;J1,'Checking Transaction Log'!A:A,"F",'Checking Transaction Log'!B:B,24)</f>
        <v>83.42</v>
      </c>
      <c r="J29" s="270">
        <f t="shared" si="21"/>
        <v>36.58</v>
      </c>
      <c r="K29" s="232">
        <f>SUMIFS('Checking Transaction Log'!E:E,'Checking Transaction Log'!C:C,"&gt;="&amp;K1,'Checking Transaction Log'!C:C,"&lt;="&amp;L1,'Checking Transaction Log'!A:A,"F",'Checking Transaction Log'!B:B,24)</f>
        <v>168.41</v>
      </c>
      <c r="L29" s="232">
        <f t="shared" si="22"/>
        <v>-48.41</v>
      </c>
      <c r="M29" s="273">
        <f>SUMIFS('Checking Transaction Log'!$E:$E,'Checking Transaction Log'!$C:$C,"&gt;="&amp;M1,'Checking Transaction Log'!$C:$C,"&lt;="&amp;N1,'Checking Transaction Log'!$A:$A,"F",'Checking Transaction Log'!$B:$B,24)</f>
        <v>86.58</v>
      </c>
      <c r="N29" s="273">
        <f t="shared" si="23"/>
        <v>33.42</v>
      </c>
      <c r="O29" s="236">
        <f>SUMIFS('Checking Transaction Log'!$E:$E,'Checking Transaction Log'!$C:$C,"&gt;="&amp;O1,'Checking Transaction Log'!$C:$C,"&lt;="&amp;P1,'Checking Transaction Log'!$A:$A,"F",'Checking Transaction Log'!$B:$B,24)</f>
        <v>105.33</v>
      </c>
      <c r="P29" s="236">
        <f t="shared" si="24"/>
        <v>14.670000000000002</v>
      </c>
      <c r="Q29" s="270">
        <f>SUMIFS('Checking Transaction Log'!$E:$E,'Checking Transaction Log'!$C:$C,"&gt;="&amp;Q1,'Checking Transaction Log'!$C:$C,"&lt;="&amp;R1,'Checking Transaction Log'!$A:$A,"F",'Checking Transaction Log'!$B:$B,24)</f>
        <v>109.92</v>
      </c>
      <c r="R29" s="270">
        <f t="shared" si="25"/>
        <v>10.079999999999998</v>
      </c>
      <c r="S29" s="232">
        <f>SUMIFS('Checking Transaction Log'!$E:$E,'Checking Transaction Log'!$C:$C,"&gt;="&amp;S1,'Checking Transaction Log'!$C:$C,"&lt;="&amp;T1,'Checking Transaction Log'!$A:$A,"F",'Checking Transaction Log'!$B:$B,24)</f>
        <v>109.5</v>
      </c>
      <c r="T29" s="232">
        <f t="shared" si="26"/>
        <v>10.5</v>
      </c>
      <c r="U29" s="273">
        <f>SUMIFS('Checking Transaction Log'!$E:$E,'Checking Transaction Log'!$C:$C,"&gt;="&amp;U1,'Checking Transaction Log'!$C:$C,"&lt;="&amp;V1,'Checking Transaction Log'!$A:$A,"F",'Checking Transaction Log'!$B:$B,24)</f>
        <v>92.25</v>
      </c>
      <c r="V29" s="273">
        <f t="shared" si="27"/>
        <v>27.75</v>
      </c>
      <c r="W29" s="236">
        <f>SUMIFS('Checking Transaction Log'!$E:$E,'Checking Transaction Log'!$C:$C,"&gt;="&amp;W1,'Checking Transaction Log'!$C:$C,"&lt;="&amp;X1,'Checking Transaction Log'!$A:$A,"F",'Checking Transaction Log'!$B:$B,24)</f>
        <v>0</v>
      </c>
      <c r="X29" s="236">
        <f t="shared" si="28"/>
        <v>120</v>
      </c>
      <c r="Y29" s="276">
        <f>SUMIFS('Checking Transaction Log'!$E:$E,'Checking Transaction Log'!$C:$C,"&gt;="&amp;Y1,'Checking Transaction Log'!$C:$C,"&lt;="&amp;Z1,'Checking Transaction Log'!$A:$A,"F",'Checking Transaction Log'!$B:$B,24)</f>
        <v>0</v>
      </c>
      <c r="Z29" s="276">
        <f t="shared" si="29"/>
        <v>120</v>
      </c>
      <c r="AA29" s="278">
        <f>SUMIFS('Checking Transaction Log'!$E:$E,'Checking Transaction Log'!$C:$C,"&gt;="&amp;AA1,'Checking Transaction Log'!$C:$C,"&lt;="&amp;AB1,'Checking Transaction Log'!$A:$A,"F",'Checking Transaction Log'!$B:$B,24)</f>
        <v>0</v>
      </c>
      <c r="AB29" s="278">
        <f t="shared" si="30"/>
        <v>120</v>
      </c>
      <c r="AC29" s="280">
        <f>SUMIFS('Checking Transaction Log'!$E:$E,'Checking Transaction Log'!$C:$C,"&gt;="&amp;AC1,'Checking Transaction Log'!$C:$C,"&lt;="&amp;AD1,'Checking Transaction Log'!$A:$A,"F",'Checking Transaction Log'!$B:$B,24)</f>
        <v>0</v>
      </c>
      <c r="AD29" s="280">
        <f t="shared" si="31"/>
        <v>120</v>
      </c>
      <c r="AE29" s="282">
        <f>SUMIFS('Checking Transaction Log'!$E:$E,'Checking Transaction Log'!$C:$C,"&gt;="&amp;AE1,'Checking Transaction Log'!$C:$C,"&lt;="&amp;AF1,'Checking Transaction Log'!$A:$A,"F",'Checking Transaction Log'!$B:$B,24)</f>
        <v>0</v>
      </c>
      <c r="AF29" s="282">
        <f t="shared" si="32"/>
        <v>120</v>
      </c>
    </row>
    <row r="30" spans="1:32" ht="11.25" customHeight="1" x14ac:dyDescent="0.3">
      <c r="A30" s="284" t="str">
        <f>'Proposed Budget'!A30</f>
        <v>F</v>
      </c>
      <c r="B30" s="255">
        <f>'Proposed Budget'!B30</f>
        <v>42</v>
      </c>
      <c r="C30" s="287" t="str">
        <f>'Proposed Budget'!C30</f>
        <v>Water Bill - Main</v>
      </c>
      <c r="D30" s="288">
        <f t="shared" ca="1" si="17"/>
        <v>97.74632903225806</v>
      </c>
      <c r="E30" s="289">
        <f t="shared" si="18"/>
        <v>697.27</v>
      </c>
      <c r="F30" s="289">
        <f t="shared" si="19"/>
        <v>-158.47</v>
      </c>
      <c r="G30" s="269">
        <f t="shared" si="20"/>
        <v>-0.29411655530809222</v>
      </c>
      <c r="H30" s="289">
        <f>'Proposed Budget'!D30</f>
        <v>75</v>
      </c>
      <c r="I30" s="270">
        <f>SUMIFS('Checking Transaction Log'!E:E,'Checking Transaction Log'!C:C,"&gt;="&amp;I1,'Checking Transaction Log'!C:C,"&lt;="&amp;J1,'Checking Transaction Log'!A:A,"F",'Checking Transaction Log'!B:B,42)</f>
        <v>80.989999999999995</v>
      </c>
      <c r="J30" s="270">
        <f t="shared" si="21"/>
        <v>-5.9899999999999949</v>
      </c>
      <c r="K30" s="232">
        <f>SUMIFS('Checking Transaction Log'!E:E,'Checking Transaction Log'!C:C,"&gt;="&amp;K1,'Checking Transaction Log'!C:C,"&lt;="&amp;L1,'Checking Transaction Log'!A:A,"F",'Checking Transaction Log'!B:B,42)</f>
        <v>88.44</v>
      </c>
      <c r="L30" s="232">
        <f t="shared" si="22"/>
        <v>-13.439999999999998</v>
      </c>
      <c r="M30" s="273">
        <f>SUMIFS('Checking Transaction Log'!$E:$E,'Checking Transaction Log'!$C:$C,"&gt;="&amp;M1,'Checking Transaction Log'!$C:$C,"&lt;="&amp;N1,'Checking Transaction Log'!$A:$A,"F",'Checking Transaction Log'!$B:$B,42)</f>
        <v>96.25</v>
      </c>
      <c r="N30" s="273">
        <f t="shared" si="23"/>
        <v>-21.25</v>
      </c>
      <c r="O30" s="236">
        <f>SUMIFS('Checking Transaction Log'!$E:$E,'Checking Transaction Log'!$C:$C,"&gt;="&amp;O1,'Checking Transaction Log'!$C:$C,"&lt;="&amp;P1,'Checking Transaction Log'!$A:$A,"F",'Checking Transaction Log'!$B:$B,42)</f>
        <v>88.17</v>
      </c>
      <c r="P30" s="236">
        <f t="shared" si="24"/>
        <v>-13.170000000000002</v>
      </c>
      <c r="Q30" s="270">
        <f>SUMIFS('Checking Transaction Log'!$E:$E,'Checking Transaction Log'!$C:$C,"&gt;="&amp;Q1,'Checking Transaction Log'!$C:$C,"&lt;="&amp;R1,'Checking Transaction Log'!$A:$A,"F",'Checking Transaction Log'!$B:$B,42)</f>
        <v>80.72</v>
      </c>
      <c r="R30" s="270">
        <f t="shared" si="25"/>
        <v>-5.7199999999999989</v>
      </c>
      <c r="S30" s="232">
        <f>SUMIFS('Checking Transaction Log'!$E:$E,'Checking Transaction Log'!$C:$C,"&gt;="&amp;S1,'Checking Transaction Log'!$C:$C,"&lt;="&amp;T1,'Checking Transaction Log'!$A:$A,"F",'Checking Transaction Log'!$B:$B,42)</f>
        <v>173.9</v>
      </c>
      <c r="T30" s="232">
        <f t="shared" si="26"/>
        <v>-98.9</v>
      </c>
      <c r="U30" s="273">
        <f>SUMIFS('Checking Transaction Log'!$E:$E,'Checking Transaction Log'!$C:$C,"&gt;="&amp;U1,'Checking Transaction Log'!$C:$C,"&lt;="&amp;V1,'Checking Transaction Log'!$A:$A,"F",'Checking Transaction Log'!$B:$B,42)</f>
        <v>88.8</v>
      </c>
      <c r="V30" s="273">
        <f t="shared" si="27"/>
        <v>-13.799999999999997</v>
      </c>
      <c r="W30" s="236">
        <f>SUMIFS('Checking Transaction Log'!$E:$E,'Checking Transaction Log'!$C:$C,"&gt;="&amp;W1,'Checking Transaction Log'!$C:$C,"&lt;="&amp;X1,'Checking Transaction Log'!$A:$A,"F",'Checking Transaction Log'!$B:$B,42)</f>
        <v>0</v>
      </c>
      <c r="X30" s="236">
        <f t="shared" si="28"/>
        <v>75</v>
      </c>
      <c r="Y30" s="276">
        <f>SUMIFS('Checking Transaction Log'!$E:$E,'Checking Transaction Log'!$C:$C,"&gt;="&amp;Y1,'Checking Transaction Log'!$C:$C,"&lt;="&amp;Z1,'Checking Transaction Log'!$A:$A,"F",'Checking Transaction Log'!$B:$B,42)</f>
        <v>0</v>
      </c>
      <c r="Z30" s="276">
        <f t="shared" si="29"/>
        <v>75</v>
      </c>
      <c r="AA30" s="278">
        <f>SUMIFS('Checking Transaction Log'!$E:$E,'Checking Transaction Log'!$C:$C,"&gt;="&amp;AA1,'Checking Transaction Log'!$C:$C,"&lt;="&amp;AB1,'Checking Transaction Log'!$A:$A,"F",'Checking Transaction Log'!$B:$B,42)</f>
        <v>0</v>
      </c>
      <c r="AB30" s="278">
        <f t="shared" si="30"/>
        <v>75</v>
      </c>
      <c r="AC30" s="280">
        <f>SUMIFS('Checking Transaction Log'!$E:$E,'Checking Transaction Log'!$C:$C,"&gt;="&amp;AC1,'Checking Transaction Log'!$C:$C,"&lt;="&amp;AD1,'Checking Transaction Log'!$A:$A,"F",'Checking Transaction Log'!$B:$B,42)</f>
        <v>0</v>
      </c>
      <c r="AD30" s="280">
        <f t="shared" si="31"/>
        <v>75</v>
      </c>
      <c r="AE30" s="282">
        <f>SUMIFS('Checking Transaction Log'!$E:$E,'Checking Transaction Log'!$C:$C,"&gt;="&amp;AE1,'Checking Transaction Log'!$C:$C,"&lt;="&amp;AF1,'Checking Transaction Log'!$A:$A,"F",'Checking Transaction Log'!$B:$B,42)</f>
        <v>0</v>
      </c>
      <c r="AF30" s="282">
        <f t="shared" si="32"/>
        <v>75</v>
      </c>
    </row>
    <row r="31" spans="1:32" ht="11.25" customHeight="1" x14ac:dyDescent="0.3">
      <c r="A31" s="284" t="str">
        <f>'Proposed Budget'!A31</f>
        <v>F</v>
      </c>
      <c r="B31" s="255">
        <f>'Proposed Budget'!B31</f>
        <v>43</v>
      </c>
      <c r="C31" s="287" t="str">
        <f>'Proposed Budget'!C31</f>
        <v>Water Bill - Rental</v>
      </c>
      <c r="D31" s="288">
        <f t="shared" ca="1" si="17"/>
        <v>67.717443317972354</v>
      </c>
      <c r="E31" s="289">
        <f t="shared" si="18"/>
        <v>483.06000000000006</v>
      </c>
      <c r="F31" s="289">
        <f t="shared" si="19"/>
        <v>40.209999999999994</v>
      </c>
      <c r="G31" s="269">
        <f t="shared" si="20"/>
        <v>7.6843694459839185E-2</v>
      </c>
      <c r="H31" s="289">
        <f>'Proposed Budget'!D31</f>
        <v>75</v>
      </c>
      <c r="I31" s="270">
        <f>SUMIFS('Checking Transaction Log'!E:E,'Checking Transaction Log'!C:C,"&gt;="&amp;I1,'Checking Transaction Log'!C:C,"&lt;="&amp;J1,'Checking Transaction Log'!A:A,"F",'Checking Transaction Log'!B:B,43)</f>
        <v>66.53</v>
      </c>
      <c r="J31" s="270">
        <f t="shared" si="21"/>
        <v>8.4699999999999989</v>
      </c>
      <c r="K31" s="232">
        <f>SUMIFS('Checking Transaction Log'!E:E,'Checking Transaction Log'!C:C,"&gt;="&amp;K1,'Checking Transaction Log'!C:C,"&lt;="&amp;L1,'Checking Transaction Log'!A:A,"F",'Checking Transaction Log'!B:B,43)</f>
        <v>66.97</v>
      </c>
      <c r="L31" s="232">
        <f t="shared" si="22"/>
        <v>8.0300000000000011</v>
      </c>
      <c r="M31" s="273">
        <f>SUMIFS('Checking Transaction Log'!$E:$E,'Checking Transaction Log'!$C:$C,"&gt;="&amp;M1,'Checking Transaction Log'!$C:$C,"&lt;="&amp;N1,'Checking Transaction Log'!$A:$A,"F",'Checking Transaction Log'!$B:$B,43)</f>
        <v>65.19</v>
      </c>
      <c r="N31" s="273">
        <f t="shared" si="23"/>
        <v>9.8100000000000023</v>
      </c>
      <c r="O31" s="236">
        <f>SUMIFS('Checking Transaction Log'!$E:$E,'Checking Transaction Log'!$C:$C,"&gt;="&amp;O1,'Checking Transaction Log'!$C:$C,"&lt;="&amp;P1,'Checking Transaction Log'!$A:$A,"F",'Checking Transaction Log'!$B:$B,43)</f>
        <v>73.27000000000001</v>
      </c>
      <c r="P31" s="236">
        <f t="shared" si="24"/>
        <v>1.7299999999999898</v>
      </c>
      <c r="Q31" s="270">
        <f>SUMIFS('Checking Transaction Log'!$E:$E,'Checking Transaction Log'!$C:$C,"&gt;="&amp;Q1,'Checking Transaction Log'!$C:$C,"&lt;="&amp;R1,'Checking Transaction Log'!$A:$A,"F",'Checking Transaction Log'!$B:$B,43)</f>
        <v>65.19</v>
      </c>
      <c r="R31" s="270">
        <f t="shared" si="25"/>
        <v>9.8100000000000023</v>
      </c>
      <c r="S31" s="232">
        <f>SUMIFS('Checking Transaction Log'!$E:$E,'Checking Transaction Log'!$C:$C,"&gt;="&amp;S1,'Checking Transaction Log'!$C:$C,"&lt;="&amp;T1,'Checking Transaction Log'!$A:$A,"F",'Checking Transaction Log'!$B:$B,43)</f>
        <v>72.64</v>
      </c>
      <c r="T31" s="232">
        <f t="shared" si="26"/>
        <v>2.3599999999999994</v>
      </c>
      <c r="U31" s="273">
        <f>SUMIFS('Checking Transaction Log'!$E:$E,'Checking Transaction Log'!$C:$C,"&gt;="&amp;U1,'Checking Transaction Log'!$C:$C,"&lt;="&amp;V1,'Checking Transaction Log'!$A:$A,"F",'Checking Transaction Log'!$B:$B,43)</f>
        <v>73.27000000000001</v>
      </c>
      <c r="V31" s="273">
        <f t="shared" si="27"/>
        <v>1.7299999999999898</v>
      </c>
      <c r="W31" s="236">
        <f>SUMIFS('Checking Transaction Log'!$E:$E,'Checking Transaction Log'!$C:$C,"&gt;="&amp;W1,'Checking Transaction Log'!$C:$C,"&lt;="&amp;X1,'Checking Transaction Log'!$A:$A,"F",'Checking Transaction Log'!$B:$B,43)</f>
        <v>0</v>
      </c>
      <c r="X31" s="236">
        <f t="shared" si="28"/>
        <v>75</v>
      </c>
      <c r="Y31" s="276">
        <f>SUMIFS('Checking Transaction Log'!$E:$E,'Checking Transaction Log'!$C:$C,"&gt;="&amp;Y1,'Checking Transaction Log'!$C:$C,"&lt;="&amp;Z1,'Checking Transaction Log'!$A:$A,"F",'Checking Transaction Log'!$B:$B,43)</f>
        <v>0</v>
      </c>
      <c r="Z31" s="276">
        <f t="shared" si="29"/>
        <v>75</v>
      </c>
      <c r="AA31" s="278">
        <f>SUMIFS('Checking Transaction Log'!$E:$E,'Checking Transaction Log'!$C:$C,"&gt;="&amp;AA1,'Checking Transaction Log'!$C:$C,"&lt;="&amp;AB1,'Checking Transaction Log'!$A:$A,"F",'Checking Transaction Log'!$B:$B,43)</f>
        <v>0</v>
      </c>
      <c r="AB31" s="278">
        <f t="shared" si="30"/>
        <v>75</v>
      </c>
      <c r="AC31" s="280">
        <f>SUMIFS('Checking Transaction Log'!$E:$E,'Checking Transaction Log'!$C:$C,"&gt;="&amp;AC1,'Checking Transaction Log'!$C:$C,"&lt;="&amp;AD1,'Checking Transaction Log'!$A:$A,"F",'Checking Transaction Log'!$B:$B,43)</f>
        <v>0</v>
      </c>
      <c r="AD31" s="280">
        <f t="shared" si="31"/>
        <v>75</v>
      </c>
      <c r="AE31" s="282">
        <f>SUMIFS('Checking Transaction Log'!$E:$E,'Checking Transaction Log'!$C:$C,"&gt;="&amp;AE1,'Checking Transaction Log'!$C:$C,"&lt;="&amp;AF1,'Checking Transaction Log'!$A:$A,"F",'Checking Transaction Log'!$B:$B,43)</f>
        <v>0</v>
      </c>
      <c r="AF31" s="282">
        <f t="shared" si="32"/>
        <v>75</v>
      </c>
    </row>
    <row r="32" spans="1:32" ht="15" customHeight="1" x14ac:dyDescent="0.3">
      <c r="D32" s="39"/>
    </row>
    <row r="33" spans="1:32" ht="11.25" customHeight="1" x14ac:dyDescent="0.3">
      <c r="A33" s="284" t="str">
        <f>'Proposed Budget'!A33</f>
        <v>R</v>
      </c>
      <c r="B33" s="255">
        <f>'Proposed Budget'!B33</f>
        <v>25</v>
      </c>
      <c r="C33" s="287" t="str">
        <f>'Proposed Budget'!C33</f>
        <v>Vehicle Maintenance</v>
      </c>
      <c r="D33" s="288">
        <f t="shared" ref="D33:D43" ca="1" si="33">(E33/(TODAY()-$I$1))*30.42</f>
        <v>343.45161290322585</v>
      </c>
      <c r="E33" s="289">
        <f t="shared" ref="E33:E43" si="34">Q33+S33+U33+W33+Y33+AA33+AC33+AE33+I33+K33+M33+O33</f>
        <v>2450</v>
      </c>
      <c r="F33" s="289">
        <f t="shared" ref="F33:F43" si="35">J33+L33+N33+P33+R33+T33</f>
        <v>0</v>
      </c>
      <c r="G33" s="269">
        <f t="shared" ref="G33:G43" si="36">1-((E33/SUM(E33:F33)))</f>
        <v>0</v>
      </c>
      <c r="H33" s="289">
        <f>'Proposed Budget'!D33</f>
        <v>350</v>
      </c>
      <c r="I33" s="270">
        <f>SUMIFS('Checking Transaction Log'!$E:$E,'Checking Transaction Log'!$C:$C,"&gt;="&amp;I1,'Checking Transaction Log'!$C:$C,"&lt;="&amp;J1,'Checking Transaction Log'!$A:$A,"R",'Checking Transaction Log'!$B:$B,25)</f>
        <v>350</v>
      </c>
      <c r="J33" s="270">
        <f t="shared" ref="J33:J43" si="37">H33-I33</f>
        <v>0</v>
      </c>
      <c r="K33" s="232">
        <f>SUMIFS('Checking Transaction Log'!$E:$E,'Checking Transaction Log'!$C:$C,"&gt;="&amp;K1,'Checking Transaction Log'!$C:$C,"&lt;="&amp;L1,'Checking Transaction Log'!$A:$A,"R",'Checking Transaction Log'!$B:$B,25)</f>
        <v>350</v>
      </c>
      <c r="L33" s="232">
        <f t="shared" ref="L33:L43" si="38">H33-K33</f>
        <v>0</v>
      </c>
      <c r="M33" s="273">
        <f>SUMIFS('Checking Transaction Log'!$E:$E,'Checking Transaction Log'!$C:$C,"&gt;="&amp;M1,'Checking Transaction Log'!$C:$C,"&lt;="&amp;N1,'Checking Transaction Log'!$A:$A,"R",'Checking Transaction Log'!$B:$B,25)</f>
        <v>350</v>
      </c>
      <c r="N33" s="273">
        <f t="shared" ref="N33:N43" si="39">H33-M33</f>
        <v>0</v>
      </c>
      <c r="O33" s="236">
        <f>SUMIFS('Checking Transaction Log'!$E:$E,'Checking Transaction Log'!$C:$C,"&gt;="&amp;O1,'Checking Transaction Log'!$C:$C,"&lt;="&amp;P1,'Checking Transaction Log'!$A:$A,"R",'Checking Transaction Log'!$B:$B,25)</f>
        <v>350</v>
      </c>
      <c r="P33" s="236">
        <f t="shared" ref="P33:P43" si="40">H33-O33</f>
        <v>0</v>
      </c>
      <c r="Q33" s="270">
        <f>SUMIFS('Checking Transaction Log'!$E:$E,'Checking Transaction Log'!$C:$C,"&gt;="&amp;Q1,'Checking Transaction Log'!$C:$C,"&lt;="&amp;R1,'Checking Transaction Log'!$A:$A,"R",'Checking Transaction Log'!$B:$B,25)</f>
        <v>350</v>
      </c>
      <c r="R33" s="270">
        <f t="shared" ref="R33:R43" si="41">H33-Q33</f>
        <v>0</v>
      </c>
      <c r="S33" s="232">
        <f>SUMIFS('Checking Transaction Log'!$E:$E,'Checking Transaction Log'!$C:$C,"&gt;="&amp;S1,'Checking Transaction Log'!$C:$C,"&lt;="&amp;T1,'Checking Transaction Log'!$A:$A,"R",'Checking Transaction Log'!$B:$B,25)</f>
        <v>350</v>
      </c>
      <c r="T33" s="232">
        <f t="shared" ref="T33:T43" si="42">H33-S33</f>
        <v>0</v>
      </c>
      <c r="U33" s="273">
        <f>SUMIFS('Checking Transaction Log'!$E:$E,'Checking Transaction Log'!$C:$C,"&gt;="&amp;U1,'Checking Transaction Log'!$C:$C,"&lt;="&amp;V1,'Checking Transaction Log'!$A:$A,"R",'Checking Transaction Log'!$B:$B,25)</f>
        <v>350</v>
      </c>
      <c r="V33" s="273">
        <f t="shared" ref="V33:V43" si="43">H33-U33</f>
        <v>0</v>
      </c>
      <c r="W33" s="236">
        <f>SUMIFS('Checking Transaction Log'!$E:$E,'Checking Transaction Log'!$C:$C,"&gt;="&amp;W1,'Checking Transaction Log'!$C:$C,"&lt;="&amp;X1,'Checking Transaction Log'!$A:$A,"R",'Checking Transaction Log'!$B:$B,25)</f>
        <v>0</v>
      </c>
      <c r="X33" s="236">
        <f t="shared" ref="X33:X43" si="44">H33-W33</f>
        <v>350</v>
      </c>
      <c r="Y33" s="276">
        <f>SUMIFS('Checking Transaction Log'!$E:$E,'Checking Transaction Log'!$C:$C,"&gt;="&amp;Y1,'Checking Transaction Log'!$C:$C,"&lt;="&amp;Z1,'Checking Transaction Log'!$A:$A,"R",'Checking Transaction Log'!$B:$B,25)</f>
        <v>0</v>
      </c>
      <c r="Z33" s="276">
        <f t="shared" ref="Z33:Z43" si="45">H33-Y33</f>
        <v>350</v>
      </c>
      <c r="AA33" s="278">
        <f>SUMIFS('Checking Transaction Log'!$E:$E,'Checking Transaction Log'!$C:$C,"&gt;="&amp;AA1,'Checking Transaction Log'!$C:$C,"&lt;="&amp;AB1,'Checking Transaction Log'!$A:$A,"R",'Checking Transaction Log'!$B:$B,25)</f>
        <v>0</v>
      </c>
      <c r="AB33" s="278">
        <f t="shared" ref="AB33:AB43" si="46">H33-AA33</f>
        <v>350</v>
      </c>
      <c r="AC33" s="280">
        <f>SUMIFS('Checking Transaction Log'!$E:$E,'Checking Transaction Log'!$C:$C,"&gt;="&amp;AC1,'Checking Transaction Log'!$C:$C,"&lt;="&amp;AD1,'Checking Transaction Log'!$A:$A,"R",'Checking Transaction Log'!$B:$B,25)</f>
        <v>0</v>
      </c>
      <c r="AD33" s="280">
        <f t="shared" ref="AD33:AD43" si="47">H33-AC33</f>
        <v>350</v>
      </c>
      <c r="AE33" s="282">
        <f>SUMIFS('Checking Transaction Log'!$E:$E,'Checking Transaction Log'!$C:$C,"&gt;="&amp;AE1,'Checking Transaction Log'!$C:$C,"&lt;="&amp;AF1,'Checking Transaction Log'!$A:$A,"R",'Checking Transaction Log'!$B:$B,25)</f>
        <v>0</v>
      </c>
      <c r="AF33" s="282">
        <f t="shared" ref="AF33:AF43" si="48">H33-AE33</f>
        <v>350</v>
      </c>
    </row>
    <row r="34" spans="1:32" ht="11.25" customHeight="1" x14ac:dyDescent="0.3">
      <c r="A34" s="284" t="str">
        <f>'Proposed Budget'!A34</f>
        <v>R</v>
      </c>
      <c r="B34" s="255">
        <f>'Proposed Budget'!B34</f>
        <v>26</v>
      </c>
      <c r="C34" s="287" t="str">
        <f>'Proposed Budget'!C34</f>
        <v>Car Insurance</v>
      </c>
      <c r="D34" s="288">
        <f t="shared" ca="1" si="33"/>
        <v>314.01290322580644</v>
      </c>
      <c r="E34" s="289">
        <f t="shared" si="34"/>
        <v>2240</v>
      </c>
      <c r="F34" s="289">
        <f t="shared" si="35"/>
        <v>0</v>
      </c>
      <c r="G34" s="269">
        <f t="shared" si="36"/>
        <v>0</v>
      </c>
      <c r="H34" s="289">
        <f>'Proposed Budget'!D34</f>
        <v>320</v>
      </c>
      <c r="I34" s="270">
        <f>SUMIFS('Checking Transaction Log'!E:E,'Checking Transaction Log'!C:C,"&gt;="&amp;I1,'Checking Transaction Log'!C:C,"&lt;="&amp;J1,'Checking Transaction Log'!A:A,"R",'Checking Transaction Log'!B:B,26)</f>
        <v>320</v>
      </c>
      <c r="J34" s="270">
        <f t="shared" si="37"/>
        <v>0</v>
      </c>
      <c r="K34" s="232">
        <f>SUMIFS('Checking Transaction Log'!$E:$E,'Checking Transaction Log'!$C:$C,"&gt;="&amp;K1,'Checking Transaction Log'!$C:$C,"&lt;="&amp;L1,'Checking Transaction Log'!$A:$A,"R",'Checking Transaction Log'!$B:$B,26)</f>
        <v>320</v>
      </c>
      <c r="L34" s="232">
        <f t="shared" si="38"/>
        <v>0</v>
      </c>
      <c r="M34" s="273">
        <f>SUMIFS('Checking Transaction Log'!$E:$E,'Checking Transaction Log'!$C:$C,"&gt;="&amp;M1,'Checking Transaction Log'!$C:$C,"&lt;="&amp;N1,'Checking Transaction Log'!$A:$A,"R",'Checking Transaction Log'!$B:$B,26)</f>
        <v>320</v>
      </c>
      <c r="N34" s="273">
        <f t="shared" si="39"/>
        <v>0</v>
      </c>
      <c r="O34" s="236">
        <f>SUMIFS('Checking Transaction Log'!$E:$E,'Checking Transaction Log'!$C:$C,"&gt;="&amp;O1,'Checking Transaction Log'!$C:$C,"&lt;="&amp;P1,'Checking Transaction Log'!$A:$A,"R",'Checking Transaction Log'!$B:$B,26)</f>
        <v>320</v>
      </c>
      <c r="P34" s="236">
        <f t="shared" si="40"/>
        <v>0</v>
      </c>
      <c r="Q34" s="270">
        <f>SUMIFS('Checking Transaction Log'!$E:$E,'Checking Transaction Log'!$C:$C,"&gt;="&amp;Q1,'Checking Transaction Log'!$C:$C,"&lt;="&amp;R1,'Checking Transaction Log'!$A:$A,"R",'Checking Transaction Log'!$B:$B,26)</f>
        <v>320</v>
      </c>
      <c r="R34" s="270">
        <f t="shared" si="41"/>
        <v>0</v>
      </c>
      <c r="S34" s="232">
        <f>SUMIFS('Checking Transaction Log'!$E:$E,'Checking Transaction Log'!$C:$C,"&gt;="&amp;S1,'Checking Transaction Log'!$C:$C,"&lt;="&amp;T1,'Checking Transaction Log'!$A:$A,"R",'Checking Transaction Log'!$B:$B,26)</f>
        <v>320</v>
      </c>
      <c r="T34" s="232">
        <f t="shared" si="42"/>
        <v>0</v>
      </c>
      <c r="U34" s="273">
        <f>SUMIFS('Checking Transaction Log'!$E:$E,'Checking Transaction Log'!$C:$C,"&gt;="&amp;U1,'Checking Transaction Log'!$C:$C,"&lt;="&amp;V1,'Checking Transaction Log'!$A:$A,"R",'Checking Transaction Log'!$B:$B,26)</f>
        <v>320</v>
      </c>
      <c r="V34" s="273">
        <f t="shared" si="43"/>
        <v>0</v>
      </c>
      <c r="W34" s="236">
        <f>SUMIFS('Checking Transaction Log'!$E:$E,'Checking Transaction Log'!$C:$C,"&gt;="&amp;W1,'Checking Transaction Log'!$C:$C,"&lt;="&amp;X1,'Checking Transaction Log'!$A:$A,"R",'Checking Transaction Log'!$B:$B,26)</f>
        <v>0</v>
      </c>
      <c r="X34" s="236">
        <f t="shared" si="44"/>
        <v>320</v>
      </c>
      <c r="Y34" s="276">
        <f>SUMIFS('Checking Transaction Log'!$E:$E,'Checking Transaction Log'!$C:$C,"&gt;="&amp;Y1,'Checking Transaction Log'!$C:$C,"&lt;="&amp;Z1,'Checking Transaction Log'!$A:$A,"R",'Checking Transaction Log'!$B:$B,26)</f>
        <v>0</v>
      </c>
      <c r="Z34" s="276">
        <f t="shared" si="45"/>
        <v>320</v>
      </c>
      <c r="AA34" s="278">
        <f>SUMIFS('Checking Transaction Log'!$E:$E,'Checking Transaction Log'!$C:$C,"&gt;="&amp;AA1,'Checking Transaction Log'!$C:$C,"&lt;="&amp;AB1,'Checking Transaction Log'!$A:$A,"R",'Checking Transaction Log'!$B:$B,26)</f>
        <v>0</v>
      </c>
      <c r="AB34" s="278">
        <f t="shared" si="46"/>
        <v>320</v>
      </c>
      <c r="AC34" s="280">
        <f>SUMIFS('Checking Transaction Log'!$E:$E,'Checking Transaction Log'!$C:$C,"&gt;="&amp;AC1,'Checking Transaction Log'!$C:$C,"&lt;="&amp;AD1,'Checking Transaction Log'!$A:$A,"R",'Checking Transaction Log'!$B:$B,26)</f>
        <v>0</v>
      </c>
      <c r="AD34" s="280">
        <f t="shared" si="47"/>
        <v>320</v>
      </c>
      <c r="AE34" s="282">
        <f>SUMIFS('Checking Transaction Log'!$E:$E,'Checking Transaction Log'!$C:$C,"&gt;="&amp;AE1,'Checking Transaction Log'!$C:$C,"&lt;="&amp;AF1,'Checking Transaction Log'!$A:$A,"R",'Checking Transaction Log'!$B:$B,26)</f>
        <v>0</v>
      </c>
      <c r="AF34" s="282">
        <f t="shared" si="48"/>
        <v>320</v>
      </c>
    </row>
    <row r="35" spans="1:32" ht="11.25" customHeight="1" x14ac:dyDescent="0.3">
      <c r="A35" s="284" t="str">
        <f>'Proposed Budget'!A35</f>
        <v>R</v>
      </c>
      <c r="B35" s="255">
        <f>'Proposed Budget'!B35</f>
        <v>27</v>
      </c>
      <c r="C35" s="287" t="str">
        <f>'Proposed Budget'!C35</f>
        <v>Rental Garbage</v>
      </c>
      <c r="D35" s="288">
        <f t="shared" ca="1" si="33"/>
        <v>24.532258064516128</v>
      </c>
      <c r="E35" s="289">
        <f t="shared" si="34"/>
        <v>175</v>
      </c>
      <c r="F35" s="289">
        <f t="shared" si="35"/>
        <v>0</v>
      </c>
      <c r="G35" s="269">
        <f t="shared" si="36"/>
        <v>0</v>
      </c>
      <c r="H35" s="289">
        <f>'Proposed Budget'!D35</f>
        <v>25</v>
      </c>
      <c r="I35" s="270">
        <f>SUMIFS('Checking Transaction Log'!E:E,'Checking Transaction Log'!C:C,"&gt;="&amp;I1,'Checking Transaction Log'!C:C,"&lt;="&amp;J1,'Checking Transaction Log'!A:A,"R",'Checking Transaction Log'!B:B,27)</f>
        <v>25</v>
      </c>
      <c r="J35" s="270">
        <f t="shared" si="37"/>
        <v>0</v>
      </c>
      <c r="K35" s="232">
        <f>SUMIFS('Checking Transaction Log'!$E:$E,'Checking Transaction Log'!$C:$C,"&gt;="&amp;K1,'Checking Transaction Log'!$C:$C,"&lt;="&amp;L1,'Checking Transaction Log'!$A:$A,"R",'Checking Transaction Log'!$B:$B,27)</f>
        <v>25</v>
      </c>
      <c r="L35" s="232">
        <f t="shared" si="38"/>
        <v>0</v>
      </c>
      <c r="M35" s="273">
        <f>SUMIFS('Checking Transaction Log'!$E:$E,'Checking Transaction Log'!$C:$C,"&gt;="&amp;M1,'Checking Transaction Log'!$C:$C,"&lt;="&amp;N1,'Checking Transaction Log'!$A:$A,"R",'Checking Transaction Log'!$B:$B,27)</f>
        <v>25</v>
      </c>
      <c r="N35" s="273">
        <f t="shared" si="39"/>
        <v>0</v>
      </c>
      <c r="O35" s="236">
        <f>SUMIFS('Checking Transaction Log'!$E:$E,'Checking Transaction Log'!$C:$C,"&gt;="&amp;O1,'Checking Transaction Log'!$C:$C,"&lt;="&amp;P1,'Checking Transaction Log'!$A:$A,"R",'Checking Transaction Log'!$B:$B,27)</f>
        <v>25</v>
      </c>
      <c r="P35" s="236">
        <f t="shared" si="40"/>
        <v>0</v>
      </c>
      <c r="Q35" s="270">
        <f>SUMIFS('Checking Transaction Log'!$E:$E,'Checking Transaction Log'!$C:$C,"&gt;="&amp;Q1,'Checking Transaction Log'!$C:$C,"&lt;="&amp;R1,'Checking Transaction Log'!$A:$A,"R",'Checking Transaction Log'!$B:$B,27)</f>
        <v>25</v>
      </c>
      <c r="R35" s="270">
        <f t="shared" si="41"/>
        <v>0</v>
      </c>
      <c r="S35" s="232">
        <f>SUMIFS('Checking Transaction Log'!$E:$E,'Checking Transaction Log'!$C:$C,"&gt;="&amp;S1,'Checking Transaction Log'!$C:$C,"&lt;="&amp;T1,'Checking Transaction Log'!$A:$A,"R",'Checking Transaction Log'!$B:$B,27)</f>
        <v>25</v>
      </c>
      <c r="T35" s="232">
        <f t="shared" si="42"/>
        <v>0</v>
      </c>
      <c r="U35" s="273">
        <f>SUMIFS('Checking Transaction Log'!$E:$E,'Checking Transaction Log'!$C:$C,"&gt;="&amp;U1,'Checking Transaction Log'!$C:$C,"&lt;="&amp;V1,'Checking Transaction Log'!$A:$A,"R",'Checking Transaction Log'!$B:$B,27)</f>
        <v>25</v>
      </c>
      <c r="V35" s="273">
        <f t="shared" si="43"/>
        <v>0</v>
      </c>
      <c r="W35" s="236">
        <f>SUMIFS('Checking Transaction Log'!$E:$E,'Checking Transaction Log'!$C:$C,"&gt;="&amp;W1,'Checking Transaction Log'!$C:$C,"&lt;="&amp;X1,'Checking Transaction Log'!$A:$A,"R",'Checking Transaction Log'!$B:$B,27)</f>
        <v>0</v>
      </c>
      <c r="X35" s="236">
        <f t="shared" si="44"/>
        <v>25</v>
      </c>
      <c r="Y35" s="276">
        <f>SUMIFS('Checking Transaction Log'!$E:$E,'Checking Transaction Log'!$C:$C,"&gt;="&amp;Y1,'Checking Transaction Log'!$C:$C,"&lt;="&amp;Z1,'Checking Transaction Log'!$A:$A,"R",'Checking Transaction Log'!$B:$B,27)</f>
        <v>0</v>
      </c>
      <c r="Z35" s="276">
        <f t="shared" si="45"/>
        <v>25</v>
      </c>
      <c r="AA35" s="278">
        <f>SUMIFS('Checking Transaction Log'!$E:$E,'Checking Transaction Log'!$C:$C,"&gt;="&amp;AA1,'Checking Transaction Log'!$C:$C,"&lt;="&amp;AB1,'Checking Transaction Log'!$A:$A,"R",'Checking Transaction Log'!$B:$B,27)</f>
        <v>0</v>
      </c>
      <c r="AB35" s="278">
        <f t="shared" si="46"/>
        <v>25</v>
      </c>
      <c r="AC35" s="280">
        <f>SUMIFS('Checking Transaction Log'!$E:$E,'Checking Transaction Log'!$C:$C,"&gt;="&amp;AC1,'Checking Transaction Log'!$C:$C,"&lt;="&amp;AD1,'Checking Transaction Log'!$A:$A,"R",'Checking Transaction Log'!$B:$B,27)</f>
        <v>0</v>
      </c>
      <c r="AD35" s="280">
        <f t="shared" si="47"/>
        <v>25</v>
      </c>
      <c r="AE35" s="282">
        <f>SUMIFS('Checking Transaction Log'!$E:$E,'Checking Transaction Log'!$C:$C,"&gt;="&amp;AE1,'Checking Transaction Log'!$C:$C,"&lt;="&amp;AF1,'Checking Transaction Log'!$A:$A,"R",'Checking Transaction Log'!$B:$B,27)</f>
        <v>0</v>
      </c>
      <c r="AF35" s="282">
        <f t="shared" si="48"/>
        <v>25</v>
      </c>
    </row>
    <row r="36" spans="1:32" ht="11.25" customHeight="1" x14ac:dyDescent="0.3">
      <c r="A36" s="284" t="str">
        <f>'Proposed Budget'!A36</f>
        <v>R</v>
      </c>
      <c r="B36" s="255">
        <f>'Proposed Budget'!B36</f>
        <v>28</v>
      </c>
      <c r="C36" s="287" t="str">
        <f>'Proposed Budget'!C36</f>
        <v>Garbage</v>
      </c>
      <c r="D36" s="288">
        <f t="shared" ca="1" si="33"/>
        <v>24.532258064516128</v>
      </c>
      <c r="E36" s="289">
        <f t="shared" si="34"/>
        <v>175</v>
      </c>
      <c r="F36" s="289">
        <f t="shared" si="35"/>
        <v>0</v>
      </c>
      <c r="G36" s="269">
        <f t="shared" si="36"/>
        <v>0</v>
      </c>
      <c r="H36" s="289">
        <f>'Proposed Budget'!D36</f>
        <v>25</v>
      </c>
      <c r="I36" s="270">
        <f>SUMIFS('Checking Transaction Log'!E:E,'Checking Transaction Log'!C:C,"&gt;="&amp;I1,'Checking Transaction Log'!C:C,"&lt;="&amp;J1,'Checking Transaction Log'!A:A,"R",'Checking Transaction Log'!B:B,28)</f>
        <v>25</v>
      </c>
      <c r="J36" s="270">
        <f t="shared" si="37"/>
        <v>0</v>
      </c>
      <c r="K36" s="232">
        <f>SUMIFS('Checking Transaction Log'!$E:$E,'Checking Transaction Log'!$C:$C,"&gt;="&amp;K1,'Checking Transaction Log'!$C:$C,"&lt;="&amp;L1,'Checking Transaction Log'!$A:$A,"R",'Checking Transaction Log'!$B:$B,28)</f>
        <v>25</v>
      </c>
      <c r="L36" s="232">
        <f t="shared" si="38"/>
        <v>0</v>
      </c>
      <c r="M36" s="273">
        <f>SUMIFS('Checking Transaction Log'!$E:$E,'Checking Transaction Log'!$C:$C,"&gt;="&amp;M1,'Checking Transaction Log'!$C:$C,"&lt;="&amp;N1,'Checking Transaction Log'!$A:$A,"R",'Checking Transaction Log'!$B:$B,28)</f>
        <v>25</v>
      </c>
      <c r="N36" s="273">
        <f t="shared" si="39"/>
        <v>0</v>
      </c>
      <c r="O36" s="236">
        <f>SUMIFS('Checking Transaction Log'!$E:$E,'Checking Transaction Log'!$C:$C,"&gt;="&amp;O1,'Checking Transaction Log'!$C:$C,"&lt;="&amp;P1,'Checking Transaction Log'!$A:$A,"R",'Checking Transaction Log'!$B:$B,28)</f>
        <v>25</v>
      </c>
      <c r="P36" s="236">
        <f t="shared" si="40"/>
        <v>0</v>
      </c>
      <c r="Q36" s="270">
        <f>SUMIFS('Checking Transaction Log'!$E:$E,'Checking Transaction Log'!$C:$C,"&gt;="&amp;Q1,'Checking Transaction Log'!$C:$C,"&lt;="&amp;R1,'Checking Transaction Log'!$A:$A,"R",'Checking Transaction Log'!$B:$B,28)</f>
        <v>25</v>
      </c>
      <c r="R36" s="270">
        <f t="shared" si="41"/>
        <v>0</v>
      </c>
      <c r="S36" s="232">
        <f>SUMIFS('Checking Transaction Log'!$E:$E,'Checking Transaction Log'!$C:$C,"&gt;="&amp;S1,'Checking Transaction Log'!$C:$C,"&lt;="&amp;T1,'Checking Transaction Log'!$A:$A,"R",'Checking Transaction Log'!$B:$B,28)</f>
        <v>25</v>
      </c>
      <c r="T36" s="232">
        <f t="shared" si="42"/>
        <v>0</v>
      </c>
      <c r="U36" s="273">
        <f>SUMIFS('Checking Transaction Log'!$E:$E,'Checking Transaction Log'!$C:$C,"&gt;="&amp;U1,'Checking Transaction Log'!$C:$C,"&lt;="&amp;V1,'Checking Transaction Log'!$A:$A,"R",'Checking Transaction Log'!$B:$B,28)</f>
        <v>25</v>
      </c>
      <c r="V36" s="273">
        <f t="shared" si="43"/>
        <v>0</v>
      </c>
      <c r="W36" s="236">
        <f>SUMIFS('Checking Transaction Log'!$E:$E,'Checking Transaction Log'!$C:$C,"&gt;="&amp;W1,'Checking Transaction Log'!$C:$C,"&lt;="&amp;X1,'Checking Transaction Log'!$A:$A,"R",'Checking Transaction Log'!$B:$B,28)</f>
        <v>0</v>
      </c>
      <c r="X36" s="236">
        <f t="shared" si="44"/>
        <v>25</v>
      </c>
      <c r="Y36" s="276">
        <f>SUMIFS('Checking Transaction Log'!$E:$E,'Checking Transaction Log'!$C:$C,"&gt;="&amp;Y1,'Checking Transaction Log'!$C:$C,"&lt;="&amp;Z1,'Checking Transaction Log'!$A:$A,"R",'Checking Transaction Log'!$B:$B,28)</f>
        <v>0</v>
      </c>
      <c r="Z36" s="276">
        <f t="shared" si="45"/>
        <v>25</v>
      </c>
      <c r="AA36" s="278">
        <f>SUMIFS('Checking Transaction Log'!$E:$E,'Checking Transaction Log'!$C:$C,"&gt;="&amp;AA1,'Checking Transaction Log'!$C:$C,"&lt;="&amp;AB1,'Checking Transaction Log'!$A:$A,"R",'Checking Transaction Log'!$B:$B,28)</f>
        <v>0</v>
      </c>
      <c r="AB36" s="278">
        <f t="shared" si="46"/>
        <v>25</v>
      </c>
      <c r="AC36" s="280">
        <f>SUMIFS('Checking Transaction Log'!$E:$E,'Checking Transaction Log'!$C:$C,"&gt;="&amp;AC1,'Checking Transaction Log'!$C:$C,"&lt;="&amp;AD1,'Checking Transaction Log'!$A:$A,"R",'Checking Transaction Log'!$B:$B,28)</f>
        <v>0</v>
      </c>
      <c r="AD36" s="280">
        <f t="shared" si="47"/>
        <v>25</v>
      </c>
      <c r="AE36" s="282">
        <f>SUMIFS('Checking Transaction Log'!$E:$E,'Checking Transaction Log'!$C:$C,"&gt;="&amp;AE1,'Checking Transaction Log'!$C:$C,"&lt;="&amp;AF1,'Checking Transaction Log'!$A:$A,"R",'Checking Transaction Log'!$B:$B,28)</f>
        <v>0</v>
      </c>
      <c r="AF36" s="282">
        <f t="shared" si="48"/>
        <v>25</v>
      </c>
    </row>
    <row r="37" spans="1:32" ht="11.25" customHeight="1" x14ac:dyDescent="0.3">
      <c r="A37" s="284" t="str">
        <f>'Proposed Budget'!A37</f>
        <v>R</v>
      </c>
      <c r="B37" s="255">
        <f>'Proposed Budget'!B37</f>
        <v>29</v>
      </c>
      <c r="C37" s="287" t="str">
        <f>'Proposed Budget'!C37</f>
        <v>Sanitation - Main</v>
      </c>
      <c r="D37" s="288">
        <f t="shared" ca="1" si="33"/>
        <v>44.158064516129038</v>
      </c>
      <c r="E37" s="289">
        <f t="shared" si="34"/>
        <v>315</v>
      </c>
      <c r="F37" s="289">
        <f t="shared" si="35"/>
        <v>0</v>
      </c>
      <c r="G37" s="269">
        <f t="shared" si="36"/>
        <v>0</v>
      </c>
      <c r="H37" s="289">
        <f>'Proposed Budget'!D37</f>
        <v>45</v>
      </c>
      <c r="I37" s="270">
        <f>SUMIFS('Checking Transaction Log'!E:E,'Checking Transaction Log'!C:C,"&gt;="&amp;I1,'Checking Transaction Log'!C:C,"&lt;="&amp;J1,'Checking Transaction Log'!A:A,"R",'Checking Transaction Log'!B:B,29)</f>
        <v>45</v>
      </c>
      <c r="J37" s="270">
        <f t="shared" si="37"/>
        <v>0</v>
      </c>
      <c r="K37" s="232">
        <f>SUMIFS('Checking Transaction Log'!$E:$E,'Checking Transaction Log'!$C:$C,"&gt;="&amp;K1,'Checking Transaction Log'!$C:$C,"&lt;="&amp;L1,'Checking Transaction Log'!$A:$A,"R",'Checking Transaction Log'!$B:$B,29)</f>
        <v>45</v>
      </c>
      <c r="L37" s="232">
        <f t="shared" si="38"/>
        <v>0</v>
      </c>
      <c r="M37" s="273">
        <f>SUMIFS('Checking Transaction Log'!$E:$E,'Checking Transaction Log'!$C:$C,"&gt;="&amp;M1,'Checking Transaction Log'!$C:$C,"&lt;="&amp;N1,'Checking Transaction Log'!$A:$A,"R",'Checking Transaction Log'!$B:$B,29)</f>
        <v>45</v>
      </c>
      <c r="N37" s="273">
        <f t="shared" si="39"/>
        <v>0</v>
      </c>
      <c r="O37" s="236">
        <f>SUMIFS('Checking Transaction Log'!$E:$E,'Checking Transaction Log'!$C:$C,"&gt;="&amp;O1,'Checking Transaction Log'!$C:$C,"&lt;="&amp;P1,'Checking Transaction Log'!$A:$A,"R",'Checking Transaction Log'!$B:$B,29)</f>
        <v>45</v>
      </c>
      <c r="P37" s="236">
        <f t="shared" si="40"/>
        <v>0</v>
      </c>
      <c r="Q37" s="270">
        <f>SUMIFS('Checking Transaction Log'!$E:$E,'Checking Transaction Log'!$C:$C,"&gt;="&amp;Q1,'Checking Transaction Log'!$C:$C,"&lt;="&amp;R1,'Checking Transaction Log'!$A:$A,"R",'Checking Transaction Log'!$B:$B,29)</f>
        <v>45</v>
      </c>
      <c r="R37" s="270">
        <f t="shared" si="41"/>
        <v>0</v>
      </c>
      <c r="S37" s="232">
        <f>SUMIFS('Checking Transaction Log'!$E:$E,'Checking Transaction Log'!$C:$C,"&gt;="&amp;S1,'Checking Transaction Log'!$C:$C,"&lt;="&amp;T1,'Checking Transaction Log'!$A:$A,"R",'Checking Transaction Log'!$B:$B,29)</f>
        <v>45</v>
      </c>
      <c r="T37" s="232">
        <f t="shared" si="42"/>
        <v>0</v>
      </c>
      <c r="U37" s="273">
        <f>SUMIFS('Checking Transaction Log'!$E:$E,'Checking Transaction Log'!$C:$C,"&gt;="&amp;U1,'Checking Transaction Log'!$C:$C,"&lt;="&amp;V1,'Checking Transaction Log'!$A:$A,"R",'Checking Transaction Log'!$B:$B,29)</f>
        <v>45</v>
      </c>
      <c r="V37" s="273">
        <f t="shared" si="43"/>
        <v>0</v>
      </c>
      <c r="W37" s="236">
        <f>SUMIFS('Checking Transaction Log'!$E:$E,'Checking Transaction Log'!$C:$C,"&gt;="&amp;W1,'Checking Transaction Log'!$C:$C,"&lt;="&amp;X1,'Checking Transaction Log'!$A:$A,"R",'Checking Transaction Log'!$B:$B,29)</f>
        <v>0</v>
      </c>
      <c r="X37" s="236">
        <f t="shared" si="44"/>
        <v>45</v>
      </c>
      <c r="Y37" s="276">
        <f>SUMIFS('Checking Transaction Log'!$E:$E,'Checking Transaction Log'!$C:$C,"&gt;="&amp;Y1,'Checking Transaction Log'!$C:$C,"&lt;="&amp;Z1,'Checking Transaction Log'!$A:$A,"R",'Checking Transaction Log'!$B:$B,29)</f>
        <v>0</v>
      </c>
      <c r="Z37" s="276">
        <f t="shared" si="45"/>
        <v>45</v>
      </c>
      <c r="AA37" s="278">
        <f>SUMIFS('Checking Transaction Log'!$E:$E,'Checking Transaction Log'!$C:$C,"&gt;="&amp;AA1,'Checking Transaction Log'!$C:$C,"&lt;="&amp;AB1,'Checking Transaction Log'!$A:$A,"R",'Checking Transaction Log'!$B:$B,29)</f>
        <v>0</v>
      </c>
      <c r="AB37" s="278">
        <f t="shared" si="46"/>
        <v>45</v>
      </c>
      <c r="AC37" s="280">
        <f>SUMIFS('Checking Transaction Log'!$E:$E,'Checking Transaction Log'!$C:$C,"&gt;="&amp;AC1,'Checking Transaction Log'!$C:$C,"&lt;="&amp;AD1,'Checking Transaction Log'!$A:$A,"R",'Checking Transaction Log'!$B:$B,29)</f>
        <v>0</v>
      </c>
      <c r="AD37" s="280">
        <f t="shared" si="47"/>
        <v>45</v>
      </c>
      <c r="AE37" s="282">
        <f>SUMIFS('Checking Transaction Log'!$E:$E,'Checking Transaction Log'!$C:$C,"&gt;="&amp;AE1,'Checking Transaction Log'!$C:$C,"&lt;="&amp;AF1,'Checking Transaction Log'!$A:$A,"R",'Checking Transaction Log'!$B:$B,29)</f>
        <v>0</v>
      </c>
      <c r="AF37" s="282">
        <f t="shared" si="48"/>
        <v>45</v>
      </c>
    </row>
    <row r="38" spans="1:32" ht="11.25" customHeight="1" x14ac:dyDescent="0.3">
      <c r="A38" s="284" t="str">
        <f>'Proposed Budget'!A38</f>
        <v>R</v>
      </c>
      <c r="B38" s="255">
        <f>'Proposed Budget'!B38</f>
        <v>30</v>
      </c>
      <c r="C38" s="287" t="str">
        <f>'Proposed Budget'!C38</f>
        <v>Camping/Vacation</v>
      </c>
      <c r="D38" s="288">
        <f t="shared" ca="1" si="33"/>
        <v>392.51612903225805</v>
      </c>
      <c r="E38" s="289">
        <f t="shared" si="34"/>
        <v>2800</v>
      </c>
      <c r="F38" s="289">
        <f t="shared" si="35"/>
        <v>0</v>
      </c>
      <c r="G38" s="269">
        <f t="shared" si="36"/>
        <v>0</v>
      </c>
      <c r="H38" s="289">
        <f>'Proposed Budget'!D38</f>
        <v>400</v>
      </c>
      <c r="I38" s="270">
        <f>SUMIFS('Checking Transaction Log'!E:E,'Checking Transaction Log'!C:C,"&gt;="&amp;I1,'Checking Transaction Log'!C:C,"&lt;="&amp;J1,'Checking Transaction Log'!A:A,"R",'Checking Transaction Log'!B:B,30)</f>
        <v>400</v>
      </c>
      <c r="J38" s="270">
        <f t="shared" si="37"/>
        <v>0</v>
      </c>
      <c r="K38" s="232">
        <f>SUMIFS('Checking Transaction Log'!$E:$E,'Checking Transaction Log'!$C:$C,"&gt;="&amp;K1,'Checking Transaction Log'!$C:$C,"&lt;="&amp;L1,'Checking Transaction Log'!$A:$A,"R",'Checking Transaction Log'!$B:$B,30)</f>
        <v>400</v>
      </c>
      <c r="L38" s="232">
        <f t="shared" si="38"/>
        <v>0</v>
      </c>
      <c r="M38" s="273">
        <f>SUMIFS('Checking Transaction Log'!$E:$E,'Checking Transaction Log'!$C:$C,"&gt;="&amp;M1,'Checking Transaction Log'!$C:$C,"&lt;="&amp;N1,'Checking Transaction Log'!$A:$A,"R",'Checking Transaction Log'!$B:$B,30)</f>
        <v>400</v>
      </c>
      <c r="N38" s="273">
        <f t="shared" si="39"/>
        <v>0</v>
      </c>
      <c r="O38" s="236">
        <f>SUMIFS('Checking Transaction Log'!$E:$E,'Checking Transaction Log'!$C:$C,"&gt;="&amp;O1,'Checking Transaction Log'!$C:$C,"&lt;="&amp;P1,'Checking Transaction Log'!$A:$A,"R",'Checking Transaction Log'!$B:$B,30)</f>
        <v>400</v>
      </c>
      <c r="P38" s="236">
        <f t="shared" si="40"/>
        <v>0</v>
      </c>
      <c r="Q38" s="270">
        <f>SUMIFS('Checking Transaction Log'!$E:$E,'Checking Transaction Log'!$C:$C,"&gt;="&amp;Q1,'Checking Transaction Log'!$C:$C,"&lt;="&amp;R1,'Checking Transaction Log'!$A:$A,"R",'Checking Transaction Log'!$B:$B,30)</f>
        <v>400</v>
      </c>
      <c r="R38" s="270">
        <f t="shared" si="41"/>
        <v>0</v>
      </c>
      <c r="S38" s="232">
        <f>SUMIFS('Checking Transaction Log'!$E:$E,'Checking Transaction Log'!$C:$C,"&gt;="&amp;S1,'Checking Transaction Log'!$C:$C,"&lt;="&amp;T1,'Checking Transaction Log'!$A:$A,"R",'Checking Transaction Log'!$B:$B,30)</f>
        <v>400</v>
      </c>
      <c r="T38" s="232">
        <f t="shared" si="42"/>
        <v>0</v>
      </c>
      <c r="U38" s="273">
        <f>SUMIFS('Checking Transaction Log'!$E:$E,'Checking Transaction Log'!$C:$C,"&gt;="&amp;U1,'Checking Transaction Log'!$C:$C,"&lt;="&amp;V1,'Checking Transaction Log'!$A:$A,"R",'Checking Transaction Log'!$B:$B,30)</f>
        <v>400</v>
      </c>
      <c r="V38" s="273">
        <f t="shared" si="43"/>
        <v>0</v>
      </c>
      <c r="W38" s="236">
        <f>SUMIFS('Checking Transaction Log'!$E:$E,'Checking Transaction Log'!$C:$C,"&gt;="&amp;W1,'Checking Transaction Log'!$C:$C,"&lt;="&amp;X1,'Checking Transaction Log'!$A:$A,"R",'Checking Transaction Log'!$B:$B,30)</f>
        <v>0</v>
      </c>
      <c r="X38" s="236">
        <f t="shared" si="44"/>
        <v>400</v>
      </c>
      <c r="Y38" s="276">
        <f>SUMIFS('Checking Transaction Log'!$E:$E,'Checking Transaction Log'!$C:$C,"&gt;="&amp;Y1,'Checking Transaction Log'!$C:$C,"&lt;="&amp;Z1,'Checking Transaction Log'!$A:$A,"R",'Checking Transaction Log'!$B:$B,30)</f>
        <v>0</v>
      </c>
      <c r="Z38" s="276">
        <f t="shared" si="45"/>
        <v>400</v>
      </c>
      <c r="AA38" s="278">
        <f>SUMIFS('Checking Transaction Log'!$E:$E,'Checking Transaction Log'!$C:$C,"&gt;="&amp;AA1,'Checking Transaction Log'!$C:$C,"&lt;="&amp;AB1,'Checking Transaction Log'!$A:$A,"R",'Checking Transaction Log'!$B:$B,30)</f>
        <v>0</v>
      </c>
      <c r="AB38" s="278">
        <f t="shared" si="46"/>
        <v>400</v>
      </c>
      <c r="AC38" s="280">
        <f>SUMIFS('Checking Transaction Log'!$E:$E,'Checking Transaction Log'!$C:$C,"&gt;="&amp;AC1,'Checking Transaction Log'!$C:$C,"&lt;="&amp;AD1,'Checking Transaction Log'!$A:$A,"R",'Checking Transaction Log'!$B:$B,30)</f>
        <v>0</v>
      </c>
      <c r="AD38" s="280">
        <f t="shared" si="47"/>
        <v>400</v>
      </c>
      <c r="AE38" s="282">
        <f>SUMIFS('Checking Transaction Log'!$E:$E,'Checking Transaction Log'!$C:$C,"&gt;="&amp;AE1,'Checking Transaction Log'!$C:$C,"&lt;="&amp;AF1,'Checking Transaction Log'!$A:$A,"R",'Checking Transaction Log'!$B:$B,30)</f>
        <v>0</v>
      </c>
      <c r="AF38" s="282">
        <f t="shared" si="48"/>
        <v>400</v>
      </c>
    </row>
    <row r="39" spans="1:32" ht="11.25" customHeight="1" x14ac:dyDescent="0.3">
      <c r="A39" s="284" t="str">
        <f>'Proposed Budget'!A39</f>
        <v>R</v>
      </c>
      <c r="B39" s="255">
        <f>'Proposed Budget'!B39</f>
        <v>31</v>
      </c>
      <c r="C39" s="287" t="str">
        <f>'Proposed Budget'!C39</f>
        <v>Home Maintenance</v>
      </c>
      <c r="D39" s="288">
        <f t="shared" ca="1" si="33"/>
        <v>367.98387096774201</v>
      </c>
      <c r="E39" s="289">
        <f t="shared" si="34"/>
        <v>2625</v>
      </c>
      <c r="F39" s="289">
        <f t="shared" si="35"/>
        <v>0</v>
      </c>
      <c r="G39" s="269">
        <f t="shared" si="36"/>
        <v>0</v>
      </c>
      <c r="H39" s="289">
        <f>'Proposed Budget'!D39</f>
        <v>375</v>
      </c>
      <c r="I39" s="270">
        <f>SUMIFS('Checking Transaction Log'!E:E,'Checking Transaction Log'!C:C,"&gt;="&amp;I1,'Checking Transaction Log'!C:C,"&lt;="&amp;J1,'Checking Transaction Log'!A:A,"R",'Checking Transaction Log'!B:B,31)</f>
        <v>375</v>
      </c>
      <c r="J39" s="270">
        <f t="shared" si="37"/>
        <v>0</v>
      </c>
      <c r="K39" s="232">
        <f>SUMIFS('Checking Transaction Log'!$E:$E,'Checking Transaction Log'!$C:$C,"&gt;="&amp;K1,'Checking Transaction Log'!$C:$C,"&lt;="&amp;L1,'Checking Transaction Log'!$A:$A,"R",'Checking Transaction Log'!$B:$B,31)</f>
        <v>375</v>
      </c>
      <c r="L39" s="232">
        <f t="shared" si="38"/>
        <v>0</v>
      </c>
      <c r="M39" s="273">
        <f>SUMIFS('Checking Transaction Log'!$E:$E,'Checking Transaction Log'!$C:$C,"&gt;="&amp;M1,'Checking Transaction Log'!$C:$C,"&lt;="&amp;N1,'Checking Transaction Log'!$A:$A,"R",'Checking Transaction Log'!$B:$B,31)</f>
        <v>375</v>
      </c>
      <c r="N39" s="273">
        <f t="shared" si="39"/>
        <v>0</v>
      </c>
      <c r="O39" s="236">
        <f>SUMIFS('Checking Transaction Log'!$E:$E,'Checking Transaction Log'!$C:$C,"&gt;="&amp;O1,'Checking Transaction Log'!$C:$C,"&lt;="&amp;P1,'Checking Transaction Log'!$A:$A,"R",'Checking Transaction Log'!$B:$B,31)</f>
        <v>375</v>
      </c>
      <c r="P39" s="236">
        <f t="shared" si="40"/>
        <v>0</v>
      </c>
      <c r="Q39" s="270">
        <f>SUMIFS('Checking Transaction Log'!$E:$E,'Checking Transaction Log'!$C:$C,"&gt;="&amp;Q1,'Checking Transaction Log'!$C:$C,"&lt;="&amp;R1,'Checking Transaction Log'!$A:$A,"R",'Checking Transaction Log'!$B:$B,31)</f>
        <v>375</v>
      </c>
      <c r="R39" s="270">
        <f t="shared" si="41"/>
        <v>0</v>
      </c>
      <c r="S39" s="232">
        <f>SUMIFS('Checking Transaction Log'!$E:$E,'Checking Transaction Log'!$C:$C,"&gt;="&amp;S1,'Checking Transaction Log'!$C:$C,"&lt;="&amp;T1,'Checking Transaction Log'!$A:$A,"R",'Checking Transaction Log'!$B:$B,31)</f>
        <v>375</v>
      </c>
      <c r="T39" s="232">
        <f t="shared" si="42"/>
        <v>0</v>
      </c>
      <c r="U39" s="273">
        <f>SUMIFS('Checking Transaction Log'!$E:$E,'Checking Transaction Log'!$C:$C,"&gt;="&amp;U1,'Checking Transaction Log'!$C:$C,"&lt;="&amp;V1,'Checking Transaction Log'!$A:$A,"R",'Checking Transaction Log'!$B:$B,31)</f>
        <v>375</v>
      </c>
      <c r="V39" s="273">
        <f t="shared" si="43"/>
        <v>0</v>
      </c>
      <c r="W39" s="236">
        <f>SUMIFS('Checking Transaction Log'!$E:$E,'Checking Transaction Log'!$C:$C,"&gt;="&amp;W1,'Checking Transaction Log'!$C:$C,"&lt;="&amp;X1,'Checking Transaction Log'!$A:$A,"R",'Checking Transaction Log'!$B:$B,31)</f>
        <v>0</v>
      </c>
      <c r="X39" s="236">
        <f t="shared" si="44"/>
        <v>375</v>
      </c>
      <c r="Y39" s="276">
        <f>SUMIFS('Checking Transaction Log'!$E:$E,'Checking Transaction Log'!$C:$C,"&gt;="&amp;Y1,'Checking Transaction Log'!$C:$C,"&lt;="&amp;Z1,'Checking Transaction Log'!$A:$A,"R",'Checking Transaction Log'!$B:$B,31)</f>
        <v>0</v>
      </c>
      <c r="Z39" s="276">
        <f t="shared" si="45"/>
        <v>375</v>
      </c>
      <c r="AA39" s="278">
        <f>SUMIFS('Checking Transaction Log'!$E:$E,'Checking Transaction Log'!$C:$C,"&gt;="&amp;AA1,'Checking Transaction Log'!$C:$C,"&lt;="&amp;AB1,'Checking Transaction Log'!$A:$A,"R",'Checking Transaction Log'!$B:$B,31)</f>
        <v>0</v>
      </c>
      <c r="AB39" s="278">
        <f t="shared" si="46"/>
        <v>375</v>
      </c>
      <c r="AC39" s="280">
        <f>SUMIFS('Checking Transaction Log'!$E:$E,'Checking Transaction Log'!$C:$C,"&gt;="&amp;AC1,'Checking Transaction Log'!$C:$C,"&lt;="&amp;AD1,'Checking Transaction Log'!$A:$A,"R",'Checking Transaction Log'!$B:$B,31)</f>
        <v>0</v>
      </c>
      <c r="AD39" s="280">
        <f t="shared" si="47"/>
        <v>375</v>
      </c>
      <c r="AE39" s="282">
        <f>SUMIFS('Checking Transaction Log'!$E:$E,'Checking Transaction Log'!$C:$C,"&gt;="&amp;AE1,'Checking Transaction Log'!$C:$C,"&lt;="&amp;AF1,'Checking Transaction Log'!$A:$A,"R",'Checking Transaction Log'!$B:$B,31)</f>
        <v>0</v>
      </c>
      <c r="AF39" s="282">
        <f t="shared" si="48"/>
        <v>375</v>
      </c>
    </row>
    <row r="40" spans="1:32" ht="11.25" customHeight="1" x14ac:dyDescent="0.3">
      <c r="A40" s="284" t="str">
        <f>'Proposed Budget'!A40</f>
        <v>R</v>
      </c>
      <c r="B40" s="255">
        <f>'Proposed Budget'!B40</f>
        <v>32</v>
      </c>
      <c r="C40" s="287" t="str">
        <f>'Proposed Budget'!C40</f>
        <v>Rental Repairs</v>
      </c>
      <c r="D40" s="288">
        <f t="shared" ca="1" si="33"/>
        <v>98.129032258064512</v>
      </c>
      <c r="E40" s="289">
        <f t="shared" si="34"/>
        <v>700</v>
      </c>
      <c r="F40" s="289">
        <f t="shared" si="35"/>
        <v>0</v>
      </c>
      <c r="G40" s="269">
        <f t="shared" si="36"/>
        <v>0</v>
      </c>
      <c r="H40" s="289">
        <f>'Proposed Budget'!D40</f>
        <v>100</v>
      </c>
      <c r="I40" s="270">
        <f>SUMIFS('Checking Transaction Log'!E:E,'Checking Transaction Log'!C:C,"&gt;="&amp;I1,'Checking Transaction Log'!C:C,"&lt;="&amp;J1,'Checking Transaction Log'!A:A,"R",'Checking Transaction Log'!B:B,32)</f>
        <v>100</v>
      </c>
      <c r="J40" s="270">
        <f t="shared" si="37"/>
        <v>0</v>
      </c>
      <c r="K40" s="232">
        <f>SUMIFS('Checking Transaction Log'!$E:$E,'Checking Transaction Log'!$C:$C,"&gt;="&amp;K1,'Checking Transaction Log'!$C:$C,"&lt;="&amp;L1,'Checking Transaction Log'!$A:$A,"R",'Checking Transaction Log'!$B:$B,32)</f>
        <v>100</v>
      </c>
      <c r="L40" s="232">
        <f t="shared" si="38"/>
        <v>0</v>
      </c>
      <c r="M40" s="273">
        <f>SUMIFS('Checking Transaction Log'!$E:$E,'Checking Transaction Log'!$C:$C,"&gt;="&amp;M1,'Checking Transaction Log'!$C:$C,"&lt;="&amp;N1,'Checking Transaction Log'!$A:$A,"R",'Checking Transaction Log'!$B:$B,32)</f>
        <v>100</v>
      </c>
      <c r="N40" s="273">
        <f t="shared" si="39"/>
        <v>0</v>
      </c>
      <c r="O40" s="236">
        <f>SUMIFS('Checking Transaction Log'!$E:$E,'Checking Transaction Log'!$C:$C,"&gt;="&amp;O1,'Checking Transaction Log'!$C:$C,"&lt;="&amp;P1,'Checking Transaction Log'!$A:$A,"R",'Checking Transaction Log'!$B:$B,32)</f>
        <v>100</v>
      </c>
      <c r="P40" s="236">
        <f t="shared" si="40"/>
        <v>0</v>
      </c>
      <c r="Q40" s="270">
        <f>SUMIFS('Checking Transaction Log'!$E:$E,'Checking Transaction Log'!$C:$C,"&gt;="&amp;Q1,'Checking Transaction Log'!$C:$C,"&lt;="&amp;R1,'Checking Transaction Log'!$A:$A,"R",'Checking Transaction Log'!$B:$B,32)</f>
        <v>100</v>
      </c>
      <c r="R40" s="270">
        <f t="shared" si="41"/>
        <v>0</v>
      </c>
      <c r="S40" s="232">
        <f>SUMIFS('Checking Transaction Log'!$E:$E,'Checking Transaction Log'!$C:$C,"&gt;="&amp;S1,'Checking Transaction Log'!$C:$C,"&lt;="&amp;T1,'Checking Transaction Log'!$A:$A,"R",'Checking Transaction Log'!$B:$B,32)</f>
        <v>100</v>
      </c>
      <c r="T40" s="232">
        <f t="shared" si="42"/>
        <v>0</v>
      </c>
      <c r="U40" s="273">
        <f>SUMIFS('Checking Transaction Log'!$E:$E,'Checking Transaction Log'!$C:$C,"&gt;="&amp;U1,'Checking Transaction Log'!$C:$C,"&lt;="&amp;V1,'Checking Transaction Log'!$A:$A,"R",'Checking Transaction Log'!$B:$B,32)</f>
        <v>100</v>
      </c>
      <c r="V40" s="273">
        <f t="shared" si="43"/>
        <v>0</v>
      </c>
      <c r="W40" s="236">
        <f>SUMIFS('Checking Transaction Log'!$E:$E,'Checking Transaction Log'!$C:$C,"&gt;="&amp;W1,'Checking Transaction Log'!$C:$C,"&lt;="&amp;X1,'Checking Transaction Log'!$A:$A,"R",'Checking Transaction Log'!$B:$B,32)</f>
        <v>0</v>
      </c>
      <c r="X40" s="236">
        <f t="shared" si="44"/>
        <v>100</v>
      </c>
      <c r="Y40" s="276">
        <f>SUMIFS('Checking Transaction Log'!$E:$E,'Checking Transaction Log'!$C:$C,"&gt;="&amp;Y1,'Checking Transaction Log'!$C:$C,"&lt;="&amp;Z1,'Checking Transaction Log'!$A:$A,"R",'Checking Transaction Log'!$B:$B,32)</f>
        <v>0</v>
      </c>
      <c r="Z40" s="276">
        <f t="shared" si="45"/>
        <v>100</v>
      </c>
      <c r="AA40" s="278">
        <f>SUMIFS('Checking Transaction Log'!$E:$E,'Checking Transaction Log'!$C:$C,"&gt;="&amp;AA1,'Checking Transaction Log'!$C:$C,"&lt;="&amp;AB1,'Checking Transaction Log'!$A:$A,"R",'Checking Transaction Log'!$B:$B,32)</f>
        <v>0</v>
      </c>
      <c r="AB40" s="278">
        <f t="shared" si="46"/>
        <v>100</v>
      </c>
      <c r="AC40" s="280">
        <f>SUMIFS('Checking Transaction Log'!$E:$E,'Checking Transaction Log'!$C:$C,"&gt;="&amp;AC1,'Checking Transaction Log'!$C:$C,"&lt;="&amp;AD1,'Checking Transaction Log'!$A:$A,"R",'Checking Transaction Log'!$B:$B,32)</f>
        <v>0</v>
      </c>
      <c r="AD40" s="280">
        <f t="shared" si="47"/>
        <v>100</v>
      </c>
      <c r="AE40" s="282">
        <f>SUMIFS('Checking Transaction Log'!$E:$E,'Checking Transaction Log'!$C:$C,"&gt;="&amp;AE1,'Checking Transaction Log'!$C:$C,"&lt;="&amp;AF1,'Checking Transaction Log'!$A:$A,"R",'Checking Transaction Log'!$B:$B,32)</f>
        <v>0</v>
      </c>
      <c r="AF40" s="282">
        <f t="shared" si="48"/>
        <v>100</v>
      </c>
    </row>
    <row r="41" spans="1:32" ht="11.25" customHeight="1" x14ac:dyDescent="0.3">
      <c r="A41" s="284" t="str">
        <f>'Proposed Budget'!A41</f>
        <v>R</v>
      </c>
      <c r="B41" s="255">
        <f>'Proposed Budget'!B41</f>
        <v>33</v>
      </c>
      <c r="C41" s="287" t="str">
        <f>'Proposed Budget'!C41</f>
        <v>Rental Insurance</v>
      </c>
      <c r="D41" s="288">
        <f t="shared" ca="1" si="33"/>
        <v>83.409677419354836</v>
      </c>
      <c r="E41" s="289">
        <f t="shared" si="34"/>
        <v>595</v>
      </c>
      <c r="F41" s="289">
        <f t="shared" si="35"/>
        <v>0</v>
      </c>
      <c r="G41" s="269">
        <f t="shared" si="36"/>
        <v>0</v>
      </c>
      <c r="H41" s="289">
        <f>'Proposed Budget'!D41</f>
        <v>85</v>
      </c>
      <c r="I41" s="270">
        <f>SUMIFS('Checking Transaction Log'!E:E,'Checking Transaction Log'!C:C,"&gt;="&amp;I1,'Checking Transaction Log'!C:C,"&lt;="&amp;J1,'Checking Transaction Log'!A:A,"R",'Checking Transaction Log'!B:B,33)</f>
        <v>85</v>
      </c>
      <c r="J41" s="270">
        <f t="shared" si="37"/>
        <v>0</v>
      </c>
      <c r="K41" s="232">
        <f>SUMIFS('Checking Transaction Log'!$E:$E,'Checking Transaction Log'!$C:$C,"&gt;="&amp;K1,'Checking Transaction Log'!$C:$C,"&lt;="&amp;L1,'Checking Transaction Log'!$A:$A,"R",'Checking Transaction Log'!$B:$B,33)</f>
        <v>85</v>
      </c>
      <c r="L41" s="232">
        <f t="shared" si="38"/>
        <v>0</v>
      </c>
      <c r="M41" s="273">
        <f>SUMIFS('Checking Transaction Log'!$E:$E,'Checking Transaction Log'!$C:$C,"&gt;="&amp;M1,'Checking Transaction Log'!$C:$C,"&lt;="&amp;N1,'Checking Transaction Log'!$A:$A,"R",'Checking Transaction Log'!$B:$B,33)</f>
        <v>85</v>
      </c>
      <c r="N41" s="273">
        <f t="shared" si="39"/>
        <v>0</v>
      </c>
      <c r="O41" s="236">
        <f>SUMIFS('Checking Transaction Log'!$E:$E,'Checking Transaction Log'!$C:$C,"&gt;="&amp;O1,'Checking Transaction Log'!$C:$C,"&lt;="&amp;P1,'Checking Transaction Log'!$A:$A,"R",'Checking Transaction Log'!$B:$B,33)</f>
        <v>85</v>
      </c>
      <c r="P41" s="236">
        <f t="shared" si="40"/>
        <v>0</v>
      </c>
      <c r="Q41" s="270">
        <f>SUMIFS('Checking Transaction Log'!$E:$E,'Checking Transaction Log'!$C:$C,"&gt;="&amp;Q1,'Checking Transaction Log'!$C:$C,"&lt;="&amp;R1,'Checking Transaction Log'!$A:$A,"R",'Checking Transaction Log'!$B:$B,33)</f>
        <v>85</v>
      </c>
      <c r="R41" s="270">
        <f t="shared" si="41"/>
        <v>0</v>
      </c>
      <c r="S41" s="232">
        <f>SUMIFS('Checking Transaction Log'!$E:$E,'Checking Transaction Log'!$C:$C,"&gt;="&amp;S1,'Checking Transaction Log'!$C:$C,"&lt;="&amp;T1,'Checking Transaction Log'!$A:$A,"R",'Checking Transaction Log'!$B:$B,33)</f>
        <v>85</v>
      </c>
      <c r="T41" s="232">
        <f t="shared" si="42"/>
        <v>0</v>
      </c>
      <c r="U41" s="273">
        <f>SUMIFS('Checking Transaction Log'!$E:$E,'Checking Transaction Log'!$C:$C,"&gt;="&amp;U1,'Checking Transaction Log'!$C:$C,"&lt;="&amp;V1,'Checking Transaction Log'!$A:$A,"R",'Checking Transaction Log'!$B:$B,33)</f>
        <v>85</v>
      </c>
      <c r="V41" s="273">
        <f t="shared" si="43"/>
        <v>0</v>
      </c>
      <c r="W41" s="236">
        <f>SUMIFS('Checking Transaction Log'!$E:$E,'Checking Transaction Log'!$C:$C,"&gt;="&amp;W1,'Checking Transaction Log'!$C:$C,"&lt;="&amp;X1,'Checking Transaction Log'!$A:$A,"R",'Checking Transaction Log'!$B:$B,33)</f>
        <v>0</v>
      </c>
      <c r="X41" s="236">
        <f t="shared" si="44"/>
        <v>85</v>
      </c>
      <c r="Y41" s="276">
        <f>SUMIFS('Checking Transaction Log'!$E:$E,'Checking Transaction Log'!$C:$C,"&gt;="&amp;Y1,'Checking Transaction Log'!$C:$C,"&lt;="&amp;Z1,'Checking Transaction Log'!$A:$A,"R",'Checking Transaction Log'!$B:$B,33)</f>
        <v>0</v>
      </c>
      <c r="Z41" s="276">
        <f t="shared" si="45"/>
        <v>85</v>
      </c>
      <c r="AA41" s="278">
        <f>SUMIFS('Checking Transaction Log'!$E:$E,'Checking Transaction Log'!$C:$C,"&gt;="&amp;AA1,'Checking Transaction Log'!$C:$C,"&lt;="&amp;AB1,'Checking Transaction Log'!$A:$A,"R",'Checking Transaction Log'!$B:$B,33)</f>
        <v>0</v>
      </c>
      <c r="AB41" s="278">
        <f t="shared" si="46"/>
        <v>85</v>
      </c>
      <c r="AC41" s="280">
        <f>SUMIFS('Checking Transaction Log'!$E:$E,'Checking Transaction Log'!$C:$C,"&gt;="&amp;AC1,'Checking Transaction Log'!$C:$C,"&lt;="&amp;AD1,'Checking Transaction Log'!$A:$A,"R",'Checking Transaction Log'!$B:$B,33)</f>
        <v>0</v>
      </c>
      <c r="AD41" s="280">
        <f t="shared" si="47"/>
        <v>85</v>
      </c>
      <c r="AE41" s="282">
        <f>SUMIFS('Checking Transaction Log'!$E:$E,'Checking Transaction Log'!$C:$C,"&gt;="&amp;AE1,'Checking Transaction Log'!$C:$C,"&lt;="&amp;AF1,'Checking Transaction Log'!$A:$A,"R",'Checking Transaction Log'!$B:$B,33)</f>
        <v>0</v>
      </c>
      <c r="AF41" s="282">
        <f t="shared" si="48"/>
        <v>85</v>
      </c>
    </row>
    <row r="42" spans="1:32" ht="11.25" customHeight="1" x14ac:dyDescent="0.3">
      <c r="A42" s="284" t="str">
        <f>'Proposed Budget'!A42</f>
        <v>R</v>
      </c>
      <c r="B42" s="255">
        <f>'Proposed Budget'!B42</f>
        <v>34</v>
      </c>
      <c r="C42" s="287" t="str">
        <f>'Proposed Budget'!C42</f>
        <v>Rental Property Taxes</v>
      </c>
      <c r="D42" s="288">
        <f t="shared" ca="1" si="33"/>
        <v>225.69677419354838</v>
      </c>
      <c r="E42" s="289">
        <f t="shared" si="34"/>
        <v>1610</v>
      </c>
      <c r="F42" s="289">
        <f t="shared" si="35"/>
        <v>0</v>
      </c>
      <c r="G42" s="269">
        <f t="shared" si="36"/>
        <v>0</v>
      </c>
      <c r="H42" s="289">
        <f>'Proposed Budget'!D42</f>
        <v>230</v>
      </c>
      <c r="I42" s="270">
        <f>SUMIFS('Checking Transaction Log'!E:E,'Checking Transaction Log'!C:C,"&gt;="&amp;I1,'Checking Transaction Log'!C:C,"&lt;="&amp;J1,'Checking Transaction Log'!A:A,"R",'Checking Transaction Log'!B:B,34)</f>
        <v>230</v>
      </c>
      <c r="J42" s="270">
        <f t="shared" si="37"/>
        <v>0</v>
      </c>
      <c r="K42" s="232">
        <f>SUMIFS('Checking Transaction Log'!$E:$E,'Checking Transaction Log'!$C:$C,"&gt;="&amp;K1,'Checking Transaction Log'!$C:$C,"&lt;="&amp;L1,'Checking Transaction Log'!$A:$A,"R",'Checking Transaction Log'!$B:$B,34)</f>
        <v>230</v>
      </c>
      <c r="L42" s="232">
        <f t="shared" si="38"/>
        <v>0</v>
      </c>
      <c r="M42" s="273">
        <f>SUMIFS('Checking Transaction Log'!$E:$E,'Checking Transaction Log'!$C:$C,"&gt;="&amp;M1,'Checking Transaction Log'!$C:$C,"&lt;="&amp;N1,'Checking Transaction Log'!$A:$A,"R",'Checking Transaction Log'!$B:$B,34)</f>
        <v>230</v>
      </c>
      <c r="N42" s="273">
        <f t="shared" si="39"/>
        <v>0</v>
      </c>
      <c r="O42" s="236">
        <f>SUMIFS('Checking Transaction Log'!$E:$E,'Checking Transaction Log'!$C:$C,"&gt;="&amp;O1,'Checking Transaction Log'!$C:$C,"&lt;="&amp;P1,'Checking Transaction Log'!$A:$A,"R",'Checking Transaction Log'!$B:$B,34)</f>
        <v>230</v>
      </c>
      <c r="P42" s="236">
        <f t="shared" si="40"/>
        <v>0</v>
      </c>
      <c r="Q42" s="270">
        <f>SUMIFS('Checking Transaction Log'!$E:$E,'Checking Transaction Log'!$C:$C,"&gt;="&amp;Q1,'Checking Transaction Log'!$C:$C,"&lt;="&amp;R1,'Checking Transaction Log'!$A:$A,"R",'Checking Transaction Log'!$B:$B,34)</f>
        <v>230</v>
      </c>
      <c r="R42" s="270">
        <f t="shared" si="41"/>
        <v>0</v>
      </c>
      <c r="S42" s="232">
        <f>SUMIFS('Checking Transaction Log'!$E:$E,'Checking Transaction Log'!$C:$C,"&gt;="&amp;S1,'Checking Transaction Log'!$C:$C,"&lt;="&amp;T1,'Checking Transaction Log'!$A:$A,"R",'Checking Transaction Log'!$B:$B,34)</f>
        <v>230</v>
      </c>
      <c r="T42" s="232">
        <f t="shared" si="42"/>
        <v>0</v>
      </c>
      <c r="U42" s="273">
        <f>SUMIFS('Checking Transaction Log'!$E:$E,'Checking Transaction Log'!$C:$C,"&gt;="&amp;U1,'Checking Transaction Log'!$C:$C,"&lt;="&amp;V1,'Checking Transaction Log'!$A:$A,"R",'Checking Transaction Log'!$B:$B,34)</f>
        <v>230</v>
      </c>
      <c r="V42" s="273">
        <f t="shared" si="43"/>
        <v>0</v>
      </c>
      <c r="W42" s="236">
        <f>SUMIFS('Checking Transaction Log'!$E:$E,'Checking Transaction Log'!$C:$C,"&gt;="&amp;W1,'Checking Transaction Log'!$C:$C,"&lt;="&amp;X1,'Checking Transaction Log'!$A:$A,"R",'Checking Transaction Log'!$B:$B,34)</f>
        <v>0</v>
      </c>
      <c r="X42" s="236">
        <f t="shared" si="44"/>
        <v>230</v>
      </c>
      <c r="Y42" s="276">
        <f>SUMIFS('Checking Transaction Log'!$E:$E,'Checking Transaction Log'!$C:$C,"&gt;="&amp;Y1,'Checking Transaction Log'!$C:$C,"&lt;="&amp;Z1,'Checking Transaction Log'!$A:$A,"R",'Checking Transaction Log'!$B:$B,34)</f>
        <v>0</v>
      </c>
      <c r="Z42" s="276">
        <f t="shared" si="45"/>
        <v>230</v>
      </c>
      <c r="AA42" s="278">
        <f>SUMIFS('Checking Transaction Log'!$E:$E,'Checking Transaction Log'!$C:$C,"&gt;="&amp;AA1,'Checking Transaction Log'!$C:$C,"&lt;="&amp;AB1,'Checking Transaction Log'!$A:$A,"R",'Checking Transaction Log'!$B:$B,34)</f>
        <v>0</v>
      </c>
      <c r="AB42" s="278">
        <f t="shared" si="46"/>
        <v>230</v>
      </c>
      <c r="AC42" s="280">
        <f>SUMIFS('Checking Transaction Log'!$E:$E,'Checking Transaction Log'!$C:$C,"&gt;="&amp;AC1,'Checking Transaction Log'!$C:$C,"&lt;="&amp;AD1,'Checking Transaction Log'!$A:$A,"R",'Checking Transaction Log'!$B:$B,34)</f>
        <v>0</v>
      </c>
      <c r="AD42" s="280">
        <f t="shared" si="47"/>
        <v>230</v>
      </c>
      <c r="AE42" s="282">
        <f>SUMIFS('Checking Transaction Log'!$E:$E,'Checking Transaction Log'!$C:$C,"&gt;="&amp;AE1,'Checking Transaction Log'!$C:$C,"&lt;="&amp;AF1,'Checking Transaction Log'!$A:$A,"R",'Checking Transaction Log'!$B:$B,34)</f>
        <v>0</v>
      </c>
      <c r="AF42" s="282">
        <f t="shared" si="48"/>
        <v>230</v>
      </c>
    </row>
    <row r="43" spans="1:32" ht="11.25" customHeight="1" x14ac:dyDescent="0.3">
      <c r="A43" s="284" t="str">
        <f>'Proposed Budget'!A43</f>
        <v>R</v>
      </c>
      <c r="B43" s="255">
        <f>'Proposed Budget'!B43</f>
        <v>35</v>
      </c>
      <c r="C43" s="287" t="str">
        <f>'Proposed Budget'!C43</f>
        <v>Rental Sanitation</v>
      </c>
      <c r="D43" s="288">
        <f t="shared" ca="1" si="33"/>
        <v>44.158064516129038</v>
      </c>
      <c r="E43" s="289">
        <f t="shared" si="34"/>
        <v>315</v>
      </c>
      <c r="F43" s="289">
        <f t="shared" si="35"/>
        <v>0</v>
      </c>
      <c r="G43" s="269">
        <f t="shared" si="36"/>
        <v>0</v>
      </c>
      <c r="H43" s="289">
        <f>'Proposed Budget'!D43</f>
        <v>45</v>
      </c>
      <c r="I43" s="270">
        <f>SUMIFS('Checking Transaction Log'!E:E,'Checking Transaction Log'!C:C,"&gt;="&amp;I1,'Checking Transaction Log'!C:C,"&lt;="&amp;J1,'Checking Transaction Log'!A:A,"R",'Checking Transaction Log'!B:B,35)</f>
        <v>45</v>
      </c>
      <c r="J43" s="270">
        <f t="shared" si="37"/>
        <v>0</v>
      </c>
      <c r="K43" s="232">
        <f>SUMIFS('Checking Transaction Log'!$E:$E,'Checking Transaction Log'!$C:$C,"&gt;="&amp;K1,'Checking Transaction Log'!$C:$C,"&lt;="&amp;L1,'Checking Transaction Log'!$A:$A,"R",'Checking Transaction Log'!$B:$B,35)</f>
        <v>45</v>
      </c>
      <c r="L43" s="232">
        <f t="shared" si="38"/>
        <v>0</v>
      </c>
      <c r="M43" s="273">
        <f>SUMIFS('Checking Transaction Log'!$E:$E,'Checking Transaction Log'!$C:$C,"&gt;="&amp;M1,'Checking Transaction Log'!$C:$C,"&lt;="&amp;N1,'Checking Transaction Log'!$A:$A,"R",'Checking Transaction Log'!$B:$B,35)</f>
        <v>45</v>
      </c>
      <c r="N43" s="273">
        <f t="shared" si="39"/>
        <v>0</v>
      </c>
      <c r="O43" s="236">
        <f>SUMIFS('Checking Transaction Log'!$E:$E,'Checking Transaction Log'!$C:$C,"&gt;="&amp;O1,'Checking Transaction Log'!$C:$C,"&lt;="&amp;P1,'Checking Transaction Log'!$A:$A,"R",'Checking Transaction Log'!$B:$B,35)</f>
        <v>45</v>
      </c>
      <c r="P43" s="236">
        <f t="shared" si="40"/>
        <v>0</v>
      </c>
      <c r="Q43" s="270">
        <f>SUMIFS('Checking Transaction Log'!$E:$E,'Checking Transaction Log'!$C:$C,"&gt;="&amp;Q1,'Checking Transaction Log'!$C:$C,"&lt;="&amp;R1,'Checking Transaction Log'!$A:$A,"R",'Checking Transaction Log'!$B:$B,35)</f>
        <v>45</v>
      </c>
      <c r="R43" s="270">
        <f t="shared" si="41"/>
        <v>0</v>
      </c>
      <c r="S43" s="232">
        <f>SUMIFS('Checking Transaction Log'!$E:$E,'Checking Transaction Log'!$C:$C,"&gt;="&amp;S1,'Checking Transaction Log'!$C:$C,"&lt;="&amp;T1,'Checking Transaction Log'!$A:$A,"R",'Checking Transaction Log'!$B:$B,35)</f>
        <v>45</v>
      </c>
      <c r="T43" s="232">
        <f t="shared" si="42"/>
        <v>0</v>
      </c>
      <c r="U43" s="273">
        <f>SUMIFS('Checking Transaction Log'!$E:$E,'Checking Transaction Log'!$C:$C,"&gt;="&amp;U1,'Checking Transaction Log'!$C:$C,"&lt;="&amp;V1,'Checking Transaction Log'!$A:$A,"R",'Checking Transaction Log'!$B:$B,35)</f>
        <v>45</v>
      </c>
      <c r="V43" s="273">
        <f t="shared" si="43"/>
        <v>0</v>
      </c>
      <c r="W43" s="236">
        <f>SUMIFS('Checking Transaction Log'!$E:$E,'Checking Transaction Log'!$C:$C,"&gt;="&amp;W1,'Checking Transaction Log'!$C:$C,"&lt;="&amp;X1,'Checking Transaction Log'!$A:$A,"R",'Checking Transaction Log'!$B:$B,35)</f>
        <v>0</v>
      </c>
      <c r="X43" s="236">
        <f t="shared" si="44"/>
        <v>45</v>
      </c>
      <c r="Y43" s="276">
        <f>SUMIFS('Checking Transaction Log'!$E:$E,'Checking Transaction Log'!$C:$C,"&gt;="&amp;Y1,'Checking Transaction Log'!$C:$C,"&lt;="&amp;Z1,'Checking Transaction Log'!$A:$A,"R",'Checking Transaction Log'!$B:$B,35)</f>
        <v>0</v>
      </c>
      <c r="Z43" s="276">
        <f t="shared" si="45"/>
        <v>45</v>
      </c>
      <c r="AA43" s="278">
        <f>SUMIFS('Checking Transaction Log'!$E:$E,'Checking Transaction Log'!$C:$C,"&gt;="&amp;AA1,'Checking Transaction Log'!$C:$C,"&lt;="&amp;AB1,'Checking Transaction Log'!$A:$A,"R",'Checking Transaction Log'!$B:$B,35)</f>
        <v>0</v>
      </c>
      <c r="AB43" s="278">
        <f t="shared" si="46"/>
        <v>45</v>
      </c>
      <c r="AC43" s="280">
        <f>SUMIFS('Checking Transaction Log'!$E:$E,'Checking Transaction Log'!$C:$C,"&gt;="&amp;AC1,'Checking Transaction Log'!$C:$C,"&lt;="&amp;AD1,'Checking Transaction Log'!$A:$A,"R",'Checking Transaction Log'!$B:$B,35)</f>
        <v>0</v>
      </c>
      <c r="AD43" s="280">
        <f t="shared" si="47"/>
        <v>45</v>
      </c>
      <c r="AE43" s="282">
        <f>SUMIFS('Checking Transaction Log'!$E:$E,'Checking Transaction Log'!$C:$C,"&gt;="&amp;AE1,'Checking Transaction Log'!$C:$C,"&lt;="&amp;AF1,'Checking Transaction Log'!$A:$A,"R",'Checking Transaction Log'!$B:$B,35)</f>
        <v>0</v>
      </c>
      <c r="AF43" s="282">
        <f t="shared" si="48"/>
        <v>45</v>
      </c>
    </row>
    <row r="44" spans="1:32" ht="11.25" customHeight="1" x14ac:dyDescent="0.3">
      <c r="A44" s="284"/>
      <c r="B44" s="255"/>
      <c r="C44" s="287"/>
      <c r="D44" s="288"/>
      <c r="E44" s="289"/>
      <c r="F44" s="289"/>
      <c r="G44" s="269"/>
      <c r="H44" s="289"/>
      <c r="I44" s="270"/>
      <c r="J44" s="270"/>
      <c r="K44" s="232"/>
      <c r="L44" s="232"/>
      <c r="M44" s="273"/>
      <c r="N44" s="273"/>
      <c r="O44" s="236"/>
      <c r="P44" s="236"/>
      <c r="Q44" s="270"/>
      <c r="R44" s="270"/>
      <c r="S44" s="232"/>
      <c r="T44" s="232"/>
      <c r="U44" s="273"/>
      <c r="V44" s="273"/>
      <c r="W44" s="236"/>
      <c r="X44" s="236"/>
      <c r="Y44" s="276"/>
      <c r="Z44" s="276"/>
      <c r="AA44" s="278"/>
      <c r="AB44" s="278"/>
      <c r="AC44" s="280"/>
      <c r="AD44" s="280"/>
      <c r="AE44" s="282"/>
      <c r="AF44" s="282"/>
    </row>
    <row r="45" spans="1:32" ht="11.25" customHeight="1" x14ac:dyDescent="0.3">
      <c r="A45" s="284" t="str">
        <f>'Proposed Budget'!A45</f>
        <v>S</v>
      </c>
      <c r="B45" s="255">
        <f>'Proposed Budget'!B45</f>
        <v>36</v>
      </c>
      <c r="C45" s="287" t="str">
        <f>'Proposed Budget'!C45</f>
        <v>Kids Savings</v>
      </c>
      <c r="D45" s="288">
        <f t="shared" ref="D45:D46" ca="1" si="49">(E45/(TODAY()-$I$1))*30.42</f>
        <v>49.064516129032256</v>
      </c>
      <c r="E45" s="289">
        <f t="shared" ref="E45:E46" si="50">Q45+S45+U45+W45+Y45+AA45+AC45+AE45+I45+K45+M45+O45</f>
        <v>350</v>
      </c>
      <c r="F45" s="289">
        <f>J45+L45+N45+P45+R45+T45</f>
        <v>0</v>
      </c>
      <c r="G45" s="269">
        <f t="shared" ref="G45:G46" si="51">1-((E45/SUM(E45:F45)))</f>
        <v>0</v>
      </c>
      <c r="H45" s="289">
        <f>'Proposed Budget'!D45</f>
        <v>50</v>
      </c>
      <c r="I45" s="270">
        <f>SUMIFS('Checking Transaction Log'!E:E,'Checking Transaction Log'!C:C,"&gt;="&amp;I1,'Checking Transaction Log'!C:C,"&lt;="&amp;J1,'Checking Transaction Log'!A:A,"S",'Checking Transaction Log'!B:B,36)</f>
        <v>50</v>
      </c>
      <c r="J45" s="270">
        <f t="shared" ref="J45:J46" si="52">H45-I45</f>
        <v>0</v>
      </c>
      <c r="K45" s="232">
        <f>SUMIFS('Checking Transaction Log'!E:E,'Checking Transaction Log'!C:C,"&gt;="&amp;K1,'Checking Transaction Log'!C:C,"&lt;="&amp;L1,'Checking Transaction Log'!A:A,"S",'Checking Transaction Log'!B:B,36)</f>
        <v>50</v>
      </c>
      <c r="L45" s="232">
        <f t="shared" ref="L45:L46" si="53">H45-K45</f>
        <v>0</v>
      </c>
      <c r="M45" s="273">
        <f>SUMIFS('Checking Transaction Log'!$E:$E,'Checking Transaction Log'!$C:$C,"&gt;="&amp;M1,'Checking Transaction Log'!$C:$C,"&lt;="&amp;N1,'Checking Transaction Log'!$A:$A,"s",'Checking Transaction Log'!$B:$B,36)</f>
        <v>50</v>
      </c>
      <c r="N45" s="273">
        <f t="shared" ref="N45:N46" si="54">H45-M45</f>
        <v>0</v>
      </c>
      <c r="O45" s="236">
        <f>SUMIFS('Checking Transaction Log'!$E:$E,'Checking Transaction Log'!$C:$C,"&gt;="&amp;O1,'Checking Transaction Log'!$C:$C,"&lt;="&amp;P1,'Checking Transaction Log'!$A:$A,"s",'Checking Transaction Log'!$B:$B,36)</f>
        <v>50</v>
      </c>
      <c r="P45" s="236">
        <f t="shared" ref="P45:P46" si="55">H45-O45</f>
        <v>0</v>
      </c>
      <c r="Q45" s="270">
        <f>SUMIFS('Checking Transaction Log'!$E:$E,'Checking Transaction Log'!$C:$C,"&gt;="&amp;Q1,'Checking Transaction Log'!$C:$C,"&lt;="&amp;R1,'Checking Transaction Log'!$A:$A,"s",'Checking Transaction Log'!$B:$B,36)</f>
        <v>50</v>
      </c>
      <c r="R45" s="270">
        <f t="shared" ref="R45:R46" si="56">H45-Q45</f>
        <v>0</v>
      </c>
      <c r="S45" s="232">
        <f>SUMIFS('Checking Transaction Log'!$E:$E,'Checking Transaction Log'!$C:$C,"&gt;="&amp;S1,'Checking Transaction Log'!$C:$C,"&lt;="&amp;T1,'Checking Transaction Log'!$A:$A,"s",'Checking Transaction Log'!$B:$B,36)</f>
        <v>50</v>
      </c>
      <c r="T45" s="232">
        <f t="shared" ref="T45:T46" si="57">H45-S45</f>
        <v>0</v>
      </c>
      <c r="U45" s="273">
        <f>SUMIFS('Checking Transaction Log'!$E:$E,'Checking Transaction Log'!$C:$C,"&gt;="&amp;U1,'Checking Transaction Log'!$C:$C,"&lt;="&amp;V1,'Checking Transaction Log'!$A:$A,"s",'Checking Transaction Log'!$B:$B,36)</f>
        <v>50</v>
      </c>
      <c r="V45" s="273">
        <f t="shared" ref="V45:V46" si="58">H45-U45</f>
        <v>0</v>
      </c>
      <c r="W45" s="236">
        <f>SUMIFS('Checking Transaction Log'!$E:$E,'Checking Transaction Log'!$C:$C,"&gt;="&amp;W1,'Checking Transaction Log'!$C:$C,"&lt;="&amp;X1,'Checking Transaction Log'!$A:$A,"s",'Checking Transaction Log'!$B:$B,36)</f>
        <v>0</v>
      </c>
      <c r="X45" s="236">
        <f t="shared" ref="X45:X46" si="59">H45-W45</f>
        <v>50</v>
      </c>
      <c r="Y45" s="276">
        <f>SUMIFS('Checking Transaction Log'!$E:$E,'Checking Transaction Log'!$C:$C,"&gt;="&amp;Y1,'Checking Transaction Log'!$C:$C,"&lt;="&amp;Z1,'Checking Transaction Log'!$A:$A,"s",'Checking Transaction Log'!$B:$B,36)</f>
        <v>0</v>
      </c>
      <c r="Z45" s="276">
        <f t="shared" ref="Z45:Z46" si="60">H45-Y45</f>
        <v>50</v>
      </c>
      <c r="AA45" s="278">
        <f>SUMIFS('Checking Transaction Log'!$E:$E,'Checking Transaction Log'!$C:$C,"&gt;="&amp;AA1,'Checking Transaction Log'!$C:$C,"&lt;="&amp;AB1,'Checking Transaction Log'!$A:$A,"s",'Checking Transaction Log'!$B:$B,36)</f>
        <v>0</v>
      </c>
      <c r="AB45" s="278">
        <f t="shared" ref="AB45:AB46" si="61">H45-AA45</f>
        <v>50</v>
      </c>
      <c r="AC45" s="280">
        <f>SUMIFS('Checking Transaction Log'!$E:$E,'Checking Transaction Log'!$C:$C,"&gt;="&amp;AC1,'Checking Transaction Log'!$C:$C,"&lt;="&amp;AD1,'Checking Transaction Log'!$A:$A,"s",'Checking Transaction Log'!$B:$B,36)</f>
        <v>0</v>
      </c>
      <c r="AD45" s="280">
        <f t="shared" ref="AD45:AD46" si="62">H45-AC45</f>
        <v>50</v>
      </c>
      <c r="AE45" s="282">
        <f>SUMIFS('Checking Transaction Log'!$E:$E,'Checking Transaction Log'!$C:$C,"&gt;="&amp;AE1,'Checking Transaction Log'!$C:$C,"&lt;="&amp;AF1,'Checking Transaction Log'!$A:$A,"s",'Checking Transaction Log'!$B:$B,36)</f>
        <v>0</v>
      </c>
      <c r="AF45" s="282">
        <f t="shared" ref="AF45:AF46" si="63">H45-AE45</f>
        <v>50</v>
      </c>
    </row>
    <row r="46" spans="1:32" ht="11.25" customHeight="1" x14ac:dyDescent="0.3">
      <c r="A46" s="284" t="str">
        <f>'Proposed Budget'!A46</f>
        <v>S</v>
      </c>
      <c r="B46" s="255">
        <f>'Proposed Budget'!B46</f>
        <v>37</v>
      </c>
      <c r="C46" s="287" t="str">
        <f>'Proposed Budget'!C46</f>
        <v>Our Savings</v>
      </c>
      <c r="D46" s="288">
        <f t="shared" ca="1" si="49"/>
        <v>4672.3073308755756</v>
      </c>
      <c r="E46" s="289">
        <f t="shared" si="50"/>
        <v>33329.74</v>
      </c>
      <c r="F46" s="289">
        <f>J46+L46+N46+P46+R46+T46</f>
        <v>248.13103095998349</v>
      </c>
      <c r="G46" s="269">
        <f t="shared" si="51"/>
        <v>7.389718982814597E-3</v>
      </c>
      <c r="H46" s="289">
        <f>'Proposed Budget'!D46</f>
        <v>4130.2668384933304</v>
      </c>
      <c r="I46" s="270">
        <f>SUMIFS('Checking Transaction Log'!E:E,'Checking Transaction Log'!C:C,"&gt;="&amp;I1,'Checking Transaction Log'!C:C,"&lt;="&amp;J1,'Checking Transaction Log'!A:A,"S",'Checking Transaction Log'!B:B,37)</f>
        <v>3194.64</v>
      </c>
      <c r="J46" s="270">
        <f t="shared" si="52"/>
        <v>935.62683849333052</v>
      </c>
      <c r="K46" s="232">
        <f>SUMIFS('Checking Transaction Log'!E:E,'Checking Transaction Log'!C:C,"&gt;="&amp;K1,'Checking Transaction Log'!C:C,"&lt;="&amp;L1,'Checking Transaction Log'!A:A,"S",'Checking Transaction Log'!B:B,37)</f>
        <v>3764.91</v>
      </c>
      <c r="L46" s="232">
        <f t="shared" si="53"/>
        <v>365.35683849333054</v>
      </c>
      <c r="M46" s="273">
        <f>SUMIFS('Checking Transaction Log'!$E:$E,'Checking Transaction Log'!$C:$C,"&gt;="&amp;M1,'Checking Transaction Log'!$C:$C,"&lt;="&amp;N1,'Checking Transaction Log'!$A:$A,"s",'Checking Transaction Log'!$B:$B,37)</f>
        <v>4309.58</v>
      </c>
      <c r="N46" s="273">
        <f t="shared" si="54"/>
        <v>-179.31316150666953</v>
      </c>
      <c r="O46" s="236">
        <f>SUMIFS('Checking Transaction Log'!$E:$E,'Checking Transaction Log'!$C:$C,"&gt;="&amp;O1,'Checking Transaction Log'!$C:$C,"&lt;="&amp;P1,'Checking Transaction Log'!$A:$A,"s",'Checking Transaction Log'!$B:$B,37)</f>
        <v>5616.82</v>
      </c>
      <c r="P46" s="236">
        <f t="shared" si="55"/>
        <v>-1486.5531615066693</v>
      </c>
      <c r="Q46" s="270">
        <f>SUMIFS('Checking Transaction Log'!$E:$E,'Checking Transaction Log'!$C:$C,"&gt;="&amp;Q1,'Checking Transaction Log'!$C:$C,"&lt;="&amp;R1,'Checking Transaction Log'!$A:$A,"s",'Checking Transaction Log'!$B:$B,37)</f>
        <v>1160.3599999999999</v>
      </c>
      <c r="R46" s="270">
        <f t="shared" si="56"/>
        <v>2969.9068384933307</v>
      </c>
      <c r="S46" s="232">
        <f>SUMIFS('Checking Transaction Log'!$E:$E,'Checking Transaction Log'!$C:$C,"&gt;="&amp;S1,'Checking Transaction Log'!$C:$C,"&lt;="&amp;T1,'Checking Transaction Log'!$A:$A,"s",'Checking Transaction Log'!$B:$B,37)</f>
        <v>6487.16</v>
      </c>
      <c r="T46" s="232">
        <f t="shared" si="57"/>
        <v>-2356.8931615066695</v>
      </c>
      <c r="U46" s="273">
        <f>SUMIFS('Checking Transaction Log'!$E:$E,'Checking Transaction Log'!$C:$C,"&gt;="&amp;U1,'Checking Transaction Log'!$C:$C,"&lt;="&amp;V1,'Checking Transaction Log'!$A:$A,"s",'Checking Transaction Log'!$B:$B,37)</f>
        <v>8746.27</v>
      </c>
      <c r="V46" s="273">
        <f t="shared" si="58"/>
        <v>-4616.00316150667</v>
      </c>
      <c r="W46" s="236">
        <f>SUMIFS('Checking Transaction Log'!$E:$E,'Checking Transaction Log'!$C:$C,"&gt;="&amp;W1,'Checking Transaction Log'!$C:$C,"&lt;="&amp;X1,'Checking Transaction Log'!$A:$A,"s",'Checking Transaction Log'!$B:$B,37)</f>
        <v>50</v>
      </c>
      <c r="X46" s="236">
        <f t="shared" si="59"/>
        <v>4080.2668384933304</v>
      </c>
      <c r="Y46" s="276">
        <f>SUMIFS('Checking Transaction Log'!$E:$E,'Checking Transaction Log'!$C:$C,"&gt;="&amp;Y1,'Checking Transaction Log'!$C:$C,"&lt;="&amp;Z1,'Checking Transaction Log'!$A:$A,"s",'Checking Transaction Log'!$B:$B,37)</f>
        <v>0</v>
      </c>
      <c r="Z46" s="276">
        <f t="shared" si="60"/>
        <v>4130.2668384933304</v>
      </c>
      <c r="AA46" s="278">
        <f>SUMIFS('Checking Transaction Log'!$E:$E,'Checking Transaction Log'!$C:$C,"&gt;="&amp;AA1,'Checking Transaction Log'!$C:$C,"&lt;="&amp;AB1,'Checking Transaction Log'!$A:$A,"s",'Checking Transaction Log'!$B:$B,37)</f>
        <v>0</v>
      </c>
      <c r="AB46" s="278">
        <f t="shared" si="61"/>
        <v>4130.2668384933304</v>
      </c>
      <c r="AC46" s="280">
        <f>SUMIFS('Checking Transaction Log'!$E:$E,'Checking Transaction Log'!$C:$C,"&gt;="&amp;AC1,'Checking Transaction Log'!$C:$C,"&lt;="&amp;AD1,'Checking Transaction Log'!$A:$A,"s",'Checking Transaction Log'!$B:$B,37)</f>
        <v>0</v>
      </c>
      <c r="AD46" s="280">
        <f t="shared" si="62"/>
        <v>4130.2668384933304</v>
      </c>
      <c r="AE46" s="282">
        <f>SUMIFS('Checking Transaction Log'!$E:$E,'Checking Transaction Log'!$C:$C,"&gt;="&amp;AE1,'Checking Transaction Log'!$C:$C,"&lt;="&amp;AF1,'Checking Transaction Log'!$A:$A,"s",'Checking Transaction Log'!$B:$B,37)</f>
        <v>0</v>
      </c>
      <c r="AF46" s="282">
        <f t="shared" si="63"/>
        <v>4130.2668384933304</v>
      </c>
    </row>
    <row r="47" spans="1:32" ht="11.25" customHeight="1" x14ac:dyDescent="0.3">
      <c r="A47" s="284"/>
      <c r="B47" s="255"/>
      <c r="C47" s="287"/>
      <c r="D47" s="291"/>
      <c r="E47" s="245" t="s">
        <v>68</v>
      </c>
      <c r="F47" s="245" t="s">
        <v>68</v>
      </c>
      <c r="G47" s="246" t="s">
        <v>153</v>
      </c>
      <c r="H47" s="286"/>
      <c r="I47" s="270"/>
      <c r="J47" s="270"/>
      <c r="K47" s="232"/>
      <c r="L47" s="232"/>
      <c r="M47" s="273"/>
      <c r="N47" s="273"/>
      <c r="O47" s="236"/>
      <c r="P47" s="236"/>
      <c r="Q47" s="270"/>
      <c r="R47" s="270"/>
      <c r="S47" s="232"/>
      <c r="T47" s="232"/>
      <c r="U47" s="273"/>
      <c r="V47" s="273"/>
      <c r="W47" s="236"/>
      <c r="X47" s="236"/>
      <c r="Y47" s="276"/>
      <c r="Z47" s="276"/>
      <c r="AA47" s="278"/>
      <c r="AB47" s="278"/>
      <c r="AC47" s="280"/>
      <c r="AD47" s="280"/>
      <c r="AE47" s="282"/>
    </row>
    <row r="48" spans="1:32" ht="11.25" customHeight="1" x14ac:dyDescent="0.3">
      <c r="A48" s="284"/>
      <c r="B48" s="255"/>
      <c r="C48" s="287"/>
      <c r="D48" s="291"/>
      <c r="E48" s="245" t="s">
        <v>263</v>
      </c>
      <c r="F48" s="245" t="s">
        <v>258</v>
      </c>
      <c r="G48" s="246" t="s">
        <v>264</v>
      </c>
      <c r="H48" s="284"/>
      <c r="I48" s="271"/>
      <c r="J48" s="271"/>
      <c r="K48" s="272"/>
      <c r="L48" s="272"/>
      <c r="M48" s="274"/>
      <c r="N48" s="274"/>
      <c r="O48" s="275"/>
      <c r="P48" s="275"/>
      <c r="Q48" s="271"/>
      <c r="R48" s="271"/>
      <c r="S48" s="272"/>
      <c r="T48" s="272"/>
      <c r="U48" s="274"/>
      <c r="V48" s="274"/>
      <c r="W48" s="275"/>
      <c r="X48" s="275"/>
      <c r="Y48" s="277"/>
      <c r="Z48" s="277"/>
      <c r="AA48" s="279"/>
      <c r="AB48" s="279"/>
      <c r="AC48" s="281"/>
      <c r="AD48" s="281"/>
      <c r="AE48" s="283"/>
    </row>
    <row r="49" spans="1:31" ht="11.25" customHeight="1" x14ac:dyDescent="0.3">
      <c r="A49" s="286" t="s">
        <v>226</v>
      </c>
      <c r="B49" s="255">
        <v>38</v>
      </c>
      <c r="C49" s="292" t="s">
        <v>265</v>
      </c>
      <c r="D49" s="288">
        <f t="shared" ref="D49:D52" ca="1" si="64">(E49/(TODAY()-$I$1))*30.42</f>
        <v>8893.9024092165891</v>
      </c>
      <c r="E49" s="268">
        <f t="shared" ref="E49:E52" si="65">Q49+S49+U49+W49+Y49+AA49+AC49+AE49+I49+K49+M49+O49</f>
        <v>63444.34</v>
      </c>
      <c r="F49" s="268">
        <f>E49-('Proposed Budget'!J68*14)</f>
        <v>-925.22804361999442</v>
      </c>
      <c r="G49" s="246">
        <f t="shared" ref="G49:G50" si="66">(E49/(E49-F49))-1</f>
        <v>-1.4373687314369055E-2</v>
      </c>
      <c r="H49" s="286"/>
      <c r="I49" s="270">
        <f>SUMIFS('Checking Transaction Log'!F:F,'Checking Transaction Log'!C:C,"&gt;="&amp;I1,'Checking Transaction Log'!C:C,"&lt;="&amp;J1,'Checking Transaction Log'!A:A,"i",'Checking Transaction Log'!B:B,38)</f>
        <v>8731.32</v>
      </c>
      <c r="J49" s="270"/>
      <c r="K49" s="232">
        <f>SUMIFS('Checking Transaction Log'!F:F,'Checking Transaction Log'!C:C,"&gt;="&amp;K1,'Checking Transaction Log'!C:C,"&lt;="&amp;L1,'Checking Transaction Log'!A:A,"i",'Checking Transaction Log'!B:B,38)</f>
        <v>8556.31</v>
      </c>
      <c r="L49" s="232"/>
      <c r="M49" s="273">
        <f>SUMIFS('Checking Transaction Log'!$F:$F,'Checking Transaction Log'!$C:$C,"&gt;="&amp;M1,'Checking Transaction Log'!$C:$C,"&lt;="&amp;N1,'Checking Transaction Log'!$A:$A,"i",'Checking Transaction Log'!$B:$B,38)</f>
        <v>9005.0600000000013</v>
      </c>
      <c r="N49" s="273"/>
      <c r="O49" s="236">
        <f>SUMIFS('Checking Transaction Log'!$F:$F,'Checking Transaction Log'!$C:$C,"&gt;="&amp;O1,'Checking Transaction Log'!$C:$C,"&lt;="&amp;P1,'Checking Transaction Log'!$A:$A,"i",'Checking Transaction Log'!$B:$B,38)</f>
        <v>9195.64</v>
      </c>
      <c r="P49" s="236"/>
      <c r="Q49" s="270">
        <f>SUMIFS('Checking Transaction Log'!$F:$F,'Checking Transaction Log'!$C:$C,"&gt;="&amp;Q1,'Checking Transaction Log'!$C:$C,"&lt;="&amp;R1,'Checking Transaction Log'!$A:$A,"i",'Checking Transaction Log'!$B:$B,38)</f>
        <v>9195.630000000001</v>
      </c>
      <c r="R49" s="270"/>
      <c r="S49" s="232">
        <f>SUMIFS('Checking Transaction Log'!$F:$F,'Checking Transaction Log'!$C:$C,"&gt;="&amp;S1,'Checking Transaction Log'!$C:$C,"&lt;="&amp;T1,'Checking Transaction Log'!$A:$A,"i",'Checking Transaction Log'!$B:$B,38)</f>
        <v>9318.68</v>
      </c>
      <c r="T49" s="232"/>
      <c r="U49" s="273">
        <f>SUMIFS('Checking Transaction Log'!$F:$F,'Checking Transaction Log'!$C:$C,"&gt;="&amp;U1,'Checking Transaction Log'!$C:$C,"&lt;="&amp;V1,'Checking Transaction Log'!$A:$A,"i",'Checking Transaction Log'!$B:$B,38)</f>
        <v>9441.7000000000007</v>
      </c>
      <c r="V49" s="273"/>
      <c r="W49" s="236">
        <f>SUMIFS('Checking Transaction Log'!$F:$F,'Checking Transaction Log'!$C:$C,"&gt;="&amp;W1,'Checking Transaction Log'!$C:$C,"&lt;="&amp;X1,'Checking Transaction Log'!$A:$A,"i",'Checking Transaction Log'!$B:$B,38)</f>
        <v>0</v>
      </c>
      <c r="X49" s="236"/>
      <c r="Y49" s="276">
        <f>SUMIFS('Checking Transaction Log'!$F:$F,'Checking Transaction Log'!$C:$C,"&gt;="&amp;Y1,'Checking Transaction Log'!$C:$C,"&lt;="&amp;Z1,'Checking Transaction Log'!$A:$A,"i",'Checking Transaction Log'!$B:$B,38)</f>
        <v>0</v>
      </c>
      <c r="Z49" s="276"/>
      <c r="AA49" s="278">
        <f>SUMIFS('Checking Transaction Log'!$F:$F,'Checking Transaction Log'!$C:$C,"&gt;="&amp;AA1,'Checking Transaction Log'!$C:$C,"&lt;="&amp;AB1,'Checking Transaction Log'!$A:$A,"i",'Checking Transaction Log'!$B:$B,38)</f>
        <v>0</v>
      </c>
      <c r="AB49" s="278"/>
      <c r="AC49" s="280">
        <f>SUMIFS('Checking Transaction Log'!$F:$F,'Checking Transaction Log'!$C:$C,"&gt;="&amp;AC1,'Checking Transaction Log'!$C:$C,"&lt;="&amp;AD1,'Checking Transaction Log'!$A:$A,"i",'Checking Transaction Log'!$B:$B,38)</f>
        <v>0</v>
      </c>
      <c r="AD49" s="280"/>
      <c r="AE49" s="282">
        <f>SUMIFS('Checking Transaction Log'!$F:$F,'Checking Transaction Log'!$C:$C,"&gt;="&amp;AE1,'Checking Transaction Log'!$C:$C,"&lt;="&amp;AF1,'Checking Transaction Log'!$A:$A,"i",'Checking Transaction Log'!$B:$B,38)</f>
        <v>0</v>
      </c>
    </row>
    <row r="50" spans="1:31" ht="11.25" customHeight="1" x14ac:dyDescent="0.3">
      <c r="A50" s="286" t="s">
        <v>226</v>
      </c>
      <c r="B50" s="255">
        <v>39</v>
      </c>
      <c r="C50" s="292" t="s">
        <v>266</v>
      </c>
      <c r="D50" s="288">
        <f t="shared" ca="1" si="64"/>
        <v>6280.3926414746529</v>
      </c>
      <c r="E50" s="268">
        <f t="shared" si="65"/>
        <v>44800.959999999992</v>
      </c>
      <c r="F50" s="268">
        <f>E50-('Proposed Budget'!J44*14)</f>
        <v>6107.9909299999999</v>
      </c>
      <c r="G50" s="246">
        <f t="shared" si="66"/>
        <v>0.15785790227030527</v>
      </c>
      <c r="H50" s="286"/>
      <c r="I50" s="270">
        <f>SUMIFS('Checking Transaction Log'!F:F,'Checking Transaction Log'!C:C,"&gt;="&amp;I1,'Checking Transaction Log'!C:C,"&lt;="&amp;J1,'Checking Transaction Log'!A:A,"i",'Checking Transaction Log'!B:B,39)</f>
        <v>6108.04</v>
      </c>
      <c r="J50" s="270"/>
      <c r="K50" s="232">
        <f>SUMIFS('Checking Transaction Log'!F:F,'Checking Transaction Log'!C:C,"&gt;="&amp;K1,'Checking Transaction Log'!C:C,"&lt;="&amp;L1,'Checking Transaction Log'!A:A,"i",'Checking Transaction Log'!B:B,39)</f>
        <v>5527.5599999999995</v>
      </c>
      <c r="L50" s="232"/>
      <c r="M50" s="273">
        <f>SUMIFS('Checking Transaction Log'!$F:$F,'Checking Transaction Log'!$C:$C,"&gt;="&amp;M1,'Checking Transaction Log'!$C:$C,"&lt;="&amp;N1,'Checking Transaction Log'!$A:$A,"i",'Checking Transaction Log'!$B:$B,39)</f>
        <v>5527.56</v>
      </c>
      <c r="N50" s="273"/>
      <c r="O50" s="236">
        <f>SUMIFS('Checking Transaction Log'!$F:$F,'Checking Transaction Log'!$C:$C,"&gt;="&amp;O1,'Checking Transaction Log'!$C:$C,"&lt;="&amp;P1,'Checking Transaction Log'!$A:$A,"i",'Checking Transaction Log'!$B:$B,39)</f>
        <v>8291.34</v>
      </c>
      <c r="P50" s="236"/>
      <c r="Q50" s="270">
        <f>SUMIFS('Checking Transaction Log'!$F:$F,'Checking Transaction Log'!$C:$C,"&gt;="&amp;Q1,'Checking Transaction Log'!$C:$C,"&lt;="&amp;R1,'Checking Transaction Log'!$A:$A,"i",'Checking Transaction Log'!$B:$B,39)</f>
        <v>5527.57</v>
      </c>
      <c r="R50" s="270"/>
      <c r="S50" s="232">
        <f>SUMIFS('Checking Transaction Log'!$F:$F,'Checking Transaction Log'!$C:$C,"&gt;="&amp;S1,'Checking Transaction Log'!$C:$C,"&lt;="&amp;T1,'Checking Transaction Log'!$A:$A,"i",'Checking Transaction Log'!$B:$B,39)</f>
        <v>5527.55</v>
      </c>
      <c r="T50" s="232"/>
      <c r="U50" s="273">
        <f>SUMIFS('Checking Transaction Log'!$F:$F,'Checking Transaction Log'!$C:$C,"&gt;="&amp;U1,'Checking Transaction Log'!$C:$C,"&lt;="&amp;V1,'Checking Transaction Log'!$A:$A,"i",'Checking Transaction Log'!$B:$B,39)</f>
        <v>5527.56</v>
      </c>
      <c r="V50" s="273"/>
      <c r="W50" s="236">
        <f>SUMIFS('Checking Transaction Log'!$F:$F,'Checking Transaction Log'!$C:$C,"&gt;="&amp;W1,'Checking Transaction Log'!$C:$C,"&lt;="&amp;X1,'Checking Transaction Log'!$A:$A,"i",'Checking Transaction Log'!$B:$B,39)</f>
        <v>2763.78</v>
      </c>
      <c r="X50" s="236"/>
      <c r="Y50" s="276">
        <f>SUMIFS('Checking Transaction Log'!$F:$F,'Checking Transaction Log'!$C:$C,"&gt;="&amp;Y1,'Checking Transaction Log'!$C:$C,"&lt;="&amp;Z1,'Checking Transaction Log'!$A:$A,"i",'Checking Transaction Log'!$B:$B,39)</f>
        <v>0</v>
      </c>
      <c r="Z50" s="276"/>
      <c r="AA50" s="278">
        <f>SUMIFS('Checking Transaction Log'!$F:$F,'Checking Transaction Log'!$C:$C,"&gt;="&amp;AA1,'Checking Transaction Log'!$C:$C,"&lt;="&amp;AB1,'Checking Transaction Log'!$A:$A,"i",'Checking Transaction Log'!$B:$B,39)</f>
        <v>0</v>
      </c>
      <c r="AB50" s="278"/>
      <c r="AC50" s="280">
        <f>SUMIFS('Checking Transaction Log'!$F:$F,'Checking Transaction Log'!$C:$C,"&gt;="&amp;AC1,'Checking Transaction Log'!$C:$C,"&lt;="&amp;AD1,'Checking Transaction Log'!$A:$A,"i",'Checking Transaction Log'!$B:$B,39)</f>
        <v>0</v>
      </c>
      <c r="AD50" s="280"/>
      <c r="AE50" s="282">
        <f>SUMIFS('Checking Transaction Log'!$F:$F,'Checking Transaction Log'!$C:$C,"&gt;="&amp;AE1,'Checking Transaction Log'!$C:$C,"&lt;="&amp;AF1,'Checking Transaction Log'!$A:$A,"i",'Checking Transaction Log'!$B:$B,39)</f>
        <v>0</v>
      </c>
    </row>
    <row r="51" spans="1:31" ht="11.25" customHeight="1" x14ac:dyDescent="0.3">
      <c r="A51" s="286" t="s">
        <v>226</v>
      </c>
      <c r="B51" s="255">
        <v>40</v>
      </c>
      <c r="C51" s="292" t="s">
        <v>267</v>
      </c>
      <c r="D51" s="288">
        <f t="shared" ca="1" si="64"/>
        <v>1604.2022046082952</v>
      </c>
      <c r="E51" s="268">
        <f t="shared" si="65"/>
        <v>11443.52</v>
      </c>
      <c r="F51" s="268"/>
      <c r="G51" s="246"/>
      <c r="H51" s="286"/>
      <c r="I51" s="270">
        <f>SUMIFS('Checking Transaction Log'!F:F,'Checking Transaction Log'!C:C,"&gt;="&amp;I1,'Checking Transaction Log'!C:C,"&lt;="&amp;J1,'Checking Transaction Log'!A:A,"i",'Checking Transaction Log'!B:B,40)</f>
        <v>0</v>
      </c>
      <c r="J51" s="270"/>
      <c r="K51" s="232">
        <f>SUMIFS('Checking Transaction Log'!F:F,'Checking Transaction Log'!C:C,"&gt;="&amp;K1,'Checking Transaction Log'!C:C,"&lt;="&amp;L1,'Checking Transaction Log'!A:A,"i",'Checking Transaction Log'!B:B,40)</f>
        <v>2531.75</v>
      </c>
      <c r="L51" s="232"/>
      <c r="M51" s="273">
        <f>SUMIFS('Checking Transaction Log'!$F:$F,'Checking Transaction Log'!$C:$C,"&gt;="&amp;M1,'Checking Transaction Log'!$C:$C,"&lt;="&amp;N1,'Checking Transaction Log'!$A:$A,"i",'Checking Transaction Log'!$B:$B,40)</f>
        <v>838.67</v>
      </c>
      <c r="N51" s="273"/>
      <c r="O51" s="236">
        <f>SUMIFS('Checking Transaction Log'!$F:$F,'Checking Transaction Log'!$C:$C,"&gt;="&amp;O1,'Checking Transaction Log'!$C:$C,"&lt;="&amp;P1,'Checking Transaction Log'!$A:$A,"i",'Checking Transaction Log'!$B:$B,40)</f>
        <v>838.69</v>
      </c>
      <c r="P51" s="236"/>
      <c r="Q51" s="270">
        <f>SUMIFS('Checking Transaction Log'!$F:$F,'Checking Transaction Log'!$C:$C,"&gt;="&amp;Q1,'Checking Transaction Log'!$C:$C,"&lt;="&amp;R1,'Checking Transaction Log'!$A:$A,"i",'Checking Transaction Log'!$B:$B,40)</f>
        <v>0</v>
      </c>
      <c r="R51" s="270"/>
      <c r="S51" s="232">
        <f>SUMIFS('Checking Transaction Log'!$F:$F,'Checking Transaction Log'!$C:$C,"&gt;="&amp;S1,'Checking Transaction Log'!$C:$C,"&lt;="&amp;T1,'Checking Transaction Log'!$A:$A,"i",'Checking Transaction Log'!$B:$B,40)</f>
        <v>2104.5500000000002</v>
      </c>
      <c r="T51" s="232"/>
      <c r="U51" s="273">
        <f>SUMIFS('Checking Transaction Log'!$F:$F,'Checking Transaction Log'!$C:$C,"&gt;="&amp;U1,'Checking Transaction Log'!$C:$C,"&lt;="&amp;V1,'Checking Transaction Log'!$A:$A,"i",'Checking Transaction Log'!$B:$B,40)</f>
        <v>4292.68</v>
      </c>
      <c r="V51" s="273"/>
      <c r="W51" s="236">
        <f>SUMIFS('Checking Transaction Log'!$F:$F,'Checking Transaction Log'!$C:$C,"&gt;="&amp;W1,'Checking Transaction Log'!$C:$C,"&lt;="&amp;X1,'Checking Transaction Log'!$A:$A,"i",'Checking Transaction Log'!$B:$B,40)</f>
        <v>837.18</v>
      </c>
      <c r="X51" s="236"/>
      <c r="Y51" s="276">
        <f>SUMIFS('Checking Transaction Log'!$F:$F,'Checking Transaction Log'!$C:$C,"&gt;="&amp;Y1,'Checking Transaction Log'!$C:$C,"&lt;="&amp;Z1,'Checking Transaction Log'!$A:$A,"i",'Checking Transaction Log'!$B:$B,40)</f>
        <v>0</v>
      </c>
      <c r="Z51" s="276"/>
      <c r="AA51" s="278">
        <f>SUMIFS('Checking Transaction Log'!$F:$F,'Checking Transaction Log'!$C:$C,"&gt;="&amp;AA1,'Checking Transaction Log'!$C:$C,"&lt;="&amp;AB1,'Checking Transaction Log'!$A:$A,"i",'Checking Transaction Log'!$B:$B,40)</f>
        <v>0</v>
      </c>
      <c r="AB51" s="278"/>
      <c r="AC51" s="280">
        <f>SUMIFS('Checking Transaction Log'!$F:$F,'Checking Transaction Log'!$C:$C,"&gt;="&amp;AC1,'Checking Transaction Log'!$C:$C,"&lt;="&amp;AD1,'Checking Transaction Log'!$A:$A,"i",'Checking Transaction Log'!$B:$B,40)</f>
        <v>0</v>
      </c>
      <c r="AD51" s="280"/>
      <c r="AE51" s="282">
        <f>SUMIFS('Checking Transaction Log'!$F:$F,'Checking Transaction Log'!$C:$C,"&gt;="&amp;AE1,'Checking Transaction Log'!$C:$C,"&lt;="&amp;AF1,'Checking Transaction Log'!$A:$A,"i",'Checking Transaction Log'!$B:$B,40)</f>
        <v>0</v>
      </c>
    </row>
    <row r="52" spans="1:31" ht="11.25" customHeight="1" x14ac:dyDescent="0.3">
      <c r="A52" s="286" t="s">
        <v>226</v>
      </c>
      <c r="B52" s="255">
        <v>41</v>
      </c>
      <c r="C52" s="292" t="s">
        <v>189</v>
      </c>
      <c r="D52" s="288">
        <f t="shared" ca="1" si="64"/>
        <v>785.0322580645161</v>
      </c>
      <c r="E52" s="268">
        <f t="shared" si="65"/>
        <v>5600</v>
      </c>
      <c r="F52" s="268"/>
      <c r="G52" s="246"/>
      <c r="H52" s="286"/>
      <c r="I52" s="270">
        <f>SUMIFS('Checking Transaction Log'!F:F,'Checking Transaction Log'!C:C,"&gt;="&amp;I1,'Checking Transaction Log'!C:C,"&lt;="&amp;J1,'Checking Transaction Log'!A:A,"i",'Checking Transaction Log'!B:B,41)</f>
        <v>800</v>
      </c>
      <c r="J52" s="270"/>
      <c r="K52" s="232">
        <f>SUMIFS('Checking Transaction Log'!F:F,'Checking Transaction Log'!C:C,"&gt;="&amp;K1,'Checking Transaction Log'!C:C,"&lt;="&amp;L1,'Checking Transaction Log'!A:A,"i",'Checking Transaction Log'!B:B,41)</f>
        <v>0</v>
      </c>
      <c r="L52" s="232"/>
      <c r="M52" s="273">
        <f>SUMIFS('Checking Transaction Log'!$F:$F,'Checking Transaction Log'!$C:$C,"&gt;="&amp;M1,'Checking Transaction Log'!$C:$C,"&lt;="&amp;N1,'Checking Transaction Log'!$A:$A,"i",'Checking Transaction Log'!$B:$B,41)</f>
        <v>1600</v>
      </c>
      <c r="N52" s="273"/>
      <c r="O52" s="236">
        <f>SUMIFS('Checking Transaction Log'!$F:$F,'Checking Transaction Log'!$C:$C,"&gt;="&amp;O1,'Checking Transaction Log'!$C:$C,"&lt;="&amp;P1,'Checking Transaction Log'!$A:$A,"i",'Checking Transaction Log'!$B:$B,41)</f>
        <v>550</v>
      </c>
      <c r="P52" s="236"/>
      <c r="Q52" s="270">
        <f>SUMIFS('Checking Transaction Log'!$F:$F,'Checking Transaction Log'!$C:$C,"&gt;="&amp;Q1,'Checking Transaction Log'!$C:$C,"&lt;="&amp;R1,'Checking Transaction Log'!$A:$A,"i",'Checking Transaction Log'!$B:$B,41)</f>
        <v>250</v>
      </c>
      <c r="R52" s="270"/>
      <c r="S52" s="232">
        <f>SUMIFS('Checking Transaction Log'!$F:$F,'Checking Transaction Log'!$C:$C,"&gt;="&amp;S1,'Checking Transaction Log'!$C:$C,"&lt;="&amp;T1,'Checking Transaction Log'!$A:$A,"i",'Checking Transaction Log'!$B:$B,41)</f>
        <v>800</v>
      </c>
      <c r="T52" s="232"/>
      <c r="U52" s="273">
        <f>SUMIFS('Checking Transaction Log'!$F:$F,'Checking Transaction Log'!$C:$C,"&gt;="&amp;U1,'Checking Transaction Log'!$C:$C,"&lt;="&amp;V1,'Checking Transaction Log'!$A:$A,"i",'Checking Transaction Log'!$B:$B,41)</f>
        <v>800</v>
      </c>
      <c r="V52" s="273"/>
      <c r="W52" s="236">
        <f>SUMIFS('Checking Transaction Log'!$F:$F,'Checking Transaction Log'!$C:$C,"&gt;="&amp;W1,'Checking Transaction Log'!$C:$C,"&lt;="&amp;X1,'Checking Transaction Log'!$A:$A,"i",'Checking Transaction Log'!$B:$B,41)</f>
        <v>800</v>
      </c>
      <c r="X52" s="236"/>
      <c r="Y52" s="276">
        <f>SUMIFS('Checking Transaction Log'!$F:$F,'Checking Transaction Log'!$C:$C,"&gt;="&amp;Y1,'Checking Transaction Log'!$C:$C,"&lt;="&amp;Z1,'Checking Transaction Log'!$A:$A,"i",'Checking Transaction Log'!$B:$B,41)</f>
        <v>0</v>
      </c>
      <c r="Z52" s="276"/>
      <c r="AA52" s="278">
        <f>SUMIFS('Checking Transaction Log'!$F:$F,'Checking Transaction Log'!$C:$C,"&gt;="&amp;AA1,'Checking Transaction Log'!$C:$C,"&lt;="&amp;AB1,'Checking Transaction Log'!$A:$A,"i",'Checking Transaction Log'!$B:$B,41)</f>
        <v>0</v>
      </c>
      <c r="AB52" s="278"/>
      <c r="AC52" s="280">
        <f>SUMIFS('Checking Transaction Log'!$F:$F,'Checking Transaction Log'!$C:$C,"&gt;="&amp;AC1,'Checking Transaction Log'!$C:$C,"&lt;="&amp;AD1,'Checking Transaction Log'!$A:$A,"i",'Checking Transaction Log'!$B:$B,41)</f>
        <v>0</v>
      </c>
      <c r="AD52" s="280"/>
      <c r="AE52" s="282">
        <f>SUMIFS('Checking Transaction Log'!$F:$F,'Checking Transaction Log'!$C:$C,"&gt;="&amp;AE1,'Checking Transaction Log'!$C:$C,"&lt;="&amp;AF1,'Checking Transaction Log'!$A:$A,"i",'Checking Transaction Log'!$B:$B,41)</f>
        <v>0</v>
      </c>
    </row>
    <row r="53" spans="1:31" ht="11.25" customHeight="1" x14ac:dyDescent="0.3">
      <c r="A53" s="188"/>
      <c r="B53" s="293"/>
      <c r="C53" s="294"/>
      <c r="D53" s="122"/>
      <c r="E53" s="295"/>
      <c r="F53" s="295"/>
      <c r="G53" s="296"/>
      <c r="H53" s="295"/>
      <c r="I53" s="295"/>
      <c r="J53" s="295"/>
      <c r="K53" s="295"/>
      <c r="L53" s="295"/>
      <c r="M53" s="295"/>
      <c r="N53" s="295"/>
      <c r="O53" s="295"/>
      <c r="P53" s="295"/>
      <c r="Q53" s="295"/>
      <c r="R53" s="295"/>
      <c r="S53" s="295"/>
      <c r="T53" s="295"/>
      <c r="U53" s="295"/>
      <c r="V53" s="295"/>
      <c r="W53" s="295"/>
      <c r="X53" s="295"/>
      <c r="Y53" s="295"/>
      <c r="Z53" s="295"/>
      <c r="AA53" s="295"/>
      <c r="AB53" s="295"/>
      <c r="AC53" s="295"/>
      <c r="AD53" s="295"/>
      <c r="AE53" s="295"/>
    </row>
    <row r="54" spans="1:31" ht="11.25" customHeight="1" x14ac:dyDescent="0.3">
      <c r="A54" s="188"/>
      <c r="B54" s="293"/>
      <c r="C54" s="294"/>
      <c r="D54" s="122"/>
      <c r="E54" s="297">
        <f>SUM(E49:E52)</f>
        <v>125288.81999999999</v>
      </c>
      <c r="F54" s="297">
        <f>F49+F50+E52</f>
        <v>10782.762886380006</v>
      </c>
      <c r="G54" s="246">
        <f>(E54/(E54-F54))-1</f>
        <v>9.4167620108346561E-2</v>
      </c>
      <c r="H54" s="295"/>
      <c r="I54" s="198">
        <f>SUM(I49:I52)</f>
        <v>15639.36</v>
      </c>
      <c r="J54" s="295"/>
      <c r="K54" s="198">
        <f>SUM(K49:K52)</f>
        <v>16615.62</v>
      </c>
      <c r="L54" s="295"/>
      <c r="M54" s="198">
        <f>SUM(M49:M52)</f>
        <v>16971.29</v>
      </c>
      <c r="N54" s="295"/>
      <c r="O54" s="198">
        <f>SUM(O49:O52)</f>
        <v>18875.669999999998</v>
      </c>
      <c r="P54" s="295"/>
      <c r="Q54" s="198">
        <f>SUM(Q49:Q52)</f>
        <v>14973.2</v>
      </c>
      <c r="R54" s="295"/>
      <c r="S54" s="198">
        <f>SUM(S49:S52)</f>
        <v>17750.78</v>
      </c>
      <c r="T54" s="295"/>
      <c r="U54" s="198">
        <f>SUM(U49:U52)</f>
        <v>20061.940000000002</v>
      </c>
      <c r="V54" s="295"/>
      <c r="W54" s="198">
        <f>SUM(W49:W52)</f>
        <v>4400.96</v>
      </c>
      <c r="X54" s="295"/>
      <c r="Y54" s="198">
        <f>SUM(Y49:Y52)</f>
        <v>0</v>
      </c>
      <c r="Z54" s="295"/>
      <c r="AA54" s="198">
        <f>SUM(AA49:AA52)</f>
        <v>0</v>
      </c>
      <c r="AB54" s="295"/>
      <c r="AC54" s="198">
        <f>SUM(AC49:AC52)</f>
        <v>0</v>
      </c>
      <c r="AD54" s="295"/>
      <c r="AE54" s="198">
        <f>SUM(AE49:AE52)</f>
        <v>0</v>
      </c>
    </row>
    <row r="55" spans="1:31" ht="15.75" customHeight="1" x14ac:dyDescent="0.3">
      <c r="D55" s="11"/>
    </row>
    <row r="56" spans="1:31" ht="15.75" customHeight="1" x14ac:dyDescent="0.3">
      <c r="D56" s="11"/>
    </row>
    <row r="57" spans="1:31" ht="15.75" customHeight="1" x14ac:dyDescent="0.3">
      <c r="D57" s="11"/>
    </row>
    <row r="58" spans="1:31" ht="15.75" customHeight="1" x14ac:dyDescent="0.3">
      <c r="D58" s="11"/>
    </row>
    <row r="59" spans="1:31" ht="15.75" customHeight="1" x14ac:dyDescent="0.3">
      <c r="D59" s="11"/>
    </row>
    <row r="60" spans="1:31" ht="15.75" customHeight="1" x14ac:dyDescent="0.3">
      <c r="D60" s="11"/>
    </row>
    <row r="61" spans="1:31" ht="15.75" customHeight="1" x14ac:dyDescent="0.3">
      <c r="D61" s="11"/>
    </row>
    <row r="62" spans="1:31" ht="15.75" customHeight="1" x14ac:dyDescent="0.3">
      <c r="D62" s="11"/>
    </row>
    <row r="63" spans="1:31" ht="15.75" customHeight="1" x14ac:dyDescent="0.3">
      <c r="D63" s="11"/>
    </row>
    <row r="64" spans="1:31" ht="15.75" customHeight="1" x14ac:dyDescent="0.3">
      <c r="D64" s="11"/>
    </row>
    <row r="65" spans="4:4" ht="15.75" customHeight="1" x14ac:dyDescent="0.3">
      <c r="D65" s="11"/>
    </row>
    <row r="66" spans="4:4" ht="15.75" customHeight="1" x14ac:dyDescent="0.3">
      <c r="D66" s="11"/>
    </row>
    <row r="67" spans="4:4" ht="15.75" customHeight="1" x14ac:dyDescent="0.3">
      <c r="D67" s="11"/>
    </row>
    <row r="68" spans="4:4" ht="15.75" customHeight="1" x14ac:dyDescent="0.3">
      <c r="D68" s="11"/>
    </row>
    <row r="69" spans="4:4" ht="15.75" customHeight="1" x14ac:dyDescent="0.3">
      <c r="D69" s="11"/>
    </row>
    <row r="70" spans="4:4" ht="15.75" customHeight="1" x14ac:dyDescent="0.3">
      <c r="D70" s="11"/>
    </row>
    <row r="71" spans="4:4" ht="15.75" customHeight="1" x14ac:dyDescent="0.3">
      <c r="D71" s="11"/>
    </row>
    <row r="72" spans="4:4" ht="15.75" customHeight="1" x14ac:dyDescent="0.3">
      <c r="D72" s="11"/>
    </row>
    <row r="73" spans="4:4" ht="15.75" customHeight="1" x14ac:dyDescent="0.3">
      <c r="D73" s="11"/>
    </row>
    <row r="74" spans="4:4" ht="15.75" customHeight="1" x14ac:dyDescent="0.3">
      <c r="D74" s="11"/>
    </row>
    <row r="75" spans="4:4" ht="15.75" customHeight="1" x14ac:dyDescent="0.3">
      <c r="D75" s="11"/>
    </row>
    <row r="76" spans="4:4" ht="15.75" customHeight="1" x14ac:dyDescent="0.3">
      <c r="D76" s="11"/>
    </row>
    <row r="77" spans="4:4" ht="15.75" customHeight="1" x14ac:dyDescent="0.3">
      <c r="D77" s="11"/>
    </row>
    <row r="78" spans="4:4" ht="15.75" customHeight="1" x14ac:dyDescent="0.3">
      <c r="D78" s="11"/>
    </row>
    <row r="79" spans="4:4" ht="15.75" customHeight="1" x14ac:dyDescent="0.3">
      <c r="D79" s="11"/>
    </row>
    <row r="80" spans="4:4" ht="15.75" customHeight="1" x14ac:dyDescent="0.3">
      <c r="D80" s="11"/>
    </row>
    <row r="81" spans="4:4" ht="15.75" customHeight="1" x14ac:dyDescent="0.3">
      <c r="D81" s="11"/>
    </row>
    <row r="82" spans="4:4" ht="15.75" customHeight="1" x14ac:dyDescent="0.3">
      <c r="D82" s="11"/>
    </row>
    <row r="83" spans="4:4" ht="15.75" customHeight="1" x14ac:dyDescent="0.3">
      <c r="D83" s="11"/>
    </row>
    <row r="84" spans="4:4" ht="15.75" customHeight="1" x14ac:dyDescent="0.3">
      <c r="D84" s="11"/>
    </row>
    <row r="85" spans="4:4" ht="15.75" customHeight="1" x14ac:dyDescent="0.3">
      <c r="D85" s="11"/>
    </row>
    <row r="86" spans="4:4" ht="15.75" customHeight="1" x14ac:dyDescent="0.3">
      <c r="D86" s="11"/>
    </row>
    <row r="87" spans="4:4" ht="15.75" customHeight="1" x14ac:dyDescent="0.3">
      <c r="D87" s="11"/>
    </row>
    <row r="88" spans="4:4" ht="15.75" customHeight="1" x14ac:dyDescent="0.3">
      <c r="D88" s="11"/>
    </row>
    <row r="89" spans="4:4" ht="15.75" customHeight="1" x14ac:dyDescent="0.3">
      <c r="D89" s="11"/>
    </row>
    <row r="90" spans="4:4" ht="15.75" customHeight="1" x14ac:dyDescent="0.3">
      <c r="D90" s="11"/>
    </row>
    <row r="91" spans="4:4" ht="15.75" customHeight="1" x14ac:dyDescent="0.3">
      <c r="D91" s="11"/>
    </row>
    <row r="92" spans="4:4" ht="15.75" customHeight="1" x14ac:dyDescent="0.3">
      <c r="D92" s="11"/>
    </row>
    <row r="93" spans="4:4" ht="15.75" customHeight="1" x14ac:dyDescent="0.3">
      <c r="D93" s="11"/>
    </row>
    <row r="94" spans="4:4" ht="15.75" customHeight="1" x14ac:dyDescent="0.3">
      <c r="D94" s="11"/>
    </row>
    <row r="95" spans="4:4" ht="15.75" customHeight="1" x14ac:dyDescent="0.3">
      <c r="D95" s="11"/>
    </row>
    <row r="96" spans="4:4" ht="15.75" customHeight="1" x14ac:dyDescent="0.3">
      <c r="D96" s="11"/>
    </row>
    <row r="97" spans="4:4" ht="15.75" customHeight="1" x14ac:dyDescent="0.3">
      <c r="D97" s="11"/>
    </row>
    <row r="98" spans="4:4" ht="15.75" customHeight="1" x14ac:dyDescent="0.3">
      <c r="D98" s="11"/>
    </row>
    <row r="99" spans="4:4" ht="15.75" customHeight="1" x14ac:dyDescent="0.3">
      <c r="D99" s="11"/>
    </row>
    <row r="100" spans="4:4" ht="15.75" customHeight="1" x14ac:dyDescent="0.3">
      <c r="D100" s="11"/>
    </row>
    <row r="101" spans="4:4" ht="15.75" customHeight="1" x14ac:dyDescent="0.3">
      <c r="D101" s="11"/>
    </row>
    <row r="102" spans="4:4" ht="15.75" customHeight="1" x14ac:dyDescent="0.3">
      <c r="D102" s="11"/>
    </row>
    <row r="103" spans="4:4" ht="15.75" customHeight="1" x14ac:dyDescent="0.3">
      <c r="D103" s="11"/>
    </row>
    <row r="104" spans="4:4" ht="15.75" customHeight="1" x14ac:dyDescent="0.3">
      <c r="D104" s="11"/>
    </row>
    <row r="105" spans="4:4" ht="15.75" customHeight="1" x14ac:dyDescent="0.3">
      <c r="D105" s="11"/>
    </row>
    <row r="106" spans="4:4" ht="15.75" customHeight="1" x14ac:dyDescent="0.3">
      <c r="D106" s="11"/>
    </row>
    <row r="107" spans="4:4" ht="15.75" customHeight="1" x14ac:dyDescent="0.3">
      <c r="D107" s="11"/>
    </row>
    <row r="108" spans="4:4" ht="15.75" customHeight="1" x14ac:dyDescent="0.3">
      <c r="D108" s="11"/>
    </row>
    <row r="109" spans="4:4" ht="15.75" customHeight="1" x14ac:dyDescent="0.3">
      <c r="D109" s="11"/>
    </row>
    <row r="110" spans="4:4" ht="15.75" customHeight="1" x14ac:dyDescent="0.3">
      <c r="D110" s="11"/>
    </row>
    <row r="111" spans="4:4" ht="15.75" customHeight="1" x14ac:dyDescent="0.3">
      <c r="D111" s="11"/>
    </row>
    <row r="112" spans="4:4" ht="15.75" customHeight="1" x14ac:dyDescent="0.3">
      <c r="D112" s="11"/>
    </row>
    <row r="113" spans="4:4" ht="15.75" customHeight="1" x14ac:dyDescent="0.3">
      <c r="D113" s="11"/>
    </row>
    <row r="114" spans="4:4" ht="15.75" customHeight="1" x14ac:dyDescent="0.3">
      <c r="D114" s="11"/>
    </row>
    <row r="115" spans="4:4" ht="15.75" customHeight="1" x14ac:dyDescent="0.3">
      <c r="D115" s="11"/>
    </row>
    <row r="116" spans="4:4" ht="15.75" customHeight="1" x14ac:dyDescent="0.3">
      <c r="D116" s="11"/>
    </row>
    <row r="117" spans="4:4" ht="15.75" customHeight="1" x14ac:dyDescent="0.3">
      <c r="D117" s="11"/>
    </row>
    <row r="118" spans="4:4" ht="15.75" customHeight="1" x14ac:dyDescent="0.3">
      <c r="D118" s="11"/>
    </row>
    <row r="119" spans="4:4" ht="15.75" customHeight="1" x14ac:dyDescent="0.3">
      <c r="D119" s="11"/>
    </row>
    <row r="120" spans="4:4" ht="15.75" customHeight="1" x14ac:dyDescent="0.3">
      <c r="D120" s="11"/>
    </row>
    <row r="121" spans="4:4" ht="15.75" customHeight="1" x14ac:dyDescent="0.3">
      <c r="D121" s="11"/>
    </row>
    <row r="122" spans="4:4" ht="15.75" customHeight="1" x14ac:dyDescent="0.3">
      <c r="D122" s="11"/>
    </row>
    <row r="123" spans="4:4" ht="15.75" customHeight="1" x14ac:dyDescent="0.3">
      <c r="D123" s="11"/>
    </row>
    <row r="124" spans="4:4" ht="15.75" customHeight="1" x14ac:dyDescent="0.3">
      <c r="D124" s="11"/>
    </row>
    <row r="125" spans="4:4" ht="15.75" customHeight="1" x14ac:dyDescent="0.3">
      <c r="D125" s="11"/>
    </row>
    <row r="126" spans="4:4" ht="15.75" customHeight="1" x14ac:dyDescent="0.3">
      <c r="D126" s="11"/>
    </row>
    <row r="127" spans="4:4" ht="15.75" customHeight="1" x14ac:dyDescent="0.3">
      <c r="D127" s="11"/>
    </row>
    <row r="128" spans="4:4" ht="15.75" customHeight="1" x14ac:dyDescent="0.3">
      <c r="D128" s="11"/>
    </row>
    <row r="129" spans="4:4" ht="15.75" customHeight="1" x14ac:dyDescent="0.3">
      <c r="D129" s="11"/>
    </row>
    <row r="130" spans="4:4" ht="15.75" customHeight="1" x14ac:dyDescent="0.3">
      <c r="D130" s="11"/>
    </row>
    <row r="131" spans="4:4" ht="15.75" customHeight="1" x14ac:dyDescent="0.3">
      <c r="D131" s="11"/>
    </row>
    <row r="132" spans="4:4" ht="15.75" customHeight="1" x14ac:dyDescent="0.3">
      <c r="D132" s="11"/>
    </row>
    <row r="133" spans="4:4" ht="15.75" customHeight="1" x14ac:dyDescent="0.3">
      <c r="D133" s="11"/>
    </row>
    <row r="134" spans="4:4" ht="15.75" customHeight="1" x14ac:dyDescent="0.3">
      <c r="D134" s="11"/>
    </row>
    <row r="135" spans="4:4" ht="15.75" customHeight="1" x14ac:dyDescent="0.3">
      <c r="D135" s="11"/>
    </row>
    <row r="136" spans="4:4" ht="15.75" customHeight="1" x14ac:dyDescent="0.3">
      <c r="D136" s="11"/>
    </row>
    <row r="137" spans="4:4" ht="15.75" customHeight="1" x14ac:dyDescent="0.3">
      <c r="D137" s="11"/>
    </row>
    <row r="138" spans="4:4" ht="15.75" customHeight="1" x14ac:dyDescent="0.3">
      <c r="D138" s="11"/>
    </row>
    <row r="139" spans="4:4" ht="15.75" customHeight="1" x14ac:dyDescent="0.3">
      <c r="D139" s="11"/>
    </row>
    <row r="140" spans="4:4" ht="15.75" customHeight="1" x14ac:dyDescent="0.3">
      <c r="D140" s="11"/>
    </row>
    <row r="141" spans="4:4" ht="15.75" customHeight="1" x14ac:dyDescent="0.3">
      <c r="D141" s="11"/>
    </row>
    <row r="142" spans="4:4" ht="15.75" customHeight="1" x14ac:dyDescent="0.3">
      <c r="D142" s="11"/>
    </row>
    <row r="143" spans="4:4" ht="15.75" customHeight="1" x14ac:dyDescent="0.3">
      <c r="D143" s="11"/>
    </row>
    <row r="144" spans="4:4" ht="15.75" customHeight="1" x14ac:dyDescent="0.3">
      <c r="D144" s="11"/>
    </row>
    <row r="145" spans="4:4" ht="15.75" customHeight="1" x14ac:dyDescent="0.3">
      <c r="D145" s="11"/>
    </row>
    <row r="146" spans="4:4" ht="15.75" customHeight="1" x14ac:dyDescent="0.3">
      <c r="D146" s="11"/>
    </row>
    <row r="147" spans="4:4" ht="15.75" customHeight="1" x14ac:dyDescent="0.3">
      <c r="D147" s="11"/>
    </row>
    <row r="148" spans="4:4" ht="15.75" customHeight="1" x14ac:dyDescent="0.3">
      <c r="D148" s="11"/>
    </row>
    <row r="149" spans="4:4" ht="15.75" customHeight="1" x14ac:dyDescent="0.3">
      <c r="D149" s="11"/>
    </row>
    <row r="150" spans="4:4" ht="15.75" customHeight="1" x14ac:dyDescent="0.3">
      <c r="D150" s="11"/>
    </row>
    <row r="151" spans="4:4" ht="15.75" customHeight="1" x14ac:dyDescent="0.3">
      <c r="D151" s="11"/>
    </row>
    <row r="152" spans="4:4" ht="15.75" customHeight="1" x14ac:dyDescent="0.3">
      <c r="D152" s="11"/>
    </row>
    <row r="153" spans="4:4" ht="15.75" customHeight="1" x14ac:dyDescent="0.3">
      <c r="D153" s="11"/>
    </row>
    <row r="154" spans="4:4" ht="15.75" customHeight="1" x14ac:dyDescent="0.3">
      <c r="D154" s="11"/>
    </row>
    <row r="155" spans="4:4" ht="15.75" customHeight="1" x14ac:dyDescent="0.3">
      <c r="D155" s="11"/>
    </row>
    <row r="156" spans="4:4" ht="15.75" customHeight="1" x14ac:dyDescent="0.3">
      <c r="D156" s="11"/>
    </row>
    <row r="157" spans="4:4" ht="15.75" customHeight="1" x14ac:dyDescent="0.3">
      <c r="D157" s="11"/>
    </row>
    <row r="158" spans="4:4" ht="15.75" customHeight="1" x14ac:dyDescent="0.3">
      <c r="D158" s="11"/>
    </row>
    <row r="159" spans="4:4" ht="15.75" customHeight="1" x14ac:dyDescent="0.3">
      <c r="D159" s="11"/>
    </row>
    <row r="160" spans="4:4" ht="15.75" customHeight="1" x14ac:dyDescent="0.3">
      <c r="D160" s="11"/>
    </row>
    <row r="161" spans="4:4" ht="15.75" customHeight="1" x14ac:dyDescent="0.3">
      <c r="D161" s="11"/>
    </row>
    <row r="162" spans="4:4" ht="15.75" customHeight="1" x14ac:dyDescent="0.3">
      <c r="D162" s="11"/>
    </row>
    <row r="163" spans="4:4" ht="15.75" customHeight="1" x14ac:dyDescent="0.3">
      <c r="D163" s="11"/>
    </row>
    <row r="164" spans="4:4" ht="15.75" customHeight="1" x14ac:dyDescent="0.3">
      <c r="D164" s="11"/>
    </row>
    <row r="165" spans="4:4" ht="15.75" customHeight="1" x14ac:dyDescent="0.3">
      <c r="D165" s="11"/>
    </row>
    <row r="166" spans="4:4" ht="15.75" customHeight="1" x14ac:dyDescent="0.3">
      <c r="D166" s="11"/>
    </row>
    <row r="167" spans="4:4" ht="15.75" customHeight="1" x14ac:dyDescent="0.3">
      <c r="D167" s="11"/>
    </row>
    <row r="168" spans="4:4" ht="15.75" customHeight="1" x14ac:dyDescent="0.3">
      <c r="D168" s="11"/>
    </row>
    <row r="169" spans="4:4" ht="15.75" customHeight="1" x14ac:dyDescent="0.3">
      <c r="D169" s="11"/>
    </row>
    <row r="170" spans="4:4" ht="15.75" customHeight="1" x14ac:dyDescent="0.3">
      <c r="D170" s="11"/>
    </row>
    <row r="171" spans="4:4" ht="15.75" customHeight="1" x14ac:dyDescent="0.3">
      <c r="D171" s="11"/>
    </row>
    <row r="172" spans="4:4" ht="15.75" customHeight="1" x14ac:dyDescent="0.3">
      <c r="D172" s="11"/>
    </row>
    <row r="173" spans="4:4" ht="15.75" customHeight="1" x14ac:dyDescent="0.3">
      <c r="D173" s="11"/>
    </row>
    <row r="174" spans="4:4" ht="15.75" customHeight="1" x14ac:dyDescent="0.3">
      <c r="D174" s="11"/>
    </row>
    <row r="175" spans="4:4" ht="15.75" customHeight="1" x14ac:dyDescent="0.3">
      <c r="D175" s="11"/>
    </row>
    <row r="176" spans="4:4" ht="15.75" customHeight="1" x14ac:dyDescent="0.3">
      <c r="D176" s="11"/>
    </row>
    <row r="177" spans="4:4" ht="15.75" customHeight="1" x14ac:dyDescent="0.3">
      <c r="D177" s="11"/>
    </row>
    <row r="178" spans="4:4" ht="15.75" customHeight="1" x14ac:dyDescent="0.3">
      <c r="D178" s="11"/>
    </row>
    <row r="179" spans="4:4" ht="15.75" customHeight="1" x14ac:dyDescent="0.3">
      <c r="D179" s="11"/>
    </row>
    <row r="180" spans="4:4" ht="15.75" customHeight="1" x14ac:dyDescent="0.3">
      <c r="D180" s="11"/>
    </row>
    <row r="181" spans="4:4" ht="15.75" customHeight="1" x14ac:dyDescent="0.3">
      <c r="D181" s="11"/>
    </row>
    <row r="182" spans="4:4" ht="15.75" customHeight="1" x14ac:dyDescent="0.3">
      <c r="D182" s="11"/>
    </row>
    <row r="183" spans="4:4" ht="15.75" customHeight="1" x14ac:dyDescent="0.3">
      <c r="D183" s="11"/>
    </row>
    <row r="184" spans="4:4" ht="15.75" customHeight="1" x14ac:dyDescent="0.3">
      <c r="D184" s="11"/>
    </row>
    <row r="185" spans="4:4" ht="15.75" customHeight="1" x14ac:dyDescent="0.3">
      <c r="D185" s="11"/>
    </row>
    <row r="186" spans="4:4" ht="15.75" customHeight="1" x14ac:dyDescent="0.3">
      <c r="D186" s="11"/>
    </row>
    <row r="187" spans="4:4" ht="15.75" customHeight="1" x14ac:dyDescent="0.3">
      <c r="D187" s="11"/>
    </row>
    <row r="188" spans="4:4" ht="15.75" customHeight="1" x14ac:dyDescent="0.3">
      <c r="D188" s="11"/>
    </row>
    <row r="189" spans="4:4" ht="15.75" customHeight="1" x14ac:dyDescent="0.3">
      <c r="D189" s="11"/>
    </row>
    <row r="190" spans="4:4" ht="15.75" customHeight="1" x14ac:dyDescent="0.3">
      <c r="D190" s="11"/>
    </row>
    <row r="191" spans="4:4" ht="15.75" customHeight="1" x14ac:dyDescent="0.3">
      <c r="D191" s="11"/>
    </row>
    <row r="192" spans="4:4" ht="15.75" customHeight="1" x14ac:dyDescent="0.3">
      <c r="D192" s="11"/>
    </row>
    <row r="193" spans="4:4" ht="15.75" customHeight="1" x14ac:dyDescent="0.3">
      <c r="D193" s="11"/>
    </row>
    <row r="194" spans="4:4" ht="15.75" customHeight="1" x14ac:dyDescent="0.3">
      <c r="D194" s="11"/>
    </row>
    <row r="195" spans="4:4" ht="15.75" customHeight="1" x14ac:dyDescent="0.3">
      <c r="D195" s="11"/>
    </row>
    <row r="196" spans="4:4" ht="15.75" customHeight="1" x14ac:dyDescent="0.3">
      <c r="D196" s="11"/>
    </row>
    <row r="197" spans="4:4" ht="15.75" customHeight="1" x14ac:dyDescent="0.3">
      <c r="D197" s="11"/>
    </row>
    <row r="198" spans="4:4" ht="15.75" customHeight="1" x14ac:dyDescent="0.3">
      <c r="D198" s="11"/>
    </row>
    <row r="199" spans="4:4" ht="15.75" customHeight="1" x14ac:dyDescent="0.3">
      <c r="D199" s="11"/>
    </row>
    <row r="200" spans="4:4" ht="15.75" customHeight="1" x14ac:dyDescent="0.3">
      <c r="D200" s="11"/>
    </row>
    <row r="201" spans="4:4" ht="15.75" customHeight="1" x14ac:dyDescent="0.3">
      <c r="D201" s="11"/>
    </row>
    <row r="202" spans="4:4" ht="15.75" customHeight="1" x14ac:dyDescent="0.3">
      <c r="D202" s="11"/>
    </row>
    <row r="203" spans="4:4" ht="15.75" customHeight="1" x14ac:dyDescent="0.3">
      <c r="D203" s="11"/>
    </row>
    <row r="204" spans="4:4" ht="15.75" customHeight="1" x14ac:dyDescent="0.3">
      <c r="D204" s="11"/>
    </row>
    <row r="205" spans="4:4" ht="15.75" customHeight="1" x14ac:dyDescent="0.3">
      <c r="D205" s="11"/>
    </row>
    <row r="206" spans="4:4" ht="15.75" customHeight="1" x14ac:dyDescent="0.3">
      <c r="D206" s="11"/>
    </row>
    <row r="207" spans="4:4" ht="15.75" customHeight="1" x14ac:dyDescent="0.3">
      <c r="D207" s="11"/>
    </row>
    <row r="208" spans="4:4" ht="15.75" customHeight="1" x14ac:dyDescent="0.3">
      <c r="D208" s="11"/>
    </row>
    <row r="209" spans="4:4" ht="15.75" customHeight="1" x14ac:dyDescent="0.3">
      <c r="D209" s="11"/>
    </row>
    <row r="210" spans="4:4" ht="15.75" customHeight="1" x14ac:dyDescent="0.3">
      <c r="D210" s="11"/>
    </row>
    <row r="211" spans="4:4" ht="15.75" customHeight="1" x14ac:dyDescent="0.3">
      <c r="D211" s="11"/>
    </row>
    <row r="212" spans="4:4" ht="15.75" customHeight="1" x14ac:dyDescent="0.3">
      <c r="D212" s="11"/>
    </row>
    <row r="213" spans="4:4" ht="15.75" customHeight="1" x14ac:dyDescent="0.3">
      <c r="D213" s="11"/>
    </row>
    <row r="214" spans="4:4" ht="15.75" customHeight="1" x14ac:dyDescent="0.3">
      <c r="D214" s="11"/>
    </row>
    <row r="215" spans="4:4" ht="15.75" customHeight="1" x14ac:dyDescent="0.3">
      <c r="D215" s="11"/>
    </row>
    <row r="216" spans="4:4" ht="15.75" customHeight="1" x14ac:dyDescent="0.3">
      <c r="D216" s="11"/>
    </row>
    <row r="217" spans="4:4" ht="15.75" customHeight="1" x14ac:dyDescent="0.3">
      <c r="D217" s="11"/>
    </row>
    <row r="218" spans="4:4" ht="15.75" customHeight="1" x14ac:dyDescent="0.3">
      <c r="D218" s="11"/>
    </row>
    <row r="219" spans="4:4" ht="15.75" customHeight="1" x14ac:dyDescent="0.3">
      <c r="D219" s="11"/>
    </row>
    <row r="220" spans="4:4" ht="15.75" customHeight="1" x14ac:dyDescent="0.3">
      <c r="D220" s="11"/>
    </row>
    <row r="221" spans="4:4" ht="15.75" customHeight="1" x14ac:dyDescent="0.3">
      <c r="D221" s="11"/>
    </row>
    <row r="222" spans="4:4" ht="15.75" customHeight="1" x14ac:dyDescent="0.3">
      <c r="D222" s="11"/>
    </row>
    <row r="223" spans="4:4" ht="15.75" customHeight="1" x14ac:dyDescent="0.3">
      <c r="D223" s="11"/>
    </row>
    <row r="224" spans="4:4" ht="15.75" customHeight="1" x14ac:dyDescent="0.3">
      <c r="D224" s="11"/>
    </row>
    <row r="225" spans="4:4" ht="15.75" customHeight="1" x14ac:dyDescent="0.3">
      <c r="D225" s="11"/>
    </row>
    <row r="226" spans="4:4" ht="15.75" customHeight="1" x14ac:dyDescent="0.3">
      <c r="D226" s="11"/>
    </row>
    <row r="227" spans="4:4" ht="15.75" customHeight="1" x14ac:dyDescent="0.3">
      <c r="D227" s="11"/>
    </row>
    <row r="228" spans="4:4" ht="15.75" customHeight="1" x14ac:dyDescent="0.3">
      <c r="D228" s="11"/>
    </row>
    <row r="229" spans="4:4" ht="15.75" customHeight="1" x14ac:dyDescent="0.3">
      <c r="D229" s="11"/>
    </row>
    <row r="230" spans="4:4" ht="15.75" customHeight="1" x14ac:dyDescent="0.3">
      <c r="D230" s="11"/>
    </row>
    <row r="231" spans="4:4" ht="15.75" customHeight="1" x14ac:dyDescent="0.3">
      <c r="D231" s="11"/>
    </row>
    <row r="232" spans="4:4" ht="15.75" customHeight="1" x14ac:dyDescent="0.3">
      <c r="D232" s="11"/>
    </row>
    <row r="233" spans="4:4" ht="15.75" customHeight="1" x14ac:dyDescent="0.3">
      <c r="D233" s="11"/>
    </row>
    <row r="234" spans="4:4" ht="15.75" customHeight="1" x14ac:dyDescent="0.3">
      <c r="D234" s="11"/>
    </row>
    <row r="235" spans="4:4" ht="15.75" customHeight="1" x14ac:dyDescent="0.3">
      <c r="D235" s="11"/>
    </row>
    <row r="236" spans="4:4" ht="15.75" customHeight="1" x14ac:dyDescent="0.3">
      <c r="D236" s="11"/>
    </row>
    <row r="237" spans="4:4" ht="15.75" customHeight="1" x14ac:dyDescent="0.3">
      <c r="D237" s="11"/>
    </row>
    <row r="238" spans="4:4" ht="15.75" customHeight="1" x14ac:dyDescent="0.3">
      <c r="D238" s="11"/>
    </row>
    <row r="239" spans="4:4" ht="15.75" customHeight="1" x14ac:dyDescent="0.3">
      <c r="D239" s="11"/>
    </row>
    <row r="240" spans="4:4" ht="15.75" customHeight="1" x14ac:dyDescent="0.3">
      <c r="D240" s="11"/>
    </row>
    <row r="241" spans="4:4" ht="15.75" customHeight="1" x14ac:dyDescent="0.3">
      <c r="D241" s="11"/>
    </row>
    <row r="242" spans="4:4" ht="15.75" customHeight="1" x14ac:dyDescent="0.3">
      <c r="D242" s="11"/>
    </row>
    <row r="243" spans="4:4" ht="15.75" customHeight="1" x14ac:dyDescent="0.3">
      <c r="D243" s="11"/>
    </row>
    <row r="244" spans="4:4" ht="15.75" customHeight="1" x14ac:dyDescent="0.3">
      <c r="D244" s="11"/>
    </row>
    <row r="245" spans="4:4" ht="15.75" customHeight="1" x14ac:dyDescent="0.3">
      <c r="D245" s="11"/>
    </row>
    <row r="246" spans="4:4" ht="15.75" customHeight="1" x14ac:dyDescent="0.3">
      <c r="D246" s="11"/>
    </row>
    <row r="247" spans="4:4" ht="15.75" customHeight="1" x14ac:dyDescent="0.3">
      <c r="D247" s="11"/>
    </row>
    <row r="248" spans="4:4" ht="15.75" customHeight="1" x14ac:dyDescent="0.3">
      <c r="D248" s="11"/>
    </row>
    <row r="249" spans="4:4" ht="15.75" customHeight="1" x14ac:dyDescent="0.3">
      <c r="D249" s="11"/>
    </row>
    <row r="250" spans="4:4" ht="15.75" customHeight="1" x14ac:dyDescent="0.3">
      <c r="D250" s="11"/>
    </row>
    <row r="251" spans="4:4" ht="15.75" customHeight="1" x14ac:dyDescent="0.3">
      <c r="D251" s="11"/>
    </row>
    <row r="252" spans="4:4" ht="15.75" customHeight="1" x14ac:dyDescent="0.3">
      <c r="D252" s="11"/>
    </row>
    <row r="253" spans="4:4" ht="15.75" customHeight="1" x14ac:dyDescent="0.3">
      <c r="D253" s="11"/>
    </row>
    <row r="254" spans="4:4" ht="15.75" customHeight="1" x14ac:dyDescent="0.3">
      <c r="D254" s="11"/>
    </row>
    <row r="255" spans="4:4" ht="15.75" customHeight="1" x14ac:dyDescent="0.3">
      <c r="D255" s="11"/>
    </row>
    <row r="256" spans="4:4" ht="15.75" customHeight="1" x14ac:dyDescent="0.3">
      <c r="D256" s="11"/>
    </row>
    <row r="257" spans="4:4" ht="15.75" customHeight="1" x14ac:dyDescent="0.3">
      <c r="D257" s="11"/>
    </row>
    <row r="258" spans="4:4" ht="15.75" customHeight="1" x14ac:dyDescent="0.3">
      <c r="D258" s="11"/>
    </row>
    <row r="259" spans="4:4" ht="15.75" customHeight="1" x14ac:dyDescent="0.3">
      <c r="D259" s="11"/>
    </row>
    <row r="260" spans="4:4" ht="15.75" customHeight="1" x14ac:dyDescent="0.3">
      <c r="D260" s="11"/>
    </row>
    <row r="261" spans="4:4" ht="15.75" customHeight="1" x14ac:dyDescent="0.3">
      <c r="D261" s="11"/>
    </row>
    <row r="262" spans="4:4" ht="15.75" customHeight="1" x14ac:dyDescent="0.3">
      <c r="D262" s="11"/>
    </row>
    <row r="263" spans="4:4" ht="15.75" customHeight="1" x14ac:dyDescent="0.3">
      <c r="D263" s="11"/>
    </row>
    <row r="264" spans="4:4" ht="15.75" customHeight="1" x14ac:dyDescent="0.3">
      <c r="D264" s="11"/>
    </row>
    <row r="265" spans="4:4" ht="15.75" customHeight="1" x14ac:dyDescent="0.3">
      <c r="D265" s="11"/>
    </row>
    <row r="266" spans="4:4" ht="15.75" customHeight="1" x14ac:dyDescent="0.3">
      <c r="D266" s="11"/>
    </row>
    <row r="267" spans="4:4" ht="15.75" customHeight="1" x14ac:dyDescent="0.3">
      <c r="D267" s="11"/>
    </row>
    <row r="268" spans="4:4" ht="15.75" customHeight="1" x14ac:dyDescent="0.3">
      <c r="D268" s="11"/>
    </row>
    <row r="269" spans="4:4" ht="15.75" customHeight="1" x14ac:dyDescent="0.3">
      <c r="D269" s="11"/>
    </row>
    <row r="270" spans="4:4" ht="15.75" customHeight="1" x14ac:dyDescent="0.3">
      <c r="D270" s="11"/>
    </row>
    <row r="271" spans="4:4" ht="15.75" customHeight="1" x14ac:dyDescent="0.3">
      <c r="D271" s="11"/>
    </row>
    <row r="272" spans="4:4" ht="15.75" customHeight="1" x14ac:dyDescent="0.3">
      <c r="D272" s="11"/>
    </row>
    <row r="273" spans="4:4" ht="15.75" customHeight="1" x14ac:dyDescent="0.3">
      <c r="D273" s="11"/>
    </row>
    <row r="274" spans="4:4" ht="15.75" customHeight="1" x14ac:dyDescent="0.3">
      <c r="D274" s="11"/>
    </row>
    <row r="275" spans="4:4" ht="15.75" customHeight="1" x14ac:dyDescent="0.3">
      <c r="D275" s="11"/>
    </row>
    <row r="276" spans="4:4" ht="15.75" customHeight="1" x14ac:dyDescent="0.3">
      <c r="D276" s="11"/>
    </row>
    <row r="277" spans="4:4" ht="15.75" customHeight="1" x14ac:dyDescent="0.3">
      <c r="D277" s="11"/>
    </row>
    <row r="278" spans="4:4" ht="15.75" customHeight="1" x14ac:dyDescent="0.3">
      <c r="D278" s="11"/>
    </row>
    <row r="279" spans="4:4" ht="15.75" customHeight="1" x14ac:dyDescent="0.3">
      <c r="D279" s="11"/>
    </row>
    <row r="280" spans="4:4" ht="15.75" customHeight="1" x14ac:dyDescent="0.3">
      <c r="D280" s="11"/>
    </row>
    <row r="281" spans="4:4" ht="15.75" customHeight="1" x14ac:dyDescent="0.3">
      <c r="D281" s="11"/>
    </row>
    <row r="282" spans="4:4" ht="15.75" customHeight="1" x14ac:dyDescent="0.3">
      <c r="D282" s="11"/>
    </row>
    <row r="283" spans="4:4" ht="15.75" customHeight="1" x14ac:dyDescent="0.3">
      <c r="D283" s="11"/>
    </row>
    <row r="284" spans="4:4" ht="15.75" customHeight="1" x14ac:dyDescent="0.3">
      <c r="D284" s="11"/>
    </row>
    <row r="285" spans="4:4" ht="15.75" customHeight="1" x14ac:dyDescent="0.3">
      <c r="D285" s="11"/>
    </row>
    <row r="286" spans="4:4" ht="15.75" customHeight="1" x14ac:dyDescent="0.3">
      <c r="D286" s="11"/>
    </row>
    <row r="287" spans="4:4" ht="15.75" customHeight="1" x14ac:dyDescent="0.3">
      <c r="D287" s="11"/>
    </row>
    <row r="288" spans="4:4" ht="15.75" customHeight="1" x14ac:dyDescent="0.3">
      <c r="D288" s="11"/>
    </row>
    <row r="289" spans="4:4" ht="15.75" customHeight="1" x14ac:dyDescent="0.3">
      <c r="D289" s="11"/>
    </row>
    <row r="290" spans="4:4" ht="15.75" customHeight="1" x14ac:dyDescent="0.3">
      <c r="D290" s="11"/>
    </row>
    <row r="291" spans="4:4" ht="15.75" customHeight="1" x14ac:dyDescent="0.3">
      <c r="D291" s="11"/>
    </row>
    <row r="292" spans="4:4" ht="15.75" customHeight="1" x14ac:dyDescent="0.3">
      <c r="D292" s="11"/>
    </row>
    <row r="293" spans="4:4" ht="15.75" customHeight="1" x14ac:dyDescent="0.3">
      <c r="D293" s="11"/>
    </row>
    <row r="294" spans="4:4" ht="15.75" customHeight="1" x14ac:dyDescent="0.3">
      <c r="D294" s="11"/>
    </row>
    <row r="295" spans="4:4" ht="15.75" customHeight="1" x14ac:dyDescent="0.3">
      <c r="D295" s="11"/>
    </row>
    <row r="296" spans="4:4" ht="15.75" customHeight="1" x14ac:dyDescent="0.3">
      <c r="D296" s="11"/>
    </row>
    <row r="297" spans="4:4" ht="15.75" customHeight="1" x14ac:dyDescent="0.3">
      <c r="D297" s="11"/>
    </row>
    <row r="298" spans="4:4" ht="15.75" customHeight="1" x14ac:dyDescent="0.3">
      <c r="D298" s="11"/>
    </row>
    <row r="299" spans="4:4" ht="15.75" customHeight="1" x14ac:dyDescent="0.3">
      <c r="D299" s="11"/>
    </row>
    <row r="300" spans="4:4" ht="15.75" customHeight="1" x14ac:dyDescent="0.3">
      <c r="D300" s="11"/>
    </row>
    <row r="301" spans="4:4" ht="15.75" customHeight="1" x14ac:dyDescent="0.3">
      <c r="D301" s="11"/>
    </row>
    <row r="302" spans="4:4" ht="15.75" customHeight="1" x14ac:dyDescent="0.3">
      <c r="D302" s="11"/>
    </row>
    <row r="303" spans="4:4" ht="15.75" customHeight="1" x14ac:dyDescent="0.3">
      <c r="D303" s="11"/>
    </row>
    <row r="304" spans="4:4" ht="15.75" customHeight="1" x14ac:dyDescent="0.3">
      <c r="D304" s="11"/>
    </row>
    <row r="305" spans="4:4" ht="15.75" customHeight="1" x14ac:dyDescent="0.3">
      <c r="D305" s="11"/>
    </row>
    <row r="306" spans="4:4" ht="15.75" customHeight="1" x14ac:dyDescent="0.3">
      <c r="D306" s="11"/>
    </row>
    <row r="307" spans="4:4" ht="15.75" customHeight="1" x14ac:dyDescent="0.3">
      <c r="D307" s="11"/>
    </row>
    <row r="308" spans="4:4" ht="15.75" customHeight="1" x14ac:dyDescent="0.3">
      <c r="D308" s="11"/>
    </row>
    <row r="309" spans="4:4" ht="15.75" customHeight="1" x14ac:dyDescent="0.3">
      <c r="D309" s="11"/>
    </row>
    <row r="310" spans="4:4" ht="15.75" customHeight="1" x14ac:dyDescent="0.3">
      <c r="D310" s="11"/>
    </row>
    <row r="311" spans="4:4" ht="15.75" customHeight="1" x14ac:dyDescent="0.3">
      <c r="D311" s="11"/>
    </row>
    <row r="312" spans="4:4" ht="15.75" customHeight="1" x14ac:dyDescent="0.3">
      <c r="D312" s="11"/>
    </row>
    <row r="313" spans="4:4" ht="15.75" customHeight="1" x14ac:dyDescent="0.3">
      <c r="D313" s="11"/>
    </row>
    <row r="314" spans="4:4" ht="15.75" customHeight="1" x14ac:dyDescent="0.3">
      <c r="D314" s="11"/>
    </row>
    <row r="315" spans="4:4" ht="15.75" customHeight="1" x14ac:dyDescent="0.3">
      <c r="D315" s="11"/>
    </row>
    <row r="316" spans="4:4" ht="15.75" customHeight="1" x14ac:dyDescent="0.3">
      <c r="D316" s="11"/>
    </row>
    <row r="317" spans="4:4" ht="15.75" customHeight="1" x14ac:dyDescent="0.3">
      <c r="D317" s="11"/>
    </row>
    <row r="318" spans="4:4" ht="15.75" customHeight="1" x14ac:dyDescent="0.3">
      <c r="D318" s="11"/>
    </row>
    <row r="319" spans="4:4" ht="15.75" customHeight="1" x14ac:dyDescent="0.3">
      <c r="D319" s="11"/>
    </row>
    <row r="320" spans="4:4" ht="15.75" customHeight="1" x14ac:dyDescent="0.3">
      <c r="D320" s="11"/>
    </row>
    <row r="321" spans="4:4" ht="15.75" customHeight="1" x14ac:dyDescent="0.3">
      <c r="D321" s="11"/>
    </row>
    <row r="322" spans="4:4" ht="15.75" customHeight="1" x14ac:dyDescent="0.3">
      <c r="D322" s="11"/>
    </row>
    <row r="323" spans="4:4" ht="15.75" customHeight="1" x14ac:dyDescent="0.3">
      <c r="D323" s="11"/>
    </row>
    <row r="324" spans="4:4" ht="15.75" customHeight="1" x14ac:dyDescent="0.3">
      <c r="D324" s="11"/>
    </row>
    <row r="325" spans="4:4" ht="15.75" customHeight="1" x14ac:dyDescent="0.3">
      <c r="D325" s="11"/>
    </row>
    <row r="326" spans="4:4" ht="15.75" customHeight="1" x14ac:dyDescent="0.3">
      <c r="D326" s="11"/>
    </row>
    <row r="327" spans="4:4" ht="15.75" customHeight="1" x14ac:dyDescent="0.3">
      <c r="D327" s="11"/>
    </row>
    <row r="328" spans="4:4" ht="15.75" customHeight="1" x14ac:dyDescent="0.3">
      <c r="D328" s="11"/>
    </row>
    <row r="329" spans="4:4" ht="15.75" customHeight="1" x14ac:dyDescent="0.3">
      <c r="D329" s="11"/>
    </row>
    <row r="330" spans="4:4" ht="15.75" customHeight="1" x14ac:dyDescent="0.3">
      <c r="D330" s="11"/>
    </row>
    <row r="331" spans="4:4" ht="15.75" customHeight="1" x14ac:dyDescent="0.3">
      <c r="D331" s="11"/>
    </row>
    <row r="332" spans="4:4" ht="15.75" customHeight="1" x14ac:dyDescent="0.3">
      <c r="D332" s="11"/>
    </row>
    <row r="333" spans="4:4" ht="15.75" customHeight="1" x14ac:dyDescent="0.3">
      <c r="D333" s="11"/>
    </row>
    <row r="334" spans="4:4" ht="15.75" customHeight="1" x14ac:dyDescent="0.3">
      <c r="D334" s="11"/>
    </row>
    <row r="335" spans="4:4" ht="15.75" customHeight="1" x14ac:dyDescent="0.3">
      <c r="D335" s="11"/>
    </row>
    <row r="336" spans="4:4" ht="15.75" customHeight="1" x14ac:dyDescent="0.3">
      <c r="D336" s="11"/>
    </row>
    <row r="337" spans="4:4" ht="15.75" customHeight="1" x14ac:dyDescent="0.3">
      <c r="D337" s="11"/>
    </row>
    <row r="338" spans="4:4" ht="15.75" customHeight="1" x14ac:dyDescent="0.3">
      <c r="D338" s="11"/>
    </row>
    <row r="339" spans="4:4" ht="15.75" customHeight="1" x14ac:dyDescent="0.3">
      <c r="D339" s="11"/>
    </row>
    <row r="340" spans="4:4" ht="15.75" customHeight="1" x14ac:dyDescent="0.3">
      <c r="D340" s="11"/>
    </row>
    <row r="341" spans="4:4" ht="15.75" customHeight="1" x14ac:dyDescent="0.3">
      <c r="D341" s="11"/>
    </row>
    <row r="342" spans="4:4" ht="15.75" customHeight="1" x14ac:dyDescent="0.3">
      <c r="D342" s="11"/>
    </row>
    <row r="343" spans="4:4" ht="15.75" customHeight="1" x14ac:dyDescent="0.3">
      <c r="D343" s="11"/>
    </row>
    <row r="344" spans="4:4" ht="15.75" customHeight="1" x14ac:dyDescent="0.3">
      <c r="D344" s="11"/>
    </row>
    <row r="345" spans="4:4" ht="15.75" customHeight="1" x14ac:dyDescent="0.3">
      <c r="D345" s="11"/>
    </row>
    <row r="346" spans="4:4" ht="15.75" customHeight="1" x14ac:dyDescent="0.3">
      <c r="D346" s="11"/>
    </row>
    <row r="347" spans="4:4" ht="15.75" customHeight="1" x14ac:dyDescent="0.3">
      <c r="D347" s="11"/>
    </row>
    <row r="348" spans="4:4" ht="15.75" customHeight="1" x14ac:dyDescent="0.3">
      <c r="D348" s="11"/>
    </row>
    <row r="349" spans="4:4" ht="15.75" customHeight="1" x14ac:dyDescent="0.3">
      <c r="D349" s="11"/>
    </row>
    <row r="350" spans="4:4" ht="15.75" customHeight="1" x14ac:dyDescent="0.3">
      <c r="D350" s="11"/>
    </row>
    <row r="351" spans="4:4" ht="15.75" customHeight="1" x14ac:dyDescent="0.3">
      <c r="D351" s="11"/>
    </row>
    <row r="352" spans="4:4" ht="15.75" customHeight="1" x14ac:dyDescent="0.3">
      <c r="D352" s="11"/>
    </row>
    <row r="353" spans="4:4" ht="15.75" customHeight="1" x14ac:dyDescent="0.3">
      <c r="D353" s="11"/>
    </row>
    <row r="354" spans="4:4" ht="15.75" customHeight="1" x14ac:dyDescent="0.3">
      <c r="D354" s="11"/>
    </row>
    <row r="355" spans="4:4" ht="15.75" customHeight="1" x14ac:dyDescent="0.3">
      <c r="D355" s="11"/>
    </row>
    <row r="356" spans="4:4" ht="15.75" customHeight="1" x14ac:dyDescent="0.3">
      <c r="D356" s="11"/>
    </row>
    <row r="357" spans="4:4" ht="15.75" customHeight="1" x14ac:dyDescent="0.3">
      <c r="D357" s="11"/>
    </row>
    <row r="358" spans="4:4" ht="15.75" customHeight="1" x14ac:dyDescent="0.3">
      <c r="D358" s="11"/>
    </row>
    <row r="359" spans="4:4" ht="15.75" customHeight="1" x14ac:dyDescent="0.3">
      <c r="D359" s="11"/>
    </row>
    <row r="360" spans="4:4" ht="15.75" customHeight="1" x14ac:dyDescent="0.3">
      <c r="D360" s="11"/>
    </row>
    <row r="361" spans="4:4" ht="15.75" customHeight="1" x14ac:dyDescent="0.3">
      <c r="D361" s="11"/>
    </row>
    <row r="362" spans="4:4" ht="15.75" customHeight="1" x14ac:dyDescent="0.3">
      <c r="D362" s="11"/>
    </row>
    <row r="363" spans="4:4" ht="15.75" customHeight="1" x14ac:dyDescent="0.3">
      <c r="D363" s="11"/>
    </row>
    <row r="364" spans="4:4" ht="15.75" customHeight="1" x14ac:dyDescent="0.3">
      <c r="D364" s="11"/>
    </row>
    <row r="365" spans="4:4" ht="15.75" customHeight="1" x14ac:dyDescent="0.3">
      <c r="D365" s="11"/>
    </row>
    <row r="366" spans="4:4" ht="15.75" customHeight="1" x14ac:dyDescent="0.3">
      <c r="D366" s="11"/>
    </row>
    <row r="367" spans="4:4" ht="15.75" customHeight="1" x14ac:dyDescent="0.3">
      <c r="D367" s="11"/>
    </row>
    <row r="368" spans="4:4" ht="15.75" customHeight="1" x14ac:dyDescent="0.3">
      <c r="D368" s="11"/>
    </row>
    <row r="369" spans="4:4" ht="15.75" customHeight="1" x14ac:dyDescent="0.3">
      <c r="D369" s="11"/>
    </row>
    <row r="370" spans="4:4" ht="15.75" customHeight="1" x14ac:dyDescent="0.3">
      <c r="D370" s="11"/>
    </row>
    <row r="371" spans="4:4" ht="15.75" customHeight="1" x14ac:dyDescent="0.3">
      <c r="D371" s="11"/>
    </row>
    <row r="372" spans="4:4" ht="15.75" customHeight="1" x14ac:dyDescent="0.3">
      <c r="D372" s="11"/>
    </row>
    <row r="373" spans="4:4" ht="15.75" customHeight="1" x14ac:dyDescent="0.3">
      <c r="D373" s="11"/>
    </row>
    <row r="374" spans="4:4" ht="15.75" customHeight="1" x14ac:dyDescent="0.3">
      <c r="D374" s="11"/>
    </row>
    <row r="375" spans="4:4" ht="15.75" customHeight="1" x14ac:dyDescent="0.3">
      <c r="D375" s="11"/>
    </row>
    <row r="376" spans="4:4" ht="15.75" customHeight="1" x14ac:dyDescent="0.3">
      <c r="D376" s="11"/>
    </row>
    <row r="377" spans="4:4" ht="15.75" customHeight="1" x14ac:dyDescent="0.3">
      <c r="D377" s="11"/>
    </row>
    <row r="378" spans="4:4" ht="15.75" customHeight="1" x14ac:dyDescent="0.3">
      <c r="D378" s="11"/>
    </row>
    <row r="379" spans="4:4" ht="15.75" customHeight="1" x14ac:dyDescent="0.3">
      <c r="D379" s="11"/>
    </row>
    <row r="380" spans="4:4" ht="15.75" customHeight="1" x14ac:dyDescent="0.3">
      <c r="D380" s="11"/>
    </row>
    <row r="381" spans="4:4" ht="15.75" customHeight="1" x14ac:dyDescent="0.3">
      <c r="D381" s="11"/>
    </row>
    <row r="382" spans="4:4" ht="15.75" customHeight="1" x14ac:dyDescent="0.3">
      <c r="D382" s="11"/>
    </row>
    <row r="383" spans="4:4" ht="15.75" customHeight="1" x14ac:dyDescent="0.3">
      <c r="D383" s="11"/>
    </row>
    <row r="384" spans="4:4" ht="15.75" customHeight="1" x14ac:dyDescent="0.3">
      <c r="D384" s="11"/>
    </row>
    <row r="385" spans="4:4" ht="15.75" customHeight="1" x14ac:dyDescent="0.3">
      <c r="D385" s="11"/>
    </row>
    <row r="386" spans="4:4" ht="15.75" customHeight="1" x14ac:dyDescent="0.3">
      <c r="D386" s="11"/>
    </row>
    <row r="387" spans="4:4" ht="15.75" customHeight="1" x14ac:dyDescent="0.3">
      <c r="D387" s="11"/>
    </row>
    <row r="388" spans="4:4" ht="15.75" customHeight="1" x14ac:dyDescent="0.3">
      <c r="D388" s="11"/>
    </row>
    <row r="389" spans="4:4" ht="15.75" customHeight="1" x14ac:dyDescent="0.3">
      <c r="D389" s="11"/>
    </row>
    <row r="390" spans="4:4" ht="15.75" customHeight="1" x14ac:dyDescent="0.3">
      <c r="D390" s="11"/>
    </row>
    <row r="391" spans="4:4" ht="15.75" customHeight="1" x14ac:dyDescent="0.3">
      <c r="D391" s="11"/>
    </row>
    <row r="392" spans="4:4" ht="15.75" customHeight="1" x14ac:dyDescent="0.3">
      <c r="D392" s="11"/>
    </row>
    <row r="393" spans="4:4" ht="15.75" customHeight="1" x14ac:dyDescent="0.3">
      <c r="D393" s="11"/>
    </row>
    <row r="394" spans="4:4" ht="15.75" customHeight="1" x14ac:dyDescent="0.3">
      <c r="D394" s="11"/>
    </row>
    <row r="395" spans="4:4" ht="15.75" customHeight="1" x14ac:dyDescent="0.3">
      <c r="D395" s="11"/>
    </row>
    <row r="396" spans="4:4" ht="15.75" customHeight="1" x14ac:dyDescent="0.3">
      <c r="D396" s="11"/>
    </row>
    <row r="397" spans="4:4" ht="15.75" customHeight="1" x14ac:dyDescent="0.3">
      <c r="D397" s="11"/>
    </row>
    <row r="398" spans="4:4" ht="15.75" customHeight="1" x14ac:dyDescent="0.3">
      <c r="D398" s="11"/>
    </row>
    <row r="399" spans="4:4" ht="15.75" customHeight="1" x14ac:dyDescent="0.3">
      <c r="D399" s="11"/>
    </row>
    <row r="400" spans="4:4" ht="15.75" customHeight="1" x14ac:dyDescent="0.3">
      <c r="D400" s="11"/>
    </row>
    <row r="401" spans="4:4" ht="15.75" customHeight="1" x14ac:dyDescent="0.3">
      <c r="D401" s="11"/>
    </row>
    <row r="402" spans="4:4" ht="15.75" customHeight="1" x14ac:dyDescent="0.3">
      <c r="D402" s="11"/>
    </row>
    <row r="403" spans="4:4" ht="15.75" customHeight="1" x14ac:dyDescent="0.3">
      <c r="D403" s="11"/>
    </row>
    <row r="404" spans="4:4" ht="15.75" customHeight="1" x14ac:dyDescent="0.3">
      <c r="D404" s="11"/>
    </row>
    <row r="405" spans="4:4" ht="15.75" customHeight="1" x14ac:dyDescent="0.3">
      <c r="D405" s="11"/>
    </row>
    <row r="406" spans="4:4" ht="15.75" customHeight="1" x14ac:dyDescent="0.3">
      <c r="D406" s="11"/>
    </row>
    <row r="407" spans="4:4" ht="15.75" customHeight="1" x14ac:dyDescent="0.3">
      <c r="D407" s="11"/>
    </row>
    <row r="408" spans="4:4" ht="15.75" customHeight="1" x14ac:dyDescent="0.3">
      <c r="D408" s="11"/>
    </row>
    <row r="409" spans="4:4" ht="15.75" customHeight="1" x14ac:dyDescent="0.3">
      <c r="D409" s="11"/>
    </row>
    <row r="410" spans="4:4" ht="15.75" customHeight="1" x14ac:dyDescent="0.3">
      <c r="D410" s="11"/>
    </row>
    <row r="411" spans="4:4" ht="15.75" customHeight="1" x14ac:dyDescent="0.3">
      <c r="D411" s="11"/>
    </row>
    <row r="412" spans="4:4" ht="15.75" customHeight="1" x14ac:dyDescent="0.3">
      <c r="D412" s="11"/>
    </row>
    <row r="413" spans="4:4" ht="15.75" customHeight="1" x14ac:dyDescent="0.3">
      <c r="D413" s="11"/>
    </row>
    <row r="414" spans="4:4" ht="15.75" customHeight="1" x14ac:dyDescent="0.3">
      <c r="D414" s="11"/>
    </row>
    <row r="415" spans="4:4" ht="15.75" customHeight="1" x14ac:dyDescent="0.3">
      <c r="D415" s="11"/>
    </row>
    <row r="416" spans="4:4" ht="15.75" customHeight="1" x14ac:dyDescent="0.3">
      <c r="D416" s="11"/>
    </row>
    <row r="417" spans="4:4" ht="15.75" customHeight="1" x14ac:dyDescent="0.3">
      <c r="D417" s="11"/>
    </row>
    <row r="418" spans="4:4" ht="15.75" customHeight="1" x14ac:dyDescent="0.3">
      <c r="D418" s="11"/>
    </row>
    <row r="419" spans="4:4" ht="15.75" customHeight="1" x14ac:dyDescent="0.3">
      <c r="D419" s="11"/>
    </row>
    <row r="420" spans="4:4" ht="15.75" customHeight="1" x14ac:dyDescent="0.3">
      <c r="D420" s="11"/>
    </row>
    <row r="421" spans="4:4" ht="15.75" customHeight="1" x14ac:dyDescent="0.3">
      <c r="D421" s="11"/>
    </row>
    <row r="422" spans="4:4" ht="15.75" customHeight="1" x14ac:dyDescent="0.3">
      <c r="D422" s="11"/>
    </row>
    <row r="423" spans="4:4" ht="15.75" customHeight="1" x14ac:dyDescent="0.3">
      <c r="D423" s="11"/>
    </row>
    <row r="424" spans="4:4" ht="15.75" customHeight="1" x14ac:dyDescent="0.3">
      <c r="D424" s="11"/>
    </row>
    <row r="425" spans="4:4" ht="15.75" customHeight="1" x14ac:dyDescent="0.3">
      <c r="D425" s="11"/>
    </row>
    <row r="426" spans="4:4" ht="15.75" customHeight="1" x14ac:dyDescent="0.3">
      <c r="D426" s="11"/>
    </row>
    <row r="427" spans="4:4" ht="15.75" customHeight="1" x14ac:dyDescent="0.3">
      <c r="D427" s="11"/>
    </row>
    <row r="428" spans="4:4" ht="15.75" customHeight="1" x14ac:dyDescent="0.3">
      <c r="D428" s="11"/>
    </row>
    <row r="429" spans="4:4" ht="15.75" customHeight="1" x14ac:dyDescent="0.3">
      <c r="D429" s="11"/>
    </row>
    <row r="430" spans="4:4" ht="15.75" customHeight="1" x14ac:dyDescent="0.3">
      <c r="D430" s="11"/>
    </row>
    <row r="431" spans="4:4" ht="15.75" customHeight="1" x14ac:dyDescent="0.3">
      <c r="D431" s="11"/>
    </row>
    <row r="432" spans="4:4" ht="15.75" customHeight="1" x14ac:dyDescent="0.3">
      <c r="D432" s="11"/>
    </row>
    <row r="433" spans="4:4" ht="15.75" customHeight="1" x14ac:dyDescent="0.3">
      <c r="D433" s="11"/>
    </row>
    <row r="434" spans="4:4" ht="15.75" customHeight="1" x14ac:dyDescent="0.3">
      <c r="D434" s="11"/>
    </row>
    <row r="435" spans="4:4" ht="15.75" customHeight="1" x14ac:dyDescent="0.3">
      <c r="D435" s="11"/>
    </row>
    <row r="436" spans="4:4" ht="15.75" customHeight="1" x14ac:dyDescent="0.3">
      <c r="D436" s="11"/>
    </row>
    <row r="437" spans="4:4" ht="15.75" customHeight="1" x14ac:dyDescent="0.3">
      <c r="D437" s="11"/>
    </row>
    <row r="438" spans="4:4" ht="15.75" customHeight="1" x14ac:dyDescent="0.3">
      <c r="D438" s="11"/>
    </row>
    <row r="439" spans="4:4" ht="15.75" customHeight="1" x14ac:dyDescent="0.3">
      <c r="D439" s="11"/>
    </row>
    <row r="440" spans="4:4" ht="15.75" customHeight="1" x14ac:dyDescent="0.3">
      <c r="D440" s="11"/>
    </row>
    <row r="441" spans="4:4" ht="15.75" customHeight="1" x14ac:dyDescent="0.3">
      <c r="D441" s="11"/>
    </row>
    <row r="442" spans="4:4" ht="15.75" customHeight="1" x14ac:dyDescent="0.3">
      <c r="D442" s="11"/>
    </row>
    <row r="443" spans="4:4" ht="15.75" customHeight="1" x14ac:dyDescent="0.3">
      <c r="D443" s="11"/>
    </row>
    <row r="444" spans="4:4" ht="15.75" customHeight="1" x14ac:dyDescent="0.3">
      <c r="D444" s="11"/>
    </row>
    <row r="445" spans="4:4" ht="15.75" customHeight="1" x14ac:dyDescent="0.3">
      <c r="D445" s="11"/>
    </row>
    <row r="446" spans="4:4" ht="15.75" customHeight="1" x14ac:dyDescent="0.3">
      <c r="D446" s="11"/>
    </row>
    <row r="447" spans="4:4" ht="15.75" customHeight="1" x14ac:dyDescent="0.3">
      <c r="D447" s="11"/>
    </row>
    <row r="448" spans="4:4" ht="15.75" customHeight="1" x14ac:dyDescent="0.3">
      <c r="D448" s="11"/>
    </row>
    <row r="449" spans="4:4" ht="15.75" customHeight="1" x14ac:dyDescent="0.3">
      <c r="D449" s="11"/>
    </row>
    <row r="450" spans="4:4" ht="15.75" customHeight="1" x14ac:dyDescent="0.3">
      <c r="D450" s="11"/>
    </row>
    <row r="451" spans="4:4" ht="15.75" customHeight="1" x14ac:dyDescent="0.3">
      <c r="D451" s="11"/>
    </row>
    <row r="452" spans="4:4" ht="15.75" customHeight="1" x14ac:dyDescent="0.3">
      <c r="D452" s="11"/>
    </row>
    <row r="453" spans="4:4" ht="15.75" customHeight="1" x14ac:dyDescent="0.3">
      <c r="D453" s="11"/>
    </row>
    <row r="454" spans="4:4" ht="15.75" customHeight="1" x14ac:dyDescent="0.3">
      <c r="D454" s="11"/>
    </row>
    <row r="455" spans="4:4" ht="15.75" customHeight="1" x14ac:dyDescent="0.3">
      <c r="D455" s="11"/>
    </row>
    <row r="456" spans="4:4" ht="15.75" customHeight="1" x14ac:dyDescent="0.3">
      <c r="D456" s="11"/>
    </row>
    <row r="457" spans="4:4" ht="15.75" customHeight="1" x14ac:dyDescent="0.3">
      <c r="D457" s="11"/>
    </row>
    <row r="458" spans="4:4" ht="15.75" customHeight="1" x14ac:dyDescent="0.3">
      <c r="D458" s="11"/>
    </row>
    <row r="459" spans="4:4" ht="15.75" customHeight="1" x14ac:dyDescent="0.3">
      <c r="D459" s="11"/>
    </row>
    <row r="460" spans="4:4" ht="15.75" customHeight="1" x14ac:dyDescent="0.3">
      <c r="D460" s="11"/>
    </row>
    <row r="461" spans="4:4" ht="15.75" customHeight="1" x14ac:dyDescent="0.3">
      <c r="D461" s="11"/>
    </row>
    <row r="462" spans="4:4" ht="15.75" customHeight="1" x14ac:dyDescent="0.3">
      <c r="D462" s="11"/>
    </row>
    <row r="463" spans="4:4" ht="15.75" customHeight="1" x14ac:dyDescent="0.3">
      <c r="D463" s="11"/>
    </row>
    <row r="464" spans="4:4" ht="15.75" customHeight="1" x14ac:dyDescent="0.3">
      <c r="D464" s="11"/>
    </row>
    <row r="465" spans="4:4" ht="15.75" customHeight="1" x14ac:dyDescent="0.3">
      <c r="D465" s="11"/>
    </row>
    <row r="466" spans="4:4" ht="15.75" customHeight="1" x14ac:dyDescent="0.3">
      <c r="D466" s="11"/>
    </row>
    <row r="467" spans="4:4" ht="15.75" customHeight="1" x14ac:dyDescent="0.3">
      <c r="D467" s="11"/>
    </row>
    <row r="468" spans="4:4" ht="15.75" customHeight="1" x14ac:dyDescent="0.3">
      <c r="D468" s="11"/>
    </row>
    <row r="469" spans="4:4" ht="15.75" customHeight="1" x14ac:dyDescent="0.3">
      <c r="D469" s="11"/>
    </row>
    <row r="470" spans="4:4" ht="15.75" customHeight="1" x14ac:dyDescent="0.3">
      <c r="D470" s="11"/>
    </row>
    <row r="471" spans="4:4" ht="15.75" customHeight="1" x14ac:dyDescent="0.3">
      <c r="D471" s="11"/>
    </row>
    <row r="472" spans="4:4" ht="15.75" customHeight="1" x14ac:dyDescent="0.3">
      <c r="D472" s="11"/>
    </row>
    <row r="473" spans="4:4" ht="15.75" customHeight="1" x14ac:dyDescent="0.3">
      <c r="D473" s="11"/>
    </row>
    <row r="474" spans="4:4" ht="15.75" customHeight="1" x14ac:dyDescent="0.3">
      <c r="D474" s="11"/>
    </row>
    <row r="475" spans="4:4" ht="15.75" customHeight="1" x14ac:dyDescent="0.3">
      <c r="D475" s="11"/>
    </row>
    <row r="476" spans="4:4" ht="15.75" customHeight="1" x14ac:dyDescent="0.3">
      <c r="D476" s="11"/>
    </row>
    <row r="477" spans="4:4" ht="15.75" customHeight="1" x14ac:dyDescent="0.3">
      <c r="D477" s="11"/>
    </row>
    <row r="478" spans="4:4" ht="15.75" customHeight="1" x14ac:dyDescent="0.3">
      <c r="D478" s="11"/>
    </row>
    <row r="479" spans="4:4" ht="15.75" customHeight="1" x14ac:dyDescent="0.3">
      <c r="D479" s="11"/>
    </row>
    <row r="480" spans="4:4" ht="15.75" customHeight="1" x14ac:dyDescent="0.3">
      <c r="D480" s="11"/>
    </row>
    <row r="481" spans="4:4" ht="15.75" customHeight="1" x14ac:dyDescent="0.3">
      <c r="D481" s="11"/>
    </row>
    <row r="482" spans="4:4" ht="15.75" customHeight="1" x14ac:dyDescent="0.3">
      <c r="D482" s="11"/>
    </row>
    <row r="483" spans="4:4" ht="15.75" customHeight="1" x14ac:dyDescent="0.3">
      <c r="D483" s="11"/>
    </row>
    <row r="484" spans="4:4" ht="15.75" customHeight="1" x14ac:dyDescent="0.3">
      <c r="D484" s="11"/>
    </row>
    <row r="485" spans="4:4" ht="15.75" customHeight="1" x14ac:dyDescent="0.3">
      <c r="D485" s="11"/>
    </row>
    <row r="486" spans="4:4" ht="15.75" customHeight="1" x14ac:dyDescent="0.3">
      <c r="D486" s="11"/>
    </row>
    <row r="487" spans="4:4" ht="15.75" customHeight="1" x14ac:dyDescent="0.3">
      <c r="D487" s="11"/>
    </row>
    <row r="488" spans="4:4" ht="15.75" customHeight="1" x14ac:dyDescent="0.3">
      <c r="D488" s="11"/>
    </row>
    <row r="489" spans="4:4" ht="15.75" customHeight="1" x14ac:dyDescent="0.3">
      <c r="D489" s="11"/>
    </row>
    <row r="490" spans="4:4" ht="15.75" customHeight="1" x14ac:dyDescent="0.3">
      <c r="D490" s="11"/>
    </row>
    <row r="491" spans="4:4" ht="15.75" customHeight="1" x14ac:dyDescent="0.3">
      <c r="D491" s="11"/>
    </row>
    <row r="492" spans="4:4" ht="15.75" customHeight="1" x14ac:dyDescent="0.3">
      <c r="D492" s="11"/>
    </row>
    <row r="493" spans="4:4" ht="15.75" customHeight="1" x14ac:dyDescent="0.3">
      <c r="D493" s="11"/>
    </row>
    <row r="494" spans="4:4" ht="15.75" customHeight="1" x14ac:dyDescent="0.3">
      <c r="D494" s="11"/>
    </row>
    <row r="495" spans="4:4" ht="15.75" customHeight="1" x14ac:dyDescent="0.3">
      <c r="D495" s="11"/>
    </row>
    <row r="496" spans="4:4" ht="15.75" customHeight="1" x14ac:dyDescent="0.3">
      <c r="D496" s="11"/>
    </row>
    <row r="497" spans="4:4" ht="15.75" customHeight="1" x14ac:dyDescent="0.3">
      <c r="D497" s="11"/>
    </row>
    <row r="498" spans="4:4" ht="15.75" customHeight="1" x14ac:dyDescent="0.3">
      <c r="D498" s="11"/>
    </row>
    <row r="499" spans="4:4" ht="15.75" customHeight="1" x14ac:dyDescent="0.3">
      <c r="D499" s="11"/>
    </row>
    <row r="500" spans="4:4" ht="15.75" customHeight="1" x14ac:dyDescent="0.3">
      <c r="D500" s="11"/>
    </row>
    <row r="501" spans="4:4" ht="15.75" customHeight="1" x14ac:dyDescent="0.3">
      <c r="D501" s="11"/>
    </row>
    <row r="502" spans="4:4" ht="15.75" customHeight="1" x14ac:dyDescent="0.3">
      <c r="D502" s="11"/>
    </row>
    <row r="503" spans="4:4" ht="15.75" customHeight="1" x14ac:dyDescent="0.3">
      <c r="D503" s="11"/>
    </row>
    <row r="504" spans="4:4" ht="15.75" customHeight="1" x14ac:dyDescent="0.3">
      <c r="D504" s="11"/>
    </row>
    <row r="505" spans="4:4" ht="15.75" customHeight="1" x14ac:dyDescent="0.3">
      <c r="D505" s="11"/>
    </row>
    <row r="506" spans="4:4" ht="15.75" customHeight="1" x14ac:dyDescent="0.3">
      <c r="D506" s="11"/>
    </row>
    <row r="507" spans="4:4" ht="15.75" customHeight="1" x14ac:dyDescent="0.3">
      <c r="D507" s="11"/>
    </row>
    <row r="508" spans="4:4" ht="15.75" customHeight="1" x14ac:dyDescent="0.3">
      <c r="D508" s="11"/>
    </row>
    <row r="509" spans="4:4" ht="15.75" customHeight="1" x14ac:dyDescent="0.3">
      <c r="D509" s="11"/>
    </row>
    <row r="510" spans="4:4" ht="15.75" customHeight="1" x14ac:dyDescent="0.3">
      <c r="D510" s="11"/>
    </row>
    <row r="511" spans="4:4" ht="15.75" customHeight="1" x14ac:dyDescent="0.3">
      <c r="D511" s="11"/>
    </row>
    <row r="512" spans="4:4" ht="15.75" customHeight="1" x14ac:dyDescent="0.3">
      <c r="D512" s="11"/>
    </row>
    <row r="513" spans="4:4" ht="15.75" customHeight="1" x14ac:dyDescent="0.3">
      <c r="D513" s="11"/>
    </row>
    <row r="514" spans="4:4" ht="15.75" customHeight="1" x14ac:dyDescent="0.3">
      <c r="D514" s="11"/>
    </row>
    <row r="515" spans="4:4" ht="15.75" customHeight="1" x14ac:dyDescent="0.3">
      <c r="D515" s="11"/>
    </row>
    <row r="516" spans="4:4" ht="15.75" customHeight="1" x14ac:dyDescent="0.3">
      <c r="D516" s="11"/>
    </row>
    <row r="517" spans="4:4" ht="15.75" customHeight="1" x14ac:dyDescent="0.3">
      <c r="D517" s="11"/>
    </row>
    <row r="518" spans="4:4" ht="15.75" customHeight="1" x14ac:dyDescent="0.3">
      <c r="D518" s="11"/>
    </row>
    <row r="519" spans="4:4" ht="15.75" customHeight="1" x14ac:dyDescent="0.3">
      <c r="D519" s="11"/>
    </row>
    <row r="520" spans="4:4" ht="15.75" customHeight="1" x14ac:dyDescent="0.3">
      <c r="D520" s="11"/>
    </row>
    <row r="521" spans="4:4" ht="15.75" customHeight="1" x14ac:dyDescent="0.3">
      <c r="D521" s="11"/>
    </row>
    <row r="522" spans="4:4" ht="15.75" customHeight="1" x14ac:dyDescent="0.3">
      <c r="D522" s="11"/>
    </row>
    <row r="523" spans="4:4" ht="15.75" customHeight="1" x14ac:dyDescent="0.3">
      <c r="D523" s="11"/>
    </row>
    <row r="524" spans="4:4" ht="15.75" customHeight="1" x14ac:dyDescent="0.3">
      <c r="D524" s="11"/>
    </row>
    <row r="525" spans="4:4" ht="15.75" customHeight="1" x14ac:dyDescent="0.3">
      <c r="D525" s="11"/>
    </row>
    <row r="526" spans="4:4" ht="15.75" customHeight="1" x14ac:dyDescent="0.3">
      <c r="D526" s="11"/>
    </row>
    <row r="527" spans="4:4" ht="15.75" customHeight="1" x14ac:dyDescent="0.3">
      <c r="D527" s="11"/>
    </row>
    <row r="528" spans="4:4" ht="15.75" customHeight="1" x14ac:dyDescent="0.3">
      <c r="D528" s="11"/>
    </row>
    <row r="529" spans="4:4" ht="15.75" customHeight="1" x14ac:dyDescent="0.3">
      <c r="D529" s="11"/>
    </row>
    <row r="530" spans="4:4" ht="15.75" customHeight="1" x14ac:dyDescent="0.3">
      <c r="D530" s="11"/>
    </row>
    <row r="531" spans="4:4" ht="15.75" customHeight="1" x14ac:dyDescent="0.3">
      <c r="D531" s="11"/>
    </row>
    <row r="532" spans="4:4" ht="15.75" customHeight="1" x14ac:dyDescent="0.3">
      <c r="D532" s="11"/>
    </row>
    <row r="533" spans="4:4" ht="15.75" customHeight="1" x14ac:dyDescent="0.3">
      <c r="D533" s="11"/>
    </row>
    <row r="534" spans="4:4" ht="15.75" customHeight="1" x14ac:dyDescent="0.3">
      <c r="D534" s="11"/>
    </row>
    <row r="535" spans="4:4" ht="15.75" customHeight="1" x14ac:dyDescent="0.3">
      <c r="D535" s="11"/>
    </row>
    <row r="536" spans="4:4" ht="15.75" customHeight="1" x14ac:dyDescent="0.3">
      <c r="D536" s="11"/>
    </row>
    <row r="537" spans="4:4" ht="15.75" customHeight="1" x14ac:dyDescent="0.3">
      <c r="D537" s="11"/>
    </row>
    <row r="538" spans="4:4" ht="15.75" customHeight="1" x14ac:dyDescent="0.3">
      <c r="D538" s="11"/>
    </row>
    <row r="539" spans="4:4" ht="15.75" customHeight="1" x14ac:dyDescent="0.3">
      <c r="D539" s="11"/>
    </row>
    <row r="540" spans="4:4" ht="15.75" customHeight="1" x14ac:dyDescent="0.3">
      <c r="D540" s="11"/>
    </row>
    <row r="541" spans="4:4" ht="15.75" customHeight="1" x14ac:dyDescent="0.3">
      <c r="D541" s="11"/>
    </row>
    <row r="542" spans="4:4" ht="15.75" customHeight="1" x14ac:dyDescent="0.3">
      <c r="D542" s="11"/>
    </row>
    <row r="543" spans="4:4" ht="15.75" customHeight="1" x14ac:dyDescent="0.3">
      <c r="D543" s="11"/>
    </row>
    <row r="544" spans="4:4" ht="15.75" customHeight="1" x14ac:dyDescent="0.3">
      <c r="D544" s="11"/>
    </row>
    <row r="545" spans="4:4" ht="15.75" customHeight="1" x14ac:dyDescent="0.3">
      <c r="D545" s="11"/>
    </row>
    <row r="546" spans="4:4" ht="15.75" customHeight="1" x14ac:dyDescent="0.3">
      <c r="D546" s="11"/>
    </row>
    <row r="547" spans="4:4" ht="15.75" customHeight="1" x14ac:dyDescent="0.3">
      <c r="D547" s="11"/>
    </row>
    <row r="548" spans="4:4" ht="15.75" customHeight="1" x14ac:dyDescent="0.3">
      <c r="D548" s="11"/>
    </row>
    <row r="549" spans="4:4" ht="15.75" customHeight="1" x14ac:dyDescent="0.3">
      <c r="D549" s="11"/>
    </row>
    <row r="550" spans="4:4" ht="15.75" customHeight="1" x14ac:dyDescent="0.3">
      <c r="D550" s="11"/>
    </row>
    <row r="551" spans="4:4" ht="15.75" customHeight="1" x14ac:dyDescent="0.3">
      <c r="D551" s="11"/>
    </row>
    <row r="552" spans="4:4" ht="15.75" customHeight="1" x14ac:dyDescent="0.3">
      <c r="D552" s="11"/>
    </row>
    <row r="553" spans="4:4" ht="15.75" customHeight="1" x14ac:dyDescent="0.3">
      <c r="D553" s="11"/>
    </row>
    <row r="554" spans="4:4" ht="15.75" customHeight="1" x14ac:dyDescent="0.3">
      <c r="D554" s="11"/>
    </row>
    <row r="555" spans="4:4" ht="15.75" customHeight="1" x14ac:dyDescent="0.3">
      <c r="D555" s="11"/>
    </row>
    <row r="556" spans="4:4" ht="15.75" customHeight="1" x14ac:dyDescent="0.3">
      <c r="D556" s="11"/>
    </row>
    <row r="557" spans="4:4" ht="15.75" customHeight="1" x14ac:dyDescent="0.3">
      <c r="D557" s="11"/>
    </row>
    <row r="558" spans="4:4" ht="15.75" customHeight="1" x14ac:dyDescent="0.3">
      <c r="D558" s="11"/>
    </row>
    <row r="559" spans="4:4" ht="15.75" customHeight="1" x14ac:dyDescent="0.3">
      <c r="D559" s="11"/>
    </row>
    <row r="560" spans="4:4" ht="15.75" customHeight="1" x14ac:dyDescent="0.3">
      <c r="D560" s="11"/>
    </row>
    <row r="561" spans="4:4" ht="15.75" customHeight="1" x14ac:dyDescent="0.3">
      <c r="D561" s="11"/>
    </row>
    <row r="562" spans="4:4" ht="15.75" customHeight="1" x14ac:dyDescent="0.3">
      <c r="D562" s="11"/>
    </row>
    <row r="563" spans="4:4" ht="15.75" customHeight="1" x14ac:dyDescent="0.3">
      <c r="D563" s="11"/>
    </row>
    <row r="564" spans="4:4" ht="15.75" customHeight="1" x14ac:dyDescent="0.3">
      <c r="D564" s="11"/>
    </row>
    <row r="565" spans="4:4" ht="15.75" customHeight="1" x14ac:dyDescent="0.3">
      <c r="D565" s="11"/>
    </row>
    <row r="566" spans="4:4" ht="15.75" customHeight="1" x14ac:dyDescent="0.3">
      <c r="D566" s="11"/>
    </row>
    <row r="567" spans="4:4" ht="15.75" customHeight="1" x14ac:dyDescent="0.3">
      <c r="D567" s="11"/>
    </row>
    <row r="568" spans="4:4" ht="15.75" customHeight="1" x14ac:dyDescent="0.3">
      <c r="D568" s="11"/>
    </row>
    <row r="569" spans="4:4" ht="15.75" customHeight="1" x14ac:dyDescent="0.3">
      <c r="D569" s="11"/>
    </row>
    <row r="570" spans="4:4" ht="15.75" customHeight="1" x14ac:dyDescent="0.3">
      <c r="D570" s="11"/>
    </row>
    <row r="571" spans="4:4" ht="15.75" customHeight="1" x14ac:dyDescent="0.3">
      <c r="D571" s="11"/>
    </row>
    <row r="572" spans="4:4" ht="15.75" customHeight="1" x14ac:dyDescent="0.3">
      <c r="D572" s="11"/>
    </row>
    <row r="573" spans="4:4" ht="15.75" customHeight="1" x14ac:dyDescent="0.3">
      <c r="D573" s="11"/>
    </row>
    <row r="574" spans="4:4" ht="15.75" customHeight="1" x14ac:dyDescent="0.3">
      <c r="D574" s="11"/>
    </row>
    <row r="575" spans="4:4" ht="15.75" customHeight="1" x14ac:dyDescent="0.3">
      <c r="D575" s="11"/>
    </row>
    <row r="576" spans="4:4" ht="15.75" customHeight="1" x14ac:dyDescent="0.3">
      <c r="D576" s="11"/>
    </row>
    <row r="577" spans="4:4" ht="15.75" customHeight="1" x14ac:dyDescent="0.3">
      <c r="D577" s="11"/>
    </row>
    <row r="578" spans="4:4" ht="15.75" customHeight="1" x14ac:dyDescent="0.3">
      <c r="D578" s="11"/>
    </row>
    <row r="579" spans="4:4" ht="15.75" customHeight="1" x14ac:dyDescent="0.3">
      <c r="D579" s="11"/>
    </row>
    <row r="580" spans="4:4" ht="15.75" customHeight="1" x14ac:dyDescent="0.3">
      <c r="D580" s="11"/>
    </row>
    <row r="581" spans="4:4" ht="15.75" customHeight="1" x14ac:dyDescent="0.3">
      <c r="D581" s="11"/>
    </row>
    <row r="582" spans="4:4" ht="15.75" customHeight="1" x14ac:dyDescent="0.3">
      <c r="D582" s="11"/>
    </row>
    <row r="583" spans="4:4" ht="15.75" customHeight="1" x14ac:dyDescent="0.3">
      <c r="D583" s="11"/>
    </row>
    <row r="584" spans="4:4" ht="15.75" customHeight="1" x14ac:dyDescent="0.3">
      <c r="D584" s="11"/>
    </row>
    <row r="585" spans="4:4" ht="15.75" customHeight="1" x14ac:dyDescent="0.3">
      <c r="D585" s="11"/>
    </row>
    <row r="586" spans="4:4" ht="15.75" customHeight="1" x14ac:dyDescent="0.3">
      <c r="D586" s="11"/>
    </row>
    <row r="587" spans="4:4" ht="15.75" customHeight="1" x14ac:dyDescent="0.3">
      <c r="D587" s="11"/>
    </row>
    <row r="588" spans="4:4" ht="15.75" customHeight="1" x14ac:dyDescent="0.3">
      <c r="D588" s="11"/>
    </row>
    <row r="589" spans="4:4" ht="15.75" customHeight="1" x14ac:dyDescent="0.3">
      <c r="D589" s="11"/>
    </row>
    <row r="590" spans="4:4" ht="15.75" customHeight="1" x14ac:dyDescent="0.3">
      <c r="D590" s="11"/>
    </row>
    <row r="591" spans="4:4" ht="15.75" customHeight="1" x14ac:dyDescent="0.3">
      <c r="D591" s="11"/>
    </row>
    <row r="592" spans="4:4" ht="15.75" customHeight="1" x14ac:dyDescent="0.3">
      <c r="D592" s="11"/>
    </row>
    <row r="593" spans="4:4" ht="15.75" customHeight="1" x14ac:dyDescent="0.3">
      <c r="D593" s="11"/>
    </row>
    <row r="594" spans="4:4" ht="15.75" customHeight="1" x14ac:dyDescent="0.3">
      <c r="D594" s="11"/>
    </row>
    <row r="595" spans="4:4" ht="15.75" customHeight="1" x14ac:dyDescent="0.3">
      <c r="D595" s="11"/>
    </row>
    <row r="596" spans="4:4" ht="15.75" customHeight="1" x14ac:dyDescent="0.3">
      <c r="D596" s="11"/>
    </row>
    <row r="597" spans="4:4" ht="15.75" customHeight="1" x14ac:dyDescent="0.3">
      <c r="D597" s="11"/>
    </row>
    <row r="598" spans="4:4" ht="15.75" customHeight="1" x14ac:dyDescent="0.3">
      <c r="D598" s="11"/>
    </row>
    <row r="599" spans="4:4" ht="15.75" customHeight="1" x14ac:dyDescent="0.3">
      <c r="D599" s="11"/>
    </row>
    <row r="600" spans="4:4" ht="15.75" customHeight="1" x14ac:dyDescent="0.3">
      <c r="D600" s="11"/>
    </row>
    <row r="601" spans="4:4" ht="15.75" customHeight="1" x14ac:dyDescent="0.3">
      <c r="D601" s="11"/>
    </row>
    <row r="602" spans="4:4" ht="15.75" customHeight="1" x14ac:dyDescent="0.3">
      <c r="D602" s="11"/>
    </row>
    <row r="603" spans="4:4" ht="15.75" customHeight="1" x14ac:dyDescent="0.3">
      <c r="D603" s="11"/>
    </row>
    <row r="604" spans="4:4" ht="15.75" customHeight="1" x14ac:dyDescent="0.3">
      <c r="D604" s="11"/>
    </row>
    <row r="605" spans="4:4" ht="15.75" customHeight="1" x14ac:dyDescent="0.3">
      <c r="D605" s="11"/>
    </row>
    <row r="606" spans="4:4" ht="15.75" customHeight="1" x14ac:dyDescent="0.3">
      <c r="D606" s="11"/>
    </row>
    <row r="607" spans="4:4" ht="15.75" customHeight="1" x14ac:dyDescent="0.3">
      <c r="D607" s="11"/>
    </row>
    <row r="608" spans="4:4" ht="15.75" customHeight="1" x14ac:dyDescent="0.3">
      <c r="D608" s="11"/>
    </row>
    <row r="609" spans="4:4" ht="15.75" customHeight="1" x14ac:dyDescent="0.3">
      <c r="D609" s="11"/>
    </row>
    <row r="610" spans="4:4" ht="15.75" customHeight="1" x14ac:dyDescent="0.3">
      <c r="D610" s="11"/>
    </row>
    <row r="611" spans="4:4" ht="15.75" customHeight="1" x14ac:dyDescent="0.3">
      <c r="D611" s="11"/>
    </row>
    <row r="612" spans="4:4" ht="15.75" customHeight="1" x14ac:dyDescent="0.3">
      <c r="D612" s="11"/>
    </row>
    <row r="613" spans="4:4" ht="15.75" customHeight="1" x14ac:dyDescent="0.3">
      <c r="D613" s="11"/>
    </row>
    <row r="614" spans="4:4" ht="15.75" customHeight="1" x14ac:dyDescent="0.3">
      <c r="D614" s="11"/>
    </row>
    <row r="615" spans="4:4" ht="15.75" customHeight="1" x14ac:dyDescent="0.3">
      <c r="D615" s="11"/>
    </row>
    <row r="616" spans="4:4" ht="15.75" customHeight="1" x14ac:dyDescent="0.3">
      <c r="D616" s="11"/>
    </row>
    <row r="617" spans="4:4" ht="15.75" customHeight="1" x14ac:dyDescent="0.3">
      <c r="D617" s="11"/>
    </row>
    <row r="618" spans="4:4" ht="15.75" customHeight="1" x14ac:dyDescent="0.3">
      <c r="D618" s="11"/>
    </row>
    <row r="619" spans="4:4" ht="15.75" customHeight="1" x14ac:dyDescent="0.3">
      <c r="D619" s="11"/>
    </row>
    <row r="620" spans="4:4" ht="15.75" customHeight="1" x14ac:dyDescent="0.3">
      <c r="D620" s="11"/>
    </row>
    <row r="621" spans="4:4" ht="15.75" customHeight="1" x14ac:dyDescent="0.3">
      <c r="D621" s="11"/>
    </row>
    <row r="622" spans="4:4" ht="15.75" customHeight="1" x14ac:dyDescent="0.3">
      <c r="D622" s="11"/>
    </row>
    <row r="623" spans="4:4" ht="15.75" customHeight="1" x14ac:dyDescent="0.3">
      <c r="D623" s="11"/>
    </row>
    <row r="624" spans="4:4" ht="15.75" customHeight="1" x14ac:dyDescent="0.3">
      <c r="D624" s="11"/>
    </row>
    <row r="625" spans="4:4" ht="15.75" customHeight="1" x14ac:dyDescent="0.3">
      <c r="D625" s="11"/>
    </row>
    <row r="626" spans="4:4" ht="15.75" customHeight="1" x14ac:dyDescent="0.3">
      <c r="D626" s="11"/>
    </row>
    <row r="627" spans="4:4" ht="15.75" customHeight="1" x14ac:dyDescent="0.3">
      <c r="D627" s="11"/>
    </row>
    <row r="628" spans="4:4" ht="15.75" customHeight="1" x14ac:dyDescent="0.3">
      <c r="D628" s="11"/>
    </row>
    <row r="629" spans="4:4" ht="15.75" customHeight="1" x14ac:dyDescent="0.3">
      <c r="D629" s="11"/>
    </row>
    <row r="630" spans="4:4" ht="15.75" customHeight="1" x14ac:dyDescent="0.3">
      <c r="D630" s="11"/>
    </row>
    <row r="631" spans="4:4" ht="15.75" customHeight="1" x14ac:dyDescent="0.3">
      <c r="D631" s="11"/>
    </row>
    <row r="632" spans="4:4" ht="15.75" customHeight="1" x14ac:dyDescent="0.3">
      <c r="D632" s="11"/>
    </row>
    <row r="633" spans="4:4" ht="15.75" customHeight="1" x14ac:dyDescent="0.3">
      <c r="D633" s="11"/>
    </row>
    <row r="634" spans="4:4" ht="15.75" customHeight="1" x14ac:dyDescent="0.3">
      <c r="D634" s="11"/>
    </row>
    <row r="635" spans="4:4" ht="15.75" customHeight="1" x14ac:dyDescent="0.3">
      <c r="D635" s="11"/>
    </row>
    <row r="636" spans="4:4" ht="15.75" customHeight="1" x14ac:dyDescent="0.3">
      <c r="D636" s="11"/>
    </row>
    <row r="637" spans="4:4" ht="15.75" customHeight="1" x14ac:dyDescent="0.3">
      <c r="D637" s="11"/>
    </row>
    <row r="638" spans="4:4" ht="15.75" customHeight="1" x14ac:dyDescent="0.3">
      <c r="D638" s="11"/>
    </row>
    <row r="639" spans="4:4" ht="15.75" customHeight="1" x14ac:dyDescent="0.3">
      <c r="D639" s="11"/>
    </row>
    <row r="640" spans="4:4" ht="15.75" customHeight="1" x14ac:dyDescent="0.3">
      <c r="D640" s="11"/>
    </row>
    <row r="641" spans="4:4" ht="15.75" customHeight="1" x14ac:dyDescent="0.3">
      <c r="D641" s="11"/>
    </row>
    <row r="642" spans="4:4" ht="15.75" customHeight="1" x14ac:dyDescent="0.3">
      <c r="D642" s="11"/>
    </row>
    <row r="643" spans="4:4" ht="15.75" customHeight="1" x14ac:dyDescent="0.3">
      <c r="D643" s="11"/>
    </row>
    <row r="644" spans="4:4" ht="15.75" customHeight="1" x14ac:dyDescent="0.3">
      <c r="D644" s="11"/>
    </row>
    <row r="645" spans="4:4" ht="15.75" customHeight="1" x14ac:dyDescent="0.3">
      <c r="D645" s="11"/>
    </row>
    <row r="646" spans="4:4" ht="15.75" customHeight="1" x14ac:dyDescent="0.3">
      <c r="D646" s="11"/>
    </row>
    <row r="647" spans="4:4" ht="15.75" customHeight="1" x14ac:dyDescent="0.3">
      <c r="D647" s="11"/>
    </row>
    <row r="648" spans="4:4" ht="15.75" customHeight="1" x14ac:dyDescent="0.3">
      <c r="D648" s="11"/>
    </row>
    <row r="649" spans="4:4" ht="15.75" customHeight="1" x14ac:dyDescent="0.3">
      <c r="D649" s="11"/>
    </row>
    <row r="650" spans="4:4" ht="15.75" customHeight="1" x14ac:dyDescent="0.3">
      <c r="D650" s="11"/>
    </row>
    <row r="651" spans="4:4" ht="15.75" customHeight="1" x14ac:dyDescent="0.3">
      <c r="D651" s="11"/>
    </row>
    <row r="652" spans="4:4" ht="15.75" customHeight="1" x14ac:dyDescent="0.3">
      <c r="D652" s="11"/>
    </row>
    <row r="653" spans="4:4" ht="15.75" customHeight="1" x14ac:dyDescent="0.3">
      <c r="D653" s="11"/>
    </row>
    <row r="654" spans="4:4" ht="15.75" customHeight="1" x14ac:dyDescent="0.3">
      <c r="D654" s="11"/>
    </row>
    <row r="655" spans="4:4" ht="15.75" customHeight="1" x14ac:dyDescent="0.3">
      <c r="D655" s="11"/>
    </row>
    <row r="656" spans="4:4" ht="15.75" customHeight="1" x14ac:dyDescent="0.3">
      <c r="D656" s="11"/>
    </row>
    <row r="657" spans="4:4" ht="15.75" customHeight="1" x14ac:dyDescent="0.3">
      <c r="D657" s="11"/>
    </row>
    <row r="658" spans="4:4" ht="15.75" customHeight="1" x14ac:dyDescent="0.3">
      <c r="D658" s="11"/>
    </row>
    <row r="659" spans="4:4" ht="15.75" customHeight="1" x14ac:dyDescent="0.3">
      <c r="D659" s="11"/>
    </row>
    <row r="660" spans="4:4" ht="15.75" customHeight="1" x14ac:dyDescent="0.3">
      <c r="D660" s="11"/>
    </row>
    <row r="661" spans="4:4" ht="15.75" customHeight="1" x14ac:dyDescent="0.3">
      <c r="D661" s="11"/>
    </row>
    <row r="662" spans="4:4" ht="15.75" customHeight="1" x14ac:dyDescent="0.3">
      <c r="D662" s="11"/>
    </row>
    <row r="663" spans="4:4" ht="15.75" customHeight="1" x14ac:dyDescent="0.3">
      <c r="D663" s="11"/>
    </row>
    <row r="664" spans="4:4" ht="15.75" customHeight="1" x14ac:dyDescent="0.3">
      <c r="D664" s="11"/>
    </row>
    <row r="665" spans="4:4" ht="15.75" customHeight="1" x14ac:dyDescent="0.3">
      <c r="D665" s="11"/>
    </row>
    <row r="666" spans="4:4" ht="15.75" customHeight="1" x14ac:dyDescent="0.3">
      <c r="D666" s="11"/>
    </row>
    <row r="667" spans="4:4" ht="15.75" customHeight="1" x14ac:dyDescent="0.3">
      <c r="D667" s="11"/>
    </row>
    <row r="668" spans="4:4" ht="15.75" customHeight="1" x14ac:dyDescent="0.3">
      <c r="D668" s="11"/>
    </row>
    <row r="669" spans="4:4" ht="15.75" customHeight="1" x14ac:dyDescent="0.3">
      <c r="D669" s="11"/>
    </row>
    <row r="670" spans="4:4" ht="15.75" customHeight="1" x14ac:dyDescent="0.3">
      <c r="D670" s="11"/>
    </row>
    <row r="671" spans="4:4" ht="15.75" customHeight="1" x14ac:dyDescent="0.3">
      <c r="D671" s="11"/>
    </row>
    <row r="672" spans="4:4" ht="15.75" customHeight="1" x14ac:dyDescent="0.3">
      <c r="D672" s="11"/>
    </row>
    <row r="673" spans="4:4" ht="15.75" customHeight="1" x14ac:dyDescent="0.3">
      <c r="D673" s="11"/>
    </row>
    <row r="674" spans="4:4" ht="15.75" customHeight="1" x14ac:dyDescent="0.3">
      <c r="D674" s="11"/>
    </row>
    <row r="675" spans="4:4" ht="15.75" customHeight="1" x14ac:dyDescent="0.3">
      <c r="D675" s="11"/>
    </row>
    <row r="676" spans="4:4" ht="15.75" customHeight="1" x14ac:dyDescent="0.3">
      <c r="D676" s="11"/>
    </row>
    <row r="677" spans="4:4" ht="15.75" customHeight="1" x14ac:dyDescent="0.3">
      <c r="D677" s="11"/>
    </row>
    <row r="678" spans="4:4" ht="15.75" customHeight="1" x14ac:dyDescent="0.3">
      <c r="D678" s="11"/>
    </row>
    <row r="679" spans="4:4" ht="15.75" customHeight="1" x14ac:dyDescent="0.3">
      <c r="D679" s="11"/>
    </row>
    <row r="680" spans="4:4" ht="15.75" customHeight="1" x14ac:dyDescent="0.3">
      <c r="D680" s="11"/>
    </row>
    <row r="681" spans="4:4" ht="15.75" customHeight="1" x14ac:dyDescent="0.3">
      <c r="D681" s="11"/>
    </row>
    <row r="682" spans="4:4" ht="15.75" customHeight="1" x14ac:dyDescent="0.3">
      <c r="D682" s="11"/>
    </row>
    <row r="683" spans="4:4" ht="15.75" customHeight="1" x14ac:dyDescent="0.3">
      <c r="D683" s="11"/>
    </row>
    <row r="684" spans="4:4" ht="15.75" customHeight="1" x14ac:dyDescent="0.3">
      <c r="D684" s="11"/>
    </row>
    <row r="685" spans="4:4" ht="15.75" customHeight="1" x14ac:dyDescent="0.3">
      <c r="D685" s="11"/>
    </row>
    <row r="686" spans="4:4" ht="15.75" customHeight="1" x14ac:dyDescent="0.3">
      <c r="D686" s="11"/>
    </row>
    <row r="687" spans="4:4" ht="15.75" customHeight="1" x14ac:dyDescent="0.3">
      <c r="D687" s="11"/>
    </row>
    <row r="688" spans="4:4" ht="15.75" customHeight="1" x14ac:dyDescent="0.3">
      <c r="D688" s="11"/>
    </row>
    <row r="689" spans="4:4" ht="15.75" customHeight="1" x14ac:dyDescent="0.3">
      <c r="D689" s="11"/>
    </row>
    <row r="690" spans="4:4" ht="15.75" customHeight="1" x14ac:dyDescent="0.3">
      <c r="D690" s="11"/>
    </row>
    <row r="691" spans="4:4" ht="15.75" customHeight="1" x14ac:dyDescent="0.3">
      <c r="D691" s="11"/>
    </row>
    <row r="692" spans="4:4" ht="15.75" customHeight="1" x14ac:dyDescent="0.3">
      <c r="D692" s="11"/>
    </row>
    <row r="693" spans="4:4" ht="15.75" customHeight="1" x14ac:dyDescent="0.3">
      <c r="D693" s="11"/>
    </row>
    <row r="694" spans="4:4" ht="15.75" customHeight="1" x14ac:dyDescent="0.3">
      <c r="D694" s="11"/>
    </row>
    <row r="695" spans="4:4" ht="15.75" customHeight="1" x14ac:dyDescent="0.3">
      <c r="D695" s="11"/>
    </row>
    <row r="696" spans="4:4" ht="15.75" customHeight="1" x14ac:dyDescent="0.3">
      <c r="D696" s="11"/>
    </row>
    <row r="697" spans="4:4" ht="15.75" customHeight="1" x14ac:dyDescent="0.3">
      <c r="D697" s="11"/>
    </row>
    <row r="698" spans="4:4" ht="15.75" customHeight="1" x14ac:dyDescent="0.3">
      <c r="D698" s="11"/>
    </row>
    <row r="699" spans="4:4" ht="15.75" customHeight="1" x14ac:dyDescent="0.3">
      <c r="D699" s="11"/>
    </row>
    <row r="700" spans="4:4" ht="15.75" customHeight="1" x14ac:dyDescent="0.3">
      <c r="D700" s="11"/>
    </row>
    <row r="701" spans="4:4" ht="15.75" customHeight="1" x14ac:dyDescent="0.3">
      <c r="D701" s="11"/>
    </row>
    <row r="702" spans="4:4" ht="15.75" customHeight="1" x14ac:dyDescent="0.3">
      <c r="D702" s="11"/>
    </row>
    <row r="703" spans="4:4" ht="15.75" customHeight="1" x14ac:dyDescent="0.3">
      <c r="D703" s="11"/>
    </row>
    <row r="704" spans="4:4" ht="15.75" customHeight="1" x14ac:dyDescent="0.3">
      <c r="D704" s="11"/>
    </row>
    <row r="705" spans="4:4" ht="15.75" customHeight="1" x14ac:dyDescent="0.3">
      <c r="D705" s="11"/>
    </row>
    <row r="706" spans="4:4" ht="15.75" customHeight="1" x14ac:dyDescent="0.3">
      <c r="D706" s="11"/>
    </row>
    <row r="707" spans="4:4" ht="15.75" customHeight="1" x14ac:dyDescent="0.3">
      <c r="D707" s="11"/>
    </row>
    <row r="708" spans="4:4" ht="15.75" customHeight="1" x14ac:dyDescent="0.3">
      <c r="D708" s="11"/>
    </row>
    <row r="709" spans="4:4" ht="15.75" customHeight="1" x14ac:dyDescent="0.3">
      <c r="D709" s="11"/>
    </row>
    <row r="710" spans="4:4" ht="15.75" customHeight="1" x14ac:dyDescent="0.3">
      <c r="D710" s="11"/>
    </row>
    <row r="711" spans="4:4" ht="15.75" customHeight="1" x14ac:dyDescent="0.3">
      <c r="D711" s="11"/>
    </row>
    <row r="712" spans="4:4" ht="15.75" customHeight="1" x14ac:dyDescent="0.3">
      <c r="D712" s="11"/>
    </row>
    <row r="713" spans="4:4" ht="15.75" customHeight="1" x14ac:dyDescent="0.3">
      <c r="D713" s="11"/>
    </row>
    <row r="714" spans="4:4" ht="15.75" customHeight="1" x14ac:dyDescent="0.3">
      <c r="D714" s="11"/>
    </row>
    <row r="715" spans="4:4" ht="15.75" customHeight="1" x14ac:dyDescent="0.3">
      <c r="D715" s="11"/>
    </row>
    <row r="716" spans="4:4" ht="15.75" customHeight="1" x14ac:dyDescent="0.3">
      <c r="D716" s="11"/>
    </row>
    <row r="717" spans="4:4" ht="15.75" customHeight="1" x14ac:dyDescent="0.3">
      <c r="D717" s="11"/>
    </row>
    <row r="718" spans="4:4" ht="15.75" customHeight="1" x14ac:dyDescent="0.3">
      <c r="D718" s="11"/>
    </row>
    <row r="719" spans="4:4" ht="15.75" customHeight="1" x14ac:dyDescent="0.3">
      <c r="D719" s="11"/>
    </row>
    <row r="720" spans="4:4" ht="15.75" customHeight="1" x14ac:dyDescent="0.3">
      <c r="D720" s="11"/>
    </row>
    <row r="721" spans="4:4" ht="15.75" customHeight="1" x14ac:dyDescent="0.3">
      <c r="D721" s="11"/>
    </row>
    <row r="722" spans="4:4" ht="15.75" customHeight="1" x14ac:dyDescent="0.3">
      <c r="D722" s="11"/>
    </row>
    <row r="723" spans="4:4" ht="15.75" customHeight="1" x14ac:dyDescent="0.3">
      <c r="D723" s="11"/>
    </row>
    <row r="724" spans="4:4" ht="15.75" customHeight="1" x14ac:dyDescent="0.3">
      <c r="D724" s="11"/>
    </row>
    <row r="725" spans="4:4" ht="15.75" customHeight="1" x14ac:dyDescent="0.3">
      <c r="D725" s="11"/>
    </row>
    <row r="726" spans="4:4" ht="15.75" customHeight="1" x14ac:dyDescent="0.3">
      <c r="D726" s="11"/>
    </row>
    <row r="727" spans="4:4" ht="15.75" customHeight="1" x14ac:dyDescent="0.3">
      <c r="D727" s="11"/>
    </row>
    <row r="728" spans="4:4" ht="15.75" customHeight="1" x14ac:dyDescent="0.3">
      <c r="D728" s="11"/>
    </row>
    <row r="729" spans="4:4" ht="15.75" customHeight="1" x14ac:dyDescent="0.3">
      <c r="D729" s="11"/>
    </row>
    <row r="730" spans="4:4" ht="15.75" customHeight="1" x14ac:dyDescent="0.3">
      <c r="D730" s="11"/>
    </row>
    <row r="731" spans="4:4" ht="15.75" customHeight="1" x14ac:dyDescent="0.3">
      <c r="D731" s="11"/>
    </row>
    <row r="732" spans="4:4" ht="15.75" customHeight="1" x14ac:dyDescent="0.3">
      <c r="D732" s="11"/>
    </row>
    <row r="733" spans="4:4" ht="15.75" customHeight="1" x14ac:dyDescent="0.3">
      <c r="D733" s="11"/>
    </row>
    <row r="734" spans="4:4" ht="15.75" customHeight="1" x14ac:dyDescent="0.3">
      <c r="D734" s="11"/>
    </row>
    <row r="735" spans="4:4" ht="15.75" customHeight="1" x14ac:dyDescent="0.3">
      <c r="D735" s="11"/>
    </row>
    <row r="736" spans="4:4" ht="15.75" customHeight="1" x14ac:dyDescent="0.3">
      <c r="D736" s="11"/>
    </row>
    <row r="737" spans="4:4" ht="15.75" customHeight="1" x14ac:dyDescent="0.3">
      <c r="D737" s="11"/>
    </row>
    <row r="738" spans="4:4" ht="15.75" customHeight="1" x14ac:dyDescent="0.3">
      <c r="D738" s="11"/>
    </row>
    <row r="739" spans="4:4" ht="15.75" customHeight="1" x14ac:dyDescent="0.3">
      <c r="D739" s="11"/>
    </row>
    <row r="740" spans="4:4" ht="15.75" customHeight="1" x14ac:dyDescent="0.3">
      <c r="D740" s="11"/>
    </row>
    <row r="741" spans="4:4" ht="15.75" customHeight="1" x14ac:dyDescent="0.3">
      <c r="D741" s="11"/>
    </row>
    <row r="742" spans="4:4" ht="15.75" customHeight="1" x14ac:dyDescent="0.3">
      <c r="D742" s="11"/>
    </row>
    <row r="743" spans="4:4" ht="15.75" customHeight="1" x14ac:dyDescent="0.3">
      <c r="D743" s="11"/>
    </row>
    <row r="744" spans="4:4" ht="15.75" customHeight="1" x14ac:dyDescent="0.3">
      <c r="D744" s="11"/>
    </row>
    <row r="745" spans="4:4" ht="15.75" customHeight="1" x14ac:dyDescent="0.3">
      <c r="D745" s="11"/>
    </row>
    <row r="746" spans="4:4" ht="15.75" customHeight="1" x14ac:dyDescent="0.3">
      <c r="D746" s="11"/>
    </row>
    <row r="747" spans="4:4" ht="15.75" customHeight="1" x14ac:dyDescent="0.3">
      <c r="D747" s="11"/>
    </row>
    <row r="748" spans="4:4" ht="15.75" customHeight="1" x14ac:dyDescent="0.3">
      <c r="D748" s="11"/>
    </row>
    <row r="749" spans="4:4" ht="15.75" customHeight="1" x14ac:dyDescent="0.3">
      <c r="D749" s="11"/>
    </row>
    <row r="750" spans="4:4" ht="15.75" customHeight="1" x14ac:dyDescent="0.3">
      <c r="D750" s="11"/>
    </row>
    <row r="751" spans="4:4" ht="15.75" customHeight="1" x14ac:dyDescent="0.3">
      <c r="D751" s="11"/>
    </row>
    <row r="752" spans="4:4" ht="15.75" customHeight="1" x14ac:dyDescent="0.3">
      <c r="D752" s="11"/>
    </row>
    <row r="753" spans="4:4" ht="15.75" customHeight="1" x14ac:dyDescent="0.3">
      <c r="D753" s="11"/>
    </row>
    <row r="754" spans="4:4" ht="15.75" customHeight="1" x14ac:dyDescent="0.3">
      <c r="D754" s="11"/>
    </row>
    <row r="755" spans="4:4" ht="15.75" customHeight="1" x14ac:dyDescent="0.3">
      <c r="D755" s="11"/>
    </row>
    <row r="756" spans="4:4" ht="15.75" customHeight="1" x14ac:dyDescent="0.3">
      <c r="D756" s="11"/>
    </row>
    <row r="757" spans="4:4" ht="15.75" customHeight="1" x14ac:dyDescent="0.3">
      <c r="D757" s="11"/>
    </row>
    <row r="758" spans="4:4" ht="15.75" customHeight="1" x14ac:dyDescent="0.3">
      <c r="D758" s="11"/>
    </row>
    <row r="759" spans="4:4" ht="15.75" customHeight="1" x14ac:dyDescent="0.3">
      <c r="D759" s="11"/>
    </row>
    <row r="760" spans="4:4" ht="15.75" customHeight="1" x14ac:dyDescent="0.3">
      <c r="D760" s="11"/>
    </row>
    <row r="761" spans="4:4" ht="15.75" customHeight="1" x14ac:dyDescent="0.3">
      <c r="D761" s="11"/>
    </row>
    <row r="762" spans="4:4" ht="15.75" customHeight="1" x14ac:dyDescent="0.3">
      <c r="D762" s="11"/>
    </row>
    <row r="763" spans="4:4" ht="15.75" customHeight="1" x14ac:dyDescent="0.3">
      <c r="D763" s="11"/>
    </row>
    <row r="764" spans="4:4" ht="15.75" customHeight="1" x14ac:dyDescent="0.3">
      <c r="D764" s="11"/>
    </row>
    <row r="765" spans="4:4" ht="15.75" customHeight="1" x14ac:dyDescent="0.3">
      <c r="D765" s="11"/>
    </row>
    <row r="766" spans="4:4" ht="15.75" customHeight="1" x14ac:dyDescent="0.3">
      <c r="D766" s="11"/>
    </row>
    <row r="767" spans="4:4" ht="15.75" customHeight="1" x14ac:dyDescent="0.3">
      <c r="D767" s="11"/>
    </row>
    <row r="768" spans="4:4" ht="15.75" customHeight="1" x14ac:dyDescent="0.3">
      <c r="D768" s="11"/>
    </row>
    <row r="769" spans="4:4" ht="15.75" customHeight="1" x14ac:dyDescent="0.3">
      <c r="D769" s="11"/>
    </row>
    <row r="770" spans="4:4" ht="15.75" customHeight="1" x14ac:dyDescent="0.3">
      <c r="D770" s="11"/>
    </row>
    <row r="771" spans="4:4" ht="15.75" customHeight="1" x14ac:dyDescent="0.3">
      <c r="D771" s="11"/>
    </row>
    <row r="772" spans="4:4" ht="15.75" customHeight="1" x14ac:dyDescent="0.3">
      <c r="D772" s="11"/>
    </row>
    <row r="773" spans="4:4" ht="15.75" customHeight="1" x14ac:dyDescent="0.3">
      <c r="D773" s="11"/>
    </row>
    <row r="774" spans="4:4" ht="15.75" customHeight="1" x14ac:dyDescent="0.3">
      <c r="D774" s="11"/>
    </row>
    <row r="775" spans="4:4" ht="15.75" customHeight="1" x14ac:dyDescent="0.3">
      <c r="D775" s="11"/>
    </row>
    <row r="776" spans="4:4" ht="15.75" customHeight="1" x14ac:dyDescent="0.3">
      <c r="D776" s="11"/>
    </row>
    <row r="777" spans="4:4" ht="15.75" customHeight="1" x14ac:dyDescent="0.3">
      <c r="D777" s="11"/>
    </row>
    <row r="778" spans="4:4" ht="15.75" customHeight="1" x14ac:dyDescent="0.3">
      <c r="D778" s="11"/>
    </row>
    <row r="779" spans="4:4" ht="15.75" customHeight="1" x14ac:dyDescent="0.3">
      <c r="D779" s="11"/>
    </row>
    <row r="780" spans="4:4" ht="15.75" customHeight="1" x14ac:dyDescent="0.3">
      <c r="D780" s="11"/>
    </row>
    <row r="781" spans="4:4" ht="15.75" customHeight="1" x14ac:dyDescent="0.3">
      <c r="D781" s="11"/>
    </row>
    <row r="782" spans="4:4" ht="15.75" customHeight="1" x14ac:dyDescent="0.3">
      <c r="D782" s="11"/>
    </row>
    <row r="783" spans="4:4" ht="15.75" customHeight="1" x14ac:dyDescent="0.3">
      <c r="D783" s="11"/>
    </row>
    <row r="784" spans="4:4" ht="15.75" customHeight="1" x14ac:dyDescent="0.3">
      <c r="D784" s="11"/>
    </row>
    <row r="785" spans="4:4" ht="15.75" customHeight="1" x14ac:dyDescent="0.3">
      <c r="D785" s="11"/>
    </row>
    <row r="786" spans="4:4" ht="15.75" customHeight="1" x14ac:dyDescent="0.3">
      <c r="D786" s="11"/>
    </row>
    <row r="787" spans="4:4" ht="15.75" customHeight="1" x14ac:dyDescent="0.3">
      <c r="D787" s="11"/>
    </row>
    <row r="788" spans="4:4" ht="15.75" customHeight="1" x14ac:dyDescent="0.3">
      <c r="D788" s="11"/>
    </row>
    <row r="789" spans="4:4" ht="15.75" customHeight="1" x14ac:dyDescent="0.3">
      <c r="D789" s="11"/>
    </row>
    <row r="790" spans="4:4" ht="15.75" customHeight="1" x14ac:dyDescent="0.3">
      <c r="D790" s="11"/>
    </row>
    <row r="791" spans="4:4" ht="15.75" customHeight="1" x14ac:dyDescent="0.3">
      <c r="D791" s="11"/>
    </row>
    <row r="792" spans="4:4" ht="15.75" customHeight="1" x14ac:dyDescent="0.3">
      <c r="D792" s="11"/>
    </row>
    <row r="793" spans="4:4" ht="15.75" customHeight="1" x14ac:dyDescent="0.3">
      <c r="D793" s="11"/>
    </row>
    <row r="794" spans="4:4" ht="15.75" customHeight="1" x14ac:dyDescent="0.3">
      <c r="D794" s="11"/>
    </row>
    <row r="795" spans="4:4" ht="15.75" customHeight="1" x14ac:dyDescent="0.3">
      <c r="D795" s="11"/>
    </row>
    <row r="796" spans="4:4" ht="15.75" customHeight="1" x14ac:dyDescent="0.3">
      <c r="D796" s="11"/>
    </row>
    <row r="797" spans="4:4" ht="15.75" customHeight="1" x14ac:dyDescent="0.3">
      <c r="D797" s="11"/>
    </row>
    <row r="798" spans="4:4" ht="15.75" customHeight="1" x14ac:dyDescent="0.3">
      <c r="D798" s="11"/>
    </row>
    <row r="799" spans="4:4" ht="15.75" customHeight="1" x14ac:dyDescent="0.3">
      <c r="D799" s="11"/>
    </row>
    <row r="800" spans="4:4" ht="15.75" customHeight="1" x14ac:dyDescent="0.3">
      <c r="D800" s="11"/>
    </row>
    <row r="801" spans="4:4" ht="15.75" customHeight="1" x14ac:dyDescent="0.3">
      <c r="D801" s="11"/>
    </row>
    <row r="802" spans="4:4" ht="15.75" customHeight="1" x14ac:dyDescent="0.3">
      <c r="D802" s="11"/>
    </row>
    <row r="803" spans="4:4" ht="15.75" customHeight="1" x14ac:dyDescent="0.3">
      <c r="D803" s="11"/>
    </row>
    <row r="804" spans="4:4" ht="15.75" customHeight="1" x14ac:dyDescent="0.3">
      <c r="D804" s="11"/>
    </row>
    <row r="805" spans="4:4" ht="15.75" customHeight="1" x14ac:dyDescent="0.3">
      <c r="D805" s="11"/>
    </row>
    <row r="806" spans="4:4" ht="15.75" customHeight="1" x14ac:dyDescent="0.3">
      <c r="D806" s="11"/>
    </row>
    <row r="807" spans="4:4" ht="15.75" customHeight="1" x14ac:dyDescent="0.3">
      <c r="D807" s="11"/>
    </row>
    <row r="808" spans="4:4" ht="15.75" customHeight="1" x14ac:dyDescent="0.3">
      <c r="D808" s="11"/>
    </row>
    <row r="809" spans="4:4" ht="15.75" customHeight="1" x14ac:dyDescent="0.3">
      <c r="D809" s="11"/>
    </row>
    <row r="810" spans="4:4" ht="15.75" customHeight="1" x14ac:dyDescent="0.3">
      <c r="D810" s="11"/>
    </row>
    <row r="811" spans="4:4" ht="15.75" customHeight="1" x14ac:dyDescent="0.3">
      <c r="D811" s="11"/>
    </row>
    <row r="812" spans="4:4" ht="15.75" customHeight="1" x14ac:dyDescent="0.3">
      <c r="D812" s="11"/>
    </row>
    <row r="813" spans="4:4" ht="15.75" customHeight="1" x14ac:dyDescent="0.3">
      <c r="D813" s="11"/>
    </row>
    <row r="814" spans="4:4" ht="15.75" customHeight="1" x14ac:dyDescent="0.3">
      <c r="D814" s="11"/>
    </row>
    <row r="815" spans="4:4" ht="15.75" customHeight="1" x14ac:dyDescent="0.3">
      <c r="D815" s="11"/>
    </row>
    <row r="816" spans="4:4" ht="15.75" customHeight="1" x14ac:dyDescent="0.3">
      <c r="D816" s="11"/>
    </row>
    <row r="817" spans="4:4" ht="15.75" customHeight="1" x14ac:dyDescent="0.3">
      <c r="D817" s="11"/>
    </row>
    <row r="818" spans="4:4" ht="15.75" customHeight="1" x14ac:dyDescent="0.3">
      <c r="D818" s="11"/>
    </row>
    <row r="819" spans="4:4" ht="15.75" customHeight="1" x14ac:dyDescent="0.3">
      <c r="D819" s="11"/>
    </row>
    <row r="820" spans="4:4" ht="15.75" customHeight="1" x14ac:dyDescent="0.3">
      <c r="D820" s="11"/>
    </row>
    <row r="821" spans="4:4" ht="15.75" customHeight="1" x14ac:dyDescent="0.3">
      <c r="D821" s="11"/>
    </row>
    <row r="822" spans="4:4" ht="15.75" customHeight="1" x14ac:dyDescent="0.3">
      <c r="D822" s="11"/>
    </row>
    <row r="823" spans="4:4" ht="15.75" customHeight="1" x14ac:dyDescent="0.3">
      <c r="D823" s="11"/>
    </row>
    <row r="824" spans="4:4" ht="15.75" customHeight="1" x14ac:dyDescent="0.3">
      <c r="D824" s="11"/>
    </row>
    <row r="825" spans="4:4" ht="15.75" customHeight="1" x14ac:dyDescent="0.3">
      <c r="D825" s="11"/>
    </row>
    <row r="826" spans="4:4" ht="15.75" customHeight="1" x14ac:dyDescent="0.3">
      <c r="D826" s="11"/>
    </row>
    <row r="827" spans="4:4" ht="15.75" customHeight="1" x14ac:dyDescent="0.3">
      <c r="D827" s="11"/>
    </row>
    <row r="828" spans="4:4" ht="15.75" customHeight="1" x14ac:dyDescent="0.3">
      <c r="D828" s="11"/>
    </row>
    <row r="829" spans="4:4" ht="15.75" customHeight="1" x14ac:dyDescent="0.3">
      <c r="D829" s="11"/>
    </row>
    <row r="830" spans="4:4" ht="15.75" customHeight="1" x14ac:dyDescent="0.3">
      <c r="D830" s="11"/>
    </row>
    <row r="831" spans="4:4" ht="15.75" customHeight="1" x14ac:dyDescent="0.3">
      <c r="D831" s="11"/>
    </row>
    <row r="832" spans="4:4" ht="15.75" customHeight="1" x14ac:dyDescent="0.3">
      <c r="D832" s="11"/>
    </row>
    <row r="833" spans="4:4" ht="15.75" customHeight="1" x14ac:dyDescent="0.3">
      <c r="D833" s="11"/>
    </row>
    <row r="834" spans="4:4" ht="15.75" customHeight="1" x14ac:dyDescent="0.3">
      <c r="D834" s="11"/>
    </row>
    <row r="835" spans="4:4" ht="15.75" customHeight="1" x14ac:dyDescent="0.3">
      <c r="D835" s="11"/>
    </row>
    <row r="836" spans="4:4" ht="15.75" customHeight="1" x14ac:dyDescent="0.3">
      <c r="D836" s="11"/>
    </row>
    <row r="837" spans="4:4" ht="15.75" customHeight="1" x14ac:dyDescent="0.3">
      <c r="D837" s="11"/>
    </row>
    <row r="838" spans="4:4" ht="15.75" customHeight="1" x14ac:dyDescent="0.3">
      <c r="D838" s="11"/>
    </row>
    <row r="839" spans="4:4" ht="15.75" customHeight="1" x14ac:dyDescent="0.3">
      <c r="D839" s="11"/>
    </row>
    <row r="840" spans="4:4" ht="15.75" customHeight="1" x14ac:dyDescent="0.3">
      <c r="D840" s="11"/>
    </row>
    <row r="841" spans="4:4" ht="15.75" customHeight="1" x14ac:dyDescent="0.3">
      <c r="D841" s="11"/>
    </row>
    <row r="842" spans="4:4" ht="15.75" customHeight="1" x14ac:dyDescent="0.3">
      <c r="D842" s="11"/>
    </row>
    <row r="843" spans="4:4" ht="15.75" customHeight="1" x14ac:dyDescent="0.3">
      <c r="D843" s="11"/>
    </row>
    <row r="844" spans="4:4" ht="15.75" customHeight="1" x14ac:dyDescent="0.3">
      <c r="D844" s="11"/>
    </row>
    <row r="845" spans="4:4" ht="15.75" customHeight="1" x14ac:dyDescent="0.3">
      <c r="D845" s="11"/>
    </row>
    <row r="846" spans="4:4" ht="15.75" customHeight="1" x14ac:dyDescent="0.3">
      <c r="D846" s="11"/>
    </row>
    <row r="847" spans="4:4" ht="15.75" customHeight="1" x14ac:dyDescent="0.3">
      <c r="D847" s="11"/>
    </row>
    <row r="848" spans="4:4" ht="15.75" customHeight="1" x14ac:dyDescent="0.3">
      <c r="D848" s="11"/>
    </row>
    <row r="849" spans="4:4" ht="15.75" customHeight="1" x14ac:dyDescent="0.3">
      <c r="D849" s="11"/>
    </row>
    <row r="850" spans="4:4" ht="15.75" customHeight="1" x14ac:dyDescent="0.3">
      <c r="D850" s="11"/>
    </row>
    <row r="851" spans="4:4" ht="15.75" customHeight="1" x14ac:dyDescent="0.3">
      <c r="D851" s="11"/>
    </row>
    <row r="852" spans="4:4" ht="15.75" customHeight="1" x14ac:dyDescent="0.3">
      <c r="D852" s="11"/>
    </row>
    <row r="853" spans="4:4" ht="15.75" customHeight="1" x14ac:dyDescent="0.3">
      <c r="D853" s="11"/>
    </row>
    <row r="854" spans="4:4" ht="15.75" customHeight="1" x14ac:dyDescent="0.3">
      <c r="D854" s="11"/>
    </row>
    <row r="855" spans="4:4" ht="15.75" customHeight="1" x14ac:dyDescent="0.3">
      <c r="D855" s="11"/>
    </row>
    <row r="856" spans="4:4" ht="15.75" customHeight="1" x14ac:dyDescent="0.3">
      <c r="D856" s="11"/>
    </row>
    <row r="857" spans="4:4" ht="15.75" customHeight="1" x14ac:dyDescent="0.3">
      <c r="D857" s="11"/>
    </row>
    <row r="858" spans="4:4" ht="15.75" customHeight="1" x14ac:dyDescent="0.3">
      <c r="D858" s="11"/>
    </row>
    <row r="859" spans="4:4" ht="15.75" customHeight="1" x14ac:dyDescent="0.3">
      <c r="D859" s="11"/>
    </row>
    <row r="860" spans="4:4" ht="15.75" customHeight="1" x14ac:dyDescent="0.3">
      <c r="D860" s="11"/>
    </row>
    <row r="861" spans="4:4" ht="15.75" customHeight="1" x14ac:dyDescent="0.3">
      <c r="D861" s="11"/>
    </row>
    <row r="862" spans="4:4" ht="15.75" customHeight="1" x14ac:dyDescent="0.3">
      <c r="D862" s="11"/>
    </row>
    <row r="863" spans="4:4" ht="15.75" customHeight="1" x14ac:dyDescent="0.3">
      <c r="D863" s="11"/>
    </row>
    <row r="864" spans="4:4" ht="15.75" customHeight="1" x14ac:dyDescent="0.3">
      <c r="D864" s="11"/>
    </row>
    <row r="865" spans="4:4" ht="15.75" customHeight="1" x14ac:dyDescent="0.3">
      <c r="D865" s="11"/>
    </row>
    <row r="866" spans="4:4" ht="15.75" customHeight="1" x14ac:dyDescent="0.3">
      <c r="D866" s="11"/>
    </row>
    <row r="867" spans="4:4" ht="15.75" customHeight="1" x14ac:dyDescent="0.3">
      <c r="D867" s="11"/>
    </row>
    <row r="868" spans="4:4" ht="15.75" customHeight="1" x14ac:dyDescent="0.3">
      <c r="D868" s="11"/>
    </row>
    <row r="869" spans="4:4" ht="15.75" customHeight="1" x14ac:dyDescent="0.3">
      <c r="D869" s="11"/>
    </row>
    <row r="870" spans="4:4" ht="15.75" customHeight="1" x14ac:dyDescent="0.3">
      <c r="D870" s="11"/>
    </row>
    <row r="871" spans="4:4" ht="15.75" customHeight="1" x14ac:dyDescent="0.3">
      <c r="D871" s="11"/>
    </row>
    <row r="872" spans="4:4" ht="15.75" customHeight="1" x14ac:dyDescent="0.3">
      <c r="D872" s="11"/>
    </row>
    <row r="873" spans="4:4" ht="15.75" customHeight="1" x14ac:dyDescent="0.3">
      <c r="D873" s="11"/>
    </row>
    <row r="874" spans="4:4" ht="15.75" customHeight="1" x14ac:dyDescent="0.3">
      <c r="D874" s="11"/>
    </row>
    <row r="875" spans="4:4" ht="15.75" customHeight="1" x14ac:dyDescent="0.3">
      <c r="D875" s="11"/>
    </row>
    <row r="876" spans="4:4" ht="15.75" customHeight="1" x14ac:dyDescent="0.3">
      <c r="D876" s="11"/>
    </row>
    <row r="877" spans="4:4" ht="15.75" customHeight="1" x14ac:dyDescent="0.3">
      <c r="D877" s="11"/>
    </row>
    <row r="878" spans="4:4" ht="15.75" customHeight="1" x14ac:dyDescent="0.3">
      <c r="D878" s="11"/>
    </row>
    <row r="879" spans="4:4" ht="15.75" customHeight="1" x14ac:dyDescent="0.3">
      <c r="D879" s="11"/>
    </row>
    <row r="880" spans="4:4" ht="15.75" customHeight="1" x14ac:dyDescent="0.3">
      <c r="D880" s="11"/>
    </row>
    <row r="881" spans="4:4" ht="15.75" customHeight="1" x14ac:dyDescent="0.3">
      <c r="D881" s="11"/>
    </row>
    <row r="882" spans="4:4" ht="15.75" customHeight="1" x14ac:dyDescent="0.3">
      <c r="D882" s="11"/>
    </row>
    <row r="883" spans="4:4" ht="15.75" customHeight="1" x14ac:dyDescent="0.3">
      <c r="D883" s="11"/>
    </row>
    <row r="884" spans="4:4" ht="15.75" customHeight="1" x14ac:dyDescent="0.3">
      <c r="D884" s="11"/>
    </row>
    <row r="885" spans="4:4" ht="15.75" customHeight="1" x14ac:dyDescent="0.3">
      <c r="D885" s="11"/>
    </row>
    <row r="886" spans="4:4" ht="15.75" customHeight="1" x14ac:dyDescent="0.3">
      <c r="D886" s="11"/>
    </row>
    <row r="887" spans="4:4" ht="15.75" customHeight="1" x14ac:dyDescent="0.3">
      <c r="D887" s="11"/>
    </row>
    <row r="888" spans="4:4" ht="15.75" customHeight="1" x14ac:dyDescent="0.3">
      <c r="D888" s="11"/>
    </row>
    <row r="889" spans="4:4" ht="15.75" customHeight="1" x14ac:dyDescent="0.3">
      <c r="D889" s="11"/>
    </row>
    <row r="890" spans="4:4" ht="15.75" customHeight="1" x14ac:dyDescent="0.3">
      <c r="D890" s="11"/>
    </row>
    <row r="891" spans="4:4" ht="15.75" customHeight="1" x14ac:dyDescent="0.3">
      <c r="D891" s="11"/>
    </row>
    <row r="892" spans="4:4" ht="15.75" customHeight="1" x14ac:dyDescent="0.3">
      <c r="D892" s="11"/>
    </row>
    <row r="893" spans="4:4" ht="15.75" customHeight="1" x14ac:dyDescent="0.3">
      <c r="D893" s="11"/>
    </row>
    <row r="894" spans="4:4" ht="15.75" customHeight="1" x14ac:dyDescent="0.3">
      <c r="D894" s="11"/>
    </row>
    <row r="895" spans="4:4" ht="15.75" customHeight="1" x14ac:dyDescent="0.3">
      <c r="D895" s="11"/>
    </row>
    <row r="896" spans="4:4" ht="15.75" customHeight="1" x14ac:dyDescent="0.3">
      <c r="D896" s="11"/>
    </row>
    <row r="897" spans="4:4" ht="15.75" customHeight="1" x14ac:dyDescent="0.3">
      <c r="D897" s="11"/>
    </row>
    <row r="898" spans="4:4" ht="15.75" customHeight="1" x14ac:dyDescent="0.3">
      <c r="D898" s="11"/>
    </row>
    <row r="899" spans="4:4" ht="15.75" customHeight="1" x14ac:dyDescent="0.3">
      <c r="D899" s="11"/>
    </row>
    <row r="900" spans="4:4" ht="15.75" customHeight="1" x14ac:dyDescent="0.3">
      <c r="D900" s="11"/>
    </row>
    <row r="901" spans="4:4" ht="15.75" customHeight="1" x14ac:dyDescent="0.3">
      <c r="D901" s="11"/>
    </row>
    <row r="902" spans="4:4" ht="15.75" customHeight="1" x14ac:dyDescent="0.3">
      <c r="D902" s="11"/>
    </row>
    <row r="903" spans="4:4" ht="15.75" customHeight="1" x14ac:dyDescent="0.3">
      <c r="D903" s="11"/>
    </row>
    <row r="904" spans="4:4" ht="15.75" customHeight="1" x14ac:dyDescent="0.3">
      <c r="D904" s="11"/>
    </row>
    <row r="905" spans="4:4" ht="15.75" customHeight="1" x14ac:dyDescent="0.3">
      <c r="D905" s="11"/>
    </row>
    <row r="906" spans="4:4" ht="15.75" customHeight="1" x14ac:dyDescent="0.3">
      <c r="D906" s="11"/>
    </row>
    <row r="907" spans="4:4" ht="15.75" customHeight="1" x14ac:dyDescent="0.3">
      <c r="D907" s="11"/>
    </row>
    <row r="908" spans="4:4" ht="15.75" customHeight="1" x14ac:dyDescent="0.3">
      <c r="D908" s="11"/>
    </row>
    <row r="909" spans="4:4" ht="15.75" customHeight="1" x14ac:dyDescent="0.3">
      <c r="D909" s="11"/>
    </row>
    <row r="910" spans="4:4" ht="15.75" customHeight="1" x14ac:dyDescent="0.3">
      <c r="D910" s="11"/>
    </row>
    <row r="911" spans="4:4" ht="15.75" customHeight="1" x14ac:dyDescent="0.3">
      <c r="D911" s="11"/>
    </row>
    <row r="912" spans="4:4" ht="15.75" customHeight="1" x14ac:dyDescent="0.3">
      <c r="D912" s="11"/>
    </row>
    <row r="913" spans="4:4" ht="15.75" customHeight="1" x14ac:dyDescent="0.3">
      <c r="D913" s="11"/>
    </row>
    <row r="914" spans="4:4" ht="15.75" customHeight="1" x14ac:dyDescent="0.3">
      <c r="D914" s="11"/>
    </row>
    <row r="915" spans="4:4" ht="15.75" customHeight="1" x14ac:dyDescent="0.3">
      <c r="D915" s="11"/>
    </row>
    <row r="916" spans="4:4" ht="15.75" customHeight="1" x14ac:dyDescent="0.3">
      <c r="D916" s="11"/>
    </row>
    <row r="917" spans="4:4" ht="15.75" customHeight="1" x14ac:dyDescent="0.3">
      <c r="D917" s="11"/>
    </row>
    <row r="918" spans="4:4" ht="15.75" customHeight="1" x14ac:dyDescent="0.3">
      <c r="D918" s="11"/>
    </row>
    <row r="919" spans="4:4" ht="15.75" customHeight="1" x14ac:dyDescent="0.3">
      <c r="D919" s="11"/>
    </row>
    <row r="920" spans="4:4" ht="15.75" customHeight="1" x14ac:dyDescent="0.3">
      <c r="D920" s="11"/>
    </row>
    <row r="921" spans="4:4" ht="15.75" customHeight="1" x14ac:dyDescent="0.3">
      <c r="D921" s="11"/>
    </row>
    <row r="922" spans="4:4" ht="15.75" customHeight="1" x14ac:dyDescent="0.3">
      <c r="D922" s="11"/>
    </row>
    <row r="923" spans="4:4" ht="15.75" customHeight="1" x14ac:dyDescent="0.3">
      <c r="D923" s="11"/>
    </row>
    <row r="924" spans="4:4" ht="15.75" customHeight="1" x14ac:dyDescent="0.3">
      <c r="D924" s="11"/>
    </row>
    <row r="925" spans="4:4" ht="15.75" customHeight="1" x14ac:dyDescent="0.3">
      <c r="D925" s="11"/>
    </row>
    <row r="926" spans="4:4" ht="15.75" customHeight="1" x14ac:dyDescent="0.3">
      <c r="D926" s="11"/>
    </row>
    <row r="927" spans="4:4" ht="15.75" customHeight="1" x14ac:dyDescent="0.3">
      <c r="D927" s="11"/>
    </row>
    <row r="928" spans="4:4" ht="15.75" customHeight="1" x14ac:dyDescent="0.3">
      <c r="D928" s="11"/>
    </row>
    <row r="929" spans="4:4" ht="15.75" customHeight="1" x14ac:dyDescent="0.3">
      <c r="D929" s="11"/>
    </row>
    <row r="930" spans="4:4" ht="15.75" customHeight="1" x14ac:dyDescent="0.3">
      <c r="D930" s="11"/>
    </row>
    <row r="931" spans="4:4" ht="15.75" customHeight="1" x14ac:dyDescent="0.3">
      <c r="D931" s="11"/>
    </row>
    <row r="932" spans="4:4" ht="15.75" customHeight="1" x14ac:dyDescent="0.3">
      <c r="D932" s="11"/>
    </row>
    <row r="933" spans="4:4" ht="15.75" customHeight="1" x14ac:dyDescent="0.3">
      <c r="D933" s="11"/>
    </row>
    <row r="934" spans="4:4" ht="15.75" customHeight="1" x14ac:dyDescent="0.3">
      <c r="D934" s="11"/>
    </row>
    <row r="935" spans="4:4" ht="15.75" customHeight="1" x14ac:dyDescent="0.3">
      <c r="D935" s="11"/>
    </row>
    <row r="936" spans="4:4" ht="15.75" customHeight="1" x14ac:dyDescent="0.3">
      <c r="D936" s="11"/>
    </row>
    <row r="937" spans="4:4" ht="15.75" customHeight="1" x14ac:dyDescent="0.3">
      <c r="D937" s="11"/>
    </row>
    <row r="938" spans="4:4" ht="15.75" customHeight="1" x14ac:dyDescent="0.3">
      <c r="D938" s="11"/>
    </row>
    <row r="939" spans="4:4" ht="15.75" customHeight="1" x14ac:dyDescent="0.3">
      <c r="D939" s="11"/>
    </row>
    <row r="940" spans="4:4" ht="15.75" customHeight="1" x14ac:dyDescent="0.3">
      <c r="D940" s="11"/>
    </row>
    <row r="941" spans="4:4" ht="15.75" customHeight="1" x14ac:dyDescent="0.3">
      <c r="D941" s="11"/>
    </row>
    <row r="942" spans="4:4" ht="15.75" customHeight="1" x14ac:dyDescent="0.3">
      <c r="D942" s="11"/>
    </row>
    <row r="943" spans="4:4" ht="15.75" customHeight="1" x14ac:dyDescent="0.3">
      <c r="D943" s="11"/>
    </row>
    <row r="944" spans="4:4" ht="15.75" customHeight="1" x14ac:dyDescent="0.3">
      <c r="D944" s="11"/>
    </row>
    <row r="945" spans="4:4" ht="15.75" customHeight="1" x14ac:dyDescent="0.3">
      <c r="D945" s="11"/>
    </row>
    <row r="946" spans="4:4" ht="15.75" customHeight="1" x14ac:dyDescent="0.3">
      <c r="D946" s="11"/>
    </row>
    <row r="947" spans="4:4" ht="15.75" customHeight="1" x14ac:dyDescent="0.3">
      <c r="D947" s="11"/>
    </row>
    <row r="948" spans="4:4" ht="15.75" customHeight="1" x14ac:dyDescent="0.3">
      <c r="D948" s="11"/>
    </row>
    <row r="949" spans="4:4" ht="15.75" customHeight="1" x14ac:dyDescent="0.3">
      <c r="D949" s="11"/>
    </row>
    <row r="950" spans="4:4" ht="15.75" customHeight="1" x14ac:dyDescent="0.3">
      <c r="D950" s="11"/>
    </row>
    <row r="951" spans="4:4" ht="15.75" customHeight="1" x14ac:dyDescent="0.3">
      <c r="D951" s="11"/>
    </row>
    <row r="952" spans="4:4" ht="15.75" customHeight="1" x14ac:dyDescent="0.3">
      <c r="D952" s="11"/>
    </row>
    <row r="953" spans="4:4" ht="15.75" customHeight="1" x14ac:dyDescent="0.3">
      <c r="D953" s="11"/>
    </row>
    <row r="954" spans="4:4" ht="15.75" customHeight="1" x14ac:dyDescent="0.3">
      <c r="D954" s="11"/>
    </row>
    <row r="955" spans="4:4" ht="15.75" customHeight="1" x14ac:dyDescent="0.3">
      <c r="D955" s="11"/>
    </row>
    <row r="956" spans="4:4" ht="15.75" customHeight="1" x14ac:dyDescent="0.3">
      <c r="D956" s="11"/>
    </row>
    <row r="957" spans="4:4" ht="15.75" customHeight="1" x14ac:dyDescent="0.3">
      <c r="D957" s="11"/>
    </row>
    <row r="958" spans="4:4" ht="15.75" customHeight="1" x14ac:dyDescent="0.3">
      <c r="D958" s="11"/>
    </row>
    <row r="959" spans="4:4" ht="15.75" customHeight="1" x14ac:dyDescent="0.3">
      <c r="D959" s="11"/>
    </row>
    <row r="960" spans="4:4" ht="15.75" customHeight="1" x14ac:dyDescent="0.3">
      <c r="D960" s="11"/>
    </row>
    <row r="961" spans="4:4" ht="15.75" customHeight="1" x14ac:dyDescent="0.3">
      <c r="D961" s="11"/>
    </row>
    <row r="962" spans="4:4" ht="15.75" customHeight="1" x14ac:dyDescent="0.3">
      <c r="D962" s="11"/>
    </row>
    <row r="963" spans="4:4" ht="15.75" customHeight="1" x14ac:dyDescent="0.3">
      <c r="D963" s="11"/>
    </row>
    <row r="964" spans="4:4" ht="15.75" customHeight="1" x14ac:dyDescent="0.3">
      <c r="D964" s="11"/>
    </row>
    <row r="965" spans="4:4" ht="15.75" customHeight="1" x14ac:dyDescent="0.3">
      <c r="D965" s="11"/>
    </row>
    <row r="966" spans="4:4" ht="15.75" customHeight="1" x14ac:dyDescent="0.3">
      <c r="D966" s="11"/>
    </row>
    <row r="967" spans="4:4" ht="15.75" customHeight="1" x14ac:dyDescent="0.3">
      <c r="D967" s="11"/>
    </row>
    <row r="968" spans="4:4" ht="15.75" customHeight="1" x14ac:dyDescent="0.3">
      <c r="D968" s="11"/>
    </row>
    <row r="969" spans="4:4" ht="15.75" customHeight="1" x14ac:dyDescent="0.3">
      <c r="D969" s="11"/>
    </row>
    <row r="970" spans="4:4" ht="15.75" customHeight="1" x14ac:dyDescent="0.3">
      <c r="D970" s="11"/>
    </row>
    <row r="971" spans="4:4" ht="15.75" customHeight="1" x14ac:dyDescent="0.3">
      <c r="D971" s="11"/>
    </row>
    <row r="972" spans="4:4" ht="15.75" customHeight="1" x14ac:dyDescent="0.3">
      <c r="D972" s="11"/>
    </row>
    <row r="973" spans="4:4" ht="15.75" customHeight="1" x14ac:dyDescent="0.3">
      <c r="D973" s="11"/>
    </row>
    <row r="974" spans="4:4" ht="15.75" customHeight="1" x14ac:dyDescent="0.3">
      <c r="D974" s="11"/>
    </row>
    <row r="975" spans="4:4" ht="15.75" customHeight="1" x14ac:dyDescent="0.3">
      <c r="D975" s="11"/>
    </row>
    <row r="976" spans="4:4" ht="15.75" customHeight="1" x14ac:dyDescent="0.3">
      <c r="D976" s="11"/>
    </row>
    <row r="977" spans="4:4" ht="15.75" customHeight="1" x14ac:dyDescent="0.3">
      <c r="D977" s="11"/>
    </row>
    <row r="978" spans="4:4" ht="15.75" customHeight="1" x14ac:dyDescent="0.3">
      <c r="D978" s="11"/>
    </row>
    <row r="979" spans="4:4" ht="15.75" customHeight="1" x14ac:dyDescent="0.3">
      <c r="D979" s="11"/>
    </row>
    <row r="980" spans="4:4" ht="15.75" customHeight="1" x14ac:dyDescent="0.3">
      <c r="D980" s="11"/>
    </row>
    <row r="981" spans="4:4" ht="15.75" customHeight="1" x14ac:dyDescent="0.3">
      <c r="D981" s="11"/>
    </row>
    <row r="982" spans="4:4" ht="15.75" customHeight="1" x14ac:dyDescent="0.3">
      <c r="D982" s="11"/>
    </row>
    <row r="983" spans="4:4" ht="15.75" customHeight="1" x14ac:dyDescent="0.3">
      <c r="D983" s="11"/>
    </row>
    <row r="984" spans="4:4" ht="15.75" customHeight="1" x14ac:dyDescent="0.3">
      <c r="D984" s="11"/>
    </row>
    <row r="985" spans="4:4" ht="15.75" customHeight="1" x14ac:dyDescent="0.3">
      <c r="D985" s="11"/>
    </row>
    <row r="986" spans="4:4" ht="15.75" customHeight="1" x14ac:dyDescent="0.3">
      <c r="D986" s="11"/>
    </row>
    <row r="987" spans="4:4" ht="15.75" customHeight="1" x14ac:dyDescent="0.3">
      <c r="D987" s="11"/>
    </row>
    <row r="988" spans="4:4" ht="15.75" customHeight="1" x14ac:dyDescent="0.3">
      <c r="D988" s="11"/>
    </row>
    <row r="989" spans="4:4" ht="15.75" customHeight="1" x14ac:dyDescent="0.3">
      <c r="D989" s="11"/>
    </row>
    <row r="990" spans="4:4" ht="15.75" customHeight="1" x14ac:dyDescent="0.3">
      <c r="D990" s="11"/>
    </row>
    <row r="991" spans="4:4" ht="15.75" customHeight="1" x14ac:dyDescent="0.3">
      <c r="D991" s="11"/>
    </row>
    <row r="992" spans="4:4" ht="15.75" customHeight="1" x14ac:dyDescent="0.3">
      <c r="D992" s="11"/>
    </row>
    <row r="993" spans="4:4" ht="15.75" customHeight="1" x14ac:dyDescent="0.3">
      <c r="D993" s="11"/>
    </row>
    <row r="994" spans="4:4" ht="15.75" customHeight="1" x14ac:dyDescent="0.3">
      <c r="D994" s="11"/>
    </row>
    <row r="995" spans="4:4" ht="15.75" customHeight="1" x14ac:dyDescent="0.3">
      <c r="D995" s="11"/>
    </row>
    <row r="996" spans="4:4" ht="15.75" customHeight="1" x14ac:dyDescent="0.3">
      <c r="D996" s="11"/>
    </row>
    <row r="997" spans="4:4" ht="15.75" customHeight="1" x14ac:dyDescent="0.3">
      <c r="D997" s="11"/>
    </row>
    <row r="998" spans="4:4" ht="15.75" customHeight="1" x14ac:dyDescent="0.3">
      <c r="D998" s="11"/>
    </row>
    <row r="999" spans="4:4" ht="15.75" customHeight="1" x14ac:dyDescent="0.3">
      <c r="D999" s="11"/>
    </row>
    <row r="1000" spans="4:4" ht="15.75" customHeight="1" x14ac:dyDescent="0.3">
      <c r="D1000" s="11"/>
    </row>
  </sheetData>
  <mergeCells count="2">
    <mergeCell ref="A3:B3"/>
    <mergeCell ref="A4:C4"/>
  </mergeCells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workbookViewId="0">
      <selection activeCell="G43" sqref="G43"/>
    </sheetView>
  </sheetViews>
  <sheetFormatPr defaultColWidth="14.44140625" defaultRowHeight="15" customHeight="1" x14ac:dyDescent="0.3"/>
  <cols>
    <col min="1" max="1" width="6" customWidth="1"/>
    <col min="2" max="3" width="2" customWidth="1"/>
    <col min="4" max="4" width="2.33203125" customWidth="1"/>
    <col min="5" max="6" width="14.109375" customWidth="1"/>
    <col min="7" max="7" width="15.109375" customWidth="1"/>
    <col min="8" max="8" width="9" customWidth="1"/>
    <col min="9" max="9" width="1.33203125" customWidth="1"/>
    <col min="10" max="12" width="14.109375" customWidth="1"/>
    <col min="13" max="13" width="9" customWidth="1"/>
    <col min="14" max="14" width="1.33203125" customWidth="1"/>
    <col min="15" max="16" width="13.109375" customWidth="1"/>
    <col min="17" max="17" width="14.109375" customWidth="1"/>
    <col min="18" max="18" width="8" customWidth="1"/>
    <col min="19" max="19" width="1.33203125" customWidth="1"/>
    <col min="20" max="20" width="14.109375" customWidth="1"/>
  </cols>
  <sheetData>
    <row r="1" spans="1:20" ht="11.25" customHeight="1" x14ac:dyDescent="0.3">
      <c r="A1" s="185" t="s">
        <v>224</v>
      </c>
      <c r="B1" s="186" t="s">
        <v>225</v>
      </c>
      <c r="C1" s="187" t="s">
        <v>226</v>
      </c>
      <c r="D1" s="188"/>
      <c r="E1" s="189" t="s">
        <v>227</v>
      </c>
      <c r="F1" s="190" t="s">
        <v>228</v>
      </c>
      <c r="G1" s="191" t="s">
        <v>229</v>
      </c>
      <c r="H1" s="192" t="s">
        <v>230</v>
      </c>
      <c r="I1" s="193"/>
      <c r="J1" s="194" t="s">
        <v>231</v>
      </c>
      <c r="K1" s="195" t="s">
        <v>232</v>
      </c>
      <c r="L1" s="196" t="s">
        <v>229</v>
      </c>
      <c r="M1" s="197" t="s">
        <v>233</v>
      </c>
      <c r="N1" s="198"/>
      <c r="O1" s="199" t="s">
        <v>234</v>
      </c>
      <c r="P1" s="200" t="s">
        <v>235</v>
      </c>
      <c r="Q1" s="201" t="s">
        <v>229</v>
      </c>
      <c r="R1" s="198"/>
      <c r="S1" s="193"/>
      <c r="T1" s="198"/>
    </row>
    <row r="2" spans="1:20" ht="11.25" customHeight="1" x14ac:dyDescent="0.3">
      <c r="A2" s="202" t="s">
        <v>236</v>
      </c>
      <c r="B2" s="203">
        <v>2</v>
      </c>
      <c r="C2" s="204">
        <v>2</v>
      </c>
      <c r="D2" s="188" t="s">
        <v>287</v>
      </c>
      <c r="E2" s="205">
        <f>(B2*'Proposed Budget'!$O$68)+(C2*'Proposed Budget'!$O$44)+'Proposed Budget'!$L$21+'Proposed Budget'!$L$22</f>
        <v>16719.636254326666</v>
      </c>
      <c r="F2" s="206">
        <f>SUM('Monthly Breakdown'!I49:I52)</f>
        <v>15639.36</v>
      </c>
      <c r="G2" s="207">
        <f t="shared" ref="G2:G13" si="0">F2-E2</f>
        <v>-1080.2762543266654</v>
      </c>
      <c r="H2" s="208">
        <f t="shared" ref="H2:H13" si="1">((F2-E2)/E2)</f>
        <v>-6.4611229448673813E-2</v>
      </c>
      <c r="I2" s="198"/>
      <c r="J2" s="209">
        <f t="shared" ref="J2:K2" si="2">SUM(O20,E20,J20)</f>
        <v>13000</v>
      </c>
      <c r="K2" s="210">
        <f t="shared" si="2"/>
        <v>12394.720000000001</v>
      </c>
      <c r="L2" s="211">
        <f t="shared" ref="L2:L13" si="3">J2-K2</f>
        <v>605.27999999999884</v>
      </c>
      <c r="M2" s="212">
        <f t="shared" ref="M2:M13" si="4">((K2-J2)/J2)</f>
        <v>-4.6559999999999907E-2</v>
      </c>
      <c r="N2" s="198"/>
      <c r="O2" s="213">
        <f t="shared" ref="O2:O13" si="5">E2-O20-E20-J20</f>
        <v>3719.6362543266659</v>
      </c>
      <c r="P2" s="214">
        <f>SUM('Monthly Breakdown'!I45:I46)</f>
        <v>3244.64</v>
      </c>
      <c r="Q2" s="215">
        <f t="shared" ref="Q2:Q13" si="6">P2-O2</f>
        <v>-474.99625432666608</v>
      </c>
      <c r="R2" s="198"/>
      <c r="S2" s="198"/>
      <c r="T2" s="198">
        <f t="shared" ref="T2:T13" si="7">F2-K2-P2</f>
        <v>0</v>
      </c>
    </row>
    <row r="3" spans="1:20" ht="11.25" customHeight="1" x14ac:dyDescent="0.3">
      <c r="A3" s="202" t="s">
        <v>237</v>
      </c>
      <c r="B3" s="203">
        <v>2</v>
      </c>
      <c r="C3" s="204">
        <v>2</v>
      </c>
      <c r="D3" s="188" t="s">
        <v>287</v>
      </c>
      <c r="E3" s="205">
        <f>(B3*'Proposed Budget'!$O$68)+(C3*'Proposed Budget'!$O$44)+'Proposed Budget'!$L$21+'Proposed Budget'!$L$22</f>
        <v>16719.636254326666</v>
      </c>
      <c r="F3" s="206">
        <f>SUM('Monthly Breakdown'!K49:K52)</f>
        <v>16615.62</v>
      </c>
      <c r="G3" s="207">
        <f t="shared" si="0"/>
        <v>-104.01625432666697</v>
      </c>
      <c r="H3" s="208">
        <f t="shared" si="1"/>
        <v>-6.221203185550756E-3</v>
      </c>
      <c r="I3" s="198"/>
      <c r="J3" s="209">
        <f t="shared" ref="J3:K3" si="8">SUM(O21,E21,J21)</f>
        <v>13000</v>
      </c>
      <c r="K3" s="210">
        <f t="shared" si="8"/>
        <v>12800.71</v>
      </c>
      <c r="L3" s="211">
        <f t="shared" si="3"/>
        <v>199.29000000000087</v>
      </c>
      <c r="M3" s="212">
        <f t="shared" si="4"/>
        <v>-1.5330000000000068E-2</v>
      </c>
      <c r="N3" s="198"/>
      <c r="O3" s="213">
        <f t="shared" si="5"/>
        <v>3719.6362543266659</v>
      </c>
      <c r="P3" s="214">
        <f>SUM('Monthly Breakdown'!K45:K46)</f>
        <v>3814.91</v>
      </c>
      <c r="Q3" s="215">
        <f t="shared" si="6"/>
        <v>95.273745673333906</v>
      </c>
      <c r="R3" s="198"/>
      <c r="S3" s="198"/>
      <c r="T3" s="198">
        <f t="shared" si="7"/>
        <v>0</v>
      </c>
    </row>
    <row r="4" spans="1:20" ht="11.25" customHeight="1" x14ac:dyDescent="0.3">
      <c r="A4" s="202" t="s">
        <v>238</v>
      </c>
      <c r="B4" s="203">
        <v>2</v>
      </c>
      <c r="C4" s="204">
        <v>2</v>
      </c>
      <c r="D4" s="188" t="s">
        <v>287</v>
      </c>
      <c r="E4" s="205">
        <f>(B4*'Proposed Budget'!$O$68)+(C4*'Proposed Budget'!$O$44)+'Proposed Budget'!$L$21+'Proposed Budget'!$L$22</f>
        <v>16719.636254326666</v>
      </c>
      <c r="F4" s="206">
        <f>SUM('Monthly Breakdown'!M49:M52)</f>
        <v>16971.29</v>
      </c>
      <c r="G4" s="207">
        <f t="shared" si="0"/>
        <v>251.65374567333492</v>
      </c>
      <c r="H4" s="208">
        <f t="shared" si="1"/>
        <v>1.5051388788928503E-2</v>
      </c>
      <c r="I4" s="198"/>
      <c r="J4" s="209">
        <f t="shared" ref="J4:K4" si="9">SUM(O22,E22,J22)</f>
        <v>13000</v>
      </c>
      <c r="K4" s="210">
        <f t="shared" si="9"/>
        <v>12611.71</v>
      </c>
      <c r="L4" s="211">
        <f t="shared" si="3"/>
        <v>388.29000000000087</v>
      </c>
      <c r="M4" s="212">
        <f t="shared" si="4"/>
        <v>-2.9868461538461604E-2</v>
      </c>
      <c r="N4" s="198"/>
      <c r="O4" s="213">
        <f t="shared" si="5"/>
        <v>3719.6362543266659</v>
      </c>
      <c r="P4" s="214">
        <f>SUM('Monthly Breakdown'!M45:M46)</f>
        <v>4359.58</v>
      </c>
      <c r="Q4" s="215">
        <f t="shared" si="6"/>
        <v>639.94374567333398</v>
      </c>
      <c r="R4" s="198"/>
      <c r="S4" s="198"/>
      <c r="T4" s="198">
        <f t="shared" si="7"/>
        <v>0</v>
      </c>
    </row>
    <row r="5" spans="1:20" ht="11.25" customHeight="1" x14ac:dyDescent="0.3">
      <c r="A5" s="202" t="s">
        <v>239</v>
      </c>
      <c r="B5" s="203">
        <v>2</v>
      </c>
      <c r="C5" s="204">
        <v>3</v>
      </c>
      <c r="D5" s="188" t="s">
        <v>287</v>
      </c>
      <c r="E5" s="205">
        <f>(B5*'Proposed Budget'!$O$68)+(C5*'Proposed Budget'!$O$44)+'Proposed Budget'!$L$21+'Proposed Budget'!$L$22</f>
        <v>19483.419759326665</v>
      </c>
      <c r="F5" s="206">
        <f>SUM('Monthly Breakdown'!O49:O52)</f>
        <v>18875.669999999998</v>
      </c>
      <c r="G5" s="207">
        <f t="shared" si="0"/>
        <v>-607.74975932666712</v>
      </c>
      <c r="H5" s="208">
        <f t="shared" si="1"/>
        <v>-3.1193176908059932E-2</v>
      </c>
      <c r="I5" s="198"/>
      <c r="J5" s="209">
        <f t="shared" ref="J5:K5" si="10">SUM(O23,E23,J23)</f>
        <v>13000</v>
      </c>
      <c r="K5" s="210">
        <f t="shared" si="10"/>
        <v>13208.85</v>
      </c>
      <c r="L5" s="211">
        <f t="shared" si="3"/>
        <v>-208.85000000000036</v>
      </c>
      <c r="M5" s="212">
        <f t="shared" si="4"/>
        <v>1.6065384615384645E-2</v>
      </c>
      <c r="N5" s="198"/>
      <c r="O5" s="213">
        <f t="shared" si="5"/>
        <v>6483.4197593266654</v>
      </c>
      <c r="P5" s="214">
        <f>SUM('Monthly Breakdown'!O45:O46)</f>
        <v>5666.82</v>
      </c>
      <c r="Q5" s="215">
        <f t="shared" si="6"/>
        <v>-816.59975932666566</v>
      </c>
      <c r="R5" s="198"/>
      <c r="S5" s="198"/>
      <c r="T5" s="198">
        <f t="shared" si="7"/>
        <v>0</v>
      </c>
    </row>
    <row r="6" spans="1:20" ht="11.25" customHeight="1" x14ac:dyDescent="0.3">
      <c r="A6" s="202" t="s">
        <v>240</v>
      </c>
      <c r="B6" s="203">
        <v>2</v>
      </c>
      <c r="C6" s="204">
        <v>2</v>
      </c>
      <c r="D6" s="188" t="s">
        <v>287</v>
      </c>
      <c r="E6" s="205">
        <f>(B6*'Proposed Budget'!$O$68)+(C6*'Proposed Budget'!$O$44)+'Proposed Budget'!$L$21+'Proposed Budget'!$L$22</f>
        <v>16719.636254326666</v>
      </c>
      <c r="F6" s="206">
        <f>SUM('Monthly Breakdown'!Q49:Q52)</f>
        <v>14973.2</v>
      </c>
      <c r="G6" s="207">
        <f t="shared" si="0"/>
        <v>-1746.4362543266652</v>
      </c>
      <c r="H6" s="208">
        <f t="shared" si="1"/>
        <v>-0.10445420150062934</v>
      </c>
      <c r="I6" s="198"/>
      <c r="J6" s="209">
        <f t="shared" ref="J6:K6" si="11">SUM(O24,E24,J24)</f>
        <v>13000</v>
      </c>
      <c r="K6" s="210">
        <f t="shared" si="11"/>
        <v>13762.84</v>
      </c>
      <c r="L6" s="211">
        <f t="shared" si="3"/>
        <v>-762.84000000000015</v>
      </c>
      <c r="M6" s="212">
        <f t="shared" si="4"/>
        <v>5.868000000000001E-2</v>
      </c>
      <c r="N6" s="198"/>
      <c r="O6" s="213">
        <f t="shared" si="5"/>
        <v>3719.6362543266659</v>
      </c>
      <c r="P6" s="214">
        <f>SUM('Monthly Breakdown'!Q45:Q46)</f>
        <v>1210.3599999999999</v>
      </c>
      <c r="Q6" s="215">
        <f t="shared" si="6"/>
        <v>-2509.2762543266663</v>
      </c>
      <c r="R6" s="198"/>
      <c r="S6" s="198"/>
      <c r="T6" s="198">
        <f t="shared" si="7"/>
        <v>0</v>
      </c>
    </row>
    <row r="7" spans="1:20" ht="11.25" customHeight="1" x14ac:dyDescent="0.3">
      <c r="A7" s="202" t="s">
        <v>241</v>
      </c>
      <c r="B7" s="203">
        <v>2</v>
      </c>
      <c r="C7" s="204">
        <v>2</v>
      </c>
      <c r="D7" s="188" t="s">
        <v>287</v>
      </c>
      <c r="E7" s="205">
        <f>(B7*'Proposed Budget'!$O$68)+(C7*'Proposed Budget'!$O$44)+'Proposed Budget'!$L$21+'Proposed Budget'!$L$22</f>
        <v>16719.636254326666</v>
      </c>
      <c r="F7" s="206">
        <f>SUM('Monthly Breakdown'!S49:S52)</f>
        <v>17750.78</v>
      </c>
      <c r="G7" s="207">
        <f t="shared" si="0"/>
        <v>1031.1437456733329</v>
      </c>
      <c r="H7" s="208">
        <f t="shared" si="1"/>
        <v>6.1672618350563459E-2</v>
      </c>
      <c r="I7" s="198"/>
      <c r="J7" s="209">
        <f t="shared" ref="J7:K7" si="12">SUM(O25,E25,J25)</f>
        <v>13000</v>
      </c>
      <c r="K7" s="210">
        <f t="shared" si="12"/>
        <v>11213.62</v>
      </c>
      <c r="L7" s="211">
        <f t="shared" si="3"/>
        <v>1786.3799999999992</v>
      </c>
      <c r="M7" s="212">
        <f t="shared" si="4"/>
        <v>-0.13741384615384608</v>
      </c>
      <c r="N7" s="198"/>
      <c r="O7" s="213">
        <f t="shared" si="5"/>
        <v>3719.6362543266659</v>
      </c>
      <c r="P7" s="214">
        <f>SUM('Monthly Breakdown'!S45:S46)</f>
        <v>6537.16</v>
      </c>
      <c r="Q7" s="215">
        <f t="shared" si="6"/>
        <v>2817.5237456733339</v>
      </c>
      <c r="R7" s="198"/>
      <c r="S7" s="198"/>
      <c r="T7" s="198">
        <f t="shared" si="7"/>
        <v>0</v>
      </c>
    </row>
    <row r="8" spans="1:20" ht="11.25" customHeight="1" x14ac:dyDescent="0.3">
      <c r="A8" s="202" t="s">
        <v>242</v>
      </c>
      <c r="B8" s="203">
        <v>2</v>
      </c>
      <c r="C8" s="204">
        <v>2</v>
      </c>
      <c r="D8" s="188" t="s">
        <v>287</v>
      </c>
      <c r="E8" s="205">
        <f>(B8*'Proposed Budget'!$O$68)+(C8*'Proposed Budget'!$O$44)+'Proposed Budget'!$L$21+'Proposed Budget'!$L$22</f>
        <v>16719.636254326666</v>
      </c>
      <c r="F8" s="206">
        <f>SUM('Monthly Breakdown'!U49:U52)</f>
        <v>20061.940000000002</v>
      </c>
      <c r="G8" s="207">
        <f t="shared" si="0"/>
        <v>3342.3037456733364</v>
      </c>
      <c r="H8" s="208">
        <f t="shared" si="1"/>
        <v>0.19990289829471758</v>
      </c>
      <c r="I8" s="198"/>
      <c r="J8" s="209">
        <f t="shared" ref="J8:K8" si="13">SUM(O26,E26,J26)</f>
        <v>13000</v>
      </c>
      <c r="K8" s="210">
        <f t="shared" si="13"/>
        <v>11265.67</v>
      </c>
      <c r="L8" s="211">
        <f t="shared" si="3"/>
        <v>1734.33</v>
      </c>
      <c r="M8" s="212">
        <f t="shared" si="4"/>
        <v>-0.13341</v>
      </c>
      <c r="N8" s="198"/>
      <c r="O8" s="213">
        <f t="shared" si="5"/>
        <v>3719.6362543266659</v>
      </c>
      <c r="P8" s="214">
        <f>SUM('Monthly Breakdown'!U45:U46)</f>
        <v>8796.27</v>
      </c>
      <c r="Q8" s="215">
        <f t="shared" si="6"/>
        <v>5076.6337456733345</v>
      </c>
      <c r="R8" s="198"/>
      <c r="S8" s="198"/>
      <c r="T8" s="198">
        <f t="shared" si="7"/>
        <v>0</v>
      </c>
    </row>
    <row r="9" spans="1:20" ht="11.25" customHeight="1" x14ac:dyDescent="0.3">
      <c r="A9" s="202" t="s">
        <v>243</v>
      </c>
      <c r="B9" s="203">
        <v>2</v>
      </c>
      <c r="C9" s="204">
        <v>2</v>
      </c>
      <c r="D9" s="188"/>
      <c r="E9" s="205">
        <f>(B9*'Proposed Budget'!$O$68)+(C9*'Proposed Budget'!$O$44)+'Proposed Budget'!$L$21+'Proposed Budget'!$L$22</f>
        <v>16719.636254326666</v>
      </c>
      <c r="F9" s="206">
        <f>SUM('Monthly Breakdown'!W49:W52)</f>
        <v>4400.96</v>
      </c>
      <c r="G9" s="207">
        <f t="shared" si="0"/>
        <v>-12318.676254326667</v>
      </c>
      <c r="H9" s="208">
        <f t="shared" si="1"/>
        <v>-0.73677896258890618</v>
      </c>
      <c r="I9" s="198"/>
      <c r="J9" s="209">
        <f t="shared" ref="J9:K9" si="14">SUM(O27,E27,J27)</f>
        <v>13000</v>
      </c>
      <c r="K9" s="210">
        <f t="shared" si="14"/>
        <v>638.24</v>
      </c>
      <c r="L9" s="211">
        <f t="shared" si="3"/>
        <v>12361.76</v>
      </c>
      <c r="M9" s="212">
        <f t="shared" si="4"/>
        <v>-0.95090461538461535</v>
      </c>
      <c r="N9" s="198"/>
      <c r="O9" s="213">
        <f t="shared" si="5"/>
        <v>3719.6362543266659</v>
      </c>
      <c r="P9" s="214">
        <f>SUM('Monthly Breakdown'!W45:W46)</f>
        <v>50</v>
      </c>
      <c r="Q9" s="215">
        <f t="shared" si="6"/>
        <v>-3669.6362543266659</v>
      </c>
      <c r="R9" s="198"/>
      <c r="S9" s="198"/>
      <c r="T9" s="198">
        <f t="shared" si="7"/>
        <v>3712.7200000000003</v>
      </c>
    </row>
    <row r="10" spans="1:20" ht="11.25" customHeight="1" x14ac:dyDescent="0.3">
      <c r="A10" s="216" t="s">
        <v>244</v>
      </c>
      <c r="B10" s="203">
        <v>2</v>
      </c>
      <c r="C10" s="204">
        <v>3</v>
      </c>
      <c r="D10" s="188"/>
      <c r="E10" s="205">
        <f>(B10*'Proposed Budget'!$O$68)+(C10*'Proposed Budget'!$O$44)+'Proposed Budget'!$L$21+'Proposed Budget'!$L$22</f>
        <v>19483.419759326665</v>
      </c>
      <c r="F10" s="206">
        <f>SUM('Monthly Breakdown'!Y49:Y52)</f>
        <v>0</v>
      </c>
      <c r="G10" s="207">
        <f t="shared" si="0"/>
        <v>-19483.419759326665</v>
      </c>
      <c r="H10" s="208">
        <f t="shared" si="1"/>
        <v>-1</v>
      </c>
      <c r="I10" s="198"/>
      <c r="J10" s="209">
        <f t="shared" ref="J10:K10" si="15">SUM(O28,E28,J28)</f>
        <v>13000</v>
      </c>
      <c r="K10" s="210">
        <f t="shared" si="15"/>
        <v>0</v>
      </c>
      <c r="L10" s="211">
        <f t="shared" si="3"/>
        <v>13000</v>
      </c>
      <c r="M10" s="212">
        <f t="shared" si="4"/>
        <v>-1</v>
      </c>
      <c r="N10" s="198"/>
      <c r="O10" s="213">
        <f t="shared" si="5"/>
        <v>6483.4197593266654</v>
      </c>
      <c r="P10" s="214">
        <f>SUM('Monthly Breakdown'!Y45:Y46)</f>
        <v>0</v>
      </c>
      <c r="Q10" s="215">
        <f t="shared" si="6"/>
        <v>-6483.4197593266654</v>
      </c>
      <c r="R10" s="198"/>
      <c r="S10" s="198"/>
      <c r="T10" s="198">
        <f t="shared" si="7"/>
        <v>0</v>
      </c>
    </row>
    <row r="11" spans="1:20" ht="11.25" customHeight="1" x14ac:dyDescent="0.3">
      <c r="A11" s="216" t="s">
        <v>245</v>
      </c>
      <c r="B11" s="203">
        <v>2</v>
      </c>
      <c r="C11" s="204">
        <v>2</v>
      </c>
      <c r="D11" s="188"/>
      <c r="E11" s="205">
        <f>(B11*'Proposed Budget'!$O$68)+(C11*'Proposed Budget'!$O$44)+'Proposed Budget'!$L$21+'Proposed Budget'!$L$22</f>
        <v>16719.636254326666</v>
      </c>
      <c r="F11" s="206">
        <f>SUM('Monthly Breakdown'!AA49:AA52)</f>
        <v>0</v>
      </c>
      <c r="G11" s="207">
        <f t="shared" si="0"/>
        <v>-16719.636254326666</v>
      </c>
      <c r="H11" s="208">
        <f t="shared" si="1"/>
        <v>-1</v>
      </c>
      <c r="I11" s="198"/>
      <c r="J11" s="209">
        <f t="shared" ref="J11:K11" si="16">SUM(O29,E29,J29)</f>
        <v>13000</v>
      </c>
      <c r="K11" s="210">
        <f t="shared" si="16"/>
        <v>0</v>
      </c>
      <c r="L11" s="211">
        <f t="shared" si="3"/>
        <v>13000</v>
      </c>
      <c r="M11" s="212">
        <f t="shared" si="4"/>
        <v>-1</v>
      </c>
      <c r="N11" s="198"/>
      <c r="O11" s="213">
        <f t="shared" si="5"/>
        <v>3719.6362543266659</v>
      </c>
      <c r="P11" s="214">
        <f>SUM('Monthly Breakdown'!AA45:AA46)</f>
        <v>0</v>
      </c>
      <c r="Q11" s="215">
        <f t="shared" si="6"/>
        <v>-3719.6362543266659</v>
      </c>
      <c r="R11" s="198"/>
      <c r="S11" s="198"/>
      <c r="T11" s="198">
        <f t="shared" si="7"/>
        <v>0</v>
      </c>
    </row>
    <row r="12" spans="1:20" ht="11.25" customHeight="1" x14ac:dyDescent="0.3">
      <c r="A12" s="216" t="s">
        <v>246</v>
      </c>
      <c r="B12" s="203">
        <v>2</v>
      </c>
      <c r="C12" s="204">
        <v>2</v>
      </c>
      <c r="D12" s="188"/>
      <c r="E12" s="205">
        <f>(B12*'Proposed Budget'!$O$68)+(C12*'Proposed Budget'!$O$44)+'Proposed Budget'!$L$21+'Proposed Budget'!$L$22</f>
        <v>16719.636254326666</v>
      </c>
      <c r="F12" s="206">
        <f>SUM('Monthly Breakdown'!AC49:AC52)</f>
        <v>0</v>
      </c>
      <c r="G12" s="207">
        <f t="shared" si="0"/>
        <v>-16719.636254326666</v>
      </c>
      <c r="H12" s="208">
        <f t="shared" si="1"/>
        <v>-1</v>
      </c>
      <c r="I12" s="198"/>
      <c r="J12" s="209">
        <f t="shared" ref="J12:K12" si="17">SUM(O30,E30,J30)</f>
        <v>13000</v>
      </c>
      <c r="K12" s="210">
        <f t="shared" si="17"/>
        <v>0</v>
      </c>
      <c r="L12" s="211">
        <f t="shared" si="3"/>
        <v>13000</v>
      </c>
      <c r="M12" s="212">
        <f t="shared" si="4"/>
        <v>-1</v>
      </c>
      <c r="N12" s="198"/>
      <c r="O12" s="213">
        <f t="shared" si="5"/>
        <v>3719.6362543266659</v>
      </c>
      <c r="P12" s="214">
        <f>SUM('Monthly Breakdown'!AC45:AC46)</f>
        <v>0</v>
      </c>
      <c r="Q12" s="215">
        <f t="shared" si="6"/>
        <v>-3719.6362543266659</v>
      </c>
      <c r="R12" s="198"/>
      <c r="S12" s="198"/>
      <c r="T12" s="198">
        <f t="shared" si="7"/>
        <v>0</v>
      </c>
    </row>
    <row r="13" spans="1:20" ht="11.25" customHeight="1" x14ac:dyDescent="0.3">
      <c r="A13" s="216" t="s">
        <v>247</v>
      </c>
      <c r="B13" s="203">
        <v>2</v>
      </c>
      <c r="C13" s="204">
        <v>2</v>
      </c>
      <c r="D13" s="188"/>
      <c r="E13" s="205">
        <f>(B13*'Proposed Budget'!$O$68)+(C13*'Proposed Budget'!$O$44)+'Proposed Budget'!$L$21+'Proposed Budget'!$L$22</f>
        <v>16719.636254326666</v>
      </c>
      <c r="F13" s="206">
        <f>SUM('Monthly Breakdown'!AE49:AE52)</f>
        <v>0</v>
      </c>
      <c r="G13" s="207">
        <f t="shared" si="0"/>
        <v>-16719.636254326666</v>
      </c>
      <c r="H13" s="208">
        <f t="shared" si="1"/>
        <v>-1</v>
      </c>
      <c r="I13" s="198"/>
      <c r="J13" s="209">
        <f t="shared" ref="J13:K13" si="18">SUM(O31,E31,J31)</f>
        <v>13000</v>
      </c>
      <c r="K13" s="210">
        <f t="shared" si="18"/>
        <v>0</v>
      </c>
      <c r="L13" s="211">
        <f t="shared" si="3"/>
        <v>13000</v>
      </c>
      <c r="M13" s="212">
        <f t="shared" si="4"/>
        <v>-1</v>
      </c>
      <c r="N13" s="198"/>
      <c r="O13" s="213">
        <f t="shared" si="5"/>
        <v>3719.6362543266659</v>
      </c>
      <c r="P13" s="214">
        <f>SUM('Monthly Breakdown'!AE45:AE46)</f>
        <v>0</v>
      </c>
      <c r="Q13" s="215">
        <f t="shared" si="6"/>
        <v>-3719.6362543266659</v>
      </c>
      <c r="R13" s="198"/>
      <c r="S13" s="198"/>
      <c r="T13" s="198">
        <f t="shared" si="7"/>
        <v>0</v>
      </c>
    </row>
    <row r="14" spans="1:20" ht="11.25" customHeight="1" x14ac:dyDescent="0.3">
      <c r="A14" s="217"/>
      <c r="B14" s="203"/>
      <c r="C14" s="204"/>
      <c r="D14" s="188"/>
      <c r="E14" s="205"/>
      <c r="F14" s="206"/>
      <c r="G14" s="207"/>
      <c r="H14" s="208"/>
      <c r="I14" s="198"/>
      <c r="J14" s="209"/>
      <c r="K14" s="210"/>
      <c r="L14" s="211"/>
      <c r="M14" s="212"/>
      <c r="N14" s="198"/>
      <c r="O14" s="213"/>
      <c r="P14" s="214"/>
      <c r="Q14" s="215"/>
      <c r="R14" s="198"/>
      <c r="S14" s="198"/>
      <c r="T14" s="198"/>
    </row>
    <row r="15" spans="1:20" ht="11.25" customHeight="1" x14ac:dyDescent="0.3">
      <c r="A15" s="217"/>
      <c r="B15" s="203"/>
      <c r="C15" s="204"/>
      <c r="D15" s="188"/>
      <c r="E15" s="205"/>
      <c r="F15" s="206"/>
      <c r="G15" s="207"/>
      <c r="H15" s="208"/>
      <c r="I15" s="198"/>
      <c r="J15" s="209"/>
      <c r="K15" s="210"/>
      <c r="L15" s="211"/>
      <c r="M15" s="212"/>
      <c r="N15" s="198"/>
      <c r="O15" s="213"/>
      <c r="P15" s="214"/>
      <c r="Q15" s="215"/>
      <c r="R15" s="198"/>
      <c r="S15" s="198"/>
      <c r="T15" s="198"/>
    </row>
    <row r="16" spans="1:20" ht="11.25" customHeight="1" x14ac:dyDescent="0.3">
      <c r="A16" s="217" t="s">
        <v>68</v>
      </c>
      <c r="B16" s="203"/>
      <c r="C16" s="204"/>
      <c r="D16" s="188"/>
      <c r="E16" s="205">
        <f>SUM(E2:E9)</f>
        <v>136520.87353961336</v>
      </c>
      <c r="F16" s="205">
        <f>SUM(F2:F9)</f>
        <v>125288.82</v>
      </c>
      <c r="G16" s="205">
        <f>SUM(G2:G9)</f>
        <v>-11232.053539613327</v>
      </c>
      <c r="H16" s="208">
        <f>((SUM(F16))-SUM(E16))/SUM(E16)</f>
        <v>-8.2273525274171491E-2</v>
      </c>
      <c r="I16" s="198"/>
      <c r="J16" s="209">
        <f>SUM(J2:J9)</f>
        <v>104000</v>
      </c>
      <c r="K16" s="209">
        <f>SUM(K2:K9)</f>
        <v>87896.36</v>
      </c>
      <c r="L16" s="209">
        <f>SUM(L2:L9)</f>
        <v>16103.64</v>
      </c>
      <c r="M16" s="212">
        <f>((K16-SUM(J16))/SUM(J16))</f>
        <v>-0.15484269230769229</v>
      </c>
      <c r="N16" s="198"/>
      <c r="O16" s="213">
        <f>SUM(O2:O9)</f>
        <v>32520.873539613327</v>
      </c>
      <c r="P16" s="213">
        <f>SUM(P2:P9)</f>
        <v>33679.74</v>
      </c>
      <c r="Q16" s="213">
        <f>SUM(Q2:Q9)</f>
        <v>1158.8664603866728</v>
      </c>
      <c r="R16" s="218">
        <f>((P16-SUM(O16))/SUM(O16))</f>
        <v>3.5634542810637243E-2</v>
      </c>
      <c r="S16" s="198"/>
      <c r="T16" s="198">
        <f>F16-K16-P16</f>
        <v>3712.7200000000084</v>
      </c>
    </row>
    <row r="19" spans="1:17" ht="11.25" customHeight="1" x14ac:dyDescent="0.3">
      <c r="A19" s="185" t="s">
        <v>224</v>
      </c>
      <c r="B19" s="188"/>
      <c r="C19" s="188"/>
      <c r="D19" s="188"/>
      <c r="E19" s="219" t="s">
        <v>248</v>
      </c>
      <c r="F19" s="220" t="s">
        <v>249</v>
      </c>
      <c r="G19" s="221" t="s">
        <v>229</v>
      </c>
      <c r="H19" s="222" t="s">
        <v>233</v>
      </c>
      <c r="I19" s="198"/>
      <c r="J19" s="223" t="s">
        <v>250</v>
      </c>
      <c r="K19" s="224" t="s">
        <v>251</v>
      </c>
      <c r="L19" s="225" t="s">
        <v>229</v>
      </c>
      <c r="M19" s="226" t="s">
        <v>233</v>
      </c>
      <c r="N19" s="198"/>
      <c r="O19" s="227" t="s">
        <v>252</v>
      </c>
      <c r="P19" s="228" t="s">
        <v>253</v>
      </c>
      <c r="Q19" s="229" t="s">
        <v>229</v>
      </c>
    </row>
    <row r="20" spans="1:17" ht="11.25" customHeight="1" x14ac:dyDescent="0.3">
      <c r="A20" s="202" t="s">
        <v>236</v>
      </c>
      <c r="B20" s="188"/>
      <c r="C20" s="188"/>
      <c r="D20" s="188"/>
      <c r="E20" s="230">
        <f>SUM('Proposed Budget'!$D$14:$D$31)</f>
        <v>5200</v>
      </c>
      <c r="F20" s="231">
        <f>SUM('Monthly Breakdown'!I14:I31)</f>
        <v>4819.04</v>
      </c>
      <c r="G20" s="232">
        <f t="shared" ref="G20:G31" si="19">E20-F20</f>
        <v>380.96000000000004</v>
      </c>
      <c r="H20" s="233">
        <f t="shared" ref="H20:H31" si="20">((F20-E20)/E20)</f>
        <v>-7.3261538461538475E-2</v>
      </c>
      <c r="I20" s="198"/>
      <c r="J20" s="234">
        <f>SUM('Proposed Budget'!$D$5:$D$12)</f>
        <v>5800</v>
      </c>
      <c r="K20" s="235">
        <f>SUM('Monthly Breakdown'!I5:I12)</f>
        <v>5575.68</v>
      </c>
      <c r="L20" s="236">
        <f t="shared" ref="L20:L31" si="21">J20-K20</f>
        <v>224.31999999999971</v>
      </c>
      <c r="M20" s="237">
        <f t="shared" ref="M20:M31" si="22">((K20-J20)/J20)</f>
        <v>-3.8675862068965464E-2</v>
      </c>
      <c r="N20" s="198"/>
      <c r="O20" s="238">
        <f>SUM('Proposed Budget'!$D$33:$D$43)</f>
        <v>2000</v>
      </c>
      <c r="P20" s="239">
        <f>SUM('Monthly Breakdown'!I33:I43)</f>
        <v>2000</v>
      </c>
      <c r="Q20" s="240">
        <f t="shared" ref="Q20:Q31" si="23">O20-P20</f>
        <v>0</v>
      </c>
    </row>
    <row r="21" spans="1:17" ht="11.25" customHeight="1" x14ac:dyDescent="0.3">
      <c r="A21" s="202" t="s">
        <v>237</v>
      </c>
      <c r="B21" s="188"/>
      <c r="C21" s="188"/>
      <c r="D21" s="188"/>
      <c r="E21" s="230">
        <f>SUM('Proposed Budget'!$D$14:$D$31)</f>
        <v>5200</v>
      </c>
      <c r="F21" s="231">
        <f>SUM('Monthly Breakdown'!K14:K31)</f>
        <v>4930.4799999999996</v>
      </c>
      <c r="G21" s="232">
        <f t="shared" si="19"/>
        <v>269.52000000000044</v>
      </c>
      <c r="H21" s="233">
        <f t="shared" si="20"/>
        <v>-5.1830769230769312E-2</v>
      </c>
      <c r="I21" s="198"/>
      <c r="J21" s="234">
        <f>SUM('Proposed Budget'!$D$5:$D$12)</f>
        <v>5800</v>
      </c>
      <c r="K21" s="235">
        <f>SUM('Monthly Breakdown'!K5:K12)</f>
        <v>5870.2300000000005</v>
      </c>
      <c r="L21" s="236">
        <f t="shared" si="21"/>
        <v>-70.230000000000473</v>
      </c>
      <c r="M21" s="237">
        <f t="shared" si="22"/>
        <v>1.2108620689655254E-2</v>
      </c>
      <c r="N21" s="198"/>
      <c r="O21" s="238">
        <f>SUM('Proposed Budget'!$D$33:$D$43)</f>
        <v>2000</v>
      </c>
      <c r="P21" s="239">
        <f>SUM('Monthly Breakdown'!K33:K43)</f>
        <v>2000</v>
      </c>
      <c r="Q21" s="240">
        <f t="shared" si="23"/>
        <v>0</v>
      </c>
    </row>
    <row r="22" spans="1:17" ht="11.25" customHeight="1" x14ac:dyDescent="0.3">
      <c r="A22" s="202" t="s">
        <v>238</v>
      </c>
      <c r="B22" s="188"/>
      <c r="C22" s="188"/>
      <c r="D22" s="188"/>
      <c r="E22" s="230">
        <f>SUM('Proposed Budget'!$D$14:$D$31)</f>
        <v>5200</v>
      </c>
      <c r="F22" s="231">
        <f>SUM('Monthly Breakdown'!M14:M31)</f>
        <v>5444.89</v>
      </c>
      <c r="G22" s="232">
        <f t="shared" si="19"/>
        <v>-244.89000000000033</v>
      </c>
      <c r="H22" s="233">
        <f t="shared" si="20"/>
        <v>4.7094230769230833E-2</v>
      </c>
      <c r="I22" s="198"/>
      <c r="J22" s="234">
        <f>SUM('Proposed Budget'!$D$5:$D$12)</f>
        <v>5800</v>
      </c>
      <c r="K22" s="235">
        <f>SUM('Monthly Breakdown'!M5:M12)</f>
        <v>5166.82</v>
      </c>
      <c r="L22" s="236">
        <f t="shared" si="21"/>
        <v>633.18000000000029</v>
      </c>
      <c r="M22" s="237">
        <f t="shared" si="22"/>
        <v>-0.10916896551724142</v>
      </c>
      <c r="N22" s="198"/>
      <c r="O22" s="238">
        <f>SUM('Proposed Budget'!$D$33:$D$43)</f>
        <v>2000</v>
      </c>
      <c r="P22" s="239">
        <f>SUM('Monthly Breakdown'!M33:M43)</f>
        <v>2000</v>
      </c>
      <c r="Q22" s="240">
        <f t="shared" si="23"/>
        <v>0</v>
      </c>
    </row>
    <row r="23" spans="1:17" ht="11.25" customHeight="1" x14ac:dyDescent="0.3">
      <c r="A23" s="202" t="s">
        <v>239</v>
      </c>
      <c r="B23" s="188"/>
      <c r="C23" s="188"/>
      <c r="D23" s="188"/>
      <c r="E23" s="230">
        <f>SUM('Proposed Budget'!$D$14:$D$31)</f>
        <v>5200</v>
      </c>
      <c r="F23" s="231">
        <f>SUM('Monthly Breakdown'!O14:O31)</f>
        <v>4511.1900000000005</v>
      </c>
      <c r="G23" s="232">
        <f t="shared" si="19"/>
        <v>688.80999999999949</v>
      </c>
      <c r="H23" s="233">
        <f t="shared" si="20"/>
        <v>-0.13246346153846145</v>
      </c>
      <c r="I23" s="198"/>
      <c r="J23" s="234">
        <f>SUM('Proposed Budget'!$D$5:$D$12)</f>
        <v>5800</v>
      </c>
      <c r="K23" s="235">
        <f>SUM('Monthly Breakdown'!O5:O12)</f>
        <v>6697.66</v>
      </c>
      <c r="L23" s="236">
        <f t="shared" si="21"/>
        <v>-897.65999999999985</v>
      </c>
      <c r="M23" s="237">
        <f t="shared" si="22"/>
        <v>0.15476896551724134</v>
      </c>
      <c r="N23" s="198"/>
      <c r="O23" s="238">
        <f>SUM('Proposed Budget'!$D$33:$D$43)</f>
        <v>2000</v>
      </c>
      <c r="P23" s="239">
        <f>SUM('Monthly Breakdown'!O33:O43)</f>
        <v>2000</v>
      </c>
      <c r="Q23" s="240">
        <f t="shared" si="23"/>
        <v>0</v>
      </c>
    </row>
    <row r="24" spans="1:17" ht="11.25" customHeight="1" x14ac:dyDescent="0.3">
      <c r="A24" s="202" t="s">
        <v>240</v>
      </c>
      <c r="B24" s="188"/>
      <c r="C24" s="188"/>
      <c r="D24" s="188"/>
      <c r="E24" s="230">
        <f>SUM('Proposed Budget'!$D$14:$D$31)</f>
        <v>5200</v>
      </c>
      <c r="F24" s="231">
        <f>SUM('Monthly Breakdown'!Q14:Q31)</f>
        <v>5063.4000000000005</v>
      </c>
      <c r="G24" s="232">
        <f t="shared" si="19"/>
        <v>136.59999999999945</v>
      </c>
      <c r="H24" s="233">
        <f t="shared" si="20"/>
        <v>-2.6269230769230663E-2</v>
      </c>
      <c r="I24" s="198"/>
      <c r="J24" s="234">
        <f>SUM('Proposed Budget'!$D$5:$D$12)</f>
        <v>5800</v>
      </c>
      <c r="K24" s="235">
        <f>SUM('Monthly Breakdown'!Q5:Q12)</f>
        <v>6699.4400000000005</v>
      </c>
      <c r="L24" s="236">
        <f t="shared" si="21"/>
        <v>-899.44000000000051</v>
      </c>
      <c r="M24" s="237">
        <f t="shared" si="22"/>
        <v>0.15507586206896559</v>
      </c>
      <c r="N24" s="198"/>
      <c r="O24" s="238">
        <f>SUM('Proposed Budget'!$D$33:$D$43)</f>
        <v>2000</v>
      </c>
      <c r="P24" s="239">
        <f>SUM('Monthly Breakdown'!Q33:Q43)</f>
        <v>2000</v>
      </c>
      <c r="Q24" s="240">
        <f t="shared" si="23"/>
        <v>0</v>
      </c>
    </row>
    <row r="25" spans="1:17" ht="11.25" customHeight="1" x14ac:dyDescent="0.3">
      <c r="A25" s="202" t="s">
        <v>241</v>
      </c>
      <c r="B25" s="188"/>
      <c r="C25" s="188"/>
      <c r="D25" s="188"/>
      <c r="E25" s="230">
        <f>SUM('Proposed Budget'!$D$14:$D$31)</f>
        <v>5200</v>
      </c>
      <c r="F25" s="231">
        <f>SUM('Monthly Breakdown'!S14:S31)</f>
        <v>4742.1400000000003</v>
      </c>
      <c r="G25" s="232">
        <f t="shared" si="19"/>
        <v>457.85999999999967</v>
      </c>
      <c r="H25" s="233">
        <f t="shared" si="20"/>
        <v>-8.8049999999999934E-2</v>
      </c>
      <c r="I25" s="198"/>
      <c r="J25" s="234">
        <f>SUM('Proposed Budget'!$D$5:$D$12)</f>
        <v>5800</v>
      </c>
      <c r="K25" s="235">
        <f>SUM('Monthly Breakdown'!S5:S12)</f>
        <v>4471.4800000000005</v>
      </c>
      <c r="L25" s="236">
        <f t="shared" si="21"/>
        <v>1328.5199999999995</v>
      </c>
      <c r="M25" s="237">
        <f t="shared" si="22"/>
        <v>-0.22905517241379303</v>
      </c>
      <c r="N25" s="198"/>
      <c r="O25" s="238">
        <f>SUM('Proposed Budget'!$D$33:$D$43)</f>
        <v>2000</v>
      </c>
      <c r="P25" s="239">
        <f>SUM('Monthly Breakdown'!S33:S43)</f>
        <v>2000</v>
      </c>
      <c r="Q25" s="240">
        <f t="shared" si="23"/>
        <v>0</v>
      </c>
    </row>
    <row r="26" spans="1:17" ht="11.25" customHeight="1" x14ac:dyDescent="0.3">
      <c r="A26" s="202" t="s">
        <v>242</v>
      </c>
      <c r="B26" s="188"/>
      <c r="C26" s="188"/>
      <c r="D26" s="188"/>
      <c r="E26" s="230">
        <f>SUM('Proposed Budget'!$D$14:$D$31)</f>
        <v>5200</v>
      </c>
      <c r="F26" s="231">
        <f>SUM('Monthly Breakdown'!U14:U31)</f>
        <v>4087.3200000000006</v>
      </c>
      <c r="G26" s="232">
        <f t="shared" si="19"/>
        <v>1112.6799999999994</v>
      </c>
      <c r="H26" s="233">
        <f t="shared" si="20"/>
        <v>-0.21397692307692295</v>
      </c>
      <c r="I26" s="198"/>
      <c r="J26" s="234">
        <f>SUM('Proposed Budget'!$D$5:$D$12)</f>
        <v>5800</v>
      </c>
      <c r="K26" s="235">
        <f>SUM('Monthly Breakdown'!U5:U12)</f>
        <v>5178.3499999999995</v>
      </c>
      <c r="L26" s="236">
        <f t="shared" si="21"/>
        <v>621.65000000000055</v>
      </c>
      <c r="M26" s="237">
        <f t="shared" si="22"/>
        <v>-0.10718103448275872</v>
      </c>
      <c r="N26" s="198"/>
      <c r="O26" s="238">
        <f>SUM('Proposed Budget'!$D$33:$D$43)</f>
        <v>2000</v>
      </c>
      <c r="P26" s="239">
        <f>SUM('Monthly Breakdown'!U33:U43)</f>
        <v>2000</v>
      </c>
      <c r="Q26" s="240">
        <f t="shared" si="23"/>
        <v>0</v>
      </c>
    </row>
    <row r="27" spans="1:17" ht="11.25" customHeight="1" x14ac:dyDescent="0.3">
      <c r="A27" s="202" t="s">
        <v>243</v>
      </c>
      <c r="B27" s="188"/>
      <c r="C27" s="188"/>
      <c r="D27" s="188"/>
      <c r="E27" s="230">
        <f>SUM('Proposed Budget'!$D$14:$D$31)</f>
        <v>5200</v>
      </c>
      <c r="F27" s="231">
        <f>SUM('Monthly Breakdown'!W14:W31)</f>
        <v>188.39</v>
      </c>
      <c r="G27" s="232">
        <f t="shared" si="19"/>
        <v>5011.6099999999997</v>
      </c>
      <c r="H27" s="233">
        <f t="shared" si="20"/>
        <v>-0.96377115384615375</v>
      </c>
      <c r="I27" s="198"/>
      <c r="J27" s="234">
        <f>SUM('Proposed Budget'!$D$5:$D$12)</f>
        <v>5800</v>
      </c>
      <c r="K27" s="235">
        <f>SUM('Monthly Breakdown'!W5:W12)</f>
        <v>449.85</v>
      </c>
      <c r="L27" s="236">
        <f t="shared" si="21"/>
        <v>5350.15</v>
      </c>
      <c r="M27" s="237">
        <f t="shared" si="22"/>
        <v>-0.92243965517241377</v>
      </c>
      <c r="N27" s="198"/>
      <c r="O27" s="238">
        <f>SUM('Proposed Budget'!$D$33:$D$43)</f>
        <v>2000</v>
      </c>
      <c r="P27" s="239">
        <f>SUM('Monthly Breakdown'!W33:W43)</f>
        <v>0</v>
      </c>
      <c r="Q27" s="240">
        <f t="shared" si="23"/>
        <v>2000</v>
      </c>
    </row>
    <row r="28" spans="1:17" ht="11.25" customHeight="1" x14ac:dyDescent="0.3">
      <c r="A28" s="216" t="s">
        <v>244</v>
      </c>
      <c r="B28" s="188"/>
      <c r="C28" s="188"/>
      <c r="D28" s="188"/>
      <c r="E28" s="230">
        <f>SUM('Proposed Budget'!$D$14:$D$31)</f>
        <v>5200</v>
      </c>
      <c r="F28" s="231">
        <f>SUM('Monthly Breakdown'!Y14:Y31)</f>
        <v>0</v>
      </c>
      <c r="G28" s="232">
        <f t="shared" si="19"/>
        <v>5200</v>
      </c>
      <c r="H28" s="233">
        <f t="shared" si="20"/>
        <v>-1</v>
      </c>
      <c r="I28" s="198"/>
      <c r="J28" s="234">
        <f>SUM('Proposed Budget'!$D$5:$D$12)</f>
        <v>5800</v>
      </c>
      <c r="K28" s="235">
        <f>SUM('Monthly Breakdown'!Y5:Y12)</f>
        <v>0</v>
      </c>
      <c r="L28" s="236">
        <f t="shared" si="21"/>
        <v>5800</v>
      </c>
      <c r="M28" s="237">
        <f t="shared" si="22"/>
        <v>-1</v>
      </c>
      <c r="N28" s="198"/>
      <c r="O28" s="238">
        <f>SUM('Proposed Budget'!$D$33:$D$43)</f>
        <v>2000</v>
      </c>
      <c r="P28" s="239">
        <f>SUM('Monthly Breakdown'!Y33:Y43)</f>
        <v>0</v>
      </c>
      <c r="Q28" s="240">
        <f t="shared" si="23"/>
        <v>2000</v>
      </c>
    </row>
    <row r="29" spans="1:17" ht="11.25" customHeight="1" x14ac:dyDescent="0.3">
      <c r="A29" s="216" t="s">
        <v>245</v>
      </c>
      <c r="B29" s="188"/>
      <c r="C29" s="188"/>
      <c r="D29" s="188"/>
      <c r="E29" s="230">
        <f>SUM('Proposed Budget'!$D$14:$D$31)</f>
        <v>5200</v>
      </c>
      <c r="F29" s="231">
        <f>SUM('Monthly Breakdown'!AA14:AA31)</f>
        <v>0</v>
      </c>
      <c r="G29" s="232">
        <f t="shared" si="19"/>
        <v>5200</v>
      </c>
      <c r="H29" s="233">
        <f t="shared" si="20"/>
        <v>-1</v>
      </c>
      <c r="I29" s="198"/>
      <c r="J29" s="234">
        <f>SUM('Proposed Budget'!$D$5:$D$12)</f>
        <v>5800</v>
      </c>
      <c r="K29" s="235">
        <f>SUM('Monthly Breakdown'!AA5:AA12)</f>
        <v>0</v>
      </c>
      <c r="L29" s="236">
        <f t="shared" si="21"/>
        <v>5800</v>
      </c>
      <c r="M29" s="237">
        <f t="shared" si="22"/>
        <v>-1</v>
      </c>
      <c r="N29" s="198"/>
      <c r="O29" s="238">
        <f>SUM('Proposed Budget'!$D$33:$D$43)</f>
        <v>2000</v>
      </c>
      <c r="P29" s="239">
        <f>SUM('Monthly Breakdown'!AA33:AA43)</f>
        <v>0</v>
      </c>
      <c r="Q29" s="240">
        <f t="shared" si="23"/>
        <v>2000</v>
      </c>
    </row>
    <row r="30" spans="1:17" ht="11.25" customHeight="1" x14ac:dyDescent="0.3">
      <c r="A30" s="216" t="s">
        <v>246</v>
      </c>
      <c r="B30" s="188"/>
      <c r="C30" s="188"/>
      <c r="D30" s="188"/>
      <c r="E30" s="230">
        <f>SUM('Proposed Budget'!$D$14:$D$31)</f>
        <v>5200</v>
      </c>
      <c r="F30" s="231">
        <f>SUM('Monthly Breakdown'!AC14:AC31)</f>
        <v>0</v>
      </c>
      <c r="G30" s="232">
        <f t="shared" si="19"/>
        <v>5200</v>
      </c>
      <c r="H30" s="233">
        <f t="shared" si="20"/>
        <v>-1</v>
      </c>
      <c r="I30" s="198"/>
      <c r="J30" s="234">
        <f>SUM('Proposed Budget'!$D$5:$D$12)</f>
        <v>5800</v>
      </c>
      <c r="K30" s="235">
        <f>SUM('Monthly Breakdown'!AC5:AC12)</f>
        <v>0</v>
      </c>
      <c r="L30" s="236">
        <f t="shared" si="21"/>
        <v>5800</v>
      </c>
      <c r="M30" s="237">
        <f t="shared" si="22"/>
        <v>-1</v>
      </c>
      <c r="N30" s="198"/>
      <c r="O30" s="238">
        <f>SUM('Proposed Budget'!$D$33:$D$43)</f>
        <v>2000</v>
      </c>
      <c r="P30" s="239">
        <f>SUM('Monthly Breakdown'!AC33:AC43)</f>
        <v>0</v>
      </c>
      <c r="Q30" s="240">
        <f t="shared" si="23"/>
        <v>2000</v>
      </c>
    </row>
    <row r="31" spans="1:17" ht="11.25" customHeight="1" x14ac:dyDescent="0.3">
      <c r="A31" s="216" t="s">
        <v>247</v>
      </c>
      <c r="B31" s="188"/>
      <c r="C31" s="188"/>
      <c r="D31" s="188"/>
      <c r="E31" s="230">
        <f>SUM('Proposed Budget'!$D$14:$D$31)</f>
        <v>5200</v>
      </c>
      <c r="F31" s="231">
        <f>SUM('Monthly Breakdown'!AE14:AE31)</f>
        <v>0</v>
      </c>
      <c r="G31" s="232">
        <f t="shared" si="19"/>
        <v>5200</v>
      </c>
      <c r="H31" s="233">
        <f t="shared" si="20"/>
        <v>-1</v>
      </c>
      <c r="I31" s="198"/>
      <c r="J31" s="234">
        <f>SUM('Proposed Budget'!$D$5:$D$12)</f>
        <v>5800</v>
      </c>
      <c r="K31" s="235">
        <f>SUM('Monthly Breakdown'!AE5:AE12)</f>
        <v>0</v>
      </c>
      <c r="L31" s="236">
        <f t="shared" si="21"/>
        <v>5800</v>
      </c>
      <c r="M31" s="237">
        <f t="shared" si="22"/>
        <v>-1</v>
      </c>
      <c r="N31" s="198"/>
      <c r="O31" s="238">
        <f>SUM('Proposed Budget'!$D$33:$D$43)</f>
        <v>2000</v>
      </c>
      <c r="P31" s="239">
        <f>SUM('Monthly Breakdown'!AE33:AE43)</f>
        <v>0</v>
      </c>
      <c r="Q31" s="240">
        <f t="shared" si="23"/>
        <v>2000</v>
      </c>
    </row>
    <row r="32" spans="1:17" ht="15.75" customHeight="1" x14ac:dyDescent="0.3"/>
    <row r="33" spans="1:17" ht="15.75" customHeight="1" x14ac:dyDescent="0.3"/>
    <row r="34" spans="1:17" ht="11.25" customHeight="1" x14ac:dyDescent="0.3">
      <c r="A34" s="217" t="s">
        <v>68</v>
      </c>
      <c r="B34" s="188"/>
      <c r="C34" s="188"/>
      <c r="D34" s="188"/>
      <c r="E34" s="230">
        <f>SUM(E20:E27)</f>
        <v>41600</v>
      </c>
      <c r="F34" s="230">
        <f>SUM(F20:F27)</f>
        <v>33786.85</v>
      </c>
      <c r="G34" s="230">
        <f>SUM(G20:G27)</f>
        <v>7813.1499999999978</v>
      </c>
      <c r="H34" s="233">
        <f>((F34-SUM(E34)))/SUM(E34)</f>
        <v>-0.1878161057692308</v>
      </c>
      <c r="I34" s="198"/>
      <c r="J34" s="234">
        <f>SUM(J20:J27)</f>
        <v>46400</v>
      </c>
      <c r="K34" s="234">
        <f>SUM(K20:K27)</f>
        <v>40109.51</v>
      </c>
      <c r="L34" s="234">
        <f>SUM(L20:L27)</f>
        <v>6290.4899999999989</v>
      </c>
      <c r="M34" s="237">
        <f>((K34-SUM(J34))/SUM(J34))</f>
        <v>-0.13557090517241374</v>
      </c>
      <c r="N34" s="198"/>
      <c r="O34" s="238">
        <f t="shared" ref="O34:Q34" si="24">SUM(O20:O31)</f>
        <v>24000</v>
      </c>
      <c r="P34" s="238">
        <f t="shared" si="24"/>
        <v>14000</v>
      </c>
      <c r="Q34" s="238">
        <f t="shared" si="24"/>
        <v>10000</v>
      </c>
    </row>
    <row r="35" spans="1:17" ht="15.75" customHeight="1" x14ac:dyDescent="0.3"/>
    <row r="36" spans="1:17" ht="15.75" customHeight="1" x14ac:dyDescent="0.3"/>
    <row r="37" spans="1:17" ht="15.75" customHeight="1" x14ac:dyDescent="0.3"/>
    <row r="38" spans="1:17" ht="15.75" customHeight="1" x14ac:dyDescent="0.3"/>
    <row r="39" spans="1:17" ht="15.75" customHeight="1" x14ac:dyDescent="0.3"/>
    <row r="40" spans="1:17" ht="15.75" customHeight="1" x14ac:dyDescent="0.3"/>
    <row r="41" spans="1:17" ht="15.75" customHeight="1" x14ac:dyDescent="0.3"/>
    <row r="42" spans="1:17" ht="15.75" customHeight="1" x14ac:dyDescent="0.3"/>
    <row r="43" spans="1:17" ht="15.75" customHeight="1" x14ac:dyDescent="0.3"/>
    <row r="44" spans="1:17" ht="15.75" customHeight="1" x14ac:dyDescent="0.3"/>
    <row r="45" spans="1:17" ht="15.75" customHeight="1" x14ac:dyDescent="0.3"/>
    <row r="46" spans="1:17" ht="15.75" customHeight="1" x14ac:dyDescent="0.3"/>
    <row r="47" spans="1:17" ht="15.75" customHeight="1" x14ac:dyDescent="0.3"/>
    <row r="48" spans="1:1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3170"/>
  <sheetViews>
    <sheetView tabSelected="1" workbookViewId="0">
      <pane ySplit="4" topLeftCell="A5" activePane="bottomLeft" state="frozen"/>
      <selection pane="bottomLeft" activeCell="D23" sqref="D23"/>
    </sheetView>
  </sheetViews>
  <sheetFormatPr defaultColWidth="14.44140625" defaultRowHeight="15" customHeight="1" x14ac:dyDescent="0.3"/>
  <cols>
    <col min="1" max="2" width="4" customWidth="1"/>
    <col min="3" max="3" width="12.109375" customWidth="1"/>
    <col min="4" max="4" width="49" customWidth="1"/>
    <col min="5" max="6" width="14.5546875" customWidth="1"/>
    <col min="7" max="7" width="13.33203125" customWidth="1"/>
    <col min="8" max="8" width="5" customWidth="1"/>
    <col min="9" max="9" width="8" customWidth="1"/>
    <col min="10" max="10" width="14.5546875" customWidth="1"/>
    <col min="11" max="11" width="7.88671875" customWidth="1"/>
    <col min="12" max="12" width="14.5546875" customWidth="1"/>
    <col min="13" max="13" width="7.88671875" customWidth="1"/>
    <col min="14" max="14" width="14.5546875" customWidth="1"/>
    <col min="15" max="15" width="8" customWidth="1"/>
    <col min="16" max="16" width="13.33203125" customWidth="1"/>
    <col min="17" max="17" width="6.6640625" customWidth="1"/>
    <col min="18" max="18" width="12" customWidth="1"/>
    <col min="19" max="19" width="7.88671875" customWidth="1"/>
    <col min="20" max="20" width="13.33203125" customWidth="1"/>
  </cols>
  <sheetData>
    <row r="1" spans="1:20" ht="12" customHeight="1" x14ac:dyDescent="0.3">
      <c r="A1" s="547" t="s">
        <v>261</v>
      </c>
      <c r="B1" s="548"/>
      <c r="C1" s="298" t="s">
        <v>268</v>
      </c>
      <c r="D1" s="299" t="s">
        <v>269</v>
      </c>
      <c r="E1" s="549" t="s">
        <v>270</v>
      </c>
      <c r="F1" s="548"/>
      <c r="G1" s="300">
        <f ca="1">(SUM(INDIRECT("g5:g5")))+J2+L2+N2+P2-R2+T2-G1373</f>
        <v>6486.509999999992</v>
      </c>
      <c r="H1" s="301"/>
      <c r="I1" s="302" t="s">
        <v>271</v>
      </c>
      <c r="J1" s="303">
        <v>25000</v>
      </c>
      <c r="K1" s="304" t="s">
        <v>272</v>
      </c>
      <c r="L1" s="305">
        <v>25000</v>
      </c>
      <c r="M1" s="306" t="s">
        <v>273</v>
      </c>
      <c r="N1" s="307">
        <f>10500-N2</f>
        <v>10500</v>
      </c>
      <c r="O1" s="308" t="s">
        <v>274</v>
      </c>
      <c r="P1" s="309">
        <f>5000-P2</f>
        <v>5000</v>
      </c>
      <c r="Q1" s="550" t="s">
        <v>39</v>
      </c>
      <c r="R1" s="548"/>
      <c r="S1" s="310" t="s">
        <v>273</v>
      </c>
      <c r="T1" s="311">
        <f>1200-T2</f>
        <v>1200</v>
      </c>
    </row>
    <row r="2" spans="1:20" ht="12" customHeight="1" x14ac:dyDescent="0.3">
      <c r="A2" s="299"/>
      <c r="B2" s="312"/>
      <c r="C2" s="298"/>
      <c r="D2" s="313"/>
      <c r="E2" s="549" t="s">
        <v>39</v>
      </c>
      <c r="F2" s="548"/>
      <c r="G2" s="300">
        <f>R2</f>
        <v>100</v>
      </c>
      <c r="H2" s="301"/>
      <c r="I2" s="314" t="s">
        <v>275</v>
      </c>
      <c r="J2" s="303">
        <f>SUMIFS(E:E,I:I,"1")</f>
        <v>0</v>
      </c>
      <c r="K2" s="304" t="s">
        <v>276</v>
      </c>
      <c r="L2" s="305">
        <f>(SUMIFS(E:E,I:I,"2"))</f>
        <v>161.12</v>
      </c>
      <c r="M2" s="306" t="s">
        <v>277</v>
      </c>
      <c r="N2" s="307">
        <f>SUMIFS(E:E,I:I,"3")</f>
        <v>0</v>
      </c>
      <c r="O2" s="308" t="s">
        <v>278</v>
      </c>
      <c r="P2" s="309">
        <f>SUMIFS(E:E,I:I,"4")</f>
        <v>0</v>
      </c>
      <c r="Q2" s="315"/>
      <c r="R2" s="316">
        <f>SUMIFS(F:F,H:H,"cash")-SUMIFS(E:E,H:H,"cash")</f>
        <v>100</v>
      </c>
      <c r="S2" s="310" t="s">
        <v>279</v>
      </c>
      <c r="T2" s="311">
        <f>SUMIFS(E:E,I:I,"6")</f>
        <v>0</v>
      </c>
    </row>
    <row r="3" spans="1:20" ht="12" customHeight="1" x14ac:dyDescent="0.3">
      <c r="A3" s="299"/>
      <c r="B3" s="312"/>
      <c r="C3" s="298"/>
      <c r="D3" s="313"/>
      <c r="E3" s="549" t="s">
        <v>280</v>
      </c>
      <c r="F3" s="548"/>
      <c r="G3" s="300">
        <f>SUM(J1,L1,N1,P1,T1)</f>
        <v>66700</v>
      </c>
      <c r="H3" s="301"/>
      <c r="I3" s="317"/>
      <c r="J3" s="318"/>
      <c r="K3" s="319"/>
      <c r="L3" s="320"/>
      <c r="M3" s="321"/>
      <c r="N3" s="322"/>
      <c r="O3" s="323"/>
      <c r="P3" s="324"/>
      <c r="Q3" s="325"/>
      <c r="R3" s="326"/>
      <c r="S3" s="327"/>
      <c r="T3" s="328"/>
    </row>
    <row r="4" spans="1:20" ht="12" customHeight="1" x14ac:dyDescent="0.3">
      <c r="A4" s="329"/>
      <c r="B4" s="330"/>
      <c r="C4" s="298"/>
      <c r="D4" s="299"/>
      <c r="E4" s="331" t="s">
        <v>281</v>
      </c>
      <c r="F4" s="332" t="s">
        <v>282</v>
      </c>
      <c r="G4" s="333" t="s">
        <v>283</v>
      </c>
      <c r="H4" s="334"/>
      <c r="I4" s="335"/>
      <c r="J4" s="336"/>
      <c r="K4" s="301"/>
      <c r="L4" s="336"/>
      <c r="M4" s="301"/>
      <c r="N4" s="336"/>
      <c r="O4" s="301"/>
      <c r="P4" s="336"/>
      <c r="Q4" s="301"/>
      <c r="R4" s="336"/>
      <c r="S4" s="301"/>
      <c r="T4" s="336"/>
    </row>
    <row r="5" spans="1:20" ht="12" customHeight="1" x14ac:dyDescent="0.3">
      <c r="A5" s="329" t="s">
        <v>291</v>
      </c>
      <c r="B5" s="330">
        <v>41</v>
      </c>
      <c r="C5" s="298">
        <v>46244</v>
      </c>
      <c r="D5" s="299" t="s">
        <v>1011</v>
      </c>
      <c r="E5" s="522"/>
      <c r="F5" s="522">
        <v>800</v>
      </c>
      <c r="G5" s="333">
        <f t="shared" ref="G5:G32" si="0">G6-E5+F5</f>
        <v>6425.3899999999921</v>
      </c>
      <c r="H5" s="334"/>
      <c r="I5" s="335"/>
      <c r="J5" s="336"/>
      <c r="K5" s="301"/>
      <c r="L5" s="336"/>
      <c r="M5" s="301"/>
      <c r="N5" s="336"/>
      <c r="O5" s="301"/>
      <c r="P5" s="336"/>
      <c r="Q5" s="301"/>
      <c r="R5" s="336"/>
      <c r="S5" s="301"/>
      <c r="T5" s="336"/>
    </row>
    <row r="6" spans="1:20" ht="12" customHeight="1" x14ac:dyDescent="0.3">
      <c r="A6" s="329" t="s">
        <v>291</v>
      </c>
      <c r="B6" s="330">
        <v>39</v>
      </c>
      <c r="C6" s="298">
        <v>46240</v>
      </c>
      <c r="D6" s="299" t="s">
        <v>292</v>
      </c>
      <c r="E6" s="522"/>
      <c r="F6" s="522">
        <v>2763.78</v>
      </c>
      <c r="G6" s="333">
        <f t="shared" si="0"/>
        <v>5625.3899999999921</v>
      </c>
      <c r="H6" s="334"/>
      <c r="I6" s="335"/>
      <c r="J6" s="336"/>
      <c r="K6" s="301"/>
      <c r="L6" s="336"/>
      <c r="M6" s="301"/>
      <c r="N6" s="336"/>
      <c r="O6" s="301"/>
      <c r="P6" s="336"/>
      <c r="Q6" s="301"/>
      <c r="R6" s="336"/>
      <c r="S6" s="301"/>
      <c r="T6" s="336"/>
    </row>
    <row r="7" spans="1:20" ht="12" customHeight="1" x14ac:dyDescent="0.3">
      <c r="A7" s="329" t="s">
        <v>291</v>
      </c>
      <c r="B7" s="330">
        <v>40</v>
      </c>
      <c r="C7" s="298">
        <v>46239</v>
      </c>
      <c r="D7" s="299" t="s">
        <v>316</v>
      </c>
      <c r="E7" s="522"/>
      <c r="F7" s="522">
        <v>837.18</v>
      </c>
      <c r="G7" s="333">
        <f t="shared" si="0"/>
        <v>2861.6099999999915</v>
      </c>
      <c r="H7" s="334"/>
      <c r="I7" s="335"/>
      <c r="J7" s="336"/>
      <c r="K7" s="301"/>
      <c r="L7" s="336"/>
      <c r="M7" s="301"/>
      <c r="N7" s="336"/>
      <c r="O7" s="301"/>
      <c r="P7" s="336"/>
      <c r="Q7" s="301"/>
      <c r="R7" s="336"/>
      <c r="S7" s="301"/>
      <c r="T7" s="336"/>
    </row>
    <row r="8" spans="1:20" ht="12" customHeight="1" x14ac:dyDescent="0.3">
      <c r="A8" s="329" t="s">
        <v>289</v>
      </c>
      <c r="B8" s="330">
        <v>6</v>
      </c>
      <c r="C8" s="298">
        <v>46238</v>
      </c>
      <c r="D8" s="299" t="s">
        <v>1010</v>
      </c>
      <c r="E8" s="522">
        <v>10</v>
      </c>
      <c r="F8" s="522"/>
      <c r="G8" s="333">
        <f t="shared" si="0"/>
        <v>2024.4299999999917</v>
      </c>
      <c r="H8" s="334"/>
      <c r="I8" s="335"/>
      <c r="J8" s="336"/>
      <c r="K8" s="301"/>
      <c r="L8" s="336"/>
      <c r="M8" s="301"/>
      <c r="N8" s="336"/>
      <c r="O8" s="301"/>
      <c r="P8" s="336"/>
      <c r="Q8" s="301"/>
      <c r="R8" s="336"/>
      <c r="S8" s="301"/>
      <c r="T8" s="336"/>
    </row>
    <row r="9" spans="1:20" ht="12" customHeight="1" x14ac:dyDescent="0.3">
      <c r="A9" s="329" t="s">
        <v>294</v>
      </c>
      <c r="B9" s="330">
        <v>17</v>
      </c>
      <c r="C9" s="298">
        <v>46238</v>
      </c>
      <c r="D9" s="299" t="s">
        <v>370</v>
      </c>
      <c r="E9" s="522">
        <v>99</v>
      </c>
      <c r="F9" s="522"/>
      <c r="G9" s="333">
        <f t="shared" si="0"/>
        <v>2034.4299999999917</v>
      </c>
      <c r="H9" s="334"/>
      <c r="I9" s="335">
        <v>2</v>
      </c>
      <c r="J9" s="336"/>
      <c r="K9" s="301"/>
      <c r="L9" s="336"/>
      <c r="M9" s="301"/>
      <c r="N9" s="336"/>
      <c r="O9" s="301"/>
      <c r="P9" s="336"/>
      <c r="Q9" s="301"/>
      <c r="R9" s="336"/>
      <c r="S9" s="301"/>
      <c r="T9" s="336"/>
    </row>
    <row r="10" spans="1:20" ht="12" customHeight="1" x14ac:dyDescent="0.3">
      <c r="A10" s="329" t="s">
        <v>294</v>
      </c>
      <c r="B10" s="330">
        <v>14</v>
      </c>
      <c r="C10" s="298">
        <v>46238</v>
      </c>
      <c r="D10" s="299" t="s">
        <v>367</v>
      </c>
      <c r="E10" s="522">
        <v>70.25</v>
      </c>
      <c r="F10" s="522"/>
      <c r="G10" s="333">
        <f t="shared" si="0"/>
        <v>2133.4299999999917</v>
      </c>
      <c r="H10" s="334"/>
      <c r="I10" s="335"/>
      <c r="J10" s="336"/>
      <c r="K10" s="301"/>
      <c r="L10" s="336"/>
      <c r="M10" s="301"/>
      <c r="N10" s="336"/>
      <c r="O10" s="301"/>
      <c r="P10" s="336"/>
      <c r="Q10" s="301"/>
      <c r="R10" s="336"/>
      <c r="S10" s="301"/>
      <c r="T10" s="336"/>
    </row>
    <row r="11" spans="1:20" ht="12" customHeight="1" x14ac:dyDescent="0.3">
      <c r="A11" s="329" t="s">
        <v>284</v>
      </c>
      <c r="B11" s="330">
        <v>37</v>
      </c>
      <c r="C11" s="298">
        <v>46238</v>
      </c>
      <c r="D11" s="299" t="s">
        <v>374</v>
      </c>
      <c r="E11" s="522">
        <v>50</v>
      </c>
      <c r="F11" s="522"/>
      <c r="G11" s="333">
        <f t="shared" si="0"/>
        <v>2203.6799999999917</v>
      </c>
      <c r="H11" s="334"/>
      <c r="I11" s="335"/>
      <c r="J11" s="336"/>
      <c r="K11" s="301"/>
      <c r="L11" s="336"/>
      <c r="M11" s="301"/>
      <c r="N11" s="336"/>
      <c r="O11" s="301"/>
      <c r="P11" s="336"/>
      <c r="Q11" s="301"/>
      <c r="R11" s="336"/>
      <c r="S11" s="301"/>
      <c r="T11" s="336"/>
    </row>
    <row r="12" spans="1:20" ht="12" customHeight="1" x14ac:dyDescent="0.3">
      <c r="A12" s="329" t="s">
        <v>289</v>
      </c>
      <c r="B12" s="330">
        <v>4</v>
      </c>
      <c r="C12" s="298">
        <v>46237</v>
      </c>
      <c r="D12" s="299" t="s">
        <v>296</v>
      </c>
      <c r="E12" s="522">
        <v>41.93</v>
      </c>
      <c r="F12" s="522"/>
      <c r="G12" s="333">
        <f t="shared" si="0"/>
        <v>2253.6799999999917</v>
      </c>
      <c r="H12" s="334"/>
      <c r="I12" s="335"/>
      <c r="J12" s="336"/>
      <c r="K12" s="301"/>
      <c r="L12" s="336"/>
      <c r="M12" s="301"/>
      <c r="N12" s="336"/>
      <c r="O12" s="301"/>
      <c r="P12" s="336"/>
      <c r="Q12" s="301"/>
      <c r="R12" s="336"/>
      <c r="S12" s="301"/>
      <c r="T12" s="336"/>
    </row>
    <row r="13" spans="1:20" ht="12" customHeight="1" x14ac:dyDescent="0.3">
      <c r="A13" s="329" t="s">
        <v>289</v>
      </c>
      <c r="B13" s="330">
        <v>2</v>
      </c>
      <c r="C13" s="298">
        <v>46237</v>
      </c>
      <c r="D13" s="299" t="s">
        <v>334</v>
      </c>
      <c r="E13" s="522">
        <v>15.09</v>
      </c>
      <c r="F13" s="522"/>
      <c r="G13" s="333">
        <f t="shared" si="0"/>
        <v>2295.6099999999915</v>
      </c>
      <c r="H13" s="334"/>
      <c r="I13" s="335"/>
      <c r="J13" s="336"/>
      <c r="K13" s="301"/>
      <c r="L13" s="336"/>
      <c r="M13" s="301"/>
      <c r="N13" s="336"/>
      <c r="O13" s="301"/>
      <c r="P13" s="336"/>
      <c r="Q13" s="301"/>
      <c r="R13" s="336"/>
      <c r="S13" s="301"/>
      <c r="T13" s="336"/>
    </row>
    <row r="14" spans="1:20" ht="12" customHeight="1" x14ac:dyDescent="0.3">
      <c r="A14" s="329" t="s">
        <v>294</v>
      </c>
      <c r="B14" s="330">
        <v>22</v>
      </c>
      <c r="C14" s="298">
        <v>46237</v>
      </c>
      <c r="D14" s="299" t="s">
        <v>953</v>
      </c>
      <c r="E14" s="522">
        <v>12.77</v>
      </c>
      <c r="F14" s="522"/>
      <c r="G14" s="333">
        <f t="shared" si="0"/>
        <v>2310.6999999999916</v>
      </c>
      <c r="H14" s="334"/>
      <c r="I14" s="335"/>
      <c r="J14" s="336"/>
      <c r="K14" s="301"/>
      <c r="L14" s="336"/>
      <c r="M14" s="301"/>
      <c r="N14" s="336"/>
      <c r="O14" s="301"/>
      <c r="P14" s="336"/>
      <c r="Q14" s="301"/>
      <c r="R14" s="336"/>
      <c r="S14" s="301"/>
      <c r="T14" s="336"/>
    </row>
    <row r="15" spans="1:20" ht="12" customHeight="1" x14ac:dyDescent="0.3">
      <c r="A15" s="329" t="s">
        <v>289</v>
      </c>
      <c r="B15" s="330">
        <v>1</v>
      </c>
      <c r="C15" s="298">
        <v>46236</v>
      </c>
      <c r="D15" s="299" t="s">
        <v>306</v>
      </c>
      <c r="E15" s="522">
        <v>132.79</v>
      </c>
      <c r="F15" s="522"/>
      <c r="G15" s="333">
        <f t="shared" si="0"/>
        <v>2323.4699999999916</v>
      </c>
      <c r="H15" s="334"/>
      <c r="I15" s="335"/>
      <c r="J15" s="336"/>
      <c r="K15" s="301"/>
      <c r="L15" s="336"/>
      <c r="M15" s="301"/>
      <c r="N15" s="336"/>
      <c r="O15" s="301"/>
      <c r="P15" s="336"/>
      <c r="Q15" s="301"/>
      <c r="R15" s="336"/>
      <c r="S15" s="301"/>
      <c r="T15" s="336"/>
    </row>
    <row r="16" spans="1:20" ht="12" customHeight="1" x14ac:dyDescent="0.3">
      <c r="A16" s="329" t="s">
        <v>289</v>
      </c>
      <c r="B16" s="330">
        <v>2</v>
      </c>
      <c r="C16" s="298">
        <v>46236</v>
      </c>
      <c r="D16" s="299" t="s">
        <v>358</v>
      </c>
      <c r="E16" s="522">
        <v>10.25</v>
      </c>
      <c r="F16" s="522"/>
      <c r="G16" s="333">
        <f t="shared" si="0"/>
        <v>2456.2599999999916</v>
      </c>
      <c r="H16" s="334"/>
      <c r="I16" s="335"/>
      <c r="J16" s="336"/>
      <c r="K16" s="301"/>
      <c r="L16" s="336"/>
      <c r="M16" s="301"/>
      <c r="N16" s="336"/>
      <c r="O16" s="301"/>
      <c r="P16" s="336"/>
      <c r="Q16" s="301"/>
      <c r="R16" s="336"/>
      <c r="S16" s="301"/>
      <c r="T16" s="336"/>
    </row>
    <row r="17" spans="1:20" ht="12" customHeight="1" x14ac:dyDescent="0.3">
      <c r="A17" s="329" t="s">
        <v>289</v>
      </c>
      <c r="B17" s="330">
        <v>6</v>
      </c>
      <c r="C17" s="298">
        <v>46236</v>
      </c>
      <c r="D17" s="299" t="s">
        <v>300</v>
      </c>
      <c r="E17" s="522">
        <v>24.48</v>
      </c>
      <c r="F17" s="522"/>
      <c r="G17" s="333">
        <f t="shared" si="0"/>
        <v>2466.5099999999916</v>
      </c>
      <c r="H17" s="334"/>
      <c r="I17" s="335"/>
      <c r="J17" s="336"/>
      <c r="K17" s="301"/>
      <c r="L17" s="336"/>
      <c r="M17" s="301"/>
      <c r="N17" s="336"/>
      <c r="O17" s="301"/>
      <c r="P17" s="336"/>
      <c r="Q17" s="301"/>
      <c r="R17" s="336"/>
      <c r="S17" s="301"/>
      <c r="T17" s="336"/>
    </row>
    <row r="18" spans="1:20" ht="12" customHeight="1" x14ac:dyDescent="0.3">
      <c r="A18" s="329" t="s">
        <v>289</v>
      </c>
      <c r="B18" s="330">
        <v>4</v>
      </c>
      <c r="C18" s="298">
        <v>46236</v>
      </c>
      <c r="D18" s="299" t="s">
        <v>455</v>
      </c>
      <c r="E18" s="522">
        <v>40.21</v>
      </c>
      <c r="F18" s="522"/>
      <c r="G18" s="333">
        <f t="shared" si="0"/>
        <v>2490.9899999999916</v>
      </c>
      <c r="H18" s="334"/>
      <c r="I18" s="335"/>
      <c r="J18" s="336"/>
      <c r="K18" s="301"/>
      <c r="L18" s="336"/>
      <c r="M18" s="301"/>
      <c r="N18" s="336"/>
      <c r="O18" s="301"/>
      <c r="P18" s="336"/>
      <c r="Q18" s="301"/>
      <c r="R18" s="336"/>
      <c r="S18" s="301"/>
      <c r="T18" s="336"/>
    </row>
    <row r="19" spans="1:20" ht="12" customHeight="1" x14ac:dyDescent="0.3">
      <c r="A19" s="329" t="s">
        <v>289</v>
      </c>
      <c r="B19" s="330">
        <v>8</v>
      </c>
      <c r="C19" s="298">
        <v>46235</v>
      </c>
      <c r="D19" s="299" t="s">
        <v>1008</v>
      </c>
      <c r="E19" s="522">
        <v>22.12</v>
      </c>
      <c r="F19" s="522"/>
      <c r="G19" s="333">
        <f t="shared" si="0"/>
        <v>2531.1999999999916</v>
      </c>
      <c r="H19" s="334"/>
      <c r="I19" s="335">
        <v>2</v>
      </c>
      <c r="J19" s="336"/>
      <c r="K19" s="301"/>
      <c r="L19" s="336"/>
      <c r="M19" s="301"/>
      <c r="N19" s="336"/>
      <c r="O19" s="301"/>
      <c r="P19" s="336"/>
      <c r="Q19" s="301"/>
      <c r="R19" s="336"/>
      <c r="S19" s="301"/>
      <c r="T19" s="336"/>
    </row>
    <row r="20" spans="1:20" ht="12" customHeight="1" x14ac:dyDescent="0.3">
      <c r="A20" s="329" t="s">
        <v>289</v>
      </c>
      <c r="B20" s="330">
        <v>5</v>
      </c>
      <c r="C20" s="298">
        <v>46235</v>
      </c>
      <c r="D20" s="299" t="s">
        <v>1009</v>
      </c>
      <c r="E20" s="522">
        <v>40</v>
      </c>
      <c r="F20" s="522"/>
      <c r="G20" s="333">
        <f t="shared" si="0"/>
        <v>2553.3199999999915</v>
      </c>
      <c r="H20" s="334"/>
      <c r="I20" s="335">
        <v>2</v>
      </c>
      <c r="J20" s="336"/>
      <c r="K20" s="301"/>
      <c r="L20" s="336"/>
      <c r="M20" s="301"/>
      <c r="N20" s="336"/>
      <c r="O20" s="301"/>
      <c r="P20" s="336"/>
      <c r="Q20" s="301"/>
      <c r="R20" s="336"/>
      <c r="S20" s="301"/>
      <c r="T20" s="336"/>
    </row>
    <row r="21" spans="1:20" ht="12" customHeight="1" x14ac:dyDescent="0.3">
      <c r="A21" s="329" t="s">
        <v>289</v>
      </c>
      <c r="B21" s="330">
        <v>8</v>
      </c>
      <c r="C21" s="298">
        <v>46235</v>
      </c>
      <c r="D21" s="299" t="s">
        <v>319</v>
      </c>
      <c r="E21" s="522">
        <v>8.86</v>
      </c>
      <c r="F21" s="522"/>
      <c r="G21" s="333">
        <f t="shared" si="0"/>
        <v>2593.3199999999915</v>
      </c>
      <c r="H21" s="334"/>
      <c r="I21" s="335"/>
      <c r="J21" s="336"/>
      <c r="K21" s="301"/>
      <c r="L21" s="336"/>
      <c r="M21" s="301"/>
      <c r="N21" s="336"/>
      <c r="O21" s="301"/>
      <c r="P21" s="336"/>
      <c r="Q21" s="301"/>
      <c r="R21" s="336"/>
      <c r="S21" s="301"/>
      <c r="T21" s="336"/>
    </row>
    <row r="22" spans="1:20" ht="12" customHeight="1" x14ac:dyDescent="0.3">
      <c r="A22" s="329" t="s">
        <v>289</v>
      </c>
      <c r="B22" s="330">
        <v>5</v>
      </c>
      <c r="C22" s="298">
        <v>46235</v>
      </c>
      <c r="D22" s="299" t="s">
        <v>484</v>
      </c>
      <c r="E22" s="522">
        <v>52.06</v>
      </c>
      <c r="F22" s="522"/>
      <c r="G22" s="333">
        <f t="shared" si="0"/>
        <v>2602.1799999999917</v>
      </c>
      <c r="H22" s="334"/>
      <c r="I22" s="335"/>
      <c r="J22" s="336"/>
      <c r="K22" s="301"/>
      <c r="L22" s="336"/>
      <c r="M22" s="301"/>
      <c r="N22" s="336"/>
      <c r="O22" s="301"/>
      <c r="P22" s="336"/>
      <c r="Q22" s="301"/>
      <c r="R22" s="336"/>
      <c r="S22" s="301"/>
      <c r="T22" s="336"/>
    </row>
    <row r="23" spans="1:20" ht="12" customHeight="1" x14ac:dyDescent="0.3">
      <c r="A23" s="329" t="s">
        <v>289</v>
      </c>
      <c r="B23" s="330">
        <v>6</v>
      </c>
      <c r="C23" s="298">
        <v>46235</v>
      </c>
      <c r="D23" s="299" t="s">
        <v>484</v>
      </c>
      <c r="E23" s="522">
        <v>52.06</v>
      </c>
      <c r="F23" s="522"/>
      <c r="G23" s="333">
        <f t="shared" si="0"/>
        <v>2654.2399999999916</v>
      </c>
      <c r="H23" s="334"/>
      <c r="I23" s="335"/>
      <c r="J23" s="336"/>
      <c r="K23" s="301"/>
      <c r="L23" s="336"/>
      <c r="M23" s="301"/>
      <c r="N23" s="336"/>
      <c r="O23" s="301"/>
      <c r="P23" s="336"/>
      <c r="Q23" s="301"/>
      <c r="R23" s="336"/>
      <c r="S23" s="301"/>
      <c r="T23" s="336"/>
    </row>
    <row r="24" spans="1:20" ht="12" customHeight="1" x14ac:dyDescent="0.3">
      <c r="A24" s="329" t="s">
        <v>294</v>
      </c>
      <c r="B24" s="330">
        <v>22</v>
      </c>
      <c r="C24" s="298">
        <v>46235</v>
      </c>
      <c r="D24" s="299" t="s">
        <v>375</v>
      </c>
      <c r="E24" s="522">
        <v>6.37</v>
      </c>
      <c r="F24" s="522"/>
      <c r="G24" s="333">
        <f t="shared" si="0"/>
        <v>2706.2999999999915</v>
      </c>
      <c r="H24" s="334"/>
      <c r="I24" s="335"/>
      <c r="J24" s="336"/>
      <c r="K24" s="301"/>
      <c r="L24" s="336"/>
      <c r="M24" s="301"/>
      <c r="N24" s="336"/>
      <c r="O24" s="301"/>
      <c r="P24" s="336"/>
      <c r="Q24" s="301"/>
      <c r="R24" s="336"/>
      <c r="S24" s="301"/>
      <c r="T24" s="336"/>
    </row>
    <row r="25" spans="1:20" ht="12" customHeight="1" x14ac:dyDescent="0.3">
      <c r="A25" s="329" t="s">
        <v>287</v>
      </c>
      <c r="B25" s="330" t="s">
        <v>287</v>
      </c>
      <c r="C25" s="298">
        <v>46235</v>
      </c>
      <c r="D25" s="299" t="s">
        <v>1007</v>
      </c>
      <c r="E25" s="522">
        <v>121.4</v>
      </c>
      <c r="F25" s="522">
        <v>121.4</v>
      </c>
      <c r="G25" s="333">
        <f t="shared" si="0"/>
        <v>2712.6699999999914</v>
      </c>
      <c r="H25" s="334"/>
      <c r="I25" s="335"/>
      <c r="J25" s="336"/>
      <c r="K25" s="301"/>
      <c r="L25" s="336"/>
      <c r="M25" s="301"/>
      <c r="N25" s="336"/>
      <c r="O25" s="301"/>
      <c r="P25" s="336"/>
      <c r="Q25" s="301"/>
      <c r="R25" s="336"/>
      <c r="S25" s="301"/>
      <c r="T25" s="336"/>
    </row>
    <row r="26" spans="1:20" ht="12" customHeight="1" x14ac:dyDescent="0.3">
      <c r="A26" s="329"/>
      <c r="B26" s="330"/>
      <c r="C26" s="298">
        <v>46235</v>
      </c>
      <c r="D26" s="299" t="s">
        <v>986</v>
      </c>
      <c r="E26" s="522">
        <v>174.61</v>
      </c>
      <c r="F26" s="522"/>
      <c r="G26" s="333">
        <f t="shared" si="0"/>
        <v>2712.6699999999914</v>
      </c>
      <c r="H26" s="334"/>
      <c r="I26" s="335"/>
      <c r="J26" s="336"/>
      <c r="K26" s="301"/>
      <c r="L26" s="336"/>
      <c r="M26" s="301"/>
      <c r="N26" s="336"/>
      <c r="O26" s="301"/>
      <c r="P26" s="336"/>
      <c r="Q26" s="301"/>
      <c r="R26" s="336"/>
      <c r="S26" s="301"/>
      <c r="T26" s="336"/>
    </row>
    <row r="27" spans="1:20" ht="12" customHeight="1" x14ac:dyDescent="0.3">
      <c r="A27" s="329" t="s">
        <v>284</v>
      </c>
      <c r="B27" s="330">
        <v>37</v>
      </c>
      <c r="C27" s="298">
        <v>46234</v>
      </c>
      <c r="D27" s="299" t="s">
        <v>1004</v>
      </c>
      <c r="E27" s="522">
        <v>8746.27</v>
      </c>
      <c r="F27" s="522"/>
      <c r="G27" s="333">
        <f t="shared" si="0"/>
        <v>2887.2799999999916</v>
      </c>
      <c r="H27" s="334"/>
      <c r="I27" s="335"/>
      <c r="J27" s="336"/>
      <c r="K27" s="301"/>
      <c r="L27" s="336"/>
      <c r="M27" s="301"/>
      <c r="N27" s="336"/>
      <c r="O27" s="301"/>
      <c r="P27" s="336"/>
      <c r="Q27" s="301"/>
      <c r="R27" s="336"/>
      <c r="S27" s="301"/>
      <c r="T27" s="336"/>
    </row>
    <row r="28" spans="1:20" ht="12" customHeight="1" x14ac:dyDescent="0.3">
      <c r="A28" s="329" t="s">
        <v>286</v>
      </c>
      <c r="B28" s="330">
        <v>25</v>
      </c>
      <c r="C28" s="298">
        <v>46234</v>
      </c>
      <c r="D28" s="298" t="s">
        <v>204</v>
      </c>
      <c r="E28" s="331">
        <v>350</v>
      </c>
      <c r="F28" s="522"/>
      <c r="G28" s="333">
        <f t="shared" si="0"/>
        <v>11633.549999999992</v>
      </c>
      <c r="H28" s="334"/>
      <c r="I28" s="335"/>
      <c r="J28" s="336"/>
      <c r="K28" s="301"/>
      <c r="L28" s="336"/>
      <c r="M28" s="301"/>
      <c r="N28" s="336"/>
      <c r="O28" s="301"/>
      <c r="P28" s="336"/>
      <c r="Q28" s="301"/>
      <c r="R28" s="336"/>
      <c r="S28" s="301"/>
      <c r="T28" s="336"/>
    </row>
    <row r="29" spans="1:20" ht="12" customHeight="1" x14ac:dyDescent="0.3">
      <c r="A29" s="329" t="s">
        <v>286</v>
      </c>
      <c r="B29" s="330">
        <v>26</v>
      </c>
      <c r="C29" s="298">
        <v>46234</v>
      </c>
      <c r="D29" s="298" t="s">
        <v>205</v>
      </c>
      <c r="E29" s="331">
        <v>320</v>
      </c>
      <c r="F29" s="522"/>
      <c r="G29" s="333">
        <f t="shared" si="0"/>
        <v>11983.549999999992</v>
      </c>
      <c r="H29" s="334"/>
      <c r="I29" s="335"/>
      <c r="J29" s="336"/>
      <c r="K29" s="301"/>
      <c r="L29" s="336"/>
      <c r="M29" s="301"/>
      <c r="N29" s="336"/>
      <c r="O29" s="301"/>
      <c r="P29" s="336"/>
      <c r="Q29" s="301"/>
      <c r="R29" s="336"/>
      <c r="S29" s="301"/>
      <c r="T29" s="336"/>
    </row>
    <row r="30" spans="1:20" ht="12" customHeight="1" x14ac:dyDescent="0.3">
      <c r="A30" s="329" t="s">
        <v>286</v>
      </c>
      <c r="B30" s="330">
        <v>27</v>
      </c>
      <c r="C30" s="298">
        <v>46234</v>
      </c>
      <c r="D30" s="298" t="s">
        <v>206</v>
      </c>
      <c r="E30" s="331">
        <v>25</v>
      </c>
      <c r="F30" s="522"/>
      <c r="G30" s="333">
        <f t="shared" si="0"/>
        <v>12303.549999999992</v>
      </c>
      <c r="H30" s="334"/>
      <c r="I30" s="335"/>
      <c r="J30" s="336"/>
      <c r="K30" s="301"/>
      <c r="L30" s="336"/>
      <c r="M30" s="301"/>
      <c r="N30" s="336"/>
      <c r="O30" s="301"/>
      <c r="P30" s="336"/>
      <c r="Q30" s="301"/>
      <c r="R30" s="336"/>
      <c r="S30" s="301"/>
      <c r="T30" s="336"/>
    </row>
    <row r="31" spans="1:20" ht="12" customHeight="1" x14ac:dyDescent="0.3">
      <c r="A31" s="329" t="s">
        <v>286</v>
      </c>
      <c r="B31" s="330">
        <v>28</v>
      </c>
      <c r="C31" s="298">
        <v>46234</v>
      </c>
      <c r="D31" s="298" t="s">
        <v>207</v>
      </c>
      <c r="E31" s="331">
        <v>25</v>
      </c>
      <c r="F31" s="522"/>
      <c r="G31" s="333">
        <f t="shared" si="0"/>
        <v>12328.549999999992</v>
      </c>
      <c r="H31" s="334"/>
      <c r="I31" s="335"/>
      <c r="J31" s="336"/>
      <c r="K31" s="301"/>
      <c r="L31" s="336"/>
      <c r="M31" s="301"/>
      <c r="N31" s="336"/>
      <c r="O31" s="301"/>
      <c r="P31" s="336"/>
      <c r="Q31" s="301"/>
      <c r="R31" s="336"/>
      <c r="S31" s="301"/>
      <c r="T31" s="336"/>
    </row>
    <row r="32" spans="1:20" ht="12" customHeight="1" x14ac:dyDescent="0.3">
      <c r="A32" s="329" t="s">
        <v>286</v>
      </c>
      <c r="B32" s="330">
        <v>29</v>
      </c>
      <c r="C32" s="298">
        <v>46234</v>
      </c>
      <c r="D32" s="298" t="s">
        <v>208</v>
      </c>
      <c r="E32" s="331">
        <v>45</v>
      </c>
      <c r="F32" s="522"/>
      <c r="G32" s="333">
        <f t="shared" si="0"/>
        <v>12353.549999999992</v>
      </c>
      <c r="H32" s="334"/>
      <c r="I32" s="335"/>
      <c r="J32" s="336"/>
      <c r="K32" s="301"/>
      <c r="L32" s="336"/>
      <c r="M32" s="301"/>
      <c r="N32" s="336"/>
      <c r="O32" s="301"/>
      <c r="P32" s="336"/>
      <c r="Q32" s="301"/>
      <c r="R32" s="336"/>
      <c r="S32" s="301"/>
      <c r="T32" s="336"/>
    </row>
    <row r="33" spans="1:20" ht="12" customHeight="1" x14ac:dyDescent="0.3">
      <c r="A33" s="329" t="s">
        <v>286</v>
      </c>
      <c r="B33" s="330">
        <v>30</v>
      </c>
      <c r="C33" s="298">
        <v>46234</v>
      </c>
      <c r="D33" s="298" t="s">
        <v>209</v>
      </c>
      <c r="E33" s="331">
        <v>400</v>
      </c>
      <c r="F33" s="522"/>
      <c r="G33" s="333">
        <f t="shared" ref="G33:G55" si="1">G34-E33+F33</f>
        <v>12398.549999999992</v>
      </c>
      <c r="H33" s="334"/>
      <c r="I33" s="335"/>
      <c r="J33" s="336"/>
      <c r="K33" s="301"/>
      <c r="L33" s="336"/>
      <c r="M33" s="301"/>
      <c r="N33" s="336"/>
      <c r="O33" s="301"/>
      <c r="P33" s="336"/>
      <c r="Q33" s="301"/>
      <c r="R33" s="336"/>
      <c r="S33" s="301"/>
      <c r="T33" s="336"/>
    </row>
    <row r="34" spans="1:20" ht="12" customHeight="1" x14ac:dyDescent="0.3">
      <c r="A34" s="329" t="s">
        <v>286</v>
      </c>
      <c r="B34" s="330">
        <v>31</v>
      </c>
      <c r="C34" s="298">
        <v>46234</v>
      </c>
      <c r="D34" s="298" t="s">
        <v>210</v>
      </c>
      <c r="E34" s="331">
        <v>375</v>
      </c>
      <c r="F34" s="522"/>
      <c r="G34" s="333">
        <f t="shared" si="1"/>
        <v>12798.549999999992</v>
      </c>
      <c r="H34" s="334"/>
      <c r="I34" s="335"/>
      <c r="J34" s="336"/>
      <c r="K34" s="301"/>
      <c r="L34" s="336"/>
      <c r="M34" s="301"/>
      <c r="N34" s="336"/>
      <c r="O34" s="301"/>
      <c r="P34" s="336"/>
      <c r="Q34" s="301"/>
      <c r="R34" s="336"/>
      <c r="S34" s="301"/>
      <c r="T34" s="336"/>
    </row>
    <row r="35" spans="1:20" ht="12" customHeight="1" x14ac:dyDescent="0.3">
      <c r="A35" s="329" t="s">
        <v>286</v>
      </c>
      <c r="B35" s="330">
        <v>32</v>
      </c>
      <c r="C35" s="298">
        <v>46234</v>
      </c>
      <c r="D35" s="298" t="s">
        <v>211</v>
      </c>
      <c r="E35" s="331">
        <v>100</v>
      </c>
      <c r="F35" s="522"/>
      <c r="G35" s="333">
        <f t="shared" si="1"/>
        <v>13173.549999999992</v>
      </c>
      <c r="H35" s="334"/>
      <c r="I35" s="335"/>
      <c r="J35" s="336"/>
      <c r="K35" s="301"/>
      <c r="L35" s="336"/>
      <c r="M35" s="301"/>
      <c r="N35" s="336"/>
      <c r="O35" s="301"/>
      <c r="P35" s="336"/>
      <c r="Q35" s="301"/>
      <c r="R35" s="336"/>
      <c r="S35" s="301"/>
      <c r="T35" s="336"/>
    </row>
    <row r="36" spans="1:20" ht="12" customHeight="1" x14ac:dyDescent="0.3">
      <c r="A36" s="329" t="s">
        <v>286</v>
      </c>
      <c r="B36" s="330">
        <v>33</v>
      </c>
      <c r="C36" s="298">
        <v>46234</v>
      </c>
      <c r="D36" s="298" t="s">
        <v>212</v>
      </c>
      <c r="E36" s="331">
        <v>85</v>
      </c>
      <c r="F36" s="522"/>
      <c r="G36" s="333">
        <f t="shared" si="1"/>
        <v>13273.549999999992</v>
      </c>
      <c r="H36" s="334"/>
      <c r="I36" s="335"/>
      <c r="J36" s="336"/>
      <c r="K36" s="301"/>
      <c r="L36" s="336"/>
      <c r="M36" s="301"/>
      <c r="N36" s="336"/>
      <c r="O36" s="301"/>
      <c r="P36" s="336"/>
      <c r="Q36" s="301"/>
      <c r="R36" s="336"/>
      <c r="S36" s="301"/>
      <c r="T36" s="336"/>
    </row>
    <row r="37" spans="1:20" ht="12" customHeight="1" x14ac:dyDescent="0.3">
      <c r="A37" s="329" t="s">
        <v>286</v>
      </c>
      <c r="B37" s="330">
        <v>34</v>
      </c>
      <c r="C37" s="298">
        <v>46234</v>
      </c>
      <c r="D37" s="298" t="s">
        <v>213</v>
      </c>
      <c r="E37" s="331">
        <v>230</v>
      </c>
      <c r="F37" s="522"/>
      <c r="G37" s="333">
        <f t="shared" si="1"/>
        <v>13358.549999999992</v>
      </c>
      <c r="H37" s="334"/>
      <c r="I37" s="335"/>
      <c r="J37" s="336"/>
      <c r="K37" s="301"/>
      <c r="L37" s="336"/>
      <c r="M37" s="301"/>
      <c r="N37" s="336"/>
      <c r="O37" s="301"/>
      <c r="P37" s="336"/>
      <c r="Q37" s="301"/>
      <c r="R37" s="336"/>
      <c r="S37" s="301"/>
      <c r="T37" s="336"/>
    </row>
    <row r="38" spans="1:20" ht="12" customHeight="1" x14ac:dyDescent="0.3">
      <c r="A38" s="329" t="s">
        <v>286</v>
      </c>
      <c r="B38" s="330">
        <v>35</v>
      </c>
      <c r="C38" s="298">
        <v>46234</v>
      </c>
      <c r="D38" s="298" t="s">
        <v>214</v>
      </c>
      <c r="E38" s="331">
        <v>45</v>
      </c>
      <c r="F38" s="522"/>
      <c r="G38" s="333">
        <f t="shared" si="1"/>
        <v>13588.549999999992</v>
      </c>
      <c r="H38" s="334"/>
      <c r="I38" s="335"/>
      <c r="J38" s="336"/>
      <c r="K38" s="301"/>
      <c r="L38" s="336"/>
      <c r="M38" s="301"/>
      <c r="N38" s="336"/>
      <c r="O38" s="301"/>
      <c r="P38" s="336"/>
      <c r="Q38" s="301"/>
      <c r="R38" s="336"/>
      <c r="S38" s="301"/>
      <c r="T38" s="336"/>
    </row>
    <row r="39" spans="1:20" ht="12" customHeight="1" x14ac:dyDescent="0.3">
      <c r="A39" s="329" t="s">
        <v>291</v>
      </c>
      <c r="B39" s="330">
        <v>38</v>
      </c>
      <c r="C39" s="298">
        <v>46234</v>
      </c>
      <c r="D39" s="299" t="s">
        <v>293</v>
      </c>
      <c r="E39" s="522"/>
      <c r="F39" s="522">
        <v>4720.8599999999997</v>
      </c>
      <c r="G39" s="333">
        <f t="shared" si="1"/>
        <v>13633.549999999992</v>
      </c>
      <c r="H39" s="334"/>
      <c r="I39" s="335"/>
      <c r="J39" s="336"/>
      <c r="K39" s="301"/>
      <c r="L39" s="336"/>
      <c r="M39" s="301"/>
      <c r="N39" s="336"/>
      <c r="O39" s="301"/>
      <c r="P39" s="336"/>
      <c r="Q39" s="301"/>
      <c r="R39" s="336"/>
      <c r="S39" s="301"/>
      <c r="T39" s="336"/>
    </row>
    <row r="40" spans="1:20" ht="12" customHeight="1" x14ac:dyDescent="0.3">
      <c r="A40" s="329" t="s">
        <v>294</v>
      </c>
      <c r="B40" s="330">
        <v>10</v>
      </c>
      <c r="C40" s="298">
        <v>46234</v>
      </c>
      <c r="D40" s="299" t="s">
        <v>176</v>
      </c>
      <c r="E40" s="522">
        <v>17.899999999999999</v>
      </c>
      <c r="F40" s="522"/>
      <c r="G40" s="333">
        <f t="shared" si="1"/>
        <v>8912.6899999999932</v>
      </c>
      <c r="H40" s="334"/>
      <c r="I40" s="335"/>
      <c r="J40" s="336"/>
      <c r="K40" s="301"/>
      <c r="L40" s="336"/>
      <c r="M40" s="301"/>
      <c r="N40" s="336"/>
      <c r="O40" s="301"/>
      <c r="P40" s="336"/>
      <c r="Q40" s="301"/>
      <c r="R40" s="336"/>
      <c r="S40" s="301"/>
      <c r="T40" s="336"/>
    </row>
    <row r="41" spans="1:20" ht="12" customHeight="1" x14ac:dyDescent="0.3">
      <c r="A41" s="329" t="s">
        <v>289</v>
      </c>
      <c r="B41" s="330">
        <v>5</v>
      </c>
      <c r="C41" s="298">
        <v>46233</v>
      </c>
      <c r="D41" s="299" t="s">
        <v>484</v>
      </c>
      <c r="E41" s="522">
        <v>20.59</v>
      </c>
      <c r="F41" s="522"/>
      <c r="G41" s="333">
        <f t="shared" si="1"/>
        <v>8930.5899999999929</v>
      </c>
      <c r="H41" s="334"/>
      <c r="I41" s="335"/>
      <c r="J41" s="336"/>
      <c r="K41" s="301"/>
      <c r="L41" s="336"/>
      <c r="M41" s="301"/>
      <c r="N41" s="336"/>
      <c r="O41" s="301"/>
      <c r="P41" s="336"/>
      <c r="Q41" s="301"/>
      <c r="R41" s="336"/>
      <c r="S41" s="301"/>
      <c r="T41" s="336"/>
    </row>
    <row r="42" spans="1:20" ht="12" customHeight="1" x14ac:dyDescent="0.3">
      <c r="A42" s="329" t="s">
        <v>289</v>
      </c>
      <c r="B42" s="330">
        <v>2</v>
      </c>
      <c r="C42" s="298">
        <v>46233</v>
      </c>
      <c r="D42" s="299" t="s">
        <v>386</v>
      </c>
      <c r="E42" s="522">
        <v>23.87</v>
      </c>
      <c r="F42" s="522"/>
      <c r="G42" s="333">
        <f t="shared" si="1"/>
        <v>8951.179999999993</v>
      </c>
      <c r="H42" s="334"/>
      <c r="I42" s="335"/>
      <c r="J42" s="336"/>
      <c r="K42" s="301"/>
      <c r="L42" s="336"/>
      <c r="M42" s="301"/>
      <c r="N42" s="336"/>
      <c r="O42" s="301"/>
      <c r="P42" s="336"/>
      <c r="Q42" s="301"/>
      <c r="R42" s="336"/>
      <c r="S42" s="301"/>
      <c r="T42" s="336"/>
    </row>
    <row r="43" spans="1:20" ht="12" customHeight="1" x14ac:dyDescent="0.3">
      <c r="A43" s="329" t="s">
        <v>289</v>
      </c>
      <c r="B43" s="330">
        <v>6</v>
      </c>
      <c r="C43" s="298">
        <v>46233</v>
      </c>
      <c r="D43" s="299" t="s">
        <v>1003</v>
      </c>
      <c r="E43" s="522">
        <v>-100</v>
      </c>
      <c r="F43" s="522"/>
      <c r="G43" s="333">
        <f t="shared" si="1"/>
        <v>8975.0499999999938</v>
      </c>
      <c r="H43" s="334" t="s">
        <v>298</v>
      </c>
      <c r="I43" s="335"/>
      <c r="J43" s="336"/>
      <c r="K43" s="301"/>
      <c r="L43" s="336"/>
      <c r="M43" s="301"/>
      <c r="N43" s="336"/>
      <c r="O43" s="301"/>
      <c r="P43" s="336"/>
      <c r="Q43" s="301"/>
      <c r="R43" s="336"/>
      <c r="S43" s="301"/>
      <c r="T43" s="336"/>
    </row>
    <row r="44" spans="1:20" ht="12" customHeight="1" x14ac:dyDescent="0.3">
      <c r="A44" s="329" t="s">
        <v>289</v>
      </c>
      <c r="B44" s="330">
        <v>6</v>
      </c>
      <c r="C44" s="298">
        <v>46233</v>
      </c>
      <c r="D44" s="299" t="s">
        <v>1000</v>
      </c>
      <c r="E44" s="522">
        <v>-100</v>
      </c>
      <c r="F44" s="522"/>
      <c r="G44" s="333">
        <f t="shared" si="1"/>
        <v>8875.0499999999938</v>
      </c>
      <c r="H44" s="334"/>
      <c r="I44" s="335"/>
      <c r="J44" s="336"/>
      <c r="K44" s="301"/>
      <c r="L44" s="336"/>
      <c r="M44" s="301"/>
      <c r="N44" s="336"/>
      <c r="O44" s="301"/>
      <c r="P44" s="336"/>
      <c r="Q44" s="301"/>
      <c r="R44" s="336"/>
      <c r="S44" s="301"/>
      <c r="T44" s="336"/>
    </row>
    <row r="45" spans="1:20" ht="12" customHeight="1" x14ac:dyDescent="0.3">
      <c r="A45" s="329" t="s">
        <v>289</v>
      </c>
      <c r="B45" s="330">
        <v>2</v>
      </c>
      <c r="C45" s="298">
        <v>46233</v>
      </c>
      <c r="D45" s="299" t="s">
        <v>1006</v>
      </c>
      <c r="E45" s="522">
        <v>16</v>
      </c>
      <c r="F45" s="522"/>
      <c r="G45" s="333">
        <f t="shared" si="1"/>
        <v>8775.0499999999938</v>
      </c>
      <c r="H45" s="334"/>
      <c r="I45" s="335"/>
      <c r="J45" s="336"/>
      <c r="K45" s="301"/>
      <c r="L45" s="336"/>
      <c r="M45" s="301"/>
      <c r="N45" s="336"/>
      <c r="O45" s="301"/>
      <c r="P45" s="336"/>
      <c r="Q45" s="301"/>
      <c r="R45" s="336"/>
      <c r="S45" s="301"/>
      <c r="T45" s="336"/>
    </row>
    <row r="46" spans="1:20" ht="12" customHeight="1" x14ac:dyDescent="0.3">
      <c r="A46" s="329" t="s">
        <v>289</v>
      </c>
      <c r="B46" s="330">
        <v>2</v>
      </c>
      <c r="C46" s="298">
        <v>46232</v>
      </c>
      <c r="D46" s="299" t="s">
        <v>308</v>
      </c>
      <c r="E46" s="522">
        <v>60.77</v>
      </c>
      <c r="F46" s="522"/>
      <c r="G46" s="333">
        <f t="shared" si="1"/>
        <v>8791.0499999999938</v>
      </c>
      <c r="H46" s="334"/>
      <c r="I46" s="335"/>
      <c r="J46" s="336"/>
      <c r="K46" s="301"/>
      <c r="L46" s="336"/>
      <c r="M46" s="301"/>
      <c r="N46" s="336"/>
      <c r="O46" s="301"/>
      <c r="P46" s="336"/>
      <c r="Q46" s="301"/>
      <c r="R46" s="336"/>
      <c r="S46" s="301"/>
      <c r="T46" s="336"/>
    </row>
    <row r="47" spans="1:20" ht="12" customHeight="1" x14ac:dyDescent="0.3">
      <c r="A47" s="329" t="s">
        <v>294</v>
      </c>
      <c r="B47" s="330">
        <v>21</v>
      </c>
      <c r="C47" s="298">
        <v>46232</v>
      </c>
      <c r="D47" s="299" t="s">
        <v>194</v>
      </c>
      <c r="E47" s="522">
        <v>31.47</v>
      </c>
      <c r="F47" s="522"/>
      <c r="G47" s="333">
        <f t="shared" si="1"/>
        <v>8851.8199999999943</v>
      </c>
      <c r="H47" s="334"/>
      <c r="I47" s="335"/>
      <c r="J47" s="336"/>
      <c r="K47" s="301"/>
      <c r="L47" s="336"/>
      <c r="M47" s="301"/>
      <c r="N47" s="336"/>
      <c r="O47" s="301"/>
      <c r="P47" s="336"/>
      <c r="Q47" s="301"/>
      <c r="R47" s="336"/>
      <c r="S47" s="301"/>
      <c r="T47" s="336"/>
    </row>
    <row r="48" spans="1:20" ht="12" customHeight="1" x14ac:dyDescent="0.3">
      <c r="A48" s="329" t="s">
        <v>294</v>
      </c>
      <c r="B48" s="330">
        <v>21</v>
      </c>
      <c r="C48" s="298">
        <v>46232</v>
      </c>
      <c r="D48" s="299" t="s">
        <v>194</v>
      </c>
      <c r="E48" s="522">
        <v>16.2</v>
      </c>
      <c r="F48" s="522"/>
      <c r="G48" s="333">
        <f t="shared" si="1"/>
        <v>8883.2899999999936</v>
      </c>
      <c r="H48" s="334"/>
      <c r="I48" s="335"/>
      <c r="J48" s="336"/>
      <c r="K48" s="301"/>
      <c r="L48" s="336"/>
      <c r="M48" s="301"/>
      <c r="N48" s="336"/>
      <c r="O48" s="301"/>
      <c r="P48" s="336"/>
      <c r="Q48" s="301"/>
      <c r="R48" s="336"/>
      <c r="S48" s="301"/>
      <c r="T48" s="336"/>
    </row>
    <row r="49" spans="1:20" ht="12" customHeight="1" x14ac:dyDescent="0.3">
      <c r="A49" s="329" t="s">
        <v>289</v>
      </c>
      <c r="B49" s="330">
        <v>2</v>
      </c>
      <c r="C49" s="298">
        <v>46232</v>
      </c>
      <c r="D49" s="299" t="s">
        <v>346</v>
      </c>
      <c r="E49" s="522">
        <v>11.43</v>
      </c>
      <c r="F49" s="522"/>
      <c r="G49" s="333">
        <f t="shared" si="1"/>
        <v>8899.4899999999943</v>
      </c>
      <c r="H49" s="334"/>
      <c r="I49" s="335"/>
      <c r="J49" s="336"/>
      <c r="K49" s="301"/>
      <c r="L49" s="336"/>
      <c r="M49" s="301"/>
      <c r="N49" s="336"/>
      <c r="O49" s="301"/>
      <c r="P49" s="336"/>
      <c r="Q49" s="301"/>
      <c r="R49" s="336"/>
      <c r="S49" s="301"/>
      <c r="T49" s="336"/>
    </row>
    <row r="50" spans="1:20" ht="12" customHeight="1" x14ac:dyDescent="0.3">
      <c r="A50" s="329" t="s">
        <v>289</v>
      </c>
      <c r="B50" s="330">
        <v>2</v>
      </c>
      <c r="C50" s="298">
        <v>46232</v>
      </c>
      <c r="D50" s="299" t="s">
        <v>358</v>
      </c>
      <c r="E50" s="522">
        <v>9.9700000000000006</v>
      </c>
      <c r="F50" s="522"/>
      <c r="G50" s="333">
        <f t="shared" si="1"/>
        <v>8910.9199999999946</v>
      </c>
      <c r="H50" s="334"/>
      <c r="I50" s="335"/>
      <c r="J50" s="336"/>
      <c r="K50" s="301"/>
      <c r="L50" s="336"/>
      <c r="M50" s="301"/>
      <c r="N50" s="336"/>
      <c r="O50" s="301"/>
      <c r="P50" s="336"/>
      <c r="Q50" s="301"/>
      <c r="R50" s="336"/>
      <c r="S50" s="301"/>
      <c r="T50" s="336"/>
    </row>
    <row r="51" spans="1:20" ht="12" customHeight="1" x14ac:dyDescent="0.3">
      <c r="A51" s="329" t="s">
        <v>289</v>
      </c>
      <c r="B51" s="330">
        <v>5</v>
      </c>
      <c r="C51" s="298">
        <v>46232</v>
      </c>
      <c r="D51" s="299" t="s">
        <v>484</v>
      </c>
      <c r="E51" s="522">
        <v>82.36</v>
      </c>
      <c r="F51" s="522"/>
      <c r="G51" s="333">
        <f t="shared" si="1"/>
        <v>8920.889999999994</v>
      </c>
      <c r="H51" s="334"/>
      <c r="I51" s="335"/>
      <c r="J51" s="336"/>
      <c r="K51" s="301"/>
      <c r="L51" s="336"/>
      <c r="M51" s="301"/>
      <c r="N51" s="336"/>
      <c r="O51" s="301"/>
      <c r="P51" s="336"/>
      <c r="Q51" s="301"/>
      <c r="R51" s="336"/>
      <c r="S51" s="301"/>
      <c r="T51" s="336"/>
    </row>
    <row r="52" spans="1:20" ht="12" customHeight="1" x14ac:dyDescent="0.3">
      <c r="A52" s="329" t="s">
        <v>294</v>
      </c>
      <c r="B52" s="330">
        <v>24</v>
      </c>
      <c r="C52" s="298">
        <v>46232</v>
      </c>
      <c r="D52" s="299" t="s">
        <v>860</v>
      </c>
      <c r="E52" s="522">
        <v>92.25</v>
      </c>
      <c r="F52" s="522"/>
      <c r="G52" s="333">
        <f t="shared" si="1"/>
        <v>9003.2499999999945</v>
      </c>
      <c r="H52" s="334"/>
      <c r="I52" s="335"/>
      <c r="J52" s="336"/>
      <c r="K52" s="301"/>
      <c r="L52" s="336"/>
      <c r="M52" s="301"/>
      <c r="N52" s="336"/>
      <c r="O52" s="301"/>
      <c r="P52" s="336"/>
      <c r="Q52" s="301"/>
      <c r="R52" s="336"/>
      <c r="S52" s="301"/>
      <c r="T52" s="336"/>
    </row>
    <row r="53" spans="1:20" ht="12" customHeight="1" x14ac:dyDescent="0.3">
      <c r="A53" s="329" t="s">
        <v>289</v>
      </c>
      <c r="B53" s="330">
        <v>4</v>
      </c>
      <c r="C53" s="298">
        <v>46232</v>
      </c>
      <c r="D53" s="299" t="s">
        <v>296</v>
      </c>
      <c r="E53" s="522">
        <v>39.5</v>
      </c>
      <c r="F53" s="522"/>
      <c r="G53" s="333">
        <f t="shared" si="1"/>
        <v>9095.4999999999945</v>
      </c>
      <c r="H53" s="334"/>
      <c r="I53" s="335"/>
      <c r="J53" s="336"/>
      <c r="K53" s="301"/>
      <c r="L53" s="336"/>
      <c r="M53" s="301"/>
      <c r="N53" s="336"/>
      <c r="O53" s="301"/>
      <c r="P53" s="336"/>
      <c r="Q53" s="301"/>
      <c r="R53" s="336"/>
      <c r="S53" s="301"/>
      <c r="T53" s="336"/>
    </row>
    <row r="54" spans="1:20" ht="12" customHeight="1" x14ac:dyDescent="0.3">
      <c r="A54" s="329" t="s">
        <v>289</v>
      </c>
      <c r="B54" s="330">
        <v>2</v>
      </c>
      <c r="C54" s="298">
        <v>46232</v>
      </c>
      <c r="D54" s="299" t="s">
        <v>296</v>
      </c>
      <c r="E54" s="522">
        <v>15.1</v>
      </c>
      <c r="F54" s="522"/>
      <c r="G54" s="333">
        <f t="shared" si="1"/>
        <v>9134.9999999999945</v>
      </c>
      <c r="H54" s="334"/>
      <c r="I54" s="335"/>
      <c r="J54" s="336"/>
      <c r="K54" s="301"/>
      <c r="L54" s="336"/>
      <c r="M54" s="301"/>
      <c r="N54" s="336"/>
      <c r="O54" s="301"/>
      <c r="P54" s="336"/>
      <c r="Q54" s="301"/>
      <c r="R54" s="336"/>
      <c r="S54" s="301"/>
      <c r="T54" s="336"/>
    </row>
    <row r="55" spans="1:20" ht="12" customHeight="1" x14ac:dyDescent="0.3">
      <c r="A55" s="329" t="s">
        <v>289</v>
      </c>
      <c r="B55" s="330">
        <v>2</v>
      </c>
      <c r="C55" s="298">
        <v>46232</v>
      </c>
      <c r="D55" s="299" t="s">
        <v>334</v>
      </c>
      <c r="E55" s="522">
        <v>17.68</v>
      </c>
      <c r="F55" s="522"/>
      <c r="G55" s="333">
        <f t="shared" si="1"/>
        <v>9150.0999999999949</v>
      </c>
      <c r="H55" s="334"/>
      <c r="I55" s="335"/>
      <c r="J55" s="336"/>
      <c r="K55" s="301"/>
      <c r="L55" s="336"/>
      <c r="M55" s="301"/>
      <c r="N55" s="336"/>
      <c r="O55" s="301"/>
      <c r="P55" s="336"/>
      <c r="Q55" s="301"/>
      <c r="R55" s="336"/>
      <c r="S55" s="301"/>
      <c r="T55" s="336"/>
    </row>
    <row r="56" spans="1:20" ht="12" customHeight="1" x14ac:dyDescent="0.3">
      <c r="A56" s="329" t="s">
        <v>289</v>
      </c>
      <c r="B56" s="330">
        <v>5</v>
      </c>
      <c r="C56" s="298">
        <v>46232</v>
      </c>
      <c r="D56" s="299" t="s">
        <v>988</v>
      </c>
      <c r="E56" s="522">
        <v>-205</v>
      </c>
      <c r="F56" s="522"/>
      <c r="G56" s="333">
        <f t="shared" ref="G56:G118" si="2">G57-E56+F56</f>
        <v>9167.7799999999952</v>
      </c>
      <c r="H56" s="334"/>
      <c r="I56" s="335"/>
      <c r="J56" s="336"/>
      <c r="K56" s="301"/>
      <c r="L56" s="336"/>
      <c r="M56" s="301"/>
      <c r="N56" s="336"/>
      <c r="O56" s="301"/>
      <c r="P56" s="336"/>
      <c r="Q56" s="301"/>
      <c r="R56" s="336"/>
      <c r="S56" s="301"/>
      <c r="T56" s="336"/>
    </row>
    <row r="57" spans="1:20" ht="12" customHeight="1" x14ac:dyDescent="0.3">
      <c r="A57" s="329" t="s">
        <v>294</v>
      </c>
      <c r="B57" s="330">
        <v>20</v>
      </c>
      <c r="C57" s="298">
        <v>46232</v>
      </c>
      <c r="D57" s="299" t="s">
        <v>193</v>
      </c>
      <c r="E57" s="522">
        <v>600</v>
      </c>
      <c r="F57" s="522"/>
      <c r="G57" s="333">
        <f t="shared" si="2"/>
        <v>8962.7799999999952</v>
      </c>
      <c r="H57" s="334"/>
      <c r="I57" s="335"/>
      <c r="J57" s="336"/>
      <c r="K57" s="301"/>
      <c r="L57" s="336"/>
      <c r="M57" s="301"/>
      <c r="N57" s="336"/>
      <c r="O57" s="301"/>
      <c r="P57" s="336"/>
      <c r="Q57" s="301"/>
      <c r="R57" s="336"/>
      <c r="S57" s="301"/>
      <c r="T57" s="336"/>
    </row>
    <row r="58" spans="1:20" ht="12" customHeight="1" x14ac:dyDescent="0.3">
      <c r="A58" s="329" t="s">
        <v>287</v>
      </c>
      <c r="B58" s="330" t="s">
        <v>287</v>
      </c>
      <c r="C58" s="298">
        <v>46231</v>
      </c>
      <c r="D58" s="299" t="s">
        <v>525</v>
      </c>
      <c r="E58" s="522">
        <v>1171.3800000000001</v>
      </c>
      <c r="F58" s="522">
        <v>1171.3800000000001</v>
      </c>
      <c r="G58" s="333">
        <f t="shared" si="2"/>
        <v>9562.7799999999952</v>
      </c>
      <c r="H58" s="334"/>
      <c r="I58" s="335"/>
      <c r="J58" s="336"/>
      <c r="K58" s="301"/>
      <c r="L58" s="336"/>
      <c r="M58" s="301"/>
      <c r="N58" s="336"/>
      <c r="O58" s="301"/>
      <c r="P58" s="336"/>
      <c r="Q58" s="301"/>
      <c r="R58" s="336"/>
      <c r="S58" s="301"/>
      <c r="T58" s="336"/>
    </row>
    <row r="59" spans="1:20" ht="12" customHeight="1" x14ac:dyDescent="0.3">
      <c r="A59" s="329" t="s">
        <v>289</v>
      </c>
      <c r="B59" s="330">
        <v>2</v>
      </c>
      <c r="C59" s="298">
        <v>46231</v>
      </c>
      <c r="D59" s="299" t="s">
        <v>334</v>
      </c>
      <c r="E59" s="522">
        <v>11.58</v>
      </c>
      <c r="F59" s="522"/>
      <c r="G59" s="333">
        <f t="shared" si="2"/>
        <v>9562.7799999999934</v>
      </c>
      <c r="H59" s="334"/>
      <c r="I59" s="335"/>
      <c r="J59" s="336"/>
      <c r="K59" s="301"/>
      <c r="L59" s="336"/>
      <c r="M59" s="301"/>
      <c r="N59" s="336"/>
      <c r="O59" s="301"/>
      <c r="P59" s="336"/>
      <c r="Q59" s="301"/>
      <c r="R59" s="336"/>
      <c r="S59" s="301"/>
      <c r="T59" s="336"/>
    </row>
    <row r="60" spans="1:20" ht="12" customHeight="1" x14ac:dyDescent="0.3">
      <c r="A60" s="329" t="s">
        <v>294</v>
      </c>
      <c r="B60" s="330">
        <v>42</v>
      </c>
      <c r="C60" s="298">
        <v>46231</v>
      </c>
      <c r="D60" s="299" t="s">
        <v>200</v>
      </c>
      <c r="E60" s="522">
        <v>59</v>
      </c>
      <c r="F60" s="522"/>
      <c r="G60" s="333">
        <f t="shared" si="2"/>
        <v>9574.3599999999933</v>
      </c>
      <c r="H60" s="334"/>
      <c r="I60" s="335"/>
      <c r="J60" s="336"/>
      <c r="K60" s="301"/>
      <c r="L60" s="336"/>
      <c r="M60" s="301"/>
      <c r="N60" s="336"/>
      <c r="O60" s="301"/>
      <c r="P60" s="336"/>
      <c r="Q60" s="301"/>
      <c r="R60" s="336"/>
      <c r="S60" s="301"/>
      <c r="T60" s="336"/>
    </row>
    <row r="61" spans="1:20" ht="12" customHeight="1" x14ac:dyDescent="0.3">
      <c r="A61" s="329" t="s">
        <v>294</v>
      </c>
      <c r="B61" s="330">
        <v>43</v>
      </c>
      <c r="C61" s="298">
        <v>46231</v>
      </c>
      <c r="D61" s="299" t="s">
        <v>201</v>
      </c>
      <c r="E61" s="522">
        <v>50.92</v>
      </c>
      <c r="F61" s="522"/>
      <c r="G61" s="333">
        <f t="shared" si="2"/>
        <v>9633.3599999999933</v>
      </c>
      <c r="H61" s="334"/>
      <c r="I61" s="335"/>
      <c r="J61" s="336"/>
      <c r="K61" s="301"/>
      <c r="L61" s="336"/>
      <c r="M61" s="301"/>
      <c r="N61" s="336"/>
      <c r="O61" s="301"/>
      <c r="P61" s="336"/>
      <c r="Q61" s="301"/>
      <c r="R61" s="336"/>
      <c r="S61" s="301"/>
      <c r="T61" s="336"/>
    </row>
    <row r="62" spans="1:20" ht="12" customHeight="1" x14ac:dyDescent="0.3">
      <c r="A62" s="329" t="s">
        <v>289</v>
      </c>
      <c r="B62" s="330">
        <v>8</v>
      </c>
      <c r="C62" s="298">
        <v>46231</v>
      </c>
      <c r="D62" s="299" t="s">
        <v>308</v>
      </c>
      <c r="E62" s="522">
        <v>71.75</v>
      </c>
      <c r="F62" s="522"/>
      <c r="G62" s="333">
        <f t="shared" si="2"/>
        <v>9684.2799999999934</v>
      </c>
      <c r="H62" s="334"/>
      <c r="I62" s="335"/>
      <c r="J62" s="336"/>
      <c r="K62" s="301"/>
      <c r="L62" s="336"/>
      <c r="M62" s="301"/>
      <c r="N62" s="336"/>
      <c r="O62" s="301"/>
      <c r="P62" s="336"/>
      <c r="Q62" s="301"/>
      <c r="R62" s="336"/>
      <c r="S62" s="301"/>
      <c r="T62" s="336"/>
    </row>
    <row r="63" spans="1:20" ht="12" customHeight="1" x14ac:dyDescent="0.3">
      <c r="A63" s="329" t="s">
        <v>289</v>
      </c>
      <c r="B63" s="330">
        <v>6</v>
      </c>
      <c r="C63" s="298">
        <v>46230</v>
      </c>
      <c r="D63" s="299" t="s">
        <v>999</v>
      </c>
      <c r="E63" s="522">
        <v>49.2</v>
      </c>
      <c r="F63" s="522"/>
      <c r="G63" s="333">
        <f t="shared" si="2"/>
        <v>9756.0299999999934</v>
      </c>
      <c r="H63" s="334"/>
      <c r="I63" s="335"/>
      <c r="J63" s="336"/>
      <c r="K63" s="301"/>
      <c r="L63" s="336"/>
      <c r="M63" s="301"/>
      <c r="N63" s="336"/>
      <c r="O63" s="301"/>
      <c r="P63" s="336"/>
      <c r="Q63" s="301"/>
      <c r="R63" s="336"/>
      <c r="S63" s="301"/>
      <c r="T63" s="336"/>
    </row>
    <row r="64" spans="1:20" ht="12" customHeight="1" x14ac:dyDescent="0.3">
      <c r="A64" s="329" t="s">
        <v>289</v>
      </c>
      <c r="B64" s="330">
        <v>2</v>
      </c>
      <c r="C64" s="298">
        <v>46230</v>
      </c>
      <c r="D64" s="299" t="s">
        <v>353</v>
      </c>
      <c r="E64" s="522">
        <v>20.98</v>
      </c>
      <c r="F64" s="522"/>
      <c r="G64" s="333">
        <f t="shared" si="2"/>
        <v>9805.2299999999941</v>
      </c>
      <c r="H64" s="334"/>
      <c r="I64" s="335"/>
      <c r="J64" s="336"/>
      <c r="K64" s="301"/>
      <c r="L64" s="336"/>
      <c r="M64" s="301"/>
      <c r="N64" s="336"/>
      <c r="O64" s="301"/>
      <c r="P64" s="336"/>
      <c r="Q64" s="301"/>
      <c r="R64" s="336"/>
      <c r="S64" s="301"/>
      <c r="T64" s="336"/>
    </row>
    <row r="65" spans="1:20" ht="12" customHeight="1" x14ac:dyDescent="0.3">
      <c r="A65" s="329" t="s">
        <v>289</v>
      </c>
      <c r="B65" s="330">
        <v>6</v>
      </c>
      <c r="C65" s="298">
        <v>46230</v>
      </c>
      <c r="D65" s="299" t="s">
        <v>300</v>
      </c>
      <c r="E65" s="522">
        <v>19.16</v>
      </c>
      <c r="F65" s="522"/>
      <c r="G65" s="333">
        <f t="shared" si="2"/>
        <v>9826.2099999999937</v>
      </c>
      <c r="H65" s="334"/>
      <c r="I65" s="335"/>
      <c r="J65" s="336"/>
      <c r="K65" s="301"/>
      <c r="L65" s="336"/>
      <c r="M65" s="301"/>
      <c r="N65" s="336"/>
      <c r="O65" s="301"/>
      <c r="P65" s="336"/>
      <c r="Q65" s="301"/>
      <c r="R65" s="336"/>
      <c r="S65" s="301"/>
      <c r="T65" s="336"/>
    </row>
    <row r="66" spans="1:20" ht="12" customHeight="1" x14ac:dyDescent="0.3">
      <c r="A66" s="329" t="s">
        <v>289</v>
      </c>
      <c r="B66" s="330">
        <v>2</v>
      </c>
      <c r="C66" s="298">
        <v>46230</v>
      </c>
      <c r="D66" s="299" t="s">
        <v>994</v>
      </c>
      <c r="E66" s="522">
        <v>15.89</v>
      </c>
      <c r="F66" s="522"/>
      <c r="G66" s="333">
        <f t="shared" si="2"/>
        <v>9845.3699999999935</v>
      </c>
      <c r="H66" s="334"/>
      <c r="I66" s="335"/>
      <c r="J66" s="336"/>
      <c r="K66" s="301"/>
      <c r="L66" s="336"/>
      <c r="M66" s="301"/>
      <c r="N66" s="336"/>
      <c r="O66" s="301"/>
      <c r="P66" s="336"/>
      <c r="Q66" s="301"/>
      <c r="R66" s="336"/>
      <c r="S66" s="301"/>
      <c r="T66" s="336"/>
    </row>
    <row r="67" spans="1:20" ht="12" customHeight="1" x14ac:dyDescent="0.3">
      <c r="A67" s="329" t="s">
        <v>294</v>
      </c>
      <c r="B67" s="330">
        <v>22</v>
      </c>
      <c r="C67" s="298">
        <v>46230</v>
      </c>
      <c r="D67" s="299" t="s">
        <v>998</v>
      </c>
      <c r="E67" s="522">
        <v>15.96</v>
      </c>
      <c r="F67" s="522"/>
      <c r="G67" s="333">
        <f t="shared" si="2"/>
        <v>9861.2599999999929</v>
      </c>
      <c r="H67" s="334"/>
      <c r="I67" s="335"/>
      <c r="J67" s="336"/>
      <c r="K67" s="301"/>
      <c r="L67" s="336"/>
      <c r="M67" s="301"/>
      <c r="N67" s="336"/>
      <c r="O67" s="301"/>
      <c r="P67" s="336"/>
      <c r="Q67" s="301"/>
      <c r="R67" s="336"/>
      <c r="S67" s="301"/>
      <c r="T67" s="336"/>
    </row>
    <row r="68" spans="1:20" ht="12" customHeight="1" x14ac:dyDescent="0.3">
      <c r="A68" s="329" t="s">
        <v>289</v>
      </c>
      <c r="B68" s="330">
        <v>1</v>
      </c>
      <c r="C68" s="298">
        <v>46230</v>
      </c>
      <c r="D68" s="299" t="s">
        <v>306</v>
      </c>
      <c r="E68" s="522">
        <v>183.73</v>
      </c>
      <c r="F68" s="522"/>
      <c r="G68" s="333">
        <f t="shared" si="2"/>
        <v>9877.2199999999921</v>
      </c>
      <c r="H68" s="334"/>
      <c r="I68" s="335"/>
      <c r="J68" s="336"/>
      <c r="K68" s="301"/>
      <c r="L68" s="336"/>
      <c r="M68" s="301"/>
      <c r="N68" s="336"/>
      <c r="O68" s="301"/>
      <c r="P68" s="336"/>
      <c r="Q68" s="301"/>
      <c r="R68" s="336"/>
      <c r="S68" s="301"/>
      <c r="T68" s="336"/>
    </row>
    <row r="69" spans="1:20" ht="12" customHeight="1" x14ac:dyDescent="0.3">
      <c r="A69" s="329" t="s">
        <v>289</v>
      </c>
      <c r="B69" s="330">
        <v>4</v>
      </c>
      <c r="C69" s="298">
        <v>46230</v>
      </c>
      <c r="D69" s="299" t="s">
        <v>296</v>
      </c>
      <c r="E69" s="522">
        <v>86.71</v>
      </c>
      <c r="F69" s="522"/>
      <c r="G69" s="333">
        <f t="shared" si="2"/>
        <v>10060.949999999992</v>
      </c>
      <c r="H69" s="334"/>
      <c r="I69" s="335"/>
      <c r="J69" s="336"/>
      <c r="K69" s="301"/>
      <c r="L69" s="336"/>
      <c r="M69" s="301"/>
      <c r="N69" s="336"/>
      <c r="O69" s="301"/>
      <c r="P69" s="336"/>
      <c r="Q69" s="301"/>
      <c r="R69" s="336"/>
      <c r="S69" s="301"/>
      <c r="T69" s="336"/>
    </row>
    <row r="70" spans="1:20" ht="12" customHeight="1" x14ac:dyDescent="0.3">
      <c r="A70" s="329" t="s">
        <v>289</v>
      </c>
      <c r="B70" s="330">
        <v>2</v>
      </c>
      <c r="C70" s="298">
        <v>46230</v>
      </c>
      <c r="D70" s="299" t="s">
        <v>296</v>
      </c>
      <c r="E70" s="522">
        <v>8.7200000000000006</v>
      </c>
      <c r="F70" s="522"/>
      <c r="G70" s="333">
        <f t="shared" si="2"/>
        <v>10147.659999999991</v>
      </c>
      <c r="H70" s="334"/>
      <c r="I70" s="335"/>
      <c r="J70" s="336"/>
      <c r="K70" s="301"/>
      <c r="L70" s="336"/>
      <c r="M70" s="301"/>
      <c r="N70" s="336"/>
      <c r="O70" s="301"/>
      <c r="P70" s="336"/>
      <c r="Q70" s="301"/>
      <c r="R70" s="336"/>
      <c r="S70" s="301"/>
      <c r="T70" s="336"/>
    </row>
    <row r="71" spans="1:20" ht="12" customHeight="1" x14ac:dyDescent="0.3">
      <c r="A71" s="329" t="s">
        <v>289</v>
      </c>
      <c r="B71" s="330">
        <v>2</v>
      </c>
      <c r="C71" s="298">
        <v>46230</v>
      </c>
      <c r="D71" s="299" t="s">
        <v>301</v>
      </c>
      <c r="E71" s="522">
        <v>23.5</v>
      </c>
      <c r="F71" s="522"/>
      <c r="G71" s="333">
        <f t="shared" si="2"/>
        <v>10156.37999999999</v>
      </c>
      <c r="H71" s="334"/>
      <c r="I71" s="335"/>
      <c r="J71" s="336"/>
      <c r="K71" s="301"/>
      <c r="L71" s="336"/>
      <c r="M71" s="301"/>
      <c r="N71" s="336"/>
      <c r="O71" s="301"/>
      <c r="P71" s="336"/>
      <c r="Q71" s="301"/>
      <c r="R71" s="336"/>
      <c r="S71" s="301"/>
      <c r="T71" s="336"/>
    </row>
    <row r="72" spans="1:20" ht="12" customHeight="1" x14ac:dyDescent="0.3">
      <c r="A72" s="329" t="s">
        <v>289</v>
      </c>
      <c r="B72" s="330">
        <v>3</v>
      </c>
      <c r="C72" s="298">
        <v>46230</v>
      </c>
      <c r="D72" s="299" t="s">
        <v>983</v>
      </c>
      <c r="E72" s="522">
        <v>7.18</v>
      </c>
      <c r="F72" s="522"/>
      <c r="G72" s="333">
        <f t="shared" si="2"/>
        <v>10179.87999999999</v>
      </c>
      <c r="H72" s="334"/>
      <c r="I72" s="335"/>
      <c r="J72" s="336"/>
      <c r="K72" s="301"/>
      <c r="L72" s="336"/>
      <c r="M72" s="301"/>
      <c r="N72" s="336"/>
      <c r="O72" s="301"/>
      <c r="P72" s="336"/>
      <c r="Q72" s="301"/>
      <c r="R72" s="336"/>
      <c r="S72" s="301"/>
      <c r="T72" s="336"/>
    </row>
    <row r="73" spans="1:20" ht="12" customHeight="1" x14ac:dyDescent="0.3">
      <c r="A73" s="329" t="s">
        <v>289</v>
      </c>
      <c r="B73" s="330">
        <v>2</v>
      </c>
      <c r="C73" s="298">
        <v>46229</v>
      </c>
      <c r="D73" s="299" t="s">
        <v>996</v>
      </c>
      <c r="E73" s="522">
        <v>18.350000000000001</v>
      </c>
      <c r="F73" s="522"/>
      <c r="G73" s="333">
        <f t="shared" si="2"/>
        <v>10187.05999999999</v>
      </c>
      <c r="H73" s="334"/>
      <c r="I73" s="335"/>
      <c r="J73" s="336"/>
      <c r="K73" s="301"/>
      <c r="L73" s="336"/>
      <c r="M73" s="301"/>
      <c r="N73" s="336"/>
      <c r="O73" s="301"/>
      <c r="P73" s="336"/>
      <c r="Q73" s="301"/>
      <c r="R73" s="336"/>
      <c r="S73" s="301"/>
      <c r="T73" s="336"/>
    </row>
    <row r="74" spans="1:20" ht="12" customHeight="1" x14ac:dyDescent="0.3">
      <c r="A74" s="329" t="s">
        <v>289</v>
      </c>
      <c r="B74" s="330">
        <v>8</v>
      </c>
      <c r="C74" s="298">
        <v>46229</v>
      </c>
      <c r="D74" s="299" t="s">
        <v>319</v>
      </c>
      <c r="E74" s="522">
        <v>64.400000000000006</v>
      </c>
      <c r="F74" s="522"/>
      <c r="G74" s="333">
        <f t="shared" si="2"/>
        <v>10205.409999999991</v>
      </c>
      <c r="H74" s="334"/>
      <c r="I74" s="335"/>
      <c r="J74" s="336"/>
      <c r="K74" s="301"/>
      <c r="L74" s="336"/>
      <c r="M74" s="301"/>
      <c r="N74" s="336"/>
      <c r="O74" s="301"/>
      <c r="P74" s="336"/>
      <c r="Q74" s="301"/>
      <c r="R74" s="336"/>
      <c r="S74" s="301"/>
      <c r="T74" s="336"/>
    </row>
    <row r="75" spans="1:20" ht="12" customHeight="1" x14ac:dyDescent="0.3">
      <c r="A75" s="329" t="s">
        <v>289</v>
      </c>
      <c r="B75" s="330">
        <v>4</v>
      </c>
      <c r="C75" s="298">
        <v>46229</v>
      </c>
      <c r="D75" s="299" t="s">
        <v>296</v>
      </c>
      <c r="E75" s="522">
        <v>42.19</v>
      </c>
      <c r="F75" s="522"/>
      <c r="G75" s="333">
        <f t="shared" si="2"/>
        <v>10269.80999999999</v>
      </c>
      <c r="H75" s="334"/>
      <c r="I75" s="335"/>
      <c r="J75" s="336"/>
      <c r="K75" s="301"/>
      <c r="L75" s="336"/>
      <c r="M75" s="301"/>
      <c r="N75" s="336"/>
      <c r="O75" s="301"/>
      <c r="P75" s="336"/>
      <c r="Q75" s="301"/>
      <c r="R75" s="336"/>
      <c r="S75" s="301"/>
      <c r="T75" s="336"/>
    </row>
    <row r="76" spans="1:20" ht="12" customHeight="1" x14ac:dyDescent="0.3">
      <c r="A76" s="329" t="s">
        <v>289</v>
      </c>
      <c r="B76" s="330">
        <v>8</v>
      </c>
      <c r="C76" s="298">
        <v>46229</v>
      </c>
      <c r="D76" s="299" t="s">
        <v>296</v>
      </c>
      <c r="E76" s="522">
        <v>60.67</v>
      </c>
      <c r="F76" s="522"/>
      <c r="G76" s="333">
        <f t="shared" si="2"/>
        <v>10311.999999999991</v>
      </c>
      <c r="H76" s="334"/>
      <c r="I76" s="335"/>
      <c r="J76" s="336"/>
      <c r="K76" s="301"/>
      <c r="L76" s="336"/>
      <c r="M76" s="301"/>
      <c r="N76" s="336"/>
      <c r="O76" s="301"/>
      <c r="P76" s="336"/>
      <c r="Q76" s="301"/>
      <c r="R76" s="336"/>
      <c r="S76" s="301"/>
      <c r="T76" s="336"/>
    </row>
    <row r="77" spans="1:20" ht="12" customHeight="1" x14ac:dyDescent="0.3">
      <c r="A77" s="329" t="s">
        <v>289</v>
      </c>
      <c r="B77" s="330">
        <v>8</v>
      </c>
      <c r="C77" s="298">
        <v>46228</v>
      </c>
      <c r="D77" s="299" t="s">
        <v>995</v>
      </c>
      <c r="E77" s="522">
        <v>40.32</v>
      </c>
      <c r="F77" s="522"/>
      <c r="G77" s="333">
        <f t="shared" si="2"/>
        <v>10372.669999999991</v>
      </c>
      <c r="H77" s="334"/>
      <c r="I77" s="335"/>
      <c r="J77" s="336"/>
      <c r="K77" s="301"/>
      <c r="L77" s="336"/>
      <c r="M77" s="301"/>
      <c r="N77" s="336"/>
      <c r="O77" s="301"/>
      <c r="P77" s="336"/>
      <c r="Q77" s="301"/>
      <c r="R77" s="336"/>
      <c r="S77" s="301"/>
      <c r="T77" s="336"/>
    </row>
    <row r="78" spans="1:20" ht="12" customHeight="1" x14ac:dyDescent="0.3">
      <c r="A78" s="329" t="s">
        <v>289</v>
      </c>
      <c r="B78" s="330">
        <v>3</v>
      </c>
      <c r="C78" s="298">
        <v>46228</v>
      </c>
      <c r="D78" s="299" t="s">
        <v>455</v>
      </c>
      <c r="E78" s="522">
        <v>7.38</v>
      </c>
      <c r="F78" s="522"/>
      <c r="G78" s="333">
        <f t="shared" si="2"/>
        <v>10412.989999999991</v>
      </c>
      <c r="H78" s="334"/>
      <c r="I78" s="335"/>
      <c r="J78" s="336"/>
      <c r="K78" s="301"/>
      <c r="L78" s="336"/>
      <c r="M78" s="301"/>
      <c r="N78" s="336"/>
      <c r="O78" s="301"/>
      <c r="P78" s="336"/>
      <c r="Q78" s="301"/>
      <c r="R78" s="336"/>
      <c r="S78" s="301"/>
      <c r="T78" s="336"/>
    </row>
    <row r="79" spans="1:20" ht="12" customHeight="1" x14ac:dyDescent="0.3">
      <c r="A79" s="329" t="s">
        <v>289</v>
      </c>
      <c r="B79" s="330">
        <v>4</v>
      </c>
      <c r="C79" s="298">
        <v>46228</v>
      </c>
      <c r="D79" s="299" t="s">
        <v>455</v>
      </c>
      <c r="E79" s="522">
        <v>39.83</v>
      </c>
      <c r="F79" s="522"/>
      <c r="G79" s="333">
        <f t="shared" si="2"/>
        <v>10420.36999999999</v>
      </c>
      <c r="H79" s="334"/>
      <c r="I79" s="335"/>
      <c r="J79" s="336"/>
      <c r="K79" s="301"/>
      <c r="L79" s="336"/>
      <c r="M79" s="301"/>
      <c r="N79" s="336"/>
      <c r="O79" s="301"/>
      <c r="P79" s="336"/>
      <c r="Q79" s="301"/>
      <c r="R79" s="336"/>
      <c r="S79" s="301"/>
      <c r="T79" s="336"/>
    </row>
    <row r="80" spans="1:20" ht="12" customHeight="1" x14ac:dyDescent="0.3">
      <c r="A80" s="329" t="s">
        <v>289</v>
      </c>
      <c r="B80" s="330">
        <v>5</v>
      </c>
      <c r="C80" s="298">
        <v>46228</v>
      </c>
      <c r="D80" s="299" t="s">
        <v>475</v>
      </c>
      <c r="E80" s="522">
        <v>20</v>
      </c>
      <c r="F80" s="522"/>
      <c r="G80" s="333">
        <f t="shared" si="2"/>
        <v>10460.19999999999</v>
      </c>
      <c r="H80" s="334"/>
      <c r="I80" s="335"/>
      <c r="J80" s="336"/>
      <c r="K80" s="301"/>
      <c r="L80" s="336"/>
      <c r="M80" s="301"/>
      <c r="N80" s="336"/>
      <c r="O80" s="301"/>
      <c r="P80" s="336"/>
      <c r="Q80" s="301"/>
      <c r="R80" s="336"/>
      <c r="S80" s="301"/>
      <c r="T80" s="336"/>
    </row>
    <row r="81" spans="1:20" ht="12" customHeight="1" x14ac:dyDescent="0.3">
      <c r="A81" s="329" t="s">
        <v>294</v>
      </c>
      <c r="B81" s="330">
        <v>12</v>
      </c>
      <c r="C81" s="298">
        <v>46228</v>
      </c>
      <c r="D81" s="299" t="s">
        <v>314</v>
      </c>
      <c r="E81" s="522">
        <v>204.48</v>
      </c>
      <c r="F81" s="522"/>
      <c r="G81" s="333">
        <f t="shared" si="2"/>
        <v>10480.19999999999</v>
      </c>
      <c r="H81" s="334"/>
      <c r="I81" s="335"/>
      <c r="J81" s="336"/>
      <c r="K81" s="301"/>
      <c r="L81" s="336"/>
      <c r="M81" s="301"/>
      <c r="N81" s="336"/>
      <c r="O81" s="301"/>
      <c r="P81" s="336"/>
      <c r="Q81" s="301"/>
      <c r="R81" s="336"/>
      <c r="S81" s="301"/>
      <c r="T81" s="336"/>
    </row>
    <row r="82" spans="1:20" ht="12" customHeight="1" x14ac:dyDescent="0.3">
      <c r="A82" s="329" t="s">
        <v>289</v>
      </c>
      <c r="B82" s="330">
        <v>3</v>
      </c>
      <c r="C82" s="298">
        <v>46228</v>
      </c>
      <c r="D82" s="299" t="s">
        <v>991</v>
      </c>
      <c r="E82" s="522">
        <v>11.33</v>
      </c>
      <c r="F82" s="522"/>
      <c r="G82" s="333">
        <f t="shared" si="2"/>
        <v>10684.679999999989</v>
      </c>
      <c r="H82" s="334"/>
      <c r="I82" s="335"/>
      <c r="J82" s="336"/>
      <c r="K82" s="301"/>
      <c r="L82" s="336"/>
      <c r="M82" s="301"/>
      <c r="N82" s="336"/>
      <c r="O82" s="301"/>
      <c r="P82" s="336"/>
      <c r="Q82" s="301"/>
      <c r="R82" s="336"/>
      <c r="S82" s="301"/>
      <c r="T82" s="336"/>
    </row>
    <row r="83" spans="1:20" ht="12" customHeight="1" x14ac:dyDescent="0.3">
      <c r="A83" s="329" t="s">
        <v>289</v>
      </c>
      <c r="B83" s="330">
        <v>2</v>
      </c>
      <c r="C83" s="298">
        <v>46228</v>
      </c>
      <c r="D83" s="299" t="s">
        <v>997</v>
      </c>
      <c r="E83" s="522">
        <v>120.77</v>
      </c>
      <c r="F83" s="522"/>
      <c r="G83" s="333">
        <f t="shared" si="2"/>
        <v>10696.009999999989</v>
      </c>
      <c r="H83" s="334"/>
      <c r="I83" s="335"/>
      <c r="J83" s="336"/>
      <c r="K83" s="301"/>
      <c r="L83" s="336"/>
      <c r="M83" s="301"/>
      <c r="N83" s="336"/>
      <c r="O83" s="301"/>
      <c r="P83" s="336"/>
      <c r="Q83" s="301"/>
      <c r="R83" s="336"/>
      <c r="S83" s="301"/>
      <c r="T83" s="336"/>
    </row>
    <row r="84" spans="1:20" ht="12" customHeight="1" x14ac:dyDescent="0.3">
      <c r="A84" s="329" t="s">
        <v>289</v>
      </c>
      <c r="B84" s="330">
        <v>2</v>
      </c>
      <c r="C84" s="298">
        <v>46227</v>
      </c>
      <c r="D84" s="299" t="s">
        <v>990</v>
      </c>
      <c r="E84" s="522">
        <v>46.21</v>
      </c>
      <c r="F84" s="522"/>
      <c r="G84" s="333">
        <f t="shared" si="2"/>
        <v>10816.77999999999</v>
      </c>
      <c r="H84" s="334"/>
      <c r="I84" s="335"/>
      <c r="J84" s="336"/>
      <c r="K84" s="301"/>
      <c r="L84" s="336"/>
      <c r="M84" s="301"/>
      <c r="N84" s="336"/>
      <c r="O84" s="301"/>
      <c r="P84" s="336"/>
      <c r="Q84" s="301"/>
      <c r="R84" s="336"/>
      <c r="S84" s="301"/>
      <c r="T84" s="336"/>
    </row>
    <row r="85" spans="1:20" ht="12" customHeight="1" x14ac:dyDescent="0.3">
      <c r="A85" s="329" t="s">
        <v>289</v>
      </c>
      <c r="B85" s="330">
        <v>5</v>
      </c>
      <c r="C85" s="298">
        <v>46227</v>
      </c>
      <c r="D85" s="299" t="s">
        <v>340</v>
      </c>
      <c r="E85" s="522">
        <v>95.85</v>
      </c>
      <c r="F85" s="522"/>
      <c r="G85" s="333">
        <f t="shared" si="2"/>
        <v>10862.989999999989</v>
      </c>
      <c r="H85" s="334"/>
      <c r="I85" s="335"/>
      <c r="J85" s="336"/>
      <c r="K85" s="301"/>
      <c r="L85" s="336"/>
      <c r="M85" s="301"/>
      <c r="N85" s="336"/>
      <c r="O85" s="301"/>
      <c r="P85" s="336"/>
      <c r="Q85" s="301"/>
      <c r="R85" s="336"/>
      <c r="S85" s="301"/>
      <c r="T85" s="336"/>
    </row>
    <row r="86" spans="1:20" ht="12" customHeight="1" x14ac:dyDescent="0.3">
      <c r="A86" s="329" t="s">
        <v>289</v>
      </c>
      <c r="B86" s="330">
        <v>2</v>
      </c>
      <c r="C86" s="298">
        <v>46227</v>
      </c>
      <c r="D86" s="299" t="s">
        <v>324</v>
      </c>
      <c r="E86" s="522">
        <v>9.06</v>
      </c>
      <c r="F86" s="522"/>
      <c r="G86" s="333">
        <f t="shared" si="2"/>
        <v>10958.839999999989</v>
      </c>
      <c r="H86" s="334"/>
      <c r="I86" s="335"/>
      <c r="J86" s="336"/>
      <c r="K86" s="301"/>
      <c r="L86" s="336"/>
      <c r="M86" s="301"/>
      <c r="N86" s="336"/>
      <c r="O86" s="301"/>
      <c r="P86" s="336"/>
      <c r="Q86" s="301"/>
      <c r="R86" s="336"/>
      <c r="S86" s="301"/>
      <c r="T86" s="336"/>
    </row>
    <row r="87" spans="1:20" ht="12" customHeight="1" x14ac:dyDescent="0.3">
      <c r="A87" s="329" t="s">
        <v>289</v>
      </c>
      <c r="B87" s="330">
        <v>2</v>
      </c>
      <c r="C87" s="298">
        <v>46227</v>
      </c>
      <c r="D87" s="299" t="s">
        <v>358</v>
      </c>
      <c r="E87" s="522">
        <v>26.47</v>
      </c>
      <c r="F87" s="522"/>
      <c r="G87" s="333">
        <f t="shared" si="2"/>
        <v>10967.899999999989</v>
      </c>
      <c r="H87" s="334"/>
      <c r="I87" s="335"/>
      <c r="J87" s="336"/>
      <c r="K87" s="301"/>
      <c r="L87" s="336"/>
      <c r="M87" s="301"/>
      <c r="N87" s="336"/>
      <c r="O87" s="301"/>
      <c r="P87" s="336"/>
      <c r="Q87" s="301"/>
      <c r="R87" s="336"/>
      <c r="S87" s="301"/>
      <c r="T87" s="336"/>
    </row>
    <row r="88" spans="1:20" ht="12" customHeight="1" x14ac:dyDescent="0.3">
      <c r="A88" s="329" t="s">
        <v>289</v>
      </c>
      <c r="B88" s="330">
        <v>6</v>
      </c>
      <c r="C88" s="298">
        <v>46227</v>
      </c>
      <c r="D88" s="299" t="s">
        <v>1003</v>
      </c>
      <c r="E88" s="522">
        <v>90</v>
      </c>
      <c r="F88" s="522"/>
      <c r="G88" s="333">
        <f t="shared" si="2"/>
        <v>10994.369999999988</v>
      </c>
      <c r="H88" s="334" t="s">
        <v>298</v>
      </c>
      <c r="I88" s="335"/>
      <c r="J88" s="336"/>
      <c r="K88" s="301"/>
      <c r="L88" s="336"/>
      <c r="M88" s="301"/>
      <c r="N88" s="336"/>
      <c r="O88" s="301"/>
      <c r="P88" s="336"/>
      <c r="Q88" s="301"/>
      <c r="R88" s="336"/>
      <c r="S88" s="301"/>
      <c r="T88" s="336"/>
    </row>
    <row r="89" spans="1:20" ht="12" customHeight="1" x14ac:dyDescent="0.3">
      <c r="A89" s="329" t="s">
        <v>289</v>
      </c>
      <c r="B89" s="330">
        <v>3</v>
      </c>
      <c r="C89" s="298">
        <v>46226</v>
      </c>
      <c r="D89" s="299" t="s">
        <v>455</v>
      </c>
      <c r="E89" s="522">
        <v>29.72</v>
      </c>
      <c r="F89" s="522"/>
      <c r="G89" s="333">
        <f t="shared" si="2"/>
        <v>11084.369999999988</v>
      </c>
      <c r="H89" s="334"/>
      <c r="I89" s="335"/>
      <c r="J89" s="336"/>
      <c r="K89" s="301"/>
      <c r="L89" s="336"/>
      <c r="M89" s="301"/>
      <c r="N89" s="336"/>
      <c r="O89" s="301"/>
      <c r="P89" s="336"/>
      <c r="Q89" s="301"/>
      <c r="R89" s="336"/>
      <c r="S89" s="301"/>
      <c r="T89" s="336"/>
    </row>
    <row r="90" spans="1:20" ht="12" customHeight="1" x14ac:dyDescent="0.3">
      <c r="A90" s="329" t="s">
        <v>287</v>
      </c>
      <c r="B90" s="330" t="s">
        <v>287</v>
      </c>
      <c r="C90" s="298">
        <v>46226</v>
      </c>
      <c r="D90" s="299" t="s">
        <v>315</v>
      </c>
      <c r="E90" s="522">
        <v>133.13999999999999</v>
      </c>
      <c r="F90" s="522">
        <v>133.13999999999999</v>
      </c>
      <c r="G90" s="333">
        <f t="shared" si="2"/>
        <v>11114.089999999987</v>
      </c>
      <c r="H90" s="334"/>
      <c r="I90" s="335"/>
      <c r="J90" s="336"/>
      <c r="K90" s="301"/>
      <c r="L90" s="336"/>
      <c r="M90" s="301"/>
      <c r="N90" s="336"/>
      <c r="O90" s="301"/>
      <c r="P90" s="336"/>
      <c r="Q90" s="301"/>
      <c r="R90" s="336"/>
      <c r="S90" s="301"/>
      <c r="T90" s="336"/>
    </row>
    <row r="91" spans="1:20" ht="12" customHeight="1" x14ac:dyDescent="0.3">
      <c r="A91" s="329" t="s">
        <v>291</v>
      </c>
      <c r="B91" s="330">
        <v>39</v>
      </c>
      <c r="C91" s="298">
        <v>46226</v>
      </c>
      <c r="D91" s="299" t="s">
        <v>292</v>
      </c>
      <c r="E91" s="522"/>
      <c r="F91" s="522">
        <v>2763.78</v>
      </c>
      <c r="G91" s="333">
        <f t="shared" si="2"/>
        <v>11114.089999999987</v>
      </c>
      <c r="H91" s="334"/>
      <c r="I91" s="335"/>
      <c r="J91" s="336"/>
      <c r="K91" s="301"/>
      <c r="L91" s="336"/>
      <c r="M91" s="301"/>
      <c r="N91" s="336"/>
      <c r="O91" s="301"/>
      <c r="P91" s="336"/>
      <c r="Q91" s="301"/>
      <c r="R91" s="336"/>
      <c r="S91" s="301"/>
      <c r="T91" s="336"/>
    </row>
    <row r="92" spans="1:20" ht="12" customHeight="1" x14ac:dyDescent="0.3">
      <c r="A92" s="329" t="s">
        <v>289</v>
      </c>
      <c r="B92" s="330">
        <v>8</v>
      </c>
      <c r="C92" s="298">
        <v>46226</v>
      </c>
      <c r="D92" s="299" t="s">
        <v>992</v>
      </c>
      <c r="E92" s="522">
        <v>92.36</v>
      </c>
      <c r="F92" s="522"/>
      <c r="G92" s="333">
        <f t="shared" si="2"/>
        <v>8350.3099999999868</v>
      </c>
      <c r="H92" s="334"/>
      <c r="I92" s="335"/>
      <c r="J92" s="336"/>
      <c r="K92" s="301"/>
      <c r="L92" s="336"/>
      <c r="M92" s="301"/>
      <c r="N92" s="336"/>
      <c r="O92" s="301"/>
      <c r="P92" s="336"/>
      <c r="Q92" s="301"/>
      <c r="R92" s="336"/>
      <c r="S92" s="301"/>
      <c r="T92" s="336"/>
    </row>
    <row r="93" spans="1:20" ht="12" customHeight="1" x14ac:dyDescent="0.3">
      <c r="A93" s="329" t="s">
        <v>289</v>
      </c>
      <c r="B93" s="330">
        <v>3</v>
      </c>
      <c r="C93" s="298">
        <v>46226</v>
      </c>
      <c r="D93" s="299" t="s">
        <v>983</v>
      </c>
      <c r="E93" s="522">
        <v>25</v>
      </c>
      <c r="F93" s="522"/>
      <c r="G93" s="333">
        <f t="shared" si="2"/>
        <v>8442.6699999999873</v>
      </c>
      <c r="H93" s="334"/>
      <c r="I93" s="335"/>
      <c r="J93" s="336"/>
      <c r="K93" s="301"/>
      <c r="L93" s="336"/>
      <c r="M93" s="301"/>
      <c r="N93" s="336"/>
      <c r="O93" s="301"/>
      <c r="P93" s="336"/>
      <c r="Q93" s="301"/>
      <c r="R93" s="336"/>
      <c r="S93" s="301"/>
      <c r="T93" s="336"/>
    </row>
    <row r="94" spans="1:20" ht="12" customHeight="1" x14ac:dyDescent="0.3">
      <c r="A94" s="329" t="s">
        <v>289</v>
      </c>
      <c r="B94" s="330">
        <v>4</v>
      </c>
      <c r="C94" s="298">
        <v>46226</v>
      </c>
      <c r="D94" s="299" t="s">
        <v>296</v>
      </c>
      <c r="E94" s="522">
        <v>49.15</v>
      </c>
      <c r="F94" s="522"/>
      <c r="G94" s="333">
        <f t="shared" si="2"/>
        <v>8467.6699999999873</v>
      </c>
      <c r="H94" s="334"/>
      <c r="I94" s="335"/>
      <c r="J94" s="336"/>
      <c r="K94" s="301"/>
      <c r="L94" s="336"/>
      <c r="M94" s="301"/>
      <c r="N94" s="336"/>
      <c r="O94" s="301"/>
      <c r="P94" s="336"/>
      <c r="Q94" s="301"/>
      <c r="R94" s="336"/>
      <c r="S94" s="301"/>
      <c r="T94" s="336"/>
    </row>
    <row r="95" spans="1:20" ht="12" customHeight="1" x14ac:dyDescent="0.3">
      <c r="A95" s="329" t="s">
        <v>289</v>
      </c>
      <c r="B95" s="330">
        <v>6</v>
      </c>
      <c r="C95" s="298">
        <v>46226</v>
      </c>
      <c r="D95" s="299" t="s">
        <v>993</v>
      </c>
      <c r="E95" s="522">
        <v>21.6</v>
      </c>
      <c r="F95" s="522"/>
      <c r="G95" s="333">
        <f t="shared" si="2"/>
        <v>8516.819999999987</v>
      </c>
      <c r="H95" s="334"/>
      <c r="I95" s="335"/>
      <c r="J95" s="336"/>
      <c r="K95" s="301"/>
      <c r="L95" s="336"/>
      <c r="M95" s="301"/>
      <c r="N95" s="336"/>
      <c r="O95" s="301"/>
      <c r="P95" s="336"/>
      <c r="Q95" s="301"/>
      <c r="R95" s="336"/>
      <c r="S95" s="301"/>
      <c r="T95" s="336"/>
    </row>
    <row r="96" spans="1:20" ht="12" customHeight="1" x14ac:dyDescent="0.3">
      <c r="A96" s="329" t="s">
        <v>289</v>
      </c>
      <c r="B96" s="330">
        <v>8</v>
      </c>
      <c r="C96" s="298">
        <v>46225</v>
      </c>
      <c r="D96" s="299" t="s">
        <v>319</v>
      </c>
      <c r="E96" s="522">
        <v>21.28</v>
      </c>
      <c r="F96" s="522"/>
      <c r="G96" s="333">
        <f t="shared" si="2"/>
        <v>8538.4199999999873</v>
      </c>
      <c r="H96" s="334"/>
      <c r="I96" s="335"/>
      <c r="J96" s="336"/>
      <c r="K96" s="301"/>
      <c r="L96" s="336"/>
      <c r="M96" s="301"/>
      <c r="N96" s="336"/>
      <c r="O96" s="301"/>
      <c r="P96" s="336"/>
      <c r="Q96" s="301"/>
      <c r="R96" s="336"/>
      <c r="S96" s="301"/>
      <c r="T96" s="336"/>
    </row>
    <row r="97" spans="1:20" ht="12" customHeight="1" x14ac:dyDescent="0.3">
      <c r="A97" s="329" t="s">
        <v>289</v>
      </c>
      <c r="B97" s="330">
        <v>2</v>
      </c>
      <c r="C97" s="298">
        <v>46225</v>
      </c>
      <c r="D97" s="299" t="s">
        <v>358</v>
      </c>
      <c r="E97" s="522">
        <v>17.260000000000002</v>
      </c>
      <c r="F97" s="522"/>
      <c r="G97" s="333">
        <f t="shared" si="2"/>
        <v>8559.699999999988</v>
      </c>
      <c r="H97" s="334"/>
      <c r="I97" s="335"/>
      <c r="J97" s="336"/>
      <c r="K97" s="301"/>
      <c r="L97" s="336"/>
      <c r="M97" s="301"/>
      <c r="N97" s="336"/>
      <c r="O97" s="301"/>
      <c r="P97" s="336"/>
      <c r="Q97" s="301"/>
      <c r="R97" s="336"/>
      <c r="S97" s="301"/>
      <c r="T97" s="336"/>
    </row>
    <row r="98" spans="1:20" ht="12" customHeight="1" x14ac:dyDescent="0.3">
      <c r="A98" s="329" t="s">
        <v>291</v>
      </c>
      <c r="B98" s="330">
        <v>40</v>
      </c>
      <c r="C98" s="298">
        <v>46225</v>
      </c>
      <c r="D98" s="299" t="s">
        <v>316</v>
      </c>
      <c r="E98" s="522"/>
      <c r="F98" s="522">
        <v>4292.68</v>
      </c>
      <c r="G98" s="333">
        <f t="shared" si="2"/>
        <v>8576.9599999999882</v>
      </c>
      <c r="H98" s="334"/>
      <c r="I98" s="335"/>
      <c r="J98" s="336"/>
      <c r="K98" s="301"/>
      <c r="L98" s="336"/>
      <c r="M98" s="301"/>
      <c r="N98" s="336"/>
      <c r="O98" s="301"/>
      <c r="P98" s="336"/>
      <c r="Q98" s="301"/>
      <c r="R98" s="336"/>
      <c r="S98" s="301"/>
      <c r="T98" s="336"/>
    </row>
    <row r="99" spans="1:20" ht="12" customHeight="1" x14ac:dyDescent="0.3">
      <c r="A99" s="329" t="s">
        <v>289</v>
      </c>
      <c r="B99" s="330">
        <v>1</v>
      </c>
      <c r="C99" s="298">
        <v>46223</v>
      </c>
      <c r="D99" s="299" t="s">
        <v>306</v>
      </c>
      <c r="E99" s="522">
        <v>148.97999999999999</v>
      </c>
      <c r="F99" s="522"/>
      <c r="G99" s="333">
        <f t="shared" si="2"/>
        <v>4284.279999999987</v>
      </c>
      <c r="H99" s="334"/>
      <c r="I99" s="335"/>
      <c r="J99" s="336"/>
      <c r="K99" s="301"/>
      <c r="L99" s="336"/>
      <c r="M99" s="301"/>
      <c r="N99" s="336"/>
      <c r="O99" s="301"/>
      <c r="P99" s="336"/>
      <c r="Q99" s="301"/>
      <c r="R99" s="336"/>
      <c r="S99" s="301"/>
      <c r="T99" s="336"/>
    </row>
    <row r="100" spans="1:20" ht="12" customHeight="1" x14ac:dyDescent="0.3">
      <c r="A100" s="329" t="s">
        <v>294</v>
      </c>
      <c r="B100" s="330">
        <v>22</v>
      </c>
      <c r="C100" s="298">
        <v>46223</v>
      </c>
      <c r="D100" s="299" t="s">
        <v>323</v>
      </c>
      <c r="E100" s="522">
        <v>20.22</v>
      </c>
      <c r="F100" s="522"/>
      <c r="G100" s="333">
        <f t="shared" si="2"/>
        <v>4433.2599999999866</v>
      </c>
      <c r="H100" s="334"/>
      <c r="I100" s="335"/>
      <c r="J100" s="336"/>
      <c r="K100" s="301"/>
      <c r="L100" s="336"/>
      <c r="M100" s="301"/>
      <c r="N100" s="336"/>
      <c r="O100" s="301"/>
      <c r="P100" s="336"/>
      <c r="Q100" s="301"/>
      <c r="R100" s="336"/>
      <c r="S100" s="301"/>
      <c r="T100" s="336"/>
    </row>
    <row r="101" spans="1:20" ht="12" customHeight="1" x14ac:dyDescent="0.3">
      <c r="A101" s="329" t="s">
        <v>289</v>
      </c>
      <c r="B101" s="330">
        <v>5</v>
      </c>
      <c r="C101" s="298">
        <v>46223</v>
      </c>
      <c r="D101" s="299" t="s">
        <v>988</v>
      </c>
      <c r="E101" s="522">
        <v>-313</v>
      </c>
      <c r="F101" s="522"/>
      <c r="G101" s="333">
        <f t="shared" si="2"/>
        <v>4453.4799999999868</v>
      </c>
      <c r="H101" s="334"/>
      <c r="I101" s="335"/>
      <c r="J101" s="336"/>
      <c r="K101" s="301"/>
      <c r="L101" s="336"/>
      <c r="M101" s="301"/>
      <c r="N101" s="336"/>
      <c r="O101" s="301"/>
      <c r="P101" s="336"/>
      <c r="Q101" s="301"/>
      <c r="R101" s="336"/>
      <c r="S101" s="301"/>
      <c r="T101" s="336"/>
    </row>
    <row r="102" spans="1:20" ht="12" customHeight="1" x14ac:dyDescent="0.3">
      <c r="A102" s="329" t="s">
        <v>289</v>
      </c>
      <c r="B102" s="330">
        <v>4</v>
      </c>
      <c r="C102" s="298">
        <v>46222</v>
      </c>
      <c r="D102" s="299" t="s">
        <v>310</v>
      </c>
      <c r="E102" s="522">
        <v>43.41</v>
      </c>
      <c r="F102" s="522"/>
      <c r="G102" s="333">
        <f t="shared" si="2"/>
        <v>4140.4799999999868</v>
      </c>
      <c r="H102" s="334"/>
      <c r="I102" s="335"/>
      <c r="J102" s="336"/>
      <c r="K102" s="301"/>
      <c r="L102" s="336"/>
      <c r="M102" s="301"/>
      <c r="N102" s="336"/>
      <c r="O102" s="301"/>
      <c r="P102" s="336"/>
      <c r="Q102" s="301"/>
      <c r="R102" s="336"/>
      <c r="S102" s="301"/>
      <c r="T102" s="336"/>
    </row>
    <row r="103" spans="1:20" ht="12" customHeight="1" x14ac:dyDescent="0.3">
      <c r="A103" s="329" t="s">
        <v>289</v>
      </c>
      <c r="B103" s="330">
        <v>1</v>
      </c>
      <c r="C103" s="298">
        <v>46222</v>
      </c>
      <c r="D103" s="299" t="s">
        <v>329</v>
      </c>
      <c r="E103" s="522">
        <v>70.98</v>
      </c>
      <c r="F103" s="522"/>
      <c r="G103" s="333">
        <f t="shared" si="2"/>
        <v>4183.8899999999867</v>
      </c>
      <c r="H103" s="334"/>
      <c r="I103" s="335"/>
      <c r="J103" s="336"/>
      <c r="K103" s="301"/>
      <c r="L103" s="336"/>
      <c r="M103" s="301"/>
      <c r="N103" s="336"/>
      <c r="O103" s="301"/>
      <c r="P103" s="336"/>
      <c r="Q103" s="301"/>
      <c r="R103" s="336"/>
      <c r="S103" s="301"/>
      <c r="T103" s="336"/>
    </row>
    <row r="104" spans="1:20" ht="12" customHeight="1" x14ac:dyDescent="0.3">
      <c r="A104" s="329" t="s">
        <v>289</v>
      </c>
      <c r="B104" s="330">
        <v>1</v>
      </c>
      <c r="C104" s="298">
        <v>46222</v>
      </c>
      <c r="D104" s="299" t="s">
        <v>306</v>
      </c>
      <c r="E104" s="522">
        <v>0.42</v>
      </c>
      <c r="F104" s="522"/>
      <c r="G104" s="333">
        <f t="shared" si="2"/>
        <v>4254.8699999999862</v>
      </c>
      <c r="H104" s="334"/>
      <c r="I104" s="335"/>
      <c r="J104" s="336"/>
      <c r="K104" s="301"/>
      <c r="L104" s="336"/>
      <c r="M104" s="301"/>
      <c r="N104" s="336"/>
      <c r="O104" s="301"/>
      <c r="P104" s="336"/>
      <c r="Q104" s="301"/>
      <c r="R104" s="336"/>
      <c r="S104" s="301"/>
      <c r="T104" s="336"/>
    </row>
    <row r="105" spans="1:20" ht="12" customHeight="1" x14ac:dyDescent="0.3">
      <c r="A105" s="329" t="s">
        <v>294</v>
      </c>
      <c r="B105" s="330">
        <v>22</v>
      </c>
      <c r="C105" s="298">
        <v>46222</v>
      </c>
      <c r="D105" s="299" t="s">
        <v>923</v>
      </c>
      <c r="E105" s="522">
        <v>7.46</v>
      </c>
      <c r="F105" s="522"/>
      <c r="G105" s="333">
        <f t="shared" si="2"/>
        <v>4255.2899999999863</v>
      </c>
      <c r="H105" s="334"/>
      <c r="I105" s="335"/>
      <c r="J105" s="336"/>
      <c r="K105" s="301"/>
      <c r="L105" s="336"/>
      <c r="M105" s="301"/>
      <c r="N105" s="336"/>
      <c r="O105" s="301"/>
      <c r="P105" s="336"/>
      <c r="Q105" s="301"/>
      <c r="R105" s="336"/>
      <c r="S105" s="301"/>
      <c r="T105" s="336"/>
    </row>
    <row r="106" spans="1:20" ht="12" customHeight="1" x14ac:dyDescent="0.3">
      <c r="A106" s="329" t="s">
        <v>289</v>
      </c>
      <c r="B106" s="330">
        <v>6</v>
      </c>
      <c r="C106" s="298">
        <v>46222</v>
      </c>
      <c r="D106" s="299" t="s">
        <v>987</v>
      </c>
      <c r="E106" s="522">
        <v>60</v>
      </c>
      <c r="F106" s="522"/>
      <c r="G106" s="333">
        <f t="shared" si="2"/>
        <v>4262.7499999999864</v>
      </c>
      <c r="H106" s="334"/>
      <c r="I106" s="335"/>
      <c r="J106" s="336"/>
      <c r="K106" s="301"/>
      <c r="L106" s="336"/>
      <c r="M106" s="301"/>
      <c r="N106" s="336"/>
      <c r="O106" s="301"/>
      <c r="P106" s="336"/>
      <c r="Q106" s="301"/>
      <c r="R106" s="336"/>
      <c r="S106" s="301"/>
      <c r="T106" s="336"/>
    </row>
    <row r="107" spans="1:20" ht="12" customHeight="1" x14ac:dyDescent="0.3">
      <c r="A107" s="329" t="s">
        <v>289</v>
      </c>
      <c r="B107" s="330">
        <v>2</v>
      </c>
      <c r="C107" s="298">
        <v>46221</v>
      </c>
      <c r="D107" s="299" t="s">
        <v>346</v>
      </c>
      <c r="E107" s="522">
        <v>11.77</v>
      </c>
      <c r="F107" s="522"/>
      <c r="G107" s="333">
        <f t="shared" si="2"/>
        <v>4322.7499999999864</v>
      </c>
      <c r="H107" s="334"/>
      <c r="I107" s="335"/>
      <c r="J107" s="336"/>
      <c r="K107" s="301"/>
      <c r="L107" s="336"/>
      <c r="M107" s="301"/>
      <c r="N107" s="336"/>
      <c r="O107" s="301"/>
      <c r="P107" s="336"/>
      <c r="Q107" s="301"/>
      <c r="R107" s="336"/>
      <c r="S107" s="301"/>
      <c r="T107" s="336"/>
    </row>
    <row r="108" spans="1:20" ht="12" customHeight="1" x14ac:dyDescent="0.3">
      <c r="A108" s="329" t="s">
        <v>289</v>
      </c>
      <c r="B108" s="330">
        <v>2</v>
      </c>
      <c r="C108" s="298">
        <v>46221</v>
      </c>
      <c r="D108" s="299" t="s">
        <v>308</v>
      </c>
      <c r="E108" s="522">
        <v>123.68</v>
      </c>
      <c r="F108" s="522"/>
      <c r="G108" s="333">
        <f t="shared" si="2"/>
        <v>4334.5199999999868</v>
      </c>
      <c r="H108" s="334"/>
      <c r="I108" s="335"/>
      <c r="J108" s="336"/>
      <c r="K108" s="301"/>
      <c r="L108" s="336"/>
      <c r="M108" s="301"/>
      <c r="N108" s="336"/>
      <c r="O108" s="301"/>
      <c r="P108" s="336"/>
      <c r="Q108" s="301"/>
      <c r="R108" s="336"/>
      <c r="S108" s="301"/>
      <c r="T108" s="336"/>
    </row>
    <row r="109" spans="1:20" ht="12" customHeight="1" x14ac:dyDescent="0.3">
      <c r="A109" s="329" t="s">
        <v>289</v>
      </c>
      <c r="B109" s="330">
        <v>8</v>
      </c>
      <c r="C109" s="298">
        <v>46221</v>
      </c>
      <c r="D109" s="299" t="s">
        <v>989</v>
      </c>
      <c r="E109" s="522">
        <v>27.37</v>
      </c>
      <c r="F109" s="522"/>
      <c r="G109" s="333">
        <f t="shared" si="2"/>
        <v>4458.1999999999871</v>
      </c>
      <c r="H109" s="334"/>
      <c r="I109" s="335"/>
      <c r="J109" s="336"/>
      <c r="K109" s="301"/>
      <c r="L109" s="336"/>
      <c r="M109" s="301"/>
      <c r="N109" s="336"/>
      <c r="O109" s="301"/>
      <c r="P109" s="336"/>
      <c r="Q109" s="301"/>
      <c r="R109" s="336"/>
      <c r="S109" s="301"/>
      <c r="T109" s="336"/>
    </row>
    <row r="110" spans="1:20" ht="12" customHeight="1" x14ac:dyDescent="0.3">
      <c r="A110" s="329" t="s">
        <v>289</v>
      </c>
      <c r="B110" s="330">
        <v>8</v>
      </c>
      <c r="C110" s="298">
        <v>46221</v>
      </c>
      <c r="D110" s="299" t="s">
        <v>989</v>
      </c>
      <c r="E110" s="522">
        <v>25.2</v>
      </c>
      <c r="F110" s="522"/>
      <c r="G110" s="333">
        <f t="shared" si="2"/>
        <v>4485.569999999987</v>
      </c>
      <c r="H110" s="334"/>
      <c r="I110" s="335"/>
      <c r="J110" s="336"/>
      <c r="K110" s="301"/>
      <c r="L110" s="336"/>
      <c r="M110" s="301"/>
      <c r="N110" s="336"/>
      <c r="O110" s="301"/>
      <c r="P110" s="336"/>
      <c r="Q110" s="301"/>
      <c r="R110" s="336"/>
      <c r="S110" s="301"/>
      <c r="T110" s="336"/>
    </row>
    <row r="111" spans="1:20" ht="12" customHeight="1" x14ac:dyDescent="0.3">
      <c r="A111" s="329" t="s">
        <v>294</v>
      </c>
      <c r="B111" s="330">
        <v>22</v>
      </c>
      <c r="C111" s="298">
        <v>46221</v>
      </c>
      <c r="D111" s="299" t="s">
        <v>930</v>
      </c>
      <c r="E111" s="522">
        <v>13.84</v>
      </c>
      <c r="F111" s="522"/>
      <c r="G111" s="333">
        <f t="shared" si="2"/>
        <v>4510.7699999999868</v>
      </c>
      <c r="H111" s="334"/>
      <c r="I111" s="335"/>
      <c r="J111" s="336"/>
      <c r="K111" s="301"/>
      <c r="L111" s="336"/>
      <c r="M111" s="301"/>
      <c r="N111" s="336"/>
      <c r="O111" s="301"/>
      <c r="P111" s="336"/>
      <c r="Q111" s="301"/>
      <c r="R111" s="336"/>
      <c r="S111" s="301"/>
      <c r="T111" s="336"/>
    </row>
    <row r="112" spans="1:20" ht="12" customHeight="1" x14ac:dyDescent="0.3">
      <c r="A112" s="329" t="s">
        <v>294</v>
      </c>
      <c r="B112" s="330">
        <v>21</v>
      </c>
      <c r="C112" s="298">
        <v>46220</v>
      </c>
      <c r="D112" s="299" t="s">
        <v>194</v>
      </c>
      <c r="E112" s="522">
        <v>81</v>
      </c>
      <c r="F112" s="522"/>
      <c r="G112" s="333">
        <f t="shared" si="2"/>
        <v>4524.6099999999869</v>
      </c>
      <c r="H112" s="334"/>
      <c r="I112" s="335"/>
      <c r="J112" s="336"/>
      <c r="K112" s="301"/>
      <c r="L112" s="336"/>
      <c r="M112" s="301"/>
      <c r="N112" s="336"/>
      <c r="O112" s="301"/>
      <c r="P112" s="336"/>
      <c r="Q112" s="301"/>
      <c r="R112" s="336"/>
      <c r="S112" s="301"/>
      <c r="T112" s="336"/>
    </row>
    <row r="113" spans="1:20" ht="12" customHeight="1" x14ac:dyDescent="0.3">
      <c r="A113" s="329" t="s">
        <v>294</v>
      </c>
      <c r="B113" s="330">
        <v>43</v>
      </c>
      <c r="C113" s="298">
        <v>46220</v>
      </c>
      <c r="D113" s="299" t="s">
        <v>333</v>
      </c>
      <c r="E113" s="522">
        <v>22.35</v>
      </c>
      <c r="F113" s="522"/>
      <c r="G113" s="333">
        <f t="shared" si="2"/>
        <v>4605.6099999999869</v>
      </c>
      <c r="H113" s="334"/>
      <c r="I113" s="335"/>
      <c r="J113" s="336"/>
      <c r="K113" s="301"/>
      <c r="L113" s="336"/>
      <c r="M113" s="301"/>
      <c r="N113" s="336"/>
      <c r="O113" s="301"/>
      <c r="P113" s="336"/>
      <c r="Q113" s="301"/>
      <c r="R113" s="336"/>
      <c r="S113" s="301"/>
      <c r="T113" s="336"/>
    </row>
    <row r="114" spans="1:20" ht="12" customHeight="1" x14ac:dyDescent="0.3">
      <c r="A114" s="329" t="s">
        <v>294</v>
      </c>
      <c r="B114" s="330">
        <v>42</v>
      </c>
      <c r="C114" s="298">
        <v>46220</v>
      </c>
      <c r="D114" s="299" t="s">
        <v>333</v>
      </c>
      <c r="E114" s="522">
        <v>29.8</v>
      </c>
      <c r="F114" s="522"/>
      <c r="G114" s="333">
        <f t="shared" si="2"/>
        <v>4627.9599999999873</v>
      </c>
      <c r="H114" s="334"/>
      <c r="I114" s="335"/>
      <c r="J114" s="336"/>
      <c r="K114" s="301"/>
      <c r="L114" s="336"/>
      <c r="M114" s="301"/>
      <c r="N114" s="336"/>
      <c r="O114" s="301"/>
      <c r="P114" s="336"/>
      <c r="Q114" s="301"/>
      <c r="R114" s="336"/>
      <c r="S114" s="301"/>
      <c r="T114" s="336"/>
    </row>
    <row r="115" spans="1:20" ht="12" customHeight="1" x14ac:dyDescent="0.3">
      <c r="A115" s="329" t="s">
        <v>294</v>
      </c>
      <c r="B115" s="330">
        <v>17</v>
      </c>
      <c r="C115" s="298">
        <v>46220</v>
      </c>
      <c r="D115" s="299" t="s">
        <v>188</v>
      </c>
      <c r="E115" s="522">
        <v>42.65</v>
      </c>
      <c r="F115" s="522"/>
      <c r="G115" s="333">
        <f t="shared" si="2"/>
        <v>4657.7599999999875</v>
      </c>
      <c r="H115" s="334"/>
      <c r="I115" s="335"/>
      <c r="J115" s="336"/>
      <c r="K115" s="301"/>
      <c r="L115" s="336"/>
      <c r="M115" s="301"/>
      <c r="N115" s="336"/>
      <c r="O115" s="301"/>
      <c r="P115" s="336"/>
      <c r="Q115" s="301"/>
      <c r="R115" s="336"/>
      <c r="S115" s="301"/>
      <c r="T115" s="336"/>
    </row>
    <row r="116" spans="1:20" ht="12" customHeight="1" x14ac:dyDescent="0.3">
      <c r="A116" s="329" t="s">
        <v>294</v>
      </c>
      <c r="B116" s="330">
        <v>23</v>
      </c>
      <c r="C116" s="298">
        <v>46220</v>
      </c>
      <c r="D116" s="299" t="s">
        <v>63</v>
      </c>
      <c r="E116" s="522">
        <v>529.46</v>
      </c>
      <c r="F116" s="522"/>
      <c r="G116" s="333">
        <f t="shared" si="2"/>
        <v>4700.4099999999871</v>
      </c>
      <c r="H116" s="334"/>
      <c r="I116" s="335"/>
      <c r="J116" s="336"/>
      <c r="K116" s="301"/>
      <c r="L116" s="336"/>
      <c r="M116" s="301"/>
      <c r="N116" s="336"/>
      <c r="O116" s="301"/>
      <c r="P116" s="336"/>
      <c r="Q116" s="301"/>
      <c r="R116" s="336"/>
      <c r="S116" s="301"/>
      <c r="T116" s="336"/>
    </row>
    <row r="117" spans="1:20" ht="12" customHeight="1" x14ac:dyDescent="0.3">
      <c r="A117" s="329" t="s">
        <v>294</v>
      </c>
      <c r="B117" s="330">
        <v>11</v>
      </c>
      <c r="C117" s="298">
        <v>46219</v>
      </c>
      <c r="D117" s="299" t="s">
        <v>178</v>
      </c>
      <c r="E117" s="522">
        <v>256.64</v>
      </c>
      <c r="F117" s="522"/>
      <c r="G117" s="333">
        <f t="shared" si="2"/>
        <v>5229.8699999999872</v>
      </c>
      <c r="H117" s="334"/>
      <c r="I117" s="335"/>
      <c r="J117" s="336"/>
      <c r="K117" s="301"/>
      <c r="L117" s="336"/>
      <c r="M117" s="301"/>
      <c r="N117" s="336"/>
      <c r="O117" s="301"/>
      <c r="P117" s="336"/>
      <c r="Q117" s="301"/>
      <c r="R117" s="336"/>
      <c r="S117" s="301"/>
      <c r="T117" s="336"/>
    </row>
    <row r="118" spans="1:20" ht="12" customHeight="1" x14ac:dyDescent="0.3">
      <c r="A118" s="329" t="s">
        <v>289</v>
      </c>
      <c r="B118" s="330">
        <v>5</v>
      </c>
      <c r="C118" s="298">
        <v>46219</v>
      </c>
      <c r="D118" s="299" t="s">
        <v>340</v>
      </c>
      <c r="E118" s="522">
        <v>21.3</v>
      </c>
      <c r="F118" s="522"/>
      <c r="G118" s="333">
        <f t="shared" si="2"/>
        <v>5486.5099999999875</v>
      </c>
      <c r="H118" s="334"/>
      <c r="I118" s="335"/>
      <c r="J118" s="336"/>
      <c r="K118" s="301"/>
      <c r="L118" s="336"/>
      <c r="M118" s="301"/>
      <c r="N118" s="336"/>
      <c r="O118" s="301"/>
      <c r="P118" s="336"/>
      <c r="Q118" s="301"/>
      <c r="R118" s="336"/>
      <c r="S118" s="301"/>
      <c r="T118" s="336"/>
    </row>
    <row r="119" spans="1:20" ht="12" customHeight="1" x14ac:dyDescent="0.3">
      <c r="A119" s="329" t="s">
        <v>291</v>
      </c>
      <c r="B119" s="330">
        <v>38</v>
      </c>
      <c r="C119" s="298">
        <v>46218</v>
      </c>
      <c r="D119" s="299" t="s">
        <v>293</v>
      </c>
      <c r="E119" s="522"/>
      <c r="F119" s="522">
        <v>4720.84</v>
      </c>
      <c r="G119" s="333">
        <f t="shared" ref="G119:G124" si="3">G120-E119+F119</f>
        <v>5507.8099999999877</v>
      </c>
      <c r="H119" s="334"/>
      <c r="I119" s="335"/>
      <c r="J119" s="336"/>
      <c r="K119" s="301"/>
      <c r="L119" s="336"/>
      <c r="M119" s="301"/>
      <c r="N119" s="336"/>
      <c r="O119" s="301"/>
      <c r="P119" s="336"/>
      <c r="Q119" s="301"/>
      <c r="R119" s="336"/>
      <c r="S119" s="301"/>
      <c r="T119" s="336"/>
    </row>
    <row r="120" spans="1:20" ht="12" customHeight="1" x14ac:dyDescent="0.3">
      <c r="A120" s="329" t="s">
        <v>289</v>
      </c>
      <c r="B120" s="330">
        <v>5</v>
      </c>
      <c r="C120" s="298">
        <v>46218</v>
      </c>
      <c r="D120" s="299" t="s">
        <v>985</v>
      </c>
      <c r="E120" s="522">
        <v>429.82</v>
      </c>
      <c r="F120" s="522"/>
      <c r="G120" s="333">
        <f t="shared" si="3"/>
        <v>786.96999999998775</v>
      </c>
      <c r="H120" s="334"/>
      <c r="I120" s="335"/>
      <c r="J120" s="336"/>
      <c r="K120" s="301"/>
      <c r="L120" s="336"/>
      <c r="M120" s="301"/>
      <c r="N120" s="336"/>
      <c r="O120" s="301"/>
      <c r="P120" s="336"/>
      <c r="Q120" s="301"/>
      <c r="R120" s="336"/>
      <c r="S120" s="301"/>
      <c r="T120" s="336"/>
    </row>
    <row r="121" spans="1:20" ht="12" customHeight="1" x14ac:dyDescent="0.3">
      <c r="A121" s="329" t="s">
        <v>289</v>
      </c>
      <c r="B121" s="330">
        <v>2</v>
      </c>
      <c r="C121" s="298">
        <v>46218</v>
      </c>
      <c r="D121" s="299" t="s">
        <v>981</v>
      </c>
      <c r="E121" s="522">
        <v>80.319999999999993</v>
      </c>
      <c r="F121" s="522"/>
      <c r="G121" s="333">
        <f t="shared" si="3"/>
        <v>1216.7899999999877</v>
      </c>
      <c r="H121" s="334"/>
      <c r="I121" s="335"/>
      <c r="J121" s="336"/>
      <c r="K121" s="301"/>
      <c r="L121" s="336"/>
      <c r="M121" s="301"/>
      <c r="N121" s="336"/>
      <c r="O121" s="301"/>
      <c r="P121" s="336"/>
      <c r="Q121" s="301"/>
      <c r="R121" s="336"/>
      <c r="S121" s="301"/>
      <c r="T121" s="336"/>
    </row>
    <row r="122" spans="1:20" ht="12" customHeight="1" x14ac:dyDescent="0.3">
      <c r="A122" s="329" t="s">
        <v>289</v>
      </c>
      <c r="B122" s="330">
        <v>6</v>
      </c>
      <c r="C122" s="298">
        <v>46216</v>
      </c>
      <c r="D122" s="299" t="s">
        <v>312</v>
      </c>
      <c r="E122" s="522">
        <v>51.94</v>
      </c>
      <c r="F122" s="522"/>
      <c r="G122" s="333">
        <f t="shared" si="3"/>
        <v>1297.1099999999876</v>
      </c>
      <c r="H122" s="334"/>
      <c r="I122" s="335"/>
      <c r="J122" s="336"/>
      <c r="K122" s="301"/>
      <c r="L122" s="336"/>
      <c r="M122" s="301"/>
      <c r="N122" s="336"/>
      <c r="O122" s="301"/>
      <c r="P122" s="336"/>
      <c r="Q122" s="301"/>
      <c r="R122" s="336"/>
      <c r="S122" s="301"/>
      <c r="T122" s="336"/>
    </row>
    <row r="123" spans="1:20" ht="12" customHeight="1" x14ac:dyDescent="0.3">
      <c r="A123" s="329" t="s">
        <v>289</v>
      </c>
      <c r="B123" s="330">
        <v>2</v>
      </c>
      <c r="C123" s="298">
        <v>46216</v>
      </c>
      <c r="D123" s="299" t="s">
        <v>984</v>
      </c>
      <c r="E123" s="522">
        <v>43.13</v>
      </c>
      <c r="F123" s="522"/>
      <c r="G123" s="333">
        <f t="shared" si="3"/>
        <v>1349.0499999999877</v>
      </c>
      <c r="H123" s="334"/>
      <c r="I123" s="335"/>
      <c r="J123" s="336"/>
      <c r="K123" s="301"/>
      <c r="L123" s="336"/>
      <c r="M123" s="301"/>
      <c r="N123" s="336"/>
      <c r="O123" s="301"/>
      <c r="P123" s="336"/>
      <c r="Q123" s="301"/>
      <c r="R123" s="336"/>
      <c r="S123" s="301"/>
      <c r="T123" s="336"/>
    </row>
    <row r="124" spans="1:20" ht="12" customHeight="1" x14ac:dyDescent="0.3">
      <c r="A124" s="329" t="s">
        <v>294</v>
      </c>
      <c r="B124" s="330">
        <v>19</v>
      </c>
      <c r="C124" s="298">
        <v>46216</v>
      </c>
      <c r="D124" s="299" t="s">
        <v>191</v>
      </c>
      <c r="E124" s="522">
        <v>200</v>
      </c>
      <c r="F124" s="522"/>
      <c r="G124" s="333">
        <f t="shared" si="3"/>
        <v>1392.1799999999878</v>
      </c>
      <c r="H124" s="334"/>
      <c r="I124" s="335"/>
      <c r="J124" s="336"/>
      <c r="K124" s="301"/>
      <c r="L124" s="336"/>
      <c r="M124" s="301"/>
      <c r="N124" s="336"/>
      <c r="O124" s="301"/>
      <c r="P124" s="336"/>
      <c r="Q124" s="301"/>
      <c r="R124" s="336"/>
      <c r="S124" s="301"/>
      <c r="T124" s="336"/>
    </row>
    <row r="125" spans="1:20" ht="12" customHeight="1" x14ac:dyDescent="0.3">
      <c r="A125" s="329" t="s">
        <v>294</v>
      </c>
      <c r="B125" s="330">
        <v>15</v>
      </c>
      <c r="C125" s="298">
        <v>46216</v>
      </c>
      <c r="D125" s="299" t="s">
        <v>185</v>
      </c>
      <c r="E125" s="522">
        <v>64.05</v>
      </c>
      <c r="F125" s="522"/>
      <c r="G125" s="333">
        <f t="shared" ref="G125:G227" si="4">G126-E125+F125</f>
        <v>1592.1799999999878</v>
      </c>
      <c r="H125" s="334"/>
      <c r="I125" s="335"/>
      <c r="J125" s="336"/>
      <c r="K125" s="301"/>
      <c r="L125" s="336"/>
      <c r="M125" s="301"/>
      <c r="N125" s="336"/>
      <c r="O125" s="301"/>
      <c r="P125" s="336"/>
      <c r="Q125" s="301"/>
      <c r="R125" s="336"/>
      <c r="S125" s="301"/>
      <c r="T125" s="336"/>
    </row>
    <row r="126" spans="1:20" ht="12" customHeight="1" x14ac:dyDescent="0.3">
      <c r="A126" s="329" t="s">
        <v>335</v>
      </c>
      <c r="B126" s="330" t="s">
        <v>335</v>
      </c>
      <c r="C126" s="298">
        <v>46216</v>
      </c>
      <c r="D126" s="299" t="s">
        <v>336</v>
      </c>
      <c r="E126" s="522">
        <v>63.44</v>
      </c>
      <c r="F126" s="522"/>
      <c r="G126" s="333">
        <f t="shared" si="4"/>
        <v>1656.2299999999877</v>
      </c>
      <c r="H126" s="334"/>
      <c r="I126" s="335"/>
      <c r="J126" s="336"/>
      <c r="K126" s="301"/>
      <c r="L126" s="336"/>
      <c r="M126" s="301"/>
      <c r="N126" s="336"/>
      <c r="O126" s="301"/>
      <c r="P126" s="336"/>
      <c r="Q126" s="301"/>
      <c r="R126" s="336"/>
      <c r="S126" s="301"/>
      <c r="T126" s="336"/>
    </row>
    <row r="127" spans="1:20" ht="12" customHeight="1" x14ac:dyDescent="0.3">
      <c r="A127" s="329" t="s">
        <v>289</v>
      </c>
      <c r="B127" s="330">
        <v>4</v>
      </c>
      <c r="C127" s="298">
        <v>46215</v>
      </c>
      <c r="D127" s="299" t="s">
        <v>310</v>
      </c>
      <c r="E127" s="522">
        <v>34.85</v>
      </c>
      <c r="F127" s="522"/>
      <c r="G127" s="333">
        <f t="shared" si="4"/>
        <v>1719.6699999999878</v>
      </c>
      <c r="H127" s="334"/>
      <c r="I127" s="335"/>
      <c r="J127" s="336"/>
      <c r="K127" s="301"/>
      <c r="L127" s="336"/>
      <c r="M127" s="301"/>
      <c r="N127" s="336"/>
      <c r="O127" s="301"/>
      <c r="P127" s="336"/>
      <c r="Q127" s="301"/>
      <c r="R127" s="336"/>
      <c r="S127" s="301"/>
      <c r="T127" s="336"/>
    </row>
    <row r="128" spans="1:20" ht="12" customHeight="1" x14ac:dyDescent="0.3">
      <c r="A128" s="329" t="s">
        <v>289</v>
      </c>
      <c r="B128" s="330">
        <v>8</v>
      </c>
      <c r="C128" s="298">
        <v>46215</v>
      </c>
      <c r="D128" s="299" t="s">
        <v>982</v>
      </c>
      <c r="E128" s="522">
        <v>29.2</v>
      </c>
      <c r="F128" s="522"/>
      <c r="G128" s="333">
        <f t="shared" si="4"/>
        <v>1754.5199999999877</v>
      </c>
      <c r="H128" s="334"/>
      <c r="I128" s="335"/>
      <c r="J128" s="336"/>
      <c r="K128" s="301"/>
      <c r="L128" s="336"/>
      <c r="M128" s="301"/>
      <c r="N128" s="336"/>
      <c r="O128" s="301"/>
      <c r="P128" s="336"/>
      <c r="Q128" s="301"/>
      <c r="R128" s="336"/>
      <c r="S128" s="301"/>
      <c r="T128" s="336"/>
    </row>
    <row r="129" spans="1:20" ht="12" customHeight="1" x14ac:dyDescent="0.3">
      <c r="A129" s="329" t="s">
        <v>289</v>
      </c>
      <c r="B129" s="330">
        <v>6</v>
      </c>
      <c r="C129" s="298">
        <v>46215</v>
      </c>
      <c r="D129" s="299" t="s">
        <v>980</v>
      </c>
      <c r="E129" s="522">
        <v>81.75</v>
      </c>
      <c r="F129" s="522"/>
      <c r="G129" s="333">
        <f t="shared" si="4"/>
        <v>1783.7199999999877</v>
      </c>
      <c r="H129" s="334"/>
      <c r="I129" s="335"/>
      <c r="J129" s="336"/>
      <c r="K129" s="301"/>
      <c r="L129" s="336"/>
      <c r="M129" s="301"/>
      <c r="N129" s="336"/>
      <c r="O129" s="301"/>
      <c r="P129" s="336"/>
      <c r="Q129" s="301"/>
      <c r="R129" s="336"/>
      <c r="S129" s="301"/>
      <c r="T129" s="336"/>
    </row>
    <row r="130" spans="1:20" ht="12" customHeight="1" x14ac:dyDescent="0.3">
      <c r="A130" s="329" t="s">
        <v>289</v>
      </c>
      <c r="B130" s="330">
        <v>5</v>
      </c>
      <c r="C130" s="298">
        <v>46215</v>
      </c>
      <c r="D130" s="299" t="s">
        <v>980</v>
      </c>
      <c r="E130" s="522">
        <v>81.75</v>
      </c>
      <c r="F130" s="522"/>
      <c r="G130" s="333">
        <f t="shared" si="4"/>
        <v>1865.4699999999877</v>
      </c>
      <c r="H130" s="334"/>
      <c r="I130" s="335"/>
      <c r="J130" s="336"/>
      <c r="K130" s="301"/>
      <c r="L130" s="336"/>
      <c r="M130" s="301"/>
      <c r="N130" s="336"/>
      <c r="O130" s="301"/>
      <c r="P130" s="336"/>
      <c r="Q130" s="301"/>
      <c r="R130" s="336"/>
      <c r="S130" s="301"/>
      <c r="T130" s="336"/>
    </row>
    <row r="131" spans="1:20" ht="12" customHeight="1" x14ac:dyDescent="0.3">
      <c r="A131" s="329" t="s">
        <v>289</v>
      </c>
      <c r="B131" s="330">
        <v>3</v>
      </c>
      <c r="C131" s="298">
        <v>46214</v>
      </c>
      <c r="D131" s="299" t="s">
        <v>983</v>
      </c>
      <c r="E131" s="522">
        <v>25</v>
      </c>
      <c r="F131" s="522"/>
      <c r="G131" s="333">
        <f t="shared" si="4"/>
        <v>1947.2199999999877</v>
      </c>
      <c r="H131" s="334"/>
      <c r="I131" s="335"/>
      <c r="J131" s="336"/>
      <c r="K131" s="301"/>
      <c r="L131" s="336"/>
      <c r="M131" s="301"/>
      <c r="N131" s="336"/>
      <c r="O131" s="301"/>
      <c r="P131" s="336"/>
      <c r="Q131" s="301"/>
      <c r="R131" s="336"/>
      <c r="S131" s="301"/>
      <c r="T131" s="336"/>
    </row>
    <row r="132" spans="1:20" ht="12" customHeight="1" x14ac:dyDescent="0.3">
      <c r="A132" s="329" t="s">
        <v>294</v>
      </c>
      <c r="B132" s="330">
        <v>22</v>
      </c>
      <c r="C132" s="298">
        <v>46214</v>
      </c>
      <c r="D132" s="299" t="s">
        <v>352</v>
      </c>
      <c r="E132" s="522">
        <v>21.29</v>
      </c>
      <c r="F132" s="522"/>
      <c r="G132" s="333">
        <f t="shared" si="4"/>
        <v>1972.2199999999877</v>
      </c>
      <c r="H132" s="334"/>
      <c r="I132" s="335"/>
      <c r="J132" s="336"/>
      <c r="K132" s="301"/>
      <c r="L132" s="336"/>
      <c r="M132" s="301"/>
      <c r="N132" s="336"/>
      <c r="O132" s="301"/>
      <c r="P132" s="336"/>
      <c r="Q132" s="301"/>
      <c r="R132" s="336"/>
      <c r="S132" s="301"/>
      <c r="T132" s="336"/>
    </row>
    <row r="133" spans="1:20" ht="12" customHeight="1" x14ac:dyDescent="0.3">
      <c r="A133" s="329" t="s">
        <v>289</v>
      </c>
      <c r="B133" s="330">
        <v>2</v>
      </c>
      <c r="C133" s="298">
        <v>46214</v>
      </c>
      <c r="D133" s="299" t="s">
        <v>308</v>
      </c>
      <c r="E133" s="522">
        <v>54.48</v>
      </c>
      <c r="F133" s="522"/>
      <c r="G133" s="333">
        <f t="shared" si="4"/>
        <v>1993.5099999999877</v>
      </c>
      <c r="H133" s="334"/>
      <c r="I133" s="335"/>
      <c r="J133" s="336"/>
      <c r="K133" s="301"/>
      <c r="L133" s="336"/>
      <c r="M133" s="301"/>
      <c r="N133" s="336"/>
      <c r="O133" s="301"/>
      <c r="P133" s="336"/>
      <c r="Q133" s="301"/>
      <c r="R133" s="336"/>
      <c r="S133" s="301"/>
      <c r="T133" s="336"/>
    </row>
    <row r="134" spans="1:20" ht="12" customHeight="1" x14ac:dyDescent="0.3">
      <c r="A134" s="329" t="s">
        <v>289</v>
      </c>
      <c r="B134" s="330">
        <v>8</v>
      </c>
      <c r="C134" s="298">
        <v>46214</v>
      </c>
      <c r="D134" s="299" t="s">
        <v>308</v>
      </c>
      <c r="E134" s="522">
        <v>54.49</v>
      </c>
      <c r="F134" s="522"/>
      <c r="G134" s="333">
        <f t="shared" si="4"/>
        <v>2047.9899999999877</v>
      </c>
      <c r="H134" s="334"/>
      <c r="I134" s="335"/>
      <c r="J134" s="336"/>
      <c r="K134" s="301"/>
      <c r="L134" s="336"/>
      <c r="M134" s="301"/>
      <c r="N134" s="336"/>
      <c r="O134" s="301"/>
      <c r="P134" s="336"/>
      <c r="Q134" s="301"/>
      <c r="R134" s="336"/>
      <c r="S134" s="301"/>
      <c r="T134" s="336"/>
    </row>
    <row r="135" spans="1:20" ht="12" customHeight="1" x14ac:dyDescent="0.3">
      <c r="A135" s="329" t="s">
        <v>289</v>
      </c>
      <c r="B135" s="330">
        <v>1</v>
      </c>
      <c r="C135" s="298">
        <v>46214</v>
      </c>
      <c r="D135" s="299" t="s">
        <v>311</v>
      </c>
      <c r="E135" s="522">
        <v>167.26</v>
      </c>
      <c r="F135" s="522"/>
      <c r="G135" s="333">
        <f t="shared" si="4"/>
        <v>2102.4799999999877</v>
      </c>
      <c r="H135" s="334"/>
      <c r="I135" s="335"/>
      <c r="J135" s="336"/>
      <c r="K135" s="301"/>
      <c r="L135" s="336"/>
      <c r="M135" s="301"/>
      <c r="N135" s="336"/>
      <c r="O135" s="301"/>
      <c r="P135" s="336"/>
      <c r="Q135" s="301"/>
      <c r="R135" s="336"/>
      <c r="S135" s="301"/>
      <c r="T135" s="336"/>
    </row>
    <row r="136" spans="1:20" ht="12" customHeight="1" x14ac:dyDescent="0.3">
      <c r="A136" s="329" t="s">
        <v>289</v>
      </c>
      <c r="B136" s="330">
        <v>1</v>
      </c>
      <c r="C136" s="298">
        <v>46214</v>
      </c>
      <c r="D136" s="299" t="s">
        <v>329</v>
      </c>
      <c r="E136" s="522">
        <v>81.73</v>
      </c>
      <c r="F136" s="522"/>
      <c r="G136" s="333">
        <f t="shared" si="4"/>
        <v>2269.7399999999875</v>
      </c>
      <c r="H136" s="334"/>
      <c r="I136" s="335"/>
      <c r="J136" s="336"/>
      <c r="K136" s="301"/>
      <c r="L136" s="336"/>
      <c r="M136" s="301"/>
      <c r="N136" s="336"/>
      <c r="O136" s="301"/>
      <c r="P136" s="336"/>
      <c r="Q136" s="301"/>
      <c r="R136" s="336"/>
      <c r="S136" s="301"/>
      <c r="T136" s="336"/>
    </row>
    <row r="137" spans="1:20" ht="12" customHeight="1" x14ac:dyDescent="0.3">
      <c r="A137" s="329" t="s">
        <v>289</v>
      </c>
      <c r="B137" s="330">
        <v>6</v>
      </c>
      <c r="C137" s="298">
        <v>46213</v>
      </c>
      <c r="D137" s="299" t="s">
        <v>885</v>
      </c>
      <c r="E137" s="522">
        <v>120</v>
      </c>
      <c r="F137" s="522"/>
      <c r="G137" s="333">
        <f t="shared" si="4"/>
        <v>2351.4699999999875</v>
      </c>
      <c r="H137" s="334"/>
      <c r="I137" s="335"/>
      <c r="J137" s="336"/>
      <c r="K137" s="301"/>
      <c r="L137" s="336"/>
      <c r="M137" s="301"/>
      <c r="N137" s="336"/>
      <c r="O137" s="301"/>
      <c r="P137" s="336"/>
      <c r="Q137" s="301"/>
      <c r="R137" s="336"/>
      <c r="S137" s="301"/>
      <c r="T137" s="336"/>
    </row>
    <row r="138" spans="1:20" ht="12" customHeight="1" x14ac:dyDescent="0.3">
      <c r="A138" s="329" t="s">
        <v>289</v>
      </c>
      <c r="B138" s="330">
        <v>6</v>
      </c>
      <c r="C138" s="298">
        <v>46213</v>
      </c>
      <c r="D138" s="299" t="s">
        <v>907</v>
      </c>
      <c r="E138" s="522">
        <v>-0.06</v>
      </c>
      <c r="F138" s="522"/>
      <c r="G138" s="333">
        <f t="shared" si="4"/>
        <v>2471.4699999999875</v>
      </c>
      <c r="H138" s="334"/>
      <c r="I138" s="335"/>
      <c r="J138" s="336"/>
      <c r="K138" s="301"/>
      <c r="L138" s="336"/>
      <c r="M138" s="301"/>
      <c r="N138" s="336"/>
      <c r="O138" s="301"/>
      <c r="P138" s="336"/>
      <c r="Q138" s="301"/>
      <c r="R138" s="336"/>
      <c r="S138" s="301"/>
      <c r="T138" s="336"/>
    </row>
    <row r="139" spans="1:20" ht="12" customHeight="1" x14ac:dyDescent="0.3">
      <c r="A139" s="329" t="s">
        <v>294</v>
      </c>
      <c r="B139" s="330">
        <v>22</v>
      </c>
      <c r="C139" s="298">
        <v>46213</v>
      </c>
      <c r="D139" s="299" t="s">
        <v>979</v>
      </c>
      <c r="E139" s="522">
        <v>5.31</v>
      </c>
      <c r="F139" s="522"/>
      <c r="G139" s="333">
        <f t="shared" si="4"/>
        <v>2471.4099999999876</v>
      </c>
      <c r="H139" s="334"/>
      <c r="I139" s="335"/>
      <c r="J139" s="336"/>
      <c r="K139" s="301"/>
      <c r="L139" s="336"/>
      <c r="M139" s="301"/>
      <c r="N139" s="336"/>
      <c r="O139" s="301"/>
      <c r="P139" s="336"/>
      <c r="Q139" s="301"/>
      <c r="R139" s="336"/>
      <c r="S139" s="301"/>
      <c r="T139" s="336"/>
    </row>
    <row r="140" spans="1:20" ht="12" customHeight="1" x14ac:dyDescent="0.3">
      <c r="A140" s="329" t="s">
        <v>289</v>
      </c>
      <c r="B140" s="330">
        <v>6</v>
      </c>
      <c r="C140" s="298">
        <v>46213</v>
      </c>
      <c r="D140" s="299" t="s">
        <v>300</v>
      </c>
      <c r="E140" s="522">
        <v>25.52</v>
      </c>
      <c r="F140" s="522"/>
      <c r="G140" s="333">
        <f t="shared" si="4"/>
        <v>2476.7199999999875</v>
      </c>
      <c r="H140" s="334"/>
      <c r="I140" s="335"/>
      <c r="J140" s="336"/>
      <c r="K140" s="301"/>
      <c r="L140" s="336"/>
      <c r="M140" s="301"/>
      <c r="N140" s="336"/>
      <c r="O140" s="301"/>
      <c r="P140" s="336"/>
      <c r="Q140" s="301"/>
      <c r="R140" s="336"/>
      <c r="S140" s="301"/>
      <c r="T140" s="336"/>
    </row>
    <row r="141" spans="1:20" ht="12" customHeight="1" x14ac:dyDescent="0.3">
      <c r="A141" s="329" t="s">
        <v>289</v>
      </c>
      <c r="B141" s="330">
        <v>1</v>
      </c>
      <c r="C141" s="298">
        <v>46213</v>
      </c>
      <c r="D141" s="299" t="s">
        <v>831</v>
      </c>
      <c r="E141" s="522">
        <v>13.03</v>
      </c>
      <c r="F141" s="522"/>
      <c r="G141" s="333">
        <f t="shared" si="4"/>
        <v>2502.2399999999875</v>
      </c>
      <c r="H141" s="334"/>
      <c r="I141" s="335"/>
      <c r="J141" s="336"/>
      <c r="K141" s="301"/>
      <c r="L141" s="336"/>
      <c r="M141" s="301"/>
      <c r="N141" s="336"/>
      <c r="O141" s="301"/>
      <c r="P141" s="336"/>
      <c r="Q141" s="301"/>
      <c r="R141" s="336"/>
      <c r="S141" s="301"/>
      <c r="T141" s="336"/>
    </row>
    <row r="142" spans="1:20" ht="12" customHeight="1" x14ac:dyDescent="0.3">
      <c r="A142" s="329" t="s">
        <v>289</v>
      </c>
      <c r="B142" s="330">
        <v>2</v>
      </c>
      <c r="C142" s="298">
        <v>46213</v>
      </c>
      <c r="D142" s="299" t="s">
        <v>371</v>
      </c>
      <c r="E142" s="522">
        <v>9.4600000000000009</v>
      </c>
      <c r="F142" s="522"/>
      <c r="G142" s="333">
        <f t="shared" si="4"/>
        <v>2515.2699999999877</v>
      </c>
      <c r="H142" s="334"/>
      <c r="I142" s="335"/>
      <c r="J142" s="336"/>
      <c r="K142" s="301"/>
      <c r="L142" s="336"/>
      <c r="M142" s="301"/>
      <c r="N142" s="336"/>
      <c r="O142" s="301"/>
      <c r="P142" s="336"/>
      <c r="Q142" s="301"/>
      <c r="R142" s="336"/>
      <c r="S142" s="301"/>
      <c r="T142" s="336"/>
    </row>
    <row r="143" spans="1:20" ht="12" customHeight="1" x14ac:dyDescent="0.3">
      <c r="A143" s="329" t="s">
        <v>289</v>
      </c>
      <c r="B143" s="330">
        <v>2</v>
      </c>
      <c r="C143" s="298">
        <v>46212</v>
      </c>
      <c r="D143" s="299" t="s">
        <v>981</v>
      </c>
      <c r="E143" s="522">
        <v>50.73</v>
      </c>
      <c r="F143" s="522"/>
      <c r="G143" s="333">
        <f t="shared" si="4"/>
        <v>2524.7299999999877</v>
      </c>
      <c r="H143" s="334"/>
      <c r="I143" s="335"/>
      <c r="J143" s="336"/>
      <c r="K143" s="301"/>
      <c r="L143" s="336"/>
      <c r="M143" s="301"/>
      <c r="N143" s="336"/>
      <c r="O143" s="301"/>
      <c r="P143" s="336"/>
      <c r="Q143" s="301"/>
      <c r="R143" s="336"/>
      <c r="S143" s="301"/>
      <c r="T143" s="336"/>
    </row>
    <row r="144" spans="1:20" ht="12" customHeight="1" x14ac:dyDescent="0.3">
      <c r="A144" s="329" t="s">
        <v>289</v>
      </c>
      <c r="B144" s="330">
        <v>5</v>
      </c>
      <c r="C144" s="298">
        <v>46212</v>
      </c>
      <c r="D144" s="299" t="s">
        <v>854</v>
      </c>
      <c r="E144" s="522">
        <v>10.68</v>
      </c>
      <c r="F144" s="522"/>
      <c r="G144" s="333">
        <f t="shared" si="4"/>
        <v>2575.4599999999878</v>
      </c>
      <c r="H144" s="334"/>
      <c r="I144" s="335"/>
      <c r="J144" s="336"/>
      <c r="K144" s="301"/>
      <c r="L144" s="336"/>
      <c r="M144" s="301"/>
      <c r="N144" s="336"/>
      <c r="O144" s="301"/>
      <c r="P144" s="336"/>
      <c r="Q144" s="301"/>
      <c r="R144" s="336"/>
      <c r="S144" s="301"/>
      <c r="T144" s="336"/>
    </row>
    <row r="145" spans="1:20" ht="12" customHeight="1" x14ac:dyDescent="0.3">
      <c r="A145" s="329" t="s">
        <v>289</v>
      </c>
      <c r="B145" s="330">
        <v>2</v>
      </c>
      <c r="C145" s="298">
        <v>46212</v>
      </c>
      <c r="D145" s="299" t="s">
        <v>977</v>
      </c>
      <c r="E145" s="522">
        <v>33.29</v>
      </c>
      <c r="F145" s="522"/>
      <c r="G145" s="333">
        <f t="shared" si="4"/>
        <v>2586.1399999999876</v>
      </c>
      <c r="H145" s="334"/>
      <c r="I145" s="335"/>
      <c r="J145" s="336"/>
      <c r="K145" s="301"/>
      <c r="L145" s="336"/>
      <c r="M145" s="301"/>
      <c r="N145" s="336"/>
      <c r="O145" s="301"/>
      <c r="P145" s="336"/>
      <c r="Q145" s="301"/>
      <c r="R145" s="336"/>
      <c r="S145" s="301"/>
      <c r="T145" s="336"/>
    </row>
    <row r="146" spans="1:20" ht="12" customHeight="1" x14ac:dyDescent="0.3">
      <c r="A146" s="329" t="s">
        <v>289</v>
      </c>
      <c r="B146" s="330">
        <v>6</v>
      </c>
      <c r="C146" s="298">
        <v>46212</v>
      </c>
      <c r="D146" s="299" t="s">
        <v>978</v>
      </c>
      <c r="E146" s="522">
        <v>41.79</v>
      </c>
      <c r="F146" s="522"/>
      <c r="G146" s="333">
        <f t="shared" si="4"/>
        <v>2619.4299999999876</v>
      </c>
      <c r="H146" s="334"/>
      <c r="I146" s="335"/>
      <c r="J146" s="336"/>
      <c r="K146" s="301"/>
      <c r="L146" s="336"/>
      <c r="M146" s="301"/>
      <c r="N146" s="336"/>
      <c r="O146" s="301"/>
      <c r="P146" s="336"/>
      <c r="Q146" s="301"/>
      <c r="R146" s="336"/>
      <c r="S146" s="301"/>
      <c r="T146" s="336"/>
    </row>
    <row r="147" spans="1:20" ht="12" customHeight="1" x14ac:dyDescent="0.3">
      <c r="A147" s="329" t="s">
        <v>335</v>
      </c>
      <c r="B147" s="330" t="s">
        <v>335</v>
      </c>
      <c r="C147" s="298">
        <v>46212</v>
      </c>
      <c r="D147" s="299" t="s">
        <v>460</v>
      </c>
      <c r="E147" s="522"/>
      <c r="F147" s="522">
        <v>620</v>
      </c>
      <c r="G147" s="333">
        <f t="shared" si="4"/>
        <v>2661.2199999999875</v>
      </c>
      <c r="H147" s="334"/>
      <c r="I147" s="335"/>
      <c r="J147" s="336"/>
      <c r="K147" s="301"/>
      <c r="L147" s="336"/>
      <c r="M147" s="301"/>
      <c r="N147" s="336"/>
      <c r="O147" s="301"/>
      <c r="P147" s="336"/>
      <c r="Q147" s="301"/>
      <c r="R147" s="336"/>
      <c r="S147" s="301"/>
      <c r="T147" s="336"/>
    </row>
    <row r="148" spans="1:20" ht="12" customHeight="1" x14ac:dyDescent="0.3">
      <c r="A148" s="329" t="s">
        <v>291</v>
      </c>
      <c r="B148" s="330">
        <v>41</v>
      </c>
      <c r="C148" s="298">
        <v>46212</v>
      </c>
      <c r="D148" s="299" t="s">
        <v>974</v>
      </c>
      <c r="E148" s="522"/>
      <c r="F148" s="522">
        <v>800</v>
      </c>
      <c r="G148" s="333">
        <f t="shared" si="4"/>
        <v>2041.2199999999875</v>
      </c>
      <c r="H148" s="334"/>
      <c r="I148" s="335"/>
      <c r="J148" s="336"/>
      <c r="K148" s="301"/>
      <c r="L148" s="336"/>
      <c r="M148" s="301"/>
      <c r="N148" s="336"/>
      <c r="O148" s="301"/>
      <c r="P148" s="336"/>
      <c r="Q148" s="301"/>
      <c r="R148" s="336"/>
      <c r="S148" s="301"/>
      <c r="T148" s="336"/>
    </row>
    <row r="149" spans="1:20" ht="12" customHeight="1" x14ac:dyDescent="0.3">
      <c r="A149" s="329" t="s">
        <v>291</v>
      </c>
      <c r="B149" s="330">
        <v>39</v>
      </c>
      <c r="C149" s="298">
        <v>46212</v>
      </c>
      <c r="D149" s="299" t="s">
        <v>292</v>
      </c>
      <c r="E149" s="522"/>
      <c r="F149" s="522">
        <v>2763.78</v>
      </c>
      <c r="G149" s="333">
        <f t="shared" si="4"/>
        <v>1241.2199999999875</v>
      </c>
      <c r="H149" s="334"/>
      <c r="I149" s="335"/>
      <c r="J149" s="336"/>
      <c r="K149" s="301"/>
      <c r="L149" s="336"/>
      <c r="M149" s="301"/>
      <c r="N149" s="336"/>
      <c r="O149" s="301"/>
      <c r="P149" s="336"/>
      <c r="Q149" s="301"/>
      <c r="R149" s="336"/>
      <c r="S149" s="301"/>
      <c r="T149" s="336"/>
    </row>
    <row r="150" spans="1:20" ht="12" customHeight="1" x14ac:dyDescent="0.3">
      <c r="A150" s="329" t="s">
        <v>289</v>
      </c>
      <c r="B150" s="330">
        <v>2</v>
      </c>
      <c r="C150" s="298">
        <v>46211</v>
      </c>
      <c r="D150" s="299" t="s">
        <v>390</v>
      </c>
      <c r="E150" s="522">
        <v>7.73</v>
      </c>
      <c r="F150" s="522"/>
      <c r="G150" s="333">
        <f t="shared" si="4"/>
        <v>-1522.5600000000127</v>
      </c>
      <c r="H150" s="334"/>
      <c r="I150" s="335"/>
      <c r="J150" s="336"/>
      <c r="K150" s="301"/>
      <c r="L150" s="336"/>
      <c r="M150" s="301"/>
      <c r="N150" s="336"/>
      <c r="O150" s="301"/>
      <c r="P150" s="336"/>
      <c r="Q150" s="301"/>
      <c r="R150" s="336"/>
      <c r="S150" s="301"/>
      <c r="T150" s="336"/>
    </row>
    <row r="151" spans="1:20" ht="12" customHeight="1" x14ac:dyDescent="0.3">
      <c r="A151" s="329" t="s">
        <v>289</v>
      </c>
      <c r="B151" s="330">
        <v>3</v>
      </c>
      <c r="C151" s="298">
        <v>46211</v>
      </c>
      <c r="D151" s="299" t="s">
        <v>904</v>
      </c>
      <c r="E151" s="522">
        <v>3.5</v>
      </c>
      <c r="F151" s="522"/>
      <c r="G151" s="333">
        <f t="shared" si="4"/>
        <v>-1514.8300000000127</v>
      </c>
      <c r="H151" s="334"/>
      <c r="I151" s="335"/>
      <c r="J151" s="336"/>
      <c r="K151" s="301"/>
      <c r="L151" s="336"/>
      <c r="M151" s="301"/>
      <c r="N151" s="336"/>
      <c r="O151" s="301"/>
      <c r="P151" s="336"/>
      <c r="Q151" s="301"/>
      <c r="R151" s="336"/>
      <c r="S151" s="301"/>
      <c r="T151" s="336"/>
    </row>
    <row r="152" spans="1:20" ht="12" customHeight="1" x14ac:dyDescent="0.3">
      <c r="A152" s="329" t="s">
        <v>289</v>
      </c>
      <c r="B152" s="330">
        <v>4</v>
      </c>
      <c r="C152" s="298">
        <v>46211</v>
      </c>
      <c r="D152" s="299" t="s">
        <v>904</v>
      </c>
      <c r="E152" s="522">
        <v>75.75</v>
      </c>
      <c r="F152" s="522"/>
      <c r="G152" s="333">
        <f t="shared" si="4"/>
        <v>-1511.3300000000127</v>
      </c>
      <c r="H152" s="334"/>
      <c r="I152" s="335"/>
      <c r="J152" s="336"/>
      <c r="K152" s="301"/>
      <c r="L152" s="336"/>
      <c r="M152" s="301"/>
      <c r="N152" s="336"/>
      <c r="O152" s="301"/>
      <c r="P152" s="336"/>
      <c r="Q152" s="301"/>
      <c r="R152" s="336"/>
      <c r="S152" s="301"/>
      <c r="T152" s="336"/>
    </row>
    <row r="153" spans="1:20" ht="12" customHeight="1" x14ac:dyDescent="0.3">
      <c r="A153" s="329" t="s">
        <v>289</v>
      </c>
      <c r="B153" s="330">
        <v>3</v>
      </c>
      <c r="C153" s="298">
        <v>46211</v>
      </c>
      <c r="D153" s="299" t="s">
        <v>309</v>
      </c>
      <c r="E153" s="522">
        <v>4.1900000000000004</v>
      </c>
      <c r="F153" s="522"/>
      <c r="G153" s="333">
        <f t="shared" si="4"/>
        <v>-1435.5800000000127</v>
      </c>
      <c r="H153" s="334"/>
      <c r="I153" s="335"/>
      <c r="J153" s="336"/>
      <c r="K153" s="301"/>
      <c r="L153" s="336"/>
      <c r="M153" s="301"/>
      <c r="N153" s="336"/>
      <c r="O153" s="301"/>
      <c r="P153" s="336"/>
      <c r="Q153" s="301"/>
      <c r="R153" s="336"/>
      <c r="S153" s="301"/>
      <c r="T153" s="336"/>
    </row>
    <row r="154" spans="1:20" ht="12" customHeight="1" x14ac:dyDescent="0.3">
      <c r="A154" s="329" t="s">
        <v>289</v>
      </c>
      <c r="B154" s="330">
        <v>1</v>
      </c>
      <c r="C154" s="298">
        <v>46211</v>
      </c>
      <c r="D154" s="299" t="s">
        <v>306</v>
      </c>
      <c r="E154" s="522">
        <v>145.94999999999999</v>
      </c>
      <c r="F154" s="522"/>
      <c r="G154" s="333">
        <f t="shared" si="4"/>
        <v>-1431.3900000000126</v>
      </c>
      <c r="H154" s="334"/>
      <c r="I154" s="335"/>
      <c r="J154" s="336"/>
      <c r="K154" s="301"/>
      <c r="L154" s="336"/>
      <c r="M154" s="301"/>
      <c r="N154" s="336"/>
      <c r="O154" s="301"/>
      <c r="P154" s="336"/>
      <c r="Q154" s="301"/>
      <c r="R154" s="336"/>
      <c r="S154" s="301"/>
      <c r="T154" s="336"/>
    </row>
    <row r="155" spans="1:20" ht="12" customHeight="1" x14ac:dyDescent="0.3">
      <c r="A155" s="329" t="s">
        <v>289</v>
      </c>
      <c r="B155" s="330">
        <v>4</v>
      </c>
      <c r="C155" s="298">
        <v>46211</v>
      </c>
      <c r="D155" s="299" t="s">
        <v>296</v>
      </c>
      <c r="E155" s="522">
        <v>63.09</v>
      </c>
      <c r="F155" s="522"/>
      <c r="G155" s="333">
        <f t="shared" si="4"/>
        <v>-1285.4400000000126</v>
      </c>
      <c r="H155" s="334"/>
      <c r="I155" s="335"/>
      <c r="J155" s="336"/>
      <c r="K155" s="301"/>
      <c r="L155" s="336"/>
      <c r="M155" s="301"/>
      <c r="N155" s="336"/>
      <c r="O155" s="301"/>
      <c r="P155" s="336"/>
      <c r="Q155" s="301"/>
      <c r="R155" s="336"/>
      <c r="S155" s="301"/>
      <c r="T155" s="336"/>
    </row>
    <row r="156" spans="1:20" ht="12" customHeight="1" x14ac:dyDescent="0.3">
      <c r="A156" s="329" t="s">
        <v>289</v>
      </c>
      <c r="B156" s="330">
        <v>8</v>
      </c>
      <c r="C156" s="298">
        <v>46211</v>
      </c>
      <c r="D156" s="299" t="s">
        <v>296</v>
      </c>
      <c r="E156" s="522">
        <v>17.739999999999998</v>
      </c>
      <c r="F156" s="522"/>
      <c r="G156" s="333">
        <f t="shared" si="4"/>
        <v>-1222.3500000000126</v>
      </c>
      <c r="H156" s="334"/>
      <c r="I156" s="335"/>
      <c r="J156" s="336"/>
      <c r="K156" s="301"/>
      <c r="L156" s="336"/>
      <c r="M156" s="301"/>
      <c r="N156" s="336"/>
      <c r="O156" s="301"/>
      <c r="P156" s="336"/>
      <c r="Q156" s="301"/>
      <c r="R156" s="336"/>
      <c r="S156" s="301"/>
      <c r="T156" s="336"/>
    </row>
    <row r="157" spans="1:20" ht="12" customHeight="1" x14ac:dyDescent="0.3">
      <c r="A157" s="329" t="s">
        <v>289</v>
      </c>
      <c r="B157" s="330">
        <v>6</v>
      </c>
      <c r="C157" s="298">
        <v>46211</v>
      </c>
      <c r="D157" s="299" t="s">
        <v>306</v>
      </c>
      <c r="E157" s="522">
        <v>155.91999999999999</v>
      </c>
      <c r="F157" s="522"/>
      <c r="G157" s="333">
        <f t="shared" si="4"/>
        <v>-1204.6100000000126</v>
      </c>
      <c r="H157" s="334"/>
      <c r="I157" s="335"/>
      <c r="J157" s="336"/>
      <c r="K157" s="301"/>
      <c r="L157" s="336"/>
      <c r="M157" s="301"/>
      <c r="N157" s="336"/>
      <c r="O157" s="301"/>
      <c r="P157" s="336"/>
      <c r="Q157" s="301"/>
      <c r="R157" s="336"/>
      <c r="S157" s="301"/>
      <c r="T157" s="336"/>
    </row>
    <row r="158" spans="1:20" ht="12" customHeight="1" x14ac:dyDescent="0.3">
      <c r="A158" s="329" t="s">
        <v>289</v>
      </c>
      <c r="B158" s="330">
        <v>1</v>
      </c>
      <c r="C158" s="298">
        <v>46211</v>
      </c>
      <c r="D158" s="299" t="s">
        <v>976</v>
      </c>
      <c r="E158" s="522">
        <v>31.58</v>
      </c>
      <c r="F158" s="522"/>
      <c r="G158" s="333">
        <f t="shared" si="4"/>
        <v>-1048.6900000000126</v>
      </c>
      <c r="H158" s="334"/>
      <c r="I158" s="335"/>
      <c r="J158" s="336"/>
      <c r="K158" s="301"/>
      <c r="L158" s="336"/>
      <c r="M158" s="301"/>
      <c r="N158" s="336"/>
      <c r="O158" s="301"/>
      <c r="P158" s="336"/>
      <c r="Q158" s="301"/>
      <c r="R158" s="336"/>
      <c r="S158" s="301"/>
      <c r="T158" s="336"/>
    </row>
    <row r="159" spans="1:20" ht="12" customHeight="1" x14ac:dyDescent="0.3">
      <c r="A159" s="329" t="s">
        <v>289</v>
      </c>
      <c r="B159" s="330">
        <v>8</v>
      </c>
      <c r="C159" s="298">
        <v>46211</v>
      </c>
      <c r="D159" s="299" t="s">
        <v>455</v>
      </c>
      <c r="E159" s="522">
        <v>23.31</v>
      </c>
      <c r="F159" s="522"/>
      <c r="G159" s="333">
        <f t="shared" si="4"/>
        <v>-1017.1100000000125</v>
      </c>
      <c r="H159" s="334"/>
      <c r="I159" s="335"/>
      <c r="J159" s="336"/>
      <c r="K159" s="301"/>
      <c r="L159" s="336"/>
      <c r="M159" s="301"/>
      <c r="N159" s="336"/>
      <c r="O159" s="301"/>
      <c r="P159" s="336"/>
      <c r="Q159" s="301"/>
      <c r="R159" s="336"/>
      <c r="S159" s="301"/>
      <c r="T159" s="336"/>
    </row>
    <row r="160" spans="1:20" ht="12" customHeight="1" x14ac:dyDescent="0.3">
      <c r="A160" s="329" t="s">
        <v>289</v>
      </c>
      <c r="B160" s="330">
        <v>6</v>
      </c>
      <c r="C160" s="298">
        <v>46211</v>
      </c>
      <c r="D160" s="299" t="s">
        <v>442</v>
      </c>
      <c r="E160" s="522">
        <v>16</v>
      </c>
      <c r="F160" s="522"/>
      <c r="G160" s="333">
        <f t="shared" si="4"/>
        <v>-993.80000000001257</v>
      </c>
      <c r="H160" s="334"/>
      <c r="I160" s="335"/>
      <c r="J160" s="336"/>
      <c r="K160" s="301"/>
      <c r="L160" s="336"/>
      <c r="M160" s="301"/>
      <c r="N160" s="336"/>
      <c r="O160" s="301"/>
      <c r="P160" s="336"/>
      <c r="Q160" s="301"/>
      <c r="R160" s="336"/>
      <c r="S160" s="301"/>
      <c r="T160" s="336"/>
    </row>
    <row r="161" spans="1:20" ht="12" customHeight="1" x14ac:dyDescent="0.3">
      <c r="A161" s="329" t="s">
        <v>289</v>
      </c>
      <c r="B161" s="330">
        <v>4</v>
      </c>
      <c r="C161" s="298">
        <v>46210</v>
      </c>
      <c r="D161" s="299" t="s">
        <v>310</v>
      </c>
      <c r="E161" s="522">
        <v>39.11</v>
      </c>
      <c r="F161" s="522"/>
      <c r="G161" s="333">
        <f t="shared" si="4"/>
        <v>-977.80000000001257</v>
      </c>
      <c r="H161" s="334"/>
      <c r="I161" s="335"/>
      <c r="J161" s="336"/>
      <c r="K161" s="301"/>
      <c r="L161" s="336"/>
      <c r="M161" s="301"/>
      <c r="N161" s="336"/>
      <c r="O161" s="301"/>
      <c r="P161" s="336"/>
      <c r="Q161" s="301"/>
      <c r="R161" s="336"/>
      <c r="S161" s="301"/>
      <c r="T161" s="336"/>
    </row>
    <row r="162" spans="1:20" ht="12" customHeight="1" x14ac:dyDescent="0.3">
      <c r="A162" s="329" t="s">
        <v>294</v>
      </c>
      <c r="B162" s="330">
        <v>9</v>
      </c>
      <c r="C162" s="298">
        <v>46210</v>
      </c>
      <c r="D162" s="299" t="s">
        <v>58</v>
      </c>
      <c r="E162" s="522">
        <v>1231.68</v>
      </c>
      <c r="F162" s="522"/>
      <c r="G162" s="333">
        <f t="shared" si="4"/>
        <v>-938.69000000001256</v>
      </c>
      <c r="H162" s="334"/>
      <c r="I162" s="335"/>
      <c r="J162" s="336"/>
      <c r="K162" s="301"/>
      <c r="L162" s="336"/>
      <c r="M162" s="301"/>
      <c r="N162" s="336"/>
      <c r="O162" s="301"/>
      <c r="P162" s="336"/>
      <c r="Q162" s="301"/>
      <c r="R162" s="336"/>
      <c r="S162" s="301"/>
      <c r="T162" s="336"/>
    </row>
    <row r="163" spans="1:20" ht="12" customHeight="1" x14ac:dyDescent="0.3">
      <c r="A163" s="329" t="s">
        <v>335</v>
      </c>
      <c r="B163" s="330" t="s">
        <v>335</v>
      </c>
      <c r="C163" s="298">
        <v>46210</v>
      </c>
      <c r="D163" s="299" t="s">
        <v>447</v>
      </c>
      <c r="E163" s="522">
        <v>53.37</v>
      </c>
      <c r="F163" s="522"/>
      <c r="G163" s="333">
        <f t="shared" si="4"/>
        <v>292.9899999999875</v>
      </c>
      <c r="H163" s="334"/>
      <c r="I163" s="335"/>
      <c r="J163" s="336"/>
      <c r="K163" s="301"/>
      <c r="L163" s="336"/>
      <c r="M163" s="301"/>
      <c r="N163" s="336"/>
      <c r="O163" s="301"/>
      <c r="P163" s="336"/>
      <c r="Q163" s="301"/>
      <c r="R163" s="336"/>
      <c r="S163" s="301"/>
      <c r="T163" s="336"/>
    </row>
    <row r="164" spans="1:20" ht="12" customHeight="1" x14ac:dyDescent="0.3">
      <c r="A164" s="329" t="s">
        <v>294</v>
      </c>
      <c r="B164" s="330">
        <v>13</v>
      </c>
      <c r="C164" s="298">
        <v>46209</v>
      </c>
      <c r="D164" s="299" t="s">
        <v>902</v>
      </c>
      <c r="E164" s="522">
        <v>218.33</v>
      </c>
      <c r="F164" s="522"/>
      <c r="G164" s="333">
        <f t="shared" si="4"/>
        <v>346.35999999998751</v>
      </c>
      <c r="H164" s="334"/>
      <c r="I164" s="335"/>
      <c r="J164" s="336"/>
      <c r="K164" s="301"/>
      <c r="L164" s="336"/>
      <c r="M164" s="301"/>
      <c r="N164" s="336"/>
      <c r="O164" s="301"/>
      <c r="P164" s="336"/>
      <c r="Q164" s="301"/>
      <c r="R164" s="336"/>
      <c r="S164" s="301"/>
      <c r="T164" s="336"/>
    </row>
    <row r="165" spans="1:20" ht="12" customHeight="1" x14ac:dyDescent="0.3">
      <c r="A165" s="329" t="s">
        <v>287</v>
      </c>
      <c r="B165" s="330" t="s">
        <v>287</v>
      </c>
      <c r="C165" s="298">
        <v>46209</v>
      </c>
      <c r="D165" s="299" t="s">
        <v>959</v>
      </c>
      <c r="E165" s="522">
        <v>1182.68</v>
      </c>
      <c r="F165" s="522">
        <v>1182.68</v>
      </c>
      <c r="G165" s="333">
        <f t="shared" si="4"/>
        <v>564.68999999998755</v>
      </c>
      <c r="H165" s="334"/>
      <c r="I165" s="335"/>
      <c r="J165" s="336"/>
      <c r="K165" s="301"/>
      <c r="L165" s="336"/>
      <c r="M165" s="301"/>
      <c r="N165" s="336"/>
      <c r="O165" s="301"/>
      <c r="P165" s="336"/>
      <c r="Q165" s="301"/>
      <c r="R165" s="336"/>
      <c r="S165" s="301"/>
      <c r="T165" s="336"/>
    </row>
    <row r="166" spans="1:20" ht="12" customHeight="1" x14ac:dyDescent="0.3">
      <c r="A166" s="329" t="s">
        <v>289</v>
      </c>
      <c r="B166" s="330">
        <v>3</v>
      </c>
      <c r="C166" s="298">
        <v>46209</v>
      </c>
      <c r="D166" s="299" t="s">
        <v>309</v>
      </c>
      <c r="E166" s="522">
        <v>6.19</v>
      </c>
      <c r="F166" s="522"/>
      <c r="G166" s="333">
        <f t="shared" si="4"/>
        <v>564.68999999998755</v>
      </c>
      <c r="H166" s="334"/>
      <c r="I166" s="335"/>
      <c r="J166" s="336"/>
      <c r="K166" s="301"/>
      <c r="L166" s="336"/>
      <c r="M166" s="301"/>
      <c r="N166" s="336"/>
      <c r="O166" s="301"/>
      <c r="P166" s="336"/>
      <c r="Q166" s="301"/>
      <c r="R166" s="336"/>
      <c r="S166" s="301"/>
      <c r="T166" s="336"/>
    </row>
    <row r="167" spans="1:20" ht="12" customHeight="1" x14ac:dyDescent="0.3">
      <c r="A167" s="329" t="s">
        <v>289</v>
      </c>
      <c r="B167" s="330">
        <v>8</v>
      </c>
      <c r="C167" s="298">
        <v>46209</v>
      </c>
      <c r="D167" s="299" t="s">
        <v>969</v>
      </c>
      <c r="E167" s="522">
        <v>9.7200000000000006</v>
      </c>
      <c r="F167" s="522"/>
      <c r="G167" s="333">
        <f t="shared" si="4"/>
        <v>570.8799999999876</v>
      </c>
      <c r="H167" s="334"/>
      <c r="I167" s="335"/>
      <c r="J167" s="336"/>
      <c r="K167" s="301"/>
      <c r="L167" s="336"/>
      <c r="M167" s="301"/>
      <c r="N167" s="336"/>
      <c r="O167" s="301"/>
      <c r="P167" s="336"/>
      <c r="Q167" s="301"/>
      <c r="R167" s="336"/>
      <c r="S167" s="301"/>
      <c r="T167" s="336"/>
    </row>
    <row r="168" spans="1:20" ht="12" customHeight="1" x14ac:dyDescent="0.3">
      <c r="A168" s="329" t="s">
        <v>289</v>
      </c>
      <c r="B168" s="330">
        <v>2</v>
      </c>
      <c r="C168" s="298">
        <v>46209</v>
      </c>
      <c r="D168" s="299" t="s">
        <v>353</v>
      </c>
      <c r="E168" s="522">
        <v>21.99</v>
      </c>
      <c r="F168" s="522"/>
      <c r="G168" s="333">
        <f t="shared" si="4"/>
        <v>580.59999999998763</v>
      </c>
      <c r="H168" s="334"/>
      <c r="I168" s="335"/>
      <c r="J168" s="336"/>
      <c r="K168" s="301"/>
      <c r="L168" s="336"/>
      <c r="M168" s="301"/>
      <c r="N168" s="336"/>
      <c r="O168" s="301"/>
      <c r="P168" s="336"/>
      <c r="Q168" s="301"/>
      <c r="R168" s="336"/>
      <c r="S168" s="301"/>
      <c r="T168" s="336"/>
    </row>
    <row r="169" spans="1:20" ht="12" customHeight="1" x14ac:dyDescent="0.3">
      <c r="A169" s="329" t="s">
        <v>289</v>
      </c>
      <c r="B169" s="330">
        <v>2</v>
      </c>
      <c r="C169" s="298">
        <v>46209</v>
      </c>
      <c r="D169" s="299" t="s">
        <v>296</v>
      </c>
      <c r="E169" s="522">
        <v>10.02</v>
      </c>
      <c r="F169" s="522"/>
      <c r="G169" s="333">
        <f t="shared" si="4"/>
        <v>602.58999999998764</v>
      </c>
      <c r="H169" s="334"/>
      <c r="I169" s="335"/>
      <c r="J169" s="336"/>
      <c r="K169" s="301"/>
      <c r="L169" s="336"/>
      <c r="M169" s="301"/>
      <c r="N169" s="336"/>
      <c r="O169" s="301"/>
      <c r="P169" s="336"/>
      <c r="Q169" s="301"/>
      <c r="R169" s="336"/>
      <c r="S169" s="301"/>
      <c r="T169" s="336"/>
    </row>
    <row r="170" spans="1:20" ht="12" customHeight="1" x14ac:dyDescent="0.3">
      <c r="A170" s="329" t="s">
        <v>289</v>
      </c>
      <c r="B170" s="330">
        <v>4</v>
      </c>
      <c r="C170" s="298">
        <v>46209</v>
      </c>
      <c r="D170" s="299" t="s">
        <v>296</v>
      </c>
      <c r="E170" s="522">
        <v>55.19</v>
      </c>
      <c r="F170" s="522"/>
      <c r="G170" s="333">
        <f t="shared" si="4"/>
        <v>612.60999999998762</v>
      </c>
      <c r="H170" s="334"/>
      <c r="I170" s="335"/>
      <c r="J170" s="336"/>
      <c r="K170" s="301"/>
      <c r="L170" s="336"/>
      <c r="M170" s="301"/>
      <c r="N170" s="336"/>
      <c r="O170" s="301"/>
      <c r="P170" s="336"/>
      <c r="Q170" s="301"/>
      <c r="R170" s="336"/>
      <c r="S170" s="301"/>
      <c r="T170" s="336"/>
    </row>
    <row r="171" spans="1:20" ht="12" customHeight="1" x14ac:dyDescent="0.3">
      <c r="A171" s="329" t="s">
        <v>294</v>
      </c>
      <c r="B171" s="330">
        <v>14</v>
      </c>
      <c r="C171" s="298">
        <v>46209</v>
      </c>
      <c r="D171" s="299" t="s">
        <v>958</v>
      </c>
      <c r="E171" s="522">
        <v>66.67</v>
      </c>
      <c r="F171" s="522"/>
      <c r="G171" s="333">
        <f t="shared" si="4"/>
        <v>667.79999999998756</v>
      </c>
      <c r="H171" s="334"/>
      <c r="I171" s="335"/>
      <c r="J171" s="336"/>
      <c r="K171" s="301"/>
      <c r="L171" s="336"/>
      <c r="M171" s="301"/>
      <c r="N171" s="336"/>
      <c r="O171" s="301"/>
      <c r="P171" s="336"/>
      <c r="Q171" s="301"/>
      <c r="R171" s="336"/>
      <c r="S171" s="301"/>
      <c r="T171" s="336"/>
    </row>
    <row r="172" spans="1:20" ht="12" customHeight="1" x14ac:dyDescent="0.3">
      <c r="A172" s="329" t="s">
        <v>294</v>
      </c>
      <c r="B172" s="330">
        <v>14</v>
      </c>
      <c r="C172" s="298">
        <v>46209</v>
      </c>
      <c r="D172" s="299" t="s">
        <v>367</v>
      </c>
      <c r="E172" s="522">
        <v>70.25</v>
      </c>
      <c r="F172" s="522"/>
      <c r="G172" s="333">
        <f t="shared" si="4"/>
        <v>734.46999999998752</v>
      </c>
      <c r="H172" s="334"/>
      <c r="I172" s="335"/>
      <c r="J172" s="336"/>
      <c r="K172" s="301"/>
      <c r="L172" s="336"/>
      <c r="M172" s="301"/>
      <c r="N172" s="336"/>
      <c r="O172" s="301"/>
      <c r="P172" s="336"/>
      <c r="Q172" s="301"/>
      <c r="R172" s="336"/>
      <c r="S172" s="301"/>
      <c r="T172" s="336"/>
    </row>
    <row r="173" spans="1:20" ht="12" customHeight="1" x14ac:dyDescent="0.3">
      <c r="A173" s="329" t="s">
        <v>289</v>
      </c>
      <c r="B173" s="330">
        <v>4</v>
      </c>
      <c r="C173" s="298">
        <v>46209</v>
      </c>
      <c r="D173" s="299" t="s">
        <v>334</v>
      </c>
      <c r="E173" s="522">
        <v>36.090000000000003</v>
      </c>
      <c r="F173" s="522"/>
      <c r="G173" s="333">
        <f t="shared" si="4"/>
        <v>804.71999999998752</v>
      </c>
      <c r="H173" s="334"/>
      <c r="I173" s="335"/>
      <c r="J173" s="336"/>
      <c r="K173" s="301"/>
      <c r="L173" s="336"/>
      <c r="M173" s="301"/>
      <c r="N173" s="336"/>
      <c r="O173" s="301"/>
      <c r="P173" s="336"/>
      <c r="Q173" s="301"/>
      <c r="R173" s="336"/>
      <c r="S173" s="301"/>
      <c r="T173" s="336"/>
    </row>
    <row r="174" spans="1:20" ht="12" customHeight="1" x14ac:dyDescent="0.3">
      <c r="A174" s="329" t="s">
        <v>289</v>
      </c>
      <c r="B174" s="330">
        <v>2</v>
      </c>
      <c r="C174" s="298">
        <v>46209</v>
      </c>
      <c r="D174" s="299" t="s">
        <v>301</v>
      </c>
      <c r="E174" s="522">
        <v>16.05</v>
      </c>
      <c r="F174" s="522"/>
      <c r="G174" s="333">
        <f t="shared" si="4"/>
        <v>840.80999999998755</v>
      </c>
      <c r="H174" s="334"/>
      <c r="I174" s="335"/>
      <c r="J174" s="336"/>
      <c r="K174" s="301"/>
      <c r="L174" s="336"/>
      <c r="M174" s="301"/>
      <c r="N174" s="336"/>
      <c r="O174" s="301"/>
      <c r="P174" s="336"/>
      <c r="Q174" s="301"/>
      <c r="R174" s="336"/>
      <c r="S174" s="301"/>
      <c r="T174" s="336"/>
    </row>
    <row r="175" spans="1:20" ht="12" customHeight="1" x14ac:dyDescent="0.3">
      <c r="A175" s="329" t="s">
        <v>289</v>
      </c>
      <c r="B175" s="330">
        <v>2</v>
      </c>
      <c r="C175" s="298">
        <v>46208</v>
      </c>
      <c r="D175" s="299" t="s">
        <v>960</v>
      </c>
      <c r="E175" s="522">
        <v>23.03</v>
      </c>
      <c r="F175" s="522"/>
      <c r="G175" s="333">
        <f t="shared" si="4"/>
        <v>856.85999999998751</v>
      </c>
      <c r="H175" s="334"/>
      <c r="I175" s="335"/>
      <c r="J175" s="336"/>
      <c r="K175" s="301"/>
      <c r="L175" s="336"/>
      <c r="M175" s="301"/>
      <c r="N175" s="336"/>
      <c r="O175" s="301"/>
      <c r="P175" s="336"/>
      <c r="Q175" s="301"/>
      <c r="R175" s="336"/>
      <c r="S175" s="301"/>
      <c r="T175" s="336"/>
    </row>
    <row r="176" spans="1:20" ht="12" customHeight="1" x14ac:dyDescent="0.3">
      <c r="A176" s="329" t="s">
        <v>289</v>
      </c>
      <c r="B176" s="330">
        <v>2</v>
      </c>
      <c r="C176" s="298">
        <v>46208</v>
      </c>
      <c r="D176" s="299" t="s">
        <v>371</v>
      </c>
      <c r="E176" s="522">
        <v>15.11</v>
      </c>
      <c r="F176" s="522"/>
      <c r="G176" s="333">
        <f t="shared" si="4"/>
        <v>879.88999999998748</v>
      </c>
      <c r="H176" s="334"/>
      <c r="I176" s="335"/>
      <c r="J176" s="336"/>
      <c r="K176" s="301"/>
      <c r="L176" s="336"/>
      <c r="M176" s="301"/>
      <c r="N176" s="336"/>
      <c r="O176" s="301"/>
      <c r="P176" s="336"/>
      <c r="Q176" s="301"/>
      <c r="R176" s="336"/>
      <c r="S176" s="301"/>
      <c r="T176" s="336"/>
    </row>
    <row r="177" spans="1:20" ht="12" customHeight="1" x14ac:dyDescent="0.3">
      <c r="A177" s="329" t="s">
        <v>289</v>
      </c>
      <c r="B177" s="330">
        <v>8</v>
      </c>
      <c r="C177" s="298">
        <v>46207</v>
      </c>
      <c r="D177" s="299" t="s">
        <v>950</v>
      </c>
      <c r="E177" s="522">
        <v>47.95</v>
      </c>
      <c r="F177" s="522"/>
      <c r="G177" s="333">
        <f t="shared" si="4"/>
        <v>894.99999999998749</v>
      </c>
      <c r="H177" s="334"/>
      <c r="I177" s="335"/>
      <c r="J177" s="336"/>
      <c r="K177" s="301"/>
      <c r="L177" s="336"/>
      <c r="M177" s="301"/>
      <c r="N177" s="336"/>
      <c r="O177" s="301"/>
      <c r="P177" s="336"/>
      <c r="Q177" s="301"/>
      <c r="R177" s="336"/>
      <c r="S177" s="301"/>
      <c r="T177" s="336"/>
    </row>
    <row r="178" spans="1:20" ht="12" customHeight="1" x14ac:dyDescent="0.3">
      <c r="A178" s="329" t="s">
        <v>289</v>
      </c>
      <c r="B178" s="330">
        <v>3</v>
      </c>
      <c r="C178" s="298">
        <v>46207</v>
      </c>
      <c r="D178" s="299" t="s">
        <v>951</v>
      </c>
      <c r="E178" s="522">
        <v>8.75</v>
      </c>
      <c r="F178" s="522"/>
      <c r="G178" s="333">
        <f t="shared" si="4"/>
        <v>942.94999999998754</v>
      </c>
      <c r="H178" s="334"/>
      <c r="I178" s="335"/>
      <c r="J178" s="336"/>
      <c r="K178" s="301"/>
      <c r="L178" s="336"/>
      <c r="M178" s="301"/>
      <c r="N178" s="336"/>
      <c r="O178" s="301"/>
      <c r="P178" s="336"/>
      <c r="Q178" s="301"/>
      <c r="R178" s="336"/>
      <c r="S178" s="301"/>
      <c r="T178" s="336"/>
    </row>
    <row r="179" spans="1:20" ht="12" customHeight="1" x14ac:dyDescent="0.3">
      <c r="A179" s="329" t="s">
        <v>294</v>
      </c>
      <c r="B179" s="330">
        <v>17</v>
      </c>
      <c r="C179" s="298">
        <v>46207</v>
      </c>
      <c r="D179" s="299" t="s">
        <v>370</v>
      </c>
      <c r="E179" s="522">
        <v>99</v>
      </c>
      <c r="F179" s="522"/>
      <c r="G179" s="333">
        <f t="shared" si="4"/>
        <v>951.69999999998754</v>
      </c>
      <c r="H179" s="334"/>
      <c r="I179" s="335"/>
      <c r="J179" s="336"/>
      <c r="K179" s="301"/>
      <c r="L179" s="336"/>
      <c r="M179" s="301"/>
      <c r="N179" s="336"/>
      <c r="O179" s="301"/>
      <c r="P179" s="336"/>
      <c r="Q179" s="301"/>
      <c r="R179" s="336"/>
      <c r="S179" s="301"/>
      <c r="T179" s="336"/>
    </row>
    <row r="180" spans="1:20" ht="12" customHeight="1" x14ac:dyDescent="0.3">
      <c r="A180" s="329" t="s">
        <v>289</v>
      </c>
      <c r="B180" s="330">
        <v>8</v>
      </c>
      <c r="C180" s="298">
        <v>46206</v>
      </c>
      <c r="D180" s="299" t="s">
        <v>950</v>
      </c>
      <c r="E180" s="522">
        <v>85.56</v>
      </c>
      <c r="F180" s="522"/>
      <c r="G180" s="333">
        <f t="shared" si="4"/>
        <v>1050.6999999999875</v>
      </c>
      <c r="H180" s="334"/>
      <c r="I180" s="335"/>
      <c r="J180" s="336"/>
      <c r="K180" s="301"/>
      <c r="L180" s="336"/>
      <c r="M180" s="301"/>
      <c r="N180" s="336"/>
      <c r="O180" s="301"/>
      <c r="P180" s="336"/>
      <c r="Q180" s="301"/>
      <c r="R180" s="336"/>
      <c r="S180" s="301"/>
      <c r="T180" s="336"/>
    </row>
    <row r="181" spans="1:20" ht="12" customHeight="1" x14ac:dyDescent="0.3">
      <c r="A181" s="329" t="s">
        <v>289</v>
      </c>
      <c r="B181" s="330">
        <v>3</v>
      </c>
      <c r="C181" s="298">
        <v>46206</v>
      </c>
      <c r="D181" s="299" t="s">
        <v>952</v>
      </c>
      <c r="E181" s="522">
        <v>25.07</v>
      </c>
      <c r="F181" s="522"/>
      <c r="G181" s="333">
        <f t="shared" si="4"/>
        <v>1136.2599999999875</v>
      </c>
      <c r="H181" s="334"/>
      <c r="I181" s="335"/>
      <c r="J181" s="336"/>
      <c r="K181" s="301"/>
      <c r="L181" s="336"/>
      <c r="M181" s="301"/>
      <c r="N181" s="336"/>
      <c r="O181" s="301"/>
      <c r="P181" s="336"/>
      <c r="Q181" s="301"/>
      <c r="R181" s="336"/>
      <c r="S181" s="301"/>
      <c r="T181" s="336"/>
    </row>
    <row r="182" spans="1:20" ht="12" customHeight="1" x14ac:dyDescent="0.3">
      <c r="A182" s="329" t="s">
        <v>294</v>
      </c>
      <c r="B182" s="330">
        <v>22</v>
      </c>
      <c r="C182" s="298">
        <v>46206</v>
      </c>
      <c r="D182" s="299" t="s">
        <v>953</v>
      </c>
      <c r="E182" s="522">
        <v>12.77</v>
      </c>
      <c r="F182" s="522"/>
      <c r="G182" s="333">
        <f t="shared" si="4"/>
        <v>1161.3299999999874</v>
      </c>
      <c r="H182" s="334"/>
      <c r="I182" s="335"/>
      <c r="J182" s="336"/>
      <c r="K182" s="301"/>
      <c r="L182" s="336"/>
      <c r="M182" s="301"/>
      <c r="N182" s="336"/>
      <c r="O182" s="301"/>
      <c r="P182" s="336"/>
      <c r="Q182" s="301"/>
      <c r="R182" s="336"/>
      <c r="S182" s="301"/>
      <c r="T182" s="336"/>
    </row>
    <row r="183" spans="1:20" ht="12" customHeight="1" x14ac:dyDescent="0.3">
      <c r="A183" s="329" t="s">
        <v>289</v>
      </c>
      <c r="B183" s="330">
        <v>8</v>
      </c>
      <c r="C183" s="298">
        <v>46206</v>
      </c>
      <c r="D183" s="299" t="s">
        <v>963</v>
      </c>
      <c r="E183" s="522">
        <v>50</v>
      </c>
      <c r="F183" s="522"/>
      <c r="G183" s="333">
        <f t="shared" si="4"/>
        <v>1174.0999999999874</v>
      </c>
      <c r="H183" s="334" t="s">
        <v>298</v>
      </c>
      <c r="I183" s="335"/>
      <c r="J183" s="336"/>
      <c r="K183" s="301"/>
      <c r="L183" s="336"/>
      <c r="M183" s="301"/>
      <c r="N183" s="336"/>
      <c r="O183" s="301"/>
      <c r="P183" s="336"/>
      <c r="Q183" s="301"/>
      <c r="R183" s="336"/>
      <c r="S183" s="301"/>
      <c r="T183" s="336"/>
    </row>
    <row r="184" spans="1:20" ht="12" customHeight="1" x14ac:dyDescent="0.3">
      <c r="A184" s="329" t="s">
        <v>289</v>
      </c>
      <c r="B184" s="330">
        <v>2</v>
      </c>
      <c r="C184" s="298">
        <v>46206</v>
      </c>
      <c r="D184" s="299" t="s">
        <v>964</v>
      </c>
      <c r="E184" s="522">
        <v>70</v>
      </c>
      <c r="F184" s="522"/>
      <c r="G184" s="333">
        <f t="shared" si="4"/>
        <v>1224.0999999999874</v>
      </c>
      <c r="H184" s="334" t="s">
        <v>298</v>
      </c>
      <c r="I184" s="335"/>
      <c r="J184" s="336"/>
      <c r="K184" s="301"/>
      <c r="L184" s="336"/>
      <c r="M184" s="301"/>
      <c r="N184" s="336"/>
      <c r="O184" s="301"/>
      <c r="P184" s="336"/>
      <c r="Q184" s="301"/>
      <c r="R184" s="336"/>
      <c r="S184" s="301"/>
      <c r="T184" s="336"/>
    </row>
    <row r="185" spans="1:20" ht="12" customHeight="1" x14ac:dyDescent="0.3">
      <c r="A185" s="329" t="s">
        <v>289</v>
      </c>
      <c r="B185" s="330">
        <v>6</v>
      </c>
      <c r="C185" s="298">
        <v>46206</v>
      </c>
      <c r="D185" s="299" t="s">
        <v>965</v>
      </c>
      <c r="E185" s="522">
        <v>64</v>
      </c>
      <c r="F185" s="522"/>
      <c r="G185" s="333">
        <f t="shared" si="4"/>
        <v>1294.0999999999874</v>
      </c>
      <c r="H185" s="334" t="s">
        <v>298</v>
      </c>
      <c r="I185" s="335"/>
      <c r="J185" s="336"/>
      <c r="K185" s="301"/>
      <c r="L185" s="336"/>
      <c r="M185" s="301"/>
      <c r="N185" s="336"/>
      <c r="O185" s="301"/>
      <c r="P185" s="336"/>
      <c r="Q185" s="301"/>
      <c r="R185" s="336"/>
      <c r="S185" s="301"/>
      <c r="T185" s="336"/>
    </row>
    <row r="186" spans="1:20" ht="12" customHeight="1" x14ac:dyDescent="0.3">
      <c r="A186" s="329" t="s">
        <v>289</v>
      </c>
      <c r="B186" s="330">
        <v>5</v>
      </c>
      <c r="C186" s="298">
        <v>46206</v>
      </c>
      <c r="D186" s="299" t="s">
        <v>962</v>
      </c>
      <c r="E186" s="522">
        <v>286.49</v>
      </c>
      <c r="F186" s="522"/>
      <c r="G186" s="333">
        <f t="shared" si="4"/>
        <v>1358.0999999999874</v>
      </c>
      <c r="H186" s="334"/>
      <c r="I186" s="335"/>
      <c r="J186" s="336"/>
      <c r="K186" s="301"/>
      <c r="L186" s="336"/>
      <c r="M186" s="301"/>
      <c r="N186" s="336"/>
      <c r="O186" s="301"/>
      <c r="P186" s="336"/>
      <c r="Q186" s="301"/>
      <c r="R186" s="336"/>
      <c r="S186" s="301"/>
      <c r="T186" s="336"/>
    </row>
    <row r="187" spans="1:20" ht="12" customHeight="1" x14ac:dyDescent="0.3">
      <c r="A187" s="329" t="s">
        <v>289</v>
      </c>
      <c r="B187" s="330">
        <v>6</v>
      </c>
      <c r="C187" s="298">
        <v>46206</v>
      </c>
      <c r="D187" s="299" t="s">
        <v>954</v>
      </c>
      <c r="E187" s="522">
        <v>36</v>
      </c>
      <c r="F187" s="522"/>
      <c r="G187" s="333">
        <f t="shared" si="4"/>
        <v>1644.5899999999874</v>
      </c>
      <c r="H187" s="334"/>
      <c r="I187" s="335"/>
      <c r="J187" s="336"/>
      <c r="K187" s="301"/>
      <c r="L187" s="336"/>
      <c r="M187" s="301"/>
      <c r="N187" s="336"/>
      <c r="O187" s="301"/>
      <c r="P187" s="336"/>
      <c r="Q187" s="301"/>
      <c r="R187" s="336"/>
      <c r="S187" s="301"/>
      <c r="T187" s="336"/>
    </row>
    <row r="188" spans="1:20" ht="12" customHeight="1" x14ac:dyDescent="0.3">
      <c r="A188" s="329" t="s">
        <v>287</v>
      </c>
      <c r="B188" s="330" t="s">
        <v>287</v>
      </c>
      <c r="C188" s="298">
        <v>46205</v>
      </c>
      <c r="D188" s="299" t="s">
        <v>956</v>
      </c>
      <c r="E188" s="522">
        <v>-200</v>
      </c>
      <c r="F188" s="522"/>
      <c r="G188" s="333">
        <f t="shared" si="4"/>
        <v>1680.5899999999874</v>
      </c>
      <c r="H188" s="334"/>
      <c r="I188" s="335"/>
      <c r="J188" s="336"/>
      <c r="K188" s="301"/>
      <c r="L188" s="336"/>
      <c r="M188" s="301"/>
      <c r="N188" s="336"/>
      <c r="O188" s="301"/>
      <c r="P188" s="336"/>
      <c r="Q188" s="301"/>
      <c r="R188" s="336"/>
      <c r="S188" s="301"/>
      <c r="T188" s="336"/>
    </row>
    <row r="189" spans="1:20" ht="12" customHeight="1" x14ac:dyDescent="0.3">
      <c r="A189" s="329" t="s">
        <v>287</v>
      </c>
      <c r="B189" s="330" t="s">
        <v>287</v>
      </c>
      <c r="C189" s="298">
        <v>46205</v>
      </c>
      <c r="D189" s="299" t="s">
        <v>956</v>
      </c>
      <c r="E189" s="522">
        <v>-4</v>
      </c>
      <c r="F189" s="522"/>
      <c r="G189" s="333">
        <f t="shared" si="4"/>
        <v>1480.5899999999874</v>
      </c>
      <c r="H189" s="334" t="s">
        <v>298</v>
      </c>
      <c r="I189" s="335"/>
      <c r="J189" s="336"/>
      <c r="K189" s="301"/>
      <c r="L189" s="336"/>
      <c r="M189" s="301"/>
      <c r="N189" s="336"/>
      <c r="O189" s="301"/>
      <c r="P189" s="336"/>
      <c r="Q189" s="301"/>
      <c r="R189" s="336"/>
      <c r="S189" s="301"/>
      <c r="T189" s="336"/>
    </row>
    <row r="190" spans="1:20" ht="12" customHeight="1" x14ac:dyDescent="0.3">
      <c r="A190" s="329" t="s">
        <v>287</v>
      </c>
      <c r="B190" s="330" t="s">
        <v>287</v>
      </c>
      <c r="C190" s="298">
        <v>46205</v>
      </c>
      <c r="D190" s="299" t="s">
        <v>956</v>
      </c>
      <c r="E190" s="522">
        <v>204</v>
      </c>
      <c r="F190" s="522"/>
      <c r="G190" s="333">
        <f t="shared" si="4"/>
        <v>1476.5899999999874</v>
      </c>
      <c r="H190" s="334"/>
      <c r="I190" s="335"/>
      <c r="J190" s="336"/>
      <c r="K190" s="301"/>
      <c r="L190" s="336"/>
      <c r="M190" s="301"/>
      <c r="N190" s="336"/>
      <c r="O190" s="301"/>
      <c r="P190" s="336"/>
      <c r="Q190" s="301"/>
      <c r="R190" s="336"/>
      <c r="S190" s="301"/>
      <c r="T190" s="336"/>
    </row>
    <row r="191" spans="1:20" ht="12" customHeight="1" x14ac:dyDescent="0.3">
      <c r="A191" s="329" t="s">
        <v>289</v>
      </c>
      <c r="B191" s="330">
        <v>6</v>
      </c>
      <c r="C191" s="298">
        <v>46205</v>
      </c>
      <c r="D191" s="299" t="s">
        <v>966</v>
      </c>
      <c r="E191" s="522">
        <v>20</v>
      </c>
      <c r="F191" s="522"/>
      <c r="G191" s="333">
        <f t="shared" si="4"/>
        <v>1680.5899999999874</v>
      </c>
      <c r="H191" s="334"/>
      <c r="I191" s="335"/>
      <c r="J191" s="336"/>
      <c r="K191" s="301"/>
      <c r="L191" s="336"/>
      <c r="M191" s="301"/>
      <c r="N191" s="336"/>
      <c r="O191" s="301"/>
      <c r="P191" s="336"/>
      <c r="Q191" s="301"/>
      <c r="R191" s="336"/>
      <c r="S191" s="301"/>
      <c r="T191" s="336"/>
    </row>
    <row r="192" spans="1:20" ht="12" customHeight="1" x14ac:dyDescent="0.3">
      <c r="A192" s="329" t="s">
        <v>287</v>
      </c>
      <c r="B192" s="330" t="s">
        <v>287</v>
      </c>
      <c r="C192" s="298">
        <v>46205</v>
      </c>
      <c r="D192" s="299" t="s">
        <v>967</v>
      </c>
      <c r="E192" s="522">
        <v>70</v>
      </c>
      <c r="F192" s="522">
        <v>70</v>
      </c>
      <c r="G192" s="333">
        <f t="shared" si="4"/>
        <v>1700.5899999999874</v>
      </c>
      <c r="H192" s="334"/>
      <c r="I192" s="335"/>
      <c r="J192" s="336"/>
      <c r="K192" s="301"/>
      <c r="L192" s="336"/>
      <c r="M192" s="301"/>
      <c r="N192" s="336"/>
      <c r="O192" s="301"/>
      <c r="P192" s="336"/>
      <c r="Q192" s="301"/>
      <c r="R192" s="336"/>
      <c r="S192" s="301"/>
      <c r="T192" s="336"/>
    </row>
    <row r="193" spans="1:20" ht="12" customHeight="1" x14ac:dyDescent="0.3">
      <c r="A193" s="329" t="s">
        <v>287</v>
      </c>
      <c r="B193" s="330" t="s">
        <v>287</v>
      </c>
      <c r="C193" s="298">
        <v>46205</v>
      </c>
      <c r="D193" s="299" t="s">
        <v>968</v>
      </c>
      <c r="E193" s="522">
        <v>783</v>
      </c>
      <c r="F193" s="522">
        <v>783</v>
      </c>
      <c r="G193" s="333">
        <f t="shared" si="4"/>
        <v>1700.5899999999874</v>
      </c>
      <c r="H193" s="334"/>
      <c r="I193" s="335"/>
      <c r="J193" s="336"/>
      <c r="K193" s="301"/>
      <c r="L193" s="336"/>
      <c r="M193" s="301"/>
      <c r="N193" s="336"/>
      <c r="O193" s="301"/>
      <c r="P193" s="336"/>
      <c r="Q193" s="301"/>
      <c r="R193" s="336"/>
      <c r="S193" s="301"/>
      <c r="T193" s="336"/>
    </row>
    <row r="194" spans="1:20" ht="12" customHeight="1" x14ac:dyDescent="0.3">
      <c r="A194" s="329" t="s">
        <v>294</v>
      </c>
      <c r="B194" s="330">
        <v>22</v>
      </c>
      <c r="C194" s="298">
        <v>46205</v>
      </c>
      <c r="D194" s="299" t="s">
        <v>375</v>
      </c>
      <c r="E194" s="522">
        <v>6.37</v>
      </c>
      <c r="F194" s="522"/>
      <c r="G194" s="333">
        <f t="shared" si="4"/>
        <v>1700.5899999999874</v>
      </c>
      <c r="H194" s="334"/>
      <c r="I194" s="335"/>
      <c r="J194" s="336"/>
      <c r="K194" s="301"/>
      <c r="L194" s="336"/>
      <c r="M194" s="301"/>
      <c r="N194" s="336"/>
      <c r="O194" s="301"/>
      <c r="P194" s="336"/>
      <c r="Q194" s="301"/>
      <c r="R194" s="336"/>
      <c r="S194" s="301"/>
      <c r="T194" s="336"/>
    </row>
    <row r="195" spans="1:20" ht="12" customHeight="1" x14ac:dyDescent="0.3">
      <c r="A195" s="329" t="s">
        <v>289</v>
      </c>
      <c r="B195" s="330">
        <v>2</v>
      </c>
      <c r="C195" s="298">
        <v>46205</v>
      </c>
      <c r="D195" s="299" t="s">
        <v>961</v>
      </c>
      <c r="E195" s="522">
        <v>21</v>
      </c>
      <c r="F195" s="522"/>
      <c r="G195" s="333">
        <f t="shared" si="4"/>
        <v>1706.9599999999873</v>
      </c>
      <c r="H195" s="334"/>
      <c r="I195" s="335"/>
      <c r="J195" s="336"/>
      <c r="K195" s="301"/>
      <c r="L195" s="336"/>
      <c r="M195" s="301"/>
      <c r="N195" s="336"/>
      <c r="O195" s="301"/>
      <c r="P195" s="336"/>
      <c r="Q195" s="301"/>
      <c r="R195" s="336"/>
      <c r="S195" s="301"/>
      <c r="T195" s="336"/>
    </row>
    <row r="196" spans="1:20" ht="12" customHeight="1" x14ac:dyDescent="0.3">
      <c r="A196" s="329" t="s">
        <v>284</v>
      </c>
      <c r="B196" s="330">
        <v>36</v>
      </c>
      <c r="C196" s="298">
        <v>46205</v>
      </c>
      <c r="D196" s="299" t="s">
        <v>374</v>
      </c>
      <c r="E196" s="522">
        <v>50</v>
      </c>
      <c r="F196" s="522"/>
      <c r="G196" s="333">
        <f t="shared" si="4"/>
        <v>1727.9599999999873</v>
      </c>
      <c r="H196" s="334"/>
      <c r="I196" s="335"/>
      <c r="J196" s="336"/>
      <c r="K196" s="301"/>
      <c r="L196" s="336"/>
      <c r="M196" s="301"/>
      <c r="N196" s="336"/>
      <c r="O196" s="301"/>
      <c r="P196" s="336"/>
      <c r="Q196" s="301"/>
      <c r="R196" s="336"/>
      <c r="S196" s="301"/>
      <c r="T196" s="336"/>
    </row>
    <row r="197" spans="1:20" ht="12" customHeight="1" x14ac:dyDescent="0.3">
      <c r="A197" s="329" t="s">
        <v>289</v>
      </c>
      <c r="B197" s="330">
        <v>8</v>
      </c>
      <c r="C197" s="298">
        <v>46205</v>
      </c>
      <c r="D197" s="299" t="s">
        <v>319</v>
      </c>
      <c r="E197" s="522">
        <v>53.8</v>
      </c>
      <c r="F197" s="522"/>
      <c r="G197" s="333">
        <f t="shared" si="4"/>
        <v>1777.9599999999873</v>
      </c>
      <c r="H197" s="334"/>
      <c r="I197" s="335"/>
      <c r="J197" s="336"/>
      <c r="K197" s="301"/>
      <c r="L197" s="336"/>
      <c r="M197" s="301"/>
      <c r="N197" s="336"/>
      <c r="O197" s="301"/>
      <c r="P197" s="336"/>
      <c r="Q197" s="301"/>
      <c r="R197" s="336"/>
      <c r="S197" s="301"/>
      <c r="T197" s="336"/>
    </row>
    <row r="198" spans="1:20" ht="12" customHeight="1" x14ac:dyDescent="0.3">
      <c r="A198" s="329" t="s">
        <v>289</v>
      </c>
      <c r="B198" s="330">
        <v>3</v>
      </c>
      <c r="C198" s="298">
        <v>46204</v>
      </c>
      <c r="D198" s="299" t="s">
        <v>309</v>
      </c>
      <c r="E198" s="522">
        <v>4.1900000000000004</v>
      </c>
      <c r="F198" s="522"/>
      <c r="G198" s="333">
        <f t="shared" si="4"/>
        <v>1831.7599999999873</v>
      </c>
      <c r="H198" s="334"/>
      <c r="I198" s="335"/>
      <c r="J198" s="336"/>
      <c r="K198" s="301"/>
      <c r="L198" s="336"/>
      <c r="M198" s="301"/>
      <c r="N198" s="336"/>
      <c r="O198" s="301"/>
      <c r="P198" s="336"/>
      <c r="Q198" s="301"/>
      <c r="R198" s="336"/>
      <c r="S198" s="301"/>
      <c r="T198" s="336"/>
    </row>
    <row r="199" spans="1:20" ht="12" customHeight="1" x14ac:dyDescent="0.3">
      <c r="A199" s="329" t="s">
        <v>289</v>
      </c>
      <c r="B199" s="330">
        <v>1</v>
      </c>
      <c r="C199" s="298">
        <v>46204</v>
      </c>
      <c r="D199" s="299" t="s">
        <v>311</v>
      </c>
      <c r="E199" s="522">
        <v>169.54</v>
      </c>
      <c r="F199" s="522"/>
      <c r="G199" s="333">
        <f t="shared" si="4"/>
        <v>1835.9499999999873</v>
      </c>
      <c r="H199" s="334"/>
      <c r="I199" s="335"/>
      <c r="J199" s="336"/>
      <c r="K199" s="301"/>
      <c r="L199" s="336"/>
      <c r="M199" s="301"/>
      <c r="N199" s="336"/>
      <c r="O199" s="301"/>
      <c r="P199" s="336"/>
      <c r="Q199" s="301"/>
      <c r="R199" s="336"/>
      <c r="S199" s="301"/>
      <c r="T199" s="336"/>
    </row>
    <row r="200" spans="1:20" ht="12" customHeight="1" x14ac:dyDescent="0.3">
      <c r="A200" s="329" t="s">
        <v>289</v>
      </c>
      <c r="B200" s="330">
        <v>2</v>
      </c>
      <c r="C200" s="298">
        <v>46204</v>
      </c>
      <c r="D200" s="299" t="s">
        <v>955</v>
      </c>
      <c r="E200" s="522">
        <v>64.2</v>
      </c>
      <c r="F200" s="522"/>
      <c r="G200" s="333">
        <f t="shared" si="4"/>
        <v>2005.4899999999873</v>
      </c>
      <c r="H200" s="334"/>
      <c r="I200" s="335"/>
      <c r="J200" s="336"/>
      <c r="K200" s="301"/>
      <c r="L200" s="336"/>
      <c r="M200" s="301"/>
      <c r="N200" s="336"/>
      <c r="O200" s="301"/>
      <c r="P200" s="336"/>
      <c r="Q200" s="301"/>
      <c r="R200" s="336"/>
      <c r="S200" s="301"/>
      <c r="T200" s="336"/>
    </row>
    <row r="201" spans="1:20" ht="12" customHeight="1" x14ac:dyDescent="0.3">
      <c r="A201" s="329" t="s">
        <v>289</v>
      </c>
      <c r="B201" s="330">
        <v>8</v>
      </c>
      <c r="C201" s="298">
        <v>46204</v>
      </c>
      <c r="D201" s="299" t="s">
        <v>319</v>
      </c>
      <c r="E201" s="522">
        <v>150.86000000000001</v>
      </c>
      <c r="F201" s="522"/>
      <c r="G201" s="333">
        <f t="shared" si="4"/>
        <v>2069.6899999999873</v>
      </c>
      <c r="H201" s="334"/>
      <c r="I201" s="335"/>
      <c r="J201" s="336"/>
      <c r="K201" s="301"/>
      <c r="L201" s="336"/>
      <c r="M201" s="301"/>
      <c r="N201" s="336"/>
      <c r="O201" s="301"/>
      <c r="P201" s="336"/>
      <c r="Q201" s="301"/>
      <c r="R201" s="336"/>
      <c r="S201" s="301"/>
      <c r="T201" s="336"/>
    </row>
    <row r="202" spans="1:20" ht="12" customHeight="1" x14ac:dyDescent="0.3">
      <c r="A202" s="329" t="s">
        <v>289</v>
      </c>
      <c r="B202" s="330">
        <v>3</v>
      </c>
      <c r="C202" s="298">
        <v>46204</v>
      </c>
      <c r="D202" s="299" t="s">
        <v>455</v>
      </c>
      <c r="E202" s="522">
        <v>10.41</v>
      </c>
      <c r="F202" s="522"/>
      <c r="G202" s="333">
        <f t="shared" si="4"/>
        <v>2220.5499999999874</v>
      </c>
      <c r="H202" s="334"/>
      <c r="I202" s="335"/>
      <c r="J202" s="336"/>
      <c r="K202" s="301"/>
      <c r="L202" s="336"/>
      <c r="M202" s="301"/>
      <c r="N202" s="336"/>
      <c r="O202" s="301"/>
      <c r="P202" s="336"/>
      <c r="Q202" s="301"/>
      <c r="R202" s="336"/>
      <c r="S202" s="301"/>
      <c r="T202" s="336"/>
    </row>
    <row r="203" spans="1:20" ht="12" customHeight="1" x14ac:dyDescent="0.3">
      <c r="A203" s="329" t="s">
        <v>289</v>
      </c>
      <c r="B203" s="330">
        <v>1</v>
      </c>
      <c r="C203" s="298">
        <v>46204</v>
      </c>
      <c r="D203" s="299" t="s">
        <v>306</v>
      </c>
      <c r="E203" s="522">
        <v>98.37</v>
      </c>
      <c r="F203" s="522"/>
      <c r="G203" s="333">
        <f t="shared" si="4"/>
        <v>2230.9599999999873</v>
      </c>
      <c r="H203" s="334"/>
      <c r="I203" s="335"/>
      <c r="J203" s="336"/>
      <c r="K203" s="301"/>
      <c r="L203" s="336"/>
      <c r="M203" s="301"/>
      <c r="N203" s="336"/>
      <c r="O203" s="301"/>
      <c r="P203" s="336"/>
      <c r="Q203" s="301"/>
      <c r="R203" s="336"/>
      <c r="S203" s="301"/>
      <c r="T203" s="336"/>
    </row>
    <row r="204" spans="1:20" ht="12" customHeight="1" x14ac:dyDescent="0.3">
      <c r="A204" s="329" t="s">
        <v>289</v>
      </c>
      <c r="B204" s="330">
        <v>6</v>
      </c>
      <c r="C204" s="298">
        <v>46204</v>
      </c>
      <c r="D204" s="299" t="s">
        <v>397</v>
      </c>
      <c r="E204" s="522">
        <v>54.76</v>
      </c>
      <c r="F204" s="522"/>
      <c r="G204" s="333">
        <f t="shared" si="4"/>
        <v>2329.3299999999872</v>
      </c>
      <c r="H204" s="334"/>
      <c r="I204" s="335"/>
      <c r="J204" s="336"/>
      <c r="K204" s="301"/>
      <c r="L204" s="336"/>
      <c r="M204" s="301"/>
      <c r="N204" s="336"/>
      <c r="O204" s="301"/>
      <c r="P204" s="336"/>
      <c r="Q204" s="301"/>
      <c r="R204" s="336"/>
      <c r="S204" s="301"/>
      <c r="T204" s="336"/>
    </row>
    <row r="205" spans="1:20" ht="12" customHeight="1" x14ac:dyDescent="0.3">
      <c r="A205" s="329" t="s">
        <v>284</v>
      </c>
      <c r="B205" s="330">
        <v>37</v>
      </c>
      <c r="C205" s="298">
        <v>46203</v>
      </c>
      <c r="D205" s="299" t="s">
        <v>970</v>
      </c>
      <c r="E205" s="522">
        <v>6487.16</v>
      </c>
      <c r="F205" s="522"/>
      <c r="G205" s="333">
        <f t="shared" si="4"/>
        <v>2384.0899999999874</v>
      </c>
      <c r="H205" s="334"/>
      <c r="I205" s="335"/>
      <c r="J205" s="336"/>
      <c r="K205" s="301"/>
      <c r="L205" s="336"/>
      <c r="M205" s="301"/>
      <c r="N205" s="336"/>
      <c r="O205" s="301"/>
      <c r="P205" s="336"/>
      <c r="Q205" s="301"/>
      <c r="R205" s="336"/>
      <c r="S205" s="301"/>
      <c r="T205" s="336"/>
    </row>
    <row r="206" spans="1:20" ht="12" customHeight="1" x14ac:dyDescent="0.3">
      <c r="A206" s="329" t="s">
        <v>286</v>
      </c>
      <c r="B206" s="330">
        <v>25</v>
      </c>
      <c r="C206" s="298">
        <v>46203</v>
      </c>
      <c r="D206" s="298" t="s">
        <v>204</v>
      </c>
      <c r="E206" s="331">
        <v>350</v>
      </c>
      <c r="F206" s="522"/>
      <c r="G206" s="333">
        <f t="shared" si="4"/>
        <v>8871.2499999999873</v>
      </c>
      <c r="H206" s="334"/>
      <c r="I206" s="335"/>
      <c r="J206" s="336"/>
      <c r="K206" s="301"/>
      <c r="L206" s="336"/>
      <c r="M206" s="301"/>
      <c r="N206" s="336"/>
      <c r="O206" s="301"/>
      <c r="P206" s="336"/>
      <c r="Q206" s="301"/>
      <c r="R206" s="336"/>
      <c r="S206" s="301"/>
      <c r="T206" s="336"/>
    </row>
    <row r="207" spans="1:20" ht="12" customHeight="1" x14ac:dyDescent="0.3">
      <c r="A207" s="329" t="s">
        <v>286</v>
      </c>
      <c r="B207" s="330">
        <v>26</v>
      </c>
      <c r="C207" s="298">
        <v>46203</v>
      </c>
      <c r="D207" s="298" t="s">
        <v>205</v>
      </c>
      <c r="E207" s="331">
        <v>320</v>
      </c>
      <c r="F207" s="522"/>
      <c r="G207" s="333">
        <f t="shared" si="4"/>
        <v>9221.2499999999873</v>
      </c>
      <c r="H207" s="334"/>
      <c r="I207" s="335"/>
      <c r="J207" s="336"/>
      <c r="K207" s="301"/>
      <c r="L207" s="336"/>
      <c r="M207" s="301"/>
      <c r="N207" s="336"/>
      <c r="O207" s="301"/>
      <c r="P207" s="336"/>
      <c r="Q207" s="301"/>
      <c r="R207" s="336"/>
      <c r="S207" s="301"/>
      <c r="T207" s="336"/>
    </row>
    <row r="208" spans="1:20" ht="12" customHeight="1" x14ac:dyDescent="0.3">
      <c r="A208" s="329" t="s">
        <v>286</v>
      </c>
      <c r="B208" s="330">
        <v>27</v>
      </c>
      <c r="C208" s="298">
        <v>46203</v>
      </c>
      <c r="D208" s="298" t="s">
        <v>206</v>
      </c>
      <c r="E208" s="331">
        <v>25</v>
      </c>
      <c r="F208" s="522"/>
      <c r="G208" s="333">
        <f t="shared" si="4"/>
        <v>9541.2499999999873</v>
      </c>
      <c r="H208" s="334"/>
      <c r="I208" s="335"/>
      <c r="J208" s="336"/>
      <c r="K208" s="301"/>
      <c r="L208" s="336"/>
      <c r="M208" s="301"/>
      <c r="N208" s="336"/>
      <c r="O208" s="301"/>
      <c r="P208" s="336"/>
      <c r="Q208" s="301"/>
      <c r="R208" s="336"/>
      <c r="S208" s="301"/>
      <c r="T208" s="336"/>
    </row>
    <row r="209" spans="1:20" ht="12" customHeight="1" x14ac:dyDescent="0.3">
      <c r="A209" s="329" t="s">
        <v>286</v>
      </c>
      <c r="B209" s="330">
        <v>28</v>
      </c>
      <c r="C209" s="298">
        <v>46203</v>
      </c>
      <c r="D209" s="298" t="s">
        <v>207</v>
      </c>
      <c r="E209" s="331">
        <v>25</v>
      </c>
      <c r="F209" s="522"/>
      <c r="G209" s="333">
        <f t="shared" si="4"/>
        <v>9566.2499999999873</v>
      </c>
      <c r="H209" s="334"/>
      <c r="I209" s="335"/>
      <c r="J209" s="336"/>
      <c r="K209" s="301"/>
      <c r="L209" s="336"/>
      <c r="M209" s="301"/>
      <c r="N209" s="336"/>
      <c r="O209" s="301"/>
      <c r="P209" s="336"/>
      <c r="Q209" s="301"/>
      <c r="R209" s="336"/>
      <c r="S209" s="301"/>
      <c r="T209" s="336"/>
    </row>
    <row r="210" spans="1:20" ht="12" customHeight="1" x14ac:dyDescent="0.3">
      <c r="A210" s="329" t="s">
        <v>286</v>
      </c>
      <c r="B210" s="330">
        <v>29</v>
      </c>
      <c r="C210" s="298">
        <v>46203</v>
      </c>
      <c r="D210" s="298" t="s">
        <v>208</v>
      </c>
      <c r="E210" s="331">
        <v>45</v>
      </c>
      <c r="F210" s="522"/>
      <c r="G210" s="333">
        <f t="shared" si="4"/>
        <v>9591.2499999999873</v>
      </c>
      <c r="H210" s="334"/>
      <c r="I210" s="335"/>
      <c r="J210" s="336"/>
      <c r="K210" s="301"/>
      <c r="L210" s="336"/>
      <c r="M210" s="301"/>
      <c r="N210" s="336"/>
      <c r="O210" s="301"/>
      <c r="P210" s="336"/>
      <c r="Q210" s="301"/>
      <c r="R210" s="336"/>
      <c r="S210" s="301"/>
      <c r="T210" s="336"/>
    </row>
    <row r="211" spans="1:20" ht="12" customHeight="1" x14ac:dyDescent="0.3">
      <c r="A211" s="329" t="s">
        <v>286</v>
      </c>
      <c r="B211" s="330">
        <v>30</v>
      </c>
      <c r="C211" s="298">
        <v>46203</v>
      </c>
      <c r="D211" s="298" t="s">
        <v>209</v>
      </c>
      <c r="E211" s="331">
        <v>400</v>
      </c>
      <c r="F211" s="522"/>
      <c r="G211" s="333">
        <f t="shared" si="4"/>
        <v>9636.2499999999873</v>
      </c>
      <c r="H211" s="334"/>
      <c r="I211" s="335"/>
      <c r="J211" s="336"/>
      <c r="K211" s="301"/>
      <c r="L211" s="336"/>
      <c r="M211" s="301"/>
      <c r="N211" s="336"/>
      <c r="O211" s="301"/>
      <c r="P211" s="336"/>
      <c r="Q211" s="301"/>
      <c r="R211" s="336"/>
      <c r="S211" s="301"/>
      <c r="T211" s="336"/>
    </row>
    <row r="212" spans="1:20" ht="12" customHeight="1" x14ac:dyDescent="0.3">
      <c r="A212" s="329" t="s">
        <v>286</v>
      </c>
      <c r="B212" s="330">
        <v>31</v>
      </c>
      <c r="C212" s="298">
        <v>46203</v>
      </c>
      <c r="D212" s="298" t="s">
        <v>210</v>
      </c>
      <c r="E212" s="331">
        <v>375</v>
      </c>
      <c r="F212" s="522"/>
      <c r="G212" s="333">
        <f t="shared" si="4"/>
        <v>10036.249999999987</v>
      </c>
      <c r="H212" s="334"/>
      <c r="I212" s="335"/>
      <c r="J212" s="336"/>
      <c r="K212" s="301"/>
      <c r="L212" s="336"/>
      <c r="M212" s="301"/>
      <c r="N212" s="336"/>
      <c r="O212" s="301"/>
      <c r="P212" s="336"/>
      <c r="Q212" s="301"/>
      <c r="R212" s="336"/>
      <c r="S212" s="301"/>
      <c r="T212" s="336"/>
    </row>
    <row r="213" spans="1:20" ht="12" customHeight="1" x14ac:dyDescent="0.3">
      <c r="A213" s="329" t="s">
        <v>286</v>
      </c>
      <c r="B213" s="330">
        <v>32</v>
      </c>
      <c r="C213" s="298">
        <v>46203</v>
      </c>
      <c r="D213" s="298" t="s">
        <v>211</v>
      </c>
      <c r="E213" s="331">
        <v>100</v>
      </c>
      <c r="F213" s="522"/>
      <c r="G213" s="333">
        <f t="shared" si="4"/>
        <v>10411.249999999987</v>
      </c>
      <c r="H213" s="334"/>
      <c r="I213" s="335"/>
      <c r="J213" s="336"/>
      <c r="K213" s="301"/>
      <c r="L213" s="336"/>
      <c r="M213" s="301"/>
      <c r="N213" s="336"/>
      <c r="O213" s="301"/>
      <c r="P213" s="336"/>
      <c r="Q213" s="301"/>
      <c r="R213" s="336"/>
      <c r="S213" s="301"/>
      <c r="T213" s="336"/>
    </row>
    <row r="214" spans="1:20" ht="12" customHeight="1" x14ac:dyDescent="0.3">
      <c r="A214" s="329" t="s">
        <v>286</v>
      </c>
      <c r="B214" s="330">
        <v>33</v>
      </c>
      <c r="C214" s="298">
        <v>46203</v>
      </c>
      <c r="D214" s="298" t="s">
        <v>212</v>
      </c>
      <c r="E214" s="331">
        <v>85</v>
      </c>
      <c r="F214" s="522"/>
      <c r="G214" s="333">
        <f t="shared" si="4"/>
        <v>10511.249999999987</v>
      </c>
      <c r="H214" s="334"/>
      <c r="I214" s="335"/>
      <c r="J214" s="336"/>
      <c r="K214" s="301"/>
      <c r="L214" s="336"/>
      <c r="M214" s="301"/>
      <c r="N214" s="336"/>
      <c r="O214" s="301"/>
      <c r="P214" s="336"/>
      <c r="Q214" s="301"/>
      <c r="R214" s="336"/>
      <c r="S214" s="301"/>
      <c r="T214" s="336"/>
    </row>
    <row r="215" spans="1:20" ht="12" customHeight="1" x14ac:dyDescent="0.3">
      <c r="A215" s="329" t="s">
        <v>286</v>
      </c>
      <c r="B215" s="330">
        <v>34</v>
      </c>
      <c r="C215" s="298">
        <v>46203</v>
      </c>
      <c r="D215" s="298" t="s">
        <v>213</v>
      </c>
      <c r="E215" s="331">
        <v>230</v>
      </c>
      <c r="F215" s="522"/>
      <c r="G215" s="333">
        <f t="shared" si="4"/>
        <v>10596.249999999987</v>
      </c>
      <c r="H215" s="334"/>
      <c r="I215" s="335"/>
      <c r="J215" s="336"/>
      <c r="K215" s="301"/>
      <c r="L215" s="336"/>
      <c r="M215" s="301"/>
      <c r="N215" s="336"/>
      <c r="O215" s="301"/>
      <c r="P215" s="336"/>
      <c r="Q215" s="301"/>
      <c r="R215" s="336"/>
      <c r="S215" s="301"/>
      <c r="T215" s="336"/>
    </row>
    <row r="216" spans="1:20" ht="12" customHeight="1" x14ac:dyDescent="0.3">
      <c r="A216" s="329" t="s">
        <v>286</v>
      </c>
      <c r="B216" s="330">
        <v>35</v>
      </c>
      <c r="C216" s="298">
        <v>46203</v>
      </c>
      <c r="D216" s="298" t="s">
        <v>214</v>
      </c>
      <c r="E216" s="331">
        <v>45</v>
      </c>
      <c r="F216" s="522"/>
      <c r="G216" s="333">
        <f t="shared" si="4"/>
        <v>10826.249999999987</v>
      </c>
      <c r="H216" s="334"/>
      <c r="I216" s="335"/>
      <c r="J216" s="336"/>
      <c r="K216" s="301"/>
      <c r="L216" s="336"/>
      <c r="M216" s="301"/>
      <c r="N216" s="336"/>
      <c r="O216" s="301"/>
      <c r="P216" s="336"/>
      <c r="Q216" s="301"/>
      <c r="R216" s="336"/>
      <c r="S216" s="301"/>
      <c r="T216" s="336"/>
    </row>
    <row r="217" spans="1:20" ht="12" customHeight="1" x14ac:dyDescent="0.3">
      <c r="A217" s="329" t="s">
        <v>294</v>
      </c>
      <c r="B217" s="330">
        <v>10</v>
      </c>
      <c r="C217" s="298">
        <v>46203</v>
      </c>
      <c r="D217" s="298" t="s">
        <v>176</v>
      </c>
      <c r="E217" s="522">
        <v>17.899999999999999</v>
      </c>
      <c r="F217" s="522"/>
      <c r="G217" s="333">
        <f t="shared" si="4"/>
        <v>10871.249999999987</v>
      </c>
      <c r="H217" s="334"/>
      <c r="I217" s="335"/>
      <c r="J217" s="336"/>
      <c r="K217" s="301"/>
      <c r="L217" s="336"/>
      <c r="M217" s="301"/>
      <c r="N217" s="336"/>
      <c r="O217" s="301"/>
      <c r="P217" s="336"/>
      <c r="Q217" s="301"/>
      <c r="R217" s="336"/>
      <c r="S217" s="301"/>
      <c r="T217" s="336"/>
    </row>
    <row r="218" spans="1:20" ht="12" customHeight="1" x14ac:dyDescent="0.3">
      <c r="A218" s="329" t="s">
        <v>287</v>
      </c>
      <c r="B218" s="330" t="s">
        <v>287</v>
      </c>
      <c r="C218" s="298">
        <v>46203</v>
      </c>
      <c r="D218" s="299" t="s">
        <v>423</v>
      </c>
      <c r="E218" s="522">
        <v>185.64</v>
      </c>
      <c r="F218" s="522">
        <v>185.64</v>
      </c>
      <c r="G218" s="333">
        <f t="shared" si="4"/>
        <v>10889.149999999987</v>
      </c>
      <c r="H218" s="334"/>
      <c r="I218" s="335"/>
      <c r="J218" s="336"/>
      <c r="K218" s="301"/>
      <c r="L218" s="336"/>
      <c r="M218" s="301"/>
      <c r="N218" s="336"/>
      <c r="O218" s="301"/>
      <c r="P218" s="336"/>
      <c r="Q218" s="301"/>
      <c r="R218" s="336"/>
      <c r="S218" s="301"/>
      <c r="T218" s="336"/>
    </row>
    <row r="219" spans="1:20" ht="12" customHeight="1" x14ac:dyDescent="0.3">
      <c r="A219" s="329" t="s">
        <v>289</v>
      </c>
      <c r="B219" s="330">
        <v>6</v>
      </c>
      <c r="C219" s="298">
        <v>46203</v>
      </c>
      <c r="D219" s="299" t="s">
        <v>947</v>
      </c>
      <c r="E219" s="522">
        <v>-20</v>
      </c>
      <c r="F219" s="522"/>
      <c r="G219" s="333">
        <f t="shared" si="4"/>
        <v>10889.149999999987</v>
      </c>
      <c r="H219" s="334"/>
      <c r="I219" s="335"/>
      <c r="J219" s="336"/>
      <c r="K219" s="301"/>
      <c r="L219" s="336"/>
      <c r="M219" s="301"/>
      <c r="N219" s="336"/>
      <c r="O219" s="301"/>
      <c r="P219" s="336"/>
      <c r="Q219" s="301"/>
      <c r="R219" s="336"/>
      <c r="S219" s="301"/>
      <c r="T219" s="336"/>
    </row>
    <row r="220" spans="1:20" ht="12" customHeight="1" x14ac:dyDescent="0.3">
      <c r="A220" s="329" t="s">
        <v>287</v>
      </c>
      <c r="B220" s="330" t="s">
        <v>287</v>
      </c>
      <c r="C220" s="298">
        <v>46202</v>
      </c>
      <c r="D220" s="299" t="s">
        <v>948</v>
      </c>
      <c r="E220" s="522">
        <v>580</v>
      </c>
      <c r="F220" s="522">
        <v>580</v>
      </c>
      <c r="G220" s="333">
        <f t="shared" si="4"/>
        <v>10869.149999999987</v>
      </c>
      <c r="H220" s="334"/>
      <c r="I220" s="335"/>
      <c r="J220" s="336"/>
      <c r="K220" s="301"/>
      <c r="L220" s="336"/>
      <c r="M220" s="301"/>
      <c r="N220" s="336"/>
      <c r="O220" s="301"/>
      <c r="P220" s="336"/>
      <c r="Q220" s="301"/>
      <c r="R220" s="336"/>
      <c r="S220" s="301"/>
      <c r="T220" s="336"/>
    </row>
    <row r="221" spans="1:20" ht="12" customHeight="1" x14ac:dyDescent="0.3">
      <c r="A221" s="329" t="s">
        <v>291</v>
      </c>
      <c r="B221" s="330">
        <v>38</v>
      </c>
      <c r="C221" s="298">
        <v>46202</v>
      </c>
      <c r="D221" s="299" t="s">
        <v>293</v>
      </c>
      <c r="E221" s="522"/>
      <c r="F221" s="522">
        <v>4720.8599999999997</v>
      </c>
      <c r="G221" s="333">
        <f t="shared" si="4"/>
        <v>10869.149999999987</v>
      </c>
      <c r="H221" s="334"/>
      <c r="I221" s="335"/>
      <c r="J221" s="336"/>
      <c r="K221" s="301"/>
      <c r="L221" s="336"/>
      <c r="M221" s="301"/>
      <c r="N221" s="336"/>
      <c r="O221" s="301"/>
      <c r="P221" s="336"/>
      <c r="Q221" s="301"/>
      <c r="R221" s="336"/>
      <c r="S221" s="301"/>
      <c r="T221" s="336"/>
    </row>
    <row r="222" spans="1:20" ht="12" customHeight="1" x14ac:dyDescent="0.3">
      <c r="A222" s="329" t="s">
        <v>287</v>
      </c>
      <c r="B222" s="330" t="s">
        <v>287</v>
      </c>
      <c r="C222" s="298">
        <v>46202</v>
      </c>
      <c r="D222" s="299" t="s">
        <v>942</v>
      </c>
      <c r="E222" s="522">
        <v>180</v>
      </c>
      <c r="F222" s="522">
        <v>180</v>
      </c>
      <c r="G222" s="333">
        <f t="shared" si="4"/>
        <v>6148.2899999999863</v>
      </c>
      <c r="H222" s="334"/>
      <c r="I222" s="335"/>
      <c r="J222" s="336"/>
      <c r="K222" s="301"/>
      <c r="L222" s="336"/>
      <c r="M222" s="301"/>
      <c r="N222" s="336"/>
      <c r="O222" s="301"/>
      <c r="P222" s="336"/>
      <c r="Q222" s="301"/>
      <c r="R222" s="336"/>
      <c r="S222" s="301"/>
      <c r="T222" s="336"/>
    </row>
    <row r="223" spans="1:20" ht="12" customHeight="1" x14ac:dyDescent="0.3">
      <c r="A223" s="329" t="s">
        <v>294</v>
      </c>
      <c r="B223" s="330">
        <v>20</v>
      </c>
      <c r="C223" s="298">
        <v>46202</v>
      </c>
      <c r="D223" s="299" t="s">
        <v>193</v>
      </c>
      <c r="E223" s="522">
        <v>600</v>
      </c>
      <c r="F223" s="522"/>
      <c r="G223" s="333">
        <f t="shared" si="4"/>
        <v>6148.2899999999863</v>
      </c>
      <c r="H223" s="334"/>
      <c r="I223" s="335"/>
      <c r="J223" s="336"/>
      <c r="K223" s="301"/>
      <c r="L223" s="336"/>
      <c r="M223" s="301"/>
      <c r="N223" s="336"/>
      <c r="O223" s="301"/>
      <c r="P223" s="336"/>
      <c r="Q223" s="301"/>
      <c r="R223" s="336"/>
      <c r="S223" s="301"/>
      <c r="T223" s="336"/>
    </row>
    <row r="224" spans="1:20" ht="12" customHeight="1" x14ac:dyDescent="0.3">
      <c r="A224" s="329" t="s">
        <v>289</v>
      </c>
      <c r="B224" s="330">
        <v>1</v>
      </c>
      <c r="C224" s="298">
        <v>46202</v>
      </c>
      <c r="D224" s="299" t="s">
        <v>306</v>
      </c>
      <c r="E224" s="522">
        <v>102.13</v>
      </c>
      <c r="F224" s="522"/>
      <c r="G224" s="333">
        <f t="shared" si="4"/>
        <v>6748.2899999999863</v>
      </c>
      <c r="H224" s="334"/>
      <c r="I224" s="335"/>
      <c r="J224" s="336"/>
      <c r="K224" s="301"/>
      <c r="L224" s="336"/>
      <c r="M224" s="301"/>
      <c r="N224" s="336"/>
      <c r="O224" s="301"/>
      <c r="P224" s="336"/>
      <c r="Q224" s="301"/>
      <c r="R224" s="336"/>
      <c r="S224" s="301"/>
      <c r="T224" s="336"/>
    </row>
    <row r="225" spans="1:20" ht="12" customHeight="1" x14ac:dyDescent="0.3">
      <c r="A225" s="329" t="s">
        <v>289</v>
      </c>
      <c r="B225" s="330">
        <v>4</v>
      </c>
      <c r="C225" s="298">
        <v>46202</v>
      </c>
      <c r="D225" s="299" t="s">
        <v>310</v>
      </c>
      <c r="E225" s="522">
        <v>40.56</v>
      </c>
      <c r="F225" s="522"/>
      <c r="G225" s="333">
        <f t="shared" si="4"/>
        <v>6850.4199999999864</v>
      </c>
      <c r="H225" s="334"/>
      <c r="I225" s="335"/>
      <c r="J225" s="336"/>
      <c r="K225" s="301"/>
      <c r="L225" s="336"/>
      <c r="M225" s="301"/>
      <c r="N225" s="336"/>
      <c r="O225" s="301"/>
      <c r="P225" s="336"/>
      <c r="Q225" s="301"/>
      <c r="R225" s="336"/>
      <c r="S225" s="301"/>
      <c r="T225" s="336"/>
    </row>
    <row r="226" spans="1:20" ht="12" customHeight="1" x14ac:dyDescent="0.3">
      <c r="A226" s="329" t="s">
        <v>289</v>
      </c>
      <c r="B226" s="330">
        <v>3</v>
      </c>
      <c r="C226" s="298">
        <v>46202</v>
      </c>
      <c r="D226" s="299" t="s">
        <v>310</v>
      </c>
      <c r="E226" s="522">
        <v>6.84</v>
      </c>
      <c r="F226" s="522"/>
      <c r="G226" s="333">
        <f t="shared" si="4"/>
        <v>6890.9799999999868</v>
      </c>
      <c r="H226" s="334"/>
      <c r="I226" s="335"/>
      <c r="J226" s="336"/>
      <c r="K226" s="301"/>
      <c r="L226" s="336"/>
      <c r="M226" s="301"/>
      <c r="N226" s="336"/>
      <c r="O226" s="301"/>
      <c r="P226" s="336"/>
      <c r="Q226" s="301"/>
      <c r="R226" s="336"/>
      <c r="S226" s="301"/>
      <c r="T226" s="336"/>
    </row>
    <row r="227" spans="1:20" ht="12" customHeight="1" x14ac:dyDescent="0.3">
      <c r="A227" s="329" t="s">
        <v>289</v>
      </c>
      <c r="B227" s="330">
        <v>3</v>
      </c>
      <c r="C227" s="298">
        <v>46202</v>
      </c>
      <c r="D227" s="299" t="s">
        <v>880</v>
      </c>
      <c r="E227" s="522">
        <v>11.98</v>
      </c>
      <c r="F227" s="522"/>
      <c r="G227" s="333">
        <f t="shared" si="4"/>
        <v>6897.819999999987</v>
      </c>
      <c r="H227" s="334"/>
      <c r="I227" s="335"/>
      <c r="J227" s="336"/>
      <c r="K227" s="301"/>
      <c r="L227" s="336"/>
      <c r="M227" s="301"/>
      <c r="N227" s="336"/>
      <c r="O227" s="301"/>
      <c r="P227" s="336"/>
      <c r="Q227" s="301"/>
      <c r="R227" s="336"/>
      <c r="S227" s="301"/>
      <c r="T227" s="336"/>
    </row>
    <row r="228" spans="1:20" ht="12" customHeight="1" x14ac:dyDescent="0.3">
      <c r="A228" s="329" t="s">
        <v>289</v>
      </c>
      <c r="B228" s="330">
        <v>2</v>
      </c>
      <c r="C228" s="298">
        <v>46201</v>
      </c>
      <c r="D228" s="299" t="s">
        <v>353</v>
      </c>
      <c r="E228" s="522">
        <v>14.99</v>
      </c>
      <c r="F228" s="522"/>
      <c r="G228" s="333">
        <f t="shared" ref="G228:G241" si="5">G229-E228+F228</f>
        <v>6909.7999999999865</v>
      </c>
      <c r="H228" s="334"/>
      <c r="I228" s="335"/>
      <c r="J228" s="336"/>
      <c r="K228" s="301"/>
      <c r="L228" s="336"/>
      <c r="M228" s="301"/>
      <c r="N228" s="336"/>
      <c r="O228" s="301"/>
      <c r="P228" s="336"/>
      <c r="Q228" s="301"/>
      <c r="R228" s="336"/>
      <c r="S228" s="301"/>
      <c r="T228" s="336"/>
    </row>
    <row r="229" spans="1:20" ht="12" customHeight="1" x14ac:dyDescent="0.3">
      <c r="A229" s="329" t="s">
        <v>289</v>
      </c>
      <c r="B229" s="330">
        <v>2</v>
      </c>
      <c r="C229" s="298">
        <v>46201</v>
      </c>
      <c r="D229" s="299" t="s">
        <v>358</v>
      </c>
      <c r="E229" s="522">
        <v>11.29</v>
      </c>
      <c r="F229" s="522"/>
      <c r="G229" s="333">
        <f t="shared" si="5"/>
        <v>6924.7899999999863</v>
      </c>
      <c r="H229" s="334"/>
      <c r="I229" s="335"/>
      <c r="J229" s="336"/>
      <c r="K229" s="301"/>
      <c r="L229" s="336"/>
      <c r="M229" s="301"/>
      <c r="N229" s="336"/>
      <c r="O229" s="301"/>
      <c r="P229" s="336"/>
      <c r="Q229" s="301"/>
      <c r="R229" s="336"/>
      <c r="S229" s="301"/>
      <c r="T229" s="336"/>
    </row>
    <row r="230" spans="1:20" ht="12" customHeight="1" x14ac:dyDescent="0.3">
      <c r="A230" s="329" t="s">
        <v>289</v>
      </c>
      <c r="B230" s="330">
        <v>8</v>
      </c>
      <c r="C230" s="298">
        <v>46201</v>
      </c>
      <c r="D230" s="299" t="s">
        <v>319</v>
      </c>
      <c r="E230" s="522">
        <v>158.96</v>
      </c>
      <c r="F230" s="522"/>
      <c r="G230" s="333">
        <f t="shared" si="5"/>
        <v>6936.0799999999863</v>
      </c>
      <c r="H230" s="334"/>
      <c r="I230" s="335"/>
      <c r="J230" s="336"/>
      <c r="K230" s="301"/>
      <c r="L230" s="336"/>
      <c r="M230" s="301"/>
      <c r="N230" s="336"/>
      <c r="O230" s="301"/>
      <c r="P230" s="336"/>
      <c r="Q230" s="301"/>
      <c r="R230" s="336"/>
      <c r="S230" s="301"/>
      <c r="T230" s="336"/>
    </row>
    <row r="231" spans="1:20" ht="12" customHeight="1" x14ac:dyDescent="0.3">
      <c r="A231" s="329" t="s">
        <v>289</v>
      </c>
      <c r="B231" s="330">
        <v>6</v>
      </c>
      <c r="C231" s="298">
        <v>46201</v>
      </c>
      <c r="D231" s="299" t="s">
        <v>397</v>
      </c>
      <c r="E231" s="522">
        <v>53.24</v>
      </c>
      <c r="F231" s="522"/>
      <c r="G231" s="333">
        <f t="shared" si="5"/>
        <v>7095.0399999999863</v>
      </c>
      <c r="H231" s="334"/>
      <c r="I231" s="335"/>
      <c r="J231" s="336"/>
      <c r="K231" s="301"/>
      <c r="L231" s="336"/>
      <c r="M231" s="301"/>
      <c r="N231" s="336"/>
      <c r="O231" s="301"/>
      <c r="P231" s="336"/>
      <c r="Q231" s="301"/>
      <c r="R231" s="336"/>
      <c r="S231" s="301"/>
      <c r="T231" s="336"/>
    </row>
    <row r="232" spans="1:20" ht="12" customHeight="1" x14ac:dyDescent="0.3">
      <c r="A232" s="329" t="s">
        <v>289</v>
      </c>
      <c r="B232" s="330">
        <v>2</v>
      </c>
      <c r="C232" s="298">
        <v>46200</v>
      </c>
      <c r="D232" s="299" t="s">
        <v>917</v>
      </c>
      <c r="E232" s="522">
        <v>122.77</v>
      </c>
      <c r="F232" s="522"/>
      <c r="G232" s="333">
        <f t="shared" si="5"/>
        <v>7148.2799999999861</v>
      </c>
      <c r="H232" s="334"/>
      <c r="I232" s="335"/>
      <c r="J232" s="336"/>
      <c r="K232" s="301"/>
      <c r="L232" s="336"/>
      <c r="M232" s="301"/>
      <c r="N232" s="336"/>
      <c r="O232" s="301"/>
      <c r="P232" s="336"/>
      <c r="Q232" s="301"/>
      <c r="R232" s="336"/>
      <c r="S232" s="301"/>
      <c r="T232" s="336"/>
    </row>
    <row r="233" spans="1:20" ht="12" customHeight="1" x14ac:dyDescent="0.3">
      <c r="A233" s="329" t="s">
        <v>289</v>
      </c>
      <c r="B233" s="330">
        <v>1</v>
      </c>
      <c r="C233" s="298">
        <v>46200</v>
      </c>
      <c r="D233" s="299" t="s">
        <v>831</v>
      </c>
      <c r="E233" s="522">
        <v>77.67</v>
      </c>
      <c r="F233" s="522"/>
      <c r="G233" s="333">
        <f t="shared" si="5"/>
        <v>7271.0499999999865</v>
      </c>
      <c r="H233" s="334"/>
      <c r="I233" s="335"/>
      <c r="J233" s="336"/>
      <c r="K233" s="301"/>
      <c r="L233" s="336"/>
      <c r="M233" s="301"/>
      <c r="N233" s="336"/>
      <c r="O233" s="301"/>
      <c r="P233" s="336"/>
      <c r="Q233" s="301"/>
      <c r="R233" s="336"/>
      <c r="S233" s="301"/>
      <c r="T233" s="336"/>
    </row>
    <row r="234" spans="1:20" ht="12" customHeight="1" x14ac:dyDescent="0.3">
      <c r="A234" s="329" t="s">
        <v>289</v>
      </c>
      <c r="B234" s="330">
        <v>5</v>
      </c>
      <c r="C234" s="298">
        <v>46200</v>
      </c>
      <c r="D234" s="299" t="s">
        <v>943</v>
      </c>
      <c r="E234" s="522">
        <v>32.99</v>
      </c>
      <c r="F234" s="522"/>
      <c r="G234" s="333">
        <f t="shared" si="5"/>
        <v>7348.7199999999866</v>
      </c>
      <c r="H234" s="334"/>
      <c r="I234" s="335"/>
      <c r="J234" s="336"/>
      <c r="K234" s="301"/>
      <c r="L234" s="336"/>
      <c r="M234" s="301"/>
      <c r="N234" s="336"/>
      <c r="O234" s="301"/>
      <c r="P234" s="336"/>
      <c r="Q234" s="301"/>
      <c r="R234" s="336"/>
      <c r="S234" s="301"/>
      <c r="T234" s="336"/>
    </row>
    <row r="235" spans="1:20" ht="12" customHeight="1" x14ac:dyDescent="0.3">
      <c r="A235" s="329" t="s">
        <v>287</v>
      </c>
      <c r="B235" s="330" t="s">
        <v>287</v>
      </c>
      <c r="C235" s="298">
        <v>46200</v>
      </c>
      <c r="D235" s="299" t="s">
        <v>945</v>
      </c>
      <c r="E235" s="522">
        <v>207.96</v>
      </c>
      <c r="F235" s="522">
        <v>207.96</v>
      </c>
      <c r="G235" s="333">
        <f t="shared" si="5"/>
        <v>7381.7099999999864</v>
      </c>
      <c r="H235" s="334"/>
      <c r="I235" s="335"/>
      <c r="J235" s="336"/>
      <c r="K235" s="301"/>
      <c r="L235" s="336"/>
      <c r="M235" s="301"/>
      <c r="N235" s="336"/>
      <c r="O235" s="301"/>
      <c r="P235" s="336"/>
      <c r="Q235" s="301"/>
      <c r="R235" s="336"/>
      <c r="S235" s="301"/>
      <c r="T235" s="336"/>
    </row>
    <row r="236" spans="1:20" ht="12" customHeight="1" x14ac:dyDescent="0.3">
      <c r="A236" s="329" t="s">
        <v>289</v>
      </c>
      <c r="B236" s="330">
        <v>2</v>
      </c>
      <c r="C236" s="298">
        <v>46199</v>
      </c>
      <c r="D236" s="299" t="s">
        <v>868</v>
      </c>
      <c r="E236" s="522">
        <v>51.84</v>
      </c>
      <c r="F236" s="522"/>
      <c r="G236" s="333">
        <f t="shared" si="5"/>
        <v>7381.7099999999864</v>
      </c>
      <c r="H236" s="334"/>
      <c r="I236" s="335"/>
      <c r="J236" s="336"/>
      <c r="K236" s="301"/>
      <c r="L236" s="336"/>
      <c r="M236" s="301"/>
      <c r="N236" s="336"/>
      <c r="O236" s="301"/>
      <c r="P236" s="336"/>
      <c r="Q236" s="301"/>
      <c r="R236" s="336"/>
      <c r="S236" s="301"/>
      <c r="T236" s="336"/>
    </row>
    <row r="237" spans="1:20" ht="12" customHeight="1" x14ac:dyDescent="0.3">
      <c r="A237" s="329" t="s">
        <v>289</v>
      </c>
      <c r="B237" s="330">
        <v>3</v>
      </c>
      <c r="C237" s="298">
        <v>46199</v>
      </c>
      <c r="D237" s="299" t="s">
        <v>296</v>
      </c>
      <c r="E237" s="522">
        <v>10.31</v>
      </c>
      <c r="F237" s="522"/>
      <c r="G237" s="333">
        <f t="shared" si="5"/>
        <v>7433.5499999999865</v>
      </c>
      <c r="H237" s="334"/>
      <c r="I237" s="335"/>
      <c r="J237" s="336"/>
      <c r="K237" s="301"/>
      <c r="L237" s="336"/>
      <c r="M237" s="301"/>
      <c r="N237" s="336"/>
      <c r="O237" s="301"/>
      <c r="P237" s="336"/>
      <c r="Q237" s="301"/>
      <c r="R237" s="336"/>
      <c r="S237" s="301"/>
      <c r="T237" s="336"/>
    </row>
    <row r="238" spans="1:20" ht="12" customHeight="1" x14ac:dyDescent="0.3">
      <c r="A238" s="329" t="s">
        <v>289</v>
      </c>
      <c r="B238" s="330">
        <v>4</v>
      </c>
      <c r="C238" s="298">
        <v>46199</v>
      </c>
      <c r="D238" s="299" t="s">
        <v>296</v>
      </c>
      <c r="E238" s="522">
        <v>87.14</v>
      </c>
      <c r="F238" s="522"/>
      <c r="G238" s="333">
        <f t="shared" si="5"/>
        <v>7443.8599999999869</v>
      </c>
      <c r="H238" s="334"/>
      <c r="I238" s="335"/>
      <c r="J238" s="336"/>
      <c r="K238" s="301"/>
      <c r="L238" s="336"/>
      <c r="M238" s="301"/>
      <c r="N238" s="336"/>
      <c r="O238" s="301"/>
      <c r="P238" s="336"/>
      <c r="Q238" s="301"/>
      <c r="R238" s="336"/>
      <c r="S238" s="301"/>
      <c r="T238" s="336"/>
    </row>
    <row r="239" spans="1:20" ht="12" customHeight="1" x14ac:dyDescent="0.3">
      <c r="A239" s="329" t="s">
        <v>289</v>
      </c>
      <c r="B239" s="330">
        <v>5</v>
      </c>
      <c r="C239" s="298">
        <v>46199</v>
      </c>
      <c r="D239" s="299" t="s">
        <v>940</v>
      </c>
      <c r="E239" s="522">
        <v>20</v>
      </c>
      <c r="F239" s="522"/>
      <c r="G239" s="333">
        <f t="shared" si="5"/>
        <v>7530.9999999999873</v>
      </c>
      <c r="H239" s="334"/>
      <c r="I239" s="335"/>
      <c r="J239" s="336"/>
      <c r="K239" s="301"/>
      <c r="L239" s="336"/>
      <c r="M239" s="301"/>
      <c r="N239" s="336"/>
      <c r="O239" s="301"/>
      <c r="P239" s="336"/>
      <c r="Q239" s="301"/>
      <c r="R239" s="336"/>
      <c r="S239" s="301"/>
      <c r="T239" s="336"/>
    </row>
    <row r="240" spans="1:20" ht="12" customHeight="1" x14ac:dyDescent="0.3">
      <c r="A240" s="329" t="s">
        <v>294</v>
      </c>
      <c r="B240" s="330">
        <v>12</v>
      </c>
      <c r="C240" s="298">
        <v>46198</v>
      </c>
      <c r="D240" s="299" t="s">
        <v>314</v>
      </c>
      <c r="E240" s="522">
        <v>204.48</v>
      </c>
      <c r="F240" s="522"/>
      <c r="G240" s="333">
        <f t="shared" si="5"/>
        <v>7550.9999999999873</v>
      </c>
      <c r="H240" s="334"/>
      <c r="I240" s="335"/>
      <c r="J240" s="336"/>
      <c r="K240" s="301"/>
      <c r="L240" s="336"/>
      <c r="M240" s="301"/>
      <c r="N240" s="336"/>
      <c r="O240" s="301"/>
      <c r="P240" s="336"/>
      <c r="Q240" s="301"/>
      <c r="R240" s="336"/>
      <c r="S240" s="301"/>
      <c r="T240" s="336"/>
    </row>
    <row r="241" spans="1:20" ht="12" customHeight="1" x14ac:dyDescent="0.3">
      <c r="A241" s="329" t="s">
        <v>291</v>
      </c>
      <c r="B241" s="330">
        <v>39</v>
      </c>
      <c r="C241" s="298">
        <v>46198</v>
      </c>
      <c r="D241" s="299" t="s">
        <v>292</v>
      </c>
      <c r="E241" s="522"/>
      <c r="F241" s="522">
        <v>2763.77</v>
      </c>
      <c r="G241" s="333">
        <f t="shared" si="5"/>
        <v>7755.4799999999868</v>
      </c>
      <c r="H241" s="334"/>
      <c r="I241" s="335"/>
      <c r="J241" s="336"/>
      <c r="K241" s="301"/>
      <c r="L241" s="336"/>
      <c r="M241" s="301"/>
      <c r="N241" s="336"/>
      <c r="O241" s="301"/>
      <c r="P241" s="336"/>
      <c r="Q241" s="301"/>
      <c r="R241" s="336"/>
      <c r="S241" s="301"/>
      <c r="T241" s="336"/>
    </row>
    <row r="242" spans="1:20" ht="12" customHeight="1" x14ac:dyDescent="0.3">
      <c r="A242" s="329" t="s">
        <v>289</v>
      </c>
      <c r="B242" s="330">
        <v>5</v>
      </c>
      <c r="C242" s="298">
        <v>46198</v>
      </c>
      <c r="D242" s="299" t="s">
        <v>846</v>
      </c>
      <c r="E242" s="522">
        <v>11.2</v>
      </c>
      <c r="F242" s="522"/>
      <c r="G242" s="333">
        <f t="shared" ref="G242:G262" si="6">G243-E242+F242</f>
        <v>4991.7099999999864</v>
      </c>
      <c r="H242" s="334"/>
      <c r="I242" s="335"/>
      <c r="J242" s="336"/>
      <c r="K242" s="301"/>
      <c r="L242" s="336"/>
      <c r="M242" s="301"/>
      <c r="N242" s="336"/>
      <c r="O242" s="301"/>
      <c r="P242" s="336"/>
      <c r="Q242" s="301"/>
      <c r="R242" s="336"/>
      <c r="S242" s="301"/>
      <c r="T242" s="336"/>
    </row>
    <row r="243" spans="1:20" ht="12" customHeight="1" x14ac:dyDescent="0.3">
      <c r="A243" s="329" t="s">
        <v>289</v>
      </c>
      <c r="B243" s="330">
        <v>2</v>
      </c>
      <c r="C243" s="298">
        <v>46197</v>
      </c>
      <c r="D243" s="299" t="s">
        <v>941</v>
      </c>
      <c r="E243" s="522">
        <v>15.99</v>
      </c>
      <c r="F243" s="522"/>
      <c r="G243" s="333">
        <f t="shared" si="6"/>
        <v>5002.9099999999862</v>
      </c>
      <c r="H243" s="334"/>
      <c r="I243" s="335"/>
      <c r="J243" s="336"/>
      <c r="K243" s="301"/>
      <c r="L243" s="336"/>
      <c r="M243" s="301"/>
      <c r="N243" s="336"/>
      <c r="O243" s="301"/>
      <c r="P243" s="336"/>
      <c r="Q243" s="301"/>
      <c r="R243" s="336"/>
      <c r="S243" s="301"/>
      <c r="T243" s="336"/>
    </row>
    <row r="244" spans="1:20" ht="12" customHeight="1" x14ac:dyDescent="0.3">
      <c r="A244" s="329" t="s">
        <v>289</v>
      </c>
      <c r="B244" s="330">
        <v>5</v>
      </c>
      <c r="C244" s="298">
        <v>46197</v>
      </c>
      <c r="D244" s="299" t="s">
        <v>340</v>
      </c>
      <c r="E244" s="522">
        <v>47.93</v>
      </c>
      <c r="F244" s="522"/>
      <c r="G244" s="333">
        <f t="shared" si="6"/>
        <v>5018.899999999986</v>
      </c>
      <c r="H244" s="334"/>
      <c r="I244" s="335"/>
      <c r="J244" s="336"/>
      <c r="K244" s="301"/>
      <c r="L244" s="336"/>
      <c r="M244" s="301"/>
      <c r="N244" s="336"/>
      <c r="O244" s="301"/>
      <c r="P244" s="336"/>
      <c r="Q244" s="301"/>
      <c r="R244" s="336"/>
      <c r="S244" s="301"/>
      <c r="T244" s="336"/>
    </row>
    <row r="245" spans="1:20" ht="12" customHeight="1" x14ac:dyDescent="0.3">
      <c r="A245" s="329" t="s">
        <v>294</v>
      </c>
      <c r="B245" s="330">
        <v>43</v>
      </c>
      <c r="C245" s="298">
        <v>46197</v>
      </c>
      <c r="D245" s="299" t="s">
        <v>201</v>
      </c>
      <c r="E245" s="522">
        <v>42.84</v>
      </c>
      <c r="F245" s="522"/>
      <c r="G245" s="333">
        <f t="shared" si="6"/>
        <v>5066.8299999999863</v>
      </c>
      <c r="H245" s="334"/>
      <c r="I245" s="335"/>
      <c r="J245" s="336"/>
      <c r="K245" s="301"/>
      <c r="L245" s="336"/>
      <c r="M245" s="301"/>
      <c r="N245" s="336"/>
      <c r="O245" s="301"/>
      <c r="P245" s="336"/>
      <c r="Q245" s="301"/>
      <c r="R245" s="336"/>
      <c r="S245" s="301"/>
      <c r="T245" s="336"/>
    </row>
    <row r="246" spans="1:20" ht="12" customHeight="1" x14ac:dyDescent="0.3">
      <c r="A246" s="329" t="s">
        <v>294</v>
      </c>
      <c r="B246" s="330">
        <v>42</v>
      </c>
      <c r="C246" s="298">
        <v>46197</v>
      </c>
      <c r="D246" s="299" t="s">
        <v>200</v>
      </c>
      <c r="E246" s="522">
        <v>99.4</v>
      </c>
      <c r="F246" s="522"/>
      <c r="G246" s="333">
        <f t="shared" si="6"/>
        <v>5109.6699999999864</v>
      </c>
      <c r="H246" s="334"/>
      <c r="I246" s="335"/>
      <c r="J246" s="336"/>
      <c r="K246" s="301"/>
      <c r="L246" s="336"/>
      <c r="M246" s="301"/>
      <c r="N246" s="336"/>
      <c r="O246" s="301"/>
      <c r="P246" s="336"/>
      <c r="Q246" s="301"/>
      <c r="R246" s="336"/>
      <c r="S246" s="301"/>
      <c r="T246" s="336"/>
    </row>
    <row r="247" spans="1:20" ht="12" customHeight="1" x14ac:dyDescent="0.3">
      <c r="A247" s="329" t="s">
        <v>289</v>
      </c>
      <c r="B247" s="330">
        <v>8</v>
      </c>
      <c r="C247" s="298">
        <v>46196</v>
      </c>
      <c r="D247" s="299" t="s">
        <v>319</v>
      </c>
      <c r="E247" s="522">
        <v>5.68</v>
      </c>
      <c r="F247" s="522"/>
      <c r="G247" s="333">
        <f t="shared" si="6"/>
        <v>5209.0699999999861</v>
      </c>
      <c r="H247" s="334"/>
      <c r="I247" s="335"/>
      <c r="J247" s="336"/>
      <c r="K247" s="301"/>
      <c r="L247" s="336"/>
      <c r="M247" s="301"/>
      <c r="N247" s="336"/>
      <c r="O247" s="301"/>
      <c r="P247" s="336"/>
      <c r="Q247" s="301"/>
      <c r="R247" s="336"/>
      <c r="S247" s="301"/>
      <c r="T247" s="336"/>
    </row>
    <row r="248" spans="1:20" ht="12" customHeight="1" x14ac:dyDescent="0.3">
      <c r="A248" s="329" t="s">
        <v>289</v>
      </c>
      <c r="B248" s="330">
        <v>1</v>
      </c>
      <c r="C248" s="298">
        <v>46196</v>
      </c>
      <c r="D248" s="299" t="s">
        <v>306</v>
      </c>
      <c r="E248" s="522">
        <v>167.73</v>
      </c>
      <c r="F248" s="522"/>
      <c r="G248" s="333">
        <f t="shared" si="6"/>
        <v>5214.7499999999864</v>
      </c>
      <c r="H248" s="334"/>
      <c r="I248" s="335"/>
      <c r="J248" s="336"/>
      <c r="K248" s="301"/>
      <c r="L248" s="336"/>
      <c r="M248" s="301"/>
      <c r="N248" s="336"/>
      <c r="O248" s="301"/>
      <c r="P248" s="336"/>
      <c r="Q248" s="301"/>
      <c r="R248" s="336"/>
      <c r="S248" s="301"/>
      <c r="T248" s="336"/>
    </row>
    <row r="249" spans="1:20" ht="12" customHeight="1" x14ac:dyDescent="0.3">
      <c r="A249" s="329" t="s">
        <v>289</v>
      </c>
      <c r="B249" s="330">
        <v>4</v>
      </c>
      <c r="C249" s="298">
        <v>46196</v>
      </c>
      <c r="D249" s="299" t="s">
        <v>296</v>
      </c>
      <c r="E249" s="522">
        <v>40.81</v>
      </c>
      <c r="F249" s="522"/>
      <c r="G249" s="333">
        <f t="shared" si="6"/>
        <v>5382.4799999999859</v>
      </c>
      <c r="H249" s="334"/>
      <c r="I249" s="335"/>
      <c r="J249" s="336"/>
      <c r="K249" s="301"/>
      <c r="L249" s="336"/>
      <c r="M249" s="301"/>
      <c r="N249" s="336"/>
      <c r="O249" s="301"/>
      <c r="P249" s="336"/>
      <c r="Q249" s="301"/>
      <c r="R249" s="336"/>
      <c r="S249" s="301"/>
      <c r="T249" s="336"/>
    </row>
    <row r="250" spans="1:20" ht="12" customHeight="1" x14ac:dyDescent="0.3">
      <c r="A250" s="329" t="s">
        <v>289</v>
      </c>
      <c r="B250" s="330">
        <v>2</v>
      </c>
      <c r="C250" s="298">
        <v>46196</v>
      </c>
      <c r="D250" s="299" t="s">
        <v>334</v>
      </c>
      <c r="E250" s="522">
        <v>17.68</v>
      </c>
      <c r="F250" s="522"/>
      <c r="G250" s="333">
        <f t="shared" si="6"/>
        <v>5423.2899999999863</v>
      </c>
      <c r="H250" s="334"/>
      <c r="I250" s="335"/>
      <c r="J250" s="336"/>
      <c r="K250" s="301"/>
      <c r="L250" s="336"/>
      <c r="M250" s="301"/>
      <c r="N250" s="336"/>
      <c r="O250" s="301"/>
      <c r="P250" s="336"/>
      <c r="Q250" s="301"/>
      <c r="R250" s="336"/>
      <c r="S250" s="301"/>
      <c r="T250" s="336"/>
    </row>
    <row r="251" spans="1:20" ht="12" customHeight="1" x14ac:dyDescent="0.3">
      <c r="A251" s="329" t="s">
        <v>289</v>
      </c>
      <c r="B251" s="330">
        <v>3</v>
      </c>
      <c r="C251" s="298">
        <v>46196</v>
      </c>
      <c r="D251" s="299" t="s">
        <v>320</v>
      </c>
      <c r="E251" s="522">
        <v>5.19</v>
      </c>
      <c r="F251" s="522"/>
      <c r="G251" s="333">
        <f t="shared" si="6"/>
        <v>5440.9699999999866</v>
      </c>
      <c r="H251" s="334"/>
      <c r="I251" s="335"/>
      <c r="J251" s="336"/>
      <c r="K251" s="301"/>
      <c r="L251" s="336"/>
      <c r="M251" s="301"/>
      <c r="N251" s="336"/>
      <c r="O251" s="301"/>
      <c r="P251" s="336"/>
      <c r="Q251" s="301"/>
      <c r="R251" s="336"/>
      <c r="S251" s="301"/>
      <c r="T251" s="336"/>
    </row>
    <row r="252" spans="1:20" ht="12" customHeight="1" x14ac:dyDescent="0.3">
      <c r="A252" s="329" t="s">
        <v>289</v>
      </c>
      <c r="B252" s="330">
        <v>8</v>
      </c>
      <c r="C252" s="298">
        <v>46196</v>
      </c>
      <c r="D252" s="299" t="s">
        <v>308</v>
      </c>
      <c r="E252" s="522">
        <v>71.75</v>
      </c>
      <c r="F252" s="522"/>
      <c r="G252" s="333">
        <f t="shared" si="6"/>
        <v>5446.1599999999862</v>
      </c>
      <c r="H252" s="334"/>
      <c r="I252" s="335"/>
      <c r="J252" s="336"/>
      <c r="K252" s="301"/>
      <c r="L252" s="336"/>
      <c r="M252" s="301"/>
      <c r="N252" s="336"/>
      <c r="O252" s="301"/>
      <c r="P252" s="336"/>
      <c r="Q252" s="301"/>
      <c r="R252" s="336"/>
      <c r="S252" s="301"/>
      <c r="T252" s="336"/>
    </row>
    <row r="253" spans="1:20" ht="12" customHeight="1" x14ac:dyDescent="0.3">
      <c r="A253" s="329" t="s">
        <v>294</v>
      </c>
      <c r="B253" s="330">
        <v>22</v>
      </c>
      <c r="C253" s="298">
        <v>46196</v>
      </c>
      <c r="D253" s="299" t="s">
        <v>835</v>
      </c>
      <c r="E253" s="522">
        <v>15.96</v>
      </c>
      <c r="F253" s="522"/>
      <c r="G253" s="333">
        <f t="shared" si="6"/>
        <v>5517.9099999999862</v>
      </c>
      <c r="H253" s="334"/>
      <c r="I253" s="335"/>
      <c r="J253" s="336"/>
      <c r="K253" s="301"/>
      <c r="L253" s="336"/>
      <c r="M253" s="301"/>
      <c r="N253" s="336"/>
      <c r="O253" s="301"/>
      <c r="P253" s="336"/>
      <c r="Q253" s="301"/>
      <c r="R253" s="336"/>
      <c r="S253" s="301"/>
      <c r="T253" s="336"/>
    </row>
    <row r="254" spans="1:20" ht="12" customHeight="1" x14ac:dyDescent="0.3">
      <c r="A254" s="329" t="s">
        <v>289</v>
      </c>
      <c r="B254" s="330">
        <v>2</v>
      </c>
      <c r="C254" s="298">
        <v>46195</v>
      </c>
      <c r="D254" s="299" t="s">
        <v>334</v>
      </c>
      <c r="E254" s="522">
        <v>7.89</v>
      </c>
      <c r="F254" s="522"/>
      <c r="G254" s="333">
        <f t="shared" si="6"/>
        <v>5533.8699999999862</v>
      </c>
      <c r="H254" s="334"/>
      <c r="I254" s="335"/>
      <c r="J254" s="336"/>
      <c r="K254" s="301"/>
      <c r="L254" s="336"/>
      <c r="M254" s="301"/>
      <c r="N254" s="336"/>
      <c r="O254" s="301"/>
      <c r="P254" s="336"/>
      <c r="Q254" s="301"/>
      <c r="R254" s="336"/>
      <c r="S254" s="301"/>
      <c r="T254" s="336"/>
    </row>
    <row r="255" spans="1:20" ht="12" customHeight="1" x14ac:dyDescent="0.3">
      <c r="A255" s="329" t="s">
        <v>287</v>
      </c>
      <c r="B255" s="330" t="s">
        <v>287</v>
      </c>
      <c r="C255" s="298">
        <v>46195</v>
      </c>
      <c r="D255" s="299" t="s">
        <v>939</v>
      </c>
      <c r="E255" s="522">
        <v>86.07</v>
      </c>
      <c r="F255" s="522">
        <v>86.07</v>
      </c>
      <c r="G255" s="333">
        <f t="shared" si="6"/>
        <v>5541.7599999999866</v>
      </c>
      <c r="H255" s="334"/>
      <c r="I255" s="335"/>
      <c r="J255" s="336"/>
      <c r="K255" s="301"/>
      <c r="L255" s="336"/>
      <c r="M255" s="301"/>
      <c r="N255" s="336"/>
      <c r="O255" s="301"/>
      <c r="P255" s="336"/>
      <c r="Q255" s="301"/>
      <c r="R255" s="336"/>
      <c r="S255" s="301"/>
      <c r="T255" s="336"/>
    </row>
    <row r="256" spans="1:20" ht="12" customHeight="1" x14ac:dyDescent="0.3">
      <c r="A256" s="329" t="s">
        <v>287</v>
      </c>
      <c r="B256" s="330" t="s">
        <v>287</v>
      </c>
      <c r="C256" s="298">
        <v>46195</v>
      </c>
      <c r="D256" s="299" t="s">
        <v>922</v>
      </c>
      <c r="E256" s="522">
        <v>14.98</v>
      </c>
      <c r="F256" s="522">
        <v>14.98</v>
      </c>
      <c r="G256" s="333">
        <f t="shared" si="6"/>
        <v>5541.7599999999866</v>
      </c>
      <c r="H256" s="334"/>
      <c r="I256" s="335"/>
      <c r="J256" s="336"/>
      <c r="K256" s="301"/>
      <c r="L256" s="336"/>
      <c r="M256" s="301"/>
      <c r="N256" s="336"/>
      <c r="O256" s="301"/>
      <c r="P256" s="336"/>
      <c r="Q256" s="301"/>
      <c r="R256" s="336"/>
      <c r="S256" s="301"/>
      <c r="T256" s="336"/>
    </row>
    <row r="257" spans="1:20" ht="12" customHeight="1" x14ac:dyDescent="0.3">
      <c r="A257" s="329" t="s">
        <v>287</v>
      </c>
      <c r="B257" s="330" t="s">
        <v>287</v>
      </c>
      <c r="C257" s="298">
        <v>46195</v>
      </c>
      <c r="D257" s="299" t="s">
        <v>936</v>
      </c>
      <c r="E257" s="522">
        <v>83.52</v>
      </c>
      <c r="F257" s="522">
        <v>83.52</v>
      </c>
      <c r="G257" s="333">
        <f t="shared" si="6"/>
        <v>5541.7599999999866</v>
      </c>
      <c r="H257" s="334"/>
      <c r="I257" s="335"/>
      <c r="J257" s="336"/>
      <c r="K257" s="301"/>
      <c r="L257" s="336"/>
      <c r="M257" s="301"/>
      <c r="N257" s="336"/>
      <c r="O257" s="301"/>
      <c r="P257" s="336"/>
      <c r="Q257" s="301"/>
      <c r="R257" s="336"/>
      <c r="S257" s="301"/>
      <c r="T257" s="336"/>
    </row>
    <row r="258" spans="1:20" ht="12" customHeight="1" x14ac:dyDescent="0.3">
      <c r="A258" s="329" t="s">
        <v>287</v>
      </c>
      <c r="B258" s="330" t="s">
        <v>287</v>
      </c>
      <c r="C258" s="298">
        <v>46195</v>
      </c>
      <c r="D258" s="299" t="s">
        <v>937</v>
      </c>
      <c r="E258" s="522">
        <v>62.19</v>
      </c>
      <c r="F258" s="522">
        <v>62.19</v>
      </c>
      <c r="G258" s="333">
        <f t="shared" si="6"/>
        <v>5541.7599999999866</v>
      </c>
      <c r="H258" s="334"/>
      <c r="I258" s="335"/>
      <c r="J258" s="336"/>
      <c r="K258" s="301"/>
      <c r="L258" s="336"/>
      <c r="M258" s="301"/>
      <c r="N258" s="336"/>
      <c r="O258" s="301"/>
      <c r="P258" s="336"/>
      <c r="Q258" s="301"/>
      <c r="R258" s="336"/>
      <c r="S258" s="301"/>
      <c r="T258" s="336"/>
    </row>
    <row r="259" spans="1:20" ht="12" customHeight="1" x14ac:dyDescent="0.3">
      <c r="A259" s="329" t="s">
        <v>289</v>
      </c>
      <c r="B259" s="330">
        <v>3</v>
      </c>
      <c r="C259" s="298">
        <v>46195</v>
      </c>
      <c r="D259" s="299" t="s">
        <v>310</v>
      </c>
      <c r="E259" s="522">
        <v>6.99</v>
      </c>
      <c r="F259" s="522"/>
      <c r="G259" s="333">
        <f t="shared" si="6"/>
        <v>5541.7599999999866</v>
      </c>
      <c r="H259" s="334"/>
      <c r="I259" s="335"/>
      <c r="J259" s="336"/>
      <c r="K259" s="301"/>
      <c r="L259" s="336"/>
      <c r="M259" s="301"/>
      <c r="N259" s="336"/>
      <c r="O259" s="301"/>
      <c r="P259" s="336"/>
      <c r="Q259" s="301"/>
      <c r="R259" s="336"/>
      <c r="S259" s="301"/>
      <c r="T259" s="336"/>
    </row>
    <row r="260" spans="1:20" ht="12" customHeight="1" x14ac:dyDescent="0.3">
      <c r="A260" s="329" t="s">
        <v>287</v>
      </c>
      <c r="B260" s="330" t="s">
        <v>287</v>
      </c>
      <c r="C260" s="298">
        <v>46195</v>
      </c>
      <c r="D260" s="299" t="s">
        <v>938</v>
      </c>
      <c r="E260" s="522">
        <v>60.47</v>
      </c>
      <c r="F260" s="522">
        <v>60.47</v>
      </c>
      <c r="G260" s="333">
        <f t="shared" si="6"/>
        <v>5548.7499999999864</v>
      </c>
      <c r="H260" s="334"/>
      <c r="I260" s="335"/>
      <c r="J260" s="336"/>
      <c r="K260" s="301"/>
      <c r="L260" s="336"/>
      <c r="M260" s="301"/>
      <c r="N260" s="336"/>
      <c r="O260" s="301"/>
      <c r="P260" s="336"/>
      <c r="Q260" s="301"/>
      <c r="R260" s="336"/>
      <c r="S260" s="301"/>
      <c r="T260" s="336"/>
    </row>
    <row r="261" spans="1:20" ht="12" customHeight="1" x14ac:dyDescent="0.3">
      <c r="A261" s="329" t="s">
        <v>294</v>
      </c>
      <c r="B261" s="330">
        <v>22</v>
      </c>
      <c r="C261" s="298">
        <v>46195</v>
      </c>
      <c r="D261" s="299" t="s">
        <v>323</v>
      </c>
      <c r="E261" s="522">
        <v>20.22</v>
      </c>
      <c r="F261" s="522"/>
      <c r="G261" s="333">
        <f t="shared" si="6"/>
        <v>5548.7499999999864</v>
      </c>
      <c r="H261" s="334"/>
      <c r="I261" s="335"/>
      <c r="J261" s="336"/>
      <c r="K261" s="301"/>
      <c r="L261" s="336"/>
      <c r="M261" s="301"/>
      <c r="N261" s="336"/>
      <c r="O261" s="301"/>
      <c r="P261" s="336"/>
      <c r="Q261" s="301"/>
      <c r="R261" s="336"/>
      <c r="S261" s="301"/>
      <c r="T261" s="336"/>
    </row>
    <row r="262" spans="1:20" ht="12" customHeight="1" x14ac:dyDescent="0.3">
      <c r="A262" s="329" t="s">
        <v>289</v>
      </c>
      <c r="B262" s="330">
        <v>6</v>
      </c>
      <c r="C262" s="298">
        <v>46195</v>
      </c>
      <c r="D262" s="299" t="s">
        <v>919</v>
      </c>
      <c r="E262" s="522">
        <v>200</v>
      </c>
      <c r="F262" s="522"/>
      <c r="G262" s="333">
        <f t="shared" si="6"/>
        <v>5568.9699999999866</v>
      </c>
      <c r="H262" s="334"/>
      <c r="I262" s="335"/>
      <c r="J262" s="336"/>
      <c r="K262" s="301"/>
      <c r="L262" s="336"/>
      <c r="M262" s="301"/>
      <c r="N262" s="336"/>
      <c r="O262" s="301"/>
      <c r="P262" s="336"/>
      <c r="Q262" s="301"/>
      <c r="R262" s="336"/>
      <c r="S262" s="301"/>
      <c r="T262" s="336"/>
    </row>
    <row r="263" spans="1:20" ht="12" customHeight="1" x14ac:dyDescent="0.3">
      <c r="A263" s="329" t="s">
        <v>289</v>
      </c>
      <c r="B263" s="330">
        <v>5</v>
      </c>
      <c r="C263" s="298">
        <v>46194</v>
      </c>
      <c r="D263" s="299" t="s">
        <v>340</v>
      </c>
      <c r="E263" s="522">
        <v>47.93</v>
      </c>
      <c r="F263" s="522"/>
      <c r="G263" s="333">
        <f t="shared" ref="G263:G283" si="7">G264-E263+F263</f>
        <v>5768.9699999999866</v>
      </c>
      <c r="H263" s="334"/>
      <c r="I263" s="335"/>
      <c r="J263" s="336"/>
      <c r="K263" s="301"/>
      <c r="L263" s="336"/>
      <c r="M263" s="301"/>
      <c r="N263" s="336"/>
      <c r="O263" s="301"/>
      <c r="P263" s="336"/>
      <c r="Q263" s="301"/>
      <c r="R263" s="336"/>
      <c r="S263" s="301"/>
      <c r="T263" s="336"/>
    </row>
    <row r="264" spans="1:20" ht="12" customHeight="1" x14ac:dyDescent="0.3">
      <c r="A264" s="329" t="s">
        <v>287</v>
      </c>
      <c r="B264" s="330" t="s">
        <v>287</v>
      </c>
      <c r="C264" s="298">
        <v>46194</v>
      </c>
      <c r="D264" s="299" t="s">
        <v>935</v>
      </c>
      <c r="E264" s="522"/>
      <c r="F264" s="522">
        <v>50</v>
      </c>
      <c r="G264" s="333">
        <f t="shared" si="7"/>
        <v>5816.8999999999869</v>
      </c>
      <c r="H264" s="334"/>
      <c r="I264" s="335"/>
      <c r="J264" s="336"/>
      <c r="K264" s="301"/>
      <c r="L264" s="336"/>
      <c r="M264" s="301"/>
      <c r="N264" s="336"/>
      <c r="O264" s="301"/>
      <c r="P264" s="336"/>
      <c r="Q264" s="301"/>
      <c r="R264" s="336"/>
      <c r="S264" s="301"/>
      <c r="T264" s="336"/>
    </row>
    <row r="265" spans="1:20" ht="12" customHeight="1" x14ac:dyDescent="0.3">
      <c r="A265" s="329" t="s">
        <v>287</v>
      </c>
      <c r="B265" s="330" t="s">
        <v>287</v>
      </c>
      <c r="C265" s="298">
        <v>46194</v>
      </c>
      <c r="D265" s="299" t="s">
        <v>935</v>
      </c>
      <c r="E265" s="522">
        <v>50</v>
      </c>
      <c r="F265" s="522"/>
      <c r="G265" s="333">
        <f t="shared" si="7"/>
        <v>5766.8999999999869</v>
      </c>
      <c r="H265" s="334" t="s">
        <v>298</v>
      </c>
      <c r="I265" s="335"/>
      <c r="J265" s="336"/>
      <c r="K265" s="301"/>
      <c r="L265" s="336"/>
      <c r="M265" s="301"/>
      <c r="N265" s="336"/>
      <c r="O265" s="301"/>
      <c r="P265" s="336"/>
      <c r="Q265" s="301"/>
      <c r="R265" s="336"/>
      <c r="S265" s="301"/>
      <c r="T265" s="336"/>
    </row>
    <row r="266" spans="1:20" ht="12" customHeight="1" x14ac:dyDescent="0.3">
      <c r="A266" s="329" t="s">
        <v>287</v>
      </c>
      <c r="B266" s="330" t="s">
        <v>287</v>
      </c>
      <c r="C266" s="298">
        <v>46194</v>
      </c>
      <c r="D266" s="299" t="s">
        <v>922</v>
      </c>
      <c r="E266" s="522">
        <v>28.38</v>
      </c>
      <c r="F266" s="522">
        <v>28.38</v>
      </c>
      <c r="G266" s="333">
        <f t="shared" si="7"/>
        <v>5816.8999999999869</v>
      </c>
      <c r="H266" s="334"/>
      <c r="I266" s="335"/>
      <c r="J266" s="336"/>
      <c r="K266" s="301"/>
      <c r="L266" s="336"/>
      <c r="M266" s="301"/>
      <c r="N266" s="336"/>
      <c r="O266" s="301"/>
      <c r="P266" s="336"/>
      <c r="Q266" s="301"/>
      <c r="R266" s="336"/>
      <c r="S266" s="301"/>
      <c r="T266" s="336"/>
    </row>
    <row r="267" spans="1:20" ht="12" customHeight="1" x14ac:dyDescent="0.3">
      <c r="A267" s="329" t="s">
        <v>287</v>
      </c>
      <c r="B267" s="330" t="s">
        <v>287</v>
      </c>
      <c r="C267" s="298">
        <v>46194</v>
      </c>
      <c r="D267" s="299" t="s">
        <v>920</v>
      </c>
      <c r="E267" s="522">
        <v>35.020000000000003</v>
      </c>
      <c r="F267" s="522">
        <v>35.020000000000003</v>
      </c>
      <c r="G267" s="333">
        <f t="shared" si="7"/>
        <v>5816.8999999999869</v>
      </c>
      <c r="H267" s="334"/>
      <c r="I267" s="335"/>
      <c r="J267" s="336"/>
      <c r="K267" s="301"/>
      <c r="L267" s="336"/>
      <c r="M267" s="301"/>
      <c r="N267" s="336"/>
      <c r="O267" s="301"/>
      <c r="P267" s="336"/>
      <c r="Q267" s="301"/>
      <c r="R267" s="336"/>
      <c r="S267" s="301"/>
      <c r="T267" s="336"/>
    </row>
    <row r="268" spans="1:20" ht="12" customHeight="1" x14ac:dyDescent="0.3">
      <c r="A268" s="329" t="s">
        <v>287</v>
      </c>
      <c r="B268" s="330" t="s">
        <v>287</v>
      </c>
      <c r="C268" s="298">
        <v>46194</v>
      </c>
      <c r="D268" s="299" t="s">
        <v>927</v>
      </c>
      <c r="E268" s="522">
        <v>83.81</v>
      </c>
      <c r="F268" s="522">
        <v>83.81</v>
      </c>
      <c r="G268" s="333">
        <f t="shared" si="7"/>
        <v>5816.8999999999869</v>
      </c>
      <c r="H268" s="334"/>
      <c r="I268" s="335"/>
      <c r="J268" s="336"/>
      <c r="K268" s="301"/>
      <c r="L268" s="336"/>
      <c r="M268" s="301"/>
      <c r="N268" s="336"/>
      <c r="O268" s="301"/>
      <c r="P268" s="336"/>
      <c r="Q268" s="301"/>
      <c r="R268" s="336"/>
      <c r="S268" s="301"/>
      <c r="T268" s="336"/>
    </row>
    <row r="269" spans="1:20" ht="12" customHeight="1" x14ac:dyDescent="0.3">
      <c r="A269" s="329" t="s">
        <v>287</v>
      </c>
      <c r="B269" s="330" t="s">
        <v>287</v>
      </c>
      <c r="C269" s="298">
        <v>46194</v>
      </c>
      <c r="D269" s="299" t="s">
        <v>928</v>
      </c>
      <c r="E269" s="522">
        <v>27.43</v>
      </c>
      <c r="F269" s="522">
        <v>27.43</v>
      </c>
      <c r="G269" s="333">
        <f t="shared" si="7"/>
        <v>5816.8999999999869</v>
      </c>
      <c r="H269" s="334"/>
      <c r="I269" s="335"/>
      <c r="J269" s="336"/>
      <c r="K269" s="301"/>
      <c r="L269" s="336"/>
      <c r="M269" s="301"/>
      <c r="N269" s="336"/>
      <c r="O269" s="301"/>
      <c r="P269" s="336"/>
      <c r="Q269" s="301"/>
      <c r="R269" s="336"/>
      <c r="S269" s="301"/>
      <c r="T269" s="336"/>
    </row>
    <row r="270" spans="1:20" ht="12" customHeight="1" x14ac:dyDescent="0.3">
      <c r="A270" s="329" t="s">
        <v>287</v>
      </c>
      <c r="B270" s="330" t="s">
        <v>287</v>
      </c>
      <c r="C270" s="298">
        <v>46193</v>
      </c>
      <c r="D270" s="299" t="s">
        <v>932</v>
      </c>
      <c r="E270" s="522">
        <v>30.86</v>
      </c>
      <c r="F270" s="522">
        <v>30.86</v>
      </c>
      <c r="G270" s="333">
        <f t="shared" si="7"/>
        <v>5816.8999999999869</v>
      </c>
      <c r="H270" s="334"/>
      <c r="I270" s="335"/>
      <c r="J270" s="336"/>
      <c r="K270" s="301"/>
      <c r="L270" s="336"/>
      <c r="M270" s="301"/>
      <c r="N270" s="336"/>
      <c r="O270" s="301"/>
      <c r="P270" s="336"/>
      <c r="Q270" s="301"/>
      <c r="R270" s="336"/>
      <c r="S270" s="301"/>
      <c r="T270" s="336"/>
    </row>
    <row r="271" spans="1:20" ht="12" customHeight="1" x14ac:dyDescent="0.3">
      <c r="A271" s="329" t="s">
        <v>287</v>
      </c>
      <c r="B271" s="330" t="s">
        <v>287</v>
      </c>
      <c r="C271" s="298">
        <v>46193</v>
      </c>
      <c r="D271" s="299" t="s">
        <v>922</v>
      </c>
      <c r="E271" s="522">
        <v>13.95</v>
      </c>
      <c r="F271" s="522">
        <v>13.95</v>
      </c>
      <c r="G271" s="333">
        <f t="shared" si="7"/>
        <v>5816.8999999999869</v>
      </c>
      <c r="H271" s="334"/>
      <c r="I271" s="335"/>
      <c r="J271" s="336"/>
      <c r="K271" s="301"/>
      <c r="L271" s="336"/>
      <c r="M271" s="301"/>
      <c r="N271" s="336"/>
      <c r="O271" s="301"/>
      <c r="P271" s="336"/>
      <c r="Q271" s="301"/>
      <c r="R271" s="336"/>
      <c r="S271" s="301"/>
      <c r="T271" s="336"/>
    </row>
    <row r="272" spans="1:20" ht="12" customHeight="1" x14ac:dyDescent="0.3">
      <c r="A272" s="329" t="s">
        <v>287</v>
      </c>
      <c r="B272" s="330" t="s">
        <v>287</v>
      </c>
      <c r="C272" s="298">
        <v>46192</v>
      </c>
      <c r="D272" s="299" t="s">
        <v>934</v>
      </c>
      <c r="E272" s="522">
        <v>148.54</v>
      </c>
      <c r="F272" s="522">
        <v>148.54</v>
      </c>
      <c r="G272" s="333">
        <f t="shared" si="7"/>
        <v>5816.8999999999869</v>
      </c>
      <c r="H272" s="334"/>
      <c r="I272" s="335"/>
      <c r="J272" s="336"/>
      <c r="K272" s="301"/>
      <c r="L272" s="336"/>
      <c r="M272" s="301"/>
      <c r="N272" s="336"/>
      <c r="O272" s="301"/>
      <c r="P272" s="336"/>
      <c r="Q272" s="301"/>
      <c r="R272" s="336"/>
      <c r="S272" s="301"/>
      <c r="T272" s="336"/>
    </row>
    <row r="273" spans="1:20" ht="12" customHeight="1" x14ac:dyDescent="0.3">
      <c r="A273" s="329" t="s">
        <v>287</v>
      </c>
      <c r="B273" s="330" t="s">
        <v>287</v>
      </c>
      <c r="C273" s="298">
        <v>46192</v>
      </c>
      <c r="D273" s="299" t="s">
        <v>921</v>
      </c>
      <c r="E273" s="522">
        <v>80</v>
      </c>
      <c r="F273" s="522">
        <v>80</v>
      </c>
      <c r="G273" s="333">
        <f t="shared" si="7"/>
        <v>5816.8999999999869</v>
      </c>
      <c r="H273" s="334"/>
      <c r="I273" s="335"/>
      <c r="J273" s="336"/>
      <c r="K273" s="301"/>
      <c r="L273" s="336"/>
      <c r="M273" s="301"/>
      <c r="N273" s="336"/>
      <c r="O273" s="301"/>
      <c r="P273" s="336"/>
      <c r="Q273" s="301"/>
      <c r="R273" s="336"/>
      <c r="S273" s="301"/>
      <c r="T273" s="336"/>
    </row>
    <row r="274" spans="1:20" ht="12" customHeight="1" x14ac:dyDescent="0.3">
      <c r="A274" s="329" t="s">
        <v>287</v>
      </c>
      <c r="B274" s="330" t="s">
        <v>287</v>
      </c>
      <c r="C274" s="298">
        <v>46192</v>
      </c>
      <c r="D274" s="299" t="s">
        <v>922</v>
      </c>
      <c r="E274" s="522">
        <v>27.98</v>
      </c>
      <c r="F274" s="522">
        <v>27.98</v>
      </c>
      <c r="G274" s="333">
        <f t="shared" si="7"/>
        <v>5816.8999999999869</v>
      </c>
      <c r="H274" s="334"/>
      <c r="I274" s="335"/>
      <c r="J274" s="336"/>
      <c r="K274" s="301"/>
      <c r="L274" s="336"/>
      <c r="M274" s="301"/>
      <c r="N274" s="336"/>
      <c r="O274" s="301"/>
      <c r="P274" s="336"/>
      <c r="Q274" s="301"/>
      <c r="R274" s="336"/>
      <c r="S274" s="301"/>
      <c r="T274" s="336"/>
    </row>
    <row r="275" spans="1:20" ht="12" customHeight="1" x14ac:dyDescent="0.3">
      <c r="A275" s="329" t="s">
        <v>287</v>
      </c>
      <c r="B275" s="330" t="s">
        <v>287</v>
      </c>
      <c r="C275" s="298">
        <v>46192</v>
      </c>
      <c r="D275" s="299" t="s">
        <v>933</v>
      </c>
      <c r="E275" s="522">
        <v>30.63</v>
      </c>
      <c r="F275" s="522">
        <v>30.63</v>
      </c>
      <c r="G275" s="333">
        <f t="shared" si="7"/>
        <v>5816.8999999999869</v>
      </c>
      <c r="H275" s="334"/>
      <c r="I275" s="335"/>
      <c r="J275" s="336"/>
      <c r="K275" s="301"/>
      <c r="L275" s="336"/>
      <c r="M275" s="301"/>
      <c r="N275" s="336"/>
      <c r="O275" s="301"/>
      <c r="P275" s="336"/>
      <c r="Q275" s="301"/>
      <c r="R275" s="336"/>
      <c r="S275" s="301"/>
      <c r="T275" s="336"/>
    </row>
    <row r="276" spans="1:20" ht="12" customHeight="1" x14ac:dyDescent="0.3">
      <c r="A276" s="329" t="s">
        <v>294</v>
      </c>
      <c r="B276" s="330">
        <v>22</v>
      </c>
      <c r="C276" s="298">
        <v>46192</v>
      </c>
      <c r="D276" s="299" t="s">
        <v>923</v>
      </c>
      <c r="E276" s="522">
        <v>7.46</v>
      </c>
      <c r="F276" s="522"/>
      <c r="G276" s="333">
        <f t="shared" si="7"/>
        <v>5816.8999999999869</v>
      </c>
      <c r="H276" s="334"/>
      <c r="I276" s="335"/>
      <c r="J276" s="336"/>
      <c r="K276" s="301"/>
      <c r="L276" s="336"/>
      <c r="M276" s="301"/>
      <c r="N276" s="336"/>
      <c r="O276" s="301"/>
      <c r="P276" s="336"/>
      <c r="Q276" s="301"/>
      <c r="R276" s="336"/>
      <c r="S276" s="301"/>
      <c r="T276" s="336"/>
    </row>
    <row r="277" spans="1:20" ht="12" customHeight="1" x14ac:dyDescent="0.3">
      <c r="A277" s="329" t="s">
        <v>287</v>
      </c>
      <c r="B277" s="330" t="s">
        <v>287</v>
      </c>
      <c r="C277" s="298">
        <v>46192</v>
      </c>
      <c r="D277" s="299" t="s">
        <v>924</v>
      </c>
      <c r="E277" s="522">
        <v>22.07</v>
      </c>
      <c r="F277" s="522">
        <v>22.07</v>
      </c>
      <c r="G277" s="333">
        <f t="shared" si="7"/>
        <v>5824.3599999999869</v>
      </c>
      <c r="H277" s="334"/>
      <c r="I277" s="335"/>
      <c r="J277" s="336"/>
      <c r="K277" s="301"/>
      <c r="L277" s="336"/>
      <c r="M277" s="301"/>
      <c r="N277" s="336"/>
      <c r="O277" s="301"/>
      <c r="P277" s="336"/>
      <c r="Q277" s="301"/>
      <c r="R277" s="336"/>
      <c r="S277" s="301"/>
      <c r="T277" s="336"/>
    </row>
    <row r="278" spans="1:20" ht="12" customHeight="1" x14ac:dyDescent="0.3">
      <c r="A278" s="329" t="s">
        <v>287</v>
      </c>
      <c r="B278" s="330" t="s">
        <v>287</v>
      </c>
      <c r="C278" s="298">
        <v>46192</v>
      </c>
      <c r="D278" s="299" t="s">
        <v>924</v>
      </c>
      <c r="E278" s="522">
        <v>51.04</v>
      </c>
      <c r="F278" s="522">
        <v>51.04</v>
      </c>
      <c r="G278" s="333">
        <f t="shared" si="7"/>
        <v>5824.3599999999869</v>
      </c>
      <c r="H278" s="334"/>
      <c r="I278" s="335"/>
      <c r="J278" s="336"/>
      <c r="K278" s="301"/>
      <c r="L278" s="336"/>
      <c r="M278" s="301"/>
      <c r="N278" s="336"/>
      <c r="O278" s="301"/>
      <c r="P278" s="336"/>
      <c r="Q278" s="301"/>
      <c r="R278" s="336"/>
      <c r="S278" s="301"/>
      <c r="T278" s="336"/>
    </row>
    <row r="279" spans="1:20" ht="12" customHeight="1" x14ac:dyDescent="0.3">
      <c r="A279" s="329" t="s">
        <v>287</v>
      </c>
      <c r="B279" s="330" t="s">
        <v>287</v>
      </c>
      <c r="C279" s="298">
        <v>46192</v>
      </c>
      <c r="D279" s="299" t="s">
        <v>924</v>
      </c>
      <c r="E279" s="522">
        <v>90.59</v>
      </c>
      <c r="F279" s="522">
        <v>90.59</v>
      </c>
      <c r="G279" s="333">
        <f t="shared" si="7"/>
        <v>5824.3599999999869</v>
      </c>
      <c r="H279" s="334"/>
      <c r="I279" s="335"/>
      <c r="J279" s="336"/>
      <c r="K279" s="301"/>
      <c r="L279" s="336"/>
      <c r="M279" s="301"/>
      <c r="N279" s="336"/>
      <c r="O279" s="301"/>
      <c r="P279" s="336"/>
      <c r="Q279" s="301"/>
      <c r="R279" s="336"/>
      <c r="S279" s="301"/>
      <c r="T279" s="336"/>
    </row>
    <row r="280" spans="1:20" ht="12" customHeight="1" x14ac:dyDescent="0.3">
      <c r="A280" s="329" t="s">
        <v>287</v>
      </c>
      <c r="B280" s="330" t="s">
        <v>287</v>
      </c>
      <c r="C280" s="298">
        <v>46192</v>
      </c>
      <c r="D280" s="299" t="s">
        <v>925</v>
      </c>
      <c r="E280" s="522">
        <v>26.02</v>
      </c>
      <c r="F280" s="522">
        <v>26.02</v>
      </c>
      <c r="G280" s="333">
        <f t="shared" si="7"/>
        <v>5824.3599999999869</v>
      </c>
      <c r="H280" s="334"/>
      <c r="I280" s="335"/>
      <c r="J280" s="336"/>
      <c r="K280" s="301"/>
      <c r="L280" s="336"/>
      <c r="M280" s="301"/>
      <c r="N280" s="336"/>
      <c r="O280" s="301"/>
      <c r="P280" s="336"/>
      <c r="Q280" s="301"/>
      <c r="R280" s="336"/>
      <c r="S280" s="301"/>
      <c r="T280" s="336"/>
    </row>
    <row r="281" spans="1:20" ht="12" customHeight="1" x14ac:dyDescent="0.3">
      <c r="A281" s="329" t="s">
        <v>287</v>
      </c>
      <c r="B281" s="330" t="s">
        <v>287</v>
      </c>
      <c r="C281" s="298">
        <v>46192</v>
      </c>
      <c r="D281" s="299" t="s">
        <v>925</v>
      </c>
      <c r="E281" s="522">
        <v>26.02</v>
      </c>
      <c r="F281" s="522">
        <v>26.02</v>
      </c>
      <c r="G281" s="333">
        <f t="shared" si="7"/>
        <v>5824.3599999999869</v>
      </c>
      <c r="H281" s="334"/>
      <c r="I281" s="335"/>
      <c r="J281" s="336"/>
      <c r="K281" s="301"/>
      <c r="L281" s="336"/>
      <c r="M281" s="301"/>
      <c r="N281" s="336"/>
      <c r="O281" s="301"/>
      <c r="P281" s="336"/>
      <c r="Q281" s="301"/>
      <c r="R281" s="336"/>
      <c r="S281" s="301"/>
      <c r="T281" s="336"/>
    </row>
    <row r="282" spans="1:20" ht="12" customHeight="1" x14ac:dyDescent="0.3">
      <c r="A282" s="329" t="s">
        <v>287</v>
      </c>
      <c r="B282" s="330" t="s">
        <v>287</v>
      </c>
      <c r="C282" s="298">
        <v>46192</v>
      </c>
      <c r="D282" s="299" t="s">
        <v>925</v>
      </c>
      <c r="E282" s="522">
        <v>38.03</v>
      </c>
      <c r="F282" s="522">
        <v>38.03</v>
      </c>
      <c r="G282" s="333">
        <f t="shared" si="7"/>
        <v>5824.3599999999869</v>
      </c>
      <c r="H282" s="334"/>
      <c r="I282" s="335"/>
      <c r="J282" s="336"/>
      <c r="K282" s="301"/>
      <c r="L282" s="336"/>
      <c r="M282" s="301"/>
      <c r="N282" s="336"/>
      <c r="O282" s="301"/>
      <c r="P282" s="336"/>
      <c r="Q282" s="301"/>
      <c r="R282" s="336"/>
      <c r="S282" s="301"/>
      <c r="T282" s="336"/>
    </row>
    <row r="283" spans="1:20" ht="12" customHeight="1" x14ac:dyDescent="0.3">
      <c r="A283" s="329" t="s">
        <v>287</v>
      </c>
      <c r="B283" s="330" t="s">
        <v>287</v>
      </c>
      <c r="C283" s="298">
        <v>46192</v>
      </c>
      <c r="D283" s="299" t="s">
        <v>925</v>
      </c>
      <c r="E283" s="522">
        <v>26.03</v>
      </c>
      <c r="F283" s="522">
        <v>26.03</v>
      </c>
      <c r="G283" s="333">
        <f t="shared" si="7"/>
        <v>5824.3599999999869</v>
      </c>
      <c r="H283" s="334"/>
      <c r="I283" s="335"/>
      <c r="J283" s="336"/>
      <c r="K283" s="301"/>
      <c r="L283" s="336"/>
      <c r="M283" s="301"/>
      <c r="N283" s="336"/>
      <c r="O283" s="301"/>
      <c r="P283" s="336"/>
      <c r="Q283" s="301"/>
      <c r="R283" s="336"/>
      <c r="S283" s="301"/>
      <c r="T283" s="336"/>
    </row>
    <row r="284" spans="1:20" ht="12" customHeight="1" x14ac:dyDescent="0.3">
      <c r="A284" s="329" t="s">
        <v>287</v>
      </c>
      <c r="B284" s="330" t="s">
        <v>287</v>
      </c>
      <c r="C284" s="298">
        <v>46192</v>
      </c>
      <c r="D284" s="299" t="s">
        <v>922</v>
      </c>
      <c r="E284" s="522">
        <v>21.98</v>
      </c>
      <c r="F284" s="522">
        <v>21.98</v>
      </c>
      <c r="G284" s="333">
        <f t="shared" ref="G284:G341" si="8">G285-E284+F284</f>
        <v>5824.3599999999869</v>
      </c>
      <c r="H284" s="334"/>
      <c r="I284" s="335"/>
      <c r="J284" s="336"/>
      <c r="K284" s="301"/>
      <c r="L284" s="336"/>
      <c r="M284" s="301"/>
      <c r="N284" s="336"/>
      <c r="O284" s="301"/>
      <c r="P284" s="336"/>
      <c r="Q284" s="301"/>
      <c r="R284" s="336"/>
      <c r="S284" s="301"/>
      <c r="T284" s="336"/>
    </row>
    <row r="285" spans="1:20" ht="12" customHeight="1" x14ac:dyDescent="0.3">
      <c r="A285" s="329" t="s">
        <v>287</v>
      </c>
      <c r="B285" s="330" t="s">
        <v>287</v>
      </c>
      <c r="C285" s="298">
        <v>46192</v>
      </c>
      <c r="D285" s="299" t="s">
        <v>922</v>
      </c>
      <c r="E285" s="522">
        <v>27.99</v>
      </c>
      <c r="F285" s="522">
        <v>27.99</v>
      </c>
      <c r="G285" s="333">
        <f t="shared" si="8"/>
        <v>5824.3599999999869</v>
      </c>
      <c r="H285" s="334"/>
      <c r="I285" s="335"/>
      <c r="J285" s="336"/>
      <c r="K285" s="301"/>
      <c r="L285" s="336"/>
      <c r="M285" s="301"/>
      <c r="N285" s="336"/>
      <c r="O285" s="301"/>
      <c r="P285" s="336"/>
      <c r="Q285" s="301"/>
      <c r="R285" s="336"/>
      <c r="S285" s="301"/>
      <c r="T285" s="336"/>
    </row>
    <row r="286" spans="1:20" ht="12" customHeight="1" x14ac:dyDescent="0.3">
      <c r="A286" s="329" t="s">
        <v>287</v>
      </c>
      <c r="B286" s="330" t="s">
        <v>287</v>
      </c>
      <c r="C286" s="298">
        <v>46191</v>
      </c>
      <c r="D286" s="299" t="s">
        <v>926</v>
      </c>
      <c r="E286" s="522">
        <v>22.69</v>
      </c>
      <c r="F286" s="522">
        <v>22.69</v>
      </c>
      <c r="G286" s="333">
        <f t="shared" si="8"/>
        <v>5824.3599999999869</v>
      </c>
      <c r="H286" s="334"/>
      <c r="I286" s="335"/>
      <c r="J286" s="336"/>
      <c r="K286" s="301"/>
      <c r="L286" s="336"/>
      <c r="M286" s="301"/>
      <c r="N286" s="336"/>
      <c r="O286" s="301"/>
      <c r="P286" s="336"/>
      <c r="Q286" s="301"/>
      <c r="R286" s="336"/>
      <c r="S286" s="301"/>
      <c r="T286" s="336"/>
    </row>
    <row r="287" spans="1:20" ht="12" customHeight="1" x14ac:dyDescent="0.3">
      <c r="A287" s="329" t="s">
        <v>287</v>
      </c>
      <c r="B287" s="330" t="s">
        <v>287</v>
      </c>
      <c r="C287" s="298">
        <v>46191</v>
      </c>
      <c r="D287" s="299" t="s">
        <v>927</v>
      </c>
      <c r="E287" s="522">
        <v>42.32</v>
      </c>
      <c r="F287" s="522">
        <v>42.32</v>
      </c>
      <c r="G287" s="333">
        <f t="shared" si="8"/>
        <v>5824.3599999999869</v>
      </c>
      <c r="H287" s="334"/>
      <c r="I287" s="335"/>
      <c r="J287" s="336"/>
      <c r="K287" s="301"/>
      <c r="L287" s="336"/>
      <c r="M287" s="301"/>
      <c r="N287" s="336"/>
      <c r="O287" s="301"/>
      <c r="P287" s="336"/>
      <c r="Q287" s="301"/>
      <c r="R287" s="336"/>
      <c r="S287" s="301"/>
      <c r="T287" s="336"/>
    </row>
    <row r="288" spans="1:20" ht="12" customHeight="1" x14ac:dyDescent="0.3">
      <c r="A288" s="329" t="s">
        <v>287</v>
      </c>
      <c r="B288" s="330" t="s">
        <v>287</v>
      </c>
      <c r="C288" s="298">
        <v>46191</v>
      </c>
      <c r="D288" s="299" t="s">
        <v>928</v>
      </c>
      <c r="E288" s="522">
        <v>72.86</v>
      </c>
      <c r="F288" s="522">
        <v>72.86</v>
      </c>
      <c r="G288" s="333">
        <f t="shared" si="8"/>
        <v>5824.3599999999869</v>
      </c>
      <c r="H288" s="334"/>
      <c r="I288" s="335"/>
      <c r="J288" s="336"/>
      <c r="K288" s="301"/>
      <c r="L288" s="336"/>
      <c r="M288" s="301"/>
      <c r="N288" s="336"/>
      <c r="O288" s="301"/>
      <c r="P288" s="336"/>
      <c r="Q288" s="301"/>
      <c r="R288" s="336"/>
      <c r="S288" s="301"/>
      <c r="T288" s="336"/>
    </row>
    <row r="289" spans="1:20" ht="12" customHeight="1" x14ac:dyDescent="0.3">
      <c r="A289" s="329" t="s">
        <v>287</v>
      </c>
      <c r="B289" s="330" t="s">
        <v>287</v>
      </c>
      <c r="C289" s="298">
        <v>46191</v>
      </c>
      <c r="D289" s="299" t="s">
        <v>929</v>
      </c>
      <c r="E289" s="522">
        <v>106.89</v>
      </c>
      <c r="F289" s="522">
        <v>106.89</v>
      </c>
      <c r="G289" s="333">
        <f t="shared" si="8"/>
        <v>5824.3599999999869</v>
      </c>
      <c r="H289" s="334"/>
      <c r="I289" s="335"/>
      <c r="J289" s="336"/>
      <c r="K289" s="301"/>
      <c r="L289" s="336"/>
      <c r="M289" s="301"/>
      <c r="N289" s="336"/>
      <c r="O289" s="301"/>
      <c r="P289" s="336"/>
      <c r="Q289" s="301"/>
      <c r="R289" s="336"/>
      <c r="S289" s="301"/>
      <c r="T289" s="336"/>
    </row>
    <row r="290" spans="1:20" ht="12" customHeight="1" x14ac:dyDescent="0.3">
      <c r="A290" s="329" t="s">
        <v>287</v>
      </c>
      <c r="B290" s="330" t="s">
        <v>287</v>
      </c>
      <c r="C290" s="298">
        <v>46191</v>
      </c>
      <c r="D290" s="299" t="s">
        <v>931</v>
      </c>
      <c r="E290" s="522">
        <v>94.74</v>
      </c>
      <c r="F290" s="522">
        <v>94.74</v>
      </c>
      <c r="G290" s="333">
        <f t="shared" si="8"/>
        <v>5824.3599999999869</v>
      </c>
      <c r="H290" s="334"/>
      <c r="I290" s="335"/>
      <c r="J290" s="336"/>
      <c r="K290" s="301"/>
      <c r="L290" s="336"/>
      <c r="M290" s="301"/>
      <c r="N290" s="336"/>
      <c r="O290" s="301"/>
      <c r="P290" s="336"/>
      <c r="Q290" s="301"/>
      <c r="R290" s="336"/>
      <c r="S290" s="301"/>
      <c r="T290" s="336"/>
    </row>
    <row r="291" spans="1:20" ht="12" customHeight="1" x14ac:dyDescent="0.3">
      <c r="A291" s="329" t="s">
        <v>289</v>
      </c>
      <c r="B291" s="330">
        <v>1</v>
      </c>
      <c r="C291" s="298">
        <v>46191</v>
      </c>
      <c r="D291" s="299" t="s">
        <v>306</v>
      </c>
      <c r="E291" s="522">
        <v>99.97</v>
      </c>
      <c r="F291" s="522"/>
      <c r="G291" s="333">
        <f t="shared" si="8"/>
        <v>5824.3599999999869</v>
      </c>
      <c r="H291" s="334"/>
      <c r="I291" s="335"/>
      <c r="J291" s="336"/>
      <c r="K291" s="301"/>
      <c r="L291" s="336"/>
      <c r="M291" s="301"/>
      <c r="N291" s="336"/>
      <c r="O291" s="301"/>
      <c r="P291" s="336"/>
      <c r="Q291" s="301"/>
      <c r="R291" s="336"/>
      <c r="S291" s="301"/>
      <c r="T291" s="336"/>
    </row>
    <row r="292" spans="1:20" ht="12" customHeight="1" x14ac:dyDescent="0.3">
      <c r="A292" s="329" t="s">
        <v>294</v>
      </c>
      <c r="B292" s="330">
        <v>22</v>
      </c>
      <c r="C292" s="298">
        <v>46191</v>
      </c>
      <c r="D292" s="299" t="s">
        <v>930</v>
      </c>
      <c r="E292" s="522">
        <v>13.84</v>
      </c>
      <c r="F292" s="522"/>
      <c r="G292" s="333">
        <f t="shared" si="8"/>
        <v>5924.3299999999872</v>
      </c>
      <c r="H292" s="334"/>
      <c r="I292" s="335"/>
      <c r="J292" s="336"/>
      <c r="K292" s="301"/>
      <c r="L292" s="336"/>
      <c r="M292" s="301"/>
      <c r="N292" s="336"/>
      <c r="O292" s="301"/>
      <c r="P292" s="336"/>
      <c r="Q292" s="301"/>
      <c r="R292" s="336"/>
      <c r="S292" s="301"/>
      <c r="T292" s="336"/>
    </row>
    <row r="293" spans="1:20" ht="12" customHeight="1" x14ac:dyDescent="0.3">
      <c r="A293" s="329" t="s">
        <v>289</v>
      </c>
      <c r="B293" s="330">
        <v>1</v>
      </c>
      <c r="C293" s="298">
        <v>46190</v>
      </c>
      <c r="D293" s="299" t="s">
        <v>306</v>
      </c>
      <c r="E293" s="522">
        <v>87.19</v>
      </c>
      <c r="F293" s="522"/>
      <c r="G293" s="333">
        <f t="shared" si="8"/>
        <v>5938.1699999999873</v>
      </c>
      <c r="H293" s="334"/>
      <c r="I293" s="335"/>
      <c r="J293" s="336"/>
      <c r="K293" s="301"/>
      <c r="L293" s="336"/>
      <c r="M293" s="301"/>
      <c r="N293" s="336"/>
      <c r="O293" s="301"/>
      <c r="P293" s="336"/>
      <c r="Q293" s="301"/>
      <c r="R293" s="336"/>
      <c r="S293" s="301"/>
      <c r="T293" s="336"/>
    </row>
    <row r="294" spans="1:20" ht="12" customHeight="1" x14ac:dyDescent="0.3">
      <c r="A294" s="329" t="s">
        <v>294</v>
      </c>
      <c r="B294" s="330">
        <v>21</v>
      </c>
      <c r="C294" s="298">
        <v>46190</v>
      </c>
      <c r="D294" s="299" t="s">
        <v>194</v>
      </c>
      <c r="E294" s="522">
        <v>81</v>
      </c>
      <c r="F294" s="522"/>
      <c r="G294" s="333">
        <f t="shared" si="8"/>
        <v>6025.3599999999869</v>
      </c>
      <c r="H294" s="334"/>
      <c r="I294" s="335"/>
      <c r="J294" s="336"/>
      <c r="K294" s="301"/>
      <c r="L294" s="336"/>
      <c r="M294" s="301"/>
      <c r="N294" s="336"/>
      <c r="O294" s="301"/>
      <c r="P294" s="336"/>
      <c r="Q294" s="301"/>
      <c r="R294" s="336"/>
      <c r="S294" s="301"/>
      <c r="T294" s="336"/>
    </row>
    <row r="295" spans="1:20" ht="12" customHeight="1" x14ac:dyDescent="0.3">
      <c r="A295" s="329" t="s">
        <v>294</v>
      </c>
      <c r="B295" s="330">
        <v>43</v>
      </c>
      <c r="C295" s="298">
        <v>46190</v>
      </c>
      <c r="D295" s="299" t="s">
        <v>333</v>
      </c>
      <c r="E295" s="522">
        <v>29.8</v>
      </c>
      <c r="F295" s="522"/>
      <c r="G295" s="333">
        <f t="shared" si="8"/>
        <v>6106.3599999999869</v>
      </c>
      <c r="H295" s="334"/>
      <c r="I295" s="335"/>
      <c r="J295" s="336"/>
      <c r="K295" s="301"/>
      <c r="L295" s="336"/>
      <c r="M295" s="301"/>
      <c r="N295" s="336"/>
      <c r="O295" s="301"/>
      <c r="P295" s="336"/>
      <c r="Q295" s="301"/>
      <c r="R295" s="336"/>
      <c r="S295" s="301"/>
      <c r="T295" s="336"/>
    </row>
    <row r="296" spans="1:20" ht="12" customHeight="1" x14ac:dyDescent="0.3">
      <c r="A296" s="329" t="s">
        <v>294</v>
      </c>
      <c r="B296" s="330">
        <v>42</v>
      </c>
      <c r="C296" s="298">
        <v>46190</v>
      </c>
      <c r="D296" s="299" t="s">
        <v>333</v>
      </c>
      <c r="E296" s="522">
        <v>74.5</v>
      </c>
      <c r="F296" s="522"/>
      <c r="G296" s="333">
        <f t="shared" si="8"/>
        <v>6136.1599999999871</v>
      </c>
      <c r="H296" s="334"/>
      <c r="I296" s="335"/>
      <c r="J296" s="336"/>
      <c r="K296" s="301"/>
      <c r="L296" s="336"/>
      <c r="M296" s="301"/>
      <c r="N296" s="336"/>
      <c r="O296" s="301"/>
      <c r="P296" s="336"/>
      <c r="Q296" s="301"/>
      <c r="R296" s="336"/>
      <c r="S296" s="301"/>
      <c r="T296" s="336"/>
    </row>
    <row r="297" spans="1:20" ht="12" customHeight="1" x14ac:dyDescent="0.3">
      <c r="A297" s="329" t="s">
        <v>289</v>
      </c>
      <c r="B297" s="330">
        <v>4</v>
      </c>
      <c r="C297" s="298">
        <v>46190</v>
      </c>
      <c r="D297" s="299" t="s">
        <v>334</v>
      </c>
      <c r="E297" s="522">
        <v>82.35</v>
      </c>
      <c r="F297" s="522"/>
      <c r="G297" s="333">
        <f t="shared" si="8"/>
        <v>6210.6599999999871</v>
      </c>
      <c r="H297" s="334"/>
      <c r="I297" s="335"/>
      <c r="J297" s="336"/>
      <c r="K297" s="301"/>
      <c r="L297" s="336"/>
      <c r="M297" s="301"/>
      <c r="N297" s="336"/>
      <c r="O297" s="301"/>
      <c r="P297" s="336"/>
      <c r="Q297" s="301"/>
      <c r="R297" s="336"/>
      <c r="S297" s="301"/>
      <c r="T297" s="336"/>
    </row>
    <row r="298" spans="1:20" ht="12" customHeight="1" x14ac:dyDescent="0.3">
      <c r="A298" s="329" t="s">
        <v>289</v>
      </c>
      <c r="B298" s="330">
        <v>2</v>
      </c>
      <c r="C298" s="298">
        <v>46190</v>
      </c>
      <c r="D298" s="299" t="s">
        <v>334</v>
      </c>
      <c r="E298" s="522">
        <v>17.68</v>
      </c>
      <c r="F298" s="522"/>
      <c r="G298" s="333">
        <f t="shared" si="8"/>
        <v>6293.0099999999875</v>
      </c>
      <c r="H298" s="334"/>
      <c r="I298" s="335"/>
      <c r="J298" s="336"/>
      <c r="K298" s="301"/>
      <c r="L298" s="336"/>
      <c r="M298" s="301"/>
      <c r="N298" s="336"/>
      <c r="O298" s="301"/>
      <c r="P298" s="336"/>
      <c r="Q298" s="301"/>
      <c r="R298" s="336"/>
      <c r="S298" s="301"/>
      <c r="T298" s="336"/>
    </row>
    <row r="299" spans="1:20" ht="12" customHeight="1" x14ac:dyDescent="0.3">
      <c r="A299" s="329" t="s">
        <v>289</v>
      </c>
      <c r="B299" s="330">
        <v>6</v>
      </c>
      <c r="C299" s="298">
        <v>46190</v>
      </c>
      <c r="D299" s="299" t="s">
        <v>300</v>
      </c>
      <c r="E299" s="522">
        <v>14.67</v>
      </c>
      <c r="F299" s="522"/>
      <c r="G299" s="333">
        <f t="shared" si="8"/>
        <v>6310.6899999999878</v>
      </c>
      <c r="H299" s="334"/>
      <c r="I299" s="335"/>
      <c r="J299" s="336"/>
      <c r="K299" s="301"/>
      <c r="L299" s="336"/>
      <c r="M299" s="301"/>
      <c r="N299" s="336"/>
      <c r="O299" s="301"/>
      <c r="P299" s="336"/>
      <c r="Q299" s="301"/>
      <c r="R299" s="336"/>
      <c r="S299" s="301"/>
      <c r="T299" s="336"/>
    </row>
    <row r="300" spans="1:20" ht="12" customHeight="1" x14ac:dyDescent="0.3">
      <c r="A300" s="329" t="s">
        <v>289</v>
      </c>
      <c r="B300" s="330">
        <v>6</v>
      </c>
      <c r="C300" s="298">
        <v>46190</v>
      </c>
      <c r="D300" s="299" t="s">
        <v>300</v>
      </c>
      <c r="E300" s="522">
        <v>56.42</v>
      </c>
      <c r="F300" s="522"/>
      <c r="G300" s="333">
        <f t="shared" si="8"/>
        <v>6325.3599999999878</v>
      </c>
      <c r="H300" s="334"/>
      <c r="I300" s="335"/>
      <c r="J300" s="336"/>
      <c r="K300" s="301"/>
      <c r="L300" s="336"/>
      <c r="M300" s="301"/>
      <c r="N300" s="336"/>
      <c r="O300" s="301"/>
      <c r="P300" s="336"/>
      <c r="Q300" s="301"/>
      <c r="R300" s="336"/>
      <c r="S300" s="301"/>
      <c r="T300" s="336"/>
    </row>
    <row r="301" spans="1:20" ht="12" customHeight="1" x14ac:dyDescent="0.3">
      <c r="A301" s="329" t="s">
        <v>289</v>
      </c>
      <c r="B301" s="330">
        <v>6</v>
      </c>
      <c r="C301" s="298">
        <v>46190</v>
      </c>
      <c r="D301" s="299" t="s">
        <v>300</v>
      </c>
      <c r="E301" s="522">
        <v>53.23</v>
      </c>
      <c r="F301" s="522"/>
      <c r="G301" s="333">
        <f t="shared" si="8"/>
        <v>6381.7799999999879</v>
      </c>
      <c r="H301" s="334"/>
      <c r="I301" s="335"/>
      <c r="J301" s="336"/>
      <c r="K301" s="301"/>
      <c r="L301" s="336"/>
      <c r="M301" s="301"/>
      <c r="N301" s="336"/>
      <c r="O301" s="301"/>
      <c r="P301" s="336"/>
      <c r="Q301" s="301"/>
      <c r="R301" s="336"/>
      <c r="S301" s="301"/>
      <c r="T301" s="336"/>
    </row>
    <row r="302" spans="1:20" ht="12" customHeight="1" x14ac:dyDescent="0.3">
      <c r="A302" s="329" t="s">
        <v>294</v>
      </c>
      <c r="B302" s="330">
        <v>23</v>
      </c>
      <c r="C302" s="298">
        <v>46190</v>
      </c>
      <c r="D302" s="299" t="s">
        <v>63</v>
      </c>
      <c r="E302" s="522">
        <v>529.46</v>
      </c>
      <c r="F302" s="522"/>
      <c r="G302" s="333">
        <f t="shared" si="8"/>
        <v>6435.0099999999875</v>
      </c>
      <c r="H302" s="334"/>
      <c r="I302" s="335"/>
      <c r="J302" s="336"/>
      <c r="K302" s="301"/>
      <c r="L302" s="336"/>
      <c r="M302" s="301"/>
      <c r="N302" s="336"/>
      <c r="O302" s="301"/>
      <c r="P302" s="336"/>
      <c r="Q302" s="301"/>
      <c r="R302" s="336"/>
      <c r="S302" s="301"/>
      <c r="T302" s="336"/>
    </row>
    <row r="303" spans="1:20" ht="12" customHeight="1" x14ac:dyDescent="0.3">
      <c r="A303" s="329" t="s">
        <v>294</v>
      </c>
      <c r="B303" s="330">
        <v>17</v>
      </c>
      <c r="C303" s="298">
        <v>46190</v>
      </c>
      <c r="D303" s="299" t="s">
        <v>188</v>
      </c>
      <c r="E303" s="522">
        <v>42.65</v>
      </c>
      <c r="F303" s="522"/>
      <c r="G303" s="333">
        <f t="shared" si="8"/>
        <v>6964.4699999999875</v>
      </c>
      <c r="H303" s="334"/>
      <c r="I303" s="335"/>
      <c r="J303" s="336"/>
      <c r="K303" s="301"/>
      <c r="L303" s="336"/>
      <c r="M303" s="301"/>
      <c r="N303" s="336"/>
      <c r="O303" s="301"/>
      <c r="P303" s="336"/>
      <c r="Q303" s="301"/>
      <c r="R303" s="336"/>
      <c r="S303" s="301"/>
      <c r="T303" s="336"/>
    </row>
    <row r="304" spans="1:20" ht="12" customHeight="1" x14ac:dyDescent="0.3">
      <c r="A304" s="329" t="s">
        <v>294</v>
      </c>
      <c r="B304" s="330">
        <v>15</v>
      </c>
      <c r="C304" s="298">
        <v>46190</v>
      </c>
      <c r="D304" s="299" t="s">
        <v>185</v>
      </c>
      <c r="E304" s="522">
        <v>87.41</v>
      </c>
      <c r="F304" s="522"/>
      <c r="G304" s="333">
        <f t="shared" si="8"/>
        <v>7007.1199999999872</v>
      </c>
      <c r="H304" s="334"/>
      <c r="I304" s="335"/>
      <c r="J304" s="336"/>
      <c r="K304" s="301"/>
      <c r="L304" s="336"/>
      <c r="M304" s="301"/>
      <c r="N304" s="336"/>
      <c r="O304" s="301"/>
      <c r="P304" s="336"/>
      <c r="Q304" s="301"/>
      <c r="R304" s="336"/>
      <c r="S304" s="301"/>
      <c r="T304" s="336"/>
    </row>
    <row r="305" spans="1:20" ht="12" customHeight="1" x14ac:dyDescent="0.3">
      <c r="A305" s="329" t="s">
        <v>335</v>
      </c>
      <c r="B305" s="330" t="s">
        <v>335</v>
      </c>
      <c r="C305" s="298">
        <v>46190</v>
      </c>
      <c r="D305" s="299" t="s">
        <v>336</v>
      </c>
      <c r="E305" s="522">
        <v>86.48</v>
      </c>
      <c r="F305" s="522"/>
      <c r="G305" s="333">
        <f t="shared" si="8"/>
        <v>7094.529999999987</v>
      </c>
      <c r="H305" s="334"/>
      <c r="I305" s="335"/>
      <c r="J305" s="336"/>
      <c r="K305" s="301"/>
      <c r="L305" s="336"/>
      <c r="M305" s="301"/>
      <c r="N305" s="336"/>
      <c r="O305" s="301"/>
      <c r="P305" s="336"/>
      <c r="Q305" s="301"/>
      <c r="R305" s="336"/>
      <c r="S305" s="301"/>
      <c r="T305" s="336"/>
    </row>
    <row r="306" spans="1:20" ht="12" customHeight="1" x14ac:dyDescent="0.3">
      <c r="A306" s="329" t="s">
        <v>291</v>
      </c>
      <c r="B306" s="330">
        <v>40</v>
      </c>
      <c r="C306" s="298">
        <v>46190</v>
      </c>
      <c r="D306" s="299" t="s">
        <v>316</v>
      </c>
      <c r="E306" s="522"/>
      <c r="F306" s="522">
        <v>854.38</v>
      </c>
      <c r="G306" s="333">
        <f t="shared" si="8"/>
        <v>7181.0099999999866</v>
      </c>
      <c r="H306" s="334"/>
      <c r="I306" s="335"/>
      <c r="J306" s="336"/>
      <c r="K306" s="301"/>
      <c r="L306" s="336"/>
      <c r="M306" s="301"/>
      <c r="N306" s="336"/>
      <c r="O306" s="301"/>
      <c r="P306" s="336"/>
      <c r="Q306" s="301"/>
      <c r="R306" s="336"/>
      <c r="S306" s="301"/>
      <c r="T306" s="336"/>
    </row>
    <row r="307" spans="1:20" ht="12" customHeight="1" x14ac:dyDescent="0.3">
      <c r="A307" s="329" t="s">
        <v>289</v>
      </c>
      <c r="B307" s="330">
        <v>5</v>
      </c>
      <c r="C307" s="298">
        <v>46189</v>
      </c>
      <c r="D307" s="299" t="s">
        <v>340</v>
      </c>
      <c r="E307" s="522">
        <v>21.3</v>
      </c>
      <c r="F307" s="522"/>
      <c r="G307" s="333">
        <f t="shared" si="8"/>
        <v>6326.6299999999865</v>
      </c>
      <c r="H307" s="334"/>
      <c r="I307" s="335"/>
      <c r="J307" s="336"/>
      <c r="K307" s="301"/>
      <c r="L307" s="336"/>
      <c r="M307" s="301"/>
      <c r="N307" s="336"/>
      <c r="O307" s="301"/>
      <c r="P307" s="336"/>
      <c r="Q307" s="301"/>
      <c r="R307" s="336"/>
      <c r="S307" s="301"/>
      <c r="T307" s="336"/>
    </row>
    <row r="308" spans="1:20" ht="12" customHeight="1" x14ac:dyDescent="0.3">
      <c r="A308" s="329" t="s">
        <v>294</v>
      </c>
      <c r="B308" s="330">
        <v>11</v>
      </c>
      <c r="C308" s="298">
        <v>46189</v>
      </c>
      <c r="D308" s="299" t="s">
        <v>178</v>
      </c>
      <c r="E308" s="522">
        <v>267.75</v>
      </c>
      <c r="F308" s="522"/>
      <c r="G308" s="333">
        <f t="shared" si="8"/>
        <v>6347.9299999999866</v>
      </c>
      <c r="H308" s="334"/>
      <c r="I308" s="335"/>
      <c r="J308" s="336"/>
      <c r="K308" s="301"/>
      <c r="L308" s="336"/>
      <c r="M308" s="301"/>
      <c r="N308" s="336"/>
      <c r="O308" s="301"/>
      <c r="P308" s="336"/>
      <c r="Q308" s="301"/>
      <c r="R308" s="336"/>
      <c r="S308" s="301"/>
      <c r="T308" s="336"/>
    </row>
    <row r="309" spans="1:20" ht="12" customHeight="1" x14ac:dyDescent="0.3">
      <c r="A309" s="329" t="s">
        <v>289</v>
      </c>
      <c r="B309" s="330">
        <v>6</v>
      </c>
      <c r="C309" s="298">
        <v>46188</v>
      </c>
      <c r="D309" s="299" t="s">
        <v>885</v>
      </c>
      <c r="E309" s="522">
        <v>100</v>
      </c>
      <c r="F309" s="522"/>
      <c r="G309" s="333">
        <f t="shared" si="8"/>
        <v>6615.6799999999866</v>
      </c>
      <c r="H309" s="334"/>
      <c r="I309" s="335"/>
      <c r="J309" s="336"/>
      <c r="K309" s="301"/>
      <c r="L309" s="336"/>
      <c r="M309" s="301"/>
      <c r="N309" s="336"/>
      <c r="O309" s="301"/>
      <c r="P309" s="336"/>
      <c r="Q309" s="301"/>
      <c r="R309" s="336"/>
      <c r="S309" s="301"/>
      <c r="T309" s="336"/>
    </row>
    <row r="310" spans="1:20" ht="12" customHeight="1" x14ac:dyDescent="0.3">
      <c r="A310" s="329" t="s">
        <v>289</v>
      </c>
      <c r="B310" s="330">
        <v>2</v>
      </c>
      <c r="C310" s="298">
        <v>46188</v>
      </c>
      <c r="D310" s="299" t="s">
        <v>334</v>
      </c>
      <c r="E310" s="522">
        <v>11.29</v>
      </c>
      <c r="F310" s="522"/>
      <c r="G310" s="333">
        <f t="shared" si="8"/>
        <v>6715.6799999999866</v>
      </c>
      <c r="H310" s="334"/>
      <c r="I310" s="335"/>
      <c r="J310" s="336"/>
      <c r="K310" s="301"/>
      <c r="L310" s="336"/>
      <c r="M310" s="301"/>
      <c r="N310" s="336"/>
      <c r="O310" s="301"/>
      <c r="P310" s="336"/>
      <c r="Q310" s="301"/>
      <c r="R310" s="336"/>
      <c r="S310" s="301"/>
      <c r="T310" s="336"/>
    </row>
    <row r="311" spans="1:20" ht="12" customHeight="1" x14ac:dyDescent="0.3">
      <c r="A311" s="329" t="s">
        <v>289</v>
      </c>
      <c r="B311" s="330">
        <v>3</v>
      </c>
      <c r="C311" s="298">
        <v>46188</v>
      </c>
      <c r="D311" s="299" t="s">
        <v>334</v>
      </c>
      <c r="E311" s="522">
        <v>5.39</v>
      </c>
      <c r="F311" s="522"/>
      <c r="G311" s="333">
        <f t="shared" si="8"/>
        <v>6726.9699999999866</v>
      </c>
      <c r="H311" s="334"/>
      <c r="I311" s="335"/>
      <c r="J311" s="336"/>
      <c r="K311" s="301"/>
      <c r="L311" s="336"/>
      <c r="M311" s="301"/>
      <c r="N311" s="336"/>
      <c r="O311" s="301"/>
      <c r="P311" s="336"/>
      <c r="Q311" s="301"/>
      <c r="R311" s="336"/>
      <c r="S311" s="301"/>
      <c r="T311" s="336"/>
    </row>
    <row r="312" spans="1:20" ht="12" customHeight="1" x14ac:dyDescent="0.3">
      <c r="A312" s="329" t="s">
        <v>289</v>
      </c>
      <c r="B312" s="330">
        <v>4</v>
      </c>
      <c r="C312" s="298">
        <v>46188</v>
      </c>
      <c r="D312" s="299" t="s">
        <v>334</v>
      </c>
      <c r="E312" s="522">
        <v>31.99</v>
      </c>
      <c r="F312" s="522"/>
      <c r="G312" s="333">
        <f t="shared" si="8"/>
        <v>6732.3599999999869</v>
      </c>
      <c r="H312" s="334"/>
      <c r="I312" s="335"/>
      <c r="J312" s="336"/>
      <c r="K312" s="301"/>
      <c r="L312" s="336"/>
      <c r="M312" s="301"/>
      <c r="N312" s="336"/>
      <c r="O312" s="301"/>
      <c r="P312" s="336"/>
      <c r="Q312" s="301"/>
      <c r="R312" s="336"/>
      <c r="S312" s="301"/>
      <c r="T312" s="336"/>
    </row>
    <row r="313" spans="1:20" ht="12" customHeight="1" x14ac:dyDescent="0.3">
      <c r="A313" s="329" t="s">
        <v>289</v>
      </c>
      <c r="B313" s="330">
        <v>2</v>
      </c>
      <c r="C313" s="298">
        <v>46187</v>
      </c>
      <c r="D313" s="299" t="s">
        <v>917</v>
      </c>
      <c r="E313" s="522">
        <v>102.17</v>
      </c>
      <c r="F313" s="522"/>
      <c r="G313" s="333">
        <f t="shared" si="8"/>
        <v>6764.3499999999867</v>
      </c>
      <c r="H313" s="334"/>
      <c r="I313" s="335"/>
      <c r="J313" s="336"/>
      <c r="K313" s="301"/>
      <c r="L313" s="336"/>
      <c r="M313" s="301"/>
      <c r="N313" s="336"/>
      <c r="O313" s="301"/>
      <c r="P313" s="336"/>
      <c r="Q313" s="301"/>
      <c r="R313" s="336"/>
      <c r="S313" s="301"/>
      <c r="T313" s="336"/>
    </row>
    <row r="314" spans="1:20" ht="12" customHeight="1" x14ac:dyDescent="0.3">
      <c r="A314" s="329" t="s">
        <v>289</v>
      </c>
      <c r="B314" s="330">
        <v>1</v>
      </c>
      <c r="C314" s="298">
        <v>46187</v>
      </c>
      <c r="D314" s="299" t="s">
        <v>831</v>
      </c>
      <c r="E314" s="522">
        <v>21.86</v>
      </c>
      <c r="F314" s="522"/>
      <c r="G314" s="333">
        <f t="shared" si="8"/>
        <v>6866.5199999999868</v>
      </c>
      <c r="H314" s="334"/>
      <c r="I314" s="335"/>
      <c r="J314" s="336"/>
      <c r="K314" s="301"/>
      <c r="L314" s="336"/>
      <c r="M314" s="301"/>
      <c r="N314" s="336"/>
      <c r="O314" s="301"/>
      <c r="P314" s="336"/>
      <c r="Q314" s="301"/>
      <c r="R314" s="336"/>
      <c r="S314" s="301"/>
      <c r="T314" s="336"/>
    </row>
    <row r="315" spans="1:20" ht="12" customHeight="1" x14ac:dyDescent="0.3">
      <c r="A315" s="329" t="s">
        <v>289</v>
      </c>
      <c r="B315" s="330">
        <v>1</v>
      </c>
      <c r="C315" s="298">
        <v>46187</v>
      </c>
      <c r="D315" s="299" t="s">
        <v>311</v>
      </c>
      <c r="E315" s="522">
        <v>102.56</v>
      </c>
      <c r="F315" s="522"/>
      <c r="G315" s="333">
        <f t="shared" si="8"/>
        <v>6888.3799999999865</v>
      </c>
      <c r="H315" s="334"/>
      <c r="I315" s="335"/>
      <c r="J315" s="336"/>
      <c r="K315" s="301"/>
      <c r="L315" s="336"/>
      <c r="M315" s="301"/>
      <c r="N315" s="336"/>
      <c r="O315" s="301"/>
      <c r="P315" s="336"/>
      <c r="Q315" s="301"/>
      <c r="R315" s="336"/>
      <c r="S315" s="301"/>
      <c r="T315" s="336"/>
    </row>
    <row r="316" spans="1:20" ht="12" customHeight="1" x14ac:dyDescent="0.3">
      <c r="A316" s="329" t="s">
        <v>289</v>
      </c>
      <c r="B316" s="330">
        <v>1</v>
      </c>
      <c r="C316" s="298">
        <v>46187</v>
      </c>
      <c r="D316" s="299" t="s">
        <v>329</v>
      </c>
      <c r="E316" s="522">
        <v>121.72</v>
      </c>
      <c r="F316" s="522"/>
      <c r="G316" s="333">
        <f t="shared" si="8"/>
        <v>6990.9399999999869</v>
      </c>
      <c r="H316" s="334"/>
      <c r="I316" s="335"/>
      <c r="J316" s="336"/>
      <c r="K316" s="301"/>
      <c r="L316" s="336"/>
      <c r="M316" s="301"/>
      <c r="N316" s="336"/>
      <c r="O316" s="301"/>
      <c r="P316" s="336"/>
      <c r="Q316" s="301"/>
      <c r="R316" s="336"/>
      <c r="S316" s="301"/>
      <c r="T316" s="336"/>
    </row>
    <row r="317" spans="1:20" ht="12" customHeight="1" x14ac:dyDescent="0.3">
      <c r="A317" s="329" t="s">
        <v>289</v>
      </c>
      <c r="B317" s="330">
        <v>2</v>
      </c>
      <c r="C317" s="298">
        <v>46186</v>
      </c>
      <c r="D317" s="299" t="s">
        <v>308</v>
      </c>
      <c r="E317" s="522">
        <v>143.91999999999999</v>
      </c>
      <c r="F317" s="522"/>
      <c r="G317" s="333">
        <f t="shared" si="8"/>
        <v>7112.6599999999871</v>
      </c>
      <c r="H317" s="334"/>
      <c r="I317" s="335"/>
      <c r="J317" s="336"/>
      <c r="K317" s="301"/>
      <c r="L317" s="336"/>
      <c r="M317" s="301"/>
      <c r="N317" s="336"/>
      <c r="O317" s="301"/>
      <c r="P317" s="336"/>
      <c r="Q317" s="301"/>
      <c r="R317" s="336"/>
      <c r="S317" s="301"/>
      <c r="T317" s="336"/>
    </row>
    <row r="318" spans="1:20" ht="12" customHeight="1" x14ac:dyDescent="0.3">
      <c r="A318" s="329" t="s">
        <v>289</v>
      </c>
      <c r="B318" s="330">
        <v>2</v>
      </c>
      <c r="C318" s="298">
        <v>46186</v>
      </c>
      <c r="D318" s="299" t="s">
        <v>346</v>
      </c>
      <c r="E318" s="522">
        <v>11.95</v>
      </c>
      <c r="F318" s="522"/>
      <c r="G318" s="333">
        <f t="shared" si="8"/>
        <v>7256.5799999999872</v>
      </c>
      <c r="H318" s="334"/>
      <c r="I318" s="335"/>
      <c r="J318" s="336"/>
      <c r="K318" s="301"/>
      <c r="L318" s="336"/>
      <c r="M318" s="301"/>
      <c r="N318" s="336"/>
      <c r="O318" s="301"/>
      <c r="P318" s="336"/>
      <c r="Q318" s="301"/>
      <c r="R318" s="336"/>
      <c r="S318" s="301"/>
      <c r="T318" s="336"/>
    </row>
    <row r="319" spans="1:20" ht="12" customHeight="1" x14ac:dyDescent="0.3">
      <c r="A319" s="329" t="s">
        <v>289</v>
      </c>
      <c r="B319" s="330">
        <v>4</v>
      </c>
      <c r="C319" s="298">
        <v>46186</v>
      </c>
      <c r="D319" s="299" t="s">
        <v>310</v>
      </c>
      <c r="E319" s="522">
        <v>47.29</v>
      </c>
      <c r="F319" s="522"/>
      <c r="G319" s="333">
        <f t="shared" si="8"/>
        <v>7268.529999999987</v>
      </c>
      <c r="H319" s="334"/>
      <c r="I319" s="335"/>
      <c r="J319" s="336"/>
      <c r="K319" s="301"/>
      <c r="L319" s="336"/>
      <c r="M319" s="301"/>
      <c r="N319" s="336"/>
      <c r="O319" s="301"/>
      <c r="P319" s="336"/>
      <c r="Q319" s="301"/>
      <c r="R319" s="336"/>
      <c r="S319" s="301"/>
      <c r="T319" s="336"/>
    </row>
    <row r="320" spans="1:20" ht="12" customHeight="1" x14ac:dyDescent="0.3">
      <c r="A320" s="329" t="s">
        <v>289</v>
      </c>
      <c r="B320" s="330">
        <v>1</v>
      </c>
      <c r="C320" s="298">
        <v>46186</v>
      </c>
      <c r="D320" s="299" t="s">
        <v>306</v>
      </c>
      <c r="E320" s="522">
        <v>52.7</v>
      </c>
      <c r="F320" s="522"/>
      <c r="G320" s="333">
        <f t="shared" si="8"/>
        <v>7315.819999999987</v>
      </c>
      <c r="H320" s="334"/>
      <c r="I320" s="335"/>
      <c r="J320" s="336"/>
      <c r="K320" s="301"/>
      <c r="L320" s="336"/>
      <c r="M320" s="301"/>
      <c r="N320" s="336"/>
      <c r="O320" s="301"/>
      <c r="P320" s="336"/>
      <c r="Q320" s="301"/>
      <c r="R320" s="336"/>
      <c r="S320" s="301"/>
      <c r="T320" s="336"/>
    </row>
    <row r="321" spans="1:20" ht="12" customHeight="1" x14ac:dyDescent="0.3">
      <c r="A321" s="329" t="s">
        <v>289</v>
      </c>
      <c r="B321" s="330">
        <v>8</v>
      </c>
      <c r="C321" s="298">
        <v>46186</v>
      </c>
      <c r="D321" s="299" t="s">
        <v>308</v>
      </c>
      <c r="E321" s="522">
        <v>22.26</v>
      </c>
      <c r="F321" s="522"/>
      <c r="G321" s="333">
        <f t="shared" si="8"/>
        <v>7368.5199999999868</v>
      </c>
      <c r="H321" s="334"/>
      <c r="I321" s="335"/>
      <c r="J321" s="336"/>
      <c r="K321" s="301"/>
      <c r="L321" s="336"/>
      <c r="M321" s="301"/>
      <c r="N321" s="336"/>
      <c r="O321" s="301"/>
      <c r="P321" s="336"/>
      <c r="Q321" s="301"/>
      <c r="R321" s="336"/>
      <c r="S321" s="301"/>
      <c r="T321" s="336"/>
    </row>
    <row r="322" spans="1:20" ht="12" customHeight="1" x14ac:dyDescent="0.3">
      <c r="A322" s="329" t="s">
        <v>289</v>
      </c>
      <c r="B322" s="330">
        <v>8</v>
      </c>
      <c r="C322" s="298">
        <v>46186</v>
      </c>
      <c r="D322" s="299" t="s">
        <v>308</v>
      </c>
      <c r="E322" s="522">
        <v>28.16</v>
      </c>
      <c r="F322" s="522"/>
      <c r="G322" s="333">
        <f t="shared" si="8"/>
        <v>7390.779999999987</v>
      </c>
      <c r="H322" s="334"/>
      <c r="I322" s="335"/>
      <c r="J322" s="336"/>
      <c r="K322" s="301"/>
      <c r="L322" s="336"/>
      <c r="M322" s="301"/>
      <c r="N322" s="336"/>
      <c r="O322" s="301"/>
      <c r="P322" s="336"/>
      <c r="Q322" s="301"/>
      <c r="R322" s="336"/>
      <c r="S322" s="301"/>
      <c r="T322" s="336"/>
    </row>
    <row r="323" spans="1:20" ht="12" customHeight="1" x14ac:dyDescent="0.3">
      <c r="A323" s="329" t="s">
        <v>289</v>
      </c>
      <c r="B323" s="330">
        <v>2</v>
      </c>
      <c r="C323" s="298">
        <v>46186</v>
      </c>
      <c r="D323" s="299" t="s">
        <v>301</v>
      </c>
      <c r="E323" s="522">
        <v>32.049999999999997</v>
      </c>
      <c r="F323" s="522"/>
      <c r="G323" s="333">
        <f t="shared" si="8"/>
        <v>7418.9399999999869</v>
      </c>
      <c r="H323" s="334"/>
      <c r="I323" s="335"/>
      <c r="J323" s="336"/>
      <c r="K323" s="301"/>
      <c r="L323" s="336"/>
      <c r="M323" s="301"/>
      <c r="N323" s="336"/>
      <c r="O323" s="301"/>
      <c r="P323" s="336"/>
      <c r="Q323" s="301"/>
      <c r="R323" s="336"/>
      <c r="S323" s="301"/>
      <c r="T323" s="336"/>
    </row>
    <row r="324" spans="1:20" ht="12" customHeight="1" x14ac:dyDescent="0.3">
      <c r="A324" s="329" t="s">
        <v>289</v>
      </c>
      <c r="B324" s="330">
        <v>5</v>
      </c>
      <c r="C324" s="298">
        <v>46186</v>
      </c>
      <c r="D324" s="299" t="s">
        <v>918</v>
      </c>
      <c r="E324" s="522">
        <v>24</v>
      </c>
      <c r="F324" s="522"/>
      <c r="G324" s="333">
        <f t="shared" si="8"/>
        <v>7450.989999999987</v>
      </c>
      <c r="H324" s="334"/>
      <c r="I324" s="335"/>
      <c r="J324" s="336"/>
      <c r="K324" s="301"/>
      <c r="L324" s="336"/>
      <c r="M324" s="301"/>
      <c r="N324" s="336"/>
      <c r="O324" s="301"/>
      <c r="P324" s="336"/>
      <c r="Q324" s="301"/>
      <c r="R324" s="336"/>
      <c r="S324" s="301"/>
      <c r="T324" s="336"/>
    </row>
    <row r="325" spans="1:20" ht="12" customHeight="1" x14ac:dyDescent="0.3">
      <c r="A325" s="329" t="s">
        <v>289</v>
      </c>
      <c r="B325" s="330">
        <v>1</v>
      </c>
      <c r="C325" s="298">
        <v>46186</v>
      </c>
      <c r="D325" s="299" t="s">
        <v>306</v>
      </c>
      <c r="E325" s="522">
        <v>19.98</v>
      </c>
      <c r="F325" s="522"/>
      <c r="G325" s="333">
        <f t="shared" si="8"/>
        <v>7474.989999999987</v>
      </c>
      <c r="H325" s="334"/>
      <c r="I325" s="335"/>
      <c r="J325" s="336"/>
      <c r="K325" s="301"/>
      <c r="L325" s="336"/>
      <c r="M325" s="301"/>
      <c r="N325" s="336"/>
      <c r="O325" s="301"/>
      <c r="P325" s="336"/>
      <c r="Q325" s="301"/>
      <c r="R325" s="336"/>
      <c r="S325" s="301"/>
      <c r="T325" s="336"/>
    </row>
    <row r="326" spans="1:20" ht="12" customHeight="1" x14ac:dyDescent="0.3">
      <c r="A326" s="329" t="s">
        <v>289</v>
      </c>
      <c r="B326" s="330">
        <v>6</v>
      </c>
      <c r="C326" s="298">
        <v>46186</v>
      </c>
      <c r="D326" s="299" t="s">
        <v>300</v>
      </c>
      <c r="E326" s="522">
        <v>60.07</v>
      </c>
      <c r="F326" s="522"/>
      <c r="G326" s="333">
        <f t="shared" si="8"/>
        <v>7494.9699999999866</v>
      </c>
      <c r="H326" s="334"/>
      <c r="I326" s="335"/>
      <c r="J326" s="336"/>
      <c r="K326" s="301"/>
      <c r="L326" s="336"/>
      <c r="M326" s="301"/>
      <c r="N326" s="336"/>
      <c r="O326" s="301"/>
      <c r="P326" s="336"/>
      <c r="Q326" s="301"/>
      <c r="R326" s="336"/>
      <c r="S326" s="301"/>
      <c r="T326" s="336"/>
    </row>
    <row r="327" spans="1:20" ht="12" customHeight="1" x14ac:dyDescent="0.3">
      <c r="A327" s="329" t="s">
        <v>287</v>
      </c>
      <c r="B327" s="330" t="s">
        <v>287</v>
      </c>
      <c r="C327" s="298">
        <v>46186</v>
      </c>
      <c r="D327" s="299" t="s">
        <v>915</v>
      </c>
      <c r="E327" s="522"/>
      <c r="F327" s="522">
        <v>319.49</v>
      </c>
      <c r="G327" s="333">
        <f t="shared" si="8"/>
        <v>7555.0399999999863</v>
      </c>
      <c r="H327" s="334" t="s">
        <v>298</v>
      </c>
      <c r="I327" s="335"/>
      <c r="J327" s="336"/>
      <c r="K327" s="301"/>
      <c r="L327" s="336"/>
      <c r="M327" s="301"/>
      <c r="N327" s="336"/>
      <c r="O327" s="301"/>
      <c r="P327" s="336"/>
      <c r="Q327" s="301"/>
      <c r="R327" s="336"/>
      <c r="S327" s="301"/>
      <c r="T327" s="336"/>
    </row>
    <row r="328" spans="1:20" ht="12" customHeight="1" x14ac:dyDescent="0.3">
      <c r="A328" s="329" t="s">
        <v>287</v>
      </c>
      <c r="B328" s="330" t="s">
        <v>287</v>
      </c>
      <c r="C328" s="298">
        <v>46186</v>
      </c>
      <c r="D328" s="299" t="s">
        <v>300</v>
      </c>
      <c r="E328" s="522">
        <v>319.49</v>
      </c>
      <c r="F328" s="522"/>
      <c r="G328" s="333">
        <f t="shared" si="8"/>
        <v>7235.5499999999865</v>
      </c>
      <c r="H328" s="334"/>
      <c r="I328" s="335"/>
      <c r="J328" s="336"/>
      <c r="K328" s="301"/>
      <c r="L328" s="336"/>
      <c r="M328" s="301"/>
      <c r="N328" s="336"/>
      <c r="O328" s="301"/>
      <c r="P328" s="336"/>
      <c r="Q328" s="301"/>
      <c r="R328" s="336"/>
      <c r="S328" s="301"/>
      <c r="T328" s="336"/>
    </row>
    <row r="329" spans="1:20" ht="12" customHeight="1" x14ac:dyDescent="0.3">
      <c r="A329" s="329" t="s">
        <v>289</v>
      </c>
      <c r="B329" s="330">
        <v>6</v>
      </c>
      <c r="C329" s="298">
        <v>46186</v>
      </c>
      <c r="D329" s="299" t="s">
        <v>914</v>
      </c>
      <c r="E329" s="522">
        <v>-0.51</v>
      </c>
      <c r="F329" s="522"/>
      <c r="G329" s="333">
        <f t="shared" si="8"/>
        <v>7555.0399999999863</v>
      </c>
      <c r="H329" s="334" t="s">
        <v>298</v>
      </c>
      <c r="I329" s="335"/>
      <c r="J329" s="336"/>
      <c r="K329" s="301"/>
      <c r="L329" s="336"/>
      <c r="M329" s="301"/>
      <c r="N329" s="336"/>
      <c r="O329" s="301"/>
      <c r="P329" s="336"/>
      <c r="Q329" s="301"/>
      <c r="R329" s="336"/>
      <c r="S329" s="301"/>
      <c r="T329" s="336"/>
    </row>
    <row r="330" spans="1:20" ht="12" customHeight="1" x14ac:dyDescent="0.3">
      <c r="A330" s="329" t="s">
        <v>289</v>
      </c>
      <c r="B330" s="330">
        <v>6</v>
      </c>
      <c r="C330" s="298">
        <v>46186</v>
      </c>
      <c r="D330" s="299" t="s">
        <v>319</v>
      </c>
      <c r="E330" s="522">
        <v>13.58</v>
      </c>
      <c r="F330" s="522"/>
      <c r="G330" s="333">
        <f t="shared" si="8"/>
        <v>7554.5299999999861</v>
      </c>
      <c r="H330" s="334"/>
      <c r="I330" s="335"/>
      <c r="J330" s="336"/>
      <c r="K330" s="301"/>
      <c r="L330" s="336"/>
      <c r="M330" s="301"/>
      <c r="N330" s="336"/>
      <c r="O330" s="301"/>
      <c r="P330" s="336"/>
      <c r="Q330" s="301"/>
      <c r="R330" s="336"/>
      <c r="S330" s="301"/>
      <c r="T330" s="336"/>
    </row>
    <row r="331" spans="1:20" ht="12" customHeight="1" x14ac:dyDescent="0.3">
      <c r="A331" s="329" t="s">
        <v>294</v>
      </c>
      <c r="B331" s="330">
        <v>24</v>
      </c>
      <c r="C331" s="298">
        <v>46186</v>
      </c>
      <c r="D331" s="299" t="s">
        <v>860</v>
      </c>
      <c r="E331" s="522">
        <v>109.5</v>
      </c>
      <c r="F331" s="522"/>
      <c r="G331" s="333">
        <f t="shared" si="8"/>
        <v>7568.109999999986</v>
      </c>
      <c r="H331" s="334"/>
      <c r="I331" s="335"/>
      <c r="J331" s="336"/>
      <c r="K331" s="301"/>
      <c r="L331" s="336"/>
      <c r="M331" s="301"/>
      <c r="N331" s="336"/>
      <c r="O331" s="301"/>
      <c r="P331" s="336"/>
      <c r="Q331" s="301"/>
      <c r="R331" s="336"/>
      <c r="S331" s="301"/>
      <c r="T331" s="336"/>
    </row>
    <row r="332" spans="1:20" ht="12" customHeight="1" x14ac:dyDescent="0.3">
      <c r="A332" s="329" t="s">
        <v>294</v>
      </c>
      <c r="B332" s="330">
        <v>19</v>
      </c>
      <c r="C332" s="298">
        <v>46186</v>
      </c>
      <c r="D332" s="299" t="s">
        <v>191</v>
      </c>
      <c r="E332" s="522">
        <v>200</v>
      </c>
      <c r="F332" s="522"/>
      <c r="G332" s="333">
        <f t="shared" si="8"/>
        <v>7677.609999999986</v>
      </c>
      <c r="H332" s="334"/>
      <c r="I332" s="335"/>
      <c r="J332" s="336"/>
      <c r="K332" s="301"/>
      <c r="L332" s="336"/>
      <c r="M332" s="301"/>
      <c r="N332" s="336"/>
      <c r="O332" s="301"/>
      <c r="P332" s="336"/>
      <c r="Q332" s="301"/>
      <c r="R332" s="336"/>
      <c r="S332" s="301"/>
      <c r="T332" s="336"/>
    </row>
    <row r="333" spans="1:20" ht="12" customHeight="1" x14ac:dyDescent="0.3">
      <c r="A333" s="329" t="s">
        <v>291</v>
      </c>
      <c r="B333" s="330">
        <v>38</v>
      </c>
      <c r="C333" s="298">
        <v>46186</v>
      </c>
      <c r="D333" s="299" t="s">
        <v>293</v>
      </c>
      <c r="E333" s="522"/>
      <c r="F333" s="522">
        <v>4597.82</v>
      </c>
      <c r="G333" s="333">
        <f t="shared" si="8"/>
        <v>7877.609999999986</v>
      </c>
      <c r="H333" s="334"/>
      <c r="I333" s="335"/>
      <c r="J333" s="336"/>
      <c r="K333" s="301"/>
      <c r="L333" s="336"/>
      <c r="M333" s="301"/>
      <c r="N333" s="336"/>
      <c r="O333" s="301"/>
      <c r="P333" s="336"/>
      <c r="Q333" s="301"/>
      <c r="R333" s="336"/>
      <c r="S333" s="301"/>
      <c r="T333" s="336"/>
    </row>
    <row r="334" spans="1:20" ht="12" customHeight="1" x14ac:dyDescent="0.3">
      <c r="A334" s="329" t="s">
        <v>289</v>
      </c>
      <c r="B334" s="330">
        <v>2</v>
      </c>
      <c r="C334" s="298">
        <v>46185</v>
      </c>
      <c r="D334" s="299" t="s">
        <v>916</v>
      </c>
      <c r="E334" s="522">
        <v>90.54</v>
      </c>
      <c r="F334" s="522"/>
      <c r="G334" s="333">
        <f t="shared" si="8"/>
        <v>3279.7899999999863</v>
      </c>
      <c r="H334" s="334"/>
      <c r="I334" s="335"/>
      <c r="J334" s="336"/>
      <c r="K334" s="301"/>
      <c r="L334" s="336"/>
      <c r="M334" s="301"/>
      <c r="N334" s="336"/>
      <c r="O334" s="301"/>
      <c r="P334" s="336"/>
      <c r="Q334" s="301"/>
      <c r="R334" s="336"/>
      <c r="S334" s="301"/>
      <c r="T334" s="336"/>
    </row>
    <row r="335" spans="1:20" ht="12" customHeight="1" x14ac:dyDescent="0.3">
      <c r="A335" s="329" t="s">
        <v>289</v>
      </c>
      <c r="B335" s="330">
        <v>8</v>
      </c>
      <c r="C335" s="298">
        <v>46185</v>
      </c>
      <c r="D335" s="299" t="s">
        <v>916</v>
      </c>
      <c r="E335" s="522">
        <v>50</v>
      </c>
      <c r="F335" s="522"/>
      <c r="G335" s="333">
        <f t="shared" si="8"/>
        <v>3370.3299999999863</v>
      </c>
      <c r="H335" s="334"/>
      <c r="I335" s="335"/>
      <c r="J335" s="336"/>
      <c r="K335" s="301"/>
      <c r="L335" s="336"/>
      <c r="M335" s="301"/>
      <c r="N335" s="336"/>
      <c r="O335" s="301"/>
      <c r="P335" s="336"/>
      <c r="Q335" s="301"/>
      <c r="R335" s="336"/>
      <c r="S335" s="301"/>
      <c r="T335" s="336"/>
    </row>
    <row r="336" spans="1:20" ht="12" customHeight="1" x14ac:dyDescent="0.3">
      <c r="A336" s="329" t="s">
        <v>289</v>
      </c>
      <c r="B336" s="330">
        <v>6</v>
      </c>
      <c r="C336" s="298">
        <v>46185</v>
      </c>
      <c r="D336" s="299" t="s">
        <v>300</v>
      </c>
      <c r="E336" s="522">
        <v>79.849999999999994</v>
      </c>
      <c r="F336" s="522"/>
      <c r="G336" s="333">
        <f t="shared" si="8"/>
        <v>3420.3299999999863</v>
      </c>
      <c r="H336" s="334"/>
      <c r="I336" s="335"/>
      <c r="J336" s="336"/>
      <c r="K336" s="301"/>
      <c r="L336" s="336"/>
      <c r="M336" s="301"/>
      <c r="N336" s="336"/>
      <c r="O336" s="301"/>
      <c r="P336" s="336"/>
      <c r="Q336" s="301"/>
      <c r="R336" s="336"/>
      <c r="S336" s="301"/>
      <c r="T336" s="336"/>
    </row>
    <row r="337" spans="1:20" ht="12" customHeight="1" x14ac:dyDescent="0.3">
      <c r="A337" s="329" t="s">
        <v>289</v>
      </c>
      <c r="B337" s="330">
        <v>6</v>
      </c>
      <c r="C337" s="298">
        <v>46184</v>
      </c>
      <c r="D337" s="299" t="s">
        <v>360</v>
      </c>
      <c r="E337" s="522">
        <v>70</v>
      </c>
      <c r="F337" s="522"/>
      <c r="G337" s="333">
        <f t="shared" si="8"/>
        <v>3500.1799999999862</v>
      </c>
      <c r="H337" s="334"/>
      <c r="I337" s="335"/>
      <c r="J337" s="336"/>
      <c r="K337" s="301"/>
      <c r="L337" s="336"/>
      <c r="M337" s="301"/>
      <c r="N337" s="336"/>
      <c r="O337" s="301"/>
      <c r="P337" s="336"/>
      <c r="Q337" s="301"/>
      <c r="R337" s="336"/>
      <c r="S337" s="301"/>
      <c r="T337" s="336"/>
    </row>
    <row r="338" spans="1:20" ht="12" customHeight="1" x14ac:dyDescent="0.3">
      <c r="A338" s="329" t="s">
        <v>287</v>
      </c>
      <c r="B338" s="330" t="s">
        <v>287</v>
      </c>
      <c r="C338" s="298">
        <v>46184</v>
      </c>
      <c r="D338" s="299" t="s">
        <v>911</v>
      </c>
      <c r="E338" s="522">
        <v>2159</v>
      </c>
      <c r="F338" s="522">
        <v>2159</v>
      </c>
      <c r="G338" s="333">
        <f t="shared" si="8"/>
        <v>3570.1799999999862</v>
      </c>
      <c r="H338" s="334"/>
      <c r="I338" s="335"/>
      <c r="J338" s="336"/>
      <c r="K338" s="301"/>
      <c r="L338" s="336"/>
      <c r="M338" s="301"/>
      <c r="N338" s="336"/>
      <c r="O338" s="301"/>
      <c r="P338" s="336"/>
      <c r="Q338" s="301"/>
      <c r="R338" s="336"/>
      <c r="S338" s="301"/>
      <c r="T338" s="336"/>
    </row>
    <row r="339" spans="1:20" ht="12" customHeight="1" x14ac:dyDescent="0.3">
      <c r="A339" s="329" t="s">
        <v>294</v>
      </c>
      <c r="B339" s="330">
        <v>22</v>
      </c>
      <c r="C339" s="298">
        <v>46184</v>
      </c>
      <c r="D339" s="299" t="s">
        <v>352</v>
      </c>
      <c r="E339" s="522">
        <v>21.29</v>
      </c>
      <c r="F339" s="522"/>
      <c r="G339" s="333">
        <f t="shared" si="8"/>
        <v>3570.1799999999862</v>
      </c>
      <c r="H339" s="334"/>
      <c r="I339" s="335"/>
      <c r="J339" s="336"/>
      <c r="K339" s="301"/>
      <c r="L339" s="336"/>
      <c r="M339" s="301"/>
      <c r="N339" s="336"/>
      <c r="O339" s="301"/>
      <c r="P339" s="336"/>
      <c r="Q339" s="301"/>
      <c r="R339" s="336"/>
      <c r="S339" s="301"/>
      <c r="T339" s="336"/>
    </row>
    <row r="340" spans="1:20" ht="12" customHeight="1" x14ac:dyDescent="0.3">
      <c r="A340" s="329" t="s">
        <v>289</v>
      </c>
      <c r="B340" s="330">
        <v>4</v>
      </c>
      <c r="C340" s="298">
        <v>46184</v>
      </c>
      <c r="D340" s="299" t="s">
        <v>296</v>
      </c>
      <c r="E340" s="522">
        <v>40.67</v>
      </c>
      <c r="F340" s="522"/>
      <c r="G340" s="333">
        <f t="shared" si="8"/>
        <v>3591.4699999999862</v>
      </c>
      <c r="H340" s="334"/>
      <c r="I340" s="335"/>
      <c r="J340" s="336"/>
      <c r="K340" s="301"/>
      <c r="L340" s="336"/>
      <c r="M340" s="301"/>
      <c r="N340" s="336"/>
      <c r="O340" s="301"/>
      <c r="P340" s="336"/>
      <c r="Q340" s="301"/>
      <c r="R340" s="336"/>
      <c r="S340" s="301"/>
      <c r="T340" s="336"/>
    </row>
    <row r="341" spans="1:20" ht="12" customHeight="1" x14ac:dyDescent="0.3">
      <c r="A341" s="329" t="s">
        <v>289</v>
      </c>
      <c r="B341" s="330">
        <v>8</v>
      </c>
      <c r="C341" s="298">
        <v>46184</v>
      </c>
      <c r="D341" s="299" t="s">
        <v>319</v>
      </c>
      <c r="E341" s="522">
        <v>15.53</v>
      </c>
      <c r="F341" s="522"/>
      <c r="G341" s="333">
        <f t="shared" si="8"/>
        <v>3632.1399999999862</v>
      </c>
      <c r="H341" s="334"/>
      <c r="I341" s="335"/>
      <c r="J341" s="336"/>
      <c r="K341" s="301"/>
      <c r="L341" s="336"/>
      <c r="M341" s="301"/>
      <c r="N341" s="336"/>
      <c r="O341" s="301"/>
      <c r="P341" s="336"/>
      <c r="Q341" s="301"/>
      <c r="R341" s="336"/>
      <c r="S341" s="301"/>
      <c r="T341" s="336"/>
    </row>
    <row r="342" spans="1:20" ht="12" customHeight="1" x14ac:dyDescent="0.3">
      <c r="A342" s="329" t="s">
        <v>289</v>
      </c>
      <c r="B342" s="330">
        <v>2</v>
      </c>
      <c r="C342" s="298">
        <v>46184</v>
      </c>
      <c r="D342" s="299" t="s">
        <v>473</v>
      </c>
      <c r="E342" s="522">
        <v>83.89</v>
      </c>
      <c r="F342" s="522"/>
      <c r="G342" s="333">
        <f t="shared" ref="G342:G359" si="9">G343-E342+F342</f>
        <v>3647.6699999999864</v>
      </c>
      <c r="H342" s="334"/>
      <c r="I342" s="335"/>
      <c r="J342" s="336"/>
      <c r="K342" s="301"/>
      <c r="L342" s="336"/>
      <c r="M342" s="301"/>
      <c r="N342" s="336"/>
      <c r="O342" s="301"/>
      <c r="P342" s="336"/>
      <c r="Q342" s="301"/>
      <c r="R342" s="336"/>
      <c r="S342" s="301"/>
      <c r="T342" s="336"/>
    </row>
    <row r="343" spans="1:20" ht="12" customHeight="1" x14ac:dyDescent="0.3">
      <c r="A343" s="329" t="s">
        <v>294</v>
      </c>
      <c r="B343" s="330">
        <v>23</v>
      </c>
      <c r="C343" s="298">
        <v>46184</v>
      </c>
      <c r="D343" s="299" t="s">
        <v>67</v>
      </c>
      <c r="E343" s="522">
        <v>599.86</v>
      </c>
      <c r="F343" s="522"/>
      <c r="G343" s="333">
        <f t="shared" si="9"/>
        <v>3731.5599999999863</v>
      </c>
      <c r="H343" s="334"/>
      <c r="I343" s="335"/>
      <c r="J343" s="336"/>
      <c r="K343" s="301"/>
      <c r="L343" s="336"/>
      <c r="M343" s="301"/>
      <c r="N343" s="336"/>
      <c r="O343" s="301"/>
      <c r="P343" s="336"/>
      <c r="Q343" s="301"/>
      <c r="R343" s="336"/>
      <c r="S343" s="301"/>
      <c r="T343" s="336"/>
    </row>
    <row r="344" spans="1:20" ht="12" customHeight="1" x14ac:dyDescent="0.3">
      <c r="A344" s="329" t="s">
        <v>291</v>
      </c>
      <c r="B344" s="330">
        <v>41</v>
      </c>
      <c r="C344" s="298">
        <v>46184</v>
      </c>
      <c r="D344" s="299" t="s">
        <v>909</v>
      </c>
      <c r="E344" s="522"/>
      <c r="F344" s="522">
        <v>800</v>
      </c>
      <c r="G344" s="333">
        <f t="shared" si="9"/>
        <v>4331.4199999999864</v>
      </c>
      <c r="H344" s="334"/>
      <c r="I344" s="335"/>
      <c r="J344" s="336"/>
      <c r="K344" s="301"/>
      <c r="L344" s="336"/>
      <c r="M344" s="301"/>
      <c r="N344" s="336"/>
      <c r="O344" s="301"/>
      <c r="P344" s="336"/>
      <c r="Q344" s="301"/>
      <c r="R344" s="336"/>
      <c r="S344" s="301"/>
      <c r="T344" s="336"/>
    </row>
    <row r="345" spans="1:20" ht="12" customHeight="1" x14ac:dyDescent="0.3">
      <c r="A345" s="329" t="s">
        <v>291</v>
      </c>
      <c r="B345" s="330">
        <v>39</v>
      </c>
      <c r="C345" s="298">
        <v>46184</v>
      </c>
      <c r="D345" s="299" t="s">
        <v>292</v>
      </c>
      <c r="E345" s="522"/>
      <c r="F345" s="522">
        <v>2763.78</v>
      </c>
      <c r="G345" s="333">
        <f t="shared" si="9"/>
        <v>3531.4199999999864</v>
      </c>
      <c r="H345" s="334"/>
      <c r="I345" s="335"/>
      <c r="J345" s="336"/>
      <c r="K345" s="301"/>
      <c r="L345" s="336"/>
      <c r="M345" s="301"/>
      <c r="N345" s="336"/>
      <c r="O345" s="301"/>
      <c r="P345" s="336"/>
      <c r="Q345" s="301"/>
      <c r="R345" s="336"/>
      <c r="S345" s="301"/>
      <c r="T345" s="336"/>
    </row>
    <row r="346" spans="1:20" ht="12" customHeight="1" x14ac:dyDescent="0.3">
      <c r="A346" s="329" t="s">
        <v>287</v>
      </c>
      <c r="B346" s="330" t="s">
        <v>287</v>
      </c>
      <c r="C346" s="298">
        <v>46183</v>
      </c>
      <c r="D346" s="299" t="s">
        <v>910</v>
      </c>
      <c r="E346" s="522">
        <v>816.19</v>
      </c>
      <c r="F346" s="522">
        <v>816.19</v>
      </c>
      <c r="G346" s="333">
        <f t="shared" si="9"/>
        <v>767.639999999986</v>
      </c>
      <c r="H346" s="334"/>
      <c r="I346" s="335"/>
      <c r="J346" s="336"/>
      <c r="K346" s="301"/>
      <c r="L346" s="336"/>
      <c r="M346" s="301"/>
      <c r="N346" s="336"/>
      <c r="O346" s="301"/>
      <c r="P346" s="336"/>
      <c r="Q346" s="301"/>
      <c r="R346" s="336"/>
      <c r="S346" s="301"/>
      <c r="T346" s="336"/>
    </row>
    <row r="347" spans="1:20" ht="12" customHeight="1" x14ac:dyDescent="0.3">
      <c r="A347" s="329" t="s">
        <v>289</v>
      </c>
      <c r="B347" s="330">
        <v>6</v>
      </c>
      <c r="C347" s="298">
        <v>46183</v>
      </c>
      <c r="D347" s="299" t="s">
        <v>412</v>
      </c>
      <c r="E347" s="522">
        <v>-3.99</v>
      </c>
      <c r="F347" s="522"/>
      <c r="G347" s="333">
        <f t="shared" si="9"/>
        <v>767.639999999986</v>
      </c>
      <c r="H347" s="334"/>
      <c r="I347" s="335"/>
      <c r="J347" s="336"/>
      <c r="K347" s="301"/>
      <c r="L347" s="336"/>
      <c r="M347" s="301"/>
      <c r="N347" s="336"/>
      <c r="O347" s="301"/>
      <c r="P347" s="336"/>
      <c r="Q347" s="301"/>
      <c r="R347" s="336"/>
      <c r="S347" s="301"/>
      <c r="T347" s="336"/>
    </row>
    <row r="348" spans="1:20" ht="12" customHeight="1" x14ac:dyDescent="0.3">
      <c r="A348" s="329" t="s">
        <v>289</v>
      </c>
      <c r="B348" s="330">
        <v>6</v>
      </c>
      <c r="C348" s="298">
        <v>46183</v>
      </c>
      <c r="D348" s="299" t="s">
        <v>907</v>
      </c>
      <c r="E348" s="522">
        <v>-0.03</v>
      </c>
      <c r="F348" s="522"/>
      <c r="G348" s="333">
        <f t="shared" si="9"/>
        <v>763.64999999998599</v>
      </c>
      <c r="H348" s="334"/>
      <c r="I348" s="335"/>
      <c r="J348" s="336"/>
      <c r="K348" s="301"/>
      <c r="L348" s="336"/>
      <c r="M348" s="301"/>
      <c r="N348" s="336"/>
      <c r="O348" s="301"/>
      <c r="P348" s="336"/>
      <c r="Q348" s="301"/>
      <c r="R348" s="336"/>
      <c r="S348" s="301"/>
      <c r="T348" s="336"/>
    </row>
    <row r="349" spans="1:20" ht="12" customHeight="1" x14ac:dyDescent="0.3">
      <c r="A349" s="329" t="s">
        <v>291</v>
      </c>
      <c r="B349" s="330">
        <v>40</v>
      </c>
      <c r="C349" s="298">
        <v>46183</v>
      </c>
      <c r="D349" s="299" t="s">
        <v>316</v>
      </c>
      <c r="E349" s="522"/>
      <c r="F349" s="522">
        <v>1250.17</v>
      </c>
      <c r="G349" s="333">
        <f t="shared" si="9"/>
        <v>763.61999999998602</v>
      </c>
      <c r="H349" s="334"/>
      <c r="I349" s="335"/>
      <c r="J349" s="336"/>
      <c r="K349" s="301"/>
      <c r="L349" s="336"/>
      <c r="M349" s="301"/>
      <c r="N349" s="336"/>
      <c r="O349" s="301"/>
      <c r="P349" s="336"/>
      <c r="Q349" s="301"/>
      <c r="R349" s="336"/>
      <c r="S349" s="301"/>
      <c r="T349" s="336"/>
    </row>
    <row r="350" spans="1:20" ht="12" customHeight="1" x14ac:dyDescent="0.3">
      <c r="A350" s="329" t="s">
        <v>289</v>
      </c>
      <c r="B350" s="330">
        <v>2</v>
      </c>
      <c r="C350" s="298">
        <v>46182</v>
      </c>
      <c r="D350" s="299" t="s">
        <v>353</v>
      </c>
      <c r="E350" s="522">
        <v>25.98</v>
      </c>
      <c r="F350" s="522"/>
      <c r="G350" s="333">
        <f t="shared" si="9"/>
        <v>-486.55000000001405</v>
      </c>
      <c r="H350" s="334"/>
      <c r="I350" s="335"/>
      <c r="J350" s="336"/>
      <c r="K350" s="301"/>
      <c r="L350" s="336"/>
      <c r="M350" s="301"/>
      <c r="N350" s="336"/>
      <c r="O350" s="301"/>
      <c r="P350" s="336"/>
      <c r="Q350" s="301"/>
      <c r="R350" s="336"/>
      <c r="S350" s="301"/>
      <c r="T350" s="336"/>
    </row>
    <row r="351" spans="1:20" ht="12" customHeight="1" x14ac:dyDescent="0.3">
      <c r="A351" s="329" t="s">
        <v>289</v>
      </c>
      <c r="B351" s="330">
        <v>5</v>
      </c>
      <c r="C351" s="298">
        <v>46182</v>
      </c>
      <c r="D351" s="299" t="s">
        <v>854</v>
      </c>
      <c r="E351" s="522">
        <v>10.68</v>
      </c>
      <c r="F351" s="522"/>
      <c r="G351" s="333">
        <f t="shared" si="9"/>
        <v>-460.57000000001403</v>
      </c>
      <c r="H351" s="334"/>
      <c r="I351" s="335"/>
      <c r="J351" s="336"/>
      <c r="K351" s="301"/>
      <c r="L351" s="336"/>
      <c r="M351" s="301"/>
      <c r="N351" s="336"/>
      <c r="O351" s="301"/>
      <c r="P351" s="336"/>
      <c r="Q351" s="301"/>
      <c r="R351" s="336"/>
      <c r="S351" s="301"/>
      <c r="T351" s="336"/>
    </row>
    <row r="352" spans="1:20" ht="12" customHeight="1" x14ac:dyDescent="0.3">
      <c r="A352" s="329" t="s">
        <v>289</v>
      </c>
      <c r="B352" s="330">
        <v>2</v>
      </c>
      <c r="C352" s="298">
        <v>46182</v>
      </c>
      <c r="D352" s="299" t="s">
        <v>301</v>
      </c>
      <c r="E352" s="522">
        <v>29.95</v>
      </c>
      <c r="F352" s="522"/>
      <c r="G352" s="333">
        <f t="shared" si="9"/>
        <v>-449.89000000001403</v>
      </c>
      <c r="H352" s="334"/>
      <c r="I352" s="335"/>
      <c r="J352" s="336"/>
      <c r="K352" s="301"/>
      <c r="L352" s="336"/>
      <c r="M352" s="301"/>
      <c r="N352" s="336"/>
      <c r="O352" s="301"/>
      <c r="P352" s="336"/>
      <c r="Q352" s="301"/>
      <c r="R352" s="336"/>
      <c r="S352" s="301"/>
      <c r="T352" s="336"/>
    </row>
    <row r="353" spans="1:20" ht="12" customHeight="1" x14ac:dyDescent="0.3">
      <c r="A353" s="329" t="s">
        <v>294</v>
      </c>
      <c r="B353" s="330">
        <v>22</v>
      </c>
      <c r="C353" s="298">
        <v>46182</v>
      </c>
      <c r="D353" s="299" t="s">
        <v>908</v>
      </c>
      <c r="E353" s="522">
        <v>5.31</v>
      </c>
      <c r="F353" s="522"/>
      <c r="G353" s="333">
        <f t="shared" si="9"/>
        <v>-419.94000000001404</v>
      </c>
      <c r="H353" s="334"/>
      <c r="I353" s="335"/>
      <c r="J353" s="336"/>
      <c r="K353" s="301"/>
      <c r="L353" s="336"/>
      <c r="M353" s="301"/>
      <c r="N353" s="336"/>
      <c r="O353" s="301"/>
      <c r="P353" s="336"/>
      <c r="Q353" s="301"/>
      <c r="R353" s="336"/>
      <c r="S353" s="301"/>
      <c r="T353" s="336"/>
    </row>
    <row r="354" spans="1:20" ht="12" customHeight="1" x14ac:dyDescent="0.3">
      <c r="A354" s="329" t="s">
        <v>289</v>
      </c>
      <c r="B354" s="330">
        <v>2</v>
      </c>
      <c r="C354" s="298">
        <v>46182</v>
      </c>
      <c r="D354" s="299" t="s">
        <v>435</v>
      </c>
      <c r="E354" s="522">
        <v>58.69</v>
      </c>
      <c r="F354" s="522"/>
      <c r="G354" s="333">
        <f t="shared" si="9"/>
        <v>-414.63000000001404</v>
      </c>
      <c r="H354" s="334"/>
      <c r="I354" s="335"/>
      <c r="J354" s="336"/>
      <c r="K354" s="301"/>
      <c r="L354" s="336"/>
      <c r="M354" s="301"/>
      <c r="N354" s="336"/>
      <c r="O354" s="301"/>
      <c r="P354" s="336"/>
      <c r="Q354" s="301"/>
      <c r="R354" s="336"/>
      <c r="S354" s="301"/>
      <c r="T354" s="336"/>
    </row>
    <row r="355" spans="1:20" ht="12" customHeight="1" x14ac:dyDescent="0.3">
      <c r="A355" s="329" t="s">
        <v>289</v>
      </c>
      <c r="B355" s="330">
        <v>8</v>
      </c>
      <c r="C355" s="298">
        <v>46182</v>
      </c>
      <c r="D355" s="299" t="s">
        <v>435</v>
      </c>
      <c r="E355" s="522">
        <v>58.69</v>
      </c>
      <c r="F355" s="522"/>
      <c r="G355" s="333">
        <f t="shared" si="9"/>
        <v>-355.94000000001404</v>
      </c>
      <c r="H355" s="334"/>
      <c r="I355" s="335"/>
      <c r="J355" s="336"/>
      <c r="K355" s="301"/>
      <c r="L355" s="336"/>
      <c r="M355" s="301"/>
      <c r="N355" s="336"/>
      <c r="O355" s="301"/>
      <c r="P355" s="336"/>
      <c r="Q355" s="301"/>
      <c r="R355" s="336"/>
      <c r="S355" s="301"/>
      <c r="T355" s="336"/>
    </row>
    <row r="356" spans="1:20" ht="12" customHeight="1" x14ac:dyDescent="0.3">
      <c r="A356" s="329" t="s">
        <v>289</v>
      </c>
      <c r="B356" s="330">
        <v>8</v>
      </c>
      <c r="C356" s="298">
        <v>46181</v>
      </c>
      <c r="D356" s="299" t="s">
        <v>319</v>
      </c>
      <c r="E356" s="522">
        <v>8.86</v>
      </c>
      <c r="F356" s="522"/>
      <c r="G356" s="333">
        <f t="shared" si="9"/>
        <v>-297.25000000001404</v>
      </c>
      <c r="H356" s="334"/>
      <c r="I356" s="335"/>
      <c r="J356" s="336"/>
      <c r="K356" s="301"/>
      <c r="L356" s="336"/>
      <c r="M356" s="301"/>
      <c r="N356" s="336"/>
      <c r="O356" s="301"/>
      <c r="P356" s="336"/>
      <c r="Q356" s="301"/>
      <c r="R356" s="336"/>
      <c r="S356" s="301"/>
      <c r="T356" s="336"/>
    </row>
    <row r="357" spans="1:20" ht="12" customHeight="1" x14ac:dyDescent="0.3">
      <c r="A357" s="329" t="s">
        <v>289</v>
      </c>
      <c r="B357" s="330">
        <v>6</v>
      </c>
      <c r="C357" s="298">
        <v>46181</v>
      </c>
      <c r="D357" s="299" t="s">
        <v>397</v>
      </c>
      <c r="E357" s="522">
        <v>12.84</v>
      </c>
      <c r="F357" s="522"/>
      <c r="G357" s="333">
        <f t="shared" si="9"/>
        <v>-288.39000000001403</v>
      </c>
      <c r="H357" s="334"/>
      <c r="I357" s="335"/>
      <c r="J357" s="336"/>
      <c r="K357" s="301"/>
      <c r="L357" s="336"/>
      <c r="M357" s="301"/>
      <c r="N357" s="336"/>
      <c r="O357" s="301"/>
      <c r="P357" s="336"/>
      <c r="Q357" s="301"/>
      <c r="R357" s="336"/>
      <c r="S357" s="301"/>
      <c r="T357" s="336"/>
    </row>
    <row r="358" spans="1:20" ht="12" customHeight="1" x14ac:dyDescent="0.3">
      <c r="A358" s="329" t="s">
        <v>294</v>
      </c>
      <c r="B358" s="330">
        <v>9</v>
      </c>
      <c r="C358" s="298">
        <v>46181</v>
      </c>
      <c r="D358" s="299" t="s">
        <v>58</v>
      </c>
      <c r="E358" s="522">
        <v>1231.68</v>
      </c>
      <c r="F358" s="522"/>
      <c r="G358" s="333">
        <f t="shared" si="9"/>
        <v>-275.55000000001405</v>
      </c>
      <c r="H358" s="334"/>
      <c r="I358" s="335"/>
      <c r="J358" s="336"/>
      <c r="K358" s="301"/>
      <c r="L358" s="336"/>
      <c r="M358" s="301"/>
      <c r="N358" s="336"/>
      <c r="O358" s="301"/>
      <c r="P358" s="336"/>
      <c r="Q358" s="301"/>
      <c r="R358" s="336"/>
      <c r="S358" s="301"/>
      <c r="T358" s="336"/>
    </row>
    <row r="359" spans="1:20" ht="12" customHeight="1" x14ac:dyDescent="0.3">
      <c r="A359" s="329" t="s">
        <v>289</v>
      </c>
      <c r="B359" s="330">
        <v>4</v>
      </c>
      <c r="C359" s="298">
        <v>46180</v>
      </c>
      <c r="D359" s="299" t="s">
        <v>310</v>
      </c>
      <c r="E359" s="522">
        <v>47.6</v>
      </c>
      <c r="F359" s="522"/>
      <c r="G359" s="333">
        <f t="shared" si="9"/>
        <v>956.12999999998601</v>
      </c>
      <c r="H359" s="334"/>
      <c r="I359" s="335"/>
      <c r="J359" s="336"/>
      <c r="K359" s="301"/>
      <c r="L359" s="336"/>
      <c r="M359" s="301"/>
      <c r="N359" s="336"/>
      <c r="O359" s="301"/>
      <c r="P359" s="336"/>
      <c r="Q359" s="301"/>
      <c r="R359" s="336"/>
      <c r="S359" s="301"/>
      <c r="T359" s="336"/>
    </row>
    <row r="360" spans="1:20" ht="12" customHeight="1" x14ac:dyDescent="0.3">
      <c r="A360" s="329" t="s">
        <v>289</v>
      </c>
      <c r="B360" s="330">
        <v>1</v>
      </c>
      <c r="C360" s="298">
        <v>46180</v>
      </c>
      <c r="D360" s="299" t="s">
        <v>368</v>
      </c>
      <c r="E360" s="522">
        <v>48.62</v>
      </c>
      <c r="F360" s="522"/>
      <c r="G360" s="333">
        <f t="shared" ref="G360:G370" si="10">G361-E360+F360</f>
        <v>1003.729999999986</v>
      </c>
      <c r="H360" s="334"/>
      <c r="I360" s="335"/>
      <c r="J360" s="336"/>
      <c r="K360" s="301"/>
      <c r="L360" s="336"/>
      <c r="M360" s="301"/>
      <c r="N360" s="336"/>
      <c r="O360" s="301"/>
      <c r="P360" s="336"/>
      <c r="Q360" s="301"/>
      <c r="R360" s="336"/>
      <c r="S360" s="301"/>
      <c r="T360" s="336"/>
    </row>
    <row r="361" spans="1:20" ht="12" customHeight="1" x14ac:dyDescent="0.3">
      <c r="A361" s="329" t="s">
        <v>289</v>
      </c>
      <c r="B361" s="330">
        <v>8</v>
      </c>
      <c r="C361" s="298">
        <v>46180</v>
      </c>
      <c r="D361" s="299" t="s">
        <v>363</v>
      </c>
      <c r="E361" s="522">
        <v>6.37</v>
      </c>
      <c r="F361" s="522"/>
      <c r="G361" s="333">
        <f t="shared" si="10"/>
        <v>1052.349999999986</v>
      </c>
      <c r="H361" s="334"/>
      <c r="I361" s="335"/>
      <c r="J361" s="336"/>
      <c r="K361" s="301"/>
      <c r="L361" s="336"/>
      <c r="M361" s="301"/>
      <c r="N361" s="336"/>
      <c r="O361" s="301"/>
      <c r="P361" s="336"/>
      <c r="Q361" s="301"/>
      <c r="R361" s="336"/>
      <c r="S361" s="301"/>
      <c r="T361" s="336"/>
    </row>
    <row r="362" spans="1:20" ht="12" customHeight="1" x14ac:dyDescent="0.3">
      <c r="A362" s="329" t="s">
        <v>287</v>
      </c>
      <c r="B362" s="330" t="s">
        <v>287</v>
      </c>
      <c r="C362" s="298">
        <v>46180</v>
      </c>
      <c r="D362" s="299" t="s">
        <v>890</v>
      </c>
      <c r="E362" s="522">
        <v>313.77999999999997</v>
      </c>
      <c r="F362" s="522">
        <v>313.77999999999997</v>
      </c>
      <c r="G362" s="333">
        <f t="shared" si="10"/>
        <v>1058.7199999999859</v>
      </c>
      <c r="H362" s="334"/>
      <c r="I362" s="335"/>
      <c r="J362" s="336"/>
      <c r="K362" s="301"/>
      <c r="L362" s="336"/>
      <c r="M362" s="301"/>
      <c r="N362" s="336"/>
      <c r="O362" s="301"/>
      <c r="P362" s="336"/>
      <c r="Q362" s="301"/>
      <c r="R362" s="336"/>
      <c r="S362" s="301"/>
      <c r="T362" s="336"/>
    </row>
    <row r="363" spans="1:20" ht="12" customHeight="1" x14ac:dyDescent="0.3">
      <c r="A363" s="329" t="s">
        <v>289</v>
      </c>
      <c r="B363" s="330">
        <v>6</v>
      </c>
      <c r="C363" s="298">
        <v>46180</v>
      </c>
      <c r="D363" s="299" t="s">
        <v>397</v>
      </c>
      <c r="E363" s="522">
        <v>10.86</v>
      </c>
      <c r="F363" s="522"/>
      <c r="G363" s="333">
        <f t="shared" si="10"/>
        <v>1058.7199999999859</v>
      </c>
      <c r="H363" s="334"/>
      <c r="I363" s="335"/>
      <c r="J363" s="336"/>
      <c r="K363" s="301"/>
      <c r="L363" s="336"/>
      <c r="M363" s="301"/>
      <c r="N363" s="336"/>
      <c r="O363" s="301"/>
      <c r="P363" s="336"/>
      <c r="Q363" s="301"/>
      <c r="R363" s="336"/>
      <c r="S363" s="301"/>
      <c r="T363" s="336"/>
    </row>
    <row r="364" spans="1:20" ht="12" customHeight="1" x14ac:dyDescent="0.3">
      <c r="A364" s="329" t="s">
        <v>294</v>
      </c>
      <c r="B364" s="330">
        <v>14</v>
      </c>
      <c r="C364" s="298">
        <v>46179</v>
      </c>
      <c r="D364" s="299" t="s">
        <v>366</v>
      </c>
      <c r="E364" s="522">
        <v>66.67</v>
      </c>
      <c r="F364" s="522"/>
      <c r="G364" s="333">
        <f t="shared" si="10"/>
        <v>1069.5799999999858</v>
      </c>
      <c r="H364" s="334"/>
      <c r="I364" s="335"/>
      <c r="J364" s="336"/>
      <c r="K364" s="301"/>
      <c r="L364" s="336"/>
      <c r="M364" s="301"/>
      <c r="N364" s="336"/>
      <c r="O364" s="301"/>
      <c r="P364" s="336"/>
      <c r="Q364" s="301"/>
      <c r="R364" s="336"/>
      <c r="S364" s="301"/>
      <c r="T364" s="336"/>
    </row>
    <row r="365" spans="1:20" ht="12" customHeight="1" x14ac:dyDescent="0.3">
      <c r="A365" s="329" t="s">
        <v>289</v>
      </c>
      <c r="B365" s="330">
        <v>5</v>
      </c>
      <c r="C365" s="298">
        <v>46179</v>
      </c>
      <c r="D365" s="299" t="s">
        <v>906</v>
      </c>
      <c r="E365" s="522">
        <v>20</v>
      </c>
      <c r="F365" s="522"/>
      <c r="G365" s="333">
        <f t="shared" si="10"/>
        <v>1136.2499999999859</v>
      </c>
      <c r="H365" s="334"/>
      <c r="I365" s="335"/>
      <c r="J365" s="336"/>
      <c r="K365" s="301"/>
      <c r="L365" s="336"/>
      <c r="M365" s="301"/>
      <c r="N365" s="336"/>
      <c r="O365" s="301"/>
      <c r="P365" s="336"/>
      <c r="Q365" s="301"/>
      <c r="R365" s="336"/>
      <c r="S365" s="301"/>
      <c r="T365" s="336"/>
    </row>
    <row r="366" spans="1:20" ht="12" customHeight="1" x14ac:dyDescent="0.3">
      <c r="A366" s="329" t="s">
        <v>289</v>
      </c>
      <c r="B366" s="330">
        <v>1</v>
      </c>
      <c r="C366" s="298">
        <v>46179</v>
      </c>
      <c r="D366" s="299" t="s">
        <v>831</v>
      </c>
      <c r="E366" s="522">
        <v>54.06</v>
      </c>
      <c r="F366" s="522"/>
      <c r="G366" s="333">
        <f t="shared" si="10"/>
        <v>1156.2499999999859</v>
      </c>
      <c r="H366" s="334"/>
      <c r="I366" s="335"/>
      <c r="J366" s="336"/>
      <c r="K366" s="301"/>
      <c r="L366" s="336"/>
      <c r="M366" s="301"/>
      <c r="N366" s="336"/>
      <c r="O366" s="301"/>
      <c r="P366" s="336"/>
      <c r="Q366" s="301"/>
      <c r="R366" s="336"/>
      <c r="S366" s="301"/>
      <c r="T366" s="336"/>
    </row>
    <row r="367" spans="1:20" ht="12" customHeight="1" x14ac:dyDescent="0.3">
      <c r="A367" s="329" t="s">
        <v>289</v>
      </c>
      <c r="B367" s="330">
        <v>6</v>
      </c>
      <c r="C367" s="298">
        <v>46179</v>
      </c>
      <c r="D367" s="299" t="s">
        <v>903</v>
      </c>
      <c r="E367" s="522">
        <v>19.98</v>
      </c>
      <c r="F367" s="522"/>
      <c r="G367" s="333">
        <f t="shared" si="10"/>
        <v>1210.3099999999858</v>
      </c>
      <c r="H367" s="334"/>
      <c r="I367" s="335"/>
      <c r="J367" s="336"/>
      <c r="K367" s="301"/>
      <c r="L367" s="336"/>
      <c r="M367" s="301"/>
      <c r="N367" s="336"/>
      <c r="O367" s="301"/>
      <c r="P367" s="336"/>
      <c r="Q367" s="301"/>
      <c r="R367" s="336"/>
      <c r="S367" s="301"/>
      <c r="T367" s="336"/>
    </row>
    <row r="368" spans="1:20" ht="12" customHeight="1" x14ac:dyDescent="0.3">
      <c r="A368" s="329" t="s">
        <v>289</v>
      </c>
      <c r="B368" s="330">
        <v>6</v>
      </c>
      <c r="C368" s="298">
        <v>46179</v>
      </c>
      <c r="D368" s="299" t="s">
        <v>885</v>
      </c>
      <c r="E368" s="522">
        <v>100</v>
      </c>
      <c r="F368" s="522"/>
      <c r="G368" s="333">
        <f t="shared" si="10"/>
        <v>1230.2899999999859</v>
      </c>
      <c r="H368" s="334"/>
      <c r="I368" s="335"/>
      <c r="J368" s="336"/>
      <c r="K368" s="301"/>
      <c r="L368" s="336"/>
      <c r="M368" s="301"/>
      <c r="N368" s="336"/>
      <c r="O368" s="301"/>
      <c r="P368" s="336"/>
      <c r="Q368" s="301"/>
      <c r="R368" s="336"/>
      <c r="S368" s="301"/>
      <c r="T368" s="336"/>
    </row>
    <row r="369" spans="1:20" ht="12" customHeight="1" x14ac:dyDescent="0.3">
      <c r="A369" s="329" t="s">
        <v>289</v>
      </c>
      <c r="B369" s="330">
        <v>8</v>
      </c>
      <c r="C369" s="298">
        <v>46178</v>
      </c>
      <c r="D369" s="299" t="s">
        <v>319</v>
      </c>
      <c r="E369" s="522">
        <v>179.72</v>
      </c>
      <c r="F369" s="522"/>
      <c r="G369" s="333">
        <f t="shared" si="10"/>
        <v>1330.2899999999859</v>
      </c>
      <c r="H369" s="334"/>
      <c r="I369" s="335"/>
      <c r="J369" s="336"/>
      <c r="K369" s="301"/>
      <c r="L369" s="336"/>
      <c r="M369" s="301"/>
      <c r="N369" s="336"/>
      <c r="O369" s="301"/>
      <c r="P369" s="336"/>
      <c r="Q369" s="301"/>
      <c r="R369" s="336"/>
      <c r="S369" s="301"/>
      <c r="T369" s="336"/>
    </row>
    <row r="370" spans="1:20" ht="12" customHeight="1" x14ac:dyDescent="0.3">
      <c r="A370" s="329" t="s">
        <v>289</v>
      </c>
      <c r="B370" s="330">
        <v>4</v>
      </c>
      <c r="C370" s="298">
        <v>46178</v>
      </c>
      <c r="D370" s="299" t="s">
        <v>904</v>
      </c>
      <c r="E370" s="522">
        <v>41.26</v>
      </c>
      <c r="F370" s="522"/>
      <c r="G370" s="333">
        <f t="shared" si="10"/>
        <v>1510.0099999999859</v>
      </c>
      <c r="H370" s="334"/>
      <c r="I370" s="335"/>
      <c r="J370" s="336"/>
      <c r="K370" s="301"/>
      <c r="L370" s="336"/>
      <c r="M370" s="301"/>
      <c r="N370" s="336"/>
      <c r="O370" s="301"/>
      <c r="P370" s="336"/>
      <c r="Q370" s="301"/>
      <c r="R370" s="336"/>
      <c r="S370" s="301"/>
      <c r="T370" s="336"/>
    </row>
    <row r="371" spans="1:20" ht="12" customHeight="1" x14ac:dyDescent="0.3">
      <c r="A371" s="329" t="s">
        <v>289</v>
      </c>
      <c r="B371" s="330">
        <v>2</v>
      </c>
      <c r="C371" s="298">
        <v>46178</v>
      </c>
      <c r="D371" s="299" t="s">
        <v>358</v>
      </c>
      <c r="E371" s="522">
        <v>10.07</v>
      </c>
      <c r="F371" s="522"/>
      <c r="G371" s="333">
        <f t="shared" ref="G371:G383" si="11">G372-E371+F371</f>
        <v>1551.2699999999859</v>
      </c>
      <c r="H371" s="334"/>
      <c r="I371" s="335"/>
      <c r="J371" s="336"/>
      <c r="K371" s="301"/>
      <c r="L371" s="336"/>
      <c r="M371" s="301"/>
      <c r="N371" s="336"/>
      <c r="O371" s="301"/>
      <c r="P371" s="336"/>
      <c r="Q371" s="301"/>
      <c r="R371" s="336"/>
      <c r="S371" s="301"/>
      <c r="T371" s="336"/>
    </row>
    <row r="372" spans="1:20" ht="12" customHeight="1" x14ac:dyDescent="0.3">
      <c r="A372" s="329" t="s">
        <v>289</v>
      </c>
      <c r="B372" s="330">
        <v>2</v>
      </c>
      <c r="C372" s="298">
        <v>46178</v>
      </c>
      <c r="D372" s="299" t="s">
        <v>905</v>
      </c>
      <c r="E372" s="522">
        <v>11.75</v>
      </c>
      <c r="F372" s="522"/>
      <c r="G372" s="333">
        <f t="shared" si="11"/>
        <v>1561.3399999999858</v>
      </c>
      <c r="H372" s="334"/>
      <c r="I372" s="335"/>
      <c r="J372" s="336"/>
      <c r="K372" s="301"/>
      <c r="L372" s="336"/>
      <c r="M372" s="301"/>
      <c r="N372" s="336"/>
      <c r="O372" s="301"/>
      <c r="P372" s="336"/>
      <c r="Q372" s="301"/>
      <c r="R372" s="336"/>
      <c r="S372" s="301"/>
      <c r="T372" s="336"/>
    </row>
    <row r="373" spans="1:20" ht="12" customHeight="1" x14ac:dyDescent="0.3">
      <c r="A373" s="329" t="s">
        <v>335</v>
      </c>
      <c r="B373" s="330" t="s">
        <v>335</v>
      </c>
      <c r="C373" s="298">
        <v>46178</v>
      </c>
      <c r="D373" s="299" t="s">
        <v>447</v>
      </c>
      <c r="E373" s="522">
        <v>39.659999999999997</v>
      </c>
      <c r="F373" s="522"/>
      <c r="G373" s="333">
        <f t="shared" si="11"/>
        <v>1573.0899999999858</v>
      </c>
      <c r="H373" s="334"/>
      <c r="I373" s="335"/>
      <c r="J373" s="336"/>
      <c r="K373" s="301"/>
      <c r="L373" s="336"/>
      <c r="M373" s="301"/>
      <c r="N373" s="336"/>
      <c r="O373" s="301"/>
      <c r="P373" s="336"/>
      <c r="Q373" s="301"/>
      <c r="R373" s="336"/>
      <c r="S373" s="301"/>
      <c r="T373" s="336"/>
    </row>
    <row r="374" spans="1:20" ht="12" customHeight="1" x14ac:dyDescent="0.3">
      <c r="A374" s="329" t="s">
        <v>289</v>
      </c>
      <c r="B374" s="330">
        <v>6</v>
      </c>
      <c r="C374" s="298">
        <v>46178</v>
      </c>
      <c r="D374" s="299" t="s">
        <v>300</v>
      </c>
      <c r="E374" s="522">
        <v>9.57</v>
      </c>
      <c r="F374" s="522"/>
      <c r="G374" s="333">
        <f t="shared" si="11"/>
        <v>1612.7499999999859</v>
      </c>
      <c r="H374" s="334"/>
      <c r="I374" s="335"/>
      <c r="J374" s="336"/>
      <c r="K374" s="301"/>
      <c r="L374" s="336"/>
      <c r="M374" s="301"/>
      <c r="N374" s="336"/>
      <c r="O374" s="301"/>
      <c r="P374" s="336"/>
      <c r="Q374" s="301"/>
      <c r="R374" s="336"/>
      <c r="S374" s="301"/>
      <c r="T374" s="336"/>
    </row>
    <row r="375" spans="1:20" ht="12" customHeight="1" x14ac:dyDescent="0.3">
      <c r="A375" s="329" t="s">
        <v>289</v>
      </c>
      <c r="B375" s="330">
        <v>2</v>
      </c>
      <c r="C375" s="298">
        <v>46178</v>
      </c>
      <c r="D375" s="299" t="s">
        <v>376</v>
      </c>
      <c r="E375" s="522">
        <v>46.65</v>
      </c>
      <c r="F375" s="522"/>
      <c r="G375" s="333">
        <f t="shared" si="11"/>
        <v>1622.3199999999858</v>
      </c>
      <c r="H375" s="334"/>
      <c r="I375" s="335"/>
      <c r="J375" s="336"/>
      <c r="K375" s="301"/>
      <c r="L375" s="336"/>
      <c r="M375" s="301"/>
      <c r="N375" s="336"/>
      <c r="O375" s="301"/>
      <c r="P375" s="336"/>
      <c r="Q375" s="301"/>
      <c r="R375" s="336"/>
      <c r="S375" s="301"/>
      <c r="T375" s="336"/>
    </row>
    <row r="376" spans="1:20" ht="12" customHeight="1" x14ac:dyDescent="0.3">
      <c r="A376" s="329" t="s">
        <v>289</v>
      </c>
      <c r="B376" s="330">
        <v>4</v>
      </c>
      <c r="C376" s="298">
        <v>46177</v>
      </c>
      <c r="D376" s="299" t="s">
        <v>296</v>
      </c>
      <c r="E376" s="522">
        <v>43.69</v>
      </c>
      <c r="F376" s="522"/>
      <c r="G376" s="333">
        <f t="shared" si="11"/>
        <v>1668.9699999999859</v>
      </c>
      <c r="H376" s="334"/>
      <c r="I376" s="335"/>
      <c r="J376" s="336"/>
      <c r="K376" s="301"/>
      <c r="L376" s="336"/>
      <c r="M376" s="301"/>
      <c r="N376" s="336"/>
      <c r="O376" s="301"/>
      <c r="P376" s="336"/>
      <c r="Q376" s="301"/>
      <c r="R376" s="336"/>
      <c r="S376" s="301"/>
      <c r="T376" s="336"/>
    </row>
    <row r="377" spans="1:20" ht="12" customHeight="1" x14ac:dyDescent="0.3">
      <c r="A377" s="329" t="s">
        <v>289</v>
      </c>
      <c r="B377" s="330">
        <v>3</v>
      </c>
      <c r="C377" s="298">
        <v>46177</v>
      </c>
      <c r="D377" s="299" t="s">
        <v>334</v>
      </c>
      <c r="E377" s="522">
        <v>8.52</v>
      </c>
      <c r="F377" s="522"/>
      <c r="G377" s="333">
        <f t="shared" si="11"/>
        <v>1712.659999999986</v>
      </c>
      <c r="H377" s="334"/>
      <c r="I377" s="335"/>
      <c r="J377" s="336"/>
      <c r="K377" s="301"/>
      <c r="L377" s="336"/>
      <c r="M377" s="301"/>
      <c r="N377" s="336"/>
      <c r="O377" s="301"/>
      <c r="P377" s="336"/>
      <c r="Q377" s="301"/>
      <c r="R377" s="336"/>
      <c r="S377" s="301"/>
      <c r="T377" s="336"/>
    </row>
    <row r="378" spans="1:20" ht="12" customHeight="1" x14ac:dyDescent="0.3">
      <c r="A378" s="329" t="s">
        <v>294</v>
      </c>
      <c r="B378" s="330">
        <v>14</v>
      </c>
      <c r="C378" s="298">
        <v>46177</v>
      </c>
      <c r="D378" s="299" t="s">
        <v>367</v>
      </c>
      <c r="E378" s="522">
        <v>70.25</v>
      </c>
      <c r="F378" s="522"/>
      <c r="G378" s="333">
        <f t="shared" si="11"/>
        <v>1721.179999999986</v>
      </c>
      <c r="H378" s="334"/>
      <c r="I378" s="335"/>
      <c r="J378" s="336"/>
      <c r="K378" s="301"/>
      <c r="L378" s="336"/>
      <c r="M378" s="301"/>
      <c r="N378" s="336"/>
      <c r="O378" s="301"/>
      <c r="P378" s="336"/>
      <c r="Q378" s="301"/>
      <c r="R378" s="336"/>
      <c r="S378" s="301"/>
      <c r="T378" s="336"/>
    </row>
    <row r="379" spans="1:20" ht="12" customHeight="1" x14ac:dyDescent="0.3">
      <c r="A379" s="329" t="s">
        <v>289</v>
      </c>
      <c r="B379" s="330">
        <v>2</v>
      </c>
      <c r="C379" s="298">
        <v>46177</v>
      </c>
      <c r="D379" s="299" t="s">
        <v>386</v>
      </c>
      <c r="E379" s="522">
        <v>14.38</v>
      </c>
      <c r="F379" s="522"/>
      <c r="G379" s="333">
        <f t="shared" si="11"/>
        <v>1791.429999999986</v>
      </c>
      <c r="H379" s="334"/>
      <c r="I379" s="335"/>
      <c r="J379" s="336"/>
      <c r="K379" s="301"/>
      <c r="L379" s="336"/>
      <c r="M379" s="301"/>
      <c r="N379" s="336"/>
      <c r="O379" s="301"/>
      <c r="P379" s="336"/>
      <c r="Q379" s="301"/>
      <c r="R379" s="336"/>
      <c r="S379" s="301"/>
      <c r="T379" s="336"/>
    </row>
    <row r="380" spans="1:20" ht="12" customHeight="1" x14ac:dyDescent="0.3">
      <c r="A380" s="329" t="s">
        <v>294</v>
      </c>
      <c r="B380" s="330">
        <v>13</v>
      </c>
      <c r="C380" s="298">
        <v>46177</v>
      </c>
      <c r="D380" s="299" t="s">
        <v>902</v>
      </c>
      <c r="E380" s="522">
        <v>122.46</v>
      </c>
      <c r="F380" s="522"/>
      <c r="G380" s="333">
        <f t="shared" si="11"/>
        <v>1805.8099999999861</v>
      </c>
      <c r="H380" s="334"/>
      <c r="I380" s="335"/>
      <c r="J380" s="336"/>
      <c r="K380" s="301"/>
      <c r="L380" s="336"/>
      <c r="M380" s="301"/>
      <c r="N380" s="336"/>
      <c r="O380" s="301"/>
      <c r="P380" s="336"/>
      <c r="Q380" s="301"/>
      <c r="R380" s="336"/>
      <c r="S380" s="301"/>
      <c r="T380" s="336"/>
    </row>
    <row r="381" spans="1:20" ht="12" customHeight="1" x14ac:dyDescent="0.3">
      <c r="A381" s="329" t="s">
        <v>294</v>
      </c>
      <c r="B381" s="330">
        <v>17</v>
      </c>
      <c r="C381" s="298">
        <v>46177</v>
      </c>
      <c r="D381" s="299" t="s">
        <v>370</v>
      </c>
      <c r="E381" s="522">
        <v>99</v>
      </c>
      <c r="F381" s="522"/>
      <c r="G381" s="333">
        <f t="shared" si="11"/>
        <v>1928.2699999999861</v>
      </c>
      <c r="H381" s="334"/>
      <c r="I381" s="335"/>
      <c r="J381" s="336"/>
      <c r="K381" s="301"/>
      <c r="L381" s="336"/>
      <c r="M381" s="301"/>
      <c r="N381" s="336"/>
      <c r="O381" s="301"/>
      <c r="P381" s="336"/>
      <c r="Q381" s="301"/>
      <c r="R381" s="336"/>
      <c r="S381" s="301"/>
      <c r="T381" s="336"/>
    </row>
    <row r="382" spans="1:20" ht="12" customHeight="1" x14ac:dyDescent="0.3">
      <c r="A382" s="329" t="s">
        <v>294</v>
      </c>
      <c r="B382" s="330">
        <v>22</v>
      </c>
      <c r="C382" s="298">
        <v>46176</v>
      </c>
      <c r="D382" s="299" t="s">
        <v>861</v>
      </c>
      <c r="E382" s="522">
        <v>12.77</v>
      </c>
      <c r="F382" s="522"/>
      <c r="G382" s="333">
        <f t="shared" si="11"/>
        <v>2027.2699999999861</v>
      </c>
      <c r="H382" s="334"/>
      <c r="I382" s="335"/>
      <c r="J382" s="336"/>
      <c r="K382" s="301"/>
      <c r="L382" s="336"/>
      <c r="M382" s="301"/>
      <c r="N382" s="336"/>
      <c r="O382" s="301"/>
      <c r="P382" s="336"/>
      <c r="Q382" s="301"/>
      <c r="R382" s="336"/>
      <c r="S382" s="301"/>
      <c r="T382" s="336"/>
    </row>
    <row r="383" spans="1:20" ht="12" customHeight="1" x14ac:dyDescent="0.3">
      <c r="A383" s="329" t="s">
        <v>289</v>
      </c>
      <c r="B383" s="330">
        <v>8</v>
      </c>
      <c r="C383" s="298">
        <v>46176</v>
      </c>
      <c r="D383" s="299" t="s">
        <v>319</v>
      </c>
      <c r="E383" s="522">
        <v>11.55</v>
      </c>
      <c r="F383" s="522"/>
      <c r="G383" s="333">
        <f t="shared" si="11"/>
        <v>2040.0399999999861</v>
      </c>
      <c r="H383" s="334"/>
      <c r="I383" s="335"/>
      <c r="J383" s="336"/>
      <c r="K383" s="301"/>
      <c r="L383" s="336"/>
      <c r="M383" s="301"/>
      <c r="N383" s="336"/>
      <c r="O383" s="301"/>
      <c r="P383" s="336"/>
      <c r="Q383" s="301"/>
      <c r="R383" s="336"/>
      <c r="S383" s="301"/>
      <c r="T383" s="336"/>
    </row>
    <row r="384" spans="1:20" ht="12" customHeight="1" x14ac:dyDescent="0.3">
      <c r="A384" s="329" t="s">
        <v>289</v>
      </c>
      <c r="B384" s="330">
        <v>1</v>
      </c>
      <c r="C384" s="298">
        <v>46176</v>
      </c>
      <c r="D384" s="299" t="s">
        <v>306</v>
      </c>
      <c r="E384" s="522">
        <v>96.16</v>
      </c>
      <c r="F384" s="522"/>
      <c r="G384" s="333">
        <f t="shared" ref="G384:G442" si="12">G385-E384+F384</f>
        <v>2051.589999999986</v>
      </c>
      <c r="H384" s="334"/>
      <c r="I384" s="335"/>
      <c r="J384" s="336"/>
      <c r="K384" s="301"/>
      <c r="L384" s="336"/>
      <c r="M384" s="301"/>
      <c r="N384" s="336"/>
      <c r="O384" s="301"/>
      <c r="P384" s="336"/>
      <c r="Q384" s="301"/>
      <c r="R384" s="336"/>
      <c r="S384" s="301"/>
      <c r="T384" s="336"/>
    </row>
    <row r="385" spans="1:20" ht="12" customHeight="1" x14ac:dyDescent="0.3">
      <c r="A385" s="329" t="s">
        <v>289</v>
      </c>
      <c r="B385" s="330">
        <v>2</v>
      </c>
      <c r="C385" s="298">
        <v>46175</v>
      </c>
      <c r="D385" s="299" t="s">
        <v>899</v>
      </c>
      <c r="E385" s="522">
        <v>21.38</v>
      </c>
      <c r="F385" s="522"/>
      <c r="G385" s="333">
        <f t="shared" si="12"/>
        <v>2147.7499999999859</v>
      </c>
      <c r="H385" s="334"/>
      <c r="I385" s="335"/>
      <c r="J385" s="336"/>
      <c r="K385" s="301"/>
      <c r="L385" s="336"/>
      <c r="M385" s="301"/>
      <c r="N385" s="336"/>
      <c r="O385" s="301"/>
      <c r="P385" s="336"/>
      <c r="Q385" s="301"/>
      <c r="R385" s="336"/>
      <c r="S385" s="301"/>
      <c r="T385" s="336"/>
    </row>
    <row r="386" spans="1:20" ht="12" customHeight="1" x14ac:dyDescent="0.3">
      <c r="A386" s="329" t="s">
        <v>289</v>
      </c>
      <c r="B386" s="330">
        <v>2</v>
      </c>
      <c r="C386" s="298">
        <v>46175</v>
      </c>
      <c r="D386" s="299" t="s">
        <v>386</v>
      </c>
      <c r="E386" s="522">
        <v>14.38</v>
      </c>
      <c r="F386" s="522"/>
      <c r="G386" s="333">
        <f t="shared" si="12"/>
        <v>2169.129999999986</v>
      </c>
      <c r="H386" s="334"/>
      <c r="I386" s="335"/>
      <c r="J386" s="336"/>
      <c r="K386" s="301"/>
      <c r="L386" s="336"/>
      <c r="M386" s="301"/>
      <c r="N386" s="336"/>
      <c r="O386" s="301"/>
      <c r="P386" s="336"/>
      <c r="Q386" s="301"/>
      <c r="R386" s="336"/>
      <c r="S386" s="301"/>
      <c r="T386" s="336"/>
    </row>
    <row r="387" spans="1:20" ht="12" customHeight="1" x14ac:dyDescent="0.3">
      <c r="A387" s="329" t="s">
        <v>289</v>
      </c>
      <c r="B387" s="330">
        <v>6</v>
      </c>
      <c r="C387" s="298">
        <v>46175</v>
      </c>
      <c r="D387" s="299" t="s">
        <v>433</v>
      </c>
      <c r="E387" s="522">
        <v>-142</v>
      </c>
      <c r="F387" s="522"/>
      <c r="G387" s="333">
        <f t="shared" si="12"/>
        <v>2183.5099999999861</v>
      </c>
      <c r="H387" s="334"/>
      <c r="I387" s="335"/>
      <c r="J387" s="336"/>
      <c r="K387" s="301"/>
      <c r="L387" s="336"/>
      <c r="M387" s="301"/>
      <c r="N387" s="336"/>
      <c r="O387" s="301"/>
      <c r="P387" s="336"/>
      <c r="Q387" s="301"/>
      <c r="R387" s="336"/>
      <c r="S387" s="301"/>
      <c r="T387" s="336"/>
    </row>
    <row r="388" spans="1:20" ht="12" customHeight="1" x14ac:dyDescent="0.3">
      <c r="A388" s="329" t="s">
        <v>284</v>
      </c>
      <c r="B388" s="330">
        <v>36</v>
      </c>
      <c r="C388" s="298">
        <v>46175</v>
      </c>
      <c r="D388" s="299" t="s">
        <v>374</v>
      </c>
      <c r="E388" s="522">
        <v>50</v>
      </c>
      <c r="F388" s="522"/>
      <c r="G388" s="333">
        <f t="shared" si="12"/>
        <v>2041.5099999999861</v>
      </c>
      <c r="H388" s="334"/>
      <c r="I388" s="335"/>
      <c r="J388" s="336"/>
      <c r="K388" s="301"/>
      <c r="L388" s="336"/>
      <c r="M388" s="301"/>
      <c r="N388" s="336"/>
      <c r="O388" s="301"/>
      <c r="P388" s="336"/>
      <c r="Q388" s="301"/>
      <c r="R388" s="336"/>
      <c r="S388" s="301"/>
      <c r="T388" s="336"/>
    </row>
    <row r="389" spans="1:20" ht="12" customHeight="1" x14ac:dyDescent="0.3">
      <c r="A389" s="329" t="s">
        <v>294</v>
      </c>
      <c r="B389" s="330">
        <v>22</v>
      </c>
      <c r="C389" s="298">
        <v>46175</v>
      </c>
      <c r="D389" s="299" t="s">
        <v>375</v>
      </c>
      <c r="E389" s="522">
        <v>6.37</v>
      </c>
      <c r="F389" s="522"/>
      <c r="G389" s="333">
        <f t="shared" si="12"/>
        <v>2091.5099999999861</v>
      </c>
      <c r="H389" s="334"/>
      <c r="I389" s="335"/>
      <c r="J389" s="336"/>
      <c r="K389" s="301"/>
      <c r="L389" s="336"/>
      <c r="M389" s="301"/>
      <c r="N389" s="336"/>
      <c r="O389" s="301"/>
      <c r="P389" s="336"/>
      <c r="Q389" s="301"/>
      <c r="R389" s="336"/>
      <c r="S389" s="301"/>
      <c r="T389" s="336"/>
    </row>
    <row r="390" spans="1:20" ht="12" customHeight="1" x14ac:dyDescent="0.3">
      <c r="A390" s="329" t="s">
        <v>289</v>
      </c>
      <c r="B390" s="330">
        <v>1</v>
      </c>
      <c r="C390" s="298">
        <v>46174</v>
      </c>
      <c r="D390" s="299" t="s">
        <v>306</v>
      </c>
      <c r="E390" s="522">
        <v>84.03</v>
      </c>
      <c r="F390" s="522"/>
      <c r="G390" s="333">
        <f t="shared" si="12"/>
        <v>2097.879999999986</v>
      </c>
      <c r="H390" s="334"/>
      <c r="I390" s="335"/>
      <c r="J390" s="336"/>
      <c r="K390" s="301"/>
      <c r="L390" s="336"/>
      <c r="M390" s="301"/>
      <c r="N390" s="336"/>
      <c r="O390" s="301"/>
      <c r="P390" s="336"/>
      <c r="Q390" s="301"/>
      <c r="R390" s="336"/>
      <c r="S390" s="301"/>
      <c r="T390" s="336"/>
    </row>
    <row r="391" spans="1:20" ht="12" customHeight="1" x14ac:dyDescent="0.3">
      <c r="A391" s="329" t="s">
        <v>289</v>
      </c>
      <c r="B391" s="330">
        <v>3</v>
      </c>
      <c r="C391" s="298">
        <v>46174</v>
      </c>
      <c r="D391" s="299" t="s">
        <v>296</v>
      </c>
      <c r="E391" s="522">
        <v>10.31</v>
      </c>
      <c r="F391" s="522"/>
      <c r="G391" s="333">
        <f t="shared" si="12"/>
        <v>2181.9099999999862</v>
      </c>
      <c r="H391" s="334"/>
      <c r="I391" s="335"/>
      <c r="J391" s="336"/>
      <c r="K391" s="301"/>
      <c r="L391" s="336"/>
      <c r="M391" s="301"/>
      <c r="N391" s="336"/>
      <c r="O391" s="301"/>
      <c r="P391" s="336"/>
      <c r="Q391" s="301"/>
      <c r="R391" s="336"/>
      <c r="S391" s="301"/>
      <c r="T391" s="336"/>
    </row>
    <row r="392" spans="1:20" ht="12" customHeight="1" x14ac:dyDescent="0.3">
      <c r="A392" s="329" t="s">
        <v>289</v>
      </c>
      <c r="B392" s="330">
        <v>2</v>
      </c>
      <c r="C392" s="298">
        <v>46174</v>
      </c>
      <c r="D392" s="299" t="s">
        <v>301</v>
      </c>
      <c r="E392" s="522">
        <v>16.05</v>
      </c>
      <c r="F392" s="522"/>
      <c r="G392" s="333">
        <f t="shared" si="12"/>
        <v>2192.2199999999862</v>
      </c>
      <c r="H392" s="334"/>
      <c r="I392" s="335"/>
      <c r="J392" s="336"/>
      <c r="K392" s="301"/>
      <c r="L392" s="336"/>
      <c r="M392" s="301"/>
      <c r="N392" s="336"/>
      <c r="O392" s="301"/>
      <c r="P392" s="336"/>
      <c r="Q392" s="301"/>
      <c r="R392" s="336"/>
      <c r="S392" s="301"/>
      <c r="T392" s="336"/>
    </row>
    <row r="393" spans="1:20" ht="12" customHeight="1" x14ac:dyDescent="0.3">
      <c r="A393" s="329" t="s">
        <v>289</v>
      </c>
      <c r="B393" s="330">
        <v>1</v>
      </c>
      <c r="C393" s="298">
        <v>46174</v>
      </c>
      <c r="D393" s="299" t="s">
        <v>457</v>
      </c>
      <c r="E393" s="522">
        <v>50.44</v>
      </c>
      <c r="F393" s="522"/>
      <c r="G393" s="333">
        <f t="shared" si="12"/>
        <v>2208.2699999999863</v>
      </c>
      <c r="H393" s="334"/>
      <c r="I393" s="335"/>
      <c r="J393" s="336"/>
      <c r="K393" s="301"/>
      <c r="L393" s="336"/>
      <c r="M393" s="301"/>
      <c r="N393" s="336"/>
      <c r="O393" s="301"/>
      <c r="P393" s="336"/>
      <c r="Q393" s="301"/>
      <c r="R393" s="336"/>
      <c r="S393" s="301"/>
      <c r="T393" s="336"/>
    </row>
    <row r="394" spans="1:20" ht="12" customHeight="1" x14ac:dyDescent="0.3">
      <c r="A394" s="329" t="s">
        <v>289</v>
      </c>
      <c r="B394" s="330">
        <v>6</v>
      </c>
      <c r="C394" s="298">
        <v>46174</v>
      </c>
      <c r="D394" s="299" t="s">
        <v>898</v>
      </c>
      <c r="E394" s="522">
        <v>9.99</v>
      </c>
      <c r="F394" s="522"/>
      <c r="G394" s="333">
        <f t="shared" si="12"/>
        <v>2258.7099999999864</v>
      </c>
      <c r="H394" s="334"/>
      <c r="I394" s="335"/>
      <c r="J394" s="336"/>
      <c r="K394" s="301"/>
      <c r="L394" s="336"/>
      <c r="M394" s="301"/>
      <c r="N394" s="336"/>
      <c r="O394" s="301"/>
      <c r="P394" s="336"/>
      <c r="Q394" s="301"/>
      <c r="R394" s="336"/>
      <c r="S394" s="301"/>
      <c r="T394" s="336"/>
    </row>
    <row r="395" spans="1:20" ht="12" customHeight="1" x14ac:dyDescent="0.3">
      <c r="A395" s="329" t="s">
        <v>289</v>
      </c>
      <c r="B395" s="330">
        <v>4</v>
      </c>
      <c r="C395" s="298">
        <v>46174</v>
      </c>
      <c r="D395" s="299" t="s">
        <v>310</v>
      </c>
      <c r="E395" s="522">
        <v>44.98</v>
      </c>
      <c r="F395" s="522"/>
      <c r="G395" s="333">
        <f t="shared" si="12"/>
        <v>2268.6999999999862</v>
      </c>
      <c r="H395" s="334"/>
      <c r="I395" s="335"/>
      <c r="J395" s="336"/>
      <c r="K395" s="301"/>
      <c r="L395" s="336"/>
      <c r="M395" s="301"/>
      <c r="N395" s="336"/>
      <c r="O395" s="301"/>
      <c r="P395" s="336"/>
      <c r="Q395" s="301"/>
      <c r="R395" s="336"/>
      <c r="S395" s="301"/>
      <c r="T395" s="336"/>
    </row>
    <row r="396" spans="1:20" ht="12" customHeight="1" x14ac:dyDescent="0.3">
      <c r="A396" s="329" t="s">
        <v>289</v>
      </c>
      <c r="B396" s="330">
        <v>1</v>
      </c>
      <c r="C396" s="298">
        <v>46174</v>
      </c>
      <c r="D396" s="299" t="s">
        <v>311</v>
      </c>
      <c r="E396" s="522">
        <v>106.14</v>
      </c>
      <c r="F396" s="522"/>
      <c r="G396" s="333">
        <f t="shared" si="12"/>
        <v>2313.6799999999862</v>
      </c>
      <c r="H396" s="334"/>
      <c r="I396" s="335"/>
      <c r="J396" s="336"/>
      <c r="K396" s="301"/>
      <c r="L396" s="336"/>
      <c r="M396" s="301"/>
      <c r="N396" s="336"/>
      <c r="O396" s="301"/>
      <c r="P396" s="336"/>
      <c r="Q396" s="301"/>
      <c r="R396" s="336"/>
      <c r="S396" s="301"/>
      <c r="T396" s="336"/>
    </row>
    <row r="397" spans="1:20" ht="12" customHeight="1" x14ac:dyDescent="0.3">
      <c r="A397" s="329" t="s">
        <v>294</v>
      </c>
      <c r="B397" s="330">
        <v>16</v>
      </c>
      <c r="C397" s="298">
        <v>46174</v>
      </c>
      <c r="D397" s="299" t="s">
        <v>624</v>
      </c>
      <c r="E397" s="522">
        <v>62.31</v>
      </c>
      <c r="F397" s="522"/>
      <c r="G397" s="333">
        <f t="shared" si="12"/>
        <v>2419.8199999999861</v>
      </c>
      <c r="H397" s="334"/>
      <c r="I397" s="335"/>
      <c r="J397" s="336"/>
      <c r="K397" s="301"/>
      <c r="L397" s="336"/>
      <c r="M397" s="301"/>
      <c r="N397" s="336"/>
      <c r="O397" s="301"/>
      <c r="P397" s="336"/>
      <c r="Q397" s="301"/>
      <c r="R397" s="336"/>
      <c r="S397" s="301"/>
      <c r="T397" s="336"/>
    </row>
    <row r="398" spans="1:20" ht="12" customHeight="1" x14ac:dyDescent="0.3">
      <c r="A398" s="329" t="s">
        <v>289</v>
      </c>
      <c r="B398" s="330">
        <v>3</v>
      </c>
      <c r="C398" s="298">
        <v>46174</v>
      </c>
      <c r="D398" s="299" t="s">
        <v>351</v>
      </c>
      <c r="E398" s="522">
        <v>8.1</v>
      </c>
      <c r="F398" s="522"/>
      <c r="G398" s="333">
        <f t="shared" si="12"/>
        <v>2482.129999999986</v>
      </c>
      <c r="H398" s="334"/>
      <c r="I398" s="335"/>
      <c r="J398" s="336"/>
      <c r="K398" s="301"/>
      <c r="L398" s="336"/>
      <c r="M398" s="301"/>
      <c r="N398" s="336"/>
      <c r="O398" s="301"/>
      <c r="P398" s="336"/>
      <c r="Q398" s="301"/>
      <c r="R398" s="336"/>
      <c r="S398" s="301"/>
      <c r="T398" s="336"/>
    </row>
    <row r="399" spans="1:20" ht="12" customHeight="1" x14ac:dyDescent="0.3">
      <c r="A399" s="329" t="s">
        <v>287</v>
      </c>
      <c r="B399" s="330" t="s">
        <v>287</v>
      </c>
      <c r="C399" s="298">
        <v>46174</v>
      </c>
      <c r="D399" s="299" t="s">
        <v>888</v>
      </c>
      <c r="E399" s="522">
        <v>320</v>
      </c>
      <c r="F399" s="522">
        <v>320</v>
      </c>
      <c r="G399" s="333">
        <f t="shared" si="12"/>
        <v>2490.2299999999859</v>
      </c>
      <c r="H399" s="334"/>
      <c r="I399" s="335"/>
      <c r="J399" s="336"/>
      <c r="K399" s="301"/>
      <c r="L399" s="336"/>
      <c r="M399" s="301"/>
      <c r="N399" s="336"/>
      <c r="O399" s="301"/>
      <c r="P399" s="336"/>
      <c r="Q399" s="301"/>
      <c r="R399" s="336"/>
      <c r="S399" s="301"/>
      <c r="T399" s="336"/>
    </row>
    <row r="400" spans="1:20" ht="12" customHeight="1" x14ac:dyDescent="0.3">
      <c r="A400" s="329" t="s">
        <v>289</v>
      </c>
      <c r="B400" s="330">
        <v>6</v>
      </c>
      <c r="C400" s="298">
        <v>46174</v>
      </c>
      <c r="D400" s="299" t="s">
        <v>889</v>
      </c>
      <c r="E400" s="522">
        <v>20</v>
      </c>
      <c r="F400" s="522"/>
      <c r="G400" s="333">
        <f t="shared" si="12"/>
        <v>2490.2299999999859</v>
      </c>
      <c r="H400" s="334"/>
      <c r="I400" s="335"/>
      <c r="J400" s="336"/>
      <c r="K400" s="301"/>
      <c r="L400" s="336"/>
      <c r="M400" s="301"/>
      <c r="N400" s="336"/>
      <c r="O400" s="301"/>
      <c r="P400" s="336"/>
      <c r="Q400" s="301"/>
      <c r="R400" s="336"/>
      <c r="S400" s="301"/>
      <c r="T400" s="336"/>
    </row>
    <row r="401" spans="1:20" ht="12" customHeight="1" x14ac:dyDescent="0.3">
      <c r="A401" s="329" t="s">
        <v>284</v>
      </c>
      <c r="B401" s="330">
        <v>37</v>
      </c>
      <c r="C401" s="298">
        <v>46173</v>
      </c>
      <c r="D401" s="299" t="s">
        <v>895</v>
      </c>
      <c r="E401" s="522">
        <v>1160.3599999999999</v>
      </c>
      <c r="F401" s="522"/>
      <c r="G401" s="333">
        <f t="shared" si="12"/>
        <v>2510.2299999999859</v>
      </c>
      <c r="H401" s="334"/>
      <c r="I401" s="335"/>
      <c r="J401" s="336"/>
      <c r="K401" s="301"/>
      <c r="L401" s="336"/>
      <c r="M401" s="301"/>
      <c r="N401" s="336"/>
      <c r="O401" s="301"/>
      <c r="P401" s="336"/>
      <c r="Q401" s="301"/>
      <c r="R401" s="336"/>
      <c r="S401" s="301"/>
      <c r="T401" s="336"/>
    </row>
    <row r="402" spans="1:20" ht="12" customHeight="1" x14ac:dyDescent="0.3">
      <c r="A402" s="329" t="s">
        <v>286</v>
      </c>
      <c r="B402" s="330">
        <v>25</v>
      </c>
      <c r="C402" s="298">
        <v>46173</v>
      </c>
      <c r="D402" s="298" t="s">
        <v>204</v>
      </c>
      <c r="E402" s="331">
        <v>350</v>
      </c>
      <c r="F402" s="522"/>
      <c r="G402" s="333">
        <f t="shared" si="12"/>
        <v>3670.5899999999856</v>
      </c>
      <c r="H402" s="334"/>
      <c r="I402" s="335"/>
      <c r="J402" s="336"/>
      <c r="K402" s="301"/>
      <c r="L402" s="336"/>
      <c r="M402" s="301"/>
      <c r="N402" s="336"/>
      <c r="O402" s="301"/>
      <c r="P402" s="336"/>
      <c r="Q402" s="301"/>
      <c r="R402" s="336"/>
      <c r="S402" s="301"/>
      <c r="T402" s="336"/>
    </row>
    <row r="403" spans="1:20" ht="12" customHeight="1" x14ac:dyDescent="0.3">
      <c r="A403" s="329" t="s">
        <v>286</v>
      </c>
      <c r="B403" s="330">
        <v>26</v>
      </c>
      <c r="C403" s="298">
        <v>46173</v>
      </c>
      <c r="D403" s="298" t="s">
        <v>205</v>
      </c>
      <c r="E403" s="331">
        <v>320</v>
      </c>
      <c r="F403" s="522"/>
      <c r="G403" s="333">
        <f t="shared" si="12"/>
        <v>4020.5899999999856</v>
      </c>
      <c r="H403" s="334"/>
      <c r="I403" s="335"/>
      <c r="J403" s="336"/>
      <c r="K403" s="301"/>
      <c r="L403" s="336"/>
      <c r="M403" s="301"/>
      <c r="N403" s="336"/>
      <c r="O403" s="301"/>
      <c r="P403" s="336"/>
      <c r="Q403" s="301"/>
      <c r="R403" s="336"/>
      <c r="S403" s="301"/>
      <c r="T403" s="336"/>
    </row>
    <row r="404" spans="1:20" ht="12" customHeight="1" x14ac:dyDescent="0.3">
      <c r="A404" s="329" t="s">
        <v>286</v>
      </c>
      <c r="B404" s="330">
        <v>27</v>
      </c>
      <c r="C404" s="298">
        <v>46173</v>
      </c>
      <c r="D404" s="298" t="s">
        <v>206</v>
      </c>
      <c r="E404" s="331">
        <v>25</v>
      </c>
      <c r="F404" s="522"/>
      <c r="G404" s="333">
        <f t="shared" si="12"/>
        <v>4340.5899999999856</v>
      </c>
      <c r="H404" s="334"/>
      <c r="I404" s="335"/>
      <c r="J404" s="336"/>
      <c r="K404" s="301"/>
      <c r="L404" s="336"/>
      <c r="M404" s="301"/>
      <c r="N404" s="336"/>
      <c r="O404" s="301"/>
      <c r="P404" s="336"/>
      <c r="Q404" s="301"/>
      <c r="R404" s="336"/>
      <c r="S404" s="301"/>
      <c r="T404" s="336"/>
    </row>
    <row r="405" spans="1:20" ht="12" customHeight="1" x14ac:dyDescent="0.3">
      <c r="A405" s="329" t="s">
        <v>286</v>
      </c>
      <c r="B405" s="330">
        <v>28</v>
      </c>
      <c r="C405" s="298">
        <v>46173</v>
      </c>
      <c r="D405" s="298" t="s">
        <v>207</v>
      </c>
      <c r="E405" s="331">
        <v>25</v>
      </c>
      <c r="F405" s="522"/>
      <c r="G405" s="333">
        <f t="shared" si="12"/>
        <v>4365.5899999999856</v>
      </c>
      <c r="H405" s="334"/>
      <c r="I405" s="335"/>
      <c r="J405" s="336"/>
      <c r="K405" s="301"/>
      <c r="L405" s="336"/>
      <c r="M405" s="301"/>
      <c r="N405" s="336"/>
      <c r="O405" s="301"/>
      <c r="P405" s="336"/>
      <c r="Q405" s="301"/>
      <c r="R405" s="336"/>
      <c r="S405" s="301"/>
      <c r="T405" s="336"/>
    </row>
    <row r="406" spans="1:20" ht="12" customHeight="1" x14ac:dyDescent="0.3">
      <c r="A406" s="329" t="s">
        <v>286</v>
      </c>
      <c r="B406" s="330">
        <v>29</v>
      </c>
      <c r="C406" s="298">
        <v>46173</v>
      </c>
      <c r="D406" s="298" t="s">
        <v>208</v>
      </c>
      <c r="E406" s="331">
        <v>45</v>
      </c>
      <c r="F406" s="522"/>
      <c r="G406" s="333">
        <f t="shared" si="12"/>
        <v>4390.5899999999856</v>
      </c>
      <c r="H406" s="334"/>
      <c r="I406" s="335"/>
      <c r="J406" s="336"/>
      <c r="K406" s="301"/>
      <c r="L406" s="336"/>
      <c r="M406" s="301"/>
      <c r="N406" s="336"/>
      <c r="O406" s="301"/>
      <c r="P406" s="336"/>
      <c r="Q406" s="301"/>
      <c r="R406" s="336"/>
      <c r="S406" s="301"/>
      <c r="T406" s="336"/>
    </row>
    <row r="407" spans="1:20" ht="12" customHeight="1" x14ac:dyDescent="0.3">
      <c r="A407" s="329" t="s">
        <v>286</v>
      </c>
      <c r="B407" s="330">
        <v>30</v>
      </c>
      <c r="C407" s="298">
        <v>46173</v>
      </c>
      <c r="D407" s="298" t="s">
        <v>209</v>
      </c>
      <c r="E407" s="331">
        <v>400</v>
      </c>
      <c r="F407" s="522"/>
      <c r="G407" s="333">
        <f t="shared" si="12"/>
        <v>4435.5899999999856</v>
      </c>
      <c r="H407" s="334"/>
      <c r="I407" s="335"/>
      <c r="J407" s="336"/>
      <c r="K407" s="301"/>
      <c r="L407" s="336"/>
      <c r="M407" s="301"/>
      <c r="N407" s="336"/>
      <c r="O407" s="301"/>
      <c r="P407" s="336"/>
      <c r="Q407" s="301"/>
      <c r="R407" s="336"/>
      <c r="S407" s="301"/>
      <c r="T407" s="336"/>
    </row>
    <row r="408" spans="1:20" ht="12" customHeight="1" x14ac:dyDescent="0.3">
      <c r="A408" s="329" t="s">
        <v>286</v>
      </c>
      <c r="B408" s="330">
        <v>31</v>
      </c>
      <c r="C408" s="298">
        <v>46173</v>
      </c>
      <c r="D408" s="298" t="s">
        <v>210</v>
      </c>
      <c r="E408" s="331">
        <v>375</v>
      </c>
      <c r="F408" s="522"/>
      <c r="G408" s="333">
        <f t="shared" si="12"/>
        <v>4835.5899999999856</v>
      </c>
      <c r="H408" s="334"/>
      <c r="I408" s="335"/>
      <c r="J408" s="336"/>
      <c r="K408" s="301"/>
      <c r="L408" s="336"/>
      <c r="M408" s="301"/>
      <c r="N408" s="336"/>
      <c r="O408" s="301"/>
      <c r="P408" s="336"/>
      <c r="Q408" s="301"/>
      <c r="R408" s="336"/>
      <c r="S408" s="301"/>
      <c r="T408" s="336"/>
    </row>
    <row r="409" spans="1:20" ht="12" customHeight="1" x14ac:dyDescent="0.3">
      <c r="A409" s="329" t="s">
        <v>286</v>
      </c>
      <c r="B409" s="330">
        <v>32</v>
      </c>
      <c r="C409" s="298">
        <v>46173</v>
      </c>
      <c r="D409" s="298" t="s">
        <v>211</v>
      </c>
      <c r="E409" s="331">
        <v>100</v>
      </c>
      <c r="F409" s="522"/>
      <c r="G409" s="333">
        <f t="shared" si="12"/>
        <v>5210.5899999999856</v>
      </c>
      <c r="H409" s="334"/>
      <c r="I409" s="335"/>
      <c r="J409" s="336"/>
      <c r="K409" s="301"/>
      <c r="L409" s="336"/>
      <c r="M409" s="301"/>
      <c r="N409" s="336"/>
      <c r="O409" s="301"/>
      <c r="P409" s="336"/>
      <c r="Q409" s="301"/>
      <c r="R409" s="336"/>
      <c r="S409" s="301"/>
      <c r="T409" s="336"/>
    </row>
    <row r="410" spans="1:20" ht="12" customHeight="1" x14ac:dyDescent="0.3">
      <c r="A410" s="329" t="s">
        <v>286</v>
      </c>
      <c r="B410" s="330">
        <v>33</v>
      </c>
      <c r="C410" s="298">
        <v>46173</v>
      </c>
      <c r="D410" s="298" t="s">
        <v>212</v>
      </c>
      <c r="E410" s="331">
        <v>85</v>
      </c>
      <c r="F410" s="522"/>
      <c r="G410" s="333">
        <f t="shared" si="12"/>
        <v>5310.5899999999856</v>
      </c>
      <c r="H410" s="334"/>
      <c r="I410" s="335"/>
      <c r="J410" s="336"/>
      <c r="K410" s="301"/>
      <c r="L410" s="336"/>
      <c r="M410" s="301"/>
      <c r="N410" s="336"/>
      <c r="O410" s="301"/>
      <c r="P410" s="336"/>
      <c r="Q410" s="301"/>
      <c r="R410" s="336"/>
      <c r="S410" s="301"/>
      <c r="T410" s="336"/>
    </row>
    <row r="411" spans="1:20" ht="12" customHeight="1" x14ac:dyDescent="0.3">
      <c r="A411" s="329" t="s">
        <v>286</v>
      </c>
      <c r="B411" s="330">
        <v>34</v>
      </c>
      <c r="C411" s="298">
        <v>46173</v>
      </c>
      <c r="D411" s="298" t="s">
        <v>213</v>
      </c>
      <c r="E411" s="331">
        <v>230</v>
      </c>
      <c r="F411" s="522"/>
      <c r="G411" s="333">
        <f t="shared" si="12"/>
        <v>5395.5899999999856</v>
      </c>
      <c r="H411" s="334"/>
      <c r="I411" s="335"/>
      <c r="J411" s="336"/>
      <c r="K411" s="301"/>
      <c r="L411" s="336"/>
      <c r="M411" s="301"/>
      <c r="N411" s="336"/>
      <c r="O411" s="301"/>
      <c r="P411" s="336"/>
      <c r="Q411" s="301"/>
      <c r="R411" s="336"/>
      <c r="S411" s="301"/>
      <c r="T411" s="336"/>
    </row>
    <row r="412" spans="1:20" ht="12" customHeight="1" x14ac:dyDescent="0.3">
      <c r="A412" s="329" t="s">
        <v>286</v>
      </c>
      <c r="B412" s="330">
        <v>35</v>
      </c>
      <c r="C412" s="298">
        <v>46173</v>
      </c>
      <c r="D412" s="298" t="s">
        <v>214</v>
      </c>
      <c r="E412" s="331">
        <v>45</v>
      </c>
      <c r="F412" s="522"/>
      <c r="G412" s="333">
        <f t="shared" si="12"/>
        <v>5625.5899999999856</v>
      </c>
      <c r="H412" s="334"/>
      <c r="I412" s="335"/>
      <c r="J412" s="336"/>
      <c r="K412" s="301"/>
      <c r="L412" s="336"/>
      <c r="M412" s="301"/>
      <c r="N412" s="336"/>
      <c r="O412" s="301"/>
      <c r="P412" s="336"/>
      <c r="Q412" s="301"/>
      <c r="R412" s="336"/>
      <c r="S412" s="301"/>
      <c r="T412" s="336"/>
    </row>
    <row r="413" spans="1:20" ht="12" customHeight="1" x14ac:dyDescent="0.3">
      <c r="A413" s="329" t="s">
        <v>289</v>
      </c>
      <c r="B413" s="330">
        <v>6</v>
      </c>
      <c r="C413" s="298">
        <v>46173</v>
      </c>
      <c r="D413" s="298" t="s">
        <v>885</v>
      </c>
      <c r="E413" s="522">
        <v>50</v>
      </c>
      <c r="F413" s="522"/>
      <c r="G413" s="333">
        <f t="shared" si="12"/>
        <v>5670.5899999999856</v>
      </c>
      <c r="H413" s="334"/>
      <c r="I413" s="335"/>
      <c r="J413" s="336"/>
      <c r="K413" s="301"/>
      <c r="L413" s="336"/>
      <c r="M413" s="301"/>
      <c r="N413" s="336"/>
      <c r="O413" s="301"/>
      <c r="P413" s="336"/>
      <c r="Q413" s="301"/>
      <c r="R413" s="336"/>
      <c r="S413" s="301"/>
      <c r="T413" s="336"/>
    </row>
    <row r="414" spans="1:20" ht="12" customHeight="1" x14ac:dyDescent="0.3">
      <c r="A414" s="329" t="s">
        <v>294</v>
      </c>
      <c r="B414" s="330">
        <v>22</v>
      </c>
      <c r="C414" s="298">
        <v>46173</v>
      </c>
      <c r="D414" s="298" t="s">
        <v>835</v>
      </c>
      <c r="E414" s="522">
        <v>10.63</v>
      </c>
      <c r="F414" s="522"/>
      <c r="G414" s="333">
        <f t="shared" si="12"/>
        <v>5720.5899999999856</v>
      </c>
      <c r="H414" s="334"/>
      <c r="I414" s="335"/>
      <c r="J414" s="336"/>
      <c r="K414" s="301"/>
      <c r="L414" s="336"/>
      <c r="M414" s="301"/>
      <c r="N414" s="336"/>
      <c r="O414" s="301"/>
      <c r="P414" s="336"/>
      <c r="Q414" s="301"/>
      <c r="R414" s="336"/>
      <c r="S414" s="301"/>
      <c r="T414" s="336"/>
    </row>
    <row r="415" spans="1:20" ht="12" customHeight="1" x14ac:dyDescent="0.3">
      <c r="A415" s="329" t="s">
        <v>289</v>
      </c>
      <c r="B415" s="330">
        <v>4</v>
      </c>
      <c r="C415" s="298">
        <v>46173</v>
      </c>
      <c r="D415" s="298" t="s">
        <v>363</v>
      </c>
      <c r="E415" s="522">
        <v>108.69</v>
      </c>
      <c r="F415" s="522"/>
      <c r="G415" s="333">
        <f t="shared" si="12"/>
        <v>5731.2199999999857</v>
      </c>
      <c r="H415" s="334"/>
      <c r="I415" s="335"/>
      <c r="J415" s="336"/>
      <c r="K415" s="301"/>
      <c r="L415" s="336"/>
      <c r="M415" s="301"/>
      <c r="N415" s="336"/>
      <c r="O415" s="301"/>
      <c r="P415" s="336"/>
      <c r="Q415" s="301"/>
      <c r="R415" s="336"/>
      <c r="S415" s="301"/>
      <c r="T415" s="336"/>
    </row>
    <row r="416" spans="1:20" ht="12" customHeight="1" x14ac:dyDescent="0.3">
      <c r="A416" s="329" t="s">
        <v>294</v>
      </c>
      <c r="B416" s="330">
        <v>10</v>
      </c>
      <c r="C416" s="298">
        <v>46173</v>
      </c>
      <c r="D416" s="298" t="s">
        <v>176</v>
      </c>
      <c r="E416" s="522">
        <v>17.899999999999999</v>
      </c>
      <c r="F416" s="522"/>
      <c r="G416" s="333">
        <f t="shared" si="12"/>
        <v>5839.9099999999853</v>
      </c>
      <c r="H416" s="334"/>
      <c r="I416" s="335"/>
      <c r="J416" s="336"/>
      <c r="K416" s="301"/>
      <c r="L416" s="336"/>
      <c r="M416" s="301"/>
      <c r="N416" s="336"/>
      <c r="O416" s="301"/>
      <c r="P416" s="336"/>
      <c r="Q416" s="301"/>
      <c r="R416" s="336"/>
      <c r="S416" s="301"/>
      <c r="T416" s="336"/>
    </row>
    <row r="417" spans="1:20" ht="12" customHeight="1" x14ac:dyDescent="0.3">
      <c r="A417" s="329" t="s">
        <v>289</v>
      </c>
      <c r="B417" s="330">
        <v>1</v>
      </c>
      <c r="C417" s="298">
        <v>46173</v>
      </c>
      <c r="D417" s="298" t="s">
        <v>445</v>
      </c>
      <c r="E417" s="522">
        <v>9.57</v>
      </c>
      <c r="F417" s="522"/>
      <c r="G417" s="333">
        <f t="shared" si="12"/>
        <v>5857.8099999999849</v>
      </c>
      <c r="H417" s="334"/>
      <c r="I417" s="335"/>
      <c r="J417" s="336"/>
      <c r="K417" s="301"/>
      <c r="L417" s="336"/>
      <c r="M417" s="301"/>
      <c r="N417" s="336"/>
      <c r="O417" s="301"/>
      <c r="P417" s="336"/>
      <c r="Q417" s="301"/>
      <c r="R417" s="336"/>
      <c r="S417" s="301"/>
      <c r="T417" s="336"/>
    </row>
    <row r="418" spans="1:20" ht="12" customHeight="1" x14ac:dyDescent="0.3">
      <c r="A418" s="329" t="s">
        <v>289</v>
      </c>
      <c r="B418" s="330">
        <v>8</v>
      </c>
      <c r="C418" s="298">
        <v>46172</v>
      </c>
      <c r="D418" s="298" t="s">
        <v>319</v>
      </c>
      <c r="E418" s="522">
        <v>88.98</v>
      </c>
      <c r="F418" s="522"/>
      <c r="G418" s="333">
        <f t="shared" si="12"/>
        <v>5867.3799999999846</v>
      </c>
      <c r="H418" s="334"/>
      <c r="I418" s="335"/>
      <c r="J418" s="336"/>
      <c r="K418" s="301"/>
      <c r="L418" s="336"/>
      <c r="M418" s="301"/>
      <c r="N418" s="336"/>
      <c r="O418" s="301"/>
      <c r="P418" s="336"/>
      <c r="Q418" s="301"/>
      <c r="R418" s="336"/>
      <c r="S418" s="301"/>
      <c r="T418" s="336"/>
    </row>
    <row r="419" spans="1:20" ht="12" customHeight="1" x14ac:dyDescent="0.3">
      <c r="A419" s="329" t="s">
        <v>287</v>
      </c>
      <c r="B419" s="330" t="s">
        <v>287</v>
      </c>
      <c r="C419" s="298">
        <v>46172</v>
      </c>
      <c r="D419" s="298" t="s">
        <v>891</v>
      </c>
      <c r="E419" s="522">
        <v>219.38</v>
      </c>
      <c r="F419" s="522">
        <v>219.38</v>
      </c>
      <c r="G419" s="333">
        <f t="shared" si="12"/>
        <v>5956.3599999999842</v>
      </c>
      <c r="H419" s="334"/>
      <c r="I419" s="335"/>
      <c r="J419" s="336"/>
      <c r="K419" s="301"/>
      <c r="L419" s="336"/>
      <c r="M419" s="301"/>
      <c r="N419" s="336"/>
      <c r="O419" s="301"/>
      <c r="P419" s="336"/>
      <c r="Q419" s="301"/>
      <c r="R419" s="336"/>
      <c r="S419" s="301"/>
      <c r="T419" s="336"/>
    </row>
    <row r="420" spans="1:20" ht="12" customHeight="1" x14ac:dyDescent="0.3">
      <c r="A420" s="329" t="s">
        <v>287</v>
      </c>
      <c r="B420" s="330" t="s">
        <v>287</v>
      </c>
      <c r="C420" s="298">
        <v>46172</v>
      </c>
      <c r="D420" s="298" t="s">
        <v>890</v>
      </c>
      <c r="E420" s="522">
        <v>310.98</v>
      </c>
      <c r="F420" s="522">
        <v>310.98</v>
      </c>
      <c r="G420" s="333">
        <f t="shared" si="12"/>
        <v>5956.3599999999842</v>
      </c>
      <c r="H420" s="334"/>
      <c r="I420" s="335"/>
      <c r="J420" s="336"/>
      <c r="K420" s="301"/>
      <c r="L420" s="336"/>
      <c r="M420" s="301"/>
      <c r="N420" s="336"/>
      <c r="O420" s="301"/>
      <c r="P420" s="336"/>
      <c r="Q420" s="301"/>
      <c r="R420" s="336"/>
      <c r="S420" s="301"/>
      <c r="T420" s="336"/>
    </row>
    <row r="421" spans="1:20" ht="12" customHeight="1" x14ac:dyDescent="0.3">
      <c r="A421" s="329" t="s">
        <v>289</v>
      </c>
      <c r="B421" s="330">
        <v>2</v>
      </c>
      <c r="C421" s="298">
        <v>46172</v>
      </c>
      <c r="D421" s="298" t="s">
        <v>894</v>
      </c>
      <c r="E421" s="522">
        <v>130.68</v>
      </c>
      <c r="F421" s="522"/>
      <c r="G421" s="333">
        <f t="shared" si="12"/>
        <v>5956.3599999999842</v>
      </c>
      <c r="H421" s="334"/>
      <c r="I421" s="335"/>
      <c r="J421" s="336"/>
      <c r="K421" s="301"/>
      <c r="L421" s="336"/>
      <c r="M421" s="301"/>
      <c r="N421" s="336"/>
      <c r="O421" s="301"/>
      <c r="P421" s="336"/>
      <c r="Q421" s="301"/>
      <c r="R421" s="336"/>
      <c r="S421" s="301"/>
      <c r="T421" s="336"/>
    </row>
    <row r="422" spans="1:20" ht="12" customHeight="1" x14ac:dyDescent="0.3">
      <c r="A422" s="329" t="s">
        <v>289</v>
      </c>
      <c r="B422" s="330">
        <v>2</v>
      </c>
      <c r="C422" s="298">
        <v>46172</v>
      </c>
      <c r="D422" s="298" t="s">
        <v>356</v>
      </c>
      <c r="E422" s="522">
        <v>49.99</v>
      </c>
      <c r="F422" s="522"/>
      <c r="G422" s="333">
        <f t="shared" si="12"/>
        <v>6087.0399999999845</v>
      </c>
      <c r="H422" s="334"/>
      <c r="I422" s="335"/>
      <c r="J422" s="336"/>
      <c r="K422" s="301"/>
      <c r="L422" s="336"/>
      <c r="M422" s="301"/>
      <c r="N422" s="336"/>
      <c r="O422" s="301"/>
      <c r="P422" s="336"/>
      <c r="Q422" s="301"/>
      <c r="R422" s="336"/>
      <c r="S422" s="301"/>
      <c r="T422" s="336"/>
    </row>
    <row r="423" spans="1:20" ht="12" customHeight="1" x14ac:dyDescent="0.3">
      <c r="A423" s="329" t="s">
        <v>289</v>
      </c>
      <c r="B423" s="330">
        <v>2</v>
      </c>
      <c r="C423" s="298">
        <v>46171</v>
      </c>
      <c r="D423" s="298" t="s">
        <v>296</v>
      </c>
      <c r="E423" s="522">
        <v>15.1</v>
      </c>
      <c r="F423" s="522"/>
      <c r="G423" s="333">
        <f t="shared" si="12"/>
        <v>6137.0299999999843</v>
      </c>
      <c r="H423" s="334"/>
      <c r="I423" s="335"/>
      <c r="J423" s="336"/>
      <c r="K423" s="301"/>
      <c r="L423" s="336"/>
      <c r="M423" s="301"/>
      <c r="N423" s="336"/>
      <c r="O423" s="301"/>
      <c r="P423" s="336"/>
      <c r="Q423" s="301"/>
      <c r="R423" s="336"/>
      <c r="S423" s="301"/>
      <c r="T423" s="336"/>
    </row>
    <row r="424" spans="1:20" ht="12" customHeight="1" x14ac:dyDescent="0.3">
      <c r="A424" s="329" t="s">
        <v>289</v>
      </c>
      <c r="B424" s="330">
        <v>8</v>
      </c>
      <c r="C424" s="298">
        <v>46171</v>
      </c>
      <c r="D424" s="298" t="s">
        <v>295</v>
      </c>
      <c r="E424" s="522">
        <v>7.02</v>
      </c>
      <c r="F424" s="522"/>
      <c r="G424" s="333">
        <f t="shared" si="12"/>
        <v>6152.1299999999846</v>
      </c>
      <c r="H424" s="334"/>
      <c r="I424" s="335"/>
      <c r="J424" s="336"/>
      <c r="K424" s="301"/>
      <c r="L424" s="336"/>
      <c r="M424" s="301"/>
      <c r="N424" s="336"/>
      <c r="O424" s="301"/>
      <c r="P424" s="336"/>
      <c r="Q424" s="301"/>
      <c r="R424" s="336"/>
      <c r="S424" s="301"/>
      <c r="T424" s="336"/>
    </row>
    <row r="425" spans="1:20" ht="12" customHeight="1" x14ac:dyDescent="0.3">
      <c r="A425" s="329" t="s">
        <v>289</v>
      </c>
      <c r="B425" s="330">
        <v>4</v>
      </c>
      <c r="C425" s="298">
        <v>46171</v>
      </c>
      <c r="D425" s="298" t="s">
        <v>295</v>
      </c>
      <c r="E425" s="522">
        <v>93.38</v>
      </c>
      <c r="F425" s="522"/>
      <c r="G425" s="333">
        <f t="shared" si="12"/>
        <v>6159.1499999999851</v>
      </c>
      <c r="H425" s="334"/>
      <c r="I425" s="335"/>
      <c r="J425" s="336"/>
      <c r="K425" s="301"/>
      <c r="L425" s="336"/>
      <c r="M425" s="301"/>
      <c r="N425" s="336"/>
      <c r="O425" s="301"/>
      <c r="P425" s="336"/>
      <c r="Q425" s="301"/>
      <c r="R425" s="336"/>
      <c r="S425" s="301"/>
      <c r="T425" s="336"/>
    </row>
    <row r="426" spans="1:20" ht="12" customHeight="1" x14ac:dyDescent="0.3">
      <c r="A426" s="329" t="s">
        <v>289</v>
      </c>
      <c r="B426" s="330">
        <v>2</v>
      </c>
      <c r="C426" s="298">
        <v>46171</v>
      </c>
      <c r="D426" s="298" t="s">
        <v>353</v>
      </c>
      <c r="E426" s="522">
        <v>18.98</v>
      </c>
      <c r="F426" s="522"/>
      <c r="G426" s="333">
        <f t="shared" si="12"/>
        <v>6252.5299999999852</v>
      </c>
      <c r="H426" s="334"/>
      <c r="I426" s="335"/>
      <c r="J426" s="336"/>
      <c r="K426" s="301"/>
      <c r="L426" s="336"/>
      <c r="M426" s="301"/>
      <c r="N426" s="336"/>
      <c r="O426" s="301"/>
      <c r="P426" s="336"/>
      <c r="Q426" s="301"/>
      <c r="R426" s="336"/>
      <c r="S426" s="301"/>
      <c r="T426" s="336"/>
    </row>
    <row r="427" spans="1:20" ht="12" customHeight="1" x14ac:dyDescent="0.3">
      <c r="A427" s="329" t="s">
        <v>294</v>
      </c>
      <c r="B427" s="330">
        <v>23</v>
      </c>
      <c r="C427" s="298">
        <v>46171</v>
      </c>
      <c r="D427" s="299" t="s">
        <v>67</v>
      </c>
      <c r="E427" s="522">
        <v>650.88</v>
      </c>
      <c r="F427" s="522"/>
      <c r="G427" s="333">
        <f t="shared" si="12"/>
        <v>6271.5099999999848</v>
      </c>
      <c r="H427" s="334"/>
      <c r="I427" s="335"/>
      <c r="J427" s="336"/>
      <c r="K427" s="301"/>
      <c r="L427" s="336"/>
      <c r="M427" s="301"/>
      <c r="N427" s="336"/>
      <c r="O427" s="301"/>
      <c r="P427" s="336"/>
      <c r="Q427" s="301"/>
      <c r="R427" s="336"/>
      <c r="S427" s="301"/>
      <c r="T427" s="336"/>
    </row>
    <row r="428" spans="1:20" ht="12" customHeight="1" x14ac:dyDescent="0.3">
      <c r="A428" s="329" t="s">
        <v>294</v>
      </c>
      <c r="B428" s="330">
        <v>20</v>
      </c>
      <c r="C428" s="298">
        <v>46171</v>
      </c>
      <c r="D428" s="299" t="s">
        <v>193</v>
      </c>
      <c r="E428" s="522">
        <v>600</v>
      </c>
      <c r="F428" s="522"/>
      <c r="G428" s="333">
        <f t="shared" si="12"/>
        <v>6922.3899999999849</v>
      </c>
      <c r="H428" s="334"/>
      <c r="I428" s="335"/>
      <c r="J428" s="336"/>
      <c r="K428" s="301"/>
      <c r="L428" s="336"/>
      <c r="M428" s="301"/>
      <c r="N428" s="336"/>
      <c r="O428" s="301"/>
      <c r="P428" s="336"/>
      <c r="Q428" s="301"/>
      <c r="R428" s="336"/>
      <c r="S428" s="301"/>
      <c r="T428" s="336"/>
    </row>
    <row r="429" spans="1:20" ht="12" customHeight="1" x14ac:dyDescent="0.3">
      <c r="A429" s="329" t="s">
        <v>291</v>
      </c>
      <c r="B429" s="330">
        <v>38</v>
      </c>
      <c r="C429" s="298">
        <v>46171</v>
      </c>
      <c r="D429" s="299" t="s">
        <v>293</v>
      </c>
      <c r="E429" s="522"/>
      <c r="F429" s="522">
        <v>4597.8100000000004</v>
      </c>
      <c r="G429" s="333">
        <f t="shared" si="12"/>
        <v>7522.3899999999849</v>
      </c>
      <c r="H429" s="334"/>
      <c r="I429" s="335"/>
      <c r="J429" s="336"/>
      <c r="K429" s="301"/>
      <c r="L429" s="336"/>
      <c r="M429" s="301"/>
      <c r="N429" s="336"/>
      <c r="O429" s="301"/>
      <c r="P429" s="336"/>
      <c r="Q429" s="301"/>
      <c r="R429" s="336"/>
      <c r="S429" s="301"/>
      <c r="T429" s="336"/>
    </row>
    <row r="430" spans="1:20" ht="12" customHeight="1" x14ac:dyDescent="0.3">
      <c r="A430" s="329" t="s">
        <v>294</v>
      </c>
      <c r="B430" s="330">
        <v>42</v>
      </c>
      <c r="C430" s="298">
        <v>46171</v>
      </c>
      <c r="D430" s="299" t="s">
        <v>200</v>
      </c>
      <c r="E430" s="522">
        <v>50.92</v>
      </c>
      <c r="F430" s="522"/>
      <c r="G430" s="333">
        <f t="shared" si="12"/>
        <v>2924.5799999999849</v>
      </c>
      <c r="H430" s="334"/>
      <c r="I430" s="335"/>
      <c r="J430" s="336"/>
      <c r="K430" s="301"/>
      <c r="L430" s="336"/>
      <c r="M430" s="301"/>
      <c r="N430" s="336"/>
      <c r="O430" s="301"/>
      <c r="P430" s="336"/>
      <c r="Q430" s="301"/>
      <c r="R430" s="336"/>
      <c r="S430" s="301"/>
      <c r="T430" s="336"/>
    </row>
    <row r="431" spans="1:20" ht="12" customHeight="1" x14ac:dyDescent="0.3">
      <c r="A431" s="329" t="s">
        <v>294</v>
      </c>
      <c r="B431" s="330">
        <v>43</v>
      </c>
      <c r="C431" s="298">
        <v>46171</v>
      </c>
      <c r="D431" s="299" t="s">
        <v>201</v>
      </c>
      <c r="E431" s="522">
        <v>42.84</v>
      </c>
      <c r="F431" s="522"/>
      <c r="G431" s="333">
        <f t="shared" si="12"/>
        <v>2975.499999999985</v>
      </c>
      <c r="H431" s="334"/>
      <c r="I431" s="335"/>
      <c r="J431" s="336"/>
      <c r="K431" s="301"/>
      <c r="L431" s="336"/>
      <c r="M431" s="301"/>
      <c r="N431" s="336"/>
      <c r="O431" s="301"/>
      <c r="P431" s="336"/>
      <c r="Q431" s="301"/>
      <c r="R431" s="336"/>
      <c r="S431" s="301"/>
      <c r="T431" s="336"/>
    </row>
    <row r="432" spans="1:20" ht="12" customHeight="1" x14ac:dyDescent="0.3">
      <c r="A432" s="329" t="s">
        <v>291</v>
      </c>
      <c r="B432" s="330">
        <v>39</v>
      </c>
      <c r="C432" s="298">
        <v>46170</v>
      </c>
      <c r="D432" s="299" t="s">
        <v>292</v>
      </c>
      <c r="E432" s="522"/>
      <c r="F432" s="522">
        <v>2763.79</v>
      </c>
      <c r="G432" s="333">
        <f t="shared" si="12"/>
        <v>3018.3399999999851</v>
      </c>
      <c r="H432" s="334"/>
      <c r="I432" s="335"/>
      <c r="J432" s="336"/>
      <c r="K432" s="301"/>
      <c r="L432" s="336"/>
      <c r="M432" s="301"/>
      <c r="N432" s="336"/>
      <c r="O432" s="301"/>
      <c r="P432" s="336"/>
      <c r="Q432" s="301"/>
      <c r="R432" s="336"/>
      <c r="S432" s="301"/>
      <c r="T432" s="336"/>
    </row>
    <row r="433" spans="1:20" ht="12" customHeight="1" x14ac:dyDescent="0.3">
      <c r="A433" s="329" t="s">
        <v>289</v>
      </c>
      <c r="B433" s="330">
        <v>3</v>
      </c>
      <c r="C433" s="298">
        <v>46170</v>
      </c>
      <c r="D433" s="299" t="s">
        <v>884</v>
      </c>
      <c r="E433" s="522">
        <v>8.9499999999999993</v>
      </c>
      <c r="F433" s="522"/>
      <c r="G433" s="333">
        <f t="shared" si="12"/>
        <v>254.54999999998506</v>
      </c>
      <c r="H433" s="334"/>
      <c r="I433" s="335"/>
      <c r="J433" s="336"/>
      <c r="K433" s="301"/>
      <c r="L433" s="336"/>
      <c r="M433" s="301"/>
      <c r="N433" s="336"/>
      <c r="O433" s="301"/>
      <c r="P433" s="336"/>
      <c r="Q433" s="301"/>
      <c r="R433" s="336"/>
      <c r="S433" s="301"/>
      <c r="T433" s="336"/>
    </row>
    <row r="434" spans="1:20" ht="12" customHeight="1" x14ac:dyDescent="0.3">
      <c r="A434" s="329" t="s">
        <v>289</v>
      </c>
      <c r="B434" s="330">
        <v>4</v>
      </c>
      <c r="C434" s="298">
        <v>46170</v>
      </c>
      <c r="D434" s="299" t="s">
        <v>884</v>
      </c>
      <c r="E434" s="522">
        <v>43.44</v>
      </c>
      <c r="F434" s="522"/>
      <c r="G434" s="333">
        <f t="shared" si="12"/>
        <v>263.49999999998505</v>
      </c>
      <c r="H434" s="334"/>
      <c r="I434" s="335"/>
      <c r="J434" s="336"/>
      <c r="K434" s="301"/>
      <c r="L434" s="336"/>
      <c r="M434" s="301"/>
      <c r="N434" s="336"/>
      <c r="O434" s="301"/>
      <c r="P434" s="336"/>
      <c r="Q434" s="301"/>
      <c r="R434" s="336"/>
      <c r="S434" s="301"/>
      <c r="T434" s="336"/>
    </row>
    <row r="435" spans="1:20" ht="12" customHeight="1" x14ac:dyDescent="0.3">
      <c r="A435" s="329" t="s">
        <v>289</v>
      </c>
      <c r="B435" s="330">
        <v>6</v>
      </c>
      <c r="C435" s="298">
        <v>46170</v>
      </c>
      <c r="D435" s="299" t="s">
        <v>892</v>
      </c>
      <c r="E435" s="522">
        <v>30.89</v>
      </c>
      <c r="F435" s="522"/>
      <c r="G435" s="333">
        <f t="shared" si="12"/>
        <v>306.93999999998505</v>
      </c>
      <c r="H435" s="334"/>
      <c r="I435" s="335"/>
      <c r="J435" s="336"/>
      <c r="K435" s="301"/>
      <c r="L435" s="336"/>
      <c r="M435" s="301"/>
      <c r="N435" s="336"/>
      <c r="O435" s="301"/>
      <c r="P435" s="336"/>
      <c r="Q435" s="301"/>
      <c r="R435" s="336"/>
      <c r="S435" s="301"/>
      <c r="T435" s="336"/>
    </row>
    <row r="436" spans="1:20" ht="12" customHeight="1" x14ac:dyDescent="0.3">
      <c r="A436" s="329" t="s">
        <v>289</v>
      </c>
      <c r="B436" s="330">
        <v>2</v>
      </c>
      <c r="C436" s="298">
        <v>46170</v>
      </c>
      <c r="D436" s="299" t="s">
        <v>346</v>
      </c>
      <c r="E436" s="522">
        <v>32.659999999999997</v>
      </c>
      <c r="F436" s="522"/>
      <c r="G436" s="333">
        <f t="shared" si="12"/>
        <v>337.82999999998503</v>
      </c>
      <c r="H436" s="334"/>
      <c r="I436" s="335"/>
      <c r="J436" s="336"/>
      <c r="K436" s="301"/>
      <c r="L436" s="336"/>
      <c r="M436" s="301"/>
      <c r="N436" s="336"/>
      <c r="O436" s="301"/>
      <c r="P436" s="336"/>
      <c r="Q436" s="301"/>
      <c r="R436" s="336"/>
      <c r="S436" s="301"/>
      <c r="T436" s="336"/>
    </row>
    <row r="437" spans="1:20" ht="12" customHeight="1" x14ac:dyDescent="0.3">
      <c r="A437" s="329" t="s">
        <v>289</v>
      </c>
      <c r="B437" s="330">
        <v>2</v>
      </c>
      <c r="C437" s="298">
        <v>46170</v>
      </c>
      <c r="D437" s="299" t="s">
        <v>386</v>
      </c>
      <c r="E437" s="522">
        <v>9.09</v>
      </c>
      <c r="F437" s="522"/>
      <c r="G437" s="333">
        <f t="shared" si="12"/>
        <v>370.48999999998506</v>
      </c>
      <c r="H437" s="334"/>
      <c r="I437" s="335"/>
      <c r="J437" s="336"/>
      <c r="K437" s="301"/>
      <c r="L437" s="336"/>
      <c r="M437" s="301"/>
      <c r="N437" s="336"/>
      <c r="O437" s="301"/>
      <c r="P437" s="336"/>
      <c r="Q437" s="301"/>
      <c r="R437" s="336"/>
      <c r="S437" s="301"/>
      <c r="T437" s="336"/>
    </row>
    <row r="438" spans="1:20" ht="12" customHeight="1" x14ac:dyDescent="0.3">
      <c r="A438" s="329" t="s">
        <v>289</v>
      </c>
      <c r="B438" s="330">
        <v>8</v>
      </c>
      <c r="C438" s="298">
        <v>46170</v>
      </c>
      <c r="D438" s="299" t="s">
        <v>846</v>
      </c>
      <c r="E438" s="522">
        <v>36.74</v>
      </c>
      <c r="F438" s="522"/>
      <c r="G438" s="333">
        <f t="shared" si="12"/>
        <v>379.57999999998503</v>
      </c>
      <c r="H438" s="334"/>
      <c r="I438" s="335"/>
      <c r="J438" s="336"/>
      <c r="K438" s="301"/>
      <c r="L438" s="336"/>
      <c r="M438" s="301"/>
      <c r="N438" s="336"/>
      <c r="O438" s="301"/>
      <c r="P438" s="336"/>
      <c r="Q438" s="301"/>
      <c r="R438" s="336"/>
      <c r="S438" s="301"/>
      <c r="T438" s="336"/>
    </row>
    <row r="439" spans="1:20" ht="12" customHeight="1" x14ac:dyDescent="0.3">
      <c r="A439" s="329" t="s">
        <v>289</v>
      </c>
      <c r="B439" s="330">
        <v>5</v>
      </c>
      <c r="C439" s="298">
        <v>46170</v>
      </c>
      <c r="D439" s="299" t="s">
        <v>846</v>
      </c>
      <c r="E439" s="522">
        <v>11.2</v>
      </c>
      <c r="F439" s="522"/>
      <c r="G439" s="333">
        <f t="shared" si="12"/>
        <v>416.31999999998504</v>
      </c>
      <c r="H439" s="334"/>
      <c r="I439" s="335"/>
      <c r="J439" s="336"/>
      <c r="K439" s="301"/>
      <c r="L439" s="336"/>
      <c r="M439" s="301"/>
      <c r="N439" s="336"/>
      <c r="O439" s="301"/>
      <c r="P439" s="336"/>
      <c r="Q439" s="301"/>
      <c r="R439" s="336"/>
      <c r="S439" s="301"/>
      <c r="T439" s="336"/>
    </row>
    <row r="440" spans="1:20" ht="12" customHeight="1" x14ac:dyDescent="0.3">
      <c r="A440" s="329" t="s">
        <v>289</v>
      </c>
      <c r="B440" s="330">
        <v>2</v>
      </c>
      <c r="C440" s="298">
        <v>46169</v>
      </c>
      <c r="D440" s="299" t="s">
        <v>358</v>
      </c>
      <c r="E440" s="522">
        <v>11.29</v>
      </c>
      <c r="F440" s="522"/>
      <c r="G440" s="333">
        <f t="shared" si="12"/>
        <v>427.51999999998503</v>
      </c>
      <c r="H440" s="334"/>
      <c r="I440" s="335"/>
      <c r="J440" s="336"/>
      <c r="K440" s="301"/>
      <c r="L440" s="336"/>
      <c r="M440" s="301"/>
      <c r="N440" s="336"/>
      <c r="O440" s="301"/>
      <c r="P440" s="336"/>
      <c r="Q440" s="301"/>
      <c r="R440" s="336"/>
      <c r="S440" s="301"/>
      <c r="T440" s="336"/>
    </row>
    <row r="441" spans="1:20" ht="12" customHeight="1" x14ac:dyDescent="0.3">
      <c r="A441" s="329" t="s">
        <v>289</v>
      </c>
      <c r="B441" s="330">
        <v>4</v>
      </c>
      <c r="C441" s="298">
        <v>46169</v>
      </c>
      <c r="D441" s="299" t="s">
        <v>363</v>
      </c>
      <c r="E441" s="522">
        <v>44.84</v>
      </c>
      <c r="F441" s="522"/>
      <c r="G441" s="333">
        <f t="shared" si="12"/>
        <v>438.80999999998505</v>
      </c>
      <c r="H441" s="334"/>
      <c r="I441" s="335"/>
      <c r="J441" s="336"/>
      <c r="K441" s="301"/>
      <c r="L441" s="336"/>
      <c r="M441" s="301"/>
      <c r="N441" s="336"/>
      <c r="O441" s="301"/>
      <c r="P441" s="336"/>
      <c r="Q441" s="301"/>
      <c r="R441" s="336"/>
      <c r="S441" s="301"/>
      <c r="T441" s="336"/>
    </row>
    <row r="442" spans="1:20" ht="12" customHeight="1" x14ac:dyDescent="0.3">
      <c r="A442" s="329" t="s">
        <v>289</v>
      </c>
      <c r="B442" s="330">
        <v>7</v>
      </c>
      <c r="C442" s="298">
        <v>46169</v>
      </c>
      <c r="D442" s="299" t="s">
        <v>338</v>
      </c>
      <c r="E442" s="522">
        <v>139.88</v>
      </c>
      <c r="F442" s="522"/>
      <c r="G442" s="333">
        <f t="shared" si="12"/>
        <v>483.64999999998508</v>
      </c>
      <c r="H442" s="334"/>
      <c r="I442" s="335"/>
      <c r="J442" s="336"/>
      <c r="K442" s="301"/>
      <c r="L442" s="336"/>
      <c r="M442" s="301"/>
      <c r="N442" s="336"/>
      <c r="O442" s="301"/>
      <c r="P442" s="336"/>
      <c r="Q442" s="301"/>
      <c r="R442" s="336"/>
      <c r="S442" s="301"/>
      <c r="T442" s="336"/>
    </row>
    <row r="443" spans="1:20" ht="12" customHeight="1" x14ac:dyDescent="0.3">
      <c r="A443" s="329" t="s">
        <v>289</v>
      </c>
      <c r="B443" s="330">
        <v>8</v>
      </c>
      <c r="C443" s="298">
        <v>46169</v>
      </c>
      <c r="D443" s="299" t="s">
        <v>319</v>
      </c>
      <c r="E443" s="522">
        <v>46.84</v>
      </c>
      <c r="F443" s="522"/>
      <c r="G443" s="333">
        <f t="shared" ref="G443:G480" si="13">G444-E443+F443</f>
        <v>623.52999999998508</v>
      </c>
      <c r="H443" s="334"/>
      <c r="I443" s="335"/>
      <c r="J443" s="336"/>
      <c r="K443" s="301"/>
      <c r="L443" s="336"/>
      <c r="M443" s="301"/>
      <c r="N443" s="336"/>
      <c r="O443" s="301"/>
      <c r="P443" s="336"/>
      <c r="Q443" s="301"/>
      <c r="R443" s="336"/>
      <c r="S443" s="301"/>
      <c r="T443" s="336"/>
    </row>
    <row r="444" spans="1:20" ht="12" customHeight="1" x14ac:dyDescent="0.3">
      <c r="A444" s="329" t="s">
        <v>289</v>
      </c>
      <c r="B444" s="330">
        <v>2</v>
      </c>
      <c r="C444" s="298">
        <v>46169</v>
      </c>
      <c r="D444" s="299" t="s">
        <v>358</v>
      </c>
      <c r="E444" s="522">
        <v>9.4700000000000006</v>
      </c>
      <c r="F444" s="522"/>
      <c r="G444" s="333">
        <f t="shared" si="13"/>
        <v>670.36999999998511</v>
      </c>
      <c r="H444" s="334"/>
      <c r="I444" s="335"/>
      <c r="J444" s="336"/>
      <c r="K444" s="301"/>
      <c r="L444" s="336"/>
      <c r="M444" s="301"/>
      <c r="N444" s="336"/>
      <c r="O444" s="301"/>
      <c r="P444" s="336"/>
      <c r="Q444" s="301"/>
      <c r="R444" s="336"/>
      <c r="S444" s="301"/>
      <c r="T444" s="336"/>
    </row>
    <row r="445" spans="1:20" ht="12" customHeight="1" x14ac:dyDescent="0.3">
      <c r="A445" s="329" t="s">
        <v>289</v>
      </c>
      <c r="B445" s="330">
        <v>8</v>
      </c>
      <c r="C445" s="298">
        <v>46168</v>
      </c>
      <c r="D445" s="299" t="s">
        <v>308</v>
      </c>
      <c r="E445" s="522">
        <v>47.99</v>
      </c>
      <c r="F445" s="522"/>
      <c r="G445" s="333">
        <f t="shared" si="13"/>
        <v>679.83999999998514</v>
      </c>
      <c r="H445" s="334"/>
      <c r="I445" s="335"/>
      <c r="J445" s="336"/>
      <c r="K445" s="301"/>
      <c r="L445" s="336"/>
      <c r="M445" s="301"/>
      <c r="N445" s="336"/>
      <c r="O445" s="301"/>
      <c r="P445" s="336"/>
      <c r="Q445" s="301"/>
      <c r="R445" s="336"/>
      <c r="S445" s="301"/>
      <c r="T445" s="336"/>
    </row>
    <row r="446" spans="1:20" ht="12" customHeight="1" x14ac:dyDescent="0.3">
      <c r="A446" s="329" t="s">
        <v>289</v>
      </c>
      <c r="B446" s="330">
        <v>5</v>
      </c>
      <c r="C446" s="298">
        <v>46168</v>
      </c>
      <c r="D446" s="299" t="s">
        <v>872</v>
      </c>
      <c r="E446" s="522">
        <v>26</v>
      </c>
      <c r="F446" s="522"/>
      <c r="G446" s="333">
        <f t="shared" si="13"/>
        <v>727.82999999998515</v>
      </c>
      <c r="H446" s="334"/>
      <c r="I446" s="335"/>
      <c r="J446" s="336"/>
      <c r="K446" s="301"/>
      <c r="L446" s="336"/>
      <c r="M446" s="301"/>
      <c r="N446" s="336"/>
      <c r="O446" s="301"/>
      <c r="P446" s="336"/>
      <c r="Q446" s="301"/>
      <c r="R446" s="336"/>
      <c r="S446" s="301"/>
      <c r="T446" s="336"/>
    </row>
    <row r="447" spans="1:20" ht="12" customHeight="1" x14ac:dyDescent="0.3">
      <c r="A447" s="329" t="s">
        <v>289</v>
      </c>
      <c r="B447" s="330">
        <v>4</v>
      </c>
      <c r="C447" s="298">
        <v>46168</v>
      </c>
      <c r="D447" s="299" t="s">
        <v>310</v>
      </c>
      <c r="E447" s="522">
        <v>50.15</v>
      </c>
      <c r="F447" s="522"/>
      <c r="G447" s="333">
        <f t="shared" si="13"/>
        <v>753.82999999998515</v>
      </c>
      <c r="H447" s="334"/>
      <c r="I447" s="335"/>
      <c r="J447" s="336"/>
      <c r="K447" s="301"/>
      <c r="L447" s="336"/>
      <c r="M447" s="301"/>
      <c r="N447" s="336"/>
      <c r="O447" s="301"/>
      <c r="P447" s="336"/>
      <c r="Q447" s="301"/>
      <c r="R447" s="336"/>
      <c r="S447" s="301"/>
      <c r="T447" s="336"/>
    </row>
    <row r="448" spans="1:20" ht="12" customHeight="1" x14ac:dyDescent="0.3">
      <c r="A448" s="329" t="s">
        <v>287</v>
      </c>
      <c r="B448" s="330" t="s">
        <v>287</v>
      </c>
      <c r="C448" s="298">
        <v>46168</v>
      </c>
      <c r="D448" s="299" t="s">
        <v>882</v>
      </c>
      <c r="E448" s="522">
        <v>400</v>
      </c>
      <c r="F448" s="522">
        <v>400</v>
      </c>
      <c r="G448" s="333">
        <f t="shared" si="13"/>
        <v>803.97999999998513</v>
      </c>
      <c r="H448" s="334"/>
      <c r="I448" s="335"/>
      <c r="J448" s="336"/>
      <c r="K448" s="301"/>
      <c r="L448" s="336"/>
      <c r="M448" s="301"/>
      <c r="N448" s="336"/>
      <c r="O448" s="301"/>
      <c r="P448" s="336"/>
      <c r="Q448" s="301"/>
      <c r="R448" s="336"/>
      <c r="S448" s="301"/>
      <c r="T448" s="336"/>
    </row>
    <row r="449" spans="1:20" ht="12" customHeight="1" x14ac:dyDescent="0.3">
      <c r="A449" s="329" t="s">
        <v>294</v>
      </c>
      <c r="B449" s="330">
        <v>22</v>
      </c>
      <c r="C449" s="298">
        <v>46168</v>
      </c>
      <c r="D449" s="299" t="s">
        <v>835</v>
      </c>
      <c r="E449" s="522">
        <v>15.96</v>
      </c>
      <c r="F449" s="522"/>
      <c r="G449" s="333">
        <f t="shared" si="13"/>
        <v>803.97999999998513</v>
      </c>
      <c r="H449" s="334"/>
      <c r="I449" s="335"/>
      <c r="J449" s="336"/>
      <c r="K449" s="301"/>
      <c r="L449" s="336"/>
      <c r="M449" s="301"/>
      <c r="N449" s="336"/>
      <c r="O449" s="301"/>
      <c r="P449" s="336"/>
      <c r="Q449" s="301"/>
      <c r="R449" s="336"/>
      <c r="S449" s="301"/>
      <c r="T449" s="336"/>
    </row>
    <row r="450" spans="1:20" ht="12" customHeight="1" x14ac:dyDescent="0.3">
      <c r="A450" s="329" t="s">
        <v>289</v>
      </c>
      <c r="B450" s="330">
        <v>2</v>
      </c>
      <c r="C450" s="298">
        <v>46168</v>
      </c>
      <c r="D450" s="299" t="s">
        <v>296</v>
      </c>
      <c r="E450" s="522">
        <v>15.1</v>
      </c>
      <c r="F450" s="522"/>
      <c r="G450" s="333">
        <f t="shared" si="13"/>
        <v>819.93999999998516</v>
      </c>
      <c r="H450" s="334"/>
      <c r="I450" s="335"/>
      <c r="J450" s="336"/>
      <c r="K450" s="301"/>
      <c r="L450" s="336"/>
      <c r="M450" s="301"/>
      <c r="N450" s="336"/>
      <c r="O450" s="301"/>
      <c r="P450" s="336"/>
      <c r="Q450" s="301"/>
      <c r="R450" s="336"/>
      <c r="S450" s="301"/>
      <c r="T450" s="336"/>
    </row>
    <row r="451" spans="1:20" ht="12" customHeight="1" x14ac:dyDescent="0.3">
      <c r="A451" s="329" t="s">
        <v>289</v>
      </c>
      <c r="B451" s="330">
        <v>4</v>
      </c>
      <c r="C451" s="298">
        <v>46168</v>
      </c>
      <c r="D451" s="299" t="s">
        <v>296</v>
      </c>
      <c r="E451" s="522">
        <v>44.67</v>
      </c>
      <c r="F451" s="522"/>
      <c r="G451" s="333">
        <f t="shared" si="13"/>
        <v>835.03999999998518</v>
      </c>
      <c r="H451" s="334"/>
      <c r="I451" s="335"/>
      <c r="J451" s="336"/>
      <c r="K451" s="301"/>
      <c r="L451" s="336"/>
      <c r="M451" s="301"/>
      <c r="N451" s="336"/>
      <c r="O451" s="301"/>
      <c r="P451" s="336"/>
      <c r="Q451" s="301"/>
      <c r="R451" s="336"/>
      <c r="S451" s="301"/>
      <c r="T451" s="336"/>
    </row>
    <row r="452" spans="1:20" ht="12" customHeight="1" x14ac:dyDescent="0.3">
      <c r="A452" s="329" t="s">
        <v>289</v>
      </c>
      <c r="B452" s="330">
        <v>1</v>
      </c>
      <c r="C452" s="298">
        <v>46168</v>
      </c>
      <c r="D452" s="299" t="s">
        <v>300</v>
      </c>
      <c r="E452" s="522">
        <v>32.99</v>
      </c>
      <c r="F452" s="522"/>
      <c r="G452" s="333">
        <f t="shared" si="13"/>
        <v>879.70999999998514</v>
      </c>
      <c r="H452" s="334"/>
      <c r="I452" s="335"/>
      <c r="J452" s="336"/>
      <c r="K452" s="301"/>
      <c r="L452" s="336"/>
      <c r="M452" s="301"/>
      <c r="N452" s="336"/>
      <c r="O452" s="301"/>
      <c r="P452" s="336"/>
      <c r="Q452" s="301"/>
      <c r="R452" s="336"/>
      <c r="S452" s="301"/>
      <c r="T452" s="336"/>
    </row>
    <row r="453" spans="1:20" ht="12" customHeight="1" x14ac:dyDescent="0.3">
      <c r="A453" s="329" t="s">
        <v>289</v>
      </c>
      <c r="B453" s="330">
        <v>2</v>
      </c>
      <c r="C453" s="298">
        <v>46168</v>
      </c>
      <c r="D453" s="299" t="s">
        <v>386</v>
      </c>
      <c r="E453" s="522">
        <v>14.39</v>
      </c>
      <c r="F453" s="522"/>
      <c r="G453" s="333">
        <f t="shared" si="13"/>
        <v>912.69999999998515</v>
      </c>
      <c r="H453" s="334"/>
      <c r="I453" s="335"/>
      <c r="J453" s="336"/>
      <c r="K453" s="301"/>
      <c r="L453" s="336"/>
      <c r="M453" s="301"/>
      <c r="N453" s="336"/>
      <c r="O453" s="301"/>
      <c r="P453" s="336"/>
      <c r="Q453" s="301"/>
      <c r="R453" s="336"/>
      <c r="S453" s="301"/>
      <c r="T453" s="336"/>
    </row>
    <row r="454" spans="1:20" ht="12" customHeight="1" x14ac:dyDescent="0.3">
      <c r="A454" s="329" t="s">
        <v>294</v>
      </c>
      <c r="B454" s="330">
        <v>12</v>
      </c>
      <c r="C454" s="298">
        <v>46167</v>
      </c>
      <c r="D454" s="299" t="s">
        <v>314</v>
      </c>
      <c r="E454" s="522">
        <v>204.48</v>
      </c>
      <c r="F454" s="522"/>
      <c r="G454" s="333">
        <f t="shared" si="13"/>
        <v>927.08999999998514</v>
      </c>
      <c r="H454" s="334"/>
      <c r="I454" s="335"/>
      <c r="J454" s="336"/>
      <c r="K454" s="301"/>
      <c r="L454" s="336"/>
      <c r="M454" s="301"/>
      <c r="N454" s="336"/>
      <c r="O454" s="301"/>
      <c r="P454" s="336"/>
      <c r="Q454" s="301"/>
      <c r="R454" s="336"/>
      <c r="S454" s="301"/>
      <c r="T454" s="336"/>
    </row>
    <row r="455" spans="1:20" ht="12" customHeight="1" x14ac:dyDescent="0.3">
      <c r="A455" s="329" t="s">
        <v>289</v>
      </c>
      <c r="B455" s="330">
        <v>8</v>
      </c>
      <c r="C455" s="298">
        <v>46167</v>
      </c>
      <c r="D455" s="299" t="s">
        <v>319</v>
      </c>
      <c r="E455" s="522">
        <v>29.79</v>
      </c>
      <c r="F455" s="522"/>
      <c r="G455" s="333">
        <f t="shared" si="13"/>
        <v>1131.5699999999852</v>
      </c>
      <c r="H455" s="334"/>
      <c r="I455" s="335"/>
      <c r="J455" s="336"/>
      <c r="K455" s="301"/>
      <c r="L455" s="336"/>
      <c r="M455" s="301"/>
      <c r="N455" s="336"/>
      <c r="O455" s="301"/>
      <c r="P455" s="336"/>
      <c r="Q455" s="301"/>
      <c r="R455" s="336"/>
      <c r="S455" s="301"/>
      <c r="T455" s="336"/>
    </row>
    <row r="456" spans="1:20" ht="12" customHeight="1" x14ac:dyDescent="0.3">
      <c r="A456" s="329" t="s">
        <v>289</v>
      </c>
      <c r="B456" s="330">
        <v>3</v>
      </c>
      <c r="C456" s="298">
        <v>46167</v>
      </c>
      <c r="D456" s="299" t="s">
        <v>348</v>
      </c>
      <c r="E456" s="522">
        <v>50</v>
      </c>
      <c r="F456" s="522"/>
      <c r="G456" s="333">
        <f t="shared" si="13"/>
        <v>1161.3599999999851</v>
      </c>
      <c r="H456" s="334"/>
      <c r="I456" s="335"/>
      <c r="J456" s="336"/>
      <c r="K456" s="301"/>
      <c r="L456" s="336"/>
      <c r="M456" s="301"/>
      <c r="N456" s="336"/>
      <c r="O456" s="301"/>
      <c r="P456" s="336"/>
      <c r="Q456" s="301"/>
      <c r="R456" s="336"/>
      <c r="S456" s="301"/>
      <c r="T456" s="336"/>
    </row>
    <row r="457" spans="1:20" ht="12" customHeight="1" x14ac:dyDescent="0.3">
      <c r="A457" s="329" t="s">
        <v>289</v>
      </c>
      <c r="B457" s="330">
        <v>1</v>
      </c>
      <c r="C457" s="298">
        <v>46166</v>
      </c>
      <c r="D457" s="299" t="s">
        <v>329</v>
      </c>
      <c r="E457" s="522">
        <v>122.54</v>
      </c>
      <c r="F457" s="522"/>
      <c r="G457" s="333">
        <f t="shared" si="13"/>
        <v>1211.3599999999851</v>
      </c>
      <c r="H457" s="334"/>
      <c r="I457" s="335"/>
      <c r="J457" s="336"/>
      <c r="K457" s="301"/>
      <c r="L457" s="336"/>
      <c r="M457" s="301"/>
      <c r="N457" s="336"/>
      <c r="O457" s="301"/>
      <c r="P457" s="336"/>
      <c r="Q457" s="301"/>
      <c r="R457" s="336"/>
      <c r="S457" s="301"/>
      <c r="T457" s="336"/>
    </row>
    <row r="458" spans="1:20" ht="12" customHeight="1" x14ac:dyDescent="0.3">
      <c r="A458" s="329" t="s">
        <v>289</v>
      </c>
      <c r="B458" s="330">
        <v>1</v>
      </c>
      <c r="C458" s="298">
        <v>46166</v>
      </c>
      <c r="D458" s="299" t="s">
        <v>311</v>
      </c>
      <c r="E458" s="522">
        <v>157.97</v>
      </c>
      <c r="F458" s="522"/>
      <c r="G458" s="333">
        <f t="shared" si="13"/>
        <v>1333.8999999999851</v>
      </c>
      <c r="H458" s="334"/>
      <c r="I458" s="335"/>
      <c r="J458" s="336"/>
      <c r="K458" s="301"/>
      <c r="L458" s="336"/>
      <c r="M458" s="301"/>
      <c r="N458" s="336"/>
      <c r="O458" s="301"/>
      <c r="P458" s="336"/>
      <c r="Q458" s="301"/>
      <c r="R458" s="336"/>
      <c r="S458" s="301"/>
      <c r="T458" s="336"/>
    </row>
    <row r="459" spans="1:20" ht="12" customHeight="1" x14ac:dyDescent="0.3">
      <c r="A459" s="329" t="s">
        <v>289</v>
      </c>
      <c r="B459" s="330">
        <v>6</v>
      </c>
      <c r="C459" s="298">
        <v>46166</v>
      </c>
      <c r="D459" s="299" t="s">
        <v>300</v>
      </c>
      <c r="E459" s="522">
        <v>44.05</v>
      </c>
      <c r="F459" s="522"/>
      <c r="G459" s="333">
        <f t="shared" si="13"/>
        <v>1491.8699999999851</v>
      </c>
      <c r="H459" s="334"/>
      <c r="I459" s="335"/>
      <c r="J459" s="336"/>
      <c r="K459" s="301"/>
      <c r="L459" s="336"/>
      <c r="M459" s="301"/>
      <c r="N459" s="336"/>
      <c r="O459" s="301"/>
      <c r="P459" s="336"/>
      <c r="Q459" s="301"/>
      <c r="R459" s="336"/>
      <c r="S459" s="301"/>
      <c r="T459" s="336"/>
    </row>
    <row r="460" spans="1:20" ht="12" customHeight="1" x14ac:dyDescent="0.3">
      <c r="A460" s="329" t="s">
        <v>289</v>
      </c>
      <c r="B460" s="330">
        <v>8</v>
      </c>
      <c r="C460" s="298">
        <v>46166</v>
      </c>
      <c r="D460" s="299" t="s">
        <v>319</v>
      </c>
      <c r="E460" s="522">
        <v>70.44</v>
      </c>
      <c r="F460" s="522"/>
      <c r="G460" s="333">
        <f t="shared" si="13"/>
        <v>1535.9199999999851</v>
      </c>
      <c r="H460" s="334"/>
      <c r="I460" s="335"/>
      <c r="J460" s="336"/>
      <c r="K460" s="301"/>
      <c r="L460" s="336"/>
      <c r="M460" s="301"/>
      <c r="N460" s="336"/>
      <c r="O460" s="301"/>
      <c r="P460" s="336"/>
      <c r="Q460" s="301"/>
      <c r="R460" s="336"/>
      <c r="S460" s="301"/>
      <c r="T460" s="336"/>
    </row>
    <row r="461" spans="1:20" ht="12" customHeight="1" x14ac:dyDescent="0.3">
      <c r="A461" s="329" t="s">
        <v>289</v>
      </c>
      <c r="B461" s="330">
        <v>1</v>
      </c>
      <c r="C461" s="298">
        <v>46166</v>
      </c>
      <c r="D461" s="299" t="s">
        <v>329</v>
      </c>
      <c r="E461" s="522">
        <v>55.96</v>
      </c>
      <c r="F461" s="522"/>
      <c r="G461" s="333">
        <f t="shared" si="13"/>
        <v>1606.3599999999851</v>
      </c>
      <c r="H461" s="334"/>
      <c r="I461" s="335"/>
      <c r="J461" s="336"/>
      <c r="K461" s="301"/>
      <c r="L461" s="336"/>
      <c r="M461" s="301"/>
      <c r="N461" s="336"/>
      <c r="O461" s="301"/>
      <c r="P461" s="336"/>
      <c r="Q461" s="301"/>
      <c r="R461" s="336"/>
      <c r="S461" s="301"/>
      <c r="T461" s="336"/>
    </row>
    <row r="462" spans="1:20" ht="12" customHeight="1" x14ac:dyDescent="0.3">
      <c r="A462" s="329" t="s">
        <v>289</v>
      </c>
      <c r="B462" s="330">
        <v>6</v>
      </c>
      <c r="C462" s="298">
        <v>46166</v>
      </c>
      <c r="D462" s="299" t="s">
        <v>883</v>
      </c>
      <c r="E462" s="522">
        <v>597.83000000000004</v>
      </c>
      <c r="F462" s="522"/>
      <c r="G462" s="333">
        <f t="shared" si="13"/>
        <v>1662.3199999999852</v>
      </c>
      <c r="H462" s="334"/>
      <c r="I462" s="335"/>
      <c r="J462" s="336"/>
      <c r="K462" s="301"/>
      <c r="L462" s="336"/>
      <c r="M462" s="301"/>
      <c r="N462" s="336"/>
      <c r="O462" s="301"/>
      <c r="P462" s="336"/>
      <c r="Q462" s="301"/>
      <c r="R462" s="336"/>
      <c r="S462" s="301"/>
      <c r="T462" s="336"/>
    </row>
    <row r="463" spans="1:20" ht="12" customHeight="1" x14ac:dyDescent="0.3">
      <c r="A463" s="329" t="s">
        <v>287</v>
      </c>
      <c r="B463" s="330" t="s">
        <v>287</v>
      </c>
      <c r="C463" s="298">
        <v>46166</v>
      </c>
      <c r="D463" s="299" t="s">
        <v>845</v>
      </c>
      <c r="E463" s="522">
        <v>69.2</v>
      </c>
      <c r="F463" s="522">
        <v>69.2</v>
      </c>
      <c r="G463" s="333">
        <f t="shared" si="13"/>
        <v>2260.1499999999851</v>
      </c>
      <c r="H463" s="334"/>
      <c r="I463" s="335"/>
      <c r="J463" s="336"/>
      <c r="K463" s="301"/>
      <c r="L463" s="336"/>
      <c r="M463" s="301"/>
      <c r="N463" s="336"/>
      <c r="O463" s="301"/>
      <c r="P463" s="336"/>
      <c r="Q463" s="301"/>
      <c r="R463" s="336"/>
      <c r="S463" s="301"/>
      <c r="T463" s="336"/>
    </row>
    <row r="464" spans="1:20" ht="12" customHeight="1" x14ac:dyDescent="0.3">
      <c r="A464" s="329" t="s">
        <v>289</v>
      </c>
      <c r="B464" s="330">
        <v>1</v>
      </c>
      <c r="C464" s="298">
        <v>46165</v>
      </c>
      <c r="D464" s="299" t="s">
        <v>880</v>
      </c>
      <c r="E464" s="522">
        <v>94.76</v>
      </c>
      <c r="F464" s="522"/>
      <c r="G464" s="333">
        <f t="shared" si="13"/>
        <v>2260.1499999999851</v>
      </c>
      <c r="H464" s="334"/>
      <c r="I464" s="335"/>
      <c r="J464" s="336"/>
      <c r="K464" s="301"/>
      <c r="L464" s="336"/>
      <c r="M464" s="301"/>
      <c r="N464" s="336"/>
      <c r="O464" s="301"/>
      <c r="P464" s="336"/>
      <c r="Q464" s="301"/>
      <c r="R464" s="336"/>
      <c r="S464" s="301"/>
      <c r="T464" s="336"/>
    </row>
    <row r="465" spans="1:20" ht="12" customHeight="1" x14ac:dyDescent="0.3">
      <c r="A465" s="329" t="s">
        <v>289</v>
      </c>
      <c r="B465" s="330">
        <v>1</v>
      </c>
      <c r="C465" s="298">
        <v>46165</v>
      </c>
      <c r="D465" s="299" t="s">
        <v>393</v>
      </c>
      <c r="E465" s="522">
        <v>34.869999999999997</v>
      </c>
      <c r="F465" s="522"/>
      <c r="G465" s="333">
        <f t="shared" si="13"/>
        <v>2354.9099999999853</v>
      </c>
      <c r="H465" s="334"/>
      <c r="I465" s="335"/>
      <c r="J465" s="336"/>
      <c r="K465" s="301"/>
      <c r="L465" s="336"/>
      <c r="M465" s="301"/>
      <c r="N465" s="336"/>
      <c r="O465" s="301"/>
      <c r="P465" s="336"/>
      <c r="Q465" s="301"/>
      <c r="R465" s="336"/>
      <c r="S465" s="301"/>
      <c r="T465" s="336"/>
    </row>
    <row r="466" spans="1:20" ht="12" customHeight="1" x14ac:dyDescent="0.3">
      <c r="A466" s="329" t="s">
        <v>289</v>
      </c>
      <c r="B466" s="330">
        <v>8</v>
      </c>
      <c r="C466" s="298">
        <v>46165</v>
      </c>
      <c r="D466" s="299" t="s">
        <v>481</v>
      </c>
      <c r="E466" s="522">
        <v>80.48</v>
      </c>
      <c r="F466" s="522"/>
      <c r="G466" s="333">
        <f t="shared" si="13"/>
        <v>2389.7799999999852</v>
      </c>
      <c r="H466" s="334"/>
      <c r="I466" s="335"/>
      <c r="J466" s="336"/>
      <c r="K466" s="301"/>
      <c r="L466" s="336"/>
      <c r="M466" s="301"/>
      <c r="N466" s="336"/>
      <c r="O466" s="301"/>
      <c r="P466" s="336"/>
      <c r="Q466" s="301"/>
      <c r="R466" s="336"/>
      <c r="S466" s="301"/>
      <c r="T466" s="336"/>
    </row>
    <row r="467" spans="1:20" ht="12" customHeight="1" x14ac:dyDescent="0.3">
      <c r="A467" s="329" t="s">
        <v>289</v>
      </c>
      <c r="B467" s="330">
        <v>5</v>
      </c>
      <c r="C467" s="298">
        <v>46165</v>
      </c>
      <c r="D467" s="299" t="s">
        <v>879</v>
      </c>
      <c r="E467" s="522">
        <v>25</v>
      </c>
      <c r="F467" s="522"/>
      <c r="G467" s="333">
        <f t="shared" si="13"/>
        <v>2470.2599999999852</v>
      </c>
      <c r="H467" s="334" t="s">
        <v>298</v>
      </c>
      <c r="I467" s="335"/>
      <c r="J467" s="336"/>
      <c r="K467" s="301"/>
      <c r="L467" s="336"/>
      <c r="M467" s="301"/>
      <c r="N467" s="336"/>
      <c r="O467" s="301"/>
      <c r="P467" s="336"/>
      <c r="Q467" s="301"/>
      <c r="R467" s="336"/>
      <c r="S467" s="301"/>
      <c r="T467" s="336"/>
    </row>
    <row r="468" spans="1:20" ht="12" customHeight="1" x14ac:dyDescent="0.3">
      <c r="A468" s="329" t="s">
        <v>289</v>
      </c>
      <c r="B468" s="330">
        <v>6</v>
      </c>
      <c r="C468" s="298">
        <v>46165</v>
      </c>
      <c r="D468" s="299" t="s">
        <v>877</v>
      </c>
      <c r="E468" s="522">
        <v>50</v>
      </c>
      <c r="F468" s="522"/>
      <c r="G468" s="333">
        <f t="shared" si="13"/>
        <v>2495.2599999999852</v>
      </c>
      <c r="H468" s="334" t="s">
        <v>298</v>
      </c>
      <c r="I468" s="335"/>
      <c r="J468" s="336"/>
      <c r="K468" s="301"/>
      <c r="L468" s="336"/>
      <c r="M468" s="301"/>
      <c r="N468" s="336"/>
      <c r="O468" s="301"/>
      <c r="P468" s="336"/>
      <c r="Q468" s="301"/>
      <c r="R468" s="336"/>
      <c r="S468" s="301"/>
      <c r="T468" s="336"/>
    </row>
    <row r="469" spans="1:20" ht="12" customHeight="1" x14ac:dyDescent="0.3">
      <c r="A469" s="329" t="s">
        <v>289</v>
      </c>
      <c r="B469" s="330">
        <v>2</v>
      </c>
      <c r="C469" s="298">
        <v>46165</v>
      </c>
      <c r="D469" s="299" t="s">
        <v>878</v>
      </c>
      <c r="E469" s="522">
        <v>25</v>
      </c>
      <c r="F469" s="522"/>
      <c r="G469" s="333">
        <f t="shared" si="13"/>
        <v>2545.2599999999852</v>
      </c>
      <c r="H469" s="334" t="s">
        <v>298</v>
      </c>
      <c r="I469" s="335"/>
      <c r="J469" s="336"/>
      <c r="K469" s="301"/>
      <c r="L469" s="336"/>
      <c r="M469" s="301"/>
      <c r="N469" s="336"/>
      <c r="O469" s="301"/>
      <c r="P469" s="336"/>
      <c r="Q469" s="301"/>
      <c r="R469" s="336"/>
      <c r="S469" s="301"/>
      <c r="T469" s="336"/>
    </row>
    <row r="470" spans="1:20" ht="12" customHeight="1" x14ac:dyDescent="0.3">
      <c r="A470" s="329" t="s">
        <v>289</v>
      </c>
      <c r="B470" s="330">
        <v>2</v>
      </c>
      <c r="C470" s="298">
        <v>46164</v>
      </c>
      <c r="D470" s="299" t="s">
        <v>881</v>
      </c>
      <c r="E470" s="522">
        <v>45.46</v>
      </c>
      <c r="F470" s="522"/>
      <c r="G470" s="333">
        <f t="shared" si="13"/>
        <v>2570.2599999999852</v>
      </c>
      <c r="H470" s="334"/>
      <c r="I470" s="335"/>
      <c r="J470" s="336"/>
      <c r="K470" s="301"/>
      <c r="L470" s="336"/>
      <c r="M470" s="301"/>
      <c r="N470" s="336"/>
      <c r="O470" s="301"/>
      <c r="P470" s="336"/>
      <c r="Q470" s="301"/>
      <c r="R470" s="336"/>
      <c r="S470" s="301"/>
      <c r="T470" s="336"/>
    </row>
    <row r="471" spans="1:20" ht="12" customHeight="1" x14ac:dyDescent="0.3">
      <c r="A471" s="329" t="s">
        <v>289</v>
      </c>
      <c r="B471" s="330">
        <v>6</v>
      </c>
      <c r="C471" s="298">
        <v>46164</v>
      </c>
      <c r="D471" s="299" t="s">
        <v>873</v>
      </c>
      <c r="E471" s="522">
        <v>22</v>
      </c>
      <c r="F471" s="522"/>
      <c r="G471" s="333">
        <f t="shared" si="13"/>
        <v>2615.7199999999852</v>
      </c>
      <c r="H471" s="334"/>
      <c r="I471" s="335"/>
      <c r="J471" s="336"/>
      <c r="K471" s="301"/>
      <c r="L471" s="336"/>
      <c r="M471" s="301"/>
      <c r="N471" s="336"/>
      <c r="O471" s="301"/>
      <c r="P471" s="336"/>
      <c r="Q471" s="301"/>
      <c r="R471" s="336"/>
      <c r="S471" s="301"/>
      <c r="T471" s="336"/>
    </row>
    <row r="472" spans="1:20" ht="12" customHeight="1" x14ac:dyDescent="0.3">
      <c r="A472" s="329" t="s">
        <v>289</v>
      </c>
      <c r="B472" s="330">
        <v>2</v>
      </c>
      <c r="C472" s="298">
        <v>46164</v>
      </c>
      <c r="D472" s="299" t="s">
        <v>296</v>
      </c>
      <c r="E472" s="522">
        <v>14.57</v>
      </c>
      <c r="F472" s="522"/>
      <c r="G472" s="333">
        <f t="shared" si="13"/>
        <v>2637.7199999999852</v>
      </c>
      <c r="H472" s="334"/>
      <c r="I472" s="335"/>
      <c r="J472" s="336"/>
      <c r="K472" s="301"/>
      <c r="L472" s="336"/>
      <c r="M472" s="301"/>
      <c r="N472" s="336"/>
      <c r="O472" s="301"/>
      <c r="P472" s="336"/>
      <c r="Q472" s="301"/>
      <c r="R472" s="336"/>
      <c r="S472" s="301"/>
      <c r="T472" s="336"/>
    </row>
    <row r="473" spans="1:20" ht="12" customHeight="1" x14ac:dyDescent="0.3">
      <c r="A473" s="329" t="s">
        <v>289</v>
      </c>
      <c r="B473" s="330">
        <v>3</v>
      </c>
      <c r="C473" s="298">
        <v>46163</v>
      </c>
      <c r="D473" s="299" t="s">
        <v>334</v>
      </c>
      <c r="E473" s="522">
        <v>9.01</v>
      </c>
      <c r="F473" s="522"/>
      <c r="G473" s="333">
        <f t="shared" si="13"/>
        <v>2652.2899999999854</v>
      </c>
      <c r="H473" s="334"/>
      <c r="I473" s="335"/>
      <c r="J473" s="336"/>
      <c r="K473" s="301"/>
      <c r="L473" s="336"/>
      <c r="M473" s="301"/>
      <c r="N473" s="336"/>
      <c r="O473" s="301"/>
      <c r="P473" s="336"/>
      <c r="Q473" s="301"/>
      <c r="R473" s="336"/>
      <c r="S473" s="301"/>
      <c r="T473" s="336"/>
    </row>
    <row r="474" spans="1:20" ht="12" customHeight="1" x14ac:dyDescent="0.3">
      <c r="A474" s="329" t="s">
        <v>289</v>
      </c>
      <c r="B474" s="330">
        <v>8</v>
      </c>
      <c r="C474" s="298">
        <v>46163</v>
      </c>
      <c r="D474" s="299" t="s">
        <v>334</v>
      </c>
      <c r="E474" s="522">
        <v>6.8</v>
      </c>
      <c r="F474" s="522"/>
      <c r="G474" s="333">
        <f t="shared" si="13"/>
        <v>2661.2999999999856</v>
      </c>
      <c r="H474" s="334"/>
      <c r="I474" s="335"/>
      <c r="J474" s="336"/>
      <c r="K474" s="301"/>
      <c r="L474" s="336"/>
      <c r="M474" s="301"/>
      <c r="N474" s="336"/>
      <c r="O474" s="301"/>
      <c r="P474" s="336"/>
      <c r="Q474" s="301"/>
      <c r="R474" s="336"/>
      <c r="S474" s="301"/>
      <c r="T474" s="336"/>
    </row>
    <row r="475" spans="1:20" ht="12" customHeight="1" x14ac:dyDescent="0.3">
      <c r="A475" s="329" t="s">
        <v>289</v>
      </c>
      <c r="B475" s="330">
        <v>2</v>
      </c>
      <c r="C475" s="298">
        <v>46163</v>
      </c>
      <c r="D475" s="299" t="s">
        <v>358</v>
      </c>
      <c r="E475" s="522">
        <v>16.649999999999999</v>
      </c>
      <c r="F475" s="522"/>
      <c r="G475" s="333">
        <f t="shared" si="13"/>
        <v>2668.0999999999858</v>
      </c>
      <c r="H475" s="334"/>
      <c r="I475" s="335"/>
      <c r="J475" s="336"/>
      <c r="K475" s="301"/>
      <c r="L475" s="336"/>
      <c r="M475" s="301"/>
      <c r="N475" s="336"/>
      <c r="O475" s="301"/>
      <c r="P475" s="336"/>
      <c r="Q475" s="301"/>
      <c r="R475" s="336"/>
      <c r="S475" s="301"/>
      <c r="T475" s="336"/>
    </row>
    <row r="476" spans="1:20" ht="12" customHeight="1" x14ac:dyDescent="0.3">
      <c r="A476" s="329" t="s">
        <v>289</v>
      </c>
      <c r="B476" s="330">
        <v>8</v>
      </c>
      <c r="C476" s="298">
        <v>46163</v>
      </c>
      <c r="D476" s="299" t="s">
        <v>846</v>
      </c>
      <c r="E476" s="522">
        <v>24.89</v>
      </c>
      <c r="F476" s="522"/>
      <c r="G476" s="333">
        <f t="shared" si="13"/>
        <v>2684.7499999999859</v>
      </c>
      <c r="H476" s="334"/>
      <c r="I476" s="335"/>
      <c r="J476" s="336"/>
      <c r="K476" s="301"/>
      <c r="L476" s="336"/>
      <c r="M476" s="301"/>
      <c r="N476" s="336"/>
      <c r="O476" s="301"/>
      <c r="P476" s="336"/>
      <c r="Q476" s="301"/>
      <c r="R476" s="336"/>
      <c r="S476" s="301"/>
      <c r="T476" s="336"/>
    </row>
    <row r="477" spans="1:20" ht="12" customHeight="1" x14ac:dyDescent="0.3">
      <c r="A477" s="329" t="s">
        <v>289</v>
      </c>
      <c r="B477" s="330">
        <v>5</v>
      </c>
      <c r="C477" s="298">
        <v>46163</v>
      </c>
      <c r="D477" s="299" t="s">
        <v>846</v>
      </c>
      <c r="E477" s="522">
        <v>11.2</v>
      </c>
      <c r="F477" s="522"/>
      <c r="G477" s="333">
        <f t="shared" si="13"/>
        <v>2709.6399999999858</v>
      </c>
      <c r="H477" s="334"/>
      <c r="I477" s="335"/>
      <c r="J477" s="336"/>
      <c r="K477" s="301"/>
      <c r="L477" s="336"/>
      <c r="M477" s="301"/>
      <c r="N477" s="336"/>
      <c r="O477" s="301"/>
      <c r="P477" s="336"/>
      <c r="Q477" s="301"/>
      <c r="R477" s="336"/>
      <c r="S477" s="301"/>
      <c r="T477" s="336"/>
    </row>
    <row r="478" spans="1:20" ht="12" customHeight="1" x14ac:dyDescent="0.3">
      <c r="A478" s="329" t="s">
        <v>289</v>
      </c>
      <c r="B478" s="330">
        <v>2</v>
      </c>
      <c r="C478" s="298">
        <v>46162</v>
      </c>
      <c r="D478" s="299" t="s">
        <v>296</v>
      </c>
      <c r="E478" s="522">
        <v>11.18</v>
      </c>
      <c r="F478" s="522"/>
      <c r="G478" s="333">
        <f t="shared" si="13"/>
        <v>2720.8399999999856</v>
      </c>
      <c r="H478" s="334"/>
      <c r="I478" s="335"/>
      <c r="J478" s="336"/>
      <c r="K478" s="301"/>
      <c r="L478" s="336"/>
      <c r="M478" s="301"/>
      <c r="N478" s="336"/>
      <c r="O478" s="301"/>
      <c r="P478" s="336"/>
      <c r="Q478" s="301"/>
      <c r="R478" s="336"/>
      <c r="S478" s="301"/>
      <c r="T478" s="336"/>
    </row>
    <row r="479" spans="1:20" ht="12" customHeight="1" x14ac:dyDescent="0.3">
      <c r="A479" s="329" t="s">
        <v>289</v>
      </c>
      <c r="B479" s="330">
        <v>2</v>
      </c>
      <c r="C479" s="298">
        <v>46162</v>
      </c>
      <c r="D479" s="299" t="s">
        <v>386</v>
      </c>
      <c r="E479" s="522">
        <v>14.38</v>
      </c>
      <c r="F479" s="522"/>
      <c r="G479" s="333">
        <f t="shared" si="13"/>
        <v>2732.0199999999854</v>
      </c>
      <c r="H479" s="334"/>
      <c r="I479" s="335"/>
      <c r="J479" s="336"/>
      <c r="K479" s="301"/>
      <c r="L479" s="336"/>
      <c r="M479" s="301"/>
      <c r="N479" s="336"/>
      <c r="O479" s="301"/>
      <c r="P479" s="336"/>
      <c r="Q479" s="301"/>
      <c r="R479" s="336"/>
      <c r="S479" s="301"/>
      <c r="T479" s="336"/>
    </row>
    <row r="480" spans="1:20" ht="12" customHeight="1" x14ac:dyDescent="0.3">
      <c r="A480" s="329" t="s">
        <v>294</v>
      </c>
      <c r="B480" s="330">
        <v>22</v>
      </c>
      <c r="C480" s="298">
        <v>46162</v>
      </c>
      <c r="D480" s="299" t="s">
        <v>323</v>
      </c>
      <c r="E480" s="522">
        <v>20.22</v>
      </c>
      <c r="F480" s="522"/>
      <c r="G480" s="333">
        <f t="shared" si="13"/>
        <v>2746.3999999999855</v>
      </c>
      <c r="H480" s="334"/>
      <c r="I480" s="335"/>
      <c r="J480" s="336"/>
      <c r="K480" s="301"/>
      <c r="L480" s="336"/>
      <c r="M480" s="301"/>
      <c r="N480" s="336"/>
      <c r="O480" s="301"/>
      <c r="P480" s="336"/>
      <c r="Q480" s="301"/>
      <c r="R480" s="336"/>
      <c r="S480" s="301"/>
      <c r="T480" s="336"/>
    </row>
    <row r="481" spans="1:20" ht="12" customHeight="1" x14ac:dyDescent="0.3">
      <c r="A481" s="329" t="s">
        <v>289</v>
      </c>
      <c r="B481" s="330">
        <v>5</v>
      </c>
      <c r="C481" s="298">
        <v>46162</v>
      </c>
      <c r="D481" s="299" t="s">
        <v>872</v>
      </c>
      <c r="E481" s="522">
        <v>30</v>
      </c>
      <c r="F481" s="522"/>
      <c r="G481" s="333">
        <f t="shared" ref="G481:G495" si="14">G482-E481+F481</f>
        <v>2766.6199999999853</v>
      </c>
      <c r="H481" s="334"/>
      <c r="I481" s="335"/>
      <c r="J481" s="336"/>
      <c r="K481" s="301"/>
      <c r="L481" s="336"/>
      <c r="M481" s="301"/>
      <c r="N481" s="336"/>
      <c r="O481" s="301"/>
      <c r="P481" s="336"/>
      <c r="Q481" s="301"/>
      <c r="R481" s="336"/>
      <c r="S481" s="301"/>
      <c r="T481" s="336"/>
    </row>
    <row r="482" spans="1:20" ht="12" customHeight="1" x14ac:dyDescent="0.3">
      <c r="A482" s="329" t="s">
        <v>289</v>
      </c>
      <c r="B482" s="330">
        <v>2</v>
      </c>
      <c r="C482" s="298">
        <v>46162</v>
      </c>
      <c r="D482" s="299" t="s">
        <v>874</v>
      </c>
      <c r="E482" s="522">
        <v>46.72</v>
      </c>
      <c r="F482" s="522"/>
      <c r="G482" s="333">
        <f t="shared" si="14"/>
        <v>2796.6199999999853</v>
      </c>
      <c r="H482" s="334"/>
      <c r="I482" s="335"/>
      <c r="J482" s="336"/>
      <c r="K482" s="301"/>
      <c r="L482" s="336"/>
      <c r="M482" s="301"/>
      <c r="N482" s="336"/>
      <c r="O482" s="301"/>
      <c r="P482" s="336"/>
      <c r="Q482" s="301"/>
      <c r="R482" s="336"/>
      <c r="S482" s="301"/>
      <c r="T482" s="336"/>
    </row>
    <row r="483" spans="1:20" ht="12" customHeight="1" x14ac:dyDescent="0.3">
      <c r="A483" s="329" t="s">
        <v>289</v>
      </c>
      <c r="B483" s="330">
        <v>4</v>
      </c>
      <c r="C483" s="298">
        <v>46162</v>
      </c>
      <c r="D483" s="299" t="s">
        <v>310</v>
      </c>
      <c r="E483" s="522">
        <v>56.51</v>
      </c>
      <c r="F483" s="522"/>
      <c r="G483" s="333">
        <f t="shared" si="14"/>
        <v>2843.3399999999851</v>
      </c>
      <c r="H483" s="334"/>
      <c r="I483" s="335"/>
      <c r="J483" s="336"/>
      <c r="K483" s="301"/>
      <c r="L483" s="336"/>
      <c r="M483" s="301"/>
      <c r="N483" s="336"/>
      <c r="O483" s="301"/>
      <c r="P483" s="336"/>
      <c r="Q483" s="301"/>
      <c r="R483" s="336"/>
      <c r="S483" s="301"/>
      <c r="T483" s="336"/>
    </row>
    <row r="484" spans="1:20" ht="12" customHeight="1" x14ac:dyDescent="0.3">
      <c r="A484" s="329" t="s">
        <v>289</v>
      </c>
      <c r="B484" s="330">
        <v>6</v>
      </c>
      <c r="C484" s="298">
        <v>46161</v>
      </c>
      <c r="D484" s="299" t="s">
        <v>871</v>
      </c>
      <c r="E484" s="522">
        <v>63.99</v>
      </c>
      <c r="F484" s="522"/>
      <c r="G484" s="333">
        <f t="shared" si="14"/>
        <v>2899.8499999999854</v>
      </c>
      <c r="H484" s="334"/>
      <c r="I484" s="335"/>
      <c r="J484" s="336"/>
      <c r="K484" s="301"/>
      <c r="L484" s="336"/>
      <c r="M484" s="301"/>
      <c r="N484" s="336"/>
      <c r="O484" s="301"/>
      <c r="P484" s="336"/>
      <c r="Q484" s="301"/>
      <c r="R484" s="336"/>
      <c r="S484" s="301"/>
      <c r="T484" s="336"/>
    </row>
    <row r="485" spans="1:20" ht="12" customHeight="1" x14ac:dyDescent="0.3">
      <c r="A485" s="329" t="s">
        <v>289</v>
      </c>
      <c r="B485" s="330">
        <v>4</v>
      </c>
      <c r="C485" s="298">
        <v>46161</v>
      </c>
      <c r="D485" s="299" t="s">
        <v>296</v>
      </c>
      <c r="E485" s="522">
        <v>43.46</v>
      </c>
      <c r="F485" s="522"/>
      <c r="G485" s="333">
        <f t="shared" si="14"/>
        <v>2963.8399999999851</v>
      </c>
      <c r="H485" s="334"/>
      <c r="I485" s="335"/>
      <c r="J485" s="336"/>
      <c r="K485" s="301"/>
      <c r="L485" s="336"/>
      <c r="M485" s="301"/>
      <c r="N485" s="336"/>
      <c r="O485" s="301"/>
      <c r="P485" s="336"/>
      <c r="Q485" s="301"/>
      <c r="R485" s="336"/>
      <c r="S485" s="301"/>
      <c r="T485" s="336"/>
    </row>
    <row r="486" spans="1:20" ht="12" customHeight="1" x14ac:dyDescent="0.3">
      <c r="A486" s="329" t="s">
        <v>289</v>
      </c>
      <c r="B486" s="330">
        <v>3</v>
      </c>
      <c r="C486" s="298">
        <v>46161</v>
      </c>
      <c r="D486" s="299" t="s">
        <v>296</v>
      </c>
      <c r="E486" s="522">
        <v>8.7200000000000006</v>
      </c>
      <c r="F486" s="522"/>
      <c r="G486" s="333">
        <f t="shared" si="14"/>
        <v>3007.2999999999852</v>
      </c>
      <c r="H486" s="334"/>
      <c r="I486" s="335"/>
      <c r="J486" s="336"/>
      <c r="K486" s="301"/>
      <c r="L486" s="336"/>
      <c r="M486" s="301"/>
      <c r="N486" s="336"/>
      <c r="O486" s="301"/>
      <c r="P486" s="336"/>
      <c r="Q486" s="301"/>
      <c r="R486" s="336"/>
      <c r="S486" s="301"/>
      <c r="T486" s="336"/>
    </row>
    <row r="487" spans="1:20" ht="12" customHeight="1" x14ac:dyDescent="0.3">
      <c r="A487" s="329" t="s">
        <v>289</v>
      </c>
      <c r="B487" s="330">
        <v>2</v>
      </c>
      <c r="C487" s="298">
        <v>46161</v>
      </c>
      <c r="D487" s="299" t="s">
        <v>301</v>
      </c>
      <c r="E487" s="522">
        <v>30.9</v>
      </c>
      <c r="F487" s="522"/>
      <c r="G487" s="333">
        <f t="shared" si="14"/>
        <v>3016.019999999985</v>
      </c>
      <c r="H487" s="334"/>
      <c r="I487" s="335"/>
      <c r="J487" s="336"/>
      <c r="K487" s="301"/>
      <c r="L487" s="336"/>
      <c r="M487" s="301"/>
      <c r="N487" s="336"/>
      <c r="O487" s="301"/>
      <c r="P487" s="336"/>
      <c r="Q487" s="301"/>
      <c r="R487" s="336"/>
      <c r="S487" s="301"/>
      <c r="T487" s="336"/>
    </row>
    <row r="488" spans="1:20" ht="12" customHeight="1" x14ac:dyDescent="0.3">
      <c r="A488" s="329" t="s">
        <v>294</v>
      </c>
      <c r="B488" s="330">
        <v>22</v>
      </c>
      <c r="C488" s="298">
        <v>46161</v>
      </c>
      <c r="D488" s="299" t="s">
        <v>328</v>
      </c>
      <c r="E488" s="522">
        <v>7.46</v>
      </c>
      <c r="F488" s="522"/>
      <c r="G488" s="333">
        <f t="shared" si="14"/>
        <v>3046.9199999999851</v>
      </c>
      <c r="H488" s="334"/>
      <c r="I488" s="335"/>
      <c r="J488" s="336"/>
      <c r="K488" s="301"/>
      <c r="L488" s="336"/>
      <c r="M488" s="301"/>
      <c r="N488" s="336"/>
      <c r="O488" s="301"/>
      <c r="P488" s="336"/>
      <c r="Q488" s="301"/>
      <c r="R488" s="336"/>
      <c r="S488" s="301"/>
      <c r="T488" s="336"/>
    </row>
    <row r="489" spans="1:20" ht="12" customHeight="1" x14ac:dyDescent="0.3">
      <c r="A489" s="329" t="s">
        <v>289</v>
      </c>
      <c r="B489" s="330">
        <v>2</v>
      </c>
      <c r="C489" s="298">
        <v>46161</v>
      </c>
      <c r="D489" s="299" t="s">
        <v>869</v>
      </c>
      <c r="E489" s="522">
        <v>31.05</v>
      </c>
      <c r="F489" s="522"/>
      <c r="G489" s="333">
        <f t="shared" si="14"/>
        <v>3054.3799999999851</v>
      </c>
      <c r="H489" s="334"/>
      <c r="I489" s="335"/>
      <c r="J489" s="336"/>
      <c r="K489" s="301"/>
      <c r="L489" s="336"/>
      <c r="M489" s="301"/>
      <c r="N489" s="336"/>
      <c r="O489" s="301"/>
      <c r="P489" s="336"/>
      <c r="Q489" s="301"/>
      <c r="R489" s="336"/>
      <c r="S489" s="301"/>
      <c r="T489" s="336"/>
    </row>
    <row r="490" spans="1:20" ht="12" customHeight="1" x14ac:dyDescent="0.3">
      <c r="A490" s="329" t="s">
        <v>289</v>
      </c>
      <c r="B490" s="330">
        <v>2</v>
      </c>
      <c r="C490" s="298">
        <v>46161</v>
      </c>
      <c r="D490" s="299" t="s">
        <v>870</v>
      </c>
      <c r="E490" s="522">
        <v>54.41</v>
      </c>
      <c r="F490" s="522"/>
      <c r="G490" s="333">
        <f t="shared" si="14"/>
        <v>3085.4299999999853</v>
      </c>
      <c r="H490" s="334"/>
      <c r="I490" s="335"/>
      <c r="J490" s="336"/>
      <c r="K490" s="301"/>
      <c r="L490" s="336"/>
      <c r="M490" s="301"/>
      <c r="N490" s="336"/>
      <c r="O490" s="301"/>
      <c r="P490" s="336"/>
      <c r="Q490" s="301"/>
      <c r="R490" s="336"/>
      <c r="S490" s="301"/>
      <c r="T490" s="336"/>
    </row>
    <row r="491" spans="1:20" ht="12" customHeight="1" x14ac:dyDescent="0.3">
      <c r="A491" s="329" t="s">
        <v>289</v>
      </c>
      <c r="B491" s="330">
        <v>8</v>
      </c>
      <c r="C491" s="298">
        <v>46161</v>
      </c>
      <c r="D491" s="299" t="s">
        <v>875</v>
      </c>
      <c r="E491" s="522">
        <v>20.49</v>
      </c>
      <c r="F491" s="522"/>
      <c r="G491" s="333">
        <f t="shared" si="14"/>
        <v>3139.8399999999851</v>
      </c>
      <c r="H491" s="334"/>
      <c r="I491" s="335"/>
      <c r="J491" s="336"/>
      <c r="K491" s="301"/>
      <c r="L491" s="336"/>
      <c r="M491" s="301"/>
      <c r="N491" s="336"/>
      <c r="O491" s="301"/>
      <c r="P491" s="336"/>
      <c r="Q491" s="301"/>
      <c r="R491" s="336"/>
      <c r="S491" s="301"/>
      <c r="T491" s="336"/>
    </row>
    <row r="492" spans="1:20" ht="12" customHeight="1" x14ac:dyDescent="0.3">
      <c r="A492" s="329" t="s">
        <v>294</v>
      </c>
      <c r="B492" s="330">
        <v>22</v>
      </c>
      <c r="C492" s="298">
        <v>46160</v>
      </c>
      <c r="D492" s="299" t="s">
        <v>401</v>
      </c>
      <c r="E492" s="522">
        <v>13.84</v>
      </c>
      <c r="F492" s="522"/>
      <c r="G492" s="333">
        <f t="shared" si="14"/>
        <v>3160.3299999999849</v>
      </c>
      <c r="H492" s="334"/>
      <c r="I492" s="335"/>
      <c r="J492" s="336"/>
      <c r="K492" s="301"/>
      <c r="L492" s="336"/>
      <c r="M492" s="301"/>
      <c r="N492" s="336"/>
      <c r="O492" s="301"/>
      <c r="P492" s="336"/>
      <c r="Q492" s="301"/>
      <c r="R492" s="336"/>
      <c r="S492" s="301"/>
      <c r="T492" s="336"/>
    </row>
    <row r="493" spans="1:20" ht="12" customHeight="1" x14ac:dyDescent="0.3">
      <c r="A493" s="329" t="s">
        <v>287</v>
      </c>
      <c r="B493" s="330" t="s">
        <v>287</v>
      </c>
      <c r="C493" s="298">
        <v>46160</v>
      </c>
      <c r="D493" s="299" t="s">
        <v>876</v>
      </c>
      <c r="E493" s="522">
        <v>138.44</v>
      </c>
      <c r="F493" s="522">
        <v>138.44</v>
      </c>
      <c r="G493" s="333">
        <f t="shared" si="14"/>
        <v>3174.1699999999851</v>
      </c>
      <c r="H493" s="334"/>
      <c r="I493" s="335"/>
      <c r="J493" s="336"/>
      <c r="K493" s="301"/>
      <c r="L493" s="336"/>
      <c r="M493" s="301"/>
      <c r="N493" s="336"/>
      <c r="O493" s="301"/>
      <c r="P493" s="336"/>
      <c r="Q493" s="301"/>
      <c r="R493" s="336"/>
      <c r="S493" s="301"/>
      <c r="T493" s="336"/>
    </row>
    <row r="494" spans="1:20" ht="12" customHeight="1" x14ac:dyDescent="0.3">
      <c r="A494" s="329" t="s">
        <v>289</v>
      </c>
      <c r="B494" s="330">
        <v>2</v>
      </c>
      <c r="C494" s="298">
        <v>46160</v>
      </c>
      <c r="D494" s="299" t="s">
        <v>353</v>
      </c>
      <c r="E494" s="522">
        <v>25.48</v>
      </c>
      <c r="F494" s="522"/>
      <c r="G494" s="333">
        <f t="shared" si="14"/>
        <v>3174.1699999999851</v>
      </c>
      <c r="H494" s="334"/>
      <c r="I494" s="335"/>
      <c r="J494" s="336"/>
      <c r="K494" s="301"/>
      <c r="L494" s="336"/>
      <c r="M494" s="301"/>
      <c r="N494" s="336"/>
      <c r="O494" s="301"/>
      <c r="P494" s="336"/>
      <c r="Q494" s="301"/>
      <c r="R494" s="336"/>
      <c r="S494" s="301"/>
      <c r="T494" s="336"/>
    </row>
    <row r="495" spans="1:20" ht="12" customHeight="1" x14ac:dyDescent="0.3">
      <c r="A495" s="329" t="s">
        <v>294</v>
      </c>
      <c r="B495" s="330">
        <v>17</v>
      </c>
      <c r="C495" s="298">
        <v>46160</v>
      </c>
      <c r="D495" s="299" t="s">
        <v>188</v>
      </c>
      <c r="E495" s="522">
        <v>42.65</v>
      </c>
      <c r="F495" s="522"/>
      <c r="G495" s="333">
        <f t="shared" si="14"/>
        <v>3199.6499999999851</v>
      </c>
      <c r="H495" s="334"/>
      <c r="I495" s="335"/>
      <c r="J495" s="336"/>
      <c r="K495" s="301"/>
      <c r="L495" s="336"/>
      <c r="M495" s="301"/>
      <c r="N495" s="336"/>
      <c r="O495" s="301"/>
      <c r="P495" s="336"/>
      <c r="Q495" s="301"/>
      <c r="R495" s="336"/>
      <c r="S495" s="301"/>
      <c r="T495" s="336"/>
    </row>
    <row r="496" spans="1:20" ht="12" customHeight="1" x14ac:dyDescent="0.3">
      <c r="A496" s="329" t="s">
        <v>294</v>
      </c>
      <c r="B496" s="330">
        <v>15</v>
      </c>
      <c r="C496" s="298">
        <v>46160</v>
      </c>
      <c r="D496" s="299" t="s">
        <v>185</v>
      </c>
      <c r="E496" s="522">
        <v>101.37</v>
      </c>
      <c r="F496" s="522"/>
      <c r="G496" s="333">
        <f t="shared" ref="G496:G576" si="15">G497-E496+F496</f>
        <v>3242.2999999999852</v>
      </c>
      <c r="H496" s="334"/>
      <c r="I496" s="335"/>
      <c r="J496" s="336"/>
      <c r="K496" s="301"/>
      <c r="L496" s="336"/>
      <c r="M496" s="301"/>
      <c r="N496" s="336"/>
      <c r="O496" s="301"/>
      <c r="P496" s="336"/>
      <c r="Q496" s="301"/>
      <c r="R496" s="336"/>
      <c r="S496" s="301"/>
      <c r="T496" s="336"/>
    </row>
    <row r="497" spans="1:20" ht="12" customHeight="1" x14ac:dyDescent="0.3">
      <c r="A497" s="329" t="s">
        <v>335</v>
      </c>
      <c r="B497" s="330" t="s">
        <v>335</v>
      </c>
      <c r="C497" s="298">
        <v>46160</v>
      </c>
      <c r="D497" s="299" t="s">
        <v>336</v>
      </c>
      <c r="E497" s="522">
        <v>93.13</v>
      </c>
      <c r="F497" s="522"/>
      <c r="G497" s="333">
        <f t="shared" si="15"/>
        <v>3343.6699999999851</v>
      </c>
      <c r="H497" s="334"/>
      <c r="I497" s="335"/>
      <c r="J497" s="336"/>
      <c r="K497" s="301"/>
      <c r="L497" s="336"/>
      <c r="M497" s="301"/>
      <c r="N497" s="336"/>
      <c r="O497" s="301"/>
      <c r="P497" s="336"/>
      <c r="Q497" s="301"/>
      <c r="R497" s="336"/>
      <c r="S497" s="301"/>
      <c r="T497" s="336"/>
    </row>
    <row r="498" spans="1:20" ht="12" customHeight="1" x14ac:dyDescent="0.3">
      <c r="A498" s="329" t="s">
        <v>294</v>
      </c>
      <c r="B498" s="330">
        <v>11</v>
      </c>
      <c r="C498" s="298">
        <v>46160</v>
      </c>
      <c r="D498" s="299" t="s">
        <v>178</v>
      </c>
      <c r="E498" s="522">
        <v>267.68</v>
      </c>
      <c r="F498" s="522"/>
      <c r="G498" s="333">
        <f t="shared" si="15"/>
        <v>3436.7999999999852</v>
      </c>
      <c r="H498" s="334"/>
      <c r="I498" s="335"/>
      <c r="J498" s="336"/>
      <c r="K498" s="301"/>
      <c r="L498" s="336"/>
      <c r="M498" s="301"/>
      <c r="N498" s="336"/>
      <c r="O498" s="301"/>
      <c r="P498" s="336"/>
      <c r="Q498" s="301"/>
      <c r="R498" s="336"/>
      <c r="S498" s="301"/>
      <c r="T498" s="336"/>
    </row>
    <row r="499" spans="1:20" ht="12" customHeight="1" x14ac:dyDescent="0.3">
      <c r="A499" s="329" t="s">
        <v>294</v>
      </c>
      <c r="B499" s="330">
        <v>23</v>
      </c>
      <c r="C499" s="298">
        <v>46160</v>
      </c>
      <c r="D499" s="299" t="s">
        <v>63</v>
      </c>
      <c r="E499" s="522">
        <v>529.46</v>
      </c>
      <c r="F499" s="522"/>
      <c r="G499" s="333">
        <f t="shared" si="15"/>
        <v>3704.479999999985</v>
      </c>
      <c r="H499" s="334"/>
      <c r="I499" s="335"/>
      <c r="J499" s="336"/>
      <c r="K499" s="301"/>
      <c r="L499" s="336"/>
      <c r="M499" s="301"/>
      <c r="N499" s="336"/>
      <c r="O499" s="301"/>
      <c r="P499" s="336"/>
      <c r="Q499" s="301"/>
      <c r="R499" s="336"/>
      <c r="S499" s="301"/>
      <c r="T499" s="336"/>
    </row>
    <row r="500" spans="1:20" ht="12" customHeight="1" x14ac:dyDescent="0.3">
      <c r="A500" s="329" t="s">
        <v>289</v>
      </c>
      <c r="B500" s="330">
        <v>1</v>
      </c>
      <c r="C500" s="298">
        <v>46159</v>
      </c>
      <c r="D500" s="299" t="s">
        <v>311</v>
      </c>
      <c r="E500" s="522">
        <v>148.25</v>
      </c>
      <c r="F500" s="522"/>
      <c r="G500" s="333">
        <f t="shared" si="15"/>
        <v>4233.939999999985</v>
      </c>
      <c r="H500" s="334"/>
      <c r="I500" s="335"/>
      <c r="J500" s="336"/>
      <c r="K500" s="301"/>
      <c r="L500" s="336"/>
      <c r="M500" s="301"/>
      <c r="N500" s="336"/>
      <c r="O500" s="301"/>
      <c r="P500" s="336"/>
      <c r="Q500" s="301"/>
      <c r="R500" s="336"/>
      <c r="S500" s="301"/>
      <c r="T500" s="336"/>
    </row>
    <row r="501" spans="1:20" ht="12" customHeight="1" x14ac:dyDescent="0.3">
      <c r="A501" s="329" t="s">
        <v>289</v>
      </c>
      <c r="B501" s="330">
        <v>1</v>
      </c>
      <c r="C501" s="298">
        <v>46159</v>
      </c>
      <c r="D501" s="299" t="s">
        <v>306</v>
      </c>
      <c r="E501" s="522">
        <v>90.2</v>
      </c>
      <c r="F501" s="522"/>
      <c r="G501" s="333">
        <f t="shared" si="15"/>
        <v>4382.189999999985</v>
      </c>
      <c r="H501" s="334"/>
      <c r="I501" s="335"/>
      <c r="J501" s="336"/>
      <c r="K501" s="301"/>
      <c r="L501" s="336"/>
      <c r="M501" s="301"/>
      <c r="N501" s="336"/>
      <c r="O501" s="301"/>
      <c r="P501" s="336"/>
      <c r="Q501" s="301"/>
      <c r="R501" s="336"/>
      <c r="S501" s="301"/>
      <c r="T501" s="336"/>
    </row>
    <row r="502" spans="1:20" ht="12" customHeight="1" x14ac:dyDescent="0.3">
      <c r="A502" s="329" t="s">
        <v>294</v>
      </c>
      <c r="B502" s="330">
        <v>21</v>
      </c>
      <c r="C502" s="298">
        <v>46159</v>
      </c>
      <c r="D502" s="299" t="s">
        <v>194</v>
      </c>
      <c r="E502" s="522">
        <v>81</v>
      </c>
      <c r="F502" s="522"/>
      <c r="G502" s="333">
        <f t="shared" si="15"/>
        <v>4472.3899999999849</v>
      </c>
      <c r="H502" s="334"/>
      <c r="I502" s="335"/>
      <c r="J502" s="336"/>
      <c r="K502" s="301"/>
      <c r="L502" s="336"/>
      <c r="M502" s="301"/>
      <c r="N502" s="336"/>
      <c r="O502" s="301"/>
      <c r="P502" s="336"/>
      <c r="Q502" s="301"/>
      <c r="R502" s="336"/>
      <c r="S502" s="301"/>
      <c r="T502" s="336"/>
    </row>
    <row r="503" spans="1:20" ht="12" customHeight="1" x14ac:dyDescent="0.3">
      <c r="A503" s="329" t="s">
        <v>289</v>
      </c>
      <c r="B503" s="330">
        <v>6</v>
      </c>
      <c r="C503" s="298">
        <v>46159</v>
      </c>
      <c r="D503" s="299" t="s">
        <v>300</v>
      </c>
      <c r="E503" s="522">
        <v>38.33</v>
      </c>
      <c r="F503" s="522"/>
      <c r="G503" s="333">
        <f t="shared" si="15"/>
        <v>4553.3899999999849</v>
      </c>
      <c r="H503" s="334"/>
      <c r="I503" s="335"/>
      <c r="J503" s="336"/>
      <c r="K503" s="301"/>
      <c r="L503" s="336"/>
      <c r="M503" s="301"/>
      <c r="N503" s="336"/>
      <c r="O503" s="301"/>
      <c r="P503" s="336"/>
      <c r="Q503" s="301"/>
      <c r="R503" s="336"/>
      <c r="S503" s="301"/>
      <c r="T503" s="336"/>
    </row>
    <row r="504" spans="1:20" ht="12" customHeight="1" x14ac:dyDescent="0.3">
      <c r="A504" s="329" t="s">
        <v>294</v>
      </c>
      <c r="B504" s="330">
        <v>42</v>
      </c>
      <c r="C504" s="298">
        <v>46159</v>
      </c>
      <c r="D504" s="299" t="s">
        <v>333</v>
      </c>
      <c r="E504" s="522">
        <v>29.8</v>
      </c>
      <c r="F504" s="522"/>
      <c r="G504" s="333">
        <f t="shared" si="15"/>
        <v>4591.7199999999848</v>
      </c>
      <c r="H504" s="334"/>
      <c r="I504" s="335"/>
      <c r="J504" s="336"/>
      <c r="K504" s="301"/>
      <c r="L504" s="336"/>
      <c r="M504" s="301"/>
      <c r="N504" s="336"/>
      <c r="O504" s="301"/>
      <c r="P504" s="336"/>
      <c r="Q504" s="301"/>
      <c r="R504" s="336"/>
      <c r="S504" s="301"/>
      <c r="T504" s="336"/>
    </row>
    <row r="505" spans="1:20" ht="12" customHeight="1" x14ac:dyDescent="0.3">
      <c r="A505" s="329" t="s">
        <v>294</v>
      </c>
      <c r="B505" s="330">
        <v>43</v>
      </c>
      <c r="C505" s="298">
        <v>46159</v>
      </c>
      <c r="D505" s="299" t="s">
        <v>333</v>
      </c>
      <c r="E505" s="522">
        <v>22.35</v>
      </c>
      <c r="F505" s="522"/>
      <c r="G505" s="333">
        <f t="shared" si="15"/>
        <v>4621.519999999985</v>
      </c>
      <c r="H505" s="334"/>
      <c r="I505" s="335"/>
      <c r="J505" s="336"/>
      <c r="K505" s="301"/>
      <c r="L505" s="336"/>
      <c r="M505" s="301"/>
      <c r="N505" s="336"/>
      <c r="O505" s="301"/>
      <c r="P505" s="336"/>
      <c r="Q505" s="301"/>
      <c r="R505" s="336"/>
      <c r="S505" s="301"/>
      <c r="T505" s="336"/>
    </row>
    <row r="506" spans="1:20" ht="12" customHeight="1" x14ac:dyDescent="0.3">
      <c r="A506" s="329" t="s">
        <v>289</v>
      </c>
      <c r="B506" s="330">
        <v>8</v>
      </c>
      <c r="C506" s="298">
        <v>46159</v>
      </c>
      <c r="D506" s="299" t="s">
        <v>319</v>
      </c>
      <c r="E506" s="522">
        <v>50.75</v>
      </c>
      <c r="F506" s="522"/>
      <c r="G506" s="333">
        <f t="shared" si="15"/>
        <v>4643.8699999999853</v>
      </c>
      <c r="H506" s="334"/>
      <c r="I506" s="335"/>
      <c r="J506" s="336"/>
      <c r="K506" s="301"/>
      <c r="L506" s="336"/>
      <c r="M506" s="301"/>
      <c r="N506" s="336"/>
      <c r="O506" s="301"/>
      <c r="P506" s="336"/>
      <c r="Q506" s="301"/>
      <c r="R506" s="336"/>
      <c r="S506" s="301"/>
      <c r="T506" s="336"/>
    </row>
    <row r="507" spans="1:20" ht="12" customHeight="1" x14ac:dyDescent="0.3">
      <c r="A507" s="329" t="s">
        <v>289</v>
      </c>
      <c r="B507" s="330">
        <v>5</v>
      </c>
      <c r="C507" s="298">
        <v>46158</v>
      </c>
      <c r="D507" s="299" t="s">
        <v>340</v>
      </c>
      <c r="E507" s="522">
        <v>21.3</v>
      </c>
      <c r="F507" s="522"/>
      <c r="G507" s="333">
        <f t="shared" si="15"/>
        <v>4694.6199999999853</v>
      </c>
      <c r="H507" s="334"/>
      <c r="I507" s="335"/>
      <c r="J507" s="336"/>
      <c r="K507" s="301"/>
      <c r="L507" s="336"/>
      <c r="M507" s="301"/>
      <c r="N507" s="336"/>
      <c r="O507" s="301"/>
      <c r="P507" s="336"/>
      <c r="Q507" s="301"/>
      <c r="R507" s="336"/>
      <c r="S507" s="301"/>
      <c r="T507" s="336"/>
    </row>
    <row r="508" spans="1:20" ht="12" customHeight="1" x14ac:dyDescent="0.3">
      <c r="A508" s="329" t="s">
        <v>289</v>
      </c>
      <c r="B508" s="330">
        <v>8</v>
      </c>
      <c r="C508" s="298">
        <v>46158</v>
      </c>
      <c r="D508" s="299" t="s">
        <v>319</v>
      </c>
      <c r="E508" s="522">
        <v>41.46</v>
      </c>
      <c r="F508" s="522"/>
      <c r="G508" s="333">
        <f t="shared" si="15"/>
        <v>4715.9199999999855</v>
      </c>
      <c r="H508" s="334"/>
      <c r="I508" s="335"/>
      <c r="J508" s="336"/>
      <c r="K508" s="301"/>
      <c r="L508" s="336"/>
      <c r="M508" s="301"/>
      <c r="N508" s="336"/>
      <c r="O508" s="301"/>
      <c r="P508" s="336"/>
      <c r="Q508" s="301"/>
      <c r="R508" s="336"/>
      <c r="S508" s="301"/>
      <c r="T508" s="336"/>
    </row>
    <row r="509" spans="1:20" ht="12" customHeight="1" x14ac:dyDescent="0.3">
      <c r="A509" s="329" t="s">
        <v>287</v>
      </c>
      <c r="B509" s="330" t="s">
        <v>287</v>
      </c>
      <c r="C509" s="298">
        <v>46158</v>
      </c>
      <c r="D509" s="299" t="s">
        <v>849</v>
      </c>
      <c r="E509" s="522">
        <v>95.85</v>
      </c>
      <c r="F509" s="522">
        <v>95.85</v>
      </c>
      <c r="G509" s="333">
        <f t="shared" si="15"/>
        <v>4757.3799999999856</v>
      </c>
      <c r="H509" s="334"/>
      <c r="I509" s="335"/>
      <c r="J509" s="336"/>
      <c r="K509" s="301"/>
      <c r="L509" s="336"/>
      <c r="M509" s="301"/>
      <c r="N509" s="336"/>
      <c r="O509" s="301"/>
      <c r="P509" s="336"/>
      <c r="Q509" s="301"/>
      <c r="R509" s="336"/>
      <c r="S509" s="301"/>
      <c r="T509" s="336"/>
    </row>
    <row r="510" spans="1:20" ht="12" customHeight="1" x14ac:dyDescent="0.3">
      <c r="A510" s="329" t="s">
        <v>287</v>
      </c>
      <c r="B510" s="330" t="s">
        <v>287</v>
      </c>
      <c r="C510" s="298">
        <v>46158</v>
      </c>
      <c r="D510" s="299" t="s">
        <v>847</v>
      </c>
      <c r="E510" s="522">
        <v>87.13</v>
      </c>
      <c r="F510" s="522">
        <v>87.13</v>
      </c>
      <c r="G510" s="333">
        <f t="shared" si="15"/>
        <v>4757.3799999999856</v>
      </c>
      <c r="H510" s="334"/>
      <c r="I510" s="335"/>
      <c r="J510" s="336"/>
      <c r="K510" s="301"/>
      <c r="L510" s="336"/>
      <c r="M510" s="301"/>
      <c r="N510" s="336"/>
      <c r="O510" s="301"/>
      <c r="P510" s="336"/>
      <c r="Q510" s="301"/>
      <c r="R510" s="336"/>
      <c r="S510" s="301"/>
      <c r="T510" s="336"/>
    </row>
    <row r="511" spans="1:20" ht="12" customHeight="1" x14ac:dyDescent="0.3">
      <c r="A511" s="329" t="s">
        <v>289</v>
      </c>
      <c r="B511" s="330">
        <v>4</v>
      </c>
      <c r="C511" s="298">
        <v>46158</v>
      </c>
      <c r="D511" s="299" t="s">
        <v>310</v>
      </c>
      <c r="E511" s="522">
        <v>48.15</v>
      </c>
      <c r="F511" s="522"/>
      <c r="G511" s="333">
        <f t="shared" si="15"/>
        <v>4757.3799999999856</v>
      </c>
      <c r="H511" s="334"/>
      <c r="I511" s="335"/>
      <c r="J511" s="336"/>
      <c r="K511" s="301"/>
      <c r="L511" s="336"/>
      <c r="M511" s="301"/>
      <c r="N511" s="336"/>
      <c r="O511" s="301"/>
      <c r="P511" s="336"/>
      <c r="Q511" s="301"/>
      <c r="R511" s="336"/>
      <c r="S511" s="301"/>
      <c r="T511" s="336"/>
    </row>
    <row r="512" spans="1:20" ht="12" customHeight="1" x14ac:dyDescent="0.3">
      <c r="A512" s="329" t="s">
        <v>289</v>
      </c>
      <c r="B512" s="330">
        <v>8</v>
      </c>
      <c r="C512" s="298">
        <v>46158</v>
      </c>
      <c r="D512" s="299" t="s">
        <v>308</v>
      </c>
      <c r="E512" s="522">
        <v>75.069999999999993</v>
      </c>
      <c r="F512" s="522"/>
      <c r="G512" s="333">
        <f t="shared" si="15"/>
        <v>4805.5299999999852</v>
      </c>
      <c r="H512" s="334"/>
      <c r="I512" s="335"/>
      <c r="J512" s="336"/>
      <c r="K512" s="301"/>
      <c r="L512" s="336"/>
      <c r="M512" s="301"/>
      <c r="N512" s="336"/>
      <c r="O512" s="301"/>
      <c r="P512" s="336"/>
      <c r="Q512" s="301"/>
      <c r="R512" s="336"/>
      <c r="S512" s="301"/>
      <c r="T512" s="336"/>
    </row>
    <row r="513" spans="1:20" ht="12" customHeight="1" x14ac:dyDescent="0.3">
      <c r="A513" s="329" t="s">
        <v>289</v>
      </c>
      <c r="B513" s="330">
        <v>2</v>
      </c>
      <c r="C513" s="298">
        <v>46158</v>
      </c>
      <c r="D513" s="299" t="s">
        <v>308</v>
      </c>
      <c r="E513" s="522">
        <v>75</v>
      </c>
      <c r="F513" s="522"/>
      <c r="G513" s="333">
        <f t="shared" si="15"/>
        <v>4880.5999999999849</v>
      </c>
      <c r="H513" s="334"/>
      <c r="I513" s="335"/>
      <c r="J513" s="336"/>
      <c r="K513" s="301"/>
      <c r="L513" s="336"/>
      <c r="M513" s="301"/>
      <c r="N513" s="336"/>
      <c r="O513" s="301"/>
      <c r="P513" s="336"/>
      <c r="Q513" s="301"/>
      <c r="R513" s="336"/>
      <c r="S513" s="301"/>
      <c r="T513" s="336"/>
    </row>
    <row r="514" spans="1:20" ht="12" customHeight="1" x14ac:dyDescent="0.3">
      <c r="A514" s="329" t="s">
        <v>289</v>
      </c>
      <c r="B514" s="330">
        <v>3</v>
      </c>
      <c r="C514" s="298">
        <v>46158</v>
      </c>
      <c r="D514" s="299" t="s">
        <v>348</v>
      </c>
      <c r="E514" s="522">
        <v>8.3800000000000008</v>
      </c>
      <c r="F514" s="522"/>
      <c r="G514" s="333">
        <f t="shared" si="15"/>
        <v>4955.5999999999849</v>
      </c>
      <c r="H514" s="334"/>
      <c r="I514" s="335"/>
      <c r="J514" s="336"/>
      <c r="K514" s="301"/>
      <c r="L514" s="336"/>
      <c r="M514" s="301"/>
      <c r="N514" s="336"/>
      <c r="O514" s="301"/>
      <c r="P514" s="336"/>
      <c r="Q514" s="301"/>
      <c r="R514" s="336"/>
      <c r="S514" s="301"/>
      <c r="T514" s="336"/>
    </row>
    <row r="515" spans="1:20" ht="12" customHeight="1" x14ac:dyDescent="0.3">
      <c r="A515" s="329" t="s">
        <v>289</v>
      </c>
      <c r="B515" s="330">
        <v>8</v>
      </c>
      <c r="C515" s="298">
        <v>46157</v>
      </c>
      <c r="D515" s="299" t="s">
        <v>319</v>
      </c>
      <c r="E515" s="522">
        <v>63.55</v>
      </c>
      <c r="F515" s="522"/>
      <c r="G515" s="333">
        <f t="shared" si="15"/>
        <v>4963.979999999985</v>
      </c>
      <c r="H515" s="334"/>
      <c r="I515" s="335"/>
      <c r="J515" s="336"/>
      <c r="K515" s="301"/>
      <c r="L515" s="336"/>
      <c r="M515" s="301"/>
      <c r="N515" s="336"/>
      <c r="O515" s="301"/>
      <c r="P515" s="336"/>
      <c r="Q515" s="301"/>
      <c r="R515" s="336"/>
      <c r="S515" s="301"/>
      <c r="T515" s="336"/>
    </row>
    <row r="516" spans="1:20" ht="12" customHeight="1" x14ac:dyDescent="0.3">
      <c r="A516" s="329" t="s">
        <v>289</v>
      </c>
      <c r="B516" s="330">
        <v>4</v>
      </c>
      <c r="C516" s="298">
        <v>46157</v>
      </c>
      <c r="D516" s="299" t="s">
        <v>296</v>
      </c>
      <c r="E516" s="522">
        <v>45.1</v>
      </c>
      <c r="F516" s="522"/>
      <c r="G516" s="333">
        <f t="shared" si="15"/>
        <v>5027.5299999999852</v>
      </c>
      <c r="H516" s="334"/>
      <c r="I516" s="335"/>
      <c r="J516" s="336"/>
      <c r="K516" s="301"/>
      <c r="L516" s="336"/>
      <c r="M516" s="301"/>
      <c r="N516" s="336"/>
      <c r="O516" s="301"/>
      <c r="P516" s="336"/>
      <c r="Q516" s="301"/>
      <c r="R516" s="336"/>
      <c r="S516" s="301"/>
      <c r="T516" s="336"/>
    </row>
    <row r="517" spans="1:20" ht="12" customHeight="1" x14ac:dyDescent="0.3">
      <c r="A517" s="329" t="s">
        <v>289</v>
      </c>
      <c r="B517" s="330">
        <v>2</v>
      </c>
      <c r="C517" s="298">
        <v>46157</v>
      </c>
      <c r="D517" s="299" t="s">
        <v>296</v>
      </c>
      <c r="E517" s="522">
        <v>24.54</v>
      </c>
      <c r="F517" s="522"/>
      <c r="G517" s="333">
        <f t="shared" si="15"/>
        <v>5072.6299999999856</v>
      </c>
      <c r="H517" s="334"/>
      <c r="I517" s="335"/>
      <c r="J517" s="336"/>
      <c r="K517" s="301"/>
      <c r="L517" s="336"/>
      <c r="M517" s="301"/>
      <c r="N517" s="336"/>
      <c r="O517" s="301"/>
      <c r="P517" s="336"/>
      <c r="Q517" s="301"/>
      <c r="R517" s="336"/>
      <c r="S517" s="301"/>
      <c r="T517" s="336"/>
    </row>
    <row r="518" spans="1:20" ht="12" customHeight="1" x14ac:dyDescent="0.3">
      <c r="A518" s="329" t="s">
        <v>289</v>
      </c>
      <c r="B518" s="330">
        <v>2</v>
      </c>
      <c r="C518" s="298">
        <v>46157</v>
      </c>
      <c r="D518" s="299" t="s">
        <v>334</v>
      </c>
      <c r="E518" s="522">
        <v>14.28</v>
      </c>
      <c r="F518" s="522"/>
      <c r="G518" s="333">
        <f t="shared" si="15"/>
        <v>5097.1699999999855</v>
      </c>
      <c r="H518" s="334"/>
      <c r="I518" s="335"/>
      <c r="J518" s="336"/>
      <c r="K518" s="301"/>
      <c r="L518" s="336"/>
      <c r="M518" s="301"/>
      <c r="N518" s="336"/>
      <c r="O518" s="301"/>
      <c r="P518" s="336"/>
      <c r="Q518" s="301"/>
      <c r="R518" s="336"/>
      <c r="S518" s="301"/>
      <c r="T518" s="336"/>
    </row>
    <row r="519" spans="1:20" ht="12" customHeight="1" x14ac:dyDescent="0.3">
      <c r="A519" s="329" t="s">
        <v>287</v>
      </c>
      <c r="B519" s="330" t="s">
        <v>287</v>
      </c>
      <c r="C519" s="298">
        <v>46157</v>
      </c>
      <c r="D519" s="299" t="s">
        <v>506</v>
      </c>
      <c r="E519" s="522">
        <v>146.15</v>
      </c>
      <c r="F519" s="522">
        <v>146.15</v>
      </c>
      <c r="G519" s="333">
        <f t="shared" si="15"/>
        <v>5111.4499999999853</v>
      </c>
      <c r="H519" s="334"/>
      <c r="I519" s="335"/>
      <c r="J519" s="336"/>
      <c r="K519" s="301"/>
      <c r="L519" s="336"/>
      <c r="M519" s="301"/>
      <c r="N519" s="336"/>
      <c r="O519" s="301"/>
      <c r="P519" s="336"/>
      <c r="Q519" s="301"/>
      <c r="R519" s="336"/>
      <c r="S519" s="301"/>
      <c r="T519" s="336"/>
    </row>
    <row r="520" spans="1:20" ht="12" customHeight="1" x14ac:dyDescent="0.3">
      <c r="A520" s="329" t="s">
        <v>289</v>
      </c>
      <c r="B520" s="330">
        <v>2</v>
      </c>
      <c r="C520" s="298">
        <v>46157</v>
      </c>
      <c r="D520" s="299" t="s">
        <v>868</v>
      </c>
      <c r="E520" s="522">
        <v>202.87</v>
      </c>
      <c r="F520" s="522"/>
      <c r="G520" s="333">
        <f>G521-E520+F520</f>
        <v>5111.4499999999853</v>
      </c>
      <c r="H520" s="334"/>
      <c r="I520" s="335"/>
      <c r="J520" s="336"/>
      <c r="K520" s="301"/>
      <c r="L520" s="336"/>
      <c r="M520" s="301"/>
      <c r="N520" s="336"/>
      <c r="O520" s="301"/>
      <c r="P520" s="336"/>
      <c r="Q520" s="301"/>
      <c r="R520" s="336"/>
      <c r="S520" s="301"/>
      <c r="T520" s="336"/>
    </row>
    <row r="521" spans="1:20" ht="12" customHeight="1" x14ac:dyDescent="0.3">
      <c r="A521" s="329" t="s">
        <v>289</v>
      </c>
      <c r="B521" s="330">
        <v>6</v>
      </c>
      <c r="C521" s="298">
        <v>46157</v>
      </c>
      <c r="D521" s="299" t="s">
        <v>300</v>
      </c>
      <c r="E521" s="522">
        <v>14.9</v>
      </c>
      <c r="F521" s="522"/>
      <c r="G521" s="333">
        <f t="shared" si="15"/>
        <v>5314.3199999999852</v>
      </c>
      <c r="H521" s="334"/>
      <c r="I521" s="335"/>
      <c r="J521" s="336"/>
      <c r="K521" s="301"/>
      <c r="L521" s="336"/>
      <c r="M521" s="301"/>
      <c r="N521" s="336"/>
      <c r="O521" s="301"/>
      <c r="P521" s="336"/>
      <c r="Q521" s="301"/>
      <c r="R521" s="336"/>
      <c r="S521" s="301"/>
      <c r="T521" s="336"/>
    </row>
    <row r="522" spans="1:20" ht="12" customHeight="1" x14ac:dyDescent="0.3">
      <c r="A522" s="329" t="s">
        <v>291</v>
      </c>
      <c r="B522" s="330">
        <v>38</v>
      </c>
      <c r="C522" s="298">
        <v>46157</v>
      </c>
      <c r="D522" s="299" t="s">
        <v>293</v>
      </c>
      <c r="E522" s="522"/>
      <c r="F522" s="522">
        <v>4597.82</v>
      </c>
      <c r="G522" s="333">
        <f t="shared" si="15"/>
        <v>5329.2199999999848</v>
      </c>
      <c r="H522" s="334"/>
      <c r="I522" s="335"/>
      <c r="J522" s="336"/>
      <c r="K522" s="301"/>
      <c r="L522" s="336"/>
      <c r="M522" s="301"/>
      <c r="N522" s="336"/>
      <c r="O522" s="301"/>
      <c r="P522" s="336"/>
      <c r="Q522" s="301"/>
      <c r="R522" s="336"/>
      <c r="S522" s="301"/>
      <c r="T522" s="336"/>
    </row>
    <row r="523" spans="1:20" ht="12" customHeight="1" x14ac:dyDescent="0.3">
      <c r="A523" s="329" t="s">
        <v>289</v>
      </c>
      <c r="B523" s="330">
        <v>8</v>
      </c>
      <c r="C523" s="298">
        <v>46156</v>
      </c>
      <c r="D523" s="299" t="s">
        <v>867</v>
      </c>
      <c r="E523" s="522">
        <v>34.96</v>
      </c>
      <c r="F523" s="522"/>
      <c r="G523" s="333">
        <f t="shared" si="15"/>
        <v>731.39999999998463</v>
      </c>
      <c r="H523" s="334"/>
      <c r="I523" s="335"/>
      <c r="J523" s="336"/>
      <c r="K523" s="301"/>
      <c r="L523" s="336"/>
      <c r="M523" s="301"/>
      <c r="N523" s="336"/>
      <c r="O523" s="301"/>
      <c r="P523" s="336"/>
      <c r="Q523" s="301"/>
      <c r="R523" s="336"/>
      <c r="S523" s="301"/>
      <c r="T523" s="336"/>
    </row>
    <row r="524" spans="1:20" ht="12" customHeight="1" x14ac:dyDescent="0.3">
      <c r="A524" s="329" t="s">
        <v>289</v>
      </c>
      <c r="B524" s="330">
        <v>2</v>
      </c>
      <c r="C524" s="298">
        <v>46156</v>
      </c>
      <c r="D524" s="299" t="s">
        <v>408</v>
      </c>
      <c r="E524" s="522">
        <v>23.9</v>
      </c>
      <c r="F524" s="522"/>
      <c r="G524" s="333">
        <f t="shared" si="15"/>
        <v>766.35999999998467</v>
      </c>
      <c r="H524" s="334"/>
      <c r="I524" s="335"/>
      <c r="J524" s="336"/>
      <c r="K524" s="301"/>
      <c r="L524" s="336"/>
      <c r="M524" s="301"/>
      <c r="N524" s="336"/>
      <c r="O524" s="301"/>
      <c r="P524" s="336"/>
      <c r="Q524" s="301"/>
      <c r="R524" s="336"/>
      <c r="S524" s="301"/>
      <c r="T524" s="336"/>
    </row>
    <row r="525" spans="1:20" ht="12" customHeight="1" x14ac:dyDescent="0.3">
      <c r="A525" s="329" t="s">
        <v>294</v>
      </c>
      <c r="B525" s="330">
        <v>24</v>
      </c>
      <c r="C525" s="298">
        <v>46156</v>
      </c>
      <c r="D525" s="299" t="s">
        <v>860</v>
      </c>
      <c r="E525" s="522">
        <v>109.92</v>
      </c>
      <c r="F525" s="522"/>
      <c r="G525" s="333">
        <f t="shared" si="15"/>
        <v>790.25999999998464</v>
      </c>
      <c r="H525" s="334"/>
      <c r="I525" s="335"/>
      <c r="J525" s="336"/>
      <c r="K525" s="301"/>
      <c r="L525" s="336"/>
      <c r="M525" s="301"/>
      <c r="N525" s="336"/>
      <c r="O525" s="301"/>
      <c r="P525" s="336"/>
      <c r="Q525" s="301"/>
      <c r="R525" s="336"/>
      <c r="S525" s="301"/>
      <c r="T525" s="336"/>
    </row>
    <row r="526" spans="1:20" ht="12" customHeight="1" x14ac:dyDescent="0.3">
      <c r="A526" s="329" t="s">
        <v>289</v>
      </c>
      <c r="B526" s="330">
        <v>2</v>
      </c>
      <c r="C526" s="298">
        <v>46156</v>
      </c>
      <c r="D526" s="299" t="s">
        <v>334</v>
      </c>
      <c r="E526" s="522">
        <v>24.34</v>
      </c>
      <c r="F526" s="522"/>
      <c r="G526" s="333">
        <f t="shared" si="15"/>
        <v>900.1799999999846</v>
      </c>
      <c r="H526" s="334"/>
      <c r="I526" s="335"/>
      <c r="J526" s="336"/>
      <c r="K526" s="301"/>
      <c r="L526" s="336"/>
      <c r="M526" s="301"/>
      <c r="N526" s="336"/>
      <c r="O526" s="301"/>
      <c r="P526" s="336"/>
      <c r="Q526" s="301"/>
      <c r="R526" s="336"/>
      <c r="S526" s="301"/>
      <c r="T526" s="336"/>
    </row>
    <row r="527" spans="1:20" ht="12" customHeight="1" x14ac:dyDescent="0.3">
      <c r="A527" s="329" t="s">
        <v>289</v>
      </c>
      <c r="B527" s="330">
        <v>8</v>
      </c>
      <c r="C527" s="298">
        <v>46156</v>
      </c>
      <c r="D527" s="299" t="s">
        <v>846</v>
      </c>
      <c r="E527" s="522">
        <v>24.89</v>
      </c>
      <c r="F527" s="522"/>
      <c r="G527" s="333">
        <f t="shared" si="15"/>
        <v>924.51999999998463</v>
      </c>
      <c r="H527" s="334"/>
      <c r="I527" s="335"/>
      <c r="J527" s="336"/>
      <c r="K527" s="301"/>
      <c r="L527" s="336"/>
      <c r="M527" s="301"/>
      <c r="N527" s="336"/>
      <c r="O527" s="301"/>
      <c r="P527" s="336"/>
      <c r="Q527" s="301"/>
      <c r="R527" s="336"/>
      <c r="S527" s="301"/>
      <c r="T527" s="336"/>
    </row>
    <row r="528" spans="1:20" ht="12" customHeight="1" x14ac:dyDescent="0.3">
      <c r="A528" s="329" t="s">
        <v>289</v>
      </c>
      <c r="B528" s="330">
        <v>5</v>
      </c>
      <c r="C528" s="298">
        <v>46156</v>
      </c>
      <c r="D528" s="299" t="s">
        <v>846</v>
      </c>
      <c r="E528" s="522">
        <v>11.2</v>
      </c>
      <c r="F528" s="522"/>
      <c r="G528" s="333">
        <f t="shared" si="15"/>
        <v>949.40999999998462</v>
      </c>
      <c r="H528" s="334"/>
      <c r="I528" s="335"/>
      <c r="J528" s="336"/>
      <c r="K528" s="301"/>
      <c r="L528" s="336"/>
      <c r="M528" s="301"/>
      <c r="N528" s="336"/>
      <c r="O528" s="301"/>
      <c r="P528" s="336"/>
      <c r="Q528" s="301"/>
      <c r="R528" s="336"/>
      <c r="S528" s="301"/>
      <c r="T528" s="336"/>
    </row>
    <row r="529" spans="1:20" ht="12" customHeight="1" x14ac:dyDescent="0.3">
      <c r="A529" s="329" t="s">
        <v>289</v>
      </c>
      <c r="B529" s="330">
        <v>2</v>
      </c>
      <c r="C529" s="298">
        <v>46156</v>
      </c>
      <c r="D529" s="299" t="s">
        <v>324</v>
      </c>
      <c r="E529" s="522">
        <v>22.04</v>
      </c>
      <c r="F529" s="522"/>
      <c r="G529" s="333">
        <f t="shared" si="15"/>
        <v>960.60999999998467</v>
      </c>
      <c r="H529" s="334"/>
      <c r="I529" s="335"/>
      <c r="J529" s="336"/>
      <c r="K529" s="301"/>
      <c r="L529" s="336"/>
      <c r="M529" s="301"/>
      <c r="N529" s="336"/>
      <c r="O529" s="301"/>
      <c r="P529" s="336"/>
      <c r="Q529" s="301"/>
      <c r="R529" s="336"/>
      <c r="S529" s="301"/>
      <c r="T529" s="336"/>
    </row>
    <row r="530" spans="1:20" ht="12" customHeight="1" x14ac:dyDescent="0.3">
      <c r="A530" s="329" t="s">
        <v>291</v>
      </c>
      <c r="B530" s="330">
        <v>39</v>
      </c>
      <c r="C530" s="298">
        <v>46156</v>
      </c>
      <c r="D530" s="299" t="s">
        <v>292</v>
      </c>
      <c r="E530" s="522"/>
      <c r="F530" s="522">
        <v>2763.78</v>
      </c>
      <c r="G530" s="333">
        <f t="shared" si="15"/>
        <v>982.64999999998463</v>
      </c>
      <c r="H530" s="334"/>
      <c r="I530" s="335"/>
      <c r="J530" s="336"/>
      <c r="K530" s="301"/>
      <c r="L530" s="336"/>
      <c r="M530" s="301"/>
      <c r="N530" s="336"/>
      <c r="O530" s="301"/>
      <c r="P530" s="336"/>
      <c r="Q530" s="301"/>
      <c r="R530" s="336"/>
      <c r="S530" s="301"/>
      <c r="T530" s="336"/>
    </row>
    <row r="531" spans="1:20" ht="12" customHeight="1" x14ac:dyDescent="0.3">
      <c r="A531" s="329" t="s">
        <v>291</v>
      </c>
      <c r="B531" s="330">
        <v>41</v>
      </c>
      <c r="C531" s="298">
        <v>46156</v>
      </c>
      <c r="D531" s="299" t="s">
        <v>299</v>
      </c>
      <c r="E531" s="522"/>
      <c r="F531" s="522">
        <v>250</v>
      </c>
      <c r="G531" s="333">
        <f t="shared" si="15"/>
        <v>-1781.1300000000156</v>
      </c>
      <c r="H531" s="334"/>
      <c r="I531" s="335"/>
      <c r="J531" s="336"/>
      <c r="K531" s="301"/>
      <c r="L531" s="336"/>
      <c r="M531" s="301"/>
      <c r="N531" s="336"/>
      <c r="O531" s="301"/>
      <c r="P531" s="336"/>
      <c r="Q531" s="301"/>
      <c r="R531" s="336"/>
      <c r="S531" s="301"/>
      <c r="T531" s="336"/>
    </row>
    <row r="532" spans="1:20" ht="12" customHeight="1" x14ac:dyDescent="0.3">
      <c r="A532" s="329" t="s">
        <v>335</v>
      </c>
      <c r="B532" s="330" t="s">
        <v>335</v>
      </c>
      <c r="C532" s="298">
        <v>46156</v>
      </c>
      <c r="D532" s="299" t="s">
        <v>460</v>
      </c>
      <c r="E532" s="522"/>
      <c r="F532" s="522">
        <v>100</v>
      </c>
      <c r="G532" s="333">
        <f t="shared" si="15"/>
        <v>-2031.1300000000156</v>
      </c>
      <c r="H532" s="334"/>
      <c r="I532" s="335"/>
      <c r="J532" s="336"/>
      <c r="K532" s="301"/>
      <c r="L532" s="336"/>
      <c r="M532" s="301"/>
      <c r="N532" s="336"/>
      <c r="O532" s="301"/>
      <c r="P532" s="336"/>
      <c r="Q532" s="301"/>
      <c r="R532" s="336"/>
      <c r="S532" s="301"/>
      <c r="T532" s="336"/>
    </row>
    <row r="533" spans="1:20" ht="12" customHeight="1" x14ac:dyDescent="0.3">
      <c r="A533" s="329" t="s">
        <v>289</v>
      </c>
      <c r="B533" s="330">
        <v>6</v>
      </c>
      <c r="C533" s="298">
        <v>46156</v>
      </c>
      <c r="D533" s="299" t="s">
        <v>300</v>
      </c>
      <c r="E533" s="522">
        <v>13.3</v>
      </c>
      <c r="F533" s="522"/>
      <c r="G533" s="333">
        <f t="shared" si="15"/>
        <v>-2131.1300000000156</v>
      </c>
      <c r="H533" s="334"/>
      <c r="I533" s="335"/>
      <c r="J533" s="336"/>
      <c r="K533" s="301"/>
      <c r="L533" s="336"/>
      <c r="M533" s="301"/>
      <c r="N533" s="336"/>
      <c r="O533" s="301"/>
      <c r="P533" s="336"/>
      <c r="Q533" s="301"/>
      <c r="R533" s="336"/>
      <c r="S533" s="301"/>
      <c r="T533" s="336"/>
    </row>
    <row r="534" spans="1:20" ht="12" customHeight="1" x14ac:dyDescent="0.3">
      <c r="A534" s="329" t="s">
        <v>289</v>
      </c>
      <c r="B534" s="330">
        <v>2</v>
      </c>
      <c r="C534" s="298">
        <v>46155</v>
      </c>
      <c r="D534" s="299" t="s">
        <v>296</v>
      </c>
      <c r="E534" s="522">
        <v>14.67</v>
      </c>
      <c r="F534" s="522"/>
      <c r="G534" s="333">
        <f t="shared" si="15"/>
        <v>-2117.8300000000154</v>
      </c>
      <c r="H534" s="334"/>
      <c r="I534" s="335"/>
      <c r="J534" s="336"/>
      <c r="K534" s="301"/>
      <c r="L534" s="336"/>
      <c r="M534" s="301"/>
      <c r="N534" s="336"/>
      <c r="O534" s="301"/>
      <c r="P534" s="336"/>
      <c r="Q534" s="301"/>
      <c r="R534" s="336"/>
      <c r="S534" s="301"/>
      <c r="T534" s="336"/>
    </row>
    <row r="535" spans="1:20" ht="12" customHeight="1" x14ac:dyDescent="0.3">
      <c r="A535" s="329" t="s">
        <v>289</v>
      </c>
      <c r="B535" s="330">
        <v>8</v>
      </c>
      <c r="C535" s="298">
        <v>46155</v>
      </c>
      <c r="D535" s="299" t="s">
        <v>319</v>
      </c>
      <c r="E535" s="522">
        <v>22.96</v>
      </c>
      <c r="F535" s="522"/>
      <c r="G535" s="333">
        <f t="shared" si="15"/>
        <v>-2103.1600000000153</v>
      </c>
      <c r="H535" s="334"/>
      <c r="I535" s="335"/>
      <c r="J535" s="336"/>
      <c r="K535" s="301"/>
      <c r="L535" s="336"/>
      <c r="M535" s="301"/>
      <c r="N535" s="336"/>
      <c r="O535" s="301"/>
      <c r="P535" s="336"/>
      <c r="Q535" s="301"/>
      <c r="R535" s="336"/>
      <c r="S535" s="301"/>
      <c r="T535" s="336"/>
    </row>
    <row r="536" spans="1:20" ht="12" customHeight="1" x14ac:dyDescent="0.3">
      <c r="A536" s="329" t="s">
        <v>287</v>
      </c>
      <c r="B536" s="330" t="s">
        <v>287</v>
      </c>
      <c r="C536" s="298">
        <v>46155</v>
      </c>
      <c r="D536" s="299" t="s">
        <v>855</v>
      </c>
      <c r="E536" s="522">
        <v>100</v>
      </c>
      <c r="F536" s="522">
        <v>100</v>
      </c>
      <c r="G536" s="333">
        <f t="shared" si="15"/>
        <v>-2080.2000000000153</v>
      </c>
      <c r="H536" s="334"/>
      <c r="I536" s="335"/>
      <c r="J536" s="336"/>
      <c r="K536" s="301"/>
      <c r="L536" s="336"/>
      <c r="M536" s="301"/>
      <c r="N536" s="336"/>
      <c r="O536" s="301"/>
      <c r="P536" s="336"/>
      <c r="Q536" s="301"/>
      <c r="R536" s="336"/>
      <c r="S536" s="301"/>
      <c r="T536" s="336"/>
    </row>
    <row r="537" spans="1:20" ht="12" customHeight="1" x14ac:dyDescent="0.3">
      <c r="A537" s="329" t="s">
        <v>289</v>
      </c>
      <c r="B537" s="330">
        <v>4</v>
      </c>
      <c r="C537" s="298">
        <v>46154</v>
      </c>
      <c r="D537" s="299" t="s">
        <v>455</v>
      </c>
      <c r="E537" s="522">
        <v>43.14</v>
      </c>
      <c r="F537" s="522"/>
      <c r="G537" s="333">
        <f t="shared" si="15"/>
        <v>-2080.2000000000153</v>
      </c>
      <c r="H537" s="334"/>
      <c r="I537" s="335"/>
      <c r="J537" s="336"/>
      <c r="K537" s="301"/>
      <c r="L537" s="336"/>
      <c r="M537" s="301"/>
      <c r="N537" s="336"/>
      <c r="O537" s="301"/>
      <c r="P537" s="336"/>
      <c r="Q537" s="301"/>
      <c r="R537" s="336"/>
      <c r="S537" s="301"/>
      <c r="T537" s="336"/>
    </row>
    <row r="538" spans="1:20" ht="12" customHeight="1" x14ac:dyDescent="0.3">
      <c r="A538" s="329" t="s">
        <v>289</v>
      </c>
      <c r="B538" s="330">
        <v>3</v>
      </c>
      <c r="C538" s="298">
        <v>46154</v>
      </c>
      <c r="D538" s="299" t="s">
        <v>455</v>
      </c>
      <c r="E538" s="522">
        <v>7.29</v>
      </c>
      <c r="F538" s="522"/>
      <c r="G538" s="333">
        <f t="shared" si="15"/>
        <v>-2037.0600000000154</v>
      </c>
      <c r="H538" s="334"/>
      <c r="I538" s="335"/>
      <c r="J538" s="336"/>
      <c r="K538" s="301"/>
      <c r="L538" s="336"/>
      <c r="M538" s="301"/>
      <c r="N538" s="336"/>
      <c r="O538" s="301"/>
      <c r="P538" s="336"/>
      <c r="Q538" s="301"/>
      <c r="R538" s="336"/>
      <c r="S538" s="301"/>
      <c r="T538" s="336"/>
    </row>
    <row r="539" spans="1:20" ht="12" customHeight="1" x14ac:dyDescent="0.3">
      <c r="A539" s="329" t="s">
        <v>294</v>
      </c>
      <c r="B539" s="330">
        <v>19</v>
      </c>
      <c r="C539" s="298">
        <v>46154</v>
      </c>
      <c r="D539" s="299" t="s">
        <v>191</v>
      </c>
      <c r="E539" s="522">
        <v>200</v>
      </c>
      <c r="F539" s="522"/>
      <c r="G539" s="333">
        <f t="shared" si="15"/>
        <v>-2029.7700000000154</v>
      </c>
      <c r="H539" s="334"/>
      <c r="I539" s="335"/>
      <c r="J539" s="336"/>
      <c r="K539" s="301"/>
      <c r="L539" s="336"/>
      <c r="M539" s="301"/>
      <c r="N539" s="336"/>
      <c r="O539" s="301"/>
      <c r="P539" s="336"/>
      <c r="Q539" s="301"/>
      <c r="R539" s="336"/>
      <c r="S539" s="301"/>
      <c r="T539" s="336"/>
    </row>
    <row r="540" spans="1:20" ht="12" customHeight="1" x14ac:dyDescent="0.3">
      <c r="A540" s="329" t="s">
        <v>289</v>
      </c>
      <c r="B540" s="330">
        <v>6</v>
      </c>
      <c r="C540" s="298">
        <v>46154</v>
      </c>
      <c r="D540" s="299" t="s">
        <v>446</v>
      </c>
      <c r="E540" s="522">
        <v>-0.06</v>
      </c>
      <c r="F540" s="522"/>
      <c r="G540" s="333">
        <f t="shared" si="15"/>
        <v>-1829.7700000000154</v>
      </c>
      <c r="H540" s="334"/>
      <c r="I540" s="335"/>
      <c r="J540" s="336"/>
      <c r="K540" s="301"/>
      <c r="L540" s="336"/>
      <c r="M540" s="301"/>
      <c r="N540" s="336"/>
      <c r="O540" s="301"/>
      <c r="P540" s="336"/>
      <c r="Q540" s="301"/>
      <c r="R540" s="336"/>
      <c r="S540" s="301"/>
      <c r="T540" s="336"/>
    </row>
    <row r="541" spans="1:20" ht="12" customHeight="1" x14ac:dyDescent="0.3">
      <c r="A541" s="329" t="s">
        <v>289</v>
      </c>
      <c r="B541" s="330">
        <v>2</v>
      </c>
      <c r="C541" s="298">
        <v>46154</v>
      </c>
      <c r="D541" s="299" t="s">
        <v>301</v>
      </c>
      <c r="E541" s="522">
        <v>21.55</v>
      </c>
      <c r="F541" s="522"/>
      <c r="G541" s="333">
        <f t="shared" si="15"/>
        <v>-1829.8300000000154</v>
      </c>
      <c r="H541" s="334"/>
      <c r="I541" s="335"/>
      <c r="J541" s="336"/>
      <c r="K541" s="301"/>
      <c r="L541" s="336"/>
      <c r="M541" s="301"/>
      <c r="N541" s="336"/>
      <c r="O541" s="301"/>
      <c r="P541" s="336"/>
      <c r="Q541" s="301"/>
      <c r="R541" s="336"/>
      <c r="S541" s="301"/>
      <c r="T541" s="336"/>
    </row>
    <row r="542" spans="1:20" ht="12" customHeight="1" x14ac:dyDescent="0.3">
      <c r="A542" s="329" t="s">
        <v>289</v>
      </c>
      <c r="B542" s="330">
        <v>3</v>
      </c>
      <c r="C542" s="298">
        <v>46153</v>
      </c>
      <c r="D542" s="299" t="s">
        <v>296</v>
      </c>
      <c r="E542" s="522">
        <v>4.79</v>
      </c>
      <c r="F542" s="522"/>
      <c r="G542" s="333">
        <f t="shared" si="15"/>
        <v>-1808.2800000000154</v>
      </c>
      <c r="H542" s="334"/>
      <c r="I542" s="335"/>
      <c r="J542" s="336"/>
      <c r="K542" s="301"/>
      <c r="L542" s="336"/>
      <c r="M542" s="301"/>
      <c r="N542" s="336"/>
      <c r="O542" s="301"/>
      <c r="P542" s="336"/>
      <c r="Q542" s="301"/>
      <c r="R542" s="336"/>
      <c r="S542" s="301"/>
      <c r="T542" s="336"/>
    </row>
    <row r="543" spans="1:20" ht="12" customHeight="1" x14ac:dyDescent="0.3">
      <c r="A543" s="329" t="s">
        <v>289</v>
      </c>
      <c r="B543" s="330">
        <v>4</v>
      </c>
      <c r="C543" s="298">
        <v>46153</v>
      </c>
      <c r="D543" s="299" t="s">
        <v>296</v>
      </c>
      <c r="E543" s="522">
        <v>66.59</v>
      </c>
      <c r="F543" s="522"/>
      <c r="G543" s="333">
        <f t="shared" si="15"/>
        <v>-1803.4900000000155</v>
      </c>
      <c r="H543" s="334"/>
      <c r="I543" s="335"/>
      <c r="J543" s="336"/>
      <c r="K543" s="301"/>
      <c r="L543" s="336"/>
      <c r="M543" s="301"/>
      <c r="N543" s="336"/>
      <c r="O543" s="301"/>
      <c r="P543" s="336"/>
      <c r="Q543" s="301"/>
      <c r="R543" s="336"/>
      <c r="S543" s="301"/>
      <c r="T543" s="336"/>
    </row>
    <row r="544" spans="1:20" ht="12" customHeight="1" x14ac:dyDescent="0.3">
      <c r="A544" s="329" t="s">
        <v>287</v>
      </c>
      <c r="B544" s="330" t="s">
        <v>287</v>
      </c>
      <c r="C544" s="298">
        <v>46153</v>
      </c>
      <c r="D544" s="299" t="s">
        <v>843</v>
      </c>
      <c r="E544" s="522">
        <v>-51.06</v>
      </c>
      <c r="F544" s="522">
        <v>-51.06</v>
      </c>
      <c r="G544" s="333">
        <f t="shared" si="15"/>
        <v>-1736.9000000000156</v>
      </c>
      <c r="H544" s="334"/>
      <c r="I544" s="335"/>
      <c r="J544" s="336"/>
      <c r="K544" s="301"/>
      <c r="L544" s="336"/>
      <c r="M544" s="301"/>
      <c r="N544" s="336"/>
      <c r="O544" s="301"/>
      <c r="P544" s="336"/>
      <c r="Q544" s="301"/>
      <c r="R544" s="336"/>
      <c r="S544" s="301"/>
      <c r="T544" s="336"/>
    </row>
    <row r="545" spans="1:20" ht="12" customHeight="1" x14ac:dyDescent="0.3">
      <c r="A545" s="329" t="s">
        <v>294</v>
      </c>
      <c r="B545" s="330">
        <v>22</v>
      </c>
      <c r="C545" s="298">
        <v>46153</v>
      </c>
      <c r="D545" s="299" t="s">
        <v>352</v>
      </c>
      <c r="E545" s="522">
        <v>21.29</v>
      </c>
      <c r="F545" s="522"/>
      <c r="G545" s="333">
        <f t="shared" si="15"/>
        <v>-1736.9000000000156</v>
      </c>
      <c r="H545" s="334"/>
      <c r="I545" s="335"/>
      <c r="J545" s="336"/>
      <c r="K545" s="301"/>
      <c r="L545" s="336"/>
      <c r="M545" s="301"/>
      <c r="N545" s="336"/>
      <c r="O545" s="301"/>
      <c r="P545" s="336"/>
      <c r="Q545" s="301"/>
      <c r="R545" s="336"/>
      <c r="S545" s="301"/>
      <c r="T545" s="336"/>
    </row>
    <row r="546" spans="1:20" ht="12" customHeight="1" x14ac:dyDescent="0.3">
      <c r="A546" s="329" t="s">
        <v>289</v>
      </c>
      <c r="B546" s="330">
        <v>8</v>
      </c>
      <c r="C546" s="298">
        <v>46152</v>
      </c>
      <c r="D546" s="299" t="s">
        <v>319</v>
      </c>
      <c r="E546" s="522">
        <v>59.25</v>
      </c>
      <c r="F546" s="522"/>
      <c r="G546" s="333">
        <f t="shared" si="15"/>
        <v>-1715.6100000000156</v>
      </c>
      <c r="H546" s="334"/>
      <c r="I546" s="335"/>
      <c r="J546" s="336"/>
      <c r="K546" s="301"/>
      <c r="L546" s="336"/>
      <c r="M546" s="301"/>
      <c r="N546" s="336"/>
      <c r="O546" s="301"/>
      <c r="P546" s="336"/>
      <c r="Q546" s="301"/>
      <c r="R546" s="336"/>
      <c r="S546" s="301"/>
      <c r="T546" s="336"/>
    </row>
    <row r="547" spans="1:20" ht="12" customHeight="1" x14ac:dyDescent="0.3">
      <c r="A547" s="329" t="s">
        <v>289</v>
      </c>
      <c r="B547" s="330">
        <v>1</v>
      </c>
      <c r="C547" s="298">
        <v>46152</v>
      </c>
      <c r="D547" s="299" t="s">
        <v>304</v>
      </c>
      <c r="E547" s="522">
        <v>145.94999999999999</v>
      </c>
      <c r="F547" s="522"/>
      <c r="G547" s="333">
        <f t="shared" si="15"/>
        <v>-1656.3600000000156</v>
      </c>
      <c r="H547" s="334"/>
      <c r="I547" s="335"/>
      <c r="J547" s="336"/>
      <c r="K547" s="301"/>
      <c r="L547" s="336"/>
      <c r="M547" s="301"/>
      <c r="N547" s="336"/>
      <c r="O547" s="301"/>
      <c r="P547" s="336"/>
      <c r="Q547" s="301"/>
      <c r="R547" s="336"/>
      <c r="S547" s="301"/>
      <c r="T547" s="336"/>
    </row>
    <row r="548" spans="1:20" ht="12" customHeight="1" x14ac:dyDescent="0.3">
      <c r="A548" s="329" t="s">
        <v>289</v>
      </c>
      <c r="B548" s="330">
        <v>1</v>
      </c>
      <c r="C548" s="298">
        <v>46152</v>
      </c>
      <c r="D548" s="299" t="s">
        <v>311</v>
      </c>
      <c r="E548" s="522">
        <v>131.9</v>
      </c>
      <c r="F548" s="522"/>
      <c r="G548" s="333">
        <f t="shared" si="15"/>
        <v>-1510.4100000000155</v>
      </c>
      <c r="H548" s="334"/>
      <c r="I548" s="335"/>
      <c r="J548" s="336"/>
      <c r="K548" s="301"/>
      <c r="L548" s="336"/>
      <c r="M548" s="301"/>
      <c r="N548" s="336"/>
      <c r="O548" s="301"/>
      <c r="P548" s="336"/>
      <c r="Q548" s="301"/>
      <c r="R548" s="336"/>
      <c r="S548" s="301"/>
      <c r="T548" s="336"/>
    </row>
    <row r="549" spans="1:20" ht="12" customHeight="1" x14ac:dyDescent="0.3">
      <c r="A549" s="329" t="s">
        <v>289</v>
      </c>
      <c r="B549" s="330">
        <v>2</v>
      </c>
      <c r="C549" s="298">
        <v>46152</v>
      </c>
      <c r="D549" s="299" t="s">
        <v>850</v>
      </c>
      <c r="E549" s="522">
        <v>96.46</v>
      </c>
      <c r="F549" s="522"/>
      <c r="G549" s="333">
        <f t="shared" si="15"/>
        <v>-1378.5100000000155</v>
      </c>
      <c r="H549" s="334"/>
      <c r="I549" s="335"/>
      <c r="J549" s="336"/>
      <c r="K549" s="301"/>
      <c r="L549" s="336"/>
      <c r="M549" s="301"/>
      <c r="N549" s="336"/>
      <c r="O549" s="301"/>
      <c r="P549" s="336"/>
      <c r="Q549" s="301"/>
      <c r="R549" s="336"/>
      <c r="S549" s="301"/>
      <c r="T549" s="336"/>
    </row>
    <row r="550" spans="1:20" ht="12" customHeight="1" x14ac:dyDescent="0.3">
      <c r="A550" s="329" t="s">
        <v>289</v>
      </c>
      <c r="B550" s="330">
        <v>7</v>
      </c>
      <c r="C550" s="298">
        <v>46152</v>
      </c>
      <c r="D550" s="299" t="s">
        <v>851</v>
      </c>
      <c r="E550" s="522">
        <v>162</v>
      </c>
      <c r="F550" s="522"/>
      <c r="G550" s="333">
        <f t="shared" si="15"/>
        <v>-1282.0500000000154</v>
      </c>
      <c r="H550" s="334"/>
      <c r="I550" s="335"/>
      <c r="J550" s="336"/>
      <c r="K550" s="301"/>
      <c r="L550" s="336"/>
      <c r="M550" s="301"/>
      <c r="N550" s="336"/>
      <c r="O550" s="301"/>
      <c r="P550" s="336"/>
      <c r="Q550" s="301"/>
      <c r="R550" s="336"/>
      <c r="S550" s="301"/>
      <c r="T550" s="336"/>
    </row>
    <row r="551" spans="1:20" ht="12" customHeight="1" x14ac:dyDescent="0.3">
      <c r="A551" s="329" t="s">
        <v>289</v>
      </c>
      <c r="B551" s="330">
        <v>3</v>
      </c>
      <c r="C551" s="298">
        <v>46152</v>
      </c>
      <c r="D551" s="299" t="s">
        <v>348</v>
      </c>
      <c r="E551" s="522">
        <v>25</v>
      </c>
      <c r="F551" s="522"/>
      <c r="G551" s="333">
        <f t="shared" si="15"/>
        <v>-1120.0500000000154</v>
      </c>
      <c r="H551" s="334"/>
      <c r="I551" s="335"/>
      <c r="J551" s="336"/>
      <c r="K551" s="301"/>
      <c r="L551" s="336"/>
      <c r="M551" s="301"/>
      <c r="N551" s="336"/>
      <c r="O551" s="301"/>
      <c r="P551" s="336"/>
      <c r="Q551" s="301"/>
      <c r="R551" s="336"/>
      <c r="S551" s="301"/>
      <c r="T551" s="336"/>
    </row>
    <row r="552" spans="1:20" ht="12" customHeight="1" x14ac:dyDescent="0.3">
      <c r="A552" s="329" t="s">
        <v>289</v>
      </c>
      <c r="B552" s="330">
        <v>2</v>
      </c>
      <c r="C552" s="298">
        <v>46151</v>
      </c>
      <c r="D552" s="299" t="s">
        <v>852</v>
      </c>
      <c r="E552" s="522">
        <v>35.83</v>
      </c>
      <c r="F552" s="522"/>
      <c r="G552" s="333">
        <f t="shared" si="15"/>
        <v>-1095.0500000000154</v>
      </c>
      <c r="H552" s="334"/>
      <c r="I552" s="335"/>
      <c r="J552" s="336"/>
      <c r="K552" s="301"/>
      <c r="L552" s="336"/>
      <c r="M552" s="301"/>
      <c r="N552" s="336"/>
      <c r="O552" s="301"/>
      <c r="P552" s="336"/>
      <c r="Q552" s="301"/>
      <c r="R552" s="336"/>
      <c r="S552" s="301"/>
      <c r="T552" s="336"/>
    </row>
    <row r="553" spans="1:20" ht="12" customHeight="1" x14ac:dyDescent="0.3">
      <c r="A553" s="329" t="s">
        <v>289</v>
      </c>
      <c r="B553" s="330">
        <v>4</v>
      </c>
      <c r="C553" s="298">
        <v>46151</v>
      </c>
      <c r="D553" s="299" t="s">
        <v>310</v>
      </c>
      <c r="E553" s="522">
        <v>50.58</v>
      </c>
      <c r="F553" s="522"/>
      <c r="G553" s="333">
        <f t="shared" si="15"/>
        <v>-1059.2200000000155</v>
      </c>
      <c r="H553" s="334"/>
      <c r="I553" s="335"/>
      <c r="J553" s="336"/>
      <c r="K553" s="301"/>
      <c r="L553" s="336"/>
      <c r="M553" s="301"/>
      <c r="N553" s="336"/>
      <c r="O553" s="301"/>
      <c r="P553" s="336"/>
      <c r="Q553" s="301"/>
      <c r="R553" s="336"/>
      <c r="S553" s="301"/>
      <c r="T553" s="336"/>
    </row>
    <row r="554" spans="1:20" ht="12" customHeight="1" x14ac:dyDescent="0.3">
      <c r="A554" s="329" t="s">
        <v>289</v>
      </c>
      <c r="B554" s="330">
        <v>2</v>
      </c>
      <c r="C554" s="298">
        <v>46151</v>
      </c>
      <c r="D554" s="299" t="s">
        <v>853</v>
      </c>
      <c r="E554" s="522">
        <v>20.65</v>
      </c>
      <c r="F554" s="522"/>
      <c r="G554" s="333">
        <f t="shared" si="15"/>
        <v>-1008.6400000000156</v>
      </c>
      <c r="H554" s="334"/>
      <c r="I554" s="335"/>
      <c r="J554" s="336"/>
      <c r="K554" s="301"/>
      <c r="L554" s="336"/>
      <c r="M554" s="301"/>
      <c r="N554" s="336"/>
      <c r="O554" s="301"/>
      <c r="P554" s="336"/>
      <c r="Q554" s="301"/>
      <c r="R554" s="336"/>
      <c r="S554" s="301"/>
      <c r="T554" s="336"/>
    </row>
    <row r="555" spans="1:20" ht="12" customHeight="1" x14ac:dyDescent="0.3">
      <c r="A555" s="329" t="s">
        <v>289</v>
      </c>
      <c r="B555" s="330">
        <v>8</v>
      </c>
      <c r="C555" s="298">
        <v>46151</v>
      </c>
      <c r="D555" s="299" t="s">
        <v>319</v>
      </c>
      <c r="E555" s="522">
        <v>38.770000000000003</v>
      </c>
      <c r="F555" s="522"/>
      <c r="G555" s="333">
        <f t="shared" si="15"/>
        <v>-987.99000000001558</v>
      </c>
      <c r="H555" s="334"/>
      <c r="I555" s="335"/>
      <c r="J555" s="336"/>
      <c r="K555" s="301"/>
      <c r="L555" s="336"/>
      <c r="M555" s="301"/>
      <c r="N555" s="336"/>
      <c r="O555" s="301"/>
      <c r="P555" s="336"/>
      <c r="Q555" s="301"/>
      <c r="R555" s="336"/>
      <c r="S555" s="301"/>
      <c r="T555" s="336"/>
    </row>
    <row r="556" spans="1:20" ht="12" customHeight="1" x14ac:dyDescent="0.3">
      <c r="A556" s="329" t="s">
        <v>287</v>
      </c>
      <c r="B556" s="330" t="s">
        <v>287</v>
      </c>
      <c r="C556" s="298">
        <v>46151</v>
      </c>
      <c r="D556" s="299" t="s">
        <v>843</v>
      </c>
      <c r="E556" s="522">
        <v>383.63</v>
      </c>
      <c r="F556" s="522">
        <v>383.63</v>
      </c>
      <c r="G556" s="333">
        <f t="shared" si="15"/>
        <v>-949.2200000000156</v>
      </c>
      <c r="H556" s="334"/>
      <c r="I556" s="335"/>
      <c r="J556" s="336"/>
      <c r="K556" s="301"/>
      <c r="L556" s="336"/>
      <c r="M556" s="301"/>
      <c r="N556" s="336"/>
      <c r="O556" s="301"/>
      <c r="P556" s="336"/>
      <c r="Q556" s="301"/>
      <c r="R556" s="336"/>
      <c r="S556" s="301"/>
      <c r="T556" s="336"/>
    </row>
    <row r="557" spans="1:20" ht="12" customHeight="1" x14ac:dyDescent="0.3">
      <c r="A557" s="329" t="s">
        <v>289</v>
      </c>
      <c r="B557" s="330">
        <v>5</v>
      </c>
      <c r="C557" s="298">
        <v>46151</v>
      </c>
      <c r="D557" s="299" t="s">
        <v>854</v>
      </c>
      <c r="E557" s="522">
        <v>10.68</v>
      </c>
      <c r="F557" s="522"/>
      <c r="G557" s="333">
        <f t="shared" si="15"/>
        <v>-949.2200000000156</v>
      </c>
      <c r="H557" s="334"/>
      <c r="I557" s="335"/>
      <c r="J557" s="336"/>
      <c r="K557" s="301"/>
      <c r="L557" s="336"/>
      <c r="M557" s="301"/>
      <c r="N557" s="336"/>
      <c r="O557" s="301"/>
      <c r="P557" s="336"/>
      <c r="Q557" s="301"/>
      <c r="R557" s="336"/>
      <c r="S557" s="301"/>
      <c r="T557" s="336"/>
    </row>
    <row r="558" spans="1:20" ht="12" customHeight="1" x14ac:dyDescent="0.3">
      <c r="A558" s="329" t="s">
        <v>289</v>
      </c>
      <c r="B558" s="330">
        <v>3</v>
      </c>
      <c r="C558" s="298">
        <v>46151</v>
      </c>
      <c r="D558" s="299" t="s">
        <v>348</v>
      </c>
      <c r="E558" s="522">
        <v>9.35</v>
      </c>
      <c r="F558" s="522"/>
      <c r="G558" s="333">
        <f t="shared" si="15"/>
        <v>-938.54000000001565</v>
      </c>
      <c r="H558" s="334"/>
      <c r="I558" s="335"/>
      <c r="J558" s="336"/>
      <c r="K558" s="301"/>
      <c r="L558" s="336"/>
      <c r="M558" s="301"/>
      <c r="N558" s="336"/>
      <c r="O558" s="301"/>
      <c r="P558" s="336"/>
      <c r="Q558" s="301"/>
      <c r="R558" s="336"/>
      <c r="S558" s="301"/>
      <c r="T558" s="336"/>
    </row>
    <row r="559" spans="1:20" ht="12" customHeight="1" x14ac:dyDescent="0.3">
      <c r="A559" s="329" t="s">
        <v>287</v>
      </c>
      <c r="B559" s="330" t="s">
        <v>287</v>
      </c>
      <c r="C559" s="298">
        <v>46151</v>
      </c>
      <c r="D559" s="299" t="s">
        <v>331</v>
      </c>
      <c r="E559" s="522">
        <v>-150.9</v>
      </c>
      <c r="F559" s="522">
        <v>-150.9</v>
      </c>
      <c r="G559" s="333">
        <f t="shared" si="15"/>
        <v>-929.19000000001563</v>
      </c>
      <c r="H559" s="334"/>
      <c r="I559" s="335"/>
      <c r="J559" s="336"/>
      <c r="K559" s="301"/>
      <c r="L559" s="336"/>
      <c r="M559" s="301"/>
      <c r="N559" s="336"/>
      <c r="O559" s="301"/>
      <c r="P559" s="336"/>
      <c r="Q559" s="301"/>
      <c r="R559" s="336"/>
      <c r="S559" s="301"/>
      <c r="T559" s="336"/>
    </row>
    <row r="560" spans="1:20" ht="12" customHeight="1" x14ac:dyDescent="0.3">
      <c r="A560" s="329" t="s">
        <v>287</v>
      </c>
      <c r="B560" s="330" t="s">
        <v>287</v>
      </c>
      <c r="C560" s="298">
        <v>46151</v>
      </c>
      <c r="D560" s="299" t="s">
        <v>847</v>
      </c>
      <c r="E560" s="522">
        <v>557.9</v>
      </c>
      <c r="F560" s="522">
        <v>557.9</v>
      </c>
      <c r="G560" s="333">
        <f t="shared" si="15"/>
        <v>-929.19000000001563</v>
      </c>
      <c r="H560" s="334"/>
      <c r="I560" s="335"/>
      <c r="J560" s="336"/>
      <c r="K560" s="301"/>
      <c r="L560" s="336"/>
      <c r="M560" s="301"/>
      <c r="N560" s="336"/>
      <c r="O560" s="301"/>
      <c r="P560" s="336"/>
      <c r="Q560" s="301"/>
      <c r="R560" s="336"/>
      <c r="S560" s="301"/>
      <c r="T560" s="336"/>
    </row>
    <row r="561" spans="1:20" ht="12" customHeight="1" x14ac:dyDescent="0.3">
      <c r="A561" s="329" t="s">
        <v>294</v>
      </c>
      <c r="B561" s="330">
        <v>18</v>
      </c>
      <c r="C561" s="298">
        <v>46150</v>
      </c>
      <c r="D561" s="299" t="s">
        <v>361</v>
      </c>
      <c r="E561" s="522">
        <v>400</v>
      </c>
      <c r="F561" s="522"/>
      <c r="G561" s="333">
        <f t="shared" si="15"/>
        <v>-929.19000000001574</v>
      </c>
      <c r="H561" s="334"/>
      <c r="I561" s="335"/>
      <c r="J561" s="336"/>
      <c r="K561" s="301"/>
      <c r="L561" s="336"/>
      <c r="M561" s="301"/>
      <c r="N561" s="336"/>
      <c r="O561" s="301"/>
      <c r="P561" s="336"/>
      <c r="Q561" s="301"/>
      <c r="R561" s="336"/>
      <c r="S561" s="301"/>
      <c r="T561" s="336"/>
    </row>
    <row r="562" spans="1:20" ht="12" customHeight="1" x14ac:dyDescent="0.3">
      <c r="A562" s="329" t="s">
        <v>287</v>
      </c>
      <c r="B562" s="330" t="s">
        <v>287</v>
      </c>
      <c r="C562" s="298">
        <v>46150</v>
      </c>
      <c r="D562" s="299" t="s">
        <v>842</v>
      </c>
      <c r="E562" s="522">
        <v>200</v>
      </c>
      <c r="F562" s="522">
        <v>200</v>
      </c>
      <c r="G562" s="333">
        <f t="shared" si="15"/>
        <v>-529.19000000001574</v>
      </c>
      <c r="H562" s="334"/>
      <c r="I562" s="335"/>
      <c r="J562" s="336"/>
      <c r="K562" s="301"/>
      <c r="L562" s="336"/>
      <c r="M562" s="301"/>
      <c r="N562" s="336"/>
      <c r="O562" s="301"/>
      <c r="P562" s="336"/>
      <c r="Q562" s="301"/>
      <c r="R562" s="336"/>
      <c r="S562" s="301"/>
      <c r="T562" s="336"/>
    </row>
    <row r="563" spans="1:20" ht="12" customHeight="1" x14ac:dyDescent="0.3">
      <c r="A563" s="329" t="s">
        <v>289</v>
      </c>
      <c r="B563" s="330">
        <v>2</v>
      </c>
      <c r="C563" s="298">
        <v>46150</v>
      </c>
      <c r="D563" s="299" t="s">
        <v>473</v>
      </c>
      <c r="E563" s="522">
        <v>52.78</v>
      </c>
      <c r="F563" s="522"/>
      <c r="G563" s="333">
        <f t="shared" si="15"/>
        <v>-529.19000000001574</v>
      </c>
      <c r="H563" s="334"/>
      <c r="I563" s="335"/>
      <c r="J563" s="336"/>
      <c r="K563" s="301"/>
      <c r="L563" s="336"/>
      <c r="M563" s="301"/>
      <c r="N563" s="336"/>
      <c r="O563" s="301"/>
      <c r="P563" s="336"/>
      <c r="Q563" s="301"/>
      <c r="R563" s="336"/>
      <c r="S563" s="301"/>
      <c r="T563" s="336"/>
    </row>
    <row r="564" spans="1:20" ht="12" customHeight="1" x14ac:dyDescent="0.3">
      <c r="A564" s="329" t="s">
        <v>287</v>
      </c>
      <c r="B564" s="330" t="s">
        <v>287</v>
      </c>
      <c r="C564" s="298">
        <v>46150</v>
      </c>
      <c r="D564" s="299" t="s">
        <v>848</v>
      </c>
      <c r="E564" s="522">
        <v>137.07</v>
      </c>
      <c r="F564" s="522">
        <v>137.07</v>
      </c>
      <c r="G564" s="333">
        <f t="shared" si="15"/>
        <v>-476.41000000001571</v>
      </c>
      <c r="H564" s="334"/>
      <c r="I564" s="335"/>
      <c r="J564" s="336"/>
      <c r="K564" s="301"/>
      <c r="L564" s="336"/>
      <c r="M564" s="301"/>
      <c r="N564" s="336"/>
      <c r="O564" s="301"/>
      <c r="P564" s="336"/>
      <c r="Q564" s="301"/>
      <c r="R564" s="336"/>
      <c r="S564" s="301"/>
      <c r="T564" s="336"/>
    </row>
    <row r="565" spans="1:20" ht="12" customHeight="1" x14ac:dyDescent="0.3">
      <c r="A565" s="329" t="s">
        <v>289</v>
      </c>
      <c r="B565" s="330">
        <v>2</v>
      </c>
      <c r="C565" s="298">
        <v>46150</v>
      </c>
      <c r="D565" s="299" t="s">
        <v>358</v>
      </c>
      <c r="E565" s="522">
        <v>17.440000000000001</v>
      </c>
      <c r="F565" s="522"/>
      <c r="G565" s="333">
        <f t="shared" si="15"/>
        <v>-476.41000000001566</v>
      </c>
      <c r="H565" s="334"/>
      <c r="I565" s="335"/>
      <c r="J565" s="336"/>
      <c r="K565" s="301"/>
      <c r="L565" s="336"/>
      <c r="M565" s="301"/>
      <c r="N565" s="336"/>
      <c r="O565" s="301"/>
      <c r="P565" s="336"/>
      <c r="Q565" s="301"/>
      <c r="R565" s="336"/>
      <c r="S565" s="301"/>
      <c r="T565" s="336"/>
    </row>
    <row r="566" spans="1:20" ht="12" customHeight="1" x14ac:dyDescent="0.3">
      <c r="A566" s="329" t="s">
        <v>287</v>
      </c>
      <c r="B566" s="330" t="s">
        <v>287</v>
      </c>
      <c r="C566" s="298">
        <v>46150</v>
      </c>
      <c r="D566" s="299" t="s">
        <v>849</v>
      </c>
      <c r="E566" s="522">
        <v>359.81</v>
      </c>
      <c r="F566" s="522">
        <v>359.81</v>
      </c>
      <c r="G566" s="333">
        <f t="shared" si="15"/>
        <v>-458.97000000001566</v>
      </c>
      <c r="H566" s="334"/>
      <c r="I566" s="335"/>
      <c r="J566" s="336"/>
      <c r="K566" s="301"/>
      <c r="L566" s="336"/>
      <c r="M566" s="301"/>
      <c r="N566" s="336"/>
      <c r="O566" s="301"/>
      <c r="P566" s="336"/>
      <c r="Q566" s="301"/>
      <c r="R566" s="336"/>
      <c r="S566" s="301"/>
      <c r="T566" s="336"/>
    </row>
    <row r="567" spans="1:20" ht="12" customHeight="1" x14ac:dyDescent="0.3">
      <c r="A567" s="329" t="s">
        <v>289</v>
      </c>
      <c r="B567" s="330">
        <v>8</v>
      </c>
      <c r="C567" s="298">
        <v>46149</v>
      </c>
      <c r="D567" s="299" t="s">
        <v>846</v>
      </c>
      <c r="E567" s="522">
        <v>23.7</v>
      </c>
      <c r="F567" s="522"/>
      <c r="G567" s="333">
        <f t="shared" si="15"/>
        <v>-458.97000000001566</v>
      </c>
      <c r="H567" s="334"/>
      <c r="I567" s="335"/>
      <c r="J567" s="336"/>
      <c r="K567" s="301"/>
      <c r="L567" s="336"/>
      <c r="M567" s="301"/>
      <c r="N567" s="336"/>
      <c r="O567" s="301"/>
      <c r="P567" s="336"/>
      <c r="Q567" s="301"/>
      <c r="R567" s="336"/>
      <c r="S567" s="301"/>
      <c r="T567" s="336"/>
    </row>
    <row r="568" spans="1:20" ht="12" customHeight="1" x14ac:dyDescent="0.3">
      <c r="A568" s="329" t="s">
        <v>289</v>
      </c>
      <c r="B568" s="330">
        <v>2</v>
      </c>
      <c r="C568" s="298">
        <v>46149</v>
      </c>
      <c r="D568" s="299" t="s">
        <v>371</v>
      </c>
      <c r="E568" s="522">
        <v>13.43</v>
      </c>
      <c r="F568" s="522"/>
      <c r="G568" s="333">
        <f t="shared" si="15"/>
        <v>-435.27000000001567</v>
      </c>
      <c r="H568" s="334"/>
      <c r="I568" s="335"/>
      <c r="J568" s="336"/>
      <c r="K568" s="301"/>
      <c r="L568" s="336"/>
      <c r="M568" s="301"/>
      <c r="N568" s="336"/>
      <c r="O568" s="301"/>
      <c r="P568" s="336"/>
      <c r="Q568" s="301"/>
      <c r="R568" s="336"/>
      <c r="S568" s="301"/>
      <c r="T568" s="336"/>
    </row>
    <row r="569" spans="1:20" ht="12" customHeight="1" x14ac:dyDescent="0.3">
      <c r="A569" s="329" t="s">
        <v>294</v>
      </c>
      <c r="B569" s="330">
        <v>13</v>
      </c>
      <c r="C569" s="298">
        <v>46149</v>
      </c>
      <c r="D569" s="299" t="s">
        <v>182</v>
      </c>
      <c r="E569" s="522">
        <v>122.18</v>
      </c>
      <c r="F569" s="522"/>
      <c r="G569" s="333">
        <f t="shared" si="15"/>
        <v>-421.84000000001566</v>
      </c>
      <c r="H569" s="334"/>
      <c r="I569" s="335"/>
      <c r="J569" s="336"/>
      <c r="K569" s="301"/>
      <c r="L569" s="336"/>
      <c r="M569" s="301"/>
      <c r="N569" s="336"/>
      <c r="O569" s="301"/>
      <c r="P569" s="336"/>
      <c r="Q569" s="301"/>
      <c r="R569" s="336"/>
      <c r="S569" s="301"/>
      <c r="T569" s="336"/>
    </row>
    <row r="570" spans="1:20" ht="12" customHeight="1" x14ac:dyDescent="0.3">
      <c r="A570" s="329" t="s">
        <v>335</v>
      </c>
      <c r="B570" s="330" t="s">
        <v>335</v>
      </c>
      <c r="C570" s="298">
        <v>46149</v>
      </c>
      <c r="D570" s="299" t="s">
        <v>447</v>
      </c>
      <c r="E570" s="522">
        <v>43.62</v>
      </c>
      <c r="F570" s="522"/>
      <c r="G570" s="333">
        <f t="shared" si="15"/>
        <v>-299.66000000001566</v>
      </c>
      <c r="H570" s="334"/>
      <c r="I570" s="335"/>
      <c r="J570" s="336"/>
      <c r="K570" s="301"/>
      <c r="L570" s="336"/>
      <c r="M570" s="301"/>
      <c r="N570" s="336"/>
      <c r="O570" s="301"/>
      <c r="P570" s="336"/>
      <c r="Q570" s="301"/>
      <c r="R570" s="336"/>
      <c r="S570" s="301"/>
      <c r="T570" s="336"/>
    </row>
    <row r="571" spans="1:20" ht="12" customHeight="1" x14ac:dyDescent="0.3">
      <c r="A571" s="329" t="s">
        <v>294</v>
      </c>
      <c r="B571" s="330">
        <v>9</v>
      </c>
      <c r="C571" s="298">
        <v>46149</v>
      </c>
      <c r="D571" s="299" t="s">
        <v>58</v>
      </c>
      <c r="E571" s="522">
        <v>1231.68</v>
      </c>
      <c r="F571" s="522"/>
      <c r="G571" s="333">
        <f t="shared" si="15"/>
        <v>-256.04000000001565</v>
      </c>
      <c r="H571" s="334"/>
      <c r="I571" s="335"/>
      <c r="J571" s="336"/>
      <c r="K571" s="301"/>
      <c r="L571" s="336"/>
      <c r="M571" s="301"/>
      <c r="N571" s="336"/>
      <c r="O571" s="301"/>
      <c r="P571" s="336"/>
      <c r="Q571" s="301"/>
      <c r="R571" s="336"/>
      <c r="S571" s="301"/>
      <c r="T571" s="336"/>
    </row>
    <row r="572" spans="1:20" ht="12" customHeight="1" x14ac:dyDescent="0.3">
      <c r="A572" s="329" t="s">
        <v>289</v>
      </c>
      <c r="B572" s="330">
        <v>3</v>
      </c>
      <c r="C572" s="298">
        <v>46149</v>
      </c>
      <c r="D572" s="299" t="s">
        <v>309</v>
      </c>
      <c r="E572" s="522">
        <v>4.49</v>
      </c>
      <c r="F572" s="522"/>
      <c r="G572" s="333">
        <f t="shared" si="15"/>
        <v>975.63999999998441</v>
      </c>
      <c r="H572" s="334"/>
      <c r="I572" s="335"/>
      <c r="J572" s="336"/>
      <c r="K572" s="301"/>
      <c r="L572" s="336"/>
      <c r="M572" s="301"/>
      <c r="N572" s="336"/>
      <c r="O572" s="301"/>
      <c r="P572" s="336"/>
      <c r="Q572" s="301"/>
      <c r="R572" s="336"/>
      <c r="S572" s="301"/>
      <c r="T572" s="336"/>
    </row>
    <row r="573" spans="1:20" ht="12" customHeight="1" x14ac:dyDescent="0.3">
      <c r="A573" s="329" t="s">
        <v>289</v>
      </c>
      <c r="B573" s="330">
        <v>5</v>
      </c>
      <c r="C573" s="298">
        <v>46149</v>
      </c>
      <c r="D573" s="299" t="s">
        <v>846</v>
      </c>
      <c r="E573" s="522">
        <v>19.2</v>
      </c>
      <c r="F573" s="522"/>
      <c r="G573" s="333">
        <f t="shared" si="15"/>
        <v>980.12999999998442</v>
      </c>
      <c r="H573" s="334"/>
      <c r="I573" s="335"/>
      <c r="J573" s="336"/>
      <c r="K573" s="301"/>
      <c r="L573" s="336"/>
      <c r="M573" s="301"/>
      <c r="N573" s="336"/>
      <c r="O573" s="301"/>
      <c r="P573" s="336"/>
      <c r="Q573" s="301"/>
      <c r="R573" s="336"/>
      <c r="S573" s="301"/>
      <c r="T573" s="336"/>
    </row>
    <row r="574" spans="1:20" ht="12" customHeight="1" x14ac:dyDescent="0.3">
      <c r="A574" s="329" t="s">
        <v>289</v>
      </c>
      <c r="B574" s="330">
        <v>8</v>
      </c>
      <c r="C574" s="298">
        <v>46149</v>
      </c>
      <c r="D574" s="299" t="s">
        <v>846</v>
      </c>
      <c r="E574" s="522">
        <v>35</v>
      </c>
      <c r="F574" s="522"/>
      <c r="G574" s="333">
        <f t="shared" si="15"/>
        <v>999.32999999998447</v>
      </c>
      <c r="H574" s="334"/>
      <c r="I574" s="335"/>
      <c r="J574" s="336"/>
      <c r="K574" s="301"/>
      <c r="L574" s="336"/>
      <c r="M574" s="301"/>
      <c r="N574" s="336"/>
      <c r="O574" s="301"/>
      <c r="P574" s="336"/>
      <c r="Q574" s="301"/>
      <c r="R574" s="336"/>
      <c r="S574" s="301"/>
      <c r="T574" s="336"/>
    </row>
    <row r="575" spans="1:20" ht="12" customHeight="1" x14ac:dyDescent="0.3">
      <c r="A575" s="329" t="s">
        <v>289</v>
      </c>
      <c r="B575" s="330">
        <v>8</v>
      </c>
      <c r="C575" s="298">
        <v>46149</v>
      </c>
      <c r="D575" s="299" t="s">
        <v>319</v>
      </c>
      <c r="E575" s="522">
        <v>15.93</v>
      </c>
      <c r="F575" s="522"/>
      <c r="G575" s="333">
        <f t="shared" si="15"/>
        <v>1034.3299999999845</v>
      </c>
      <c r="H575" s="334"/>
      <c r="I575" s="335"/>
      <c r="J575" s="336"/>
      <c r="K575" s="301"/>
      <c r="L575" s="336"/>
      <c r="M575" s="301"/>
      <c r="N575" s="336"/>
      <c r="O575" s="301"/>
      <c r="P575" s="336"/>
      <c r="Q575" s="301"/>
      <c r="R575" s="336"/>
      <c r="S575" s="301"/>
      <c r="T575" s="336"/>
    </row>
    <row r="576" spans="1:20" ht="12" customHeight="1" x14ac:dyDescent="0.3">
      <c r="A576" s="329" t="s">
        <v>289</v>
      </c>
      <c r="B576" s="330">
        <v>2</v>
      </c>
      <c r="C576" s="298">
        <v>46149</v>
      </c>
      <c r="D576" s="299" t="s">
        <v>296</v>
      </c>
      <c r="E576" s="522">
        <v>11.18</v>
      </c>
      <c r="F576" s="522"/>
      <c r="G576" s="333">
        <f t="shared" si="15"/>
        <v>1050.2599999999845</v>
      </c>
      <c r="H576" s="334"/>
      <c r="I576" s="335"/>
      <c r="J576" s="336"/>
      <c r="K576" s="301"/>
      <c r="L576" s="336"/>
      <c r="M576" s="301"/>
      <c r="N576" s="336"/>
      <c r="O576" s="301"/>
      <c r="P576" s="336"/>
      <c r="Q576" s="301"/>
      <c r="R576" s="336"/>
      <c r="S576" s="301"/>
      <c r="T576" s="336"/>
    </row>
    <row r="577" spans="1:20" ht="12" customHeight="1" x14ac:dyDescent="0.3">
      <c r="A577" s="329" t="s">
        <v>289</v>
      </c>
      <c r="B577" s="330">
        <v>2</v>
      </c>
      <c r="C577" s="298">
        <v>46149</v>
      </c>
      <c r="D577" s="299" t="s">
        <v>301</v>
      </c>
      <c r="E577" s="522">
        <v>16.05</v>
      </c>
      <c r="F577" s="522"/>
      <c r="G577" s="333">
        <f t="shared" ref="G577:G616" si="16">G578-E577+F577</f>
        <v>1061.4399999999846</v>
      </c>
      <c r="H577" s="334"/>
      <c r="I577" s="335"/>
      <c r="J577" s="336"/>
      <c r="K577" s="301"/>
      <c r="L577" s="336"/>
      <c r="M577" s="301"/>
      <c r="N577" s="336"/>
      <c r="O577" s="301"/>
      <c r="P577" s="336"/>
      <c r="Q577" s="301"/>
      <c r="R577" s="336"/>
      <c r="S577" s="301"/>
      <c r="T577" s="336"/>
    </row>
    <row r="578" spans="1:20" ht="12" customHeight="1" x14ac:dyDescent="0.3">
      <c r="A578" s="329" t="s">
        <v>289</v>
      </c>
      <c r="B578" s="330">
        <v>5</v>
      </c>
      <c r="C578" s="298">
        <v>46148</v>
      </c>
      <c r="D578" s="299" t="s">
        <v>340</v>
      </c>
      <c r="E578" s="522">
        <v>47.93</v>
      </c>
      <c r="F578" s="522"/>
      <c r="G578" s="333">
        <f t="shared" si="16"/>
        <v>1077.4899999999845</v>
      </c>
      <c r="H578" s="334"/>
      <c r="I578" s="335"/>
      <c r="J578" s="336"/>
      <c r="K578" s="301"/>
      <c r="L578" s="336"/>
      <c r="M578" s="301"/>
      <c r="N578" s="336"/>
      <c r="O578" s="301"/>
      <c r="P578" s="336"/>
      <c r="Q578" s="301"/>
      <c r="R578" s="336"/>
      <c r="S578" s="301"/>
      <c r="T578" s="336"/>
    </row>
    <row r="579" spans="1:20" ht="12" customHeight="1" x14ac:dyDescent="0.3">
      <c r="A579" s="329" t="s">
        <v>294</v>
      </c>
      <c r="B579" s="330">
        <v>14</v>
      </c>
      <c r="C579" s="298">
        <v>46148</v>
      </c>
      <c r="D579" s="299" t="s">
        <v>366</v>
      </c>
      <c r="E579" s="522">
        <v>66.67</v>
      </c>
      <c r="F579" s="522"/>
      <c r="G579" s="333">
        <f t="shared" si="16"/>
        <v>1125.4199999999846</v>
      </c>
      <c r="H579" s="334"/>
      <c r="I579" s="335"/>
      <c r="J579" s="336"/>
      <c r="K579" s="301"/>
      <c r="L579" s="336"/>
      <c r="M579" s="301"/>
      <c r="N579" s="336"/>
      <c r="O579" s="301"/>
      <c r="P579" s="336"/>
      <c r="Q579" s="301"/>
      <c r="R579" s="336"/>
      <c r="S579" s="301"/>
      <c r="T579" s="336"/>
    </row>
    <row r="580" spans="1:20" ht="12" customHeight="1" x14ac:dyDescent="0.3">
      <c r="A580" s="329" t="s">
        <v>289</v>
      </c>
      <c r="B580" s="330">
        <v>8</v>
      </c>
      <c r="C580" s="298">
        <v>46148</v>
      </c>
      <c r="D580" s="299" t="s">
        <v>319</v>
      </c>
      <c r="E580" s="522">
        <v>19.14</v>
      </c>
      <c r="F580" s="522"/>
      <c r="G580" s="333">
        <f t="shared" si="16"/>
        <v>1192.0899999999847</v>
      </c>
      <c r="H580" s="334"/>
      <c r="I580" s="335"/>
      <c r="J580" s="336"/>
      <c r="K580" s="301"/>
      <c r="L580" s="336"/>
      <c r="M580" s="301"/>
      <c r="N580" s="336"/>
      <c r="O580" s="301"/>
      <c r="P580" s="336"/>
      <c r="Q580" s="301"/>
      <c r="R580" s="336"/>
      <c r="S580" s="301"/>
      <c r="T580" s="336"/>
    </row>
    <row r="581" spans="1:20" ht="12" customHeight="1" x14ac:dyDescent="0.3">
      <c r="A581" s="329" t="s">
        <v>289</v>
      </c>
      <c r="B581" s="330">
        <v>4</v>
      </c>
      <c r="C581" s="298">
        <v>46148</v>
      </c>
      <c r="D581" s="299" t="s">
        <v>310</v>
      </c>
      <c r="E581" s="522">
        <v>103.69</v>
      </c>
      <c r="F581" s="522"/>
      <c r="G581" s="333">
        <f t="shared" si="16"/>
        <v>1211.2299999999848</v>
      </c>
      <c r="H581" s="334"/>
      <c r="I581" s="335"/>
      <c r="J581" s="336"/>
      <c r="K581" s="301"/>
      <c r="L581" s="336"/>
      <c r="M581" s="301"/>
      <c r="N581" s="336"/>
      <c r="O581" s="301"/>
      <c r="P581" s="336"/>
      <c r="Q581" s="301"/>
      <c r="R581" s="336"/>
      <c r="S581" s="301"/>
      <c r="T581" s="336"/>
    </row>
    <row r="582" spans="1:20" ht="12" customHeight="1" x14ac:dyDescent="0.3">
      <c r="A582" s="329" t="s">
        <v>287</v>
      </c>
      <c r="B582" s="330" t="s">
        <v>287</v>
      </c>
      <c r="C582" s="298">
        <v>46148</v>
      </c>
      <c r="D582" s="299" t="s">
        <v>843</v>
      </c>
      <c r="E582" s="522">
        <v>513.29999999999995</v>
      </c>
      <c r="F582" s="522">
        <v>513.29999999999995</v>
      </c>
      <c r="G582" s="333">
        <f t="shared" si="16"/>
        <v>1314.9199999999848</v>
      </c>
      <c r="H582" s="334"/>
      <c r="I582" s="335"/>
      <c r="J582" s="336"/>
      <c r="K582" s="301"/>
      <c r="L582" s="336"/>
      <c r="M582" s="301"/>
      <c r="N582" s="336"/>
      <c r="O582" s="301"/>
      <c r="P582" s="336"/>
      <c r="Q582" s="301"/>
      <c r="R582" s="336"/>
      <c r="S582" s="301"/>
      <c r="T582" s="336"/>
    </row>
    <row r="583" spans="1:20" ht="12" customHeight="1" x14ac:dyDescent="0.3">
      <c r="A583" s="329" t="s">
        <v>289</v>
      </c>
      <c r="B583" s="330">
        <v>6</v>
      </c>
      <c r="C583" s="298">
        <v>46148</v>
      </c>
      <c r="D583" s="299" t="s">
        <v>300</v>
      </c>
      <c r="E583" s="522">
        <v>41.52</v>
      </c>
      <c r="F583" s="522"/>
      <c r="G583" s="333">
        <f t="shared" si="16"/>
        <v>1314.9199999999848</v>
      </c>
      <c r="H583" s="334"/>
      <c r="I583" s="335"/>
      <c r="J583" s="336"/>
      <c r="K583" s="301"/>
      <c r="L583" s="336"/>
      <c r="M583" s="301"/>
      <c r="N583" s="336"/>
      <c r="O583" s="301"/>
      <c r="P583" s="336"/>
      <c r="Q583" s="301"/>
      <c r="R583" s="336"/>
      <c r="S583" s="301"/>
      <c r="T583" s="336"/>
    </row>
    <row r="584" spans="1:20" ht="12" customHeight="1" x14ac:dyDescent="0.3">
      <c r="A584" s="329" t="s">
        <v>287</v>
      </c>
      <c r="B584" s="330" t="s">
        <v>287</v>
      </c>
      <c r="C584" s="298">
        <v>46148</v>
      </c>
      <c r="D584" s="299" t="s">
        <v>844</v>
      </c>
      <c r="E584" s="522">
        <v>500.5</v>
      </c>
      <c r="F584" s="522">
        <v>500.5</v>
      </c>
      <c r="G584" s="333">
        <f t="shared" si="16"/>
        <v>1356.4399999999848</v>
      </c>
      <c r="H584" s="334"/>
      <c r="I584" s="335"/>
      <c r="J584" s="336"/>
      <c r="K584" s="301"/>
      <c r="L584" s="336"/>
      <c r="M584" s="301"/>
      <c r="N584" s="336"/>
      <c r="O584" s="301"/>
      <c r="P584" s="336"/>
      <c r="Q584" s="301"/>
      <c r="R584" s="336"/>
      <c r="S584" s="301"/>
      <c r="T584" s="336"/>
    </row>
    <row r="585" spans="1:20" ht="12" customHeight="1" x14ac:dyDescent="0.3">
      <c r="A585" s="329" t="s">
        <v>287</v>
      </c>
      <c r="B585" s="330" t="s">
        <v>287</v>
      </c>
      <c r="C585" s="298">
        <v>46148</v>
      </c>
      <c r="D585" s="299" t="s">
        <v>845</v>
      </c>
      <c r="E585" s="522">
        <v>457.94</v>
      </c>
      <c r="F585" s="522">
        <v>457.94</v>
      </c>
      <c r="G585" s="333">
        <f t="shared" si="16"/>
        <v>1356.4399999999848</v>
      </c>
      <c r="H585" s="334"/>
      <c r="I585" s="335"/>
      <c r="J585" s="336"/>
      <c r="K585" s="301"/>
      <c r="L585" s="336"/>
      <c r="M585" s="301"/>
      <c r="N585" s="336"/>
      <c r="O585" s="301"/>
      <c r="P585" s="336"/>
      <c r="Q585" s="301"/>
      <c r="R585" s="336"/>
      <c r="S585" s="301"/>
      <c r="T585" s="336"/>
    </row>
    <row r="586" spans="1:20" ht="12" customHeight="1" x14ac:dyDescent="0.3">
      <c r="A586" s="329" t="s">
        <v>289</v>
      </c>
      <c r="B586" s="330">
        <v>1</v>
      </c>
      <c r="C586" s="298">
        <v>46148</v>
      </c>
      <c r="D586" s="299" t="s">
        <v>306</v>
      </c>
      <c r="E586" s="522">
        <v>23.48</v>
      </c>
      <c r="F586" s="522"/>
      <c r="G586" s="333">
        <f t="shared" si="16"/>
        <v>1356.4399999999848</v>
      </c>
      <c r="H586" s="334"/>
      <c r="I586" s="335"/>
      <c r="J586" s="336"/>
      <c r="K586" s="301"/>
      <c r="L586" s="336"/>
      <c r="M586" s="301"/>
      <c r="N586" s="336"/>
      <c r="O586" s="301"/>
      <c r="P586" s="336"/>
      <c r="Q586" s="301"/>
      <c r="R586" s="336"/>
      <c r="S586" s="301"/>
      <c r="T586" s="336"/>
    </row>
    <row r="587" spans="1:20" ht="12" customHeight="1" x14ac:dyDescent="0.3">
      <c r="A587" s="329" t="s">
        <v>289</v>
      </c>
      <c r="B587" s="330">
        <v>2</v>
      </c>
      <c r="C587" s="298">
        <v>46147</v>
      </c>
      <c r="D587" s="299" t="s">
        <v>384</v>
      </c>
      <c r="E587" s="522">
        <v>59.03</v>
      </c>
      <c r="F587" s="522"/>
      <c r="G587" s="333">
        <f t="shared" si="16"/>
        <v>1379.9199999999848</v>
      </c>
      <c r="H587" s="334"/>
      <c r="I587" s="335"/>
      <c r="J587" s="336"/>
      <c r="K587" s="301"/>
      <c r="L587" s="336"/>
      <c r="M587" s="301"/>
      <c r="N587" s="336"/>
      <c r="O587" s="301"/>
      <c r="P587" s="336"/>
      <c r="Q587" s="301"/>
      <c r="R587" s="336"/>
      <c r="S587" s="301"/>
      <c r="T587" s="336"/>
    </row>
    <row r="588" spans="1:20" ht="12" customHeight="1" x14ac:dyDescent="0.3">
      <c r="A588" s="329" t="s">
        <v>289</v>
      </c>
      <c r="B588" s="330">
        <v>2</v>
      </c>
      <c r="C588" s="298">
        <v>46147</v>
      </c>
      <c r="D588" s="299" t="s">
        <v>334</v>
      </c>
      <c r="E588" s="522">
        <v>11.06</v>
      </c>
      <c r="F588" s="522"/>
      <c r="G588" s="333">
        <f t="shared" si="16"/>
        <v>1438.9499999999848</v>
      </c>
      <c r="H588" s="334"/>
      <c r="I588" s="335"/>
      <c r="J588" s="336"/>
      <c r="K588" s="301"/>
      <c r="L588" s="336"/>
      <c r="M588" s="301"/>
      <c r="N588" s="336"/>
      <c r="O588" s="301"/>
      <c r="P588" s="336"/>
      <c r="Q588" s="301"/>
      <c r="R588" s="336"/>
      <c r="S588" s="301"/>
      <c r="T588" s="336"/>
    </row>
    <row r="589" spans="1:20" ht="12" customHeight="1" x14ac:dyDescent="0.3">
      <c r="A589" s="329" t="s">
        <v>289</v>
      </c>
      <c r="B589" s="330">
        <v>2</v>
      </c>
      <c r="C589" s="298">
        <v>46147</v>
      </c>
      <c r="D589" s="299" t="s">
        <v>296</v>
      </c>
      <c r="E589" s="522">
        <v>8.7200000000000006</v>
      </c>
      <c r="F589" s="522"/>
      <c r="G589" s="333">
        <f t="shared" si="16"/>
        <v>1450.0099999999848</v>
      </c>
      <c r="H589" s="334"/>
      <c r="I589" s="335"/>
      <c r="J589" s="336"/>
      <c r="K589" s="301"/>
      <c r="L589" s="336"/>
      <c r="M589" s="301"/>
      <c r="N589" s="336"/>
      <c r="O589" s="301"/>
      <c r="P589" s="336"/>
      <c r="Q589" s="301"/>
      <c r="R589" s="336"/>
      <c r="S589" s="301"/>
      <c r="T589" s="336"/>
    </row>
    <row r="590" spans="1:20" ht="12" customHeight="1" x14ac:dyDescent="0.3">
      <c r="A590" s="329" t="s">
        <v>289</v>
      </c>
      <c r="B590" s="330">
        <v>4</v>
      </c>
      <c r="C590" s="298">
        <v>46147</v>
      </c>
      <c r="D590" s="299" t="s">
        <v>296</v>
      </c>
      <c r="E590" s="522">
        <v>42.88</v>
      </c>
      <c r="F590" s="522"/>
      <c r="G590" s="333">
        <f t="shared" si="16"/>
        <v>1458.7299999999848</v>
      </c>
      <c r="H590" s="334"/>
      <c r="I590" s="335"/>
      <c r="J590" s="336"/>
      <c r="K590" s="301"/>
      <c r="L590" s="336"/>
      <c r="M590" s="301"/>
      <c r="N590" s="336"/>
      <c r="O590" s="301"/>
      <c r="P590" s="336"/>
      <c r="Q590" s="301"/>
      <c r="R590" s="336"/>
      <c r="S590" s="301"/>
      <c r="T590" s="336"/>
    </row>
    <row r="591" spans="1:20" ht="12" customHeight="1" x14ac:dyDescent="0.3">
      <c r="A591" s="329" t="s">
        <v>289</v>
      </c>
      <c r="B591" s="330">
        <v>6</v>
      </c>
      <c r="C591" s="298">
        <v>46147</v>
      </c>
      <c r="D591" s="299" t="s">
        <v>300</v>
      </c>
      <c r="E591" s="522">
        <v>17.03</v>
      </c>
      <c r="F591" s="522"/>
      <c r="G591" s="333">
        <f t="shared" si="16"/>
        <v>1501.6099999999849</v>
      </c>
      <c r="H591" s="334"/>
      <c r="I591" s="335"/>
      <c r="J591" s="336"/>
      <c r="K591" s="301"/>
      <c r="L591" s="336"/>
      <c r="M591" s="301"/>
      <c r="N591" s="336"/>
      <c r="O591" s="301"/>
      <c r="P591" s="336"/>
      <c r="Q591" s="301"/>
      <c r="R591" s="336"/>
      <c r="S591" s="301"/>
      <c r="T591" s="336"/>
    </row>
    <row r="592" spans="1:20" ht="12" customHeight="1" x14ac:dyDescent="0.3">
      <c r="A592" s="329" t="s">
        <v>294</v>
      </c>
      <c r="B592" s="330">
        <v>22</v>
      </c>
      <c r="C592" s="298">
        <v>46146</v>
      </c>
      <c r="D592" s="299" t="s">
        <v>835</v>
      </c>
      <c r="E592" s="522">
        <v>13.83</v>
      </c>
      <c r="F592" s="522"/>
      <c r="G592" s="333">
        <f t="shared" si="16"/>
        <v>1518.6399999999849</v>
      </c>
      <c r="H592" s="334"/>
      <c r="I592" s="335"/>
      <c r="J592" s="336"/>
      <c r="K592" s="301"/>
      <c r="L592" s="336"/>
      <c r="M592" s="301"/>
      <c r="N592" s="336"/>
      <c r="O592" s="301"/>
      <c r="P592" s="336"/>
      <c r="Q592" s="301"/>
      <c r="R592" s="336"/>
      <c r="S592" s="301"/>
      <c r="T592" s="336"/>
    </row>
    <row r="593" spans="1:20" ht="12" customHeight="1" x14ac:dyDescent="0.3">
      <c r="A593" s="329" t="s">
        <v>289</v>
      </c>
      <c r="B593" s="330">
        <v>5</v>
      </c>
      <c r="C593" s="298">
        <v>46146</v>
      </c>
      <c r="D593" s="299" t="s">
        <v>340</v>
      </c>
      <c r="E593" s="522">
        <v>47.93</v>
      </c>
      <c r="F593" s="522"/>
      <c r="G593" s="333">
        <f t="shared" si="16"/>
        <v>1532.4699999999848</v>
      </c>
      <c r="H593" s="334"/>
      <c r="I593" s="335"/>
      <c r="J593" s="336"/>
      <c r="K593" s="301"/>
      <c r="L593" s="336"/>
      <c r="M593" s="301"/>
      <c r="N593" s="336"/>
      <c r="O593" s="301"/>
      <c r="P593" s="336"/>
      <c r="Q593" s="301"/>
      <c r="R593" s="336"/>
      <c r="S593" s="301"/>
      <c r="T593" s="336"/>
    </row>
    <row r="594" spans="1:20" ht="12" customHeight="1" x14ac:dyDescent="0.3">
      <c r="A594" s="329" t="s">
        <v>289</v>
      </c>
      <c r="B594" s="330">
        <v>2</v>
      </c>
      <c r="C594" s="298">
        <v>46146</v>
      </c>
      <c r="D594" s="299" t="s">
        <v>334</v>
      </c>
      <c r="E594" s="522">
        <v>11.06</v>
      </c>
      <c r="F594" s="522"/>
      <c r="G594" s="333">
        <f t="shared" si="16"/>
        <v>1580.3999999999849</v>
      </c>
      <c r="H594" s="334"/>
      <c r="I594" s="335"/>
      <c r="J594" s="336"/>
      <c r="K594" s="301"/>
      <c r="L594" s="336"/>
      <c r="M594" s="301"/>
      <c r="N594" s="336"/>
      <c r="O594" s="301"/>
      <c r="P594" s="336"/>
      <c r="Q594" s="301"/>
      <c r="R594" s="336"/>
      <c r="S594" s="301"/>
      <c r="T594" s="336"/>
    </row>
    <row r="595" spans="1:20" ht="12" customHeight="1" x14ac:dyDescent="0.3">
      <c r="A595" s="329" t="s">
        <v>294</v>
      </c>
      <c r="B595" s="330">
        <v>14</v>
      </c>
      <c r="C595" s="298">
        <v>46146</v>
      </c>
      <c r="D595" s="299" t="s">
        <v>367</v>
      </c>
      <c r="E595" s="522">
        <v>70.25</v>
      </c>
      <c r="F595" s="522"/>
      <c r="G595" s="333">
        <f t="shared" si="16"/>
        <v>1591.4599999999848</v>
      </c>
      <c r="H595" s="334"/>
      <c r="I595" s="335"/>
      <c r="J595" s="336"/>
      <c r="K595" s="301"/>
      <c r="L595" s="336"/>
      <c r="M595" s="301"/>
      <c r="N595" s="336"/>
      <c r="O595" s="301"/>
      <c r="P595" s="336"/>
      <c r="Q595" s="301"/>
      <c r="R595" s="336"/>
      <c r="S595" s="301"/>
      <c r="T595" s="336"/>
    </row>
    <row r="596" spans="1:20" ht="12" customHeight="1" x14ac:dyDescent="0.3">
      <c r="A596" s="329" t="s">
        <v>284</v>
      </c>
      <c r="B596" s="330">
        <v>36</v>
      </c>
      <c r="C596" s="298">
        <v>46146</v>
      </c>
      <c r="D596" s="299" t="s">
        <v>374</v>
      </c>
      <c r="E596" s="522">
        <v>50</v>
      </c>
      <c r="F596" s="522"/>
      <c r="G596" s="333">
        <f t="shared" si="16"/>
        <v>1661.7099999999848</v>
      </c>
      <c r="H596" s="334"/>
      <c r="I596" s="335"/>
      <c r="J596" s="336"/>
      <c r="K596" s="301"/>
      <c r="L596" s="336"/>
      <c r="M596" s="301"/>
      <c r="N596" s="336"/>
      <c r="O596" s="301"/>
      <c r="P596" s="336"/>
      <c r="Q596" s="301"/>
      <c r="R596" s="336"/>
      <c r="S596" s="301"/>
      <c r="T596" s="336"/>
    </row>
    <row r="597" spans="1:20" ht="12" customHeight="1" x14ac:dyDescent="0.3">
      <c r="A597" s="329" t="s">
        <v>294</v>
      </c>
      <c r="B597" s="330">
        <v>17</v>
      </c>
      <c r="C597" s="298">
        <v>46146</v>
      </c>
      <c r="D597" s="299" t="s">
        <v>370</v>
      </c>
      <c r="E597" s="522">
        <v>99</v>
      </c>
      <c r="F597" s="522"/>
      <c r="G597" s="333">
        <f t="shared" si="16"/>
        <v>1711.7099999999848</v>
      </c>
      <c r="H597" s="334"/>
      <c r="I597" s="335"/>
      <c r="J597" s="336"/>
      <c r="K597" s="301"/>
      <c r="L597" s="336"/>
      <c r="M597" s="301"/>
      <c r="N597" s="336"/>
      <c r="O597" s="301"/>
      <c r="P597" s="336"/>
      <c r="Q597" s="301"/>
      <c r="R597" s="336"/>
      <c r="S597" s="301"/>
      <c r="T597" s="336"/>
    </row>
    <row r="598" spans="1:20" ht="12" customHeight="1" x14ac:dyDescent="0.3">
      <c r="A598" s="329" t="s">
        <v>289</v>
      </c>
      <c r="B598" s="330">
        <v>5</v>
      </c>
      <c r="C598" s="298">
        <v>46145</v>
      </c>
      <c r="D598" s="299" t="s">
        <v>834</v>
      </c>
      <c r="E598" s="522">
        <v>49.13</v>
      </c>
      <c r="F598" s="522"/>
      <c r="G598" s="333">
        <f t="shared" si="16"/>
        <v>1810.7099999999848</v>
      </c>
      <c r="H598" s="334"/>
      <c r="I598" s="335"/>
      <c r="J598" s="336"/>
      <c r="K598" s="301"/>
      <c r="L598" s="336"/>
      <c r="M598" s="301"/>
      <c r="N598" s="336"/>
      <c r="O598" s="301"/>
      <c r="P598" s="336"/>
      <c r="Q598" s="301"/>
      <c r="R598" s="336"/>
      <c r="S598" s="301"/>
      <c r="T598" s="336"/>
    </row>
    <row r="599" spans="1:20" ht="12" customHeight="1" x14ac:dyDescent="0.3">
      <c r="A599" s="329" t="s">
        <v>289</v>
      </c>
      <c r="B599" s="330">
        <v>1</v>
      </c>
      <c r="C599" s="298">
        <v>46145</v>
      </c>
      <c r="D599" s="299" t="s">
        <v>831</v>
      </c>
      <c r="E599" s="522">
        <v>50</v>
      </c>
      <c r="F599" s="522"/>
      <c r="G599" s="333">
        <f t="shared" si="16"/>
        <v>1859.8399999999849</v>
      </c>
      <c r="H599" s="334"/>
      <c r="I599" s="335"/>
      <c r="J599" s="336"/>
      <c r="K599" s="301"/>
      <c r="L599" s="336"/>
      <c r="M599" s="301"/>
      <c r="N599" s="336"/>
      <c r="O599" s="301"/>
      <c r="P599" s="336"/>
      <c r="Q599" s="301"/>
      <c r="R599" s="336"/>
      <c r="S599" s="301"/>
      <c r="T599" s="336"/>
    </row>
    <row r="600" spans="1:20" ht="12" customHeight="1" x14ac:dyDescent="0.3">
      <c r="A600" s="329" t="s">
        <v>289</v>
      </c>
      <c r="B600" s="330">
        <v>1</v>
      </c>
      <c r="C600" s="298">
        <v>46145</v>
      </c>
      <c r="D600" s="299" t="s">
        <v>311</v>
      </c>
      <c r="E600" s="522">
        <v>91.98</v>
      </c>
      <c r="F600" s="522"/>
      <c r="G600" s="333">
        <f t="shared" si="16"/>
        <v>1909.8399999999849</v>
      </c>
      <c r="H600" s="334"/>
      <c r="I600" s="335"/>
      <c r="J600" s="336"/>
      <c r="K600" s="301"/>
      <c r="L600" s="336"/>
      <c r="M600" s="301"/>
      <c r="N600" s="336"/>
      <c r="O600" s="301"/>
      <c r="P600" s="336"/>
      <c r="Q600" s="301"/>
      <c r="R600" s="336"/>
      <c r="S600" s="301"/>
      <c r="T600" s="336"/>
    </row>
    <row r="601" spans="1:20" ht="12" customHeight="1" x14ac:dyDescent="0.3">
      <c r="A601" s="329" t="s">
        <v>289</v>
      </c>
      <c r="B601" s="330">
        <v>6</v>
      </c>
      <c r="C601" s="298">
        <v>46145</v>
      </c>
      <c r="D601" s="299" t="s">
        <v>832</v>
      </c>
      <c r="E601" s="522">
        <v>24.68</v>
      </c>
      <c r="F601" s="522"/>
      <c r="G601" s="333">
        <f t="shared" si="16"/>
        <v>2001.8199999999849</v>
      </c>
      <c r="H601" s="334"/>
      <c r="I601" s="335"/>
      <c r="J601" s="336"/>
      <c r="K601" s="301"/>
      <c r="L601" s="336"/>
      <c r="M601" s="301"/>
      <c r="N601" s="336"/>
      <c r="O601" s="301"/>
      <c r="P601" s="336"/>
      <c r="Q601" s="301"/>
      <c r="R601" s="336"/>
      <c r="S601" s="301"/>
      <c r="T601" s="336"/>
    </row>
    <row r="602" spans="1:20" ht="12" customHeight="1" x14ac:dyDescent="0.3">
      <c r="A602" s="329" t="s">
        <v>289</v>
      </c>
      <c r="B602" s="330">
        <v>2</v>
      </c>
      <c r="C602" s="298">
        <v>46145</v>
      </c>
      <c r="D602" s="299" t="s">
        <v>358</v>
      </c>
      <c r="E602" s="522">
        <v>2.4900000000000002</v>
      </c>
      <c r="F602" s="522"/>
      <c r="G602" s="333">
        <f t="shared" si="16"/>
        <v>2026.499999999985</v>
      </c>
      <c r="H602" s="334"/>
      <c r="I602" s="335"/>
      <c r="J602" s="336"/>
      <c r="K602" s="301"/>
      <c r="L602" s="336"/>
      <c r="M602" s="301"/>
      <c r="N602" s="336"/>
      <c r="O602" s="301"/>
      <c r="P602" s="336"/>
      <c r="Q602" s="301"/>
      <c r="R602" s="336"/>
      <c r="S602" s="301"/>
      <c r="T602" s="336"/>
    </row>
    <row r="603" spans="1:20" ht="12" customHeight="1" x14ac:dyDescent="0.3">
      <c r="A603" s="329" t="s">
        <v>294</v>
      </c>
      <c r="B603" s="330">
        <v>22</v>
      </c>
      <c r="C603" s="298">
        <v>46145</v>
      </c>
      <c r="D603" s="299" t="s">
        <v>861</v>
      </c>
      <c r="E603" s="522">
        <v>12.77</v>
      </c>
      <c r="F603" s="522"/>
      <c r="G603" s="333">
        <f t="shared" si="16"/>
        <v>2028.989999999985</v>
      </c>
      <c r="H603" s="334"/>
      <c r="I603" s="335"/>
      <c r="J603" s="336"/>
      <c r="K603" s="301"/>
      <c r="L603" s="336"/>
      <c r="M603" s="301"/>
      <c r="N603" s="336"/>
      <c r="O603" s="301"/>
      <c r="P603" s="336"/>
      <c r="Q603" s="301"/>
      <c r="R603" s="336"/>
      <c r="S603" s="301"/>
      <c r="T603" s="336"/>
    </row>
    <row r="604" spans="1:20" ht="12" customHeight="1" x14ac:dyDescent="0.3">
      <c r="A604" s="329" t="s">
        <v>289</v>
      </c>
      <c r="B604" s="330">
        <v>2</v>
      </c>
      <c r="C604" s="298">
        <v>46145</v>
      </c>
      <c r="D604" s="299" t="s">
        <v>458</v>
      </c>
      <c r="E604" s="522">
        <v>192.97</v>
      </c>
      <c r="F604" s="522"/>
      <c r="G604" s="333">
        <f t="shared" si="16"/>
        <v>2041.759999999985</v>
      </c>
      <c r="H604" s="334"/>
      <c r="I604" s="335"/>
      <c r="J604" s="336"/>
      <c r="K604" s="301"/>
      <c r="L604" s="336"/>
      <c r="M604" s="301"/>
      <c r="N604" s="336"/>
      <c r="O604" s="301"/>
      <c r="P604" s="336"/>
      <c r="Q604" s="301"/>
      <c r="R604" s="336"/>
      <c r="S604" s="301"/>
      <c r="T604" s="336"/>
    </row>
    <row r="605" spans="1:20" ht="12" customHeight="1" x14ac:dyDescent="0.3">
      <c r="A605" s="329" t="s">
        <v>289</v>
      </c>
      <c r="B605" s="330">
        <v>3</v>
      </c>
      <c r="C605" s="298">
        <v>46145</v>
      </c>
      <c r="D605" s="299" t="s">
        <v>348</v>
      </c>
      <c r="E605" s="522">
        <v>9.35</v>
      </c>
      <c r="F605" s="522"/>
      <c r="G605" s="333">
        <f t="shared" si="16"/>
        <v>2234.729999999985</v>
      </c>
      <c r="H605" s="334"/>
      <c r="I605" s="335"/>
      <c r="J605" s="336"/>
      <c r="K605" s="301"/>
      <c r="L605" s="336"/>
      <c r="M605" s="301"/>
      <c r="N605" s="336"/>
      <c r="O605" s="301"/>
      <c r="P605" s="336"/>
      <c r="Q605" s="301"/>
      <c r="R605" s="336"/>
      <c r="S605" s="301"/>
      <c r="T605" s="336"/>
    </row>
    <row r="606" spans="1:20" ht="12" customHeight="1" x14ac:dyDescent="0.3">
      <c r="A606" s="329" t="s">
        <v>289</v>
      </c>
      <c r="B606" s="330">
        <v>4</v>
      </c>
      <c r="C606" s="298">
        <v>46144</v>
      </c>
      <c r="D606" s="299" t="s">
        <v>310</v>
      </c>
      <c r="E606" s="522">
        <v>57.69</v>
      </c>
      <c r="F606" s="522"/>
      <c r="G606" s="333">
        <f t="shared" si="16"/>
        <v>2244.0799999999849</v>
      </c>
      <c r="H606" s="334"/>
      <c r="I606" s="335"/>
      <c r="J606" s="336"/>
      <c r="K606" s="301"/>
      <c r="L606" s="336"/>
      <c r="M606" s="301"/>
      <c r="N606" s="336"/>
      <c r="O606" s="301"/>
      <c r="P606" s="336"/>
      <c r="Q606" s="301"/>
      <c r="R606" s="336"/>
      <c r="S606" s="301"/>
      <c r="T606" s="336"/>
    </row>
    <row r="607" spans="1:20" ht="12" customHeight="1" x14ac:dyDescent="0.3">
      <c r="A607" s="329" t="s">
        <v>289</v>
      </c>
      <c r="B607" s="330">
        <v>8</v>
      </c>
      <c r="C607" s="298">
        <v>46144</v>
      </c>
      <c r="D607" s="299" t="s">
        <v>310</v>
      </c>
      <c r="E607" s="522">
        <v>6.37</v>
      </c>
      <c r="F607" s="522"/>
      <c r="G607" s="333">
        <f t="shared" si="16"/>
        <v>2301.769999999985</v>
      </c>
      <c r="H607" s="334"/>
      <c r="I607" s="335"/>
      <c r="J607" s="336"/>
      <c r="K607" s="301"/>
      <c r="L607" s="336"/>
      <c r="M607" s="301"/>
      <c r="N607" s="336"/>
      <c r="O607" s="301"/>
      <c r="P607" s="336"/>
      <c r="Q607" s="301"/>
      <c r="R607" s="336"/>
      <c r="S607" s="301"/>
      <c r="T607" s="336"/>
    </row>
    <row r="608" spans="1:20" ht="12" customHeight="1" x14ac:dyDescent="0.3">
      <c r="A608" s="329" t="s">
        <v>294</v>
      </c>
      <c r="B608" s="330">
        <v>22</v>
      </c>
      <c r="C608" s="298">
        <v>46144</v>
      </c>
      <c r="D608" s="299" t="s">
        <v>375</v>
      </c>
      <c r="E608" s="522">
        <v>6.37</v>
      </c>
      <c r="F608" s="522"/>
      <c r="G608" s="333">
        <f t="shared" si="16"/>
        <v>2308.1399999999849</v>
      </c>
      <c r="H608" s="334"/>
      <c r="I608" s="335"/>
      <c r="J608" s="336"/>
      <c r="K608" s="301"/>
      <c r="L608" s="336"/>
      <c r="M608" s="301"/>
      <c r="N608" s="336"/>
      <c r="O608" s="301"/>
      <c r="P608" s="336"/>
      <c r="Q608" s="301"/>
      <c r="R608" s="336"/>
      <c r="S608" s="301"/>
      <c r="T608" s="336"/>
    </row>
    <row r="609" spans="1:20" ht="12" customHeight="1" x14ac:dyDescent="0.3">
      <c r="A609" s="329" t="s">
        <v>289</v>
      </c>
      <c r="B609" s="330">
        <v>6</v>
      </c>
      <c r="C609" s="298">
        <v>46144</v>
      </c>
      <c r="D609" s="299" t="s">
        <v>300</v>
      </c>
      <c r="E609" s="522">
        <v>41.51</v>
      </c>
      <c r="F609" s="522"/>
      <c r="G609" s="333">
        <f t="shared" si="16"/>
        <v>2314.5099999999848</v>
      </c>
      <c r="H609" s="334"/>
      <c r="I609" s="335"/>
      <c r="J609" s="336"/>
      <c r="K609" s="301"/>
      <c r="L609" s="336"/>
      <c r="M609" s="301"/>
      <c r="N609" s="336"/>
      <c r="O609" s="301"/>
      <c r="P609" s="336"/>
      <c r="Q609" s="301"/>
      <c r="R609" s="336"/>
      <c r="S609" s="301"/>
      <c r="T609" s="336"/>
    </row>
    <row r="610" spans="1:20" ht="12" customHeight="1" x14ac:dyDescent="0.3">
      <c r="A610" s="329" t="s">
        <v>289</v>
      </c>
      <c r="B610" s="330">
        <v>7</v>
      </c>
      <c r="C610" s="298">
        <v>46144</v>
      </c>
      <c r="D610" s="299" t="s">
        <v>833</v>
      </c>
      <c r="E610" s="522">
        <v>74.53</v>
      </c>
      <c r="F610" s="522"/>
      <c r="G610" s="333">
        <f t="shared" si="16"/>
        <v>2356.019999999985</v>
      </c>
      <c r="H610" s="334"/>
      <c r="I610" s="335"/>
      <c r="J610" s="336"/>
      <c r="K610" s="301"/>
      <c r="L610" s="336"/>
      <c r="M610" s="301"/>
      <c r="N610" s="336"/>
      <c r="O610" s="301"/>
      <c r="P610" s="336"/>
      <c r="Q610" s="301"/>
      <c r="R610" s="336"/>
      <c r="S610" s="301"/>
      <c r="T610" s="336"/>
    </row>
    <row r="611" spans="1:20" ht="12" customHeight="1" x14ac:dyDescent="0.3">
      <c r="A611" s="329" t="s">
        <v>289</v>
      </c>
      <c r="B611" s="330">
        <v>1</v>
      </c>
      <c r="C611" s="298">
        <v>46144</v>
      </c>
      <c r="D611" s="299" t="s">
        <v>306</v>
      </c>
      <c r="E611" s="522">
        <v>72.73</v>
      </c>
      <c r="F611" s="522"/>
      <c r="G611" s="333">
        <f t="shared" si="16"/>
        <v>2430.5499999999852</v>
      </c>
      <c r="H611" s="334"/>
      <c r="I611" s="335"/>
      <c r="J611" s="336"/>
      <c r="K611" s="301"/>
      <c r="L611" s="336"/>
      <c r="M611" s="301"/>
      <c r="N611" s="336"/>
      <c r="O611" s="301"/>
      <c r="P611" s="336"/>
      <c r="Q611" s="301"/>
      <c r="R611" s="336"/>
      <c r="S611" s="301"/>
      <c r="T611" s="336"/>
    </row>
    <row r="612" spans="1:20" ht="12" customHeight="1" x14ac:dyDescent="0.3">
      <c r="A612" s="329" t="s">
        <v>289</v>
      </c>
      <c r="B612" s="330">
        <v>3</v>
      </c>
      <c r="C612" s="298">
        <v>46144</v>
      </c>
      <c r="D612" s="299" t="s">
        <v>348</v>
      </c>
      <c r="E612" s="522">
        <v>25</v>
      </c>
      <c r="F612" s="522"/>
      <c r="G612" s="333">
        <f t="shared" si="16"/>
        <v>2503.2799999999852</v>
      </c>
      <c r="H612" s="334"/>
      <c r="I612" s="335"/>
      <c r="J612" s="336"/>
      <c r="K612" s="301"/>
      <c r="L612" s="336"/>
      <c r="M612" s="301"/>
      <c r="N612" s="336"/>
      <c r="O612" s="301"/>
      <c r="P612" s="336"/>
      <c r="Q612" s="301"/>
      <c r="R612" s="336"/>
      <c r="S612" s="301"/>
      <c r="T612" s="336"/>
    </row>
    <row r="613" spans="1:20" ht="12" customHeight="1" x14ac:dyDescent="0.3">
      <c r="A613" s="329" t="s">
        <v>287</v>
      </c>
      <c r="B613" s="330" t="s">
        <v>287</v>
      </c>
      <c r="C613" s="298">
        <v>46144</v>
      </c>
      <c r="D613" s="299" t="s">
        <v>485</v>
      </c>
      <c r="E613" s="522">
        <v>121.4</v>
      </c>
      <c r="F613" s="522">
        <v>121.4</v>
      </c>
      <c r="G613" s="333">
        <f t="shared" si="16"/>
        <v>2528.2799999999852</v>
      </c>
      <c r="H613" s="334"/>
      <c r="I613" s="335"/>
      <c r="J613" s="336"/>
      <c r="K613" s="301"/>
      <c r="L613" s="336"/>
      <c r="M613" s="301"/>
      <c r="N613" s="336"/>
      <c r="O613" s="301"/>
      <c r="P613" s="336"/>
      <c r="Q613" s="301"/>
      <c r="R613" s="336"/>
      <c r="S613" s="301"/>
      <c r="T613" s="336"/>
    </row>
    <row r="614" spans="1:20" ht="12" customHeight="1" x14ac:dyDescent="0.3">
      <c r="A614" s="329" t="s">
        <v>289</v>
      </c>
      <c r="B614" s="330">
        <v>3</v>
      </c>
      <c r="C614" s="298">
        <v>46144</v>
      </c>
      <c r="D614" s="299" t="s">
        <v>348</v>
      </c>
      <c r="E614" s="522">
        <v>9.73</v>
      </c>
      <c r="F614" s="522"/>
      <c r="G614" s="333">
        <f t="shared" si="16"/>
        <v>2528.2799999999852</v>
      </c>
      <c r="H614" s="334"/>
      <c r="I614" s="335"/>
      <c r="J614" s="336"/>
      <c r="K614" s="301"/>
      <c r="L614" s="336"/>
      <c r="M614" s="301"/>
      <c r="N614" s="336"/>
      <c r="O614" s="301"/>
      <c r="P614" s="336"/>
      <c r="Q614" s="301"/>
      <c r="R614" s="336"/>
      <c r="S614" s="301"/>
      <c r="T614" s="336"/>
    </row>
    <row r="615" spans="1:20" ht="12" customHeight="1" x14ac:dyDescent="0.3">
      <c r="A615" s="329" t="s">
        <v>289</v>
      </c>
      <c r="B615" s="330">
        <v>2</v>
      </c>
      <c r="C615" s="298">
        <v>46143</v>
      </c>
      <c r="D615" s="299" t="s">
        <v>358</v>
      </c>
      <c r="E615" s="522">
        <v>8.9700000000000006</v>
      </c>
      <c r="F615" s="522"/>
      <c r="G615" s="333">
        <f t="shared" si="16"/>
        <v>2538.0099999999852</v>
      </c>
      <c r="H615" s="334"/>
      <c r="I615" s="335"/>
      <c r="J615" s="336"/>
      <c r="K615" s="301"/>
      <c r="L615" s="336"/>
      <c r="M615" s="301"/>
      <c r="N615" s="336"/>
      <c r="O615" s="301"/>
      <c r="P615" s="336"/>
      <c r="Q615" s="301"/>
      <c r="R615" s="336"/>
      <c r="S615" s="301"/>
      <c r="T615" s="336"/>
    </row>
    <row r="616" spans="1:20" s="540" customFormat="1" ht="12" customHeight="1" x14ac:dyDescent="0.3">
      <c r="A616" s="530" t="s">
        <v>284</v>
      </c>
      <c r="B616" s="531">
        <v>37</v>
      </c>
      <c r="C616" s="532">
        <v>46142</v>
      </c>
      <c r="D616" s="533" t="s">
        <v>285</v>
      </c>
      <c r="E616" s="534">
        <v>5616.82</v>
      </c>
      <c r="F616" s="534"/>
      <c r="G616" s="535">
        <f t="shared" si="16"/>
        <v>2546.979999999985</v>
      </c>
      <c r="H616" s="536"/>
      <c r="I616" s="537"/>
      <c r="J616" s="538"/>
      <c r="K616" s="539"/>
      <c r="L616" s="538"/>
      <c r="M616" s="539"/>
      <c r="N616" s="538"/>
      <c r="O616" s="539"/>
      <c r="P616" s="538"/>
      <c r="Q616" s="539"/>
      <c r="R616" s="538"/>
      <c r="S616" s="539"/>
      <c r="T616" s="538"/>
    </row>
    <row r="617" spans="1:20" ht="12" customHeight="1" x14ac:dyDescent="0.3">
      <c r="A617" s="329" t="s">
        <v>286</v>
      </c>
      <c r="B617" s="330">
        <v>25</v>
      </c>
      <c r="C617" s="298">
        <v>46142</v>
      </c>
      <c r="D617" s="298" t="s">
        <v>204</v>
      </c>
      <c r="E617" s="331">
        <v>350</v>
      </c>
      <c r="F617" s="331"/>
      <c r="G617" s="333">
        <f t="shared" ref="G617:G618" si="17">G618-E617+F617</f>
        <v>8163.7999999999847</v>
      </c>
      <c r="H617" s="334"/>
      <c r="I617" s="335"/>
      <c r="J617" s="336"/>
      <c r="K617" s="301"/>
      <c r="L617" s="336"/>
      <c r="M617" s="301"/>
      <c r="N617" s="336"/>
      <c r="O617" s="301"/>
      <c r="P617" s="336"/>
      <c r="Q617" s="301"/>
      <c r="R617" s="336"/>
      <c r="S617" s="301"/>
      <c r="T617" s="336"/>
    </row>
    <row r="618" spans="1:20" ht="12" customHeight="1" x14ac:dyDescent="0.3">
      <c r="A618" s="329" t="s">
        <v>286</v>
      </c>
      <c r="B618" s="330">
        <v>26</v>
      </c>
      <c r="C618" s="298">
        <v>46142</v>
      </c>
      <c r="D618" s="298" t="s">
        <v>205</v>
      </c>
      <c r="E618" s="331">
        <v>320</v>
      </c>
      <c r="F618" s="331"/>
      <c r="G618" s="333">
        <f t="shared" si="17"/>
        <v>8513.7999999999847</v>
      </c>
      <c r="H618" s="334"/>
      <c r="I618" s="335"/>
      <c r="J618" s="336"/>
      <c r="K618" s="301"/>
      <c r="L618" s="336"/>
      <c r="M618" s="301"/>
      <c r="N618" s="336"/>
      <c r="O618" s="301"/>
      <c r="P618" s="336"/>
      <c r="Q618" s="301"/>
      <c r="R618" s="336"/>
      <c r="S618" s="301"/>
      <c r="T618" s="336"/>
    </row>
    <row r="619" spans="1:20" ht="12" customHeight="1" x14ac:dyDescent="0.3">
      <c r="A619" s="329" t="s">
        <v>286</v>
      </c>
      <c r="B619" s="330">
        <v>27</v>
      </c>
      <c r="C619" s="298">
        <v>46142</v>
      </c>
      <c r="D619" s="298" t="s">
        <v>206</v>
      </c>
      <c r="E619" s="331">
        <v>25</v>
      </c>
      <c r="F619" s="331"/>
      <c r="G619" s="333">
        <f t="shared" ref="G619:G870" si="18">G620-E619+F619</f>
        <v>8833.7999999999847</v>
      </c>
      <c r="H619" s="334"/>
      <c r="I619" s="335"/>
      <c r="J619" s="336"/>
      <c r="K619" s="301"/>
      <c r="L619" s="336"/>
      <c r="M619" s="301"/>
      <c r="N619" s="336"/>
      <c r="O619" s="301"/>
      <c r="P619" s="336"/>
      <c r="Q619" s="301"/>
      <c r="R619" s="336"/>
      <c r="S619" s="301"/>
      <c r="T619" s="336"/>
    </row>
    <row r="620" spans="1:20" ht="12" customHeight="1" x14ac:dyDescent="0.3">
      <c r="A620" s="329" t="s">
        <v>286</v>
      </c>
      <c r="B620" s="330">
        <v>28</v>
      </c>
      <c r="C620" s="298">
        <v>46142</v>
      </c>
      <c r="D620" s="298" t="s">
        <v>207</v>
      </c>
      <c r="E620" s="331">
        <v>25</v>
      </c>
      <c r="F620" s="331"/>
      <c r="G620" s="333">
        <f t="shared" si="18"/>
        <v>8858.7999999999847</v>
      </c>
      <c r="H620" s="334"/>
      <c r="I620" s="335"/>
      <c r="J620" s="336"/>
      <c r="K620" s="301"/>
      <c r="L620" s="336"/>
      <c r="M620" s="301"/>
      <c r="N620" s="336"/>
      <c r="O620" s="301"/>
      <c r="P620" s="336"/>
      <c r="Q620" s="301"/>
      <c r="R620" s="336"/>
      <c r="S620" s="301"/>
      <c r="T620" s="336"/>
    </row>
    <row r="621" spans="1:20" ht="12" customHeight="1" x14ac:dyDescent="0.3">
      <c r="A621" s="329" t="s">
        <v>286</v>
      </c>
      <c r="B621" s="330">
        <v>29</v>
      </c>
      <c r="C621" s="298">
        <v>46142</v>
      </c>
      <c r="D621" s="298" t="s">
        <v>208</v>
      </c>
      <c r="E621" s="331">
        <v>45</v>
      </c>
      <c r="F621" s="331"/>
      <c r="G621" s="333">
        <f t="shared" si="18"/>
        <v>8883.7999999999847</v>
      </c>
      <c r="H621" s="334"/>
      <c r="I621" s="335"/>
      <c r="J621" s="336"/>
      <c r="K621" s="301"/>
      <c r="L621" s="336"/>
      <c r="M621" s="301"/>
      <c r="N621" s="336"/>
      <c r="O621" s="301"/>
      <c r="P621" s="336"/>
      <c r="Q621" s="301"/>
      <c r="R621" s="336"/>
      <c r="S621" s="301"/>
      <c r="T621" s="336"/>
    </row>
    <row r="622" spans="1:20" ht="12" customHeight="1" x14ac:dyDescent="0.3">
      <c r="A622" s="329" t="s">
        <v>286</v>
      </c>
      <c r="B622" s="330">
        <v>30</v>
      </c>
      <c r="C622" s="298">
        <v>46142</v>
      </c>
      <c r="D622" s="298" t="s">
        <v>209</v>
      </c>
      <c r="E622" s="331">
        <v>400</v>
      </c>
      <c r="F622" s="331"/>
      <c r="G622" s="333">
        <f t="shared" si="18"/>
        <v>8928.7999999999847</v>
      </c>
      <c r="H622" s="334"/>
      <c r="I622" s="335"/>
      <c r="J622" s="336"/>
      <c r="K622" s="301"/>
      <c r="L622" s="336"/>
      <c r="M622" s="301"/>
      <c r="N622" s="336"/>
      <c r="O622" s="301"/>
      <c r="P622" s="336"/>
      <c r="Q622" s="301"/>
      <c r="R622" s="336"/>
      <c r="S622" s="301"/>
      <c r="T622" s="336"/>
    </row>
    <row r="623" spans="1:20" ht="12" customHeight="1" x14ac:dyDescent="0.3">
      <c r="A623" s="329" t="s">
        <v>286</v>
      </c>
      <c r="B623" s="330">
        <v>31</v>
      </c>
      <c r="C623" s="298">
        <v>46142</v>
      </c>
      <c r="D623" s="298" t="s">
        <v>210</v>
      </c>
      <c r="E623" s="331">
        <v>375</v>
      </c>
      <c r="F623" s="331"/>
      <c r="G623" s="333">
        <f t="shared" si="18"/>
        <v>9328.7999999999847</v>
      </c>
      <c r="H623" s="334"/>
      <c r="I623" s="335"/>
      <c r="J623" s="336"/>
      <c r="K623" s="301"/>
      <c r="L623" s="336"/>
      <c r="M623" s="301"/>
      <c r="N623" s="336"/>
      <c r="O623" s="301"/>
      <c r="P623" s="336"/>
      <c r="Q623" s="301"/>
      <c r="R623" s="336"/>
      <c r="S623" s="301"/>
      <c r="T623" s="336"/>
    </row>
    <row r="624" spans="1:20" ht="12" customHeight="1" x14ac:dyDescent="0.3">
      <c r="A624" s="329" t="s">
        <v>286</v>
      </c>
      <c r="B624" s="330">
        <v>32</v>
      </c>
      <c r="C624" s="298">
        <v>46142</v>
      </c>
      <c r="D624" s="298" t="s">
        <v>211</v>
      </c>
      <c r="E624" s="331">
        <v>100</v>
      </c>
      <c r="F624" s="331"/>
      <c r="G624" s="333">
        <f t="shared" si="18"/>
        <v>9703.7999999999847</v>
      </c>
      <c r="H624" s="334"/>
      <c r="I624" s="335"/>
      <c r="J624" s="336"/>
      <c r="K624" s="301"/>
      <c r="L624" s="336"/>
      <c r="M624" s="301"/>
      <c r="N624" s="336"/>
      <c r="O624" s="301"/>
      <c r="P624" s="336"/>
      <c r="Q624" s="301"/>
      <c r="R624" s="336"/>
      <c r="S624" s="301"/>
      <c r="T624" s="336"/>
    </row>
    <row r="625" spans="1:20" ht="12" customHeight="1" x14ac:dyDescent="0.3">
      <c r="A625" s="329" t="s">
        <v>286</v>
      </c>
      <c r="B625" s="330">
        <v>33</v>
      </c>
      <c r="C625" s="298">
        <v>46142</v>
      </c>
      <c r="D625" s="298" t="s">
        <v>212</v>
      </c>
      <c r="E625" s="331">
        <v>85</v>
      </c>
      <c r="F625" s="331"/>
      <c r="G625" s="333">
        <f t="shared" si="18"/>
        <v>9803.7999999999847</v>
      </c>
      <c r="H625" s="334"/>
      <c r="I625" s="335"/>
      <c r="J625" s="336"/>
      <c r="K625" s="301"/>
      <c r="L625" s="336"/>
      <c r="M625" s="301"/>
      <c r="N625" s="336"/>
      <c r="O625" s="301"/>
      <c r="P625" s="336"/>
      <c r="Q625" s="301"/>
      <c r="R625" s="336"/>
      <c r="S625" s="301"/>
      <c r="T625" s="336"/>
    </row>
    <row r="626" spans="1:20" ht="12" customHeight="1" x14ac:dyDescent="0.3">
      <c r="A626" s="329" t="s">
        <v>286</v>
      </c>
      <c r="B626" s="330">
        <v>34</v>
      </c>
      <c r="C626" s="298">
        <v>46142</v>
      </c>
      <c r="D626" s="298" t="s">
        <v>213</v>
      </c>
      <c r="E626" s="331">
        <v>230</v>
      </c>
      <c r="F626" s="331"/>
      <c r="G626" s="333">
        <f t="shared" si="18"/>
        <v>9888.7999999999847</v>
      </c>
      <c r="H626" s="334"/>
      <c r="I626" s="335"/>
      <c r="J626" s="336"/>
      <c r="K626" s="301"/>
      <c r="L626" s="336"/>
      <c r="M626" s="301"/>
      <c r="N626" s="336"/>
      <c r="O626" s="301"/>
      <c r="P626" s="336"/>
      <c r="Q626" s="301"/>
      <c r="R626" s="336"/>
      <c r="S626" s="301"/>
      <c r="T626" s="336"/>
    </row>
    <row r="627" spans="1:20" ht="12" customHeight="1" x14ac:dyDescent="0.3">
      <c r="A627" s="329" t="s">
        <v>286</v>
      </c>
      <c r="B627" s="330">
        <v>35</v>
      </c>
      <c r="C627" s="298">
        <v>46142</v>
      </c>
      <c r="D627" s="298" t="s">
        <v>214</v>
      </c>
      <c r="E627" s="331">
        <v>45</v>
      </c>
      <c r="F627" s="331"/>
      <c r="G627" s="333">
        <f t="shared" si="18"/>
        <v>10118.799999999985</v>
      </c>
      <c r="H627" s="334"/>
      <c r="I627" s="335"/>
      <c r="J627" s="336"/>
      <c r="K627" s="301"/>
      <c r="L627" s="336"/>
      <c r="M627" s="301"/>
      <c r="N627" s="336"/>
      <c r="O627" s="301"/>
      <c r="P627" s="336"/>
      <c r="Q627" s="301"/>
      <c r="R627" s="336"/>
      <c r="S627" s="301"/>
      <c r="T627" s="336"/>
    </row>
    <row r="628" spans="1:20" ht="12" customHeight="1" x14ac:dyDescent="0.3">
      <c r="A628" s="329" t="s">
        <v>287</v>
      </c>
      <c r="B628" s="330" t="s">
        <v>287</v>
      </c>
      <c r="C628" s="298">
        <v>46142</v>
      </c>
      <c r="D628" s="299" t="s">
        <v>288</v>
      </c>
      <c r="E628" s="331">
        <v>185.64</v>
      </c>
      <c r="F628" s="331">
        <v>185.64</v>
      </c>
      <c r="G628" s="333">
        <f t="shared" si="18"/>
        <v>10163.799999999985</v>
      </c>
      <c r="H628" s="334"/>
      <c r="I628" s="335"/>
      <c r="J628" s="336"/>
      <c r="K628" s="301"/>
      <c r="L628" s="336"/>
      <c r="M628" s="301"/>
      <c r="N628" s="336"/>
      <c r="O628" s="301"/>
      <c r="P628" s="336"/>
      <c r="Q628" s="301"/>
      <c r="R628" s="336"/>
      <c r="S628" s="301"/>
      <c r="T628" s="336"/>
    </row>
    <row r="629" spans="1:20" ht="12" customHeight="1" x14ac:dyDescent="0.3">
      <c r="A629" s="329" t="s">
        <v>289</v>
      </c>
      <c r="B629" s="330">
        <v>6</v>
      </c>
      <c r="C629" s="298">
        <v>46142</v>
      </c>
      <c r="D629" s="299" t="s">
        <v>290</v>
      </c>
      <c r="E629" s="331">
        <v>30</v>
      </c>
      <c r="F629" s="331"/>
      <c r="G629" s="333">
        <f t="shared" si="18"/>
        <v>10163.799999999985</v>
      </c>
      <c r="H629" s="334"/>
      <c r="I629" s="335"/>
      <c r="J629" s="336"/>
      <c r="K629" s="301"/>
      <c r="L629" s="336"/>
      <c r="M629" s="301"/>
      <c r="N629" s="336"/>
      <c r="O629" s="301"/>
      <c r="P629" s="336"/>
      <c r="Q629" s="301"/>
      <c r="R629" s="336"/>
      <c r="S629" s="301"/>
      <c r="T629" s="336"/>
    </row>
    <row r="630" spans="1:20" ht="12" customHeight="1" x14ac:dyDescent="0.3">
      <c r="A630" s="329" t="s">
        <v>291</v>
      </c>
      <c r="B630" s="330">
        <v>39</v>
      </c>
      <c r="C630" s="298">
        <v>46142</v>
      </c>
      <c r="D630" s="299" t="s">
        <v>292</v>
      </c>
      <c r="E630" s="331"/>
      <c r="F630" s="331">
        <v>2763.78</v>
      </c>
      <c r="G630" s="333">
        <f t="shared" si="18"/>
        <v>10193.799999999985</v>
      </c>
      <c r="H630" s="334"/>
      <c r="I630" s="335"/>
      <c r="J630" s="336"/>
      <c r="K630" s="301"/>
      <c r="L630" s="336"/>
      <c r="M630" s="301"/>
      <c r="N630" s="336"/>
      <c r="O630" s="301"/>
      <c r="P630" s="336"/>
      <c r="Q630" s="301"/>
      <c r="R630" s="336"/>
      <c r="S630" s="301"/>
      <c r="T630" s="336"/>
    </row>
    <row r="631" spans="1:20" ht="12" customHeight="1" x14ac:dyDescent="0.3">
      <c r="A631" s="329" t="s">
        <v>291</v>
      </c>
      <c r="B631" s="330">
        <v>38</v>
      </c>
      <c r="C631" s="298">
        <v>46142</v>
      </c>
      <c r="D631" s="299" t="s">
        <v>293</v>
      </c>
      <c r="E631" s="331"/>
      <c r="F631" s="331">
        <v>4597.82</v>
      </c>
      <c r="G631" s="333">
        <f t="shared" si="18"/>
        <v>7430.019999999985</v>
      </c>
      <c r="H631" s="334"/>
      <c r="I631" s="335"/>
      <c r="J631" s="336"/>
      <c r="K631" s="301"/>
      <c r="L631" s="336"/>
      <c r="M631" s="301"/>
      <c r="N631" s="336"/>
      <c r="O631" s="301"/>
      <c r="P631" s="336"/>
      <c r="Q631" s="301"/>
      <c r="R631" s="336"/>
      <c r="S631" s="301"/>
      <c r="T631" s="336"/>
    </row>
    <row r="632" spans="1:20" ht="12" customHeight="1" x14ac:dyDescent="0.3">
      <c r="A632" s="329" t="s">
        <v>294</v>
      </c>
      <c r="B632" s="330">
        <v>42</v>
      </c>
      <c r="C632" s="298">
        <v>46142</v>
      </c>
      <c r="D632" s="299" t="s">
        <v>200</v>
      </c>
      <c r="E632" s="331">
        <v>50.92</v>
      </c>
      <c r="F632" s="331"/>
      <c r="G632" s="333">
        <f t="shared" si="18"/>
        <v>2832.1999999999853</v>
      </c>
      <c r="H632" s="334"/>
      <c r="I632" s="335"/>
      <c r="J632" s="336"/>
      <c r="K632" s="301"/>
      <c r="L632" s="336"/>
      <c r="M632" s="301"/>
      <c r="N632" s="336"/>
      <c r="O632" s="301"/>
      <c r="P632" s="336"/>
      <c r="Q632" s="301"/>
      <c r="R632" s="336"/>
      <c r="S632" s="301"/>
      <c r="T632" s="336"/>
    </row>
    <row r="633" spans="1:20" ht="12" customHeight="1" x14ac:dyDescent="0.3">
      <c r="A633" s="329" t="s">
        <v>294</v>
      </c>
      <c r="B633" s="330">
        <v>43</v>
      </c>
      <c r="C633" s="298">
        <v>46142</v>
      </c>
      <c r="D633" s="299" t="s">
        <v>201</v>
      </c>
      <c r="E633" s="331">
        <v>50.92</v>
      </c>
      <c r="F633" s="331"/>
      <c r="G633" s="333">
        <f t="shared" si="18"/>
        <v>2883.1199999999853</v>
      </c>
      <c r="H633" s="334"/>
      <c r="I633" s="335"/>
      <c r="J633" s="336"/>
      <c r="K633" s="301"/>
      <c r="L633" s="336"/>
      <c r="M633" s="301"/>
      <c r="N633" s="336"/>
      <c r="O633" s="301"/>
      <c r="P633" s="336"/>
      <c r="Q633" s="301"/>
      <c r="R633" s="336"/>
      <c r="S633" s="301"/>
      <c r="T633" s="336"/>
    </row>
    <row r="634" spans="1:20" ht="12" customHeight="1" x14ac:dyDescent="0.3">
      <c r="A634" s="329" t="s">
        <v>289</v>
      </c>
      <c r="B634" s="330">
        <v>4</v>
      </c>
      <c r="C634" s="298">
        <v>46142</v>
      </c>
      <c r="D634" s="299" t="s">
        <v>295</v>
      </c>
      <c r="E634" s="331">
        <v>35.799999999999997</v>
      </c>
      <c r="F634" s="331"/>
      <c r="G634" s="333">
        <f t="shared" si="18"/>
        <v>2934.0399999999854</v>
      </c>
      <c r="H634" s="334"/>
      <c r="I634" s="335"/>
      <c r="J634" s="336"/>
      <c r="K634" s="301"/>
      <c r="L634" s="336"/>
      <c r="M634" s="301"/>
      <c r="N634" s="336"/>
      <c r="O634" s="301"/>
      <c r="P634" s="336"/>
      <c r="Q634" s="301"/>
      <c r="R634" s="336"/>
      <c r="S634" s="301"/>
      <c r="T634" s="336"/>
    </row>
    <row r="635" spans="1:20" ht="12" customHeight="1" x14ac:dyDescent="0.3">
      <c r="A635" s="329" t="s">
        <v>294</v>
      </c>
      <c r="B635" s="330">
        <v>10</v>
      </c>
      <c r="C635" s="298">
        <v>46142</v>
      </c>
      <c r="D635" s="299" t="s">
        <v>176</v>
      </c>
      <c r="E635" s="331">
        <v>17.899999999999999</v>
      </c>
      <c r="F635" s="331"/>
      <c r="G635" s="333">
        <f t="shared" si="18"/>
        <v>2969.8399999999856</v>
      </c>
      <c r="H635" s="334"/>
      <c r="I635" s="335"/>
      <c r="J635" s="336"/>
      <c r="K635" s="301"/>
      <c r="L635" s="336"/>
      <c r="M635" s="301"/>
      <c r="N635" s="336"/>
      <c r="O635" s="301"/>
      <c r="P635" s="336"/>
      <c r="Q635" s="301"/>
      <c r="R635" s="336"/>
      <c r="S635" s="301"/>
      <c r="T635" s="336"/>
    </row>
    <row r="636" spans="1:20" ht="12" customHeight="1" x14ac:dyDescent="0.3">
      <c r="A636" s="329" t="s">
        <v>289</v>
      </c>
      <c r="B636" s="330">
        <v>2</v>
      </c>
      <c r="C636" s="298">
        <v>46142</v>
      </c>
      <c r="D636" s="299" t="s">
        <v>296</v>
      </c>
      <c r="E636" s="331">
        <v>8.7200000000000006</v>
      </c>
      <c r="F636" s="331"/>
      <c r="G636" s="333">
        <f t="shared" si="18"/>
        <v>2987.7399999999857</v>
      </c>
      <c r="H636" s="334"/>
      <c r="I636" s="335"/>
      <c r="J636" s="336"/>
      <c r="K636" s="301"/>
      <c r="L636" s="336"/>
      <c r="M636" s="301"/>
      <c r="N636" s="336"/>
      <c r="O636" s="301"/>
      <c r="P636" s="336"/>
      <c r="Q636" s="301"/>
      <c r="R636" s="336"/>
      <c r="S636" s="301"/>
      <c r="T636" s="336"/>
    </row>
    <row r="637" spans="1:20" ht="12" customHeight="1" x14ac:dyDescent="0.3">
      <c r="A637" s="329" t="s">
        <v>289</v>
      </c>
      <c r="B637" s="330">
        <v>2</v>
      </c>
      <c r="C637" s="298">
        <v>46142</v>
      </c>
      <c r="D637" s="299" t="s">
        <v>297</v>
      </c>
      <c r="E637" s="331">
        <v>100</v>
      </c>
      <c r="F637" s="331"/>
      <c r="G637" s="333">
        <f t="shared" si="18"/>
        <v>2996.4599999999855</v>
      </c>
      <c r="H637" s="334" t="s">
        <v>298</v>
      </c>
      <c r="I637" s="335"/>
      <c r="J637" s="336"/>
      <c r="K637" s="301"/>
      <c r="L637" s="336"/>
      <c r="M637" s="301"/>
      <c r="N637" s="336"/>
      <c r="O637" s="301"/>
      <c r="P637" s="336"/>
      <c r="Q637" s="301"/>
      <c r="R637" s="336"/>
      <c r="S637" s="301"/>
      <c r="T637" s="336"/>
    </row>
    <row r="638" spans="1:20" ht="12" customHeight="1" x14ac:dyDescent="0.3">
      <c r="A638" s="329" t="s">
        <v>289</v>
      </c>
      <c r="B638" s="330">
        <v>5</v>
      </c>
      <c r="C638" s="298">
        <v>46142</v>
      </c>
      <c r="D638" s="299" t="s">
        <v>297</v>
      </c>
      <c r="E638" s="331">
        <v>100</v>
      </c>
      <c r="F638" s="331"/>
      <c r="G638" s="333">
        <f t="shared" si="18"/>
        <v>3096.4599999999855</v>
      </c>
      <c r="H638" s="334" t="s">
        <v>298</v>
      </c>
      <c r="I638" s="335"/>
      <c r="J638" s="336"/>
      <c r="K638" s="301"/>
      <c r="L638" s="336"/>
      <c r="M638" s="301"/>
      <c r="N638" s="336"/>
      <c r="O638" s="301"/>
      <c r="P638" s="336"/>
      <c r="Q638" s="301"/>
      <c r="R638" s="336"/>
      <c r="S638" s="301"/>
      <c r="T638" s="336"/>
    </row>
    <row r="639" spans="1:20" ht="12" customHeight="1" x14ac:dyDescent="0.3">
      <c r="A639" s="329" t="s">
        <v>289</v>
      </c>
      <c r="B639" s="330">
        <v>6</v>
      </c>
      <c r="C639" s="298">
        <v>46142</v>
      </c>
      <c r="D639" s="299" t="s">
        <v>297</v>
      </c>
      <c r="E639" s="331">
        <v>100</v>
      </c>
      <c r="F639" s="331"/>
      <c r="G639" s="333">
        <f t="shared" si="18"/>
        <v>3196.4599999999855</v>
      </c>
      <c r="H639" s="334" t="s">
        <v>298</v>
      </c>
      <c r="I639" s="335"/>
      <c r="J639" s="336"/>
      <c r="K639" s="301"/>
      <c r="L639" s="336"/>
      <c r="M639" s="301"/>
      <c r="N639" s="336"/>
      <c r="O639" s="301"/>
      <c r="P639" s="336"/>
      <c r="Q639" s="301"/>
      <c r="R639" s="336"/>
      <c r="S639" s="301"/>
      <c r="T639" s="336"/>
    </row>
    <row r="640" spans="1:20" ht="12" customHeight="1" x14ac:dyDescent="0.3">
      <c r="A640" s="329" t="s">
        <v>289</v>
      </c>
      <c r="B640" s="330">
        <v>8</v>
      </c>
      <c r="C640" s="298">
        <v>46142</v>
      </c>
      <c r="D640" s="299" t="s">
        <v>297</v>
      </c>
      <c r="E640" s="331">
        <v>100</v>
      </c>
      <c r="F640" s="331"/>
      <c r="G640" s="333">
        <f t="shared" si="18"/>
        <v>3296.4599999999855</v>
      </c>
      <c r="H640" s="334" t="s">
        <v>298</v>
      </c>
      <c r="I640" s="335"/>
      <c r="J640" s="336"/>
      <c r="K640" s="301"/>
      <c r="L640" s="336"/>
      <c r="M640" s="301"/>
      <c r="N640" s="336"/>
      <c r="O640" s="301"/>
      <c r="P640" s="336"/>
      <c r="Q640" s="301"/>
      <c r="R640" s="336"/>
      <c r="S640" s="301"/>
      <c r="T640" s="336"/>
    </row>
    <row r="641" spans="1:20" ht="12" customHeight="1" x14ac:dyDescent="0.3">
      <c r="A641" s="329" t="s">
        <v>291</v>
      </c>
      <c r="B641" s="330">
        <v>41</v>
      </c>
      <c r="C641" s="298">
        <v>46142</v>
      </c>
      <c r="D641" s="299" t="s">
        <v>299</v>
      </c>
      <c r="E641" s="331"/>
      <c r="F641" s="331">
        <v>250</v>
      </c>
      <c r="G641" s="333">
        <f t="shared" si="18"/>
        <v>3396.4599999999855</v>
      </c>
      <c r="H641" s="334"/>
      <c r="I641" s="335"/>
      <c r="J641" s="336"/>
      <c r="K641" s="301"/>
      <c r="L641" s="336"/>
      <c r="M641" s="301"/>
      <c r="N641" s="336"/>
      <c r="O641" s="301"/>
      <c r="P641" s="336"/>
      <c r="Q641" s="301"/>
      <c r="R641" s="336"/>
      <c r="S641" s="301"/>
      <c r="T641" s="336"/>
    </row>
    <row r="642" spans="1:20" ht="12" customHeight="1" x14ac:dyDescent="0.3">
      <c r="A642" s="329" t="s">
        <v>289</v>
      </c>
      <c r="B642" s="330">
        <v>6</v>
      </c>
      <c r="C642" s="298">
        <v>46142</v>
      </c>
      <c r="D642" s="299" t="s">
        <v>300</v>
      </c>
      <c r="E642" s="331">
        <v>42.44</v>
      </c>
      <c r="F642" s="331"/>
      <c r="G642" s="333">
        <f t="shared" si="18"/>
        <v>3146.4599999999855</v>
      </c>
      <c r="H642" s="334"/>
      <c r="I642" s="335"/>
      <c r="J642" s="336"/>
      <c r="K642" s="301"/>
      <c r="L642" s="336"/>
      <c r="M642" s="301"/>
      <c r="N642" s="336"/>
      <c r="O642" s="301"/>
      <c r="P642" s="336"/>
      <c r="Q642" s="301"/>
      <c r="R642" s="336"/>
      <c r="S642" s="301"/>
      <c r="T642" s="336"/>
    </row>
    <row r="643" spans="1:20" ht="12" customHeight="1" x14ac:dyDescent="0.3">
      <c r="A643" s="329" t="s">
        <v>289</v>
      </c>
      <c r="B643" s="330">
        <v>6</v>
      </c>
      <c r="C643" s="298">
        <v>46142</v>
      </c>
      <c r="D643" s="299" t="s">
        <v>300</v>
      </c>
      <c r="E643" s="331">
        <v>24.05</v>
      </c>
      <c r="F643" s="331"/>
      <c r="G643" s="333">
        <f t="shared" si="18"/>
        <v>3188.8999999999855</v>
      </c>
      <c r="H643" s="334"/>
      <c r="I643" s="335"/>
      <c r="J643" s="336"/>
      <c r="K643" s="301"/>
      <c r="L643" s="336"/>
      <c r="M643" s="301"/>
      <c r="N643" s="336"/>
      <c r="O643" s="301"/>
      <c r="P643" s="336"/>
      <c r="Q643" s="301"/>
      <c r="R643" s="336"/>
      <c r="S643" s="301"/>
      <c r="T643" s="336"/>
    </row>
    <row r="644" spans="1:20" ht="12" customHeight="1" x14ac:dyDescent="0.3">
      <c r="A644" s="329" t="s">
        <v>289</v>
      </c>
      <c r="B644" s="330">
        <v>2</v>
      </c>
      <c r="C644" s="298">
        <v>46141</v>
      </c>
      <c r="D644" s="299" t="s">
        <v>301</v>
      </c>
      <c r="E644" s="331">
        <v>31.8</v>
      </c>
      <c r="F644" s="331"/>
      <c r="G644" s="333">
        <f t="shared" si="18"/>
        <v>3212.9499999999857</v>
      </c>
      <c r="H644" s="334"/>
      <c r="I644" s="335"/>
      <c r="J644" s="336"/>
      <c r="K644" s="301"/>
      <c r="L644" s="336"/>
      <c r="M644" s="301"/>
      <c r="N644" s="336"/>
      <c r="O644" s="301"/>
      <c r="P644" s="336"/>
      <c r="Q644" s="301"/>
      <c r="R644" s="336"/>
      <c r="S644" s="301"/>
      <c r="T644" s="336"/>
    </row>
    <row r="645" spans="1:20" ht="12" customHeight="1" x14ac:dyDescent="0.3">
      <c r="A645" s="329" t="s">
        <v>289</v>
      </c>
      <c r="B645" s="330">
        <v>6</v>
      </c>
      <c r="C645" s="298">
        <v>46141</v>
      </c>
      <c r="D645" s="299" t="s">
        <v>302</v>
      </c>
      <c r="E645" s="331">
        <v>100</v>
      </c>
      <c r="F645" s="331"/>
      <c r="G645" s="333">
        <f t="shared" si="18"/>
        <v>3244.7499999999859</v>
      </c>
      <c r="H645" s="334"/>
      <c r="I645" s="335"/>
      <c r="J645" s="336"/>
      <c r="K645" s="301"/>
      <c r="L645" s="336"/>
      <c r="M645" s="301"/>
      <c r="N645" s="336"/>
      <c r="O645" s="301"/>
      <c r="P645" s="336"/>
      <c r="Q645" s="301"/>
      <c r="R645" s="336"/>
      <c r="S645" s="301"/>
      <c r="T645" s="336"/>
    </row>
    <row r="646" spans="1:20" ht="12" customHeight="1" x14ac:dyDescent="0.3">
      <c r="A646" s="329" t="s">
        <v>289</v>
      </c>
      <c r="B646" s="330">
        <v>6</v>
      </c>
      <c r="C646" s="298">
        <v>46141</v>
      </c>
      <c r="D646" s="299" t="s">
        <v>303</v>
      </c>
      <c r="E646" s="331">
        <v>75</v>
      </c>
      <c r="F646" s="331"/>
      <c r="G646" s="333">
        <f t="shared" si="18"/>
        <v>3344.7499999999859</v>
      </c>
      <c r="H646" s="334"/>
      <c r="I646" s="335"/>
      <c r="J646" s="336"/>
      <c r="K646" s="301"/>
      <c r="L646" s="336"/>
      <c r="M646" s="301"/>
      <c r="N646" s="336"/>
      <c r="O646" s="301"/>
      <c r="P646" s="336"/>
      <c r="Q646" s="301"/>
      <c r="R646" s="336"/>
      <c r="S646" s="301"/>
      <c r="T646" s="336"/>
    </row>
    <row r="647" spans="1:20" ht="12" customHeight="1" x14ac:dyDescent="0.3">
      <c r="A647" s="329" t="s">
        <v>289</v>
      </c>
      <c r="B647" s="330">
        <v>1</v>
      </c>
      <c r="C647" s="298">
        <v>46141</v>
      </c>
      <c r="D647" s="299" t="s">
        <v>304</v>
      </c>
      <c r="E647" s="331">
        <v>52.5</v>
      </c>
      <c r="F647" s="331"/>
      <c r="G647" s="333">
        <f t="shared" si="18"/>
        <v>3419.7499999999859</v>
      </c>
      <c r="H647" s="334"/>
      <c r="I647" s="335"/>
      <c r="J647" s="336"/>
      <c r="K647" s="301"/>
      <c r="L647" s="336"/>
      <c r="M647" s="301"/>
      <c r="N647" s="336"/>
      <c r="O647" s="301"/>
      <c r="P647" s="336"/>
      <c r="Q647" s="301"/>
      <c r="R647" s="336"/>
      <c r="S647" s="301"/>
      <c r="T647" s="336"/>
    </row>
    <row r="648" spans="1:20" ht="12" customHeight="1" x14ac:dyDescent="0.3">
      <c r="A648" s="329" t="s">
        <v>289</v>
      </c>
      <c r="B648" s="330">
        <v>6</v>
      </c>
      <c r="C648" s="298">
        <v>46141</v>
      </c>
      <c r="D648" s="299" t="s">
        <v>305</v>
      </c>
      <c r="E648" s="331">
        <v>-256</v>
      </c>
      <c r="F648" s="331"/>
      <c r="G648" s="333">
        <f t="shared" si="18"/>
        <v>3472.2499999999859</v>
      </c>
      <c r="H648" s="334"/>
      <c r="I648" s="335"/>
      <c r="J648" s="336"/>
      <c r="K648" s="301"/>
      <c r="L648" s="336"/>
      <c r="M648" s="301"/>
      <c r="N648" s="336"/>
      <c r="O648" s="301"/>
      <c r="P648" s="336"/>
      <c r="Q648" s="301"/>
      <c r="R648" s="336"/>
      <c r="S648" s="301"/>
      <c r="T648" s="336"/>
    </row>
    <row r="649" spans="1:20" ht="12" customHeight="1" x14ac:dyDescent="0.3">
      <c r="A649" s="329" t="s">
        <v>289</v>
      </c>
      <c r="B649" s="330">
        <v>6</v>
      </c>
      <c r="C649" s="298">
        <v>46140</v>
      </c>
      <c r="D649" s="299" t="s">
        <v>300</v>
      </c>
      <c r="E649" s="331">
        <v>20.38</v>
      </c>
      <c r="F649" s="331"/>
      <c r="G649" s="333">
        <f t="shared" si="18"/>
        <v>3216.2499999999859</v>
      </c>
      <c r="H649" s="334"/>
      <c r="I649" s="335"/>
      <c r="J649" s="336"/>
      <c r="K649" s="301"/>
      <c r="L649" s="336"/>
      <c r="M649" s="301"/>
      <c r="N649" s="336"/>
      <c r="O649" s="301"/>
      <c r="P649" s="336"/>
      <c r="Q649" s="301"/>
      <c r="R649" s="336"/>
      <c r="S649" s="301"/>
      <c r="T649" s="336"/>
    </row>
    <row r="650" spans="1:20" ht="12" customHeight="1" x14ac:dyDescent="0.3">
      <c r="A650" s="329" t="s">
        <v>289</v>
      </c>
      <c r="B650" s="330">
        <v>2</v>
      </c>
      <c r="C650" s="298">
        <v>46140</v>
      </c>
      <c r="D650" s="299" t="s">
        <v>296</v>
      </c>
      <c r="E650" s="331">
        <v>15.41</v>
      </c>
      <c r="F650" s="331"/>
      <c r="G650" s="333">
        <f t="shared" si="18"/>
        <v>3236.629999999986</v>
      </c>
      <c r="H650" s="334"/>
      <c r="I650" s="335"/>
      <c r="J650" s="336"/>
      <c r="K650" s="301"/>
      <c r="L650" s="336"/>
      <c r="M650" s="301"/>
      <c r="N650" s="336"/>
      <c r="O650" s="301"/>
      <c r="P650" s="336"/>
      <c r="Q650" s="301"/>
      <c r="R650" s="336"/>
      <c r="S650" s="301"/>
      <c r="T650" s="336"/>
    </row>
    <row r="651" spans="1:20" ht="12" customHeight="1" x14ac:dyDescent="0.3">
      <c r="A651" s="329" t="s">
        <v>289</v>
      </c>
      <c r="B651" s="330">
        <v>4</v>
      </c>
      <c r="C651" s="298">
        <v>46140</v>
      </c>
      <c r="D651" s="299" t="s">
        <v>296</v>
      </c>
      <c r="E651" s="331">
        <v>33.840000000000003</v>
      </c>
      <c r="F651" s="331"/>
      <c r="G651" s="333">
        <f t="shared" si="18"/>
        <v>3252.0399999999859</v>
      </c>
      <c r="H651" s="334"/>
      <c r="I651" s="335"/>
      <c r="J651" s="336"/>
      <c r="K651" s="301"/>
      <c r="L651" s="336"/>
      <c r="M651" s="301"/>
      <c r="N651" s="336"/>
      <c r="O651" s="301"/>
      <c r="P651" s="336"/>
      <c r="Q651" s="301"/>
      <c r="R651" s="336"/>
      <c r="S651" s="301"/>
      <c r="T651" s="336"/>
    </row>
    <row r="652" spans="1:20" ht="12" customHeight="1" x14ac:dyDescent="0.3">
      <c r="A652" s="329" t="s">
        <v>289</v>
      </c>
      <c r="B652" s="330">
        <v>1</v>
      </c>
      <c r="C652" s="298">
        <v>46140</v>
      </c>
      <c r="D652" s="299" t="s">
        <v>306</v>
      </c>
      <c r="E652" s="331">
        <v>5.3</v>
      </c>
      <c r="F652" s="331"/>
      <c r="G652" s="333">
        <f t="shared" si="18"/>
        <v>3285.879999999986</v>
      </c>
      <c r="H652" s="334"/>
      <c r="I652" s="335"/>
      <c r="J652" s="336"/>
      <c r="K652" s="301"/>
      <c r="L652" s="336"/>
      <c r="M652" s="301"/>
      <c r="N652" s="336"/>
      <c r="O652" s="301"/>
      <c r="P652" s="336"/>
      <c r="Q652" s="301"/>
      <c r="R652" s="336"/>
      <c r="S652" s="301"/>
      <c r="T652" s="336"/>
    </row>
    <row r="653" spans="1:20" ht="12" customHeight="1" x14ac:dyDescent="0.3">
      <c r="A653" s="329" t="s">
        <v>289</v>
      </c>
      <c r="B653" s="330">
        <v>5</v>
      </c>
      <c r="C653" s="298">
        <v>46140</v>
      </c>
      <c r="D653" s="299" t="s">
        <v>307</v>
      </c>
      <c r="E653" s="331">
        <v>500</v>
      </c>
      <c r="F653" s="331"/>
      <c r="G653" s="333">
        <f t="shared" si="18"/>
        <v>3291.1799999999862</v>
      </c>
      <c r="H653" s="334"/>
      <c r="I653" s="335"/>
      <c r="J653" s="336"/>
      <c r="K653" s="301"/>
      <c r="L653" s="336"/>
      <c r="M653" s="301"/>
      <c r="N653" s="336"/>
      <c r="O653" s="301"/>
      <c r="P653" s="336"/>
      <c r="Q653" s="301"/>
      <c r="R653" s="336"/>
      <c r="S653" s="301"/>
      <c r="T653" s="336"/>
    </row>
    <row r="654" spans="1:20" ht="12" customHeight="1" x14ac:dyDescent="0.3">
      <c r="A654" s="329" t="s">
        <v>289</v>
      </c>
      <c r="B654" s="330">
        <v>8</v>
      </c>
      <c r="C654" s="298">
        <v>46140</v>
      </c>
      <c r="D654" s="299" t="s">
        <v>308</v>
      </c>
      <c r="E654" s="331">
        <v>47.99</v>
      </c>
      <c r="F654" s="331"/>
      <c r="G654" s="333">
        <f t="shared" si="18"/>
        <v>3791.1799999999862</v>
      </c>
      <c r="H654" s="334"/>
      <c r="I654" s="335"/>
      <c r="J654" s="336"/>
      <c r="K654" s="301"/>
      <c r="L654" s="336"/>
      <c r="M654" s="301"/>
      <c r="N654" s="336"/>
      <c r="O654" s="301"/>
      <c r="P654" s="336"/>
      <c r="Q654" s="301"/>
      <c r="R654" s="336"/>
      <c r="S654" s="301"/>
      <c r="T654" s="336"/>
    </row>
    <row r="655" spans="1:20" ht="12" customHeight="1" x14ac:dyDescent="0.3">
      <c r="A655" s="329" t="s">
        <v>289</v>
      </c>
      <c r="B655" s="330">
        <v>3</v>
      </c>
      <c r="C655" s="298">
        <v>46139</v>
      </c>
      <c r="D655" s="299" t="s">
        <v>309</v>
      </c>
      <c r="E655" s="331">
        <v>13.11</v>
      </c>
      <c r="F655" s="331"/>
      <c r="G655" s="333">
        <f t="shared" si="18"/>
        <v>3839.169999999986</v>
      </c>
      <c r="H655" s="334"/>
      <c r="I655" s="335"/>
      <c r="J655" s="336"/>
      <c r="K655" s="301"/>
      <c r="L655" s="336"/>
      <c r="M655" s="301"/>
      <c r="N655" s="336"/>
      <c r="O655" s="301"/>
      <c r="P655" s="336"/>
      <c r="Q655" s="301"/>
      <c r="R655" s="336"/>
      <c r="S655" s="301"/>
      <c r="T655" s="336"/>
    </row>
    <row r="656" spans="1:20" ht="12" customHeight="1" x14ac:dyDescent="0.3">
      <c r="A656" s="329" t="s">
        <v>289</v>
      </c>
      <c r="B656" s="330">
        <v>4</v>
      </c>
      <c r="C656" s="298">
        <v>46139</v>
      </c>
      <c r="D656" s="299" t="s">
        <v>310</v>
      </c>
      <c r="E656" s="331">
        <v>30.54</v>
      </c>
      <c r="F656" s="331"/>
      <c r="G656" s="333">
        <f t="shared" si="18"/>
        <v>3852.2799999999861</v>
      </c>
      <c r="H656" s="334"/>
      <c r="I656" s="335"/>
      <c r="J656" s="336"/>
      <c r="K656" s="301"/>
      <c r="L656" s="336"/>
      <c r="M656" s="301"/>
      <c r="N656" s="336"/>
      <c r="O656" s="301"/>
      <c r="P656" s="336"/>
      <c r="Q656" s="301"/>
      <c r="R656" s="336"/>
      <c r="S656" s="301"/>
      <c r="T656" s="336"/>
    </row>
    <row r="657" spans="1:20" ht="12" customHeight="1" x14ac:dyDescent="0.3">
      <c r="A657" s="329" t="s">
        <v>289</v>
      </c>
      <c r="B657" s="330">
        <v>1</v>
      </c>
      <c r="C657" s="298">
        <v>46139</v>
      </c>
      <c r="D657" s="299" t="s">
        <v>311</v>
      </c>
      <c r="E657" s="331">
        <v>163.01</v>
      </c>
      <c r="F657" s="331"/>
      <c r="G657" s="333">
        <f t="shared" si="18"/>
        <v>3882.8199999999861</v>
      </c>
      <c r="H657" s="334"/>
      <c r="I657" s="335"/>
      <c r="J657" s="336"/>
      <c r="K657" s="301"/>
      <c r="L657" s="336"/>
      <c r="M657" s="301"/>
      <c r="N657" s="336"/>
      <c r="O657" s="301"/>
      <c r="P657" s="336"/>
      <c r="Q657" s="301"/>
      <c r="R657" s="336"/>
      <c r="S657" s="301"/>
      <c r="T657" s="336"/>
    </row>
    <row r="658" spans="1:20" ht="12" customHeight="1" x14ac:dyDescent="0.3">
      <c r="A658" s="329" t="s">
        <v>289</v>
      </c>
      <c r="B658" s="330">
        <v>6</v>
      </c>
      <c r="C658" s="298">
        <v>46139</v>
      </c>
      <c r="D658" s="299" t="s">
        <v>312</v>
      </c>
      <c r="E658" s="331">
        <v>54.97</v>
      </c>
      <c r="F658" s="331"/>
      <c r="G658" s="333">
        <f t="shared" si="18"/>
        <v>4045.8299999999858</v>
      </c>
      <c r="H658" s="334"/>
      <c r="I658" s="335"/>
      <c r="J658" s="336"/>
      <c r="K658" s="301"/>
      <c r="L658" s="336"/>
      <c r="M658" s="301"/>
      <c r="N658" s="336"/>
      <c r="O658" s="301"/>
      <c r="P658" s="336"/>
      <c r="Q658" s="301"/>
      <c r="R658" s="336"/>
      <c r="S658" s="301"/>
      <c r="T658" s="336"/>
    </row>
    <row r="659" spans="1:20" ht="12" customHeight="1" x14ac:dyDescent="0.3">
      <c r="A659" s="329" t="s">
        <v>289</v>
      </c>
      <c r="B659" s="330">
        <v>1</v>
      </c>
      <c r="C659" s="298">
        <v>46139</v>
      </c>
      <c r="D659" s="299" t="s">
        <v>306</v>
      </c>
      <c r="E659" s="331">
        <v>51.28</v>
      </c>
      <c r="F659" s="331"/>
      <c r="G659" s="333">
        <f t="shared" si="18"/>
        <v>4100.7999999999856</v>
      </c>
      <c r="H659" s="334"/>
      <c r="I659" s="335"/>
      <c r="J659" s="336"/>
      <c r="K659" s="301"/>
      <c r="L659" s="336"/>
      <c r="M659" s="301"/>
      <c r="N659" s="336"/>
      <c r="O659" s="301"/>
      <c r="P659" s="336"/>
      <c r="Q659" s="301"/>
      <c r="R659" s="336"/>
      <c r="S659" s="301"/>
      <c r="T659" s="336"/>
    </row>
    <row r="660" spans="1:20" ht="12" customHeight="1" x14ac:dyDescent="0.3">
      <c r="A660" s="329" t="s">
        <v>289</v>
      </c>
      <c r="B660" s="330">
        <v>6</v>
      </c>
      <c r="C660" s="298">
        <v>46138</v>
      </c>
      <c r="D660" s="299" t="s">
        <v>312</v>
      </c>
      <c r="E660" s="331">
        <v>38.979999999999997</v>
      </c>
      <c r="F660" s="331"/>
      <c r="G660" s="333">
        <f t="shared" si="18"/>
        <v>4152.0799999999854</v>
      </c>
      <c r="H660" s="334"/>
      <c r="I660" s="335"/>
      <c r="J660" s="336"/>
      <c r="K660" s="301"/>
      <c r="L660" s="336"/>
      <c r="M660" s="301"/>
      <c r="N660" s="336"/>
      <c r="O660" s="301"/>
      <c r="P660" s="336"/>
      <c r="Q660" s="301"/>
      <c r="R660" s="336"/>
      <c r="S660" s="301"/>
      <c r="T660" s="336"/>
    </row>
    <row r="661" spans="1:20" ht="12" customHeight="1" x14ac:dyDescent="0.3">
      <c r="A661" s="329" t="s">
        <v>289</v>
      </c>
      <c r="B661" s="330">
        <v>2</v>
      </c>
      <c r="C661" s="298">
        <v>46138</v>
      </c>
      <c r="D661" s="299" t="s">
        <v>313</v>
      </c>
      <c r="E661" s="331">
        <v>39.83</v>
      </c>
      <c r="F661" s="331"/>
      <c r="G661" s="333">
        <f t="shared" si="18"/>
        <v>4191.0599999999849</v>
      </c>
      <c r="H661" s="334"/>
      <c r="I661" s="335"/>
      <c r="J661" s="336"/>
      <c r="K661" s="301"/>
      <c r="L661" s="336"/>
      <c r="M661" s="301"/>
      <c r="N661" s="336"/>
      <c r="O661" s="301"/>
      <c r="P661" s="336"/>
      <c r="Q661" s="301"/>
      <c r="R661" s="336"/>
      <c r="S661" s="301"/>
      <c r="T661" s="336"/>
    </row>
    <row r="662" spans="1:20" ht="12" customHeight="1" x14ac:dyDescent="0.3">
      <c r="A662" s="329" t="s">
        <v>289</v>
      </c>
      <c r="B662" s="330">
        <v>8</v>
      </c>
      <c r="C662" s="298">
        <v>46138</v>
      </c>
      <c r="D662" s="299" t="s">
        <v>313</v>
      </c>
      <c r="E662" s="331">
        <v>51.24</v>
      </c>
      <c r="F662" s="331"/>
      <c r="G662" s="333">
        <f t="shared" si="18"/>
        <v>4230.8899999999849</v>
      </c>
      <c r="H662" s="334"/>
      <c r="I662" s="335"/>
      <c r="J662" s="336"/>
      <c r="K662" s="301"/>
      <c r="L662" s="336"/>
      <c r="M662" s="301"/>
      <c r="N662" s="336"/>
      <c r="O662" s="301"/>
      <c r="P662" s="336"/>
      <c r="Q662" s="301"/>
      <c r="R662" s="336"/>
      <c r="S662" s="301"/>
      <c r="T662" s="336"/>
    </row>
    <row r="663" spans="1:20" ht="12" customHeight="1" x14ac:dyDescent="0.3">
      <c r="A663" s="329" t="s">
        <v>294</v>
      </c>
      <c r="B663" s="330">
        <v>12</v>
      </c>
      <c r="C663" s="298">
        <v>46137</v>
      </c>
      <c r="D663" s="299" t="s">
        <v>314</v>
      </c>
      <c r="E663" s="331">
        <v>214.74</v>
      </c>
      <c r="F663" s="331"/>
      <c r="G663" s="333">
        <f t="shared" si="18"/>
        <v>4282.1299999999846</v>
      </c>
      <c r="H663" s="334"/>
      <c r="I663" s="335"/>
      <c r="J663" s="336"/>
      <c r="K663" s="301"/>
      <c r="L663" s="336"/>
      <c r="M663" s="301"/>
      <c r="N663" s="336"/>
      <c r="O663" s="301"/>
      <c r="P663" s="336"/>
      <c r="Q663" s="301"/>
      <c r="R663" s="336"/>
      <c r="S663" s="301"/>
      <c r="T663" s="336"/>
    </row>
    <row r="664" spans="1:20" ht="12" customHeight="1" x14ac:dyDescent="0.3">
      <c r="A664" s="329" t="s">
        <v>287</v>
      </c>
      <c r="B664" s="330" t="s">
        <v>287</v>
      </c>
      <c r="C664" s="298">
        <v>46136</v>
      </c>
      <c r="D664" s="299" t="s">
        <v>315</v>
      </c>
      <c r="E664" s="331">
        <v>127.68</v>
      </c>
      <c r="F664" s="331">
        <v>127.68</v>
      </c>
      <c r="G664" s="333">
        <f t="shared" si="18"/>
        <v>4496.8699999999844</v>
      </c>
      <c r="H664" s="334"/>
      <c r="I664" s="335"/>
      <c r="J664" s="336"/>
      <c r="K664" s="301"/>
      <c r="L664" s="336"/>
      <c r="M664" s="301"/>
      <c r="N664" s="336"/>
      <c r="O664" s="301"/>
      <c r="P664" s="336"/>
      <c r="Q664" s="301"/>
      <c r="R664" s="336"/>
      <c r="S664" s="301"/>
      <c r="T664" s="336"/>
    </row>
    <row r="665" spans="1:20" ht="12" customHeight="1" x14ac:dyDescent="0.3">
      <c r="A665" s="329" t="s">
        <v>289</v>
      </c>
      <c r="B665" s="330">
        <v>8</v>
      </c>
      <c r="C665" s="298">
        <v>46135</v>
      </c>
      <c r="D665" s="299" t="s">
        <v>863</v>
      </c>
      <c r="E665" s="331">
        <v>65</v>
      </c>
      <c r="F665" s="331"/>
      <c r="G665" s="333">
        <f t="shared" si="18"/>
        <v>4496.8699999999844</v>
      </c>
      <c r="H665" s="334"/>
      <c r="I665" s="335"/>
      <c r="J665" s="336"/>
      <c r="K665" s="301"/>
      <c r="L665" s="336"/>
      <c r="M665" s="301"/>
      <c r="N665" s="336"/>
      <c r="O665" s="301"/>
      <c r="P665" s="336"/>
      <c r="Q665" s="301"/>
      <c r="R665" s="336"/>
      <c r="S665" s="301"/>
      <c r="T665" s="336"/>
    </row>
    <row r="666" spans="1:20" ht="12" customHeight="1" x14ac:dyDescent="0.3">
      <c r="A666" s="329" t="s">
        <v>291</v>
      </c>
      <c r="B666" s="330">
        <v>40</v>
      </c>
      <c r="C666" s="298">
        <v>46134</v>
      </c>
      <c r="D666" s="299" t="s">
        <v>316</v>
      </c>
      <c r="E666" s="331"/>
      <c r="F666" s="331">
        <v>838.69</v>
      </c>
      <c r="G666" s="333">
        <f t="shared" si="18"/>
        <v>4561.8699999999844</v>
      </c>
      <c r="H666" s="334"/>
      <c r="I666" s="335"/>
      <c r="J666" s="336"/>
      <c r="K666" s="301"/>
      <c r="L666" s="336"/>
      <c r="M666" s="301"/>
      <c r="N666" s="336"/>
      <c r="O666" s="301"/>
      <c r="P666" s="336"/>
      <c r="Q666" s="301"/>
      <c r="R666" s="336"/>
      <c r="S666" s="301"/>
      <c r="T666" s="336"/>
    </row>
    <row r="667" spans="1:20" ht="12" customHeight="1" x14ac:dyDescent="0.3">
      <c r="A667" s="329" t="s">
        <v>289</v>
      </c>
      <c r="B667" s="330">
        <v>2</v>
      </c>
      <c r="C667" s="298">
        <v>46134</v>
      </c>
      <c r="D667" s="299" t="s">
        <v>317</v>
      </c>
      <c r="E667" s="331">
        <v>17.03</v>
      </c>
      <c r="F667" s="331"/>
      <c r="G667" s="333">
        <f t="shared" si="18"/>
        <v>3723.1799999999848</v>
      </c>
      <c r="H667" s="334"/>
      <c r="I667" s="335"/>
      <c r="J667" s="336"/>
      <c r="K667" s="301"/>
      <c r="L667" s="336"/>
      <c r="M667" s="301"/>
      <c r="N667" s="336"/>
      <c r="O667" s="301"/>
      <c r="P667" s="336"/>
      <c r="Q667" s="301"/>
      <c r="R667" s="336"/>
      <c r="S667" s="301"/>
      <c r="T667" s="336"/>
    </row>
    <row r="668" spans="1:20" ht="12" customHeight="1" x14ac:dyDescent="0.3">
      <c r="A668" s="329" t="s">
        <v>289</v>
      </c>
      <c r="B668" s="330">
        <v>6</v>
      </c>
      <c r="C668" s="298">
        <v>46134</v>
      </c>
      <c r="D668" s="299" t="s">
        <v>312</v>
      </c>
      <c r="E668" s="331">
        <v>51.94</v>
      </c>
      <c r="F668" s="331"/>
      <c r="G668" s="333">
        <f t="shared" si="18"/>
        <v>3740.209999999985</v>
      </c>
      <c r="H668" s="334"/>
      <c r="I668" s="335"/>
      <c r="J668" s="336"/>
      <c r="K668" s="301"/>
      <c r="L668" s="336"/>
      <c r="M668" s="301"/>
      <c r="N668" s="336"/>
      <c r="O668" s="301"/>
      <c r="P668" s="336"/>
      <c r="Q668" s="301"/>
      <c r="R668" s="336"/>
      <c r="S668" s="301"/>
      <c r="T668" s="336"/>
    </row>
    <row r="669" spans="1:20" ht="12" customHeight="1" x14ac:dyDescent="0.3">
      <c r="A669" s="329" t="s">
        <v>289</v>
      </c>
      <c r="B669" s="330">
        <v>1</v>
      </c>
      <c r="C669" s="298">
        <v>46134</v>
      </c>
      <c r="D669" s="299" t="s">
        <v>306</v>
      </c>
      <c r="E669" s="331">
        <v>226.7</v>
      </c>
      <c r="F669" s="331"/>
      <c r="G669" s="333">
        <f t="shared" si="18"/>
        <v>3792.1499999999851</v>
      </c>
      <c r="H669" s="334"/>
      <c r="I669" s="335"/>
      <c r="J669" s="336"/>
      <c r="K669" s="301"/>
      <c r="L669" s="336"/>
      <c r="M669" s="301"/>
      <c r="N669" s="336"/>
      <c r="O669" s="301"/>
      <c r="P669" s="336"/>
      <c r="Q669" s="301"/>
      <c r="R669" s="336"/>
      <c r="S669" s="301"/>
      <c r="T669" s="336"/>
    </row>
    <row r="670" spans="1:20" ht="12" customHeight="1" x14ac:dyDescent="0.3">
      <c r="A670" s="329" t="s">
        <v>289</v>
      </c>
      <c r="B670" s="330">
        <v>2</v>
      </c>
      <c r="C670" s="298">
        <v>46133</v>
      </c>
      <c r="D670" s="299" t="s">
        <v>318</v>
      </c>
      <c r="E670" s="331">
        <v>70</v>
      </c>
      <c r="F670" s="331"/>
      <c r="G670" s="333">
        <f t="shared" si="18"/>
        <v>4018.8499999999849</v>
      </c>
      <c r="H670" s="334"/>
      <c r="I670" s="335"/>
      <c r="J670" s="336"/>
      <c r="K670" s="301"/>
      <c r="L670" s="336"/>
      <c r="M670" s="301"/>
      <c r="N670" s="336"/>
      <c r="O670" s="301"/>
      <c r="P670" s="336"/>
      <c r="Q670" s="301"/>
      <c r="R670" s="336"/>
      <c r="S670" s="301"/>
      <c r="T670" s="336"/>
    </row>
    <row r="671" spans="1:20" ht="12" customHeight="1" x14ac:dyDescent="0.3">
      <c r="A671" s="329" t="s">
        <v>289</v>
      </c>
      <c r="B671" s="330">
        <v>8</v>
      </c>
      <c r="C671" s="298">
        <v>46133</v>
      </c>
      <c r="D671" s="299" t="s">
        <v>319</v>
      </c>
      <c r="E671" s="331">
        <v>14.26</v>
      </c>
      <c r="F671" s="331"/>
      <c r="G671" s="333">
        <f t="shared" si="18"/>
        <v>4088.8499999999849</v>
      </c>
      <c r="H671" s="334"/>
      <c r="I671" s="335"/>
      <c r="J671" s="336"/>
      <c r="K671" s="301"/>
      <c r="L671" s="336"/>
      <c r="M671" s="301"/>
      <c r="N671" s="336"/>
      <c r="O671" s="301"/>
      <c r="P671" s="336"/>
      <c r="Q671" s="301"/>
      <c r="R671" s="336"/>
      <c r="S671" s="301"/>
      <c r="T671" s="336"/>
    </row>
    <row r="672" spans="1:20" ht="12" customHeight="1" x14ac:dyDescent="0.3">
      <c r="A672" s="329" t="s">
        <v>289</v>
      </c>
      <c r="B672" s="330">
        <v>1</v>
      </c>
      <c r="C672" s="298">
        <v>46133</v>
      </c>
      <c r="D672" s="299" t="s">
        <v>320</v>
      </c>
      <c r="E672" s="331">
        <v>8.51</v>
      </c>
      <c r="F672" s="331"/>
      <c r="G672" s="333">
        <f t="shared" si="18"/>
        <v>4103.1099999999851</v>
      </c>
      <c r="H672" s="334"/>
      <c r="I672" s="335"/>
      <c r="J672" s="336"/>
      <c r="K672" s="301"/>
      <c r="L672" s="336"/>
      <c r="M672" s="301"/>
      <c r="N672" s="336"/>
      <c r="O672" s="301"/>
      <c r="P672" s="336"/>
      <c r="Q672" s="301"/>
      <c r="R672" s="336"/>
      <c r="S672" s="301"/>
      <c r="T672" s="336"/>
    </row>
    <row r="673" spans="1:20" ht="12" customHeight="1" x14ac:dyDescent="0.3">
      <c r="A673" s="329" t="s">
        <v>289</v>
      </c>
      <c r="B673" s="330">
        <v>5</v>
      </c>
      <c r="C673" s="298">
        <v>46133</v>
      </c>
      <c r="D673" s="299" t="s">
        <v>321</v>
      </c>
      <c r="E673" s="331">
        <v>20</v>
      </c>
      <c r="F673" s="331"/>
      <c r="G673" s="333">
        <f t="shared" si="18"/>
        <v>4111.6199999999853</v>
      </c>
      <c r="H673" s="334"/>
      <c r="I673" s="335"/>
      <c r="J673" s="336"/>
      <c r="K673" s="301"/>
      <c r="L673" s="336"/>
      <c r="M673" s="301"/>
      <c r="N673" s="336"/>
      <c r="O673" s="301"/>
      <c r="P673" s="336"/>
      <c r="Q673" s="301"/>
      <c r="R673" s="336"/>
      <c r="S673" s="301"/>
      <c r="T673" s="336"/>
    </row>
    <row r="674" spans="1:20" ht="12" customHeight="1" x14ac:dyDescent="0.3">
      <c r="A674" s="329" t="s">
        <v>294</v>
      </c>
      <c r="B674" s="330">
        <v>23</v>
      </c>
      <c r="C674" s="298">
        <v>46133</v>
      </c>
      <c r="D674" s="299" t="s">
        <v>67</v>
      </c>
      <c r="E674" s="331">
        <v>650.88</v>
      </c>
      <c r="F674" s="331"/>
      <c r="G674" s="333">
        <f t="shared" si="18"/>
        <v>4131.6199999999853</v>
      </c>
      <c r="H674" s="334"/>
      <c r="I674" s="335"/>
      <c r="J674" s="336"/>
      <c r="K674" s="301"/>
      <c r="L674" s="336"/>
      <c r="M674" s="301"/>
      <c r="N674" s="336"/>
      <c r="O674" s="301"/>
      <c r="P674" s="336"/>
      <c r="Q674" s="301"/>
      <c r="R674" s="336"/>
      <c r="S674" s="301"/>
      <c r="T674" s="336"/>
    </row>
    <row r="675" spans="1:20" ht="12" customHeight="1" x14ac:dyDescent="0.3">
      <c r="A675" s="329" t="s">
        <v>289</v>
      </c>
      <c r="B675" s="330">
        <v>6</v>
      </c>
      <c r="C675" s="298">
        <v>46133</v>
      </c>
      <c r="D675" s="299" t="s">
        <v>322</v>
      </c>
      <c r="E675" s="331">
        <v>15</v>
      </c>
      <c r="F675" s="331"/>
      <c r="G675" s="333">
        <f t="shared" si="18"/>
        <v>4782.4999999999854</v>
      </c>
      <c r="H675" s="334"/>
      <c r="I675" s="335"/>
      <c r="J675" s="336"/>
      <c r="K675" s="301"/>
      <c r="L675" s="336"/>
      <c r="M675" s="301"/>
      <c r="N675" s="336"/>
      <c r="O675" s="301"/>
      <c r="P675" s="336"/>
      <c r="Q675" s="301"/>
      <c r="R675" s="336"/>
      <c r="S675" s="301"/>
      <c r="T675" s="336"/>
    </row>
    <row r="676" spans="1:20" ht="12" customHeight="1" x14ac:dyDescent="0.3">
      <c r="A676" s="329" t="s">
        <v>289</v>
      </c>
      <c r="B676" s="330">
        <v>5</v>
      </c>
      <c r="C676" s="298">
        <v>46133</v>
      </c>
      <c r="D676" s="299" t="s">
        <v>322</v>
      </c>
      <c r="E676" s="331">
        <v>250</v>
      </c>
      <c r="F676" s="331"/>
      <c r="G676" s="333">
        <f t="shared" si="18"/>
        <v>4797.4999999999854</v>
      </c>
      <c r="H676" s="334"/>
      <c r="I676" s="335"/>
      <c r="J676" s="336"/>
      <c r="K676" s="301"/>
      <c r="L676" s="336"/>
      <c r="M676" s="301"/>
      <c r="N676" s="336"/>
      <c r="O676" s="301"/>
      <c r="P676" s="336"/>
      <c r="Q676" s="301"/>
      <c r="R676" s="336"/>
      <c r="S676" s="301"/>
      <c r="T676" s="336"/>
    </row>
    <row r="677" spans="1:20" ht="12" customHeight="1" x14ac:dyDescent="0.3">
      <c r="A677" s="329" t="s">
        <v>294</v>
      </c>
      <c r="B677" s="330">
        <v>22</v>
      </c>
      <c r="C677" s="298">
        <v>46132</v>
      </c>
      <c r="D677" s="299" t="s">
        <v>323</v>
      </c>
      <c r="E677" s="331">
        <v>20.22</v>
      </c>
      <c r="F677" s="331"/>
      <c r="G677" s="333">
        <f t="shared" si="18"/>
        <v>5047.4999999999854</v>
      </c>
      <c r="H677" s="334"/>
      <c r="I677" s="335"/>
      <c r="J677" s="336"/>
      <c r="K677" s="301"/>
      <c r="L677" s="336"/>
      <c r="M677" s="301"/>
      <c r="N677" s="336"/>
      <c r="O677" s="301"/>
      <c r="P677" s="336"/>
      <c r="Q677" s="301"/>
      <c r="R677" s="336"/>
      <c r="S677" s="301"/>
      <c r="T677" s="336"/>
    </row>
    <row r="678" spans="1:20" ht="12" customHeight="1" x14ac:dyDescent="0.3">
      <c r="A678" s="329" t="s">
        <v>289</v>
      </c>
      <c r="B678" s="330">
        <v>6</v>
      </c>
      <c r="C678" s="298">
        <v>46132</v>
      </c>
      <c r="D678" s="299" t="s">
        <v>403</v>
      </c>
      <c r="E678" s="331">
        <v>44</v>
      </c>
      <c r="F678" s="331"/>
      <c r="G678" s="333">
        <f t="shared" si="18"/>
        <v>5067.7199999999857</v>
      </c>
      <c r="H678" s="334"/>
      <c r="I678" s="335"/>
      <c r="J678" s="336"/>
      <c r="K678" s="301"/>
      <c r="L678" s="336"/>
      <c r="M678" s="301"/>
      <c r="N678" s="336"/>
      <c r="O678" s="301"/>
      <c r="P678" s="336"/>
      <c r="Q678" s="301"/>
      <c r="R678" s="336"/>
      <c r="S678" s="301"/>
      <c r="T678" s="336"/>
    </row>
    <row r="679" spans="1:20" ht="12" customHeight="1" x14ac:dyDescent="0.3">
      <c r="A679" s="329" t="s">
        <v>289</v>
      </c>
      <c r="B679" s="330">
        <v>2</v>
      </c>
      <c r="C679" s="298">
        <v>46132</v>
      </c>
      <c r="D679" s="299" t="s">
        <v>324</v>
      </c>
      <c r="E679" s="331">
        <v>12.01</v>
      </c>
      <c r="F679" s="331"/>
      <c r="G679" s="333">
        <f t="shared" si="18"/>
        <v>5111.7199999999857</v>
      </c>
      <c r="H679" s="334"/>
      <c r="I679" s="335"/>
      <c r="J679" s="336"/>
      <c r="K679" s="301"/>
      <c r="L679" s="336"/>
      <c r="M679" s="301"/>
      <c r="N679" s="336"/>
      <c r="O679" s="301"/>
      <c r="P679" s="336"/>
      <c r="Q679" s="301"/>
      <c r="R679" s="336"/>
      <c r="S679" s="301"/>
      <c r="T679" s="336"/>
    </row>
    <row r="680" spans="1:20" ht="12" customHeight="1" x14ac:dyDescent="0.3">
      <c r="A680" s="329" t="s">
        <v>289</v>
      </c>
      <c r="B680" s="330">
        <v>2</v>
      </c>
      <c r="C680" s="298">
        <v>46132</v>
      </c>
      <c r="D680" s="299" t="s">
        <v>296</v>
      </c>
      <c r="E680" s="331">
        <v>12.21</v>
      </c>
      <c r="F680" s="331"/>
      <c r="G680" s="333">
        <f t="shared" si="18"/>
        <v>5123.7299999999859</v>
      </c>
      <c r="H680" s="334"/>
      <c r="I680" s="335"/>
      <c r="J680" s="336"/>
      <c r="K680" s="301"/>
      <c r="L680" s="336"/>
      <c r="M680" s="301"/>
      <c r="N680" s="336"/>
      <c r="O680" s="301"/>
      <c r="P680" s="336"/>
      <c r="Q680" s="301"/>
      <c r="R680" s="336"/>
      <c r="S680" s="301"/>
      <c r="T680" s="336"/>
    </row>
    <row r="681" spans="1:20" ht="12" customHeight="1" x14ac:dyDescent="0.3">
      <c r="A681" s="329" t="s">
        <v>289</v>
      </c>
      <c r="B681" s="330">
        <v>2</v>
      </c>
      <c r="C681" s="298">
        <v>46132</v>
      </c>
      <c r="D681" s="299" t="s">
        <v>325</v>
      </c>
      <c r="E681" s="331">
        <v>46.4</v>
      </c>
      <c r="F681" s="331"/>
      <c r="G681" s="333">
        <f t="shared" si="18"/>
        <v>5135.939999999986</v>
      </c>
      <c r="H681" s="334"/>
      <c r="I681" s="335"/>
      <c r="J681" s="336"/>
      <c r="K681" s="301"/>
      <c r="L681" s="336"/>
      <c r="M681" s="301"/>
      <c r="N681" s="336"/>
      <c r="O681" s="301"/>
      <c r="P681" s="336"/>
      <c r="Q681" s="301"/>
      <c r="R681" s="336"/>
      <c r="S681" s="301"/>
      <c r="T681" s="336"/>
    </row>
    <row r="682" spans="1:20" ht="12" customHeight="1" x14ac:dyDescent="0.3">
      <c r="A682" s="329" t="s">
        <v>289</v>
      </c>
      <c r="B682" s="330">
        <v>2</v>
      </c>
      <c r="C682" s="298">
        <v>46131</v>
      </c>
      <c r="D682" s="299" t="s">
        <v>326</v>
      </c>
      <c r="E682" s="331">
        <v>31.7</v>
      </c>
      <c r="F682" s="331"/>
      <c r="G682" s="333">
        <f t="shared" si="18"/>
        <v>5182.3399999999856</v>
      </c>
      <c r="H682" s="334"/>
      <c r="I682" s="335"/>
      <c r="J682" s="336"/>
      <c r="K682" s="301"/>
      <c r="L682" s="336"/>
      <c r="M682" s="301"/>
      <c r="N682" s="336"/>
      <c r="O682" s="301"/>
      <c r="P682" s="336"/>
      <c r="Q682" s="301"/>
      <c r="R682" s="336"/>
      <c r="S682" s="301"/>
      <c r="T682" s="336"/>
    </row>
    <row r="683" spans="1:20" ht="12" customHeight="1" x14ac:dyDescent="0.3">
      <c r="A683" s="329" t="s">
        <v>289</v>
      </c>
      <c r="B683" s="330">
        <v>8</v>
      </c>
      <c r="C683" s="298">
        <v>46131</v>
      </c>
      <c r="D683" s="299" t="s">
        <v>327</v>
      </c>
      <c r="E683" s="331">
        <v>11.11</v>
      </c>
      <c r="F683" s="331"/>
      <c r="G683" s="333">
        <f t="shared" si="18"/>
        <v>5214.0399999999854</v>
      </c>
      <c r="H683" s="334"/>
      <c r="I683" s="335"/>
      <c r="J683" s="336"/>
      <c r="K683" s="301"/>
      <c r="L683" s="336"/>
      <c r="M683" s="301"/>
      <c r="N683" s="336"/>
      <c r="O683" s="301"/>
      <c r="P683" s="336"/>
      <c r="Q683" s="301"/>
      <c r="R683" s="336"/>
      <c r="S683" s="301"/>
      <c r="T683" s="336"/>
    </row>
    <row r="684" spans="1:20" ht="12" customHeight="1" x14ac:dyDescent="0.3">
      <c r="A684" s="329" t="s">
        <v>289</v>
      </c>
      <c r="B684" s="330">
        <v>1</v>
      </c>
      <c r="C684" s="298">
        <v>46131</v>
      </c>
      <c r="D684" s="299" t="s">
        <v>306</v>
      </c>
      <c r="E684" s="331">
        <v>79.16</v>
      </c>
      <c r="F684" s="331"/>
      <c r="G684" s="333">
        <f t="shared" si="18"/>
        <v>5225.1499999999851</v>
      </c>
      <c r="H684" s="334"/>
      <c r="I684" s="335"/>
      <c r="J684" s="336"/>
      <c r="K684" s="301"/>
      <c r="L684" s="336"/>
      <c r="M684" s="301"/>
      <c r="N684" s="336"/>
      <c r="O684" s="301"/>
      <c r="P684" s="336"/>
      <c r="Q684" s="301"/>
      <c r="R684" s="336"/>
      <c r="S684" s="301"/>
      <c r="T684" s="336"/>
    </row>
    <row r="685" spans="1:20" ht="12" customHeight="1" x14ac:dyDescent="0.3">
      <c r="A685" s="329" t="s">
        <v>294</v>
      </c>
      <c r="B685" s="330">
        <v>22</v>
      </c>
      <c r="C685" s="298">
        <v>46131</v>
      </c>
      <c r="D685" s="299" t="s">
        <v>328</v>
      </c>
      <c r="E685" s="331">
        <v>7.46</v>
      </c>
      <c r="F685" s="331"/>
      <c r="G685" s="333">
        <f t="shared" si="18"/>
        <v>5304.3099999999849</v>
      </c>
      <c r="H685" s="334"/>
      <c r="I685" s="335"/>
      <c r="J685" s="336"/>
      <c r="K685" s="301"/>
      <c r="L685" s="336"/>
      <c r="M685" s="301"/>
      <c r="N685" s="336"/>
      <c r="O685" s="301"/>
      <c r="P685" s="336"/>
      <c r="Q685" s="301"/>
      <c r="R685" s="336"/>
      <c r="S685" s="301"/>
      <c r="T685" s="336"/>
    </row>
    <row r="686" spans="1:20" ht="12" customHeight="1" x14ac:dyDescent="0.3">
      <c r="A686" s="329" t="s">
        <v>289</v>
      </c>
      <c r="B686" s="330">
        <v>6</v>
      </c>
      <c r="C686" s="298">
        <v>46131</v>
      </c>
      <c r="D686" s="299" t="s">
        <v>300</v>
      </c>
      <c r="E686" s="331">
        <v>13.83</v>
      </c>
      <c r="F686" s="331"/>
      <c r="G686" s="333">
        <f t="shared" si="18"/>
        <v>5311.769999999985</v>
      </c>
      <c r="H686" s="334"/>
      <c r="I686" s="335"/>
      <c r="J686" s="336"/>
      <c r="K686" s="301"/>
      <c r="L686" s="336"/>
      <c r="M686" s="301"/>
      <c r="N686" s="336"/>
      <c r="O686" s="301"/>
      <c r="P686" s="336"/>
      <c r="Q686" s="301"/>
      <c r="R686" s="336"/>
      <c r="S686" s="301"/>
      <c r="T686" s="336"/>
    </row>
    <row r="687" spans="1:20" ht="12" customHeight="1" x14ac:dyDescent="0.3">
      <c r="A687" s="329" t="s">
        <v>289</v>
      </c>
      <c r="B687" s="330">
        <v>6</v>
      </c>
      <c r="C687" s="298">
        <v>46131</v>
      </c>
      <c r="D687" s="299" t="s">
        <v>300</v>
      </c>
      <c r="E687" s="331">
        <v>30</v>
      </c>
      <c r="F687" s="331"/>
      <c r="G687" s="333">
        <f t="shared" si="18"/>
        <v>5325.5999999999849</v>
      </c>
      <c r="H687" s="334"/>
      <c r="I687" s="335"/>
      <c r="J687" s="336"/>
      <c r="K687" s="301"/>
      <c r="L687" s="336"/>
      <c r="M687" s="301"/>
      <c r="N687" s="336"/>
      <c r="O687" s="301"/>
      <c r="P687" s="336"/>
      <c r="Q687" s="301"/>
      <c r="R687" s="336"/>
      <c r="S687" s="301"/>
      <c r="T687" s="336"/>
    </row>
    <row r="688" spans="1:20" ht="12" customHeight="1" x14ac:dyDescent="0.3">
      <c r="A688" s="329" t="s">
        <v>289</v>
      </c>
      <c r="B688" s="330">
        <v>6</v>
      </c>
      <c r="C688" s="298">
        <v>46131</v>
      </c>
      <c r="D688" s="299" t="s">
        <v>300</v>
      </c>
      <c r="E688" s="331">
        <v>15.17</v>
      </c>
      <c r="F688" s="331"/>
      <c r="G688" s="333">
        <f t="shared" si="18"/>
        <v>5355.5999999999849</v>
      </c>
      <c r="H688" s="334"/>
      <c r="I688" s="335"/>
      <c r="J688" s="336"/>
      <c r="K688" s="301"/>
      <c r="L688" s="336"/>
      <c r="M688" s="301"/>
      <c r="N688" s="336"/>
      <c r="O688" s="301"/>
      <c r="P688" s="336"/>
      <c r="Q688" s="301"/>
      <c r="R688" s="336"/>
      <c r="S688" s="301"/>
      <c r="T688" s="336"/>
    </row>
    <row r="689" spans="1:20" ht="12" customHeight="1" x14ac:dyDescent="0.3">
      <c r="A689" s="329" t="s">
        <v>289</v>
      </c>
      <c r="B689" s="330">
        <v>1</v>
      </c>
      <c r="C689" s="298">
        <v>46130</v>
      </c>
      <c r="D689" s="299" t="s">
        <v>329</v>
      </c>
      <c r="E689" s="331">
        <v>75.55</v>
      </c>
      <c r="F689" s="331"/>
      <c r="G689" s="333">
        <f t="shared" si="18"/>
        <v>5370.769999999985</v>
      </c>
      <c r="H689" s="334"/>
      <c r="I689" s="335"/>
      <c r="J689" s="336"/>
      <c r="K689" s="301"/>
      <c r="L689" s="336"/>
      <c r="M689" s="301"/>
      <c r="N689" s="336"/>
      <c r="O689" s="301"/>
      <c r="P689" s="336"/>
      <c r="Q689" s="301"/>
      <c r="R689" s="336"/>
      <c r="S689" s="301"/>
      <c r="T689" s="336"/>
    </row>
    <row r="690" spans="1:20" ht="12" customHeight="1" x14ac:dyDescent="0.3">
      <c r="A690" s="329" t="s">
        <v>289</v>
      </c>
      <c r="B690" s="330">
        <v>2</v>
      </c>
      <c r="C690" s="298">
        <v>46130</v>
      </c>
      <c r="D690" s="299" t="s">
        <v>330</v>
      </c>
      <c r="E690" s="331">
        <v>26</v>
      </c>
      <c r="F690" s="331"/>
      <c r="G690" s="333">
        <f t="shared" si="18"/>
        <v>5446.3199999999852</v>
      </c>
      <c r="H690" s="334"/>
      <c r="I690" s="335"/>
      <c r="J690" s="336"/>
      <c r="K690" s="301"/>
      <c r="L690" s="336"/>
      <c r="M690" s="301"/>
      <c r="N690" s="336"/>
      <c r="O690" s="301"/>
      <c r="P690" s="336"/>
      <c r="Q690" s="301"/>
      <c r="R690" s="336"/>
      <c r="S690" s="301"/>
      <c r="T690" s="336"/>
    </row>
    <row r="691" spans="1:20" ht="12" customHeight="1" x14ac:dyDescent="0.3">
      <c r="A691" s="329" t="s">
        <v>289</v>
      </c>
      <c r="B691" s="330">
        <v>1</v>
      </c>
      <c r="C691" s="298">
        <v>46130</v>
      </c>
      <c r="D691" s="299" t="s">
        <v>311</v>
      </c>
      <c r="E691" s="331">
        <v>25.28</v>
      </c>
      <c r="F691" s="331"/>
      <c r="G691" s="333">
        <f t="shared" si="18"/>
        <v>5472.3199999999852</v>
      </c>
      <c r="H691" s="334"/>
      <c r="I691" s="335"/>
      <c r="J691" s="336"/>
      <c r="K691" s="301"/>
      <c r="L691" s="336"/>
      <c r="M691" s="301"/>
      <c r="N691" s="336"/>
      <c r="O691" s="301"/>
      <c r="P691" s="336"/>
      <c r="Q691" s="301"/>
      <c r="R691" s="336"/>
      <c r="S691" s="301"/>
      <c r="T691" s="336"/>
    </row>
    <row r="692" spans="1:20" ht="12" customHeight="1" x14ac:dyDescent="0.3">
      <c r="A692" s="329" t="s">
        <v>289</v>
      </c>
      <c r="B692" s="330">
        <v>3</v>
      </c>
      <c r="C692" s="298">
        <v>46130</v>
      </c>
      <c r="D692" s="299" t="s">
        <v>296</v>
      </c>
      <c r="E692" s="331">
        <v>7.76</v>
      </c>
      <c r="F692" s="331"/>
      <c r="G692" s="333">
        <f t="shared" si="18"/>
        <v>5497.5999999999849</v>
      </c>
      <c r="H692" s="334"/>
      <c r="I692" s="335"/>
      <c r="J692" s="336"/>
      <c r="K692" s="301"/>
      <c r="L692" s="336"/>
      <c r="M692" s="301"/>
      <c r="N692" s="336"/>
      <c r="O692" s="301"/>
      <c r="P692" s="336"/>
      <c r="Q692" s="301"/>
      <c r="R692" s="336"/>
      <c r="S692" s="301"/>
      <c r="T692" s="336"/>
    </row>
    <row r="693" spans="1:20" ht="12" customHeight="1" x14ac:dyDescent="0.3">
      <c r="A693" s="329" t="s">
        <v>294</v>
      </c>
      <c r="B693" s="330">
        <v>22</v>
      </c>
      <c r="C693" s="298">
        <v>46130</v>
      </c>
      <c r="D693" s="299" t="s">
        <v>401</v>
      </c>
      <c r="E693" s="331">
        <v>13.84</v>
      </c>
      <c r="F693" s="331"/>
      <c r="G693" s="333">
        <f t="shared" si="18"/>
        <v>5505.3599999999851</v>
      </c>
      <c r="H693" s="334"/>
      <c r="I693" s="335"/>
      <c r="J693" s="336"/>
      <c r="K693" s="301"/>
      <c r="L693" s="336"/>
      <c r="M693" s="301"/>
      <c r="N693" s="336"/>
      <c r="O693" s="301"/>
      <c r="P693" s="336"/>
      <c r="Q693" s="301"/>
      <c r="R693" s="336"/>
      <c r="S693" s="301"/>
      <c r="T693" s="336"/>
    </row>
    <row r="694" spans="1:20" ht="12" customHeight="1" x14ac:dyDescent="0.3">
      <c r="A694" s="329" t="s">
        <v>287</v>
      </c>
      <c r="B694" s="330" t="s">
        <v>287</v>
      </c>
      <c r="C694" s="298">
        <v>46130</v>
      </c>
      <c r="D694" s="299" t="s">
        <v>331</v>
      </c>
      <c r="E694" s="331">
        <v>578.57000000000005</v>
      </c>
      <c r="F694" s="331">
        <v>578.57000000000005</v>
      </c>
      <c r="G694" s="333">
        <f t="shared" si="18"/>
        <v>5519.1999999999853</v>
      </c>
      <c r="H694" s="334"/>
      <c r="I694" s="335"/>
      <c r="J694" s="336"/>
      <c r="K694" s="301"/>
      <c r="L694" s="336"/>
      <c r="M694" s="301"/>
      <c r="N694" s="336"/>
      <c r="O694" s="301"/>
      <c r="P694" s="336"/>
      <c r="Q694" s="301"/>
      <c r="R694" s="336"/>
      <c r="S694" s="301"/>
      <c r="T694" s="336"/>
    </row>
    <row r="695" spans="1:20" ht="12" customHeight="1" x14ac:dyDescent="0.3">
      <c r="A695" s="329" t="s">
        <v>289</v>
      </c>
      <c r="B695" s="330">
        <v>2</v>
      </c>
      <c r="C695" s="298">
        <v>46129</v>
      </c>
      <c r="D695" s="299" t="s">
        <v>324</v>
      </c>
      <c r="E695" s="331">
        <v>12.84</v>
      </c>
      <c r="F695" s="331"/>
      <c r="G695" s="333">
        <f t="shared" si="18"/>
        <v>5519.1999999999853</v>
      </c>
      <c r="H695" s="334"/>
      <c r="I695" s="335"/>
      <c r="J695" s="336"/>
      <c r="K695" s="301"/>
      <c r="L695" s="336"/>
      <c r="M695" s="301"/>
      <c r="N695" s="336"/>
      <c r="O695" s="301"/>
      <c r="P695" s="336"/>
      <c r="Q695" s="301"/>
      <c r="R695" s="336"/>
      <c r="S695" s="301"/>
      <c r="T695" s="336"/>
    </row>
    <row r="696" spans="1:20" ht="12" customHeight="1" x14ac:dyDescent="0.3">
      <c r="A696" s="329" t="s">
        <v>289</v>
      </c>
      <c r="B696" s="330">
        <v>2</v>
      </c>
      <c r="C696" s="298">
        <v>46129</v>
      </c>
      <c r="D696" s="299" t="s">
        <v>332</v>
      </c>
      <c r="E696" s="331">
        <v>59.71</v>
      </c>
      <c r="F696" s="331"/>
      <c r="G696" s="333">
        <f t="shared" si="18"/>
        <v>5532.0399999999854</v>
      </c>
      <c r="H696" s="334"/>
      <c r="I696" s="335"/>
      <c r="J696" s="336"/>
      <c r="K696" s="301"/>
      <c r="L696" s="336"/>
      <c r="M696" s="301"/>
      <c r="N696" s="336"/>
      <c r="O696" s="301"/>
      <c r="P696" s="336"/>
      <c r="Q696" s="301"/>
      <c r="R696" s="336"/>
      <c r="S696" s="301"/>
      <c r="T696" s="336"/>
    </row>
    <row r="697" spans="1:20" ht="12" customHeight="1" x14ac:dyDescent="0.3">
      <c r="A697" s="329" t="s">
        <v>294</v>
      </c>
      <c r="B697" s="330">
        <v>21</v>
      </c>
      <c r="C697" s="298">
        <v>46129</v>
      </c>
      <c r="D697" s="299" t="s">
        <v>194</v>
      </c>
      <c r="E697" s="331">
        <v>75.599999999999994</v>
      </c>
      <c r="F697" s="331"/>
      <c r="G697" s="333">
        <f t="shared" si="18"/>
        <v>5591.7499999999854</v>
      </c>
      <c r="H697" s="334"/>
      <c r="I697" s="335"/>
      <c r="J697" s="336"/>
      <c r="K697" s="301"/>
      <c r="L697" s="336"/>
      <c r="M697" s="301"/>
      <c r="N697" s="336"/>
      <c r="O697" s="301"/>
      <c r="P697" s="336"/>
      <c r="Q697" s="301"/>
      <c r="R697" s="336"/>
      <c r="S697" s="301"/>
      <c r="T697" s="336"/>
    </row>
    <row r="698" spans="1:20" ht="12" customHeight="1" x14ac:dyDescent="0.3">
      <c r="A698" s="329" t="s">
        <v>294</v>
      </c>
      <c r="B698" s="330">
        <v>43</v>
      </c>
      <c r="C698" s="298">
        <v>46129</v>
      </c>
      <c r="D698" s="299" t="s">
        <v>333</v>
      </c>
      <c r="E698" s="331">
        <v>22.35</v>
      </c>
      <c r="F698" s="331"/>
      <c r="G698" s="333">
        <f t="shared" si="18"/>
        <v>5667.3499999999858</v>
      </c>
      <c r="H698" s="334"/>
      <c r="I698" s="335"/>
      <c r="J698" s="336"/>
      <c r="K698" s="301"/>
      <c r="L698" s="336"/>
      <c r="M698" s="301"/>
      <c r="N698" s="336"/>
      <c r="O698" s="301"/>
      <c r="P698" s="336"/>
      <c r="Q698" s="301"/>
      <c r="R698" s="336"/>
      <c r="S698" s="301"/>
      <c r="T698" s="336"/>
    </row>
    <row r="699" spans="1:20" ht="12" customHeight="1" x14ac:dyDescent="0.3">
      <c r="A699" s="329" t="s">
        <v>294</v>
      </c>
      <c r="B699" s="330">
        <v>42</v>
      </c>
      <c r="C699" s="298">
        <v>46129</v>
      </c>
      <c r="D699" s="299" t="s">
        <v>333</v>
      </c>
      <c r="E699" s="331">
        <v>37.25</v>
      </c>
      <c r="F699" s="331"/>
      <c r="G699" s="333">
        <f t="shared" si="18"/>
        <v>5689.6999999999862</v>
      </c>
      <c r="H699" s="334"/>
      <c r="I699" s="335"/>
      <c r="J699" s="336"/>
      <c r="K699" s="301"/>
      <c r="L699" s="336"/>
      <c r="M699" s="301"/>
      <c r="N699" s="336"/>
      <c r="O699" s="301"/>
      <c r="P699" s="336"/>
      <c r="Q699" s="301"/>
      <c r="R699" s="336"/>
      <c r="S699" s="301"/>
      <c r="T699" s="336"/>
    </row>
    <row r="700" spans="1:20" ht="12" customHeight="1" x14ac:dyDescent="0.3">
      <c r="A700" s="329" t="s">
        <v>289</v>
      </c>
      <c r="B700" s="330">
        <v>8</v>
      </c>
      <c r="C700" s="298">
        <v>46129</v>
      </c>
      <c r="D700" s="299" t="s">
        <v>319</v>
      </c>
      <c r="E700" s="331">
        <v>35.119999999999997</v>
      </c>
      <c r="F700" s="331"/>
      <c r="G700" s="333">
        <f t="shared" si="18"/>
        <v>5726.9499999999862</v>
      </c>
      <c r="H700" s="334"/>
      <c r="I700" s="335"/>
      <c r="J700" s="336"/>
      <c r="K700" s="301"/>
      <c r="L700" s="336"/>
      <c r="M700" s="301"/>
      <c r="N700" s="336"/>
      <c r="O700" s="301"/>
      <c r="P700" s="336"/>
      <c r="Q700" s="301"/>
      <c r="R700" s="336"/>
      <c r="S700" s="301"/>
      <c r="T700" s="336"/>
    </row>
    <row r="701" spans="1:20" ht="12" customHeight="1" x14ac:dyDescent="0.3">
      <c r="A701" s="329" t="s">
        <v>289</v>
      </c>
      <c r="B701" s="330">
        <v>3</v>
      </c>
      <c r="C701" s="298">
        <v>46129</v>
      </c>
      <c r="D701" s="299" t="s">
        <v>296</v>
      </c>
      <c r="E701" s="331">
        <v>8.7200000000000006</v>
      </c>
      <c r="F701" s="331"/>
      <c r="G701" s="333">
        <f t="shared" si="18"/>
        <v>5762.0699999999861</v>
      </c>
      <c r="H701" s="334"/>
      <c r="I701" s="335"/>
      <c r="J701" s="336"/>
      <c r="K701" s="301"/>
      <c r="L701" s="336"/>
      <c r="M701" s="301"/>
      <c r="N701" s="336"/>
      <c r="O701" s="301"/>
      <c r="P701" s="336"/>
      <c r="Q701" s="301"/>
      <c r="R701" s="336"/>
      <c r="S701" s="301"/>
      <c r="T701" s="336"/>
    </row>
    <row r="702" spans="1:20" ht="12" customHeight="1" x14ac:dyDescent="0.3">
      <c r="A702" s="329" t="s">
        <v>289</v>
      </c>
      <c r="B702" s="330">
        <v>2</v>
      </c>
      <c r="C702" s="298">
        <v>46129</v>
      </c>
      <c r="D702" s="299" t="s">
        <v>334</v>
      </c>
      <c r="E702" s="331">
        <v>13.21</v>
      </c>
      <c r="F702" s="331"/>
      <c r="G702" s="333">
        <f t="shared" si="18"/>
        <v>5770.7899999999863</v>
      </c>
      <c r="H702" s="334"/>
      <c r="I702" s="335"/>
      <c r="J702" s="336"/>
      <c r="K702" s="301"/>
      <c r="L702" s="336"/>
      <c r="M702" s="301"/>
      <c r="N702" s="336"/>
      <c r="O702" s="301"/>
      <c r="P702" s="336"/>
      <c r="Q702" s="301"/>
      <c r="R702" s="336"/>
      <c r="S702" s="301"/>
      <c r="T702" s="336"/>
    </row>
    <row r="703" spans="1:20" ht="12" customHeight="1" x14ac:dyDescent="0.3">
      <c r="A703" s="329" t="s">
        <v>294</v>
      </c>
      <c r="B703" s="330">
        <v>17</v>
      </c>
      <c r="C703" s="298">
        <v>46129</v>
      </c>
      <c r="D703" s="299" t="s">
        <v>188</v>
      </c>
      <c r="E703" s="331">
        <v>42.65</v>
      </c>
      <c r="F703" s="331"/>
      <c r="G703" s="333">
        <f t="shared" si="18"/>
        <v>5783.9999999999864</v>
      </c>
      <c r="H703" s="334"/>
      <c r="I703" s="335"/>
      <c r="J703" s="336"/>
      <c r="K703" s="301"/>
      <c r="L703" s="336"/>
      <c r="M703" s="301"/>
      <c r="N703" s="336"/>
      <c r="O703" s="301"/>
      <c r="P703" s="336"/>
      <c r="Q703" s="301"/>
      <c r="R703" s="336"/>
      <c r="S703" s="301"/>
      <c r="T703" s="336"/>
    </row>
    <row r="704" spans="1:20" ht="12" customHeight="1" x14ac:dyDescent="0.3">
      <c r="A704" s="329" t="s">
        <v>335</v>
      </c>
      <c r="B704" s="330" t="s">
        <v>335</v>
      </c>
      <c r="C704" s="298">
        <v>46129</v>
      </c>
      <c r="D704" s="299" t="s">
        <v>336</v>
      </c>
      <c r="E704" s="331">
        <v>130.31</v>
      </c>
      <c r="F704" s="331"/>
      <c r="G704" s="333">
        <f t="shared" si="18"/>
        <v>5826.649999999986</v>
      </c>
      <c r="H704" s="334"/>
      <c r="I704" s="335"/>
      <c r="J704" s="336"/>
      <c r="K704" s="301"/>
      <c r="L704" s="336"/>
      <c r="M704" s="301"/>
      <c r="N704" s="336"/>
      <c r="O704" s="301"/>
      <c r="P704" s="336"/>
      <c r="Q704" s="301"/>
      <c r="R704" s="336"/>
      <c r="S704" s="301"/>
      <c r="T704" s="336"/>
    </row>
    <row r="705" spans="1:20" ht="12" customHeight="1" x14ac:dyDescent="0.3">
      <c r="A705" s="329" t="s">
        <v>294</v>
      </c>
      <c r="B705" s="330">
        <v>15</v>
      </c>
      <c r="C705" s="298">
        <v>46129</v>
      </c>
      <c r="D705" s="299" t="s">
        <v>185</v>
      </c>
      <c r="E705" s="331">
        <v>131.22999999999999</v>
      </c>
      <c r="F705" s="331"/>
      <c r="G705" s="333">
        <f t="shared" si="18"/>
        <v>5956.9599999999864</v>
      </c>
      <c r="H705" s="334"/>
      <c r="I705" s="335"/>
      <c r="J705" s="336"/>
      <c r="K705" s="301"/>
      <c r="L705" s="336"/>
      <c r="M705" s="301"/>
      <c r="N705" s="336"/>
      <c r="O705" s="301"/>
      <c r="P705" s="336"/>
      <c r="Q705" s="301"/>
      <c r="R705" s="336"/>
      <c r="S705" s="301"/>
      <c r="T705" s="336"/>
    </row>
    <row r="706" spans="1:20" ht="12" customHeight="1" x14ac:dyDescent="0.3">
      <c r="A706" s="329" t="s">
        <v>289</v>
      </c>
      <c r="B706" s="330">
        <v>6</v>
      </c>
      <c r="C706" s="298">
        <v>46129</v>
      </c>
      <c r="D706" s="299" t="s">
        <v>337</v>
      </c>
      <c r="E706" s="331">
        <v>210</v>
      </c>
      <c r="F706" s="331"/>
      <c r="G706" s="333">
        <f t="shared" si="18"/>
        <v>6088.189999999986</v>
      </c>
      <c r="H706" s="334"/>
      <c r="I706" s="335"/>
      <c r="J706" s="336"/>
      <c r="K706" s="301"/>
      <c r="L706" s="336"/>
      <c r="M706" s="301"/>
      <c r="N706" s="336"/>
      <c r="O706" s="301"/>
      <c r="P706" s="336"/>
      <c r="Q706" s="301"/>
      <c r="R706" s="336"/>
      <c r="S706" s="301"/>
      <c r="T706" s="336"/>
    </row>
    <row r="707" spans="1:20" ht="12" customHeight="1" x14ac:dyDescent="0.3">
      <c r="A707" s="329" t="s">
        <v>294</v>
      </c>
      <c r="B707" s="330">
        <v>23</v>
      </c>
      <c r="C707" s="298">
        <v>46129</v>
      </c>
      <c r="D707" s="299" t="s">
        <v>63</v>
      </c>
      <c r="E707" s="331">
        <v>529.46</v>
      </c>
      <c r="F707" s="331"/>
      <c r="G707" s="333">
        <f t="shared" si="18"/>
        <v>6298.189999999986</v>
      </c>
      <c r="H707" s="334"/>
      <c r="I707" s="335"/>
      <c r="J707" s="336"/>
      <c r="K707" s="301"/>
      <c r="L707" s="336"/>
      <c r="M707" s="301"/>
      <c r="N707" s="336"/>
      <c r="O707" s="301"/>
      <c r="P707" s="336"/>
      <c r="Q707" s="301"/>
      <c r="R707" s="336"/>
      <c r="S707" s="301"/>
      <c r="T707" s="336"/>
    </row>
    <row r="708" spans="1:20" ht="12" customHeight="1" x14ac:dyDescent="0.3">
      <c r="A708" s="329" t="s">
        <v>289</v>
      </c>
      <c r="B708" s="330">
        <v>7</v>
      </c>
      <c r="C708" s="298">
        <v>46129</v>
      </c>
      <c r="D708" s="299" t="s">
        <v>338</v>
      </c>
      <c r="E708" s="331">
        <v>32.78</v>
      </c>
      <c r="F708" s="331"/>
      <c r="G708" s="333">
        <f t="shared" si="18"/>
        <v>6827.649999999986</v>
      </c>
      <c r="H708" s="334"/>
      <c r="I708" s="335"/>
      <c r="J708" s="336"/>
      <c r="K708" s="301"/>
      <c r="L708" s="336"/>
      <c r="M708" s="301"/>
      <c r="N708" s="336"/>
      <c r="O708" s="301"/>
      <c r="P708" s="336"/>
      <c r="Q708" s="301"/>
      <c r="R708" s="336"/>
      <c r="S708" s="301"/>
      <c r="T708" s="336"/>
    </row>
    <row r="709" spans="1:20" ht="12" customHeight="1" x14ac:dyDescent="0.3">
      <c r="A709" s="329" t="s">
        <v>289</v>
      </c>
      <c r="B709" s="330">
        <v>4</v>
      </c>
      <c r="C709" s="298">
        <v>46128</v>
      </c>
      <c r="D709" s="299" t="s">
        <v>310</v>
      </c>
      <c r="E709" s="331">
        <v>44.41</v>
      </c>
      <c r="F709" s="331"/>
      <c r="G709" s="333">
        <f t="shared" si="18"/>
        <v>6860.4299999999857</v>
      </c>
      <c r="H709" s="334"/>
      <c r="I709" s="335"/>
      <c r="J709" s="336"/>
      <c r="K709" s="301"/>
      <c r="L709" s="336"/>
      <c r="M709" s="301"/>
      <c r="N709" s="336"/>
      <c r="O709" s="301"/>
      <c r="P709" s="336"/>
      <c r="Q709" s="301"/>
      <c r="R709" s="336"/>
      <c r="S709" s="301"/>
      <c r="T709" s="336"/>
    </row>
    <row r="710" spans="1:20" ht="12" customHeight="1" x14ac:dyDescent="0.3">
      <c r="A710" s="329" t="s">
        <v>294</v>
      </c>
      <c r="B710" s="330">
        <v>16</v>
      </c>
      <c r="C710" s="298">
        <v>46128</v>
      </c>
      <c r="D710" s="299" t="s">
        <v>339</v>
      </c>
      <c r="E710" s="331">
        <v>15</v>
      </c>
      <c r="F710" s="331"/>
      <c r="G710" s="333">
        <f t="shared" si="18"/>
        <v>6904.8399999999856</v>
      </c>
      <c r="H710" s="334"/>
      <c r="I710" s="335"/>
      <c r="J710" s="336"/>
      <c r="K710" s="301"/>
      <c r="L710" s="336"/>
      <c r="M710" s="301"/>
      <c r="N710" s="336"/>
      <c r="O710" s="301"/>
      <c r="P710" s="336"/>
      <c r="Q710" s="301"/>
      <c r="R710" s="336"/>
      <c r="S710" s="301"/>
      <c r="T710" s="336"/>
    </row>
    <row r="711" spans="1:20" ht="12" customHeight="1" x14ac:dyDescent="0.3">
      <c r="A711" s="329" t="s">
        <v>289</v>
      </c>
      <c r="B711" s="330">
        <v>2</v>
      </c>
      <c r="C711" s="298">
        <v>46128</v>
      </c>
      <c r="D711" s="299" t="s">
        <v>301</v>
      </c>
      <c r="E711" s="331">
        <v>41.95</v>
      </c>
      <c r="F711" s="331"/>
      <c r="G711" s="333">
        <f t="shared" si="18"/>
        <v>6919.8399999999856</v>
      </c>
      <c r="H711" s="334"/>
      <c r="I711" s="335"/>
      <c r="J711" s="336"/>
      <c r="K711" s="301"/>
      <c r="L711" s="336"/>
      <c r="M711" s="301"/>
      <c r="N711" s="336"/>
      <c r="O711" s="301"/>
      <c r="P711" s="336"/>
      <c r="Q711" s="301"/>
      <c r="R711" s="336"/>
      <c r="S711" s="301"/>
      <c r="T711" s="336"/>
    </row>
    <row r="712" spans="1:20" ht="12" customHeight="1" x14ac:dyDescent="0.3">
      <c r="A712" s="329" t="s">
        <v>289</v>
      </c>
      <c r="B712" s="330">
        <v>5</v>
      </c>
      <c r="C712" s="298">
        <v>46128</v>
      </c>
      <c r="D712" s="299" t="s">
        <v>340</v>
      </c>
      <c r="E712" s="331">
        <v>21.3</v>
      </c>
      <c r="F712" s="331"/>
      <c r="G712" s="333">
        <f t="shared" si="18"/>
        <v>6961.7899999999854</v>
      </c>
      <c r="H712" s="334"/>
      <c r="I712" s="335"/>
      <c r="J712" s="336"/>
      <c r="K712" s="301"/>
      <c r="L712" s="336"/>
      <c r="M712" s="301"/>
      <c r="N712" s="336"/>
      <c r="O712" s="301"/>
      <c r="P712" s="336"/>
      <c r="Q712" s="301"/>
      <c r="R712" s="336"/>
      <c r="S712" s="301"/>
      <c r="T712" s="336"/>
    </row>
    <row r="713" spans="1:20" ht="12" customHeight="1" x14ac:dyDescent="0.3">
      <c r="A713" s="329" t="s">
        <v>289</v>
      </c>
      <c r="B713" s="330">
        <v>4</v>
      </c>
      <c r="C713" s="298">
        <v>46128</v>
      </c>
      <c r="D713" s="299" t="s">
        <v>296</v>
      </c>
      <c r="E713" s="331">
        <v>70.03</v>
      </c>
      <c r="F713" s="331"/>
      <c r="G713" s="333">
        <f t="shared" si="18"/>
        <v>6983.0899999999856</v>
      </c>
      <c r="H713" s="334"/>
      <c r="I713" s="335"/>
      <c r="J713" s="336"/>
      <c r="K713" s="301"/>
      <c r="L713" s="336"/>
      <c r="M713" s="301"/>
      <c r="N713" s="336"/>
      <c r="O713" s="301"/>
      <c r="P713" s="336"/>
      <c r="Q713" s="301"/>
      <c r="R713" s="336"/>
      <c r="S713" s="301"/>
      <c r="T713" s="336"/>
    </row>
    <row r="714" spans="1:20" ht="12" customHeight="1" x14ac:dyDescent="0.3">
      <c r="A714" s="329" t="s">
        <v>289</v>
      </c>
      <c r="B714" s="330">
        <v>2</v>
      </c>
      <c r="C714" s="298">
        <v>46128</v>
      </c>
      <c r="D714" s="299" t="s">
        <v>296</v>
      </c>
      <c r="E714" s="331">
        <v>11.48</v>
      </c>
      <c r="F714" s="331"/>
      <c r="G714" s="333">
        <f t="shared" si="18"/>
        <v>7053.1199999999853</v>
      </c>
      <c r="H714" s="334"/>
      <c r="I714" s="335"/>
      <c r="J714" s="336"/>
      <c r="K714" s="301"/>
      <c r="L714" s="336"/>
      <c r="M714" s="301"/>
      <c r="N714" s="336"/>
      <c r="O714" s="301"/>
      <c r="P714" s="336"/>
      <c r="Q714" s="301"/>
      <c r="R714" s="336"/>
      <c r="S714" s="301"/>
      <c r="T714" s="336"/>
    </row>
    <row r="715" spans="1:20" ht="12" customHeight="1" x14ac:dyDescent="0.3">
      <c r="A715" s="329" t="s">
        <v>289</v>
      </c>
      <c r="B715" s="330">
        <v>6</v>
      </c>
      <c r="C715" s="298">
        <v>46128</v>
      </c>
      <c r="D715" s="299" t="s">
        <v>341</v>
      </c>
      <c r="E715" s="331">
        <v>26.61</v>
      </c>
      <c r="F715" s="331"/>
      <c r="G715" s="333">
        <f t="shared" si="18"/>
        <v>7064.5999999999849</v>
      </c>
      <c r="H715" s="334"/>
      <c r="I715" s="335"/>
      <c r="J715" s="336"/>
      <c r="K715" s="301"/>
      <c r="L715" s="336"/>
      <c r="M715" s="301"/>
      <c r="N715" s="336"/>
      <c r="O715" s="301"/>
      <c r="P715" s="336"/>
      <c r="Q715" s="301"/>
      <c r="R715" s="336"/>
      <c r="S715" s="301"/>
      <c r="T715" s="336"/>
    </row>
    <row r="716" spans="1:20" ht="12" customHeight="1" x14ac:dyDescent="0.3">
      <c r="A716" s="329" t="s">
        <v>289</v>
      </c>
      <c r="B716" s="330">
        <v>6</v>
      </c>
      <c r="C716" s="298">
        <v>46128</v>
      </c>
      <c r="D716" s="299" t="s">
        <v>342</v>
      </c>
      <c r="E716" s="331">
        <v>42.59</v>
      </c>
      <c r="F716" s="331"/>
      <c r="G716" s="333">
        <f t="shared" si="18"/>
        <v>7091.2099999999846</v>
      </c>
      <c r="H716" s="334"/>
      <c r="I716" s="335"/>
      <c r="J716" s="336"/>
      <c r="K716" s="301"/>
      <c r="L716" s="336"/>
      <c r="M716" s="301"/>
      <c r="N716" s="336"/>
      <c r="O716" s="301"/>
      <c r="P716" s="336"/>
      <c r="Q716" s="301"/>
      <c r="R716" s="336"/>
      <c r="S716" s="301"/>
      <c r="T716" s="336"/>
    </row>
    <row r="717" spans="1:20" ht="12" customHeight="1" x14ac:dyDescent="0.3">
      <c r="A717" s="329" t="s">
        <v>289</v>
      </c>
      <c r="B717" s="330">
        <v>6</v>
      </c>
      <c r="C717" s="298">
        <v>46128</v>
      </c>
      <c r="D717" s="299" t="s">
        <v>300</v>
      </c>
      <c r="E717" s="331">
        <v>20.58</v>
      </c>
      <c r="F717" s="331"/>
      <c r="G717" s="333">
        <f t="shared" si="18"/>
        <v>7133.7999999999847</v>
      </c>
      <c r="H717" s="334"/>
      <c r="I717" s="335"/>
      <c r="J717" s="336"/>
      <c r="K717" s="301"/>
      <c r="L717" s="336"/>
      <c r="M717" s="301"/>
      <c r="N717" s="336"/>
      <c r="O717" s="301"/>
      <c r="P717" s="336"/>
      <c r="Q717" s="301"/>
      <c r="R717" s="336"/>
      <c r="S717" s="301"/>
      <c r="T717" s="336"/>
    </row>
    <row r="718" spans="1:20" ht="12" customHeight="1" x14ac:dyDescent="0.3">
      <c r="A718" s="329" t="s">
        <v>294</v>
      </c>
      <c r="B718" s="330">
        <v>11</v>
      </c>
      <c r="C718" s="298">
        <v>46128</v>
      </c>
      <c r="D718" s="299" t="s">
        <v>178</v>
      </c>
      <c r="E718" s="331">
        <v>267.91000000000003</v>
      </c>
      <c r="F718" s="331"/>
      <c r="G718" s="333">
        <f t="shared" si="18"/>
        <v>7154.3799999999846</v>
      </c>
      <c r="H718" s="334"/>
      <c r="I718" s="335"/>
      <c r="J718" s="336"/>
      <c r="K718" s="301"/>
      <c r="L718" s="336"/>
      <c r="M718" s="301"/>
      <c r="N718" s="336"/>
      <c r="O718" s="301"/>
      <c r="P718" s="336"/>
      <c r="Q718" s="301"/>
      <c r="R718" s="336"/>
      <c r="S718" s="301"/>
      <c r="T718" s="336"/>
    </row>
    <row r="719" spans="1:20" ht="12" customHeight="1" x14ac:dyDescent="0.3">
      <c r="A719" s="329" t="s">
        <v>291</v>
      </c>
      <c r="B719" s="330">
        <v>41</v>
      </c>
      <c r="C719" s="298">
        <v>46128</v>
      </c>
      <c r="D719" s="299" t="s">
        <v>299</v>
      </c>
      <c r="E719" s="331"/>
      <c r="F719" s="331">
        <v>300</v>
      </c>
      <c r="G719" s="333">
        <f t="shared" si="18"/>
        <v>7422.2899999999845</v>
      </c>
      <c r="H719" s="334"/>
      <c r="I719" s="335"/>
      <c r="J719" s="336"/>
      <c r="K719" s="301"/>
      <c r="L719" s="336"/>
      <c r="M719" s="301"/>
      <c r="N719" s="336"/>
      <c r="O719" s="301"/>
      <c r="P719" s="336"/>
      <c r="Q719" s="301"/>
      <c r="R719" s="336"/>
      <c r="S719" s="301"/>
      <c r="T719" s="336"/>
    </row>
    <row r="720" spans="1:20" ht="12" customHeight="1" x14ac:dyDescent="0.3">
      <c r="A720" s="329" t="s">
        <v>291</v>
      </c>
      <c r="B720" s="330">
        <v>39</v>
      </c>
      <c r="C720" s="298">
        <v>46128</v>
      </c>
      <c r="D720" s="299" t="s">
        <v>292</v>
      </c>
      <c r="E720" s="331"/>
      <c r="F720" s="331">
        <v>2763.78</v>
      </c>
      <c r="G720" s="333">
        <f t="shared" si="18"/>
        <v>7122.2899999999845</v>
      </c>
      <c r="H720" s="334"/>
      <c r="I720" s="335"/>
      <c r="J720" s="336"/>
      <c r="K720" s="301"/>
      <c r="L720" s="336"/>
      <c r="M720" s="301"/>
      <c r="N720" s="336"/>
      <c r="O720" s="301"/>
      <c r="P720" s="336"/>
      <c r="Q720" s="301"/>
      <c r="R720" s="336"/>
      <c r="S720" s="301"/>
      <c r="T720" s="336"/>
    </row>
    <row r="721" spans="1:20" ht="12" customHeight="1" x14ac:dyDescent="0.3">
      <c r="A721" s="329" t="s">
        <v>287</v>
      </c>
      <c r="B721" s="330" t="s">
        <v>287</v>
      </c>
      <c r="C721" s="298">
        <v>46127</v>
      </c>
      <c r="D721" s="299" t="s">
        <v>343</v>
      </c>
      <c r="E721" s="331">
        <v>93.71</v>
      </c>
      <c r="F721" s="331">
        <v>93.71</v>
      </c>
      <c r="G721" s="333">
        <f t="shared" si="18"/>
        <v>4358.5099999999848</v>
      </c>
      <c r="H721" s="334"/>
      <c r="I721" s="335"/>
      <c r="J721" s="336"/>
      <c r="K721" s="301"/>
      <c r="L721" s="336"/>
      <c r="M721" s="301"/>
      <c r="N721" s="336"/>
      <c r="O721" s="301"/>
      <c r="P721" s="336"/>
      <c r="Q721" s="301"/>
      <c r="R721" s="336"/>
      <c r="S721" s="301"/>
      <c r="T721" s="336"/>
    </row>
    <row r="722" spans="1:20" ht="12" customHeight="1" x14ac:dyDescent="0.3">
      <c r="A722" s="329" t="s">
        <v>289</v>
      </c>
      <c r="B722" s="330">
        <v>6</v>
      </c>
      <c r="C722" s="298">
        <v>46127</v>
      </c>
      <c r="D722" s="299" t="s">
        <v>344</v>
      </c>
      <c r="E722" s="331">
        <v>27</v>
      </c>
      <c r="F722" s="331"/>
      <c r="G722" s="333">
        <f t="shared" si="18"/>
        <v>4358.5099999999848</v>
      </c>
      <c r="H722" s="334"/>
      <c r="I722" s="335"/>
      <c r="J722" s="336"/>
      <c r="K722" s="301"/>
      <c r="L722" s="336"/>
      <c r="M722" s="301"/>
      <c r="N722" s="336"/>
      <c r="O722" s="301"/>
      <c r="P722" s="336"/>
      <c r="Q722" s="301"/>
      <c r="R722" s="336"/>
      <c r="S722" s="301"/>
      <c r="T722" s="336"/>
    </row>
    <row r="723" spans="1:20" ht="12" customHeight="1" x14ac:dyDescent="0.3">
      <c r="A723" s="329" t="s">
        <v>291</v>
      </c>
      <c r="B723" s="330">
        <v>38</v>
      </c>
      <c r="C723" s="298">
        <v>46127</v>
      </c>
      <c r="D723" s="299" t="s">
        <v>293</v>
      </c>
      <c r="E723" s="331"/>
      <c r="F723" s="331">
        <v>4597.82</v>
      </c>
      <c r="G723" s="333">
        <f t="shared" si="18"/>
        <v>4385.5099999999848</v>
      </c>
      <c r="H723" s="334"/>
      <c r="I723" s="335"/>
      <c r="J723" s="336"/>
      <c r="K723" s="301"/>
      <c r="L723" s="336"/>
      <c r="M723" s="301"/>
      <c r="N723" s="336"/>
      <c r="O723" s="301"/>
      <c r="P723" s="336"/>
      <c r="Q723" s="301"/>
      <c r="R723" s="336"/>
      <c r="S723" s="301"/>
      <c r="T723" s="336"/>
    </row>
    <row r="724" spans="1:20" ht="12" customHeight="1" x14ac:dyDescent="0.3">
      <c r="A724" s="329" t="s">
        <v>289</v>
      </c>
      <c r="B724" s="330">
        <v>2</v>
      </c>
      <c r="C724" s="298">
        <v>46127</v>
      </c>
      <c r="D724" s="299" t="s">
        <v>296</v>
      </c>
      <c r="E724" s="331">
        <v>14.67</v>
      </c>
      <c r="F724" s="331"/>
      <c r="G724" s="333">
        <f t="shared" si="18"/>
        <v>-212.31000000001481</v>
      </c>
      <c r="H724" s="334"/>
      <c r="I724" s="335"/>
      <c r="J724" s="336"/>
      <c r="K724" s="301"/>
      <c r="L724" s="336"/>
      <c r="M724" s="301"/>
      <c r="N724" s="336"/>
      <c r="O724" s="301"/>
      <c r="P724" s="336"/>
      <c r="Q724" s="301"/>
      <c r="R724" s="336"/>
      <c r="S724" s="301"/>
      <c r="T724" s="336"/>
    </row>
    <row r="725" spans="1:20" ht="12" customHeight="1" x14ac:dyDescent="0.3">
      <c r="A725" s="329" t="s">
        <v>289</v>
      </c>
      <c r="B725" s="330">
        <v>2</v>
      </c>
      <c r="C725" s="298">
        <v>46127</v>
      </c>
      <c r="D725" s="299" t="s">
        <v>345</v>
      </c>
      <c r="E725" s="331">
        <v>102.2</v>
      </c>
      <c r="F725" s="331"/>
      <c r="G725" s="333">
        <f t="shared" si="18"/>
        <v>-197.64000000001482</v>
      </c>
      <c r="H725" s="334"/>
      <c r="I725" s="335"/>
      <c r="J725" s="336"/>
      <c r="K725" s="301"/>
      <c r="L725" s="336"/>
      <c r="M725" s="301"/>
      <c r="N725" s="336"/>
      <c r="O725" s="301"/>
      <c r="P725" s="336"/>
      <c r="Q725" s="301"/>
      <c r="R725" s="336"/>
      <c r="S725" s="301"/>
      <c r="T725" s="336"/>
    </row>
    <row r="726" spans="1:20" ht="12" customHeight="1" x14ac:dyDescent="0.3">
      <c r="A726" s="329" t="s">
        <v>289</v>
      </c>
      <c r="B726" s="330">
        <v>8</v>
      </c>
      <c r="C726" s="298">
        <v>46126</v>
      </c>
      <c r="D726" s="299" t="s">
        <v>319</v>
      </c>
      <c r="E726" s="331">
        <v>15.53</v>
      </c>
      <c r="F726" s="331"/>
      <c r="G726" s="333">
        <f t="shared" si="18"/>
        <v>-95.440000000014805</v>
      </c>
      <c r="H726" s="334"/>
      <c r="I726" s="335"/>
      <c r="J726" s="336"/>
      <c r="K726" s="301"/>
      <c r="L726" s="336"/>
      <c r="M726" s="301"/>
      <c r="N726" s="336"/>
      <c r="O726" s="301"/>
      <c r="P726" s="336"/>
      <c r="Q726" s="301"/>
      <c r="R726" s="336"/>
      <c r="S726" s="301"/>
      <c r="T726" s="336"/>
    </row>
    <row r="727" spans="1:20" ht="12" customHeight="1" x14ac:dyDescent="0.3">
      <c r="A727" s="329" t="s">
        <v>294</v>
      </c>
      <c r="B727" s="330">
        <v>24</v>
      </c>
      <c r="C727" s="298">
        <v>46126</v>
      </c>
      <c r="D727" s="299" t="s">
        <v>860</v>
      </c>
      <c r="E727" s="331">
        <v>105.33</v>
      </c>
      <c r="F727" s="331"/>
      <c r="G727" s="333">
        <f t="shared" si="18"/>
        <v>-79.910000000014804</v>
      </c>
      <c r="H727" s="334"/>
      <c r="I727" s="335"/>
      <c r="J727" s="336"/>
      <c r="K727" s="301"/>
      <c r="L727" s="336"/>
      <c r="M727" s="301"/>
      <c r="N727" s="336"/>
      <c r="O727" s="301"/>
      <c r="P727" s="336"/>
      <c r="Q727" s="301"/>
      <c r="R727" s="336"/>
      <c r="S727" s="301"/>
      <c r="T727" s="336"/>
    </row>
    <row r="728" spans="1:20" ht="12" customHeight="1" x14ac:dyDescent="0.3">
      <c r="A728" s="329" t="s">
        <v>289</v>
      </c>
      <c r="B728" s="330">
        <v>2</v>
      </c>
      <c r="C728" s="298">
        <v>46125</v>
      </c>
      <c r="D728" s="299" t="s">
        <v>346</v>
      </c>
      <c r="E728" s="331">
        <v>11.64</v>
      </c>
      <c r="F728" s="331"/>
      <c r="G728" s="333">
        <f t="shared" si="18"/>
        <v>25.419999999985201</v>
      </c>
      <c r="H728" s="334"/>
      <c r="I728" s="335"/>
      <c r="J728" s="336"/>
      <c r="K728" s="301"/>
      <c r="L728" s="336"/>
      <c r="M728" s="301"/>
      <c r="N728" s="336"/>
      <c r="O728" s="301"/>
      <c r="P728" s="336"/>
      <c r="Q728" s="301"/>
      <c r="R728" s="336"/>
      <c r="S728" s="301"/>
      <c r="T728" s="336"/>
    </row>
    <row r="729" spans="1:20" ht="12" customHeight="1" x14ac:dyDescent="0.3">
      <c r="A729" s="329" t="s">
        <v>289</v>
      </c>
      <c r="B729" s="330">
        <v>1</v>
      </c>
      <c r="C729" s="298">
        <v>46125</v>
      </c>
      <c r="D729" s="299" t="s">
        <v>306</v>
      </c>
      <c r="E729" s="331">
        <v>50.71</v>
      </c>
      <c r="F729" s="331"/>
      <c r="G729" s="333">
        <f t="shared" si="18"/>
        <v>37.059999999985202</v>
      </c>
      <c r="H729" s="334"/>
      <c r="I729" s="335"/>
      <c r="J729" s="336"/>
      <c r="K729" s="301"/>
      <c r="L729" s="336"/>
      <c r="M729" s="301"/>
      <c r="N729" s="336"/>
      <c r="O729" s="301"/>
      <c r="P729" s="336"/>
      <c r="Q729" s="301"/>
      <c r="R729" s="336"/>
      <c r="S729" s="301"/>
      <c r="T729" s="336"/>
    </row>
    <row r="730" spans="1:20" ht="12" customHeight="1" x14ac:dyDescent="0.3">
      <c r="A730" s="329" t="s">
        <v>289</v>
      </c>
      <c r="B730" s="330">
        <v>2</v>
      </c>
      <c r="C730" s="298">
        <v>46125</v>
      </c>
      <c r="D730" s="299" t="s">
        <v>334</v>
      </c>
      <c r="E730" s="331">
        <v>11.06</v>
      </c>
      <c r="F730" s="331"/>
      <c r="G730" s="333">
        <f t="shared" si="18"/>
        <v>87.769999999985203</v>
      </c>
      <c r="H730" s="334"/>
      <c r="I730" s="335"/>
      <c r="J730" s="336"/>
      <c r="K730" s="301"/>
      <c r="L730" s="336"/>
      <c r="M730" s="301"/>
      <c r="N730" s="336"/>
      <c r="O730" s="301"/>
      <c r="P730" s="336"/>
      <c r="Q730" s="301"/>
      <c r="R730" s="336"/>
      <c r="S730" s="301"/>
      <c r="T730" s="336"/>
    </row>
    <row r="731" spans="1:20" ht="12" customHeight="1" x14ac:dyDescent="0.3">
      <c r="A731" s="329" t="s">
        <v>289</v>
      </c>
      <c r="B731" s="330">
        <v>4</v>
      </c>
      <c r="C731" s="298">
        <v>46125</v>
      </c>
      <c r="D731" s="299" t="s">
        <v>295</v>
      </c>
      <c r="E731" s="331">
        <v>35.979999999999997</v>
      </c>
      <c r="F731" s="331"/>
      <c r="G731" s="333">
        <f t="shared" si="18"/>
        <v>98.829999999985205</v>
      </c>
      <c r="H731" s="334"/>
      <c r="I731" s="335"/>
      <c r="J731" s="336"/>
      <c r="K731" s="301"/>
      <c r="L731" s="336"/>
      <c r="M731" s="301"/>
      <c r="N731" s="336"/>
      <c r="O731" s="301"/>
      <c r="P731" s="336"/>
      <c r="Q731" s="301"/>
      <c r="R731" s="336"/>
      <c r="S731" s="301"/>
      <c r="T731" s="336"/>
    </row>
    <row r="732" spans="1:20" ht="12" customHeight="1" x14ac:dyDescent="0.3">
      <c r="A732" s="329" t="s">
        <v>289</v>
      </c>
      <c r="B732" s="330">
        <v>8</v>
      </c>
      <c r="C732" s="298">
        <v>46125</v>
      </c>
      <c r="D732" s="299" t="s">
        <v>347</v>
      </c>
      <c r="E732" s="331">
        <v>7.83</v>
      </c>
      <c r="F732" s="331"/>
      <c r="G732" s="333">
        <f t="shared" si="18"/>
        <v>134.80999999998519</v>
      </c>
      <c r="H732" s="334"/>
      <c r="I732" s="335"/>
      <c r="J732" s="336"/>
      <c r="K732" s="301"/>
      <c r="L732" s="336"/>
      <c r="M732" s="301"/>
      <c r="N732" s="336"/>
      <c r="O732" s="301"/>
      <c r="P732" s="336"/>
      <c r="Q732" s="301"/>
      <c r="R732" s="336"/>
      <c r="S732" s="301"/>
      <c r="T732" s="336"/>
    </row>
    <row r="733" spans="1:20" ht="12" customHeight="1" x14ac:dyDescent="0.3">
      <c r="A733" s="329" t="s">
        <v>289</v>
      </c>
      <c r="B733" s="330">
        <v>3</v>
      </c>
      <c r="C733" s="298">
        <v>46125</v>
      </c>
      <c r="D733" s="299" t="s">
        <v>348</v>
      </c>
      <c r="E733" s="331">
        <v>4.1900000000000004</v>
      </c>
      <c r="F733" s="331"/>
      <c r="G733" s="333">
        <f t="shared" si="18"/>
        <v>142.63999999998521</v>
      </c>
      <c r="H733" s="334"/>
      <c r="I733" s="335"/>
      <c r="J733" s="336"/>
      <c r="K733" s="301"/>
      <c r="L733" s="336"/>
      <c r="M733" s="301"/>
      <c r="N733" s="336"/>
      <c r="O733" s="301"/>
      <c r="P733" s="336"/>
      <c r="Q733" s="301"/>
      <c r="R733" s="336"/>
      <c r="S733" s="301"/>
      <c r="T733" s="336"/>
    </row>
    <row r="734" spans="1:20" ht="12" customHeight="1" x14ac:dyDescent="0.3">
      <c r="A734" s="329" t="s">
        <v>289</v>
      </c>
      <c r="B734" s="330">
        <v>8</v>
      </c>
      <c r="C734" s="298">
        <v>46125</v>
      </c>
      <c r="D734" s="299" t="s">
        <v>349</v>
      </c>
      <c r="E734" s="331">
        <v>39.25</v>
      </c>
      <c r="F734" s="331"/>
      <c r="G734" s="333">
        <f t="shared" si="18"/>
        <v>146.8299999999852</v>
      </c>
      <c r="H734" s="334"/>
      <c r="I734" s="335"/>
      <c r="J734" s="336"/>
      <c r="K734" s="301"/>
      <c r="L734" s="336"/>
      <c r="M734" s="301"/>
      <c r="N734" s="336"/>
      <c r="O734" s="301"/>
      <c r="P734" s="336"/>
      <c r="Q734" s="301"/>
      <c r="R734" s="336"/>
      <c r="S734" s="301"/>
      <c r="T734" s="336"/>
    </row>
    <row r="735" spans="1:20" ht="12" customHeight="1" x14ac:dyDescent="0.3">
      <c r="A735" s="329" t="s">
        <v>287</v>
      </c>
      <c r="B735" s="330" t="s">
        <v>287</v>
      </c>
      <c r="C735" s="298">
        <v>46125</v>
      </c>
      <c r="D735" s="299" t="s">
        <v>350</v>
      </c>
      <c r="E735" s="331">
        <v>318.36</v>
      </c>
      <c r="F735" s="331">
        <v>318.36</v>
      </c>
      <c r="G735" s="333">
        <f t="shared" si="18"/>
        <v>186.0799999999852</v>
      </c>
      <c r="H735" s="334"/>
      <c r="I735" s="335"/>
      <c r="J735" s="336"/>
      <c r="K735" s="301"/>
      <c r="L735" s="336"/>
      <c r="M735" s="301"/>
      <c r="N735" s="336"/>
      <c r="O735" s="301"/>
      <c r="P735" s="336"/>
      <c r="Q735" s="301"/>
      <c r="R735" s="336"/>
      <c r="S735" s="301"/>
      <c r="T735" s="336"/>
    </row>
    <row r="736" spans="1:20" ht="12" customHeight="1" x14ac:dyDescent="0.3">
      <c r="A736" s="329" t="s">
        <v>294</v>
      </c>
      <c r="B736" s="330">
        <v>19</v>
      </c>
      <c r="C736" s="298">
        <v>46125</v>
      </c>
      <c r="D736" s="299" t="s">
        <v>191</v>
      </c>
      <c r="E736" s="331">
        <v>200</v>
      </c>
      <c r="F736" s="331"/>
      <c r="G736" s="333">
        <f t="shared" si="18"/>
        <v>186.0799999999852</v>
      </c>
      <c r="H736" s="334"/>
      <c r="I736" s="335"/>
      <c r="J736" s="336"/>
      <c r="K736" s="301"/>
      <c r="L736" s="336"/>
      <c r="M736" s="301"/>
      <c r="N736" s="336"/>
      <c r="O736" s="301"/>
      <c r="P736" s="336"/>
      <c r="Q736" s="301"/>
      <c r="R736" s="336"/>
      <c r="S736" s="301"/>
      <c r="T736" s="336"/>
    </row>
    <row r="737" spans="1:20" ht="12" customHeight="1" x14ac:dyDescent="0.3">
      <c r="A737" s="329" t="s">
        <v>289</v>
      </c>
      <c r="B737" s="330">
        <v>1</v>
      </c>
      <c r="C737" s="298">
        <v>46124</v>
      </c>
      <c r="D737" s="299" t="s">
        <v>304</v>
      </c>
      <c r="E737" s="331">
        <v>136.05000000000001</v>
      </c>
      <c r="F737" s="331"/>
      <c r="G737" s="333">
        <f t="shared" si="18"/>
        <v>386.0799999999852</v>
      </c>
      <c r="H737" s="334"/>
      <c r="I737" s="335"/>
      <c r="J737" s="336"/>
      <c r="K737" s="301"/>
      <c r="L737" s="336"/>
      <c r="M737" s="301"/>
      <c r="N737" s="336"/>
      <c r="O737" s="301"/>
      <c r="P737" s="336"/>
      <c r="Q737" s="301"/>
      <c r="R737" s="336"/>
      <c r="S737" s="301"/>
      <c r="T737" s="336"/>
    </row>
    <row r="738" spans="1:20" ht="12" customHeight="1" x14ac:dyDescent="0.3">
      <c r="A738" s="329" t="s">
        <v>289</v>
      </c>
      <c r="B738" s="330">
        <v>3</v>
      </c>
      <c r="C738" s="298">
        <v>46124</v>
      </c>
      <c r="D738" s="299" t="s">
        <v>348</v>
      </c>
      <c r="E738" s="331">
        <v>13.09</v>
      </c>
      <c r="F738" s="331"/>
      <c r="G738" s="333">
        <f t="shared" si="18"/>
        <v>522.12999999998522</v>
      </c>
      <c r="H738" s="334"/>
      <c r="I738" s="335"/>
      <c r="J738" s="336"/>
      <c r="K738" s="301"/>
      <c r="L738" s="336"/>
      <c r="M738" s="301"/>
      <c r="N738" s="336"/>
      <c r="O738" s="301"/>
      <c r="P738" s="336"/>
      <c r="Q738" s="301"/>
      <c r="R738" s="336"/>
      <c r="S738" s="301"/>
      <c r="T738" s="336"/>
    </row>
    <row r="739" spans="1:20" ht="12" customHeight="1" x14ac:dyDescent="0.3">
      <c r="A739" s="329" t="s">
        <v>289</v>
      </c>
      <c r="B739" s="330">
        <v>8</v>
      </c>
      <c r="C739" s="298">
        <v>46124</v>
      </c>
      <c r="D739" s="299" t="s">
        <v>319</v>
      </c>
      <c r="E739" s="331">
        <v>24.47</v>
      </c>
      <c r="F739" s="331"/>
      <c r="G739" s="333">
        <f t="shared" si="18"/>
        <v>535.21999999998525</v>
      </c>
      <c r="H739" s="334"/>
      <c r="I739" s="335"/>
      <c r="J739" s="336"/>
      <c r="K739" s="301"/>
      <c r="L739" s="336"/>
      <c r="M739" s="301"/>
      <c r="N739" s="336"/>
      <c r="O739" s="301"/>
      <c r="P739" s="336"/>
      <c r="Q739" s="301"/>
      <c r="R739" s="336"/>
      <c r="S739" s="301"/>
      <c r="T739" s="336"/>
    </row>
    <row r="740" spans="1:20" ht="12" customHeight="1" x14ac:dyDescent="0.3">
      <c r="A740" s="329" t="s">
        <v>289</v>
      </c>
      <c r="B740" s="330">
        <v>8</v>
      </c>
      <c r="C740" s="298">
        <v>46124</v>
      </c>
      <c r="D740" s="299" t="s">
        <v>319</v>
      </c>
      <c r="E740" s="331">
        <v>14.29</v>
      </c>
      <c r="F740" s="331"/>
      <c r="G740" s="333">
        <f t="shared" si="18"/>
        <v>559.68999999998528</v>
      </c>
      <c r="H740" s="334"/>
      <c r="I740" s="335"/>
      <c r="J740" s="336"/>
      <c r="K740" s="301"/>
      <c r="L740" s="336"/>
      <c r="M740" s="301"/>
      <c r="N740" s="336"/>
      <c r="O740" s="301"/>
      <c r="P740" s="336"/>
      <c r="Q740" s="301"/>
      <c r="R740" s="336"/>
      <c r="S740" s="301"/>
      <c r="T740" s="336"/>
    </row>
    <row r="741" spans="1:20" ht="12" customHeight="1" x14ac:dyDescent="0.3">
      <c r="A741" s="329" t="s">
        <v>294</v>
      </c>
      <c r="B741" s="330">
        <v>22</v>
      </c>
      <c r="C741" s="298">
        <v>46124</v>
      </c>
      <c r="D741" s="299" t="s">
        <v>835</v>
      </c>
      <c r="E741" s="331">
        <v>9.57</v>
      </c>
      <c r="F741" s="331"/>
      <c r="G741" s="333">
        <f t="shared" si="18"/>
        <v>573.97999999998524</v>
      </c>
      <c r="H741" s="334"/>
      <c r="I741" s="335"/>
      <c r="J741" s="336"/>
      <c r="K741" s="301"/>
      <c r="L741" s="336"/>
      <c r="M741" s="301"/>
      <c r="N741" s="336"/>
      <c r="O741" s="301"/>
      <c r="P741" s="336"/>
      <c r="Q741" s="301"/>
      <c r="R741" s="336"/>
      <c r="S741" s="301"/>
      <c r="T741" s="336"/>
    </row>
    <row r="742" spans="1:20" ht="12" customHeight="1" x14ac:dyDescent="0.3">
      <c r="A742" s="329" t="s">
        <v>289</v>
      </c>
      <c r="B742" s="330">
        <v>3</v>
      </c>
      <c r="C742" s="298">
        <v>46124</v>
      </c>
      <c r="D742" s="299" t="s">
        <v>351</v>
      </c>
      <c r="E742" s="331">
        <v>25</v>
      </c>
      <c r="F742" s="331"/>
      <c r="G742" s="333">
        <f t="shared" si="18"/>
        <v>583.54999999998529</v>
      </c>
      <c r="H742" s="334"/>
      <c r="I742" s="335"/>
      <c r="J742" s="336"/>
      <c r="K742" s="301"/>
      <c r="L742" s="336"/>
      <c r="M742" s="301"/>
      <c r="N742" s="336"/>
      <c r="O742" s="301"/>
      <c r="P742" s="336"/>
      <c r="Q742" s="301"/>
      <c r="R742" s="336"/>
      <c r="S742" s="301"/>
      <c r="T742" s="336"/>
    </row>
    <row r="743" spans="1:20" ht="12" customHeight="1" x14ac:dyDescent="0.3">
      <c r="A743" s="329" t="s">
        <v>294</v>
      </c>
      <c r="B743" s="330">
        <v>22</v>
      </c>
      <c r="C743" s="298">
        <v>46123</v>
      </c>
      <c r="D743" s="299" t="s">
        <v>352</v>
      </c>
      <c r="E743" s="331">
        <v>19.16</v>
      </c>
      <c r="F743" s="331"/>
      <c r="G743" s="333">
        <f t="shared" si="18"/>
        <v>608.54999999998529</v>
      </c>
      <c r="H743" s="334"/>
      <c r="I743" s="335"/>
      <c r="J743" s="336"/>
      <c r="K743" s="301"/>
      <c r="L743" s="336"/>
      <c r="M743" s="301"/>
      <c r="N743" s="336"/>
      <c r="O743" s="301"/>
      <c r="P743" s="336"/>
      <c r="Q743" s="301"/>
      <c r="R743" s="336"/>
      <c r="S743" s="301"/>
      <c r="T743" s="336"/>
    </row>
    <row r="744" spans="1:20" ht="12" customHeight="1" x14ac:dyDescent="0.3">
      <c r="A744" s="329" t="s">
        <v>289</v>
      </c>
      <c r="B744" s="330">
        <v>2</v>
      </c>
      <c r="C744" s="298">
        <v>46123</v>
      </c>
      <c r="D744" s="299" t="s">
        <v>301</v>
      </c>
      <c r="E744" s="331">
        <v>20.91</v>
      </c>
      <c r="F744" s="331"/>
      <c r="G744" s="333">
        <f t="shared" si="18"/>
        <v>627.70999999998526</v>
      </c>
      <c r="H744" s="334"/>
      <c r="I744" s="335"/>
      <c r="J744" s="336"/>
      <c r="K744" s="301"/>
      <c r="L744" s="336"/>
      <c r="M744" s="301"/>
      <c r="N744" s="336"/>
      <c r="O744" s="301"/>
      <c r="P744" s="336"/>
      <c r="Q744" s="301"/>
      <c r="R744" s="336"/>
      <c r="S744" s="301"/>
      <c r="T744" s="336"/>
    </row>
    <row r="745" spans="1:20" ht="12" customHeight="1" x14ac:dyDescent="0.3">
      <c r="A745" s="329" t="s">
        <v>289</v>
      </c>
      <c r="B745" s="330">
        <v>2</v>
      </c>
      <c r="C745" s="298">
        <v>46123</v>
      </c>
      <c r="D745" s="299" t="s">
        <v>296</v>
      </c>
      <c r="E745" s="331">
        <v>12.44</v>
      </c>
      <c r="F745" s="331"/>
      <c r="G745" s="333">
        <f t="shared" si="18"/>
        <v>648.61999999998523</v>
      </c>
      <c r="H745" s="334"/>
      <c r="I745" s="335"/>
      <c r="J745" s="336"/>
      <c r="K745" s="301"/>
      <c r="L745" s="336"/>
      <c r="M745" s="301"/>
      <c r="N745" s="336"/>
      <c r="O745" s="301"/>
      <c r="P745" s="336"/>
      <c r="Q745" s="301"/>
      <c r="R745" s="336"/>
      <c r="S745" s="301"/>
      <c r="T745" s="336"/>
    </row>
    <row r="746" spans="1:20" ht="12" customHeight="1" x14ac:dyDescent="0.3">
      <c r="A746" s="329" t="s">
        <v>289</v>
      </c>
      <c r="B746" s="330">
        <v>2</v>
      </c>
      <c r="C746" s="298">
        <v>46123</v>
      </c>
      <c r="D746" s="299" t="s">
        <v>353</v>
      </c>
      <c r="E746" s="331">
        <v>41.34</v>
      </c>
      <c r="F746" s="331"/>
      <c r="G746" s="333">
        <f t="shared" si="18"/>
        <v>661.05999999998528</v>
      </c>
      <c r="H746" s="334"/>
      <c r="I746" s="335"/>
      <c r="J746" s="336"/>
      <c r="K746" s="301"/>
      <c r="L746" s="336"/>
      <c r="M746" s="301"/>
      <c r="N746" s="336"/>
      <c r="O746" s="301"/>
      <c r="P746" s="336"/>
      <c r="Q746" s="301"/>
      <c r="R746" s="336"/>
      <c r="S746" s="301"/>
      <c r="T746" s="336"/>
    </row>
    <row r="747" spans="1:20" ht="12" customHeight="1" x14ac:dyDescent="0.3">
      <c r="A747" s="329" t="s">
        <v>289</v>
      </c>
      <c r="B747" s="330">
        <v>6</v>
      </c>
      <c r="C747" s="298">
        <v>46122</v>
      </c>
      <c r="D747" s="299" t="s">
        <v>446</v>
      </c>
      <c r="E747" s="331">
        <v>-0.04</v>
      </c>
      <c r="F747" s="331"/>
      <c r="G747" s="333">
        <f t="shared" si="18"/>
        <v>702.39999999998531</v>
      </c>
      <c r="H747" s="334"/>
      <c r="I747" s="335"/>
      <c r="J747" s="336"/>
      <c r="K747" s="301"/>
      <c r="L747" s="336"/>
      <c r="M747" s="301"/>
      <c r="N747" s="336"/>
      <c r="O747" s="301"/>
      <c r="P747" s="336"/>
      <c r="Q747" s="301"/>
      <c r="R747" s="336"/>
      <c r="S747" s="301"/>
      <c r="T747" s="336"/>
    </row>
    <row r="748" spans="1:20" ht="12" customHeight="1" x14ac:dyDescent="0.3">
      <c r="A748" s="329" t="s">
        <v>289</v>
      </c>
      <c r="B748" s="330">
        <v>5</v>
      </c>
      <c r="C748" s="298">
        <v>46122</v>
      </c>
      <c r="D748" s="299" t="s">
        <v>354</v>
      </c>
      <c r="E748" s="331">
        <v>372</v>
      </c>
      <c r="F748" s="331"/>
      <c r="G748" s="333">
        <f t="shared" si="18"/>
        <v>702.35999999998535</v>
      </c>
      <c r="H748" s="334" t="s">
        <v>298</v>
      </c>
      <c r="I748" s="335"/>
      <c r="J748" s="336"/>
      <c r="K748" s="301"/>
      <c r="L748" s="336"/>
      <c r="M748" s="301"/>
      <c r="N748" s="336"/>
      <c r="O748" s="301"/>
      <c r="P748" s="336"/>
      <c r="Q748" s="301"/>
      <c r="R748" s="336"/>
      <c r="S748" s="301"/>
      <c r="T748" s="336"/>
    </row>
    <row r="749" spans="1:20" ht="12" customHeight="1" x14ac:dyDescent="0.3">
      <c r="A749" s="329" t="s">
        <v>289</v>
      </c>
      <c r="B749" s="330">
        <v>2</v>
      </c>
      <c r="C749" s="298">
        <v>46122</v>
      </c>
      <c r="D749" s="299" t="s">
        <v>355</v>
      </c>
      <c r="E749" s="331">
        <v>15.22</v>
      </c>
      <c r="F749" s="331"/>
      <c r="G749" s="333">
        <f t="shared" si="18"/>
        <v>1074.3599999999853</v>
      </c>
      <c r="H749" s="334"/>
      <c r="I749" s="335"/>
      <c r="J749" s="336"/>
      <c r="K749" s="301"/>
      <c r="L749" s="336"/>
      <c r="M749" s="301"/>
      <c r="N749" s="336"/>
      <c r="O749" s="301"/>
      <c r="P749" s="336"/>
      <c r="Q749" s="301"/>
      <c r="R749" s="336"/>
      <c r="S749" s="301"/>
      <c r="T749" s="336"/>
    </row>
    <row r="750" spans="1:20" ht="12" customHeight="1" x14ac:dyDescent="0.3">
      <c r="A750" s="329" t="s">
        <v>289</v>
      </c>
      <c r="B750" s="330">
        <v>3</v>
      </c>
      <c r="C750" s="298">
        <v>46122</v>
      </c>
      <c r="D750" s="299" t="s">
        <v>296</v>
      </c>
      <c r="E750" s="331">
        <v>9.5500000000000007</v>
      </c>
      <c r="F750" s="331"/>
      <c r="G750" s="333">
        <f t="shared" si="18"/>
        <v>1089.5799999999854</v>
      </c>
      <c r="H750" s="334"/>
      <c r="I750" s="335"/>
      <c r="J750" s="336"/>
      <c r="K750" s="301"/>
      <c r="L750" s="336"/>
      <c r="M750" s="301"/>
      <c r="N750" s="336"/>
      <c r="O750" s="301"/>
      <c r="P750" s="336"/>
      <c r="Q750" s="301"/>
      <c r="R750" s="336"/>
      <c r="S750" s="301"/>
      <c r="T750" s="336"/>
    </row>
    <row r="751" spans="1:20" ht="12" customHeight="1" x14ac:dyDescent="0.3">
      <c r="A751" s="329" t="s">
        <v>289</v>
      </c>
      <c r="B751" s="330">
        <v>8</v>
      </c>
      <c r="C751" s="298">
        <v>46122</v>
      </c>
      <c r="D751" s="299" t="s">
        <v>356</v>
      </c>
      <c r="E751" s="331">
        <v>52.65</v>
      </c>
      <c r="F751" s="331"/>
      <c r="G751" s="333">
        <f t="shared" si="18"/>
        <v>1099.1299999999853</v>
      </c>
      <c r="H751" s="334"/>
      <c r="I751" s="335"/>
      <c r="J751" s="336"/>
      <c r="K751" s="301"/>
      <c r="L751" s="336"/>
      <c r="M751" s="301"/>
      <c r="N751" s="336"/>
      <c r="O751" s="301"/>
      <c r="P751" s="336"/>
      <c r="Q751" s="301"/>
      <c r="R751" s="336"/>
      <c r="S751" s="301"/>
      <c r="T751" s="336"/>
    </row>
    <row r="752" spans="1:20" ht="12" customHeight="1" x14ac:dyDescent="0.3">
      <c r="A752" s="329" t="s">
        <v>289</v>
      </c>
      <c r="B752" s="330">
        <v>1</v>
      </c>
      <c r="C752" s="298">
        <v>46122</v>
      </c>
      <c r="D752" s="299" t="s">
        <v>311</v>
      </c>
      <c r="E752" s="331">
        <v>68.989999999999995</v>
      </c>
      <c r="F752" s="331"/>
      <c r="G752" s="333">
        <f t="shared" si="18"/>
        <v>1151.7799999999854</v>
      </c>
      <c r="H752" s="334"/>
      <c r="I752" s="335"/>
      <c r="J752" s="336"/>
      <c r="K752" s="301"/>
      <c r="L752" s="336"/>
      <c r="M752" s="301"/>
      <c r="N752" s="336"/>
      <c r="O752" s="301"/>
      <c r="P752" s="336"/>
      <c r="Q752" s="301"/>
      <c r="R752" s="336"/>
      <c r="S752" s="301"/>
      <c r="T752" s="336"/>
    </row>
    <row r="753" spans="1:20" ht="12" customHeight="1" x14ac:dyDescent="0.3">
      <c r="A753" s="329" t="s">
        <v>289</v>
      </c>
      <c r="B753" s="330">
        <v>2</v>
      </c>
      <c r="C753" s="298">
        <v>46122</v>
      </c>
      <c r="D753" s="299" t="s">
        <v>324</v>
      </c>
      <c r="E753" s="331">
        <v>17.37</v>
      </c>
      <c r="F753" s="331"/>
      <c r="G753" s="333">
        <f t="shared" si="18"/>
        <v>1220.7699999999854</v>
      </c>
      <c r="H753" s="334"/>
      <c r="I753" s="335"/>
      <c r="J753" s="336"/>
      <c r="K753" s="301"/>
      <c r="L753" s="336"/>
      <c r="M753" s="301"/>
      <c r="N753" s="336"/>
      <c r="O753" s="301"/>
      <c r="P753" s="336"/>
      <c r="Q753" s="301"/>
      <c r="R753" s="336"/>
      <c r="S753" s="301"/>
      <c r="T753" s="336"/>
    </row>
    <row r="754" spans="1:20" ht="12" customHeight="1" x14ac:dyDescent="0.3">
      <c r="A754" s="329" t="s">
        <v>289</v>
      </c>
      <c r="B754" s="330">
        <v>8</v>
      </c>
      <c r="C754" s="298">
        <v>46121</v>
      </c>
      <c r="D754" s="299" t="s">
        <v>357</v>
      </c>
      <c r="E754" s="331">
        <v>64.42</v>
      </c>
      <c r="F754" s="331"/>
      <c r="G754" s="333">
        <f t="shared" si="18"/>
        <v>1238.1399999999853</v>
      </c>
      <c r="H754" s="334"/>
      <c r="I754" s="335"/>
      <c r="J754" s="336"/>
      <c r="K754" s="301"/>
      <c r="L754" s="336"/>
      <c r="M754" s="301"/>
      <c r="N754" s="336"/>
      <c r="O754" s="301"/>
      <c r="P754" s="336"/>
      <c r="Q754" s="301"/>
      <c r="R754" s="336"/>
      <c r="S754" s="301"/>
      <c r="T754" s="336"/>
    </row>
    <row r="755" spans="1:20" ht="12" customHeight="1" x14ac:dyDescent="0.3">
      <c r="A755" s="329" t="s">
        <v>289</v>
      </c>
      <c r="B755" s="330">
        <v>2</v>
      </c>
      <c r="C755" s="298">
        <v>46121</v>
      </c>
      <c r="D755" s="299" t="s">
        <v>358</v>
      </c>
      <c r="E755" s="331">
        <v>9.4700000000000006</v>
      </c>
      <c r="F755" s="331"/>
      <c r="G755" s="333">
        <f t="shared" si="18"/>
        <v>1302.5599999999854</v>
      </c>
      <c r="H755" s="334"/>
      <c r="I755" s="335"/>
      <c r="J755" s="336"/>
      <c r="K755" s="301"/>
      <c r="L755" s="336"/>
      <c r="M755" s="301"/>
      <c r="N755" s="336"/>
      <c r="O755" s="301"/>
      <c r="P755" s="336"/>
      <c r="Q755" s="301"/>
      <c r="R755" s="336"/>
      <c r="S755" s="301"/>
      <c r="T755" s="336"/>
    </row>
    <row r="756" spans="1:20" ht="12" customHeight="1" x14ac:dyDescent="0.3">
      <c r="A756" s="329" t="s">
        <v>289</v>
      </c>
      <c r="B756" s="330">
        <v>5</v>
      </c>
      <c r="C756" s="298">
        <v>46121</v>
      </c>
      <c r="D756" s="299" t="s">
        <v>854</v>
      </c>
      <c r="E756" s="331">
        <v>10.68</v>
      </c>
      <c r="F756" s="331"/>
      <c r="G756" s="333">
        <f t="shared" si="18"/>
        <v>1312.0299999999854</v>
      </c>
      <c r="H756" s="334"/>
      <c r="I756" s="335"/>
      <c r="J756" s="336"/>
      <c r="K756" s="301"/>
      <c r="L756" s="336"/>
      <c r="M756" s="301"/>
      <c r="N756" s="336"/>
      <c r="O756" s="301"/>
      <c r="P756" s="336"/>
      <c r="Q756" s="301"/>
      <c r="R756" s="336"/>
      <c r="S756" s="301"/>
      <c r="T756" s="336"/>
    </row>
    <row r="757" spans="1:20" ht="12" customHeight="1" x14ac:dyDescent="0.3">
      <c r="A757" s="329" t="s">
        <v>289</v>
      </c>
      <c r="B757" s="330">
        <v>7</v>
      </c>
      <c r="C757" s="298">
        <v>46121</v>
      </c>
      <c r="D757" s="299" t="s">
        <v>359</v>
      </c>
      <c r="E757" s="331">
        <v>68.010000000000005</v>
      </c>
      <c r="F757" s="331"/>
      <c r="G757" s="333">
        <f t="shared" si="18"/>
        <v>1322.7099999999855</v>
      </c>
      <c r="H757" s="334"/>
      <c r="I757" s="335"/>
      <c r="J757" s="336"/>
      <c r="K757" s="301"/>
      <c r="L757" s="336"/>
      <c r="M757" s="301"/>
      <c r="N757" s="336"/>
      <c r="O757" s="301"/>
      <c r="P757" s="336"/>
      <c r="Q757" s="301"/>
      <c r="R757" s="336"/>
      <c r="S757" s="301"/>
      <c r="T757" s="336"/>
    </row>
    <row r="758" spans="1:20" ht="12" customHeight="1" x14ac:dyDescent="0.3">
      <c r="A758" s="329" t="s">
        <v>289</v>
      </c>
      <c r="B758" s="330">
        <v>4</v>
      </c>
      <c r="C758" s="298">
        <v>46121</v>
      </c>
      <c r="D758" s="299" t="s">
        <v>310</v>
      </c>
      <c r="E758" s="331">
        <v>40.85</v>
      </c>
      <c r="F758" s="331"/>
      <c r="G758" s="333">
        <f t="shared" si="18"/>
        <v>1390.7199999999855</v>
      </c>
      <c r="H758" s="334"/>
      <c r="I758" s="335"/>
      <c r="J758" s="336"/>
      <c r="K758" s="301"/>
      <c r="L758" s="336"/>
      <c r="M758" s="301"/>
      <c r="N758" s="336"/>
      <c r="O758" s="301"/>
      <c r="P758" s="336"/>
      <c r="Q758" s="301"/>
      <c r="R758" s="336"/>
      <c r="S758" s="301"/>
      <c r="T758" s="336"/>
    </row>
    <row r="759" spans="1:20" ht="12" customHeight="1" x14ac:dyDescent="0.3">
      <c r="A759" s="329" t="s">
        <v>289</v>
      </c>
      <c r="B759" s="330">
        <v>6</v>
      </c>
      <c r="C759" s="298">
        <v>46121</v>
      </c>
      <c r="D759" s="299" t="s">
        <v>360</v>
      </c>
      <c r="E759" s="331">
        <v>25</v>
      </c>
      <c r="F759" s="331"/>
      <c r="G759" s="333">
        <f t="shared" si="18"/>
        <v>1431.5699999999854</v>
      </c>
      <c r="H759" s="334"/>
      <c r="I759" s="335"/>
      <c r="J759" s="336"/>
      <c r="K759" s="301"/>
      <c r="L759" s="336"/>
      <c r="M759" s="301"/>
      <c r="N759" s="336"/>
      <c r="O759" s="301"/>
      <c r="P759" s="336"/>
      <c r="Q759" s="301"/>
      <c r="R759" s="336"/>
      <c r="S759" s="301"/>
      <c r="T759" s="336"/>
    </row>
    <row r="760" spans="1:20" ht="12" customHeight="1" x14ac:dyDescent="0.3">
      <c r="A760" s="329" t="s">
        <v>294</v>
      </c>
      <c r="B760" s="330">
        <v>18</v>
      </c>
      <c r="C760" s="298">
        <v>46120</v>
      </c>
      <c r="D760" s="299" t="s">
        <v>361</v>
      </c>
      <c r="E760" s="331">
        <v>400</v>
      </c>
      <c r="F760" s="331"/>
      <c r="G760" s="333">
        <f t="shared" si="18"/>
        <v>1456.5699999999854</v>
      </c>
      <c r="H760" s="334"/>
      <c r="I760" s="335"/>
      <c r="J760" s="336"/>
      <c r="K760" s="301"/>
      <c r="L760" s="336"/>
      <c r="M760" s="301"/>
      <c r="N760" s="336"/>
      <c r="O760" s="301"/>
      <c r="P760" s="336"/>
      <c r="Q760" s="301"/>
      <c r="R760" s="336"/>
      <c r="S760" s="301"/>
      <c r="T760" s="336"/>
    </row>
    <row r="761" spans="1:20" ht="12" customHeight="1" x14ac:dyDescent="0.3">
      <c r="A761" s="329" t="s">
        <v>335</v>
      </c>
      <c r="B761" s="330" t="s">
        <v>335</v>
      </c>
      <c r="C761" s="298">
        <v>46120</v>
      </c>
      <c r="D761" s="299" t="s">
        <v>447</v>
      </c>
      <c r="E761" s="331">
        <v>44.96</v>
      </c>
      <c r="F761" s="331"/>
      <c r="G761" s="333">
        <f t="shared" si="18"/>
        <v>1856.5699999999854</v>
      </c>
      <c r="H761" s="334"/>
      <c r="I761" s="335"/>
      <c r="J761" s="336"/>
      <c r="K761" s="301"/>
      <c r="L761" s="336"/>
      <c r="M761" s="301"/>
      <c r="N761" s="336"/>
      <c r="O761" s="301"/>
      <c r="P761" s="336"/>
      <c r="Q761" s="301"/>
      <c r="R761" s="336"/>
      <c r="S761" s="301"/>
      <c r="T761" s="336"/>
    </row>
    <row r="762" spans="1:20" ht="12" customHeight="1" x14ac:dyDescent="0.3">
      <c r="A762" s="329" t="s">
        <v>294</v>
      </c>
      <c r="B762" s="330">
        <v>13</v>
      </c>
      <c r="C762" s="298">
        <v>46120</v>
      </c>
      <c r="D762" s="299" t="s">
        <v>182</v>
      </c>
      <c r="E762" s="331">
        <v>104.98</v>
      </c>
      <c r="F762" s="331"/>
      <c r="G762" s="333">
        <f t="shared" si="18"/>
        <v>1901.5299999999854</v>
      </c>
      <c r="H762" s="334"/>
      <c r="I762" s="335"/>
      <c r="J762" s="336"/>
      <c r="K762" s="301"/>
      <c r="L762" s="336"/>
      <c r="M762" s="301"/>
      <c r="N762" s="336"/>
      <c r="O762" s="301"/>
      <c r="P762" s="336"/>
      <c r="Q762" s="301"/>
      <c r="R762" s="336"/>
      <c r="S762" s="301"/>
      <c r="T762" s="336"/>
    </row>
    <row r="763" spans="1:20" ht="12" customHeight="1" x14ac:dyDescent="0.3">
      <c r="A763" s="329" t="s">
        <v>289</v>
      </c>
      <c r="B763" s="330">
        <v>2</v>
      </c>
      <c r="C763" s="298">
        <v>46120</v>
      </c>
      <c r="D763" s="299" t="s">
        <v>296</v>
      </c>
      <c r="E763" s="331">
        <v>13.8</v>
      </c>
      <c r="F763" s="331"/>
      <c r="G763" s="333">
        <f t="shared" si="18"/>
        <v>2006.5099999999854</v>
      </c>
      <c r="H763" s="334"/>
      <c r="I763" s="335"/>
      <c r="J763" s="336"/>
      <c r="K763" s="301"/>
      <c r="L763" s="336"/>
      <c r="M763" s="301"/>
      <c r="N763" s="336"/>
      <c r="O763" s="301"/>
      <c r="P763" s="336"/>
      <c r="Q763" s="301"/>
      <c r="R763" s="336"/>
      <c r="S763" s="301"/>
      <c r="T763" s="336"/>
    </row>
    <row r="764" spans="1:20" ht="12" customHeight="1" x14ac:dyDescent="0.3">
      <c r="A764" s="329" t="s">
        <v>289</v>
      </c>
      <c r="B764" s="330">
        <v>4</v>
      </c>
      <c r="C764" s="298">
        <v>46120</v>
      </c>
      <c r="D764" s="299" t="s">
        <v>295</v>
      </c>
      <c r="E764" s="331">
        <v>37.92</v>
      </c>
      <c r="F764" s="331"/>
      <c r="G764" s="333">
        <f t="shared" si="18"/>
        <v>2020.3099999999854</v>
      </c>
      <c r="H764" s="334"/>
      <c r="I764" s="335"/>
      <c r="J764" s="336"/>
      <c r="K764" s="301"/>
      <c r="L764" s="336"/>
      <c r="M764" s="301"/>
      <c r="N764" s="336"/>
      <c r="O764" s="301"/>
      <c r="P764" s="336"/>
      <c r="Q764" s="301"/>
      <c r="R764" s="336"/>
      <c r="S764" s="301"/>
      <c r="T764" s="336"/>
    </row>
    <row r="765" spans="1:20" ht="12" customHeight="1" x14ac:dyDescent="0.3">
      <c r="A765" s="329" t="s">
        <v>289</v>
      </c>
      <c r="B765" s="330">
        <v>6</v>
      </c>
      <c r="C765" s="298">
        <v>46120</v>
      </c>
      <c r="D765" s="299" t="s">
        <v>300</v>
      </c>
      <c r="E765" s="331">
        <v>56.68</v>
      </c>
      <c r="F765" s="331"/>
      <c r="G765" s="333">
        <f t="shared" si="18"/>
        <v>2058.2299999999855</v>
      </c>
      <c r="H765" s="334"/>
      <c r="I765" s="335"/>
      <c r="J765" s="336"/>
      <c r="K765" s="301"/>
      <c r="L765" s="336"/>
      <c r="M765" s="301"/>
      <c r="N765" s="336"/>
      <c r="O765" s="301"/>
      <c r="P765" s="336"/>
      <c r="Q765" s="301"/>
      <c r="R765" s="336"/>
      <c r="S765" s="301"/>
      <c r="T765" s="336"/>
    </row>
    <row r="766" spans="1:20" ht="12" customHeight="1" x14ac:dyDescent="0.3">
      <c r="A766" s="329" t="s">
        <v>289</v>
      </c>
      <c r="B766" s="330">
        <v>6</v>
      </c>
      <c r="C766" s="298">
        <v>46120</v>
      </c>
      <c r="D766" s="299" t="s">
        <v>362</v>
      </c>
      <c r="E766" s="331">
        <v>29.26</v>
      </c>
      <c r="F766" s="331"/>
      <c r="G766" s="333">
        <f t="shared" si="18"/>
        <v>2114.9099999999853</v>
      </c>
      <c r="H766" s="334"/>
      <c r="I766" s="335"/>
      <c r="J766" s="336"/>
      <c r="K766" s="301"/>
      <c r="L766" s="336"/>
      <c r="M766" s="301"/>
      <c r="N766" s="336"/>
      <c r="O766" s="301"/>
      <c r="P766" s="336"/>
      <c r="Q766" s="301"/>
      <c r="R766" s="336"/>
      <c r="S766" s="301"/>
      <c r="T766" s="336"/>
    </row>
    <row r="767" spans="1:20" ht="12" customHeight="1" x14ac:dyDescent="0.3">
      <c r="A767" s="329" t="s">
        <v>294</v>
      </c>
      <c r="B767" s="330">
        <v>9</v>
      </c>
      <c r="C767" s="298">
        <v>46119</v>
      </c>
      <c r="D767" s="299" t="s">
        <v>58</v>
      </c>
      <c r="E767" s="331">
        <v>1281.53</v>
      </c>
      <c r="F767" s="331"/>
      <c r="G767" s="333">
        <f t="shared" si="18"/>
        <v>2144.1699999999855</v>
      </c>
      <c r="H767" s="334"/>
      <c r="I767" s="335"/>
      <c r="J767" s="336"/>
      <c r="K767" s="301"/>
      <c r="L767" s="336"/>
      <c r="M767" s="301"/>
      <c r="N767" s="336"/>
      <c r="O767" s="301"/>
      <c r="P767" s="336"/>
      <c r="Q767" s="301"/>
      <c r="R767" s="336"/>
      <c r="S767" s="301"/>
      <c r="T767" s="336"/>
    </row>
    <row r="768" spans="1:20" ht="12" customHeight="1" x14ac:dyDescent="0.3">
      <c r="A768" s="329" t="s">
        <v>289</v>
      </c>
      <c r="B768" s="330">
        <v>4</v>
      </c>
      <c r="C768" s="298">
        <v>46119</v>
      </c>
      <c r="D768" s="299" t="s">
        <v>363</v>
      </c>
      <c r="E768" s="331">
        <v>25.84</v>
      </c>
      <c r="F768" s="331"/>
      <c r="G768" s="333">
        <f t="shared" si="18"/>
        <v>3425.6999999999853</v>
      </c>
      <c r="H768" s="334"/>
      <c r="I768" s="335"/>
      <c r="J768" s="336"/>
      <c r="K768" s="301"/>
      <c r="L768" s="336"/>
      <c r="M768" s="301"/>
      <c r="N768" s="336"/>
      <c r="O768" s="301"/>
      <c r="P768" s="336"/>
      <c r="Q768" s="301"/>
      <c r="R768" s="336"/>
      <c r="S768" s="301"/>
      <c r="T768" s="336"/>
    </row>
    <row r="769" spans="1:20" ht="12" customHeight="1" x14ac:dyDescent="0.3">
      <c r="A769" s="329" t="s">
        <v>289</v>
      </c>
      <c r="B769" s="330">
        <v>8</v>
      </c>
      <c r="C769" s="298">
        <v>46119</v>
      </c>
      <c r="D769" s="299" t="s">
        <v>319</v>
      </c>
      <c r="E769" s="331">
        <v>12.05</v>
      </c>
      <c r="F769" s="331"/>
      <c r="G769" s="333">
        <f t="shared" si="18"/>
        <v>3451.5399999999854</v>
      </c>
      <c r="H769" s="334"/>
      <c r="I769" s="335"/>
      <c r="J769" s="336"/>
      <c r="K769" s="301"/>
      <c r="L769" s="336"/>
      <c r="M769" s="301"/>
      <c r="N769" s="336"/>
      <c r="O769" s="301"/>
      <c r="P769" s="336"/>
      <c r="Q769" s="301"/>
      <c r="R769" s="336"/>
      <c r="S769" s="301"/>
      <c r="T769" s="336"/>
    </row>
    <row r="770" spans="1:20" ht="12" customHeight="1" x14ac:dyDescent="0.3">
      <c r="A770" s="329" t="s">
        <v>289</v>
      </c>
      <c r="B770" s="330">
        <v>4</v>
      </c>
      <c r="C770" s="298">
        <v>46119</v>
      </c>
      <c r="D770" s="299" t="s">
        <v>334</v>
      </c>
      <c r="E770" s="331">
        <v>82.04</v>
      </c>
      <c r="F770" s="331"/>
      <c r="G770" s="333">
        <f t="shared" si="18"/>
        <v>3463.5899999999856</v>
      </c>
      <c r="H770" s="334"/>
      <c r="I770" s="335"/>
      <c r="J770" s="336"/>
      <c r="K770" s="301"/>
      <c r="L770" s="336"/>
      <c r="M770" s="301"/>
      <c r="N770" s="336"/>
      <c r="O770" s="301"/>
      <c r="P770" s="336"/>
      <c r="Q770" s="301"/>
      <c r="R770" s="336"/>
      <c r="S770" s="301"/>
      <c r="T770" s="336"/>
    </row>
    <row r="771" spans="1:20" ht="12" customHeight="1" x14ac:dyDescent="0.3">
      <c r="A771" s="329" t="s">
        <v>289</v>
      </c>
      <c r="B771" s="330">
        <v>2</v>
      </c>
      <c r="C771" s="298">
        <v>46119</v>
      </c>
      <c r="D771" s="299" t="s">
        <v>364</v>
      </c>
      <c r="E771" s="331">
        <v>22.92</v>
      </c>
      <c r="F771" s="331"/>
      <c r="G771" s="333">
        <f t="shared" si="18"/>
        <v>3545.6299999999856</v>
      </c>
      <c r="H771" s="334"/>
      <c r="I771" s="335"/>
      <c r="J771" s="336"/>
      <c r="K771" s="301"/>
      <c r="L771" s="336"/>
      <c r="M771" s="301"/>
      <c r="N771" s="336"/>
      <c r="O771" s="301"/>
      <c r="P771" s="336"/>
      <c r="Q771" s="301"/>
      <c r="R771" s="336"/>
      <c r="S771" s="301"/>
      <c r="T771" s="336"/>
    </row>
    <row r="772" spans="1:20" ht="12" customHeight="1" x14ac:dyDescent="0.3">
      <c r="A772" s="329" t="s">
        <v>289</v>
      </c>
      <c r="B772" s="330">
        <v>5</v>
      </c>
      <c r="C772" s="298">
        <v>46118</v>
      </c>
      <c r="D772" s="299" t="s">
        <v>365</v>
      </c>
      <c r="E772" s="331">
        <v>400</v>
      </c>
      <c r="F772" s="331"/>
      <c r="G772" s="333">
        <f t="shared" si="18"/>
        <v>3568.5499999999856</v>
      </c>
      <c r="H772" s="334"/>
      <c r="I772" s="335"/>
      <c r="J772" s="336"/>
      <c r="K772" s="301"/>
      <c r="L772" s="336"/>
      <c r="M772" s="301"/>
      <c r="N772" s="336"/>
      <c r="O772" s="301"/>
      <c r="P772" s="336"/>
      <c r="Q772" s="301"/>
      <c r="R772" s="336"/>
      <c r="S772" s="301"/>
      <c r="T772" s="336"/>
    </row>
    <row r="773" spans="1:20" ht="12" customHeight="1" x14ac:dyDescent="0.3">
      <c r="A773" s="329" t="s">
        <v>294</v>
      </c>
      <c r="B773" s="330">
        <v>14</v>
      </c>
      <c r="C773" s="298">
        <v>46118</v>
      </c>
      <c r="D773" s="299" t="s">
        <v>366</v>
      </c>
      <c r="E773" s="331">
        <v>66.67</v>
      </c>
      <c r="F773" s="331"/>
      <c r="G773" s="333">
        <f t="shared" si="18"/>
        <v>3968.5499999999856</v>
      </c>
      <c r="H773" s="334"/>
      <c r="I773" s="335"/>
      <c r="J773" s="336"/>
      <c r="K773" s="301"/>
      <c r="L773" s="336"/>
      <c r="M773" s="301"/>
      <c r="N773" s="336"/>
      <c r="O773" s="301"/>
      <c r="P773" s="336"/>
      <c r="Q773" s="301"/>
      <c r="R773" s="336"/>
      <c r="S773" s="301"/>
      <c r="T773" s="336"/>
    </row>
    <row r="774" spans="1:20" ht="12" customHeight="1" x14ac:dyDescent="0.3">
      <c r="A774" s="329" t="s">
        <v>294</v>
      </c>
      <c r="B774" s="330">
        <v>14</v>
      </c>
      <c r="C774" s="298">
        <v>46118</v>
      </c>
      <c r="D774" s="299" t="s">
        <v>367</v>
      </c>
      <c r="E774" s="331">
        <v>70.25</v>
      </c>
      <c r="F774" s="331"/>
      <c r="G774" s="333">
        <f t="shared" si="18"/>
        <v>4035.2199999999857</v>
      </c>
      <c r="H774" s="334"/>
      <c r="I774" s="335"/>
      <c r="J774" s="336"/>
      <c r="K774" s="301"/>
      <c r="L774" s="336"/>
      <c r="M774" s="301"/>
      <c r="N774" s="336"/>
      <c r="O774" s="301"/>
      <c r="P774" s="336"/>
      <c r="Q774" s="301"/>
      <c r="R774" s="336"/>
      <c r="S774" s="301"/>
      <c r="T774" s="336"/>
    </row>
    <row r="775" spans="1:20" ht="12" customHeight="1" x14ac:dyDescent="0.3">
      <c r="A775" s="329" t="s">
        <v>289</v>
      </c>
      <c r="B775" s="330">
        <v>1</v>
      </c>
      <c r="C775" s="298">
        <v>46117</v>
      </c>
      <c r="D775" s="299" t="s">
        <v>368</v>
      </c>
      <c r="E775" s="331">
        <v>25.6</v>
      </c>
      <c r="F775" s="331"/>
      <c r="G775" s="333">
        <f t="shared" si="18"/>
        <v>4105.4699999999857</v>
      </c>
      <c r="H775" s="334"/>
      <c r="I775" s="335"/>
      <c r="J775" s="336"/>
      <c r="K775" s="301"/>
      <c r="L775" s="336"/>
      <c r="M775" s="301"/>
      <c r="N775" s="336"/>
      <c r="O775" s="301"/>
      <c r="P775" s="336"/>
      <c r="Q775" s="301"/>
      <c r="R775" s="336"/>
      <c r="S775" s="301"/>
      <c r="T775" s="336"/>
    </row>
    <row r="776" spans="1:20" ht="12" customHeight="1" x14ac:dyDescent="0.3">
      <c r="A776" s="329" t="s">
        <v>289</v>
      </c>
      <c r="B776" s="330">
        <v>8</v>
      </c>
      <c r="C776" s="298">
        <v>46117</v>
      </c>
      <c r="D776" s="299" t="s">
        <v>319</v>
      </c>
      <c r="E776" s="331">
        <v>8.56</v>
      </c>
      <c r="F776" s="331"/>
      <c r="G776" s="333">
        <f t="shared" si="18"/>
        <v>4131.0699999999861</v>
      </c>
      <c r="H776" s="334"/>
      <c r="I776" s="335"/>
      <c r="J776" s="336"/>
      <c r="K776" s="301"/>
      <c r="L776" s="336"/>
      <c r="M776" s="301"/>
      <c r="N776" s="336"/>
      <c r="O776" s="301"/>
      <c r="P776" s="336"/>
      <c r="Q776" s="301"/>
      <c r="R776" s="336"/>
      <c r="S776" s="301"/>
      <c r="T776" s="336"/>
    </row>
    <row r="777" spans="1:20" ht="12" customHeight="1" x14ac:dyDescent="0.3">
      <c r="A777" s="329" t="s">
        <v>289</v>
      </c>
      <c r="B777" s="330">
        <v>6</v>
      </c>
      <c r="C777" s="298">
        <v>46117</v>
      </c>
      <c r="D777" s="299" t="s">
        <v>369</v>
      </c>
      <c r="E777" s="331">
        <v>301.67</v>
      </c>
      <c r="F777" s="331"/>
      <c r="G777" s="333">
        <f t="shared" si="18"/>
        <v>4139.6299999999865</v>
      </c>
      <c r="H777" s="334"/>
      <c r="I777" s="335"/>
      <c r="J777" s="336"/>
      <c r="K777" s="301"/>
      <c r="L777" s="336"/>
      <c r="M777" s="301"/>
      <c r="N777" s="336"/>
      <c r="O777" s="301"/>
      <c r="P777" s="336"/>
      <c r="Q777" s="301"/>
      <c r="R777" s="336"/>
      <c r="S777" s="301"/>
      <c r="T777" s="336"/>
    </row>
    <row r="778" spans="1:20" ht="12" customHeight="1" x14ac:dyDescent="0.3">
      <c r="A778" s="329" t="s">
        <v>289</v>
      </c>
      <c r="B778" s="330">
        <v>1</v>
      </c>
      <c r="C778" s="298">
        <v>46116</v>
      </c>
      <c r="D778" s="299" t="s">
        <v>306</v>
      </c>
      <c r="E778" s="331">
        <v>176.85</v>
      </c>
      <c r="F778" s="331"/>
      <c r="G778" s="333">
        <f t="shared" si="18"/>
        <v>4441.2999999999865</v>
      </c>
      <c r="H778" s="334"/>
      <c r="I778" s="335"/>
      <c r="J778" s="336"/>
      <c r="K778" s="301"/>
      <c r="L778" s="336"/>
      <c r="M778" s="301"/>
      <c r="N778" s="336"/>
      <c r="O778" s="301"/>
      <c r="P778" s="336"/>
      <c r="Q778" s="301"/>
      <c r="R778" s="336"/>
      <c r="S778" s="301"/>
      <c r="T778" s="336"/>
    </row>
    <row r="779" spans="1:20" ht="12" customHeight="1" x14ac:dyDescent="0.3">
      <c r="A779" s="329" t="s">
        <v>289</v>
      </c>
      <c r="B779" s="330">
        <v>1</v>
      </c>
      <c r="C779" s="298">
        <v>46116</v>
      </c>
      <c r="D779" s="299" t="s">
        <v>311</v>
      </c>
      <c r="E779" s="331">
        <v>139.34</v>
      </c>
      <c r="F779" s="331"/>
      <c r="G779" s="333">
        <f t="shared" si="18"/>
        <v>4618.1499999999869</v>
      </c>
      <c r="H779" s="334"/>
      <c r="I779" s="335"/>
      <c r="J779" s="336"/>
      <c r="K779" s="301"/>
      <c r="L779" s="336"/>
      <c r="M779" s="301"/>
      <c r="N779" s="336"/>
      <c r="O779" s="301"/>
      <c r="P779" s="336"/>
      <c r="Q779" s="301"/>
      <c r="R779" s="336"/>
      <c r="S779" s="301"/>
      <c r="T779" s="336"/>
    </row>
    <row r="780" spans="1:20" ht="12" customHeight="1" x14ac:dyDescent="0.3">
      <c r="A780" s="329" t="s">
        <v>294</v>
      </c>
      <c r="B780" s="330">
        <v>17</v>
      </c>
      <c r="C780" s="298">
        <v>46116</v>
      </c>
      <c r="D780" s="299" t="s">
        <v>370</v>
      </c>
      <c r="E780" s="331">
        <v>99</v>
      </c>
      <c r="F780" s="331"/>
      <c r="G780" s="333">
        <f t="shared" si="18"/>
        <v>4757.489999999987</v>
      </c>
      <c r="H780" s="334"/>
      <c r="I780" s="335"/>
      <c r="J780" s="336"/>
      <c r="K780" s="301"/>
      <c r="L780" s="336"/>
      <c r="M780" s="301"/>
      <c r="N780" s="336"/>
      <c r="O780" s="301"/>
      <c r="P780" s="336"/>
      <c r="Q780" s="301"/>
      <c r="R780" s="336"/>
      <c r="S780" s="301"/>
      <c r="T780" s="336"/>
    </row>
    <row r="781" spans="1:20" ht="12" customHeight="1" x14ac:dyDescent="0.3">
      <c r="A781" s="329" t="s">
        <v>289</v>
      </c>
      <c r="B781" s="330">
        <v>2</v>
      </c>
      <c r="C781" s="298">
        <v>46116</v>
      </c>
      <c r="D781" s="299" t="s">
        <v>371</v>
      </c>
      <c r="E781" s="331">
        <v>34</v>
      </c>
      <c r="F781" s="331"/>
      <c r="G781" s="333">
        <f t="shared" si="18"/>
        <v>4856.489999999987</v>
      </c>
      <c r="H781" s="334"/>
      <c r="I781" s="335"/>
      <c r="J781" s="336"/>
      <c r="K781" s="301"/>
      <c r="L781" s="336"/>
      <c r="M781" s="301"/>
      <c r="N781" s="336"/>
      <c r="O781" s="301"/>
      <c r="P781" s="336"/>
      <c r="Q781" s="301"/>
      <c r="R781" s="336"/>
      <c r="S781" s="301"/>
      <c r="T781" s="336"/>
    </row>
    <row r="782" spans="1:20" ht="12" customHeight="1" x14ac:dyDescent="0.3">
      <c r="A782" s="329" t="s">
        <v>289</v>
      </c>
      <c r="B782" s="330">
        <v>3</v>
      </c>
      <c r="C782" s="298">
        <v>46116</v>
      </c>
      <c r="D782" s="299" t="s">
        <v>348</v>
      </c>
      <c r="E782" s="331">
        <v>10.24</v>
      </c>
      <c r="F782" s="331"/>
      <c r="G782" s="333">
        <f t="shared" si="18"/>
        <v>4890.489999999987</v>
      </c>
      <c r="H782" s="334"/>
      <c r="I782" s="335"/>
      <c r="J782" s="336"/>
      <c r="K782" s="301"/>
      <c r="L782" s="336"/>
      <c r="M782" s="301"/>
      <c r="N782" s="336"/>
      <c r="O782" s="301"/>
      <c r="P782" s="336"/>
      <c r="Q782" s="301"/>
      <c r="R782" s="336"/>
      <c r="S782" s="301"/>
      <c r="T782" s="336"/>
    </row>
    <row r="783" spans="1:20" ht="12" customHeight="1" x14ac:dyDescent="0.3">
      <c r="A783" s="329" t="s">
        <v>289</v>
      </c>
      <c r="B783" s="330">
        <v>7</v>
      </c>
      <c r="C783" s="298">
        <v>46115</v>
      </c>
      <c r="D783" s="299" t="s">
        <v>372</v>
      </c>
      <c r="E783" s="331">
        <v>100</v>
      </c>
      <c r="F783" s="331"/>
      <c r="G783" s="333">
        <f t="shared" si="18"/>
        <v>4900.7299999999868</v>
      </c>
      <c r="H783" s="334"/>
      <c r="I783" s="335"/>
      <c r="J783" s="336"/>
      <c r="K783" s="301"/>
      <c r="L783" s="336"/>
      <c r="M783" s="301"/>
      <c r="N783" s="336"/>
      <c r="O783" s="301"/>
      <c r="P783" s="336"/>
      <c r="Q783" s="301"/>
      <c r="R783" s="336"/>
      <c r="S783" s="301"/>
      <c r="T783" s="336"/>
    </row>
    <row r="784" spans="1:20" ht="12" customHeight="1" x14ac:dyDescent="0.3">
      <c r="A784" s="329" t="s">
        <v>289</v>
      </c>
      <c r="B784" s="330">
        <v>6</v>
      </c>
      <c r="C784" s="298">
        <v>46115</v>
      </c>
      <c r="D784" s="299" t="s">
        <v>300</v>
      </c>
      <c r="E784" s="331">
        <v>7.68</v>
      </c>
      <c r="F784" s="331"/>
      <c r="G784" s="333">
        <f t="shared" si="18"/>
        <v>5000.7299999999868</v>
      </c>
      <c r="H784" s="334"/>
      <c r="I784" s="335"/>
      <c r="J784" s="336"/>
      <c r="K784" s="301"/>
      <c r="L784" s="336"/>
      <c r="M784" s="301"/>
      <c r="N784" s="336"/>
      <c r="O784" s="301"/>
      <c r="P784" s="336"/>
      <c r="Q784" s="301"/>
      <c r="R784" s="336"/>
      <c r="S784" s="301"/>
      <c r="T784" s="336"/>
    </row>
    <row r="785" spans="1:20" ht="12" customHeight="1" x14ac:dyDescent="0.3">
      <c r="A785" s="329" t="s">
        <v>289</v>
      </c>
      <c r="B785" s="330">
        <v>2</v>
      </c>
      <c r="C785" s="298">
        <v>46115</v>
      </c>
      <c r="D785" s="299" t="s">
        <v>296</v>
      </c>
      <c r="E785" s="331">
        <v>8.7200000000000006</v>
      </c>
      <c r="F785" s="331"/>
      <c r="G785" s="333">
        <f t="shared" si="18"/>
        <v>5008.4099999999871</v>
      </c>
      <c r="H785" s="334"/>
      <c r="I785" s="335"/>
      <c r="J785" s="336"/>
      <c r="K785" s="301"/>
      <c r="L785" s="336"/>
      <c r="M785" s="301"/>
      <c r="N785" s="336"/>
      <c r="O785" s="301"/>
      <c r="P785" s="336"/>
      <c r="Q785" s="301"/>
      <c r="R785" s="336"/>
      <c r="S785" s="301"/>
      <c r="T785" s="336"/>
    </row>
    <row r="786" spans="1:20" ht="12" customHeight="1" x14ac:dyDescent="0.3">
      <c r="A786" s="329" t="s">
        <v>289</v>
      </c>
      <c r="B786" s="330">
        <v>8</v>
      </c>
      <c r="C786" s="298">
        <v>46114</v>
      </c>
      <c r="D786" s="299" t="s">
        <v>373</v>
      </c>
      <c r="E786" s="331">
        <v>81.739999999999995</v>
      </c>
      <c r="F786" s="331"/>
      <c r="G786" s="333">
        <f t="shared" si="18"/>
        <v>5017.1299999999874</v>
      </c>
      <c r="H786" s="334"/>
      <c r="I786" s="335"/>
      <c r="J786" s="336"/>
      <c r="K786" s="301"/>
      <c r="L786" s="336"/>
      <c r="M786" s="301"/>
      <c r="N786" s="336"/>
      <c r="O786" s="301"/>
      <c r="P786" s="336"/>
      <c r="Q786" s="301"/>
      <c r="R786" s="336"/>
      <c r="S786" s="301"/>
      <c r="T786" s="336"/>
    </row>
    <row r="787" spans="1:20" ht="12" customHeight="1" x14ac:dyDescent="0.3">
      <c r="A787" s="329" t="s">
        <v>284</v>
      </c>
      <c r="B787" s="330">
        <v>36</v>
      </c>
      <c r="C787" s="298">
        <v>46114</v>
      </c>
      <c r="D787" s="299" t="s">
        <v>374</v>
      </c>
      <c r="E787" s="331">
        <v>50</v>
      </c>
      <c r="F787" s="331"/>
      <c r="G787" s="333">
        <f t="shared" si="18"/>
        <v>5098.8699999999872</v>
      </c>
      <c r="H787" s="334"/>
      <c r="I787" s="335"/>
      <c r="J787" s="336"/>
      <c r="K787" s="301"/>
      <c r="L787" s="336"/>
      <c r="M787" s="301"/>
      <c r="N787" s="336"/>
      <c r="O787" s="301"/>
      <c r="P787" s="336"/>
      <c r="Q787" s="301"/>
      <c r="R787" s="336"/>
      <c r="S787" s="301"/>
      <c r="T787" s="336"/>
    </row>
    <row r="788" spans="1:20" ht="12" customHeight="1" x14ac:dyDescent="0.3">
      <c r="A788" s="329" t="s">
        <v>294</v>
      </c>
      <c r="B788" s="330">
        <v>22</v>
      </c>
      <c r="C788" s="298">
        <v>46114</v>
      </c>
      <c r="D788" s="299" t="s">
        <v>375</v>
      </c>
      <c r="E788" s="331">
        <v>6.37</v>
      </c>
      <c r="F788" s="331"/>
      <c r="G788" s="333">
        <f t="shared" si="18"/>
        <v>5148.8699999999872</v>
      </c>
      <c r="H788" s="334"/>
      <c r="I788" s="335"/>
      <c r="J788" s="336"/>
      <c r="K788" s="301"/>
      <c r="L788" s="336"/>
      <c r="M788" s="301"/>
      <c r="N788" s="336"/>
      <c r="O788" s="301"/>
      <c r="P788" s="336"/>
      <c r="Q788" s="301"/>
      <c r="R788" s="336"/>
      <c r="S788" s="301"/>
      <c r="T788" s="336"/>
    </row>
    <row r="789" spans="1:20" ht="12" customHeight="1" x14ac:dyDescent="0.3">
      <c r="A789" s="329" t="s">
        <v>289</v>
      </c>
      <c r="B789" s="330">
        <v>2</v>
      </c>
      <c r="C789" s="298">
        <v>46114</v>
      </c>
      <c r="D789" s="299" t="s">
        <v>326</v>
      </c>
      <c r="E789" s="331">
        <v>55.22</v>
      </c>
      <c r="F789" s="331"/>
      <c r="G789" s="333">
        <f t="shared" si="18"/>
        <v>5155.239999999987</v>
      </c>
      <c r="H789" s="334"/>
      <c r="I789" s="335"/>
      <c r="J789" s="336"/>
      <c r="K789" s="301"/>
      <c r="L789" s="336"/>
      <c r="M789" s="301"/>
      <c r="N789" s="336"/>
      <c r="O789" s="301"/>
      <c r="P789" s="336"/>
      <c r="Q789" s="301"/>
      <c r="R789" s="336"/>
      <c r="S789" s="301"/>
      <c r="T789" s="336"/>
    </row>
    <row r="790" spans="1:20" ht="12" customHeight="1" x14ac:dyDescent="0.3">
      <c r="A790" s="329" t="s">
        <v>289</v>
      </c>
      <c r="B790" s="330">
        <v>8</v>
      </c>
      <c r="C790" s="298">
        <v>46114</v>
      </c>
      <c r="D790" s="299" t="s">
        <v>319</v>
      </c>
      <c r="E790" s="331">
        <v>8.5</v>
      </c>
      <c r="F790" s="331"/>
      <c r="G790" s="333">
        <f t="shared" si="18"/>
        <v>5210.4599999999873</v>
      </c>
      <c r="H790" s="334"/>
      <c r="I790" s="335"/>
      <c r="J790" s="336"/>
      <c r="K790" s="301"/>
      <c r="L790" s="336"/>
      <c r="M790" s="301"/>
      <c r="N790" s="336"/>
      <c r="O790" s="301"/>
      <c r="P790" s="336"/>
      <c r="Q790" s="301"/>
      <c r="R790" s="336"/>
      <c r="S790" s="301"/>
      <c r="T790" s="336"/>
    </row>
    <row r="791" spans="1:20" ht="12" customHeight="1" x14ac:dyDescent="0.3">
      <c r="A791" s="329" t="s">
        <v>289</v>
      </c>
      <c r="B791" s="330">
        <v>4</v>
      </c>
      <c r="C791" s="298">
        <v>46114</v>
      </c>
      <c r="D791" s="299" t="s">
        <v>334</v>
      </c>
      <c r="E791" s="331">
        <v>38.99</v>
      </c>
      <c r="F791" s="331"/>
      <c r="G791" s="333">
        <f t="shared" si="18"/>
        <v>5218.9599999999873</v>
      </c>
      <c r="H791" s="334"/>
      <c r="I791" s="335"/>
      <c r="J791" s="336"/>
      <c r="K791" s="301"/>
      <c r="L791" s="336"/>
      <c r="M791" s="301"/>
      <c r="N791" s="336"/>
      <c r="O791" s="301"/>
      <c r="P791" s="336"/>
      <c r="Q791" s="301"/>
      <c r="R791" s="336"/>
      <c r="S791" s="301"/>
      <c r="T791" s="336"/>
    </row>
    <row r="792" spans="1:20" ht="12" customHeight="1" x14ac:dyDescent="0.3">
      <c r="A792" s="329" t="s">
        <v>291</v>
      </c>
      <c r="B792" s="330">
        <v>39</v>
      </c>
      <c r="C792" s="298">
        <v>46113</v>
      </c>
      <c r="D792" s="299" t="s">
        <v>292</v>
      </c>
      <c r="E792" s="331"/>
      <c r="F792" s="331">
        <v>2763.78</v>
      </c>
      <c r="G792" s="333">
        <f t="shared" si="18"/>
        <v>5257.9499999999871</v>
      </c>
      <c r="H792" s="334"/>
      <c r="I792" s="335"/>
      <c r="J792" s="336"/>
      <c r="K792" s="301"/>
      <c r="L792" s="336"/>
      <c r="M792" s="301"/>
      <c r="N792" s="336"/>
      <c r="O792" s="301"/>
      <c r="P792" s="336"/>
      <c r="Q792" s="301"/>
      <c r="R792" s="336"/>
      <c r="S792" s="301"/>
      <c r="T792" s="336"/>
    </row>
    <row r="793" spans="1:20" ht="12" customHeight="1" x14ac:dyDescent="0.3">
      <c r="A793" s="329" t="s">
        <v>289</v>
      </c>
      <c r="B793" s="330">
        <v>4</v>
      </c>
      <c r="C793" s="298">
        <v>46113</v>
      </c>
      <c r="D793" s="299" t="s">
        <v>296</v>
      </c>
      <c r="E793" s="331">
        <v>36.090000000000003</v>
      </c>
      <c r="F793" s="331"/>
      <c r="G793" s="333">
        <f t="shared" si="18"/>
        <v>2494.1699999999869</v>
      </c>
      <c r="H793" s="334"/>
      <c r="I793" s="335"/>
      <c r="J793" s="336"/>
      <c r="K793" s="301"/>
      <c r="L793" s="336"/>
      <c r="M793" s="301"/>
      <c r="N793" s="336"/>
      <c r="O793" s="301"/>
      <c r="P793" s="336"/>
      <c r="Q793" s="301"/>
      <c r="R793" s="336"/>
      <c r="S793" s="301"/>
      <c r="T793" s="336"/>
    </row>
    <row r="794" spans="1:20" ht="12" customHeight="1" x14ac:dyDescent="0.3">
      <c r="A794" s="329" t="s">
        <v>289</v>
      </c>
      <c r="B794" s="330">
        <v>4</v>
      </c>
      <c r="C794" s="298">
        <v>46113</v>
      </c>
      <c r="D794" s="299" t="s">
        <v>310</v>
      </c>
      <c r="E794" s="331">
        <v>80</v>
      </c>
      <c r="F794" s="331"/>
      <c r="G794" s="333">
        <f t="shared" si="18"/>
        <v>2530.259999999987</v>
      </c>
      <c r="H794" s="334"/>
      <c r="I794" s="335"/>
      <c r="J794" s="336"/>
      <c r="K794" s="301"/>
      <c r="L794" s="336"/>
      <c r="M794" s="301"/>
      <c r="N794" s="336"/>
      <c r="O794" s="301"/>
      <c r="P794" s="336"/>
      <c r="Q794" s="301"/>
      <c r="R794" s="336"/>
      <c r="S794" s="301"/>
      <c r="T794" s="336"/>
    </row>
    <row r="795" spans="1:20" ht="12" customHeight="1" x14ac:dyDescent="0.3">
      <c r="A795" s="329" t="s">
        <v>289</v>
      </c>
      <c r="B795" s="330">
        <v>7</v>
      </c>
      <c r="C795" s="298">
        <v>46113</v>
      </c>
      <c r="D795" s="299" t="s">
        <v>320</v>
      </c>
      <c r="E795" s="331">
        <v>47.84</v>
      </c>
      <c r="F795" s="331"/>
      <c r="G795" s="333">
        <f t="shared" si="18"/>
        <v>2610.259999999987</v>
      </c>
      <c r="H795" s="334"/>
      <c r="I795" s="335"/>
      <c r="J795" s="336"/>
      <c r="K795" s="301"/>
      <c r="L795" s="336"/>
      <c r="M795" s="301"/>
      <c r="N795" s="336"/>
      <c r="O795" s="301"/>
      <c r="P795" s="336"/>
      <c r="Q795" s="301"/>
      <c r="R795" s="336"/>
      <c r="S795" s="301"/>
      <c r="T795" s="336"/>
    </row>
    <row r="796" spans="1:20" ht="12" customHeight="1" x14ac:dyDescent="0.3">
      <c r="A796" s="329" t="s">
        <v>289</v>
      </c>
      <c r="B796" s="330">
        <v>7</v>
      </c>
      <c r="C796" s="298">
        <v>46113</v>
      </c>
      <c r="D796" s="299" t="s">
        <v>320</v>
      </c>
      <c r="E796" s="331">
        <v>21.25</v>
      </c>
      <c r="F796" s="331"/>
      <c r="G796" s="333">
        <f t="shared" si="18"/>
        <v>2658.0999999999872</v>
      </c>
      <c r="H796" s="334"/>
      <c r="I796" s="335"/>
      <c r="J796" s="336"/>
      <c r="K796" s="301"/>
      <c r="L796" s="336"/>
      <c r="M796" s="301"/>
      <c r="N796" s="336"/>
      <c r="O796" s="301"/>
      <c r="P796" s="336"/>
      <c r="Q796" s="301"/>
      <c r="R796" s="336"/>
      <c r="S796" s="301"/>
      <c r="T796" s="336"/>
    </row>
    <row r="797" spans="1:20" ht="12" customHeight="1" x14ac:dyDescent="0.3">
      <c r="A797" s="329" t="s">
        <v>289</v>
      </c>
      <c r="B797" s="330">
        <v>2</v>
      </c>
      <c r="C797" s="298">
        <v>46113</v>
      </c>
      <c r="D797" s="299" t="s">
        <v>376</v>
      </c>
      <c r="E797" s="331">
        <v>42.9</v>
      </c>
      <c r="F797" s="331"/>
      <c r="G797" s="333">
        <f t="shared" si="18"/>
        <v>2679.3499999999872</v>
      </c>
      <c r="H797" s="334"/>
      <c r="I797" s="335"/>
      <c r="J797" s="336"/>
      <c r="K797" s="301"/>
      <c r="L797" s="336"/>
      <c r="M797" s="301"/>
      <c r="N797" s="336"/>
      <c r="O797" s="301"/>
      <c r="P797" s="336"/>
      <c r="Q797" s="301"/>
      <c r="R797" s="336"/>
      <c r="S797" s="301"/>
      <c r="T797" s="336"/>
    </row>
    <row r="798" spans="1:20" ht="12" customHeight="1" x14ac:dyDescent="0.3">
      <c r="A798" s="329" t="s">
        <v>284</v>
      </c>
      <c r="B798" s="330">
        <v>37</v>
      </c>
      <c r="C798" s="298">
        <v>46112</v>
      </c>
      <c r="D798" s="299" t="s">
        <v>377</v>
      </c>
      <c r="E798" s="331">
        <v>4309.58</v>
      </c>
      <c r="F798" s="331"/>
      <c r="G798" s="333">
        <f t="shared" si="18"/>
        <v>2722.2499999999873</v>
      </c>
      <c r="H798" s="334"/>
      <c r="I798" s="335"/>
      <c r="J798" s="336"/>
      <c r="K798" s="301"/>
      <c r="L798" s="336"/>
      <c r="M798" s="301"/>
      <c r="N798" s="336"/>
      <c r="O798" s="301"/>
      <c r="P798" s="336"/>
      <c r="Q798" s="301"/>
      <c r="R798" s="336"/>
      <c r="S798" s="301"/>
      <c r="T798" s="336"/>
    </row>
    <row r="799" spans="1:20" ht="12" customHeight="1" x14ac:dyDescent="0.3">
      <c r="A799" s="329" t="s">
        <v>286</v>
      </c>
      <c r="B799" s="330">
        <v>25</v>
      </c>
      <c r="C799" s="298">
        <v>46112</v>
      </c>
      <c r="D799" s="298" t="s">
        <v>204</v>
      </c>
      <c r="E799" s="331">
        <v>350</v>
      </c>
      <c r="F799" s="331"/>
      <c r="G799" s="333">
        <f t="shared" si="18"/>
        <v>7031.8299999999872</v>
      </c>
      <c r="H799" s="334"/>
      <c r="I799" s="335"/>
      <c r="J799" s="336"/>
      <c r="K799" s="301"/>
      <c r="L799" s="336"/>
      <c r="M799" s="301"/>
      <c r="N799" s="336"/>
      <c r="O799" s="301"/>
      <c r="P799" s="336"/>
      <c r="Q799" s="301"/>
      <c r="R799" s="336"/>
      <c r="S799" s="301"/>
      <c r="T799" s="336"/>
    </row>
    <row r="800" spans="1:20" ht="12" customHeight="1" x14ac:dyDescent="0.3">
      <c r="A800" s="329" t="s">
        <v>286</v>
      </c>
      <c r="B800" s="330">
        <v>26</v>
      </c>
      <c r="C800" s="298">
        <v>46112</v>
      </c>
      <c r="D800" s="298" t="s">
        <v>205</v>
      </c>
      <c r="E800" s="331">
        <v>320</v>
      </c>
      <c r="F800" s="331"/>
      <c r="G800" s="333">
        <f t="shared" si="18"/>
        <v>7381.8299999999872</v>
      </c>
      <c r="H800" s="334"/>
      <c r="I800" s="335"/>
      <c r="J800" s="336"/>
      <c r="K800" s="301"/>
      <c r="L800" s="336"/>
      <c r="M800" s="301"/>
      <c r="N800" s="336"/>
      <c r="O800" s="301"/>
      <c r="P800" s="336"/>
      <c r="Q800" s="301"/>
      <c r="R800" s="336"/>
      <c r="S800" s="301"/>
      <c r="T800" s="336"/>
    </row>
    <row r="801" spans="1:20" ht="12" customHeight="1" x14ac:dyDescent="0.3">
      <c r="A801" s="329" t="s">
        <v>286</v>
      </c>
      <c r="B801" s="330">
        <v>27</v>
      </c>
      <c r="C801" s="298">
        <v>46112</v>
      </c>
      <c r="D801" s="298" t="s">
        <v>206</v>
      </c>
      <c r="E801" s="331">
        <v>25</v>
      </c>
      <c r="F801" s="331"/>
      <c r="G801" s="333">
        <f t="shared" si="18"/>
        <v>7701.8299999999872</v>
      </c>
      <c r="H801" s="334"/>
      <c r="I801" s="335"/>
      <c r="J801" s="336"/>
      <c r="K801" s="301"/>
      <c r="L801" s="336"/>
      <c r="M801" s="301"/>
      <c r="N801" s="336"/>
      <c r="O801" s="301"/>
      <c r="P801" s="336"/>
      <c r="Q801" s="301"/>
      <c r="R801" s="336"/>
      <c r="S801" s="301"/>
      <c r="T801" s="336"/>
    </row>
    <row r="802" spans="1:20" ht="12" customHeight="1" x14ac:dyDescent="0.3">
      <c r="A802" s="329" t="s">
        <v>286</v>
      </c>
      <c r="B802" s="330">
        <v>28</v>
      </c>
      <c r="C802" s="298">
        <v>46112</v>
      </c>
      <c r="D802" s="298" t="s">
        <v>207</v>
      </c>
      <c r="E802" s="331">
        <v>25</v>
      </c>
      <c r="F802" s="331"/>
      <c r="G802" s="333">
        <f t="shared" si="18"/>
        <v>7726.8299999999872</v>
      </c>
      <c r="H802" s="334"/>
      <c r="I802" s="335"/>
      <c r="J802" s="336"/>
      <c r="K802" s="301"/>
      <c r="L802" s="336"/>
      <c r="M802" s="301"/>
      <c r="N802" s="336"/>
      <c r="O802" s="301"/>
      <c r="P802" s="336"/>
      <c r="Q802" s="301"/>
      <c r="R802" s="336"/>
      <c r="S802" s="301"/>
      <c r="T802" s="336"/>
    </row>
    <row r="803" spans="1:20" ht="12" customHeight="1" x14ac:dyDescent="0.3">
      <c r="A803" s="329" t="s">
        <v>286</v>
      </c>
      <c r="B803" s="330">
        <v>29</v>
      </c>
      <c r="C803" s="298">
        <v>46112</v>
      </c>
      <c r="D803" s="298" t="s">
        <v>208</v>
      </c>
      <c r="E803" s="331">
        <v>45</v>
      </c>
      <c r="F803" s="331"/>
      <c r="G803" s="333">
        <f t="shared" si="18"/>
        <v>7751.8299999999872</v>
      </c>
      <c r="H803" s="334"/>
      <c r="I803" s="335"/>
      <c r="J803" s="336"/>
      <c r="K803" s="301"/>
      <c r="L803" s="336"/>
      <c r="M803" s="301"/>
      <c r="N803" s="336"/>
      <c r="O803" s="301"/>
      <c r="P803" s="336"/>
      <c r="Q803" s="301"/>
      <c r="R803" s="336"/>
      <c r="S803" s="301"/>
      <c r="T803" s="336"/>
    </row>
    <row r="804" spans="1:20" ht="12" customHeight="1" x14ac:dyDescent="0.3">
      <c r="A804" s="329" t="s">
        <v>286</v>
      </c>
      <c r="B804" s="330">
        <v>30</v>
      </c>
      <c r="C804" s="298">
        <v>46112</v>
      </c>
      <c r="D804" s="298" t="s">
        <v>209</v>
      </c>
      <c r="E804" s="331">
        <v>400</v>
      </c>
      <c r="F804" s="331"/>
      <c r="G804" s="333">
        <f t="shared" si="18"/>
        <v>7796.8299999999872</v>
      </c>
      <c r="H804" s="334"/>
      <c r="I804" s="335"/>
      <c r="J804" s="336"/>
      <c r="K804" s="301"/>
      <c r="L804" s="336"/>
      <c r="M804" s="301"/>
      <c r="N804" s="336"/>
      <c r="O804" s="301"/>
      <c r="P804" s="336"/>
      <c r="Q804" s="301"/>
      <c r="R804" s="336"/>
      <c r="S804" s="301"/>
      <c r="T804" s="336"/>
    </row>
    <row r="805" spans="1:20" ht="12" customHeight="1" x14ac:dyDescent="0.3">
      <c r="A805" s="329" t="s">
        <v>286</v>
      </c>
      <c r="B805" s="330">
        <v>31</v>
      </c>
      <c r="C805" s="298">
        <v>46112</v>
      </c>
      <c r="D805" s="298" t="s">
        <v>210</v>
      </c>
      <c r="E805" s="331">
        <v>375</v>
      </c>
      <c r="F805" s="331"/>
      <c r="G805" s="333">
        <f t="shared" si="18"/>
        <v>8196.8299999999872</v>
      </c>
      <c r="H805" s="334"/>
      <c r="I805" s="335"/>
      <c r="J805" s="336"/>
      <c r="K805" s="301"/>
      <c r="L805" s="336"/>
      <c r="M805" s="301"/>
      <c r="N805" s="336"/>
      <c r="O805" s="301"/>
      <c r="P805" s="336"/>
      <c r="Q805" s="301"/>
      <c r="R805" s="336"/>
      <c r="S805" s="301"/>
      <c r="T805" s="336"/>
    </row>
    <row r="806" spans="1:20" ht="12" customHeight="1" x14ac:dyDescent="0.3">
      <c r="A806" s="329" t="s">
        <v>286</v>
      </c>
      <c r="B806" s="330">
        <v>32</v>
      </c>
      <c r="C806" s="298">
        <v>46112</v>
      </c>
      <c r="D806" s="298" t="s">
        <v>211</v>
      </c>
      <c r="E806" s="331">
        <v>100</v>
      </c>
      <c r="F806" s="331"/>
      <c r="G806" s="333">
        <f t="shared" si="18"/>
        <v>8571.8299999999872</v>
      </c>
      <c r="H806" s="334"/>
      <c r="I806" s="335"/>
      <c r="J806" s="336"/>
      <c r="K806" s="301"/>
      <c r="L806" s="336"/>
      <c r="M806" s="301"/>
      <c r="N806" s="336"/>
      <c r="O806" s="301"/>
      <c r="P806" s="336"/>
      <c r="Q806" s="301"/>
      <c r="R806" s="336"/>
      <c r="S806" s="301"/>
      <c r="T806" s="336"/>
    </row>
    <row r="807" spans="1:20" ht="12" customHeight="1" x14ac:dyDescent="0.3">
      <c r="A807" s="329" t="s">
        <v>286</v>
      </c>
      <c r="B807" s="330">
        <v>33</v>
      </c>
      <c r="C807" s="298">
        <v>46112</v>
      </c>
      <c r="D807" s="298" t="s">
        <v>212</v>
      </c>
      <c r="E807" s="331">
        <v>85</v>
      </c>
      <c r="F807" s="331"/>
      <c r="G807" s="333">
        <f t="shared" si="18"/>
        <v>8671.8299999999872</v>
      </c>
      <c r="H807" s="334"/>
      <c r="I807" s="335"/>
      <c r="J807" s="336"/>
      <c r="K807" s="301"/>
      <c r="L807" s="336"/>
      <c r="M807" s="301"/>
      <c r="N807" s="336"/>
      <c r="O807" s="301"/>
      <c r="P807" s="336"/>
      <c r="Q807" s="301"/>
      <c r="R807" s="336"/>
      <c r="S807" s="301"/>
      <c r="T807" s="336"/>
    </row>
    <row r="808" spans="1:20" ht="12" customHeight="1" x14ac:dyDescent="0.3">
      <c r="A808" s="329" t="s">
        <v>286</v>
      </c>
      <c r="B808" s="330">
        <v>34</v>
      </c>
      <c r="C808" s="298">
        <v>46112</v>
      </c>
      <c r="D808" s="298" t="s">
        <v>213</v>
      </c>
      <c r="E808" s="331">
        <v>230</v>
      </c>
      <c r="F808" s="331"/>
      <c r="G808" s="333">
        <f t="shared" si="18"/>
        <v>8756.8299999999872</v>
      </c>
      <c r="H808" s="334"/>
      <c r="I808" s="335"/>
      <c r="J808" s="336"/>
      <c r="K808" s="301"/>
      <c r="L808" s="336"/>
      <c r="M808" s="301"/>
      <c r="N808" s="336"/>
      <c r="O808" s="301"/>
      <c r="P808" s="336"/>
      <c r="Q808" s="301"/>
      <c r="R808" s="336"/>
      <c r="S808" s="301"/>
      <c r="T808" s="336"/>
    </row>
    <row r="809" spans="1:20" ht="12" customHeight="1" x14ac:dyDescent="0.3">
      <c r="A809" s="329" t="s">
        <v>286</v>
      </c>
      <c r="B809" s="330">
        <v>35</v>
      </c>
      <c r="C809" s="298">
        <v>46112</v>
      </c>
      <c r="D809" s="298" t="s">
        <v>214</v>
      </c>
      <c r="E809" s="331">
        <v>45</v>
      </c>
      <c r="F809" s="331"/>
      <c r="G809" s="333">
        <f t="shared" si="18"/>
        <v>8986.8299999999872</v>
      </c>
      <c r="H809" s="334"/>
      <c r="I809" s="335"/>
      <c r="J809" s="336"/>
      <c r="K809" s="301"/>
      <c r="L809" s="336"/>
      <c r="M809" s="301"/>
      <c r="N809" s="336"/>
      <c r="O809" s="301"/>
      <c r="P809" s="336"/>
      <c r="Q809" s="301"/>
      <c r="R809" s="336"/>
      <c r="S809" s="301"/>
      <c r="T809" s="336"/>
    </row>
    <row r="810" spans="1:20" ht="12" customHeight="1" x14ac:dyDescent="0.3">
      <c r="A810" s="329" t="s">
        <v>289</v>
      </c>
      <c r="B810" s="330">
        <v>6</v>
      </c>
      <c r="C810" s="298">
        <v>46112</v>
      </c>
      <c r="D810" s="298" t="s">
        <v>378</v>
      </c>
      <c r="E810" s="331">
        <v>40</v>
      </c>
      <c r="F810" s="331"/>
      <c r="G810" s="333">
        <f t="shared" si="18"/>
        <v>9031.8299999999872</v>
      </c>
      <c r="H810" s="334"/>
      <c r="I810" s="335"/>
      <c r="J810" s="336"/>
      <c r="K810" s="301"/>
      <c r="L810" s="336"/>
      <c r="M810" s="301"/>
      <c r="N810" s="336"/>
      <c r="O810" s="301"/>
      <c r="P810" s="336"/>
      <c r="Q810" s="301"/>
      <c r="R810" s="336"/>
      <c r="S810" s="301"/>
      <c r="T810" s="336"/>
    </row>
    <row r="811" spans="1:20" ht="12" customHeight="1" x14ac:dyDescent="0.3">
      <c r="A811" s="329" t="s">
        <v>294</v>
      </c>
      <c r="B811" s="330">
        <v>42</v>
      </c>
      <c r="C811" s="298">
        <v>46112</v>
      </c>
      <c r="D811" s="298" t="s">
        <v>200</v>
      </c>
      <c r="E811" s="331">
        <v>59</v>
      </c>
      <c r="F811" s="331"/>
      <c r="G811" s="333">
        <f t="shared" si="18"/>
        <v>9071.8299999999872</v>
      </c>
      <c r="H811" s="334"/>
      <c r="I811" s="335"/>
      <c r="J811" s="336"/>
      <c r="K811" s="301"/>
      <c r="L811" s="336"/>
      <c r="M811" s="301"/>
      <c r="N811" s="336"/>
      <c r="O811" s="301"/>
      <c r="P811" s="336"/>
      <c r="Q811" s="301"/>
      <c r="R811" s="336"/>
      <c r="S811" s="301"/>
      <c r="T811" s="336"/>
    </row>
    <row r="812" spans="1:20" ht="12" customHeight="1" x14ac:dyDescent="0.3">
      <c r="A812" s="329" t="s">
        <v>294</v>
      </c>
      <c r="B812" s="330">
        <v>43</v>
      </c>
      <c r="C812" s="298">
        <v>46112</v>
      </c>
      <c r="D812" s="298" t="s">
        <v>201</v>
      </c>
      <c r="E812" s="331">
        <v>42.84</v>
      </c>
      <c r="F812" s="331"/>
      <c r="G812" s="333">
        <f t="shared" si="18"/>
        <v>9130.8299999999872</v>
      </c>
      <c r="H812" s="334"/>
      <c r="I812" s="335"/>
      <c r="J812" s="336"/>
      <c r="K812" s="301"/>
      <c r="L812" s="336"/>
      <c r="M812" s="301"/>
      <c r="N812" s="336"/>
      <c r="O812" s="301"/>
      <c r="P812" s="336"/>
      <c r="Q812" s="301"/>
      <c r="R812" s="336"/>
      <c r="S812" s="301"/>
      <c r="T812" s="336"/>
    </row>
    <row r="813" spans="1:20" ht="12" customHeight="1" x14ac:dyDescent="0.3">
      <c r="A813" s="329" t="s">
        <v>289</v>
      </c>
      <c r="B813" s="330">
        <v>6</v>
      </c>
      <c r="C813" s="298">
        <v>46112</v>
      </c>
      <c r="D813" s="298" t="s">
        <v>300</v>
      </c>
      <c r="E813" s="331">
        <v>57.21</v>
      </c>
      <c r="F813" s="331"/>
      <c r="G813" s="333">
        <f t="shared" si="18"/>
        <v>9173.6699999999873</v>
      </c>
      <c r="H813" s="334"/>
      <c r="I813" s="335"/>
      <c r="J813" s="336"/>
      <c r="K813" s="301"/>
      <c r="L813" s="336"/>
      <c r="M813" s="301"/>
      <c r="N813" s="336"/>
      <c r="O813" s="301"/>
      <c r="P813" s="336"/>
      <c r="Q813" s="301"/>
      <c r="R813" s="336"/>
      <c r="S813" s="301"/>
      <c r="T813" s="336"/>
    </row>
    <row r="814" spans="1:20" ht="12" customHeight="1" x14ac:dyDescent="0.3">
      <c r="A814" s="329" t="s">
        <v>289</v>
      </c>
      <c r="B814" s="330">
        <v>8</v>
      </c>
      <c r="C814" s="298">
        <v>46112</v>
      </c>
      <c r="D814" s="298" t="s">
        <v>296</v>
      </c>
      <c r="E814" s="331">
        <v>11.18</v>
      </c>
      <c r="F814" s="331"/>
      <c r="G814" s="333">
        <f t="shared" si="18"/>
        <v>9230.8799999999865</v>
      </c>
      <c r="H814" s="334"/>
      <c r="I814" s="335"/>
      <c r="J814" s="336"/>
      <c r="K814" s="301"/>
      <c r="L814" s="336"/>
      <c r="M814" s="301"/>
      <c r="N814" s="336"/>
      <c r="O814" s="301"/>
      <c r="P814" s="336"/>
      <c r="Q814" s="301"/>
      <c r="R814" s="336"/>
      <c r="S814" s="301"/>
      <c r="T814" s="336"/>
    </row>
    <row r="815" spans="1:20" ht="12" customHeight="1" x14ac:dyDescent="0.3">
      <c r="A815" s="329" t="s">
        <v>294</v>
      </c>
      <c r="B815" s="330">
        <v>10</v>
      </c>
      <c r="C815" s="298">
        <v>46112</v>
      </c>
      <c r="D815" s="298" t="s">
        <v>176</v>
      </c>
      <c r="E815" s="331">
        <v>17.899999999999999</v>
      </c>
      <c r="F815" s="331"/>
      <c r="G815" s="333">
        <f t="shared" si="18"/>
        <v>9242.0599999999868</v>
      </c>
      <c r="H815" s="334"/>
      <c r="I815" s="335"/>
      <c r="J815" s="336"/>
      <c r="K815" s="301"/>
      <c r="L815" s="336"/>
      <c r="M815" s="301"/>
      <c r="N815" s="336"/>
      <c r="O815" s="301"/>
      <c r="P815" s="336"/>
      <c r="Q815" s="301"/>
      <c r="R815" s="336"/>
      <c r="S815" s="301"/>
      <c r="T815" s="336"/>
    </row>
    <row r="816" spans="1:20" ht="12" customHeight="1" x14ac:dyDescent="0.3">
      <c r="A816" s="329" t="s">
        <v>289</v>
      </c>
      <c r="B816" s="330">
        <v>2</v>
      </c>
      <c r="C816" s="298">
        <v>46111</v>
      </c>
      <c r="D816" s="298" t="s">
        <v>334</v>
      </c>
      <c r="E816" s="331">
        <v>23.83</v>
      </c>
      <c r="F816" s="331"/>
      <c r="G816" s="333">
        <f t="shared" si="18"/>
        <v>9259.9599999999864</v>
      </c>
      <c r="H816" s="334"/>
      <c r="I816" s="335"/>
      <c r="J816" s="336"/>
      <c r="K816" s="301"/>
      <c r="L816" s="336"/>
      <c r="M816" s="301"/>
      <c r="N816" s="336"/>
      <c r="O816" s="301"/>
      <c r="P816" s="336"/>
      <c r="Q816" s="301"/>
      <c r="R816" s="336"/>
      <c r="S816" s="301"/>
      <c r="T816" s="336"/>
    </row>
    <row r="817" spans="1:20" ht="12" customHeight="1" x14ac:dyDescent="0.3">
      <c r="A817" s="329" t="s">
        <v>291</v>
      </c>
      <c r="B817" s="330">
        <v>38</v>
      </c>
      <c r="C817" s="298">
        <v>46111</v>
      </c>
      <c r="D817" s="299" t="s">
        <v>293</v>
      </c>
      <c r="E817" s="331"/>
      <c r="F817" s="331">
        <v>4278.1400000000003</v>
      </c>
      <c r="G817" s="333">
        <f t="shared" si="18"/>
        <v>9283.7899999999863</v>
      </c>
      <c r="H817" s="334"/>
      <c r="I817" s="335"/>
      <c r="J817" s="336"/>
      <c r="K817" s="301"/>
      <c r="L817" s="336"/>
      <c r="M817" s="301"/>
      <c r="N817" s="336"/>
      <c r="O817" s="301"/>
      <c r="P817" s="336"/>
      <c r="Q817" s="301"/>
      <c r="R817" s="336"/>
      <c r="S817" s="301"/>
      <c r="T817" s="336"/>
    </row>
    <row r="818" spans="1:20" ht="12" customHeight="1" x14ac:dyDescent="0.3">
      <c r="A818" s="329" t="s">
        <v>289</v>
      </c>
      <c r="B818" s="330">
        <v>3</v>
      </c>
      <c r="C818" s="298">
        <v>46111</v>
      </c>
      <c r="D818" s="299" t="s">
        <v>351</v>
      </c>
      <c r="E818" s="331">
        <v>30</v>
      </c>
      <c r="F818" s="331"/>
      <c r="G818" s="333">
        <f t="shared" si="18"/>
        <v>5005.649999999986</v>
      </c>
      <c r="H818" s="334"/>
      <c r="I818" s="335"/>
      <c r="J818" s="336"/>
      <c r="K818" s="301"/>
      <c r="L818" s="336"/>
      <c r="M818" s="301"/>
      <c r="N818" s="336"/>
      <c r="O818" s="301"/>
      <c r="P818" s="336"/>
      <c r="Q818" s="301"/>
      <c r="R818" s="336"/>
      <c r="S818" s="301"/>
      <c r="T818" s="336"/>
    </row>
    <row r="819" spans="1:20" ht="12" customHeight="1" x14ac:dyDescent="0.3">
      <c r="A819" s="329" t="s">
        <v>289</v>
      </c>
      <c r="B819" s="330">
        <v>6</v>
      </c>
      <c r="C819" s="298">
        <v>46111</v>
      </c>
      <c r="D819" s="299" t="s">
        <v>300</v>
      </c>
      <c r="E819" s="331">
        <v>15.96</v>
      </c>
      <c r="F819" s="331"/>
      <c r="G819" s="333">
        <f t="shared" si="18"/>
        <v>5035.649999999986</v>
      </c>
      <c r="H819" s="334"/>
      <c r="I819" s="335"/>
      <c r="J819" s="336"/>
      <c r="K819" s="301"/>
      <c r="L819" s="336"/>
      <c r="M819" s="301"/>
      <c r="N819" s="336"/>
      <c r="O819" s="301"/>
      <c r="P819" s="336"/>
      <c r="Q819" s="301"/>
      <c r="R819" s="336"/>
      <c r="S819" s="301"/>
      <c r="T819" s="336"/>
    </row>
    <row r="820" spans="1:20" ht="12" customHeight="1" x14ac:dyDescent="0.3">
      <c r="A820" s="329" t="s">
        <v>289</v>
      </c>
      <c r="B820" s="330">
        <v>3</v>
      </c>
      <c r="C820" s="298">
        <v>46111</v>
      </c>
      <c r="D820" s="299" t="s">
        <v>379</v>
      </c>
      <c r="E820" s="331">
        <v>18.96</v>
      </c>
      <c r="F820" s="331"/>
      <c r="G820" s="333">
        <f t="shared" si="18"/>
        <v>5051.609999999986</v>
      </c>
      <c r="H820" s="334"/>
      <c r="I820" s="335"/>
      <c r="J820" s="336"/>
      <c r="K820" s="301"/>
      <c r="L820" s="336"/>
      <c r="M820" s="301"/>
      <c r="N820" s="336"/>
      <c r="O820" s="301"/>
      <c r="P820" s="336"/>
      <c r="Q820" s="301"/>
      <c r="R820" s="336"/>
      <c r="S820" s="301"/>
      <c r="T820" s="336"/>
    </row>
    <row r="821" spans="1:20" ht="12" customHeight="1" x14ac:dyDescent="0.3">
      <c r="A821" s="329" t="s">
        <v>289</v>
      </c>
      <c r="B821" s="330">
        <v>1</v>
      </c>
      <c r="C821" s="298">
        <v>46110</v>
      </c>
      <c r="D821" s="299" t="s">
        <v>311</v>
      </c>
      <c r="E821" s="331">
        <v>144.22</v>
      </c>
      <c r="F821" s="331"/>
      <c r="G821" s="333">
        <f t="shared" si="18"/>
        <v>5070.5699999999861</v>
      </c>
      <c r="H821" s="334"/>
      <c r="I821" s="335"/>
      <c r="J821" s="336"/>
      <c r="K821" s="301"/>
      <c r="L821" s="336"/>
      <c r="M821" s="301"/>
      <c r="N821" s="336"/>
      <c r="O821" s="301"/>
      <c r="P821" s="336"/>
      <c r="Q821" s="301"/>
      <c r="R821" s="336"/>
      <c r="S821" s="301"/>
      <c r="T821" s="336"/>
    </row>
    <row r="822" spans="1:20" ht="12" customHeight="1" x14ac:dyDescent="0.3">
      <c r="A822" s="329" t="s">
        <v>289</v>
      </c>
      <c r="B822" s="330">
        <v>7</v>
      </c>
      <c r="C822" s="298">
        <v>46110</v>
      </c>
      <c r="D822" s="299" t="s">
        <v>380</v>
      </c>
      <c r="E822" s="331">
        <v>181.04</v>
      </c>
      <c r="F822" s="331"/>
      <c r="G822" s="333">
        <f t="shared" si="18"/>
        <v>5214.7899999999863</v>
      </c>
      <c r="H822" s="334"/>
      <c r="I822" s="335"/>
      <c r="J822" s="336"/>
      <c r="K822" s="301"/>
      <c r="L822" s="336"/>
      <c r="M822" s="301"/>
      <c r="N822" s="336"/>
      <c r="O822" s="301"/>
      <c r="P822" s="336"/>
      <c r="Q822" s="301"/>
      <c r="R822" s="336"/>
      <c r="S822" s="301"/>
      <c r="T822" s="336"/>
    </row>
    <row r="823" spans="1:20" ht="12" customHeight="1" x14ac:dyDescent="0.3">
      <c r="A823" s="329" t="s">
        <v>289</v>
      </c>
      <c r="B823" s="330">
        <v>6</v>
      </c>
      <c r="C823" s="298">
        <v>46110</v>
      </c>
      <c r="D823" s="299" t="s">
        <v>381</v>
      </c>
      <c r="E823" s="331">
        <v>196.9</v>
      </c>
      <c r="F823" s="331"/>
      <c r="G823" s="333">
        <f t="shared" si="18"/>
        <v>5395.8299999999863</v>
      </c>
      <c r="H823" s="334"/>
      <c r="I823" s="335"/>
      <c r="J823" s="336"/>
      <c r="K823" s="301"/>
      <c r="L823" s="336"/>
      <c r="M823" s="301"/>
      <c r="N823" s="336"/>
      <c r="O823" s="301"/>
      <c r="P823" s="336"/>
      <c r="Q823" s="301"/>
      <c r="R823" s="336"/>
      <c r="S823" s="301"/>
      <c r="T823" s="336"/>
    </row>
    <row r="824" spans="1:20" ht="12" customHeight="1" x14ac:dyDescent="0.3">
      <c r="A824" s="329" t="s">
        <v>289</v>
      </c>
      <c r="B824" s="330">
        <v>3</v>
      </c>
      <c r="C824" s="298">
        <v>46110</v>
      </c>
      <c r="D824" s="299" t="s">
        <v>382</v>
      </c>
      <c r="E824" s="331">
        <v>7.5</v>
      </c>
      <c r="F824" s="331"/>
      <c r="G824" s="333">
        <f t="shared" si="18"/>
        <v>5592.7299999999859</v>
      </c>
      <c r="H824" s="334"/>
      <c r="I824" s="335"/>
      <c r="J824" s="336"/>
      <c r="K824" s="301"/>
      <c r="L824" s="336"/>
      <c r="M824" s="301"/>
      <c r="N824" s="336"/>
      <c r="O824" s="301"/>
      <c r="P824" s="336"/>
      <c r="Q824" s="301"/>
      <c r="R824" s="336"/>
      <c r="S824" s="301"/>
      <c r="T824" s="336"/>
    </row>
    <row r="825" spans="1:20" ht="12" customHeight="1" x14ac:dyDescent="0.3">
      <c r="A825" s="329" t="s">
        <v>289</v>
      </c>
      <c r="B825" s="330">
        <v>8</v>
      </c>
      <c r="C825" s="298">
        <v>46109</v>
      </c>
      <c r="D825" s="299" t="s">
        <v>319</v>
      </c>
      <c r="E825" s="331">
        <v>11.7</v>
      </c>
      <c r="F825" s="331"/>
      <c r="G825" s="333">
        <f t="shared" si="18"/>
        <v>5600.2299999999859</v>
      </c>
      <c r="H825" s="334"/>
      <c r="I825" s="335"/>
      <c r="J825" s="336"/>
      <c r="K825" s="301"/>
      <c r="L825" s="336"/>
      <c r="M825" s="301"/>
      <c r="N825" s="336"/>
      <c r="O825" s="301"/>
      <c r="P825" s="336"/>
      <c r="Q825" s="301"/>
      <c r="R825" s="336"/>
      <c r="S825" s="301"/>
      <c r="T825" s="336"/>
    </row>
    <row r="826" spans="1:20" ht="12" customHeight="1" x14ac:dyDescent="0.3">
      <c r="A826" s="329" t="s">
        <v>289</v>
      </c>
      <c r="B826" s="330">
        <v>2</v>
      </c>
      <c r="C826" s="298">
        <v>46109</v>
      </c>
      <c r="D826" s="299" t="s">
        <v>308</v>
      </c>
      <c r="E826" s="331">
        <v>210.76</v>
      </c>
      <c r="F826" s="331"/>
      <c r="G826" s="333">
        <f t="shared" si="18"/>
        <v>5611.9299999999857</v>
      </c>
      <c r="H826" s="334"/>
      <c r="I826" s="335"/>
      <c r="J826" s="336"/>
      <c r="K826" s="301"/>
      <c r="L826" s="336"/>
      <c r="M826" s="301"/>
      <c r="N826" s="336"/>
      <c r="O826" s="301"/>
      <c r="P826" s="336"/>
      <c r="Q826" s="301"/>
      <c r="R826" s="336"/>
      <c r="S826" s="301"/>
      <c r="T826" s="336"/>
    </row>
    <row r="827" spans="1:20" ht="12" customHeight="1" x14ac:dyDescent="0.3">
      <c r="A827" s="329" t="s">
        <v>289</v>
      </c>
      <c r="B827" s="330">
        <v>4</v>
      </c>
      <c r="C827" s="298">
        <v>46109</v>
      </c>
      <c r="D827" s="299" t="s">
        <v>310</v>
      </c>
      <c r="E827" s="331">
        <v>46.9</v>
      </c>
      <c r="F827" s="331"/>
      <c r="G827" s="333">
        <f t="shared" si="18"/>
        <v>5822.689999999986</v>
      </c>
      <c r="H827" s="334"/>
      <c r="I827" s="335"/>
      <c r="J827" s="336"/>
      <c r="K827" s="301"/>
      <c r="L827" s="336"/>
      <c r="M827" s="301"/>
      <c r="N827" s="336"/>
      <c r="O827" s="301"/>
      <c r="P827" s="336"/>
      <c r="Q827" s="301"/>
      <c r="R827" s="336"/>
      <c r="S827" s="301"/>
      <c r="T827" s="336"/>
    </row>
    <row r="828" spans="1:20" ht="12" customHeight="1" x14ac:dyDescent="0.3">
      <c r="A828" s="329" t="s">
        <v>289</v>
      </c>
      <c r="B828" s="330">
        <v>1</v>
      </c>
      <c r="C828" s="298">
        <v>46109</v>
      </c>
      <c r="D828" s="299" t="s">
        <v>329</v>
      </c>
      <c r="E828" s="331">
        <v>179.1</v>
      </c>
      <c r="F828" s="331"/>
      <c r="G828" s="333">
        <f t="shared" si="18"/>
        <v>5869.5899999999856</v>
      </c>
      <c r="H828" s="334"/>
      <c r="I828" s="335"/>
      <c r="J828" s="336"/>
      <c r="K828" s="301"/>
      <c r="L828" s="336"/>
      <c r="M828" s="301"/>
      <c r="N828" s="336"/>
      <c r="O828" s="301"/>
      <c r="P828" s="336"/>
      <c r="Q828" s="301"/>
      <c r="R828" s="336"/>
      <c r="S828" s="301"/>
      <c r="T828" s="336"/>
    </row>
    <row r="829" spans="1:20" ht="12" customHeight="1" x14ac:dyDescent="0.3">
      <c r="A829" s="329" t="s">
        <v>289</v>
      </c>
      <c r="B829" s="330">
        <v>8</v>
      </c>
      <c r="C829" s="298">
        <v>46109</v>
      </c>
      <c r="D829" s="299" t="s">
        <v>308</v>
      </c>
      <c r="E829" s="331">
        <v>31.97</v>
      </c>
      <c r="F829" s="331"/>
      <c r="G829" s="333">
        <f t="shared" si="18"/>
        <v>6048.689999999986</v>
      </c>
      <c r="H829" s="334"/>
      <c r="I829" s="335"/>
      <c r="J829" s="336"/>
      <c r="K829" s="301"/>
      <c r="L829" s="336"/>
      <c r="M829" s="301"/>
      <c r="N829" s="336"/>
      <c r="O829" s="301"/>
      <c r="P829" s="336"/>
      <c r="Q829" s="301"/>
      <c r="R829" s="336"/>
      <c r="S829" s="301"/>
      <c r="T829" s="336"/>
    </row>
    <row r="830" spans="1:20" ht="12" customHeight="1" x14ac:dyDescent="0.3">
      <c r="A830" s="329" t="s">
        <v>289</v>
      </c>
      <c r="B830" s="330">
        <v>8</v>
      </c>
      <c r="C830" s="298">
        <v>46109</v>
      </c>
      <c r="D830" s="299" t="s">
        <v>308</v>
      </c>
      <c r="E830" s="331">
        <v>12.19</v>
      </c>
      <c r="F830" s="331"/>
      <c r="G830" s="333">
        <f t="shared" si="18"/>
        <v>6080.6599999999862</v>
      </c>
      <c r="H830" s="334"/>
      <c r="I830" s="335"/>
      <c r="J830" s="336"/>
      <c r="K830" s="301"/>
      <c r="L830" s="336"/>
      <c r="M830" s="301"/>
      <c r="N830" s="336"/>
      <c r="O830" s="301"/>
      <c r="P830" s="336"/>
      <c r="Q830" s="301"/>
      <c r="R830" s="336"/>
      <c r="S830" s="301"/>
      <c r="T830" s="336"/>
    </row>
    <row r="831" spans="1:20" ht="12" customHeight="1" x14ac:dyDescent="0.3">
      <c r="A831" s="329" t="s">
        <v>291</v>
      </c>
      <c r="B831" s="330">
        <v>41</v>
      </c>
      <c r="C831" s="298">
        <v>46108</v>
      </c>
      <c r="D831" s="299" t="s">
        <v>383</v>
      </c>
      <c r="E831" s="331"/>
      <c r="F831" s="331">
        <v>400</v>
      </c>
      <c r="G831" s="333">
        <f t="shared" si="18"/>
        <v>6092.8499999999858</v>
      </c>
      <c r="H831" s="334"/>
      <c r="I831" s="335"/>
      <c r="J831" s="336"/>
      <c r="K831" s="301"/>
      <c r="L831" s="336"/>
      <c r="M831" s="301"/>
      <c r="N831" s="336"/>
      <c r="O831" s="301"/>
      <c r="P831" s="336"/>
      <c r="Q831" s="301"/>
      <c r="R831" s="336"/>
      <c r="S831" s="301"/>
      <c r="T831" s="336"/>
    </row>
    <row r="832" spans="1:20" ht="12" customHeight="1" x14ac:dyDescent="0.3">
      <c r="A832" s="329" t="s">
        <v>289</v>
      </c>
      <c r="B832" s="330">
        <v>2</v>
      </c>
      <c r="C832" s="298">
        <v>46108</v>
      </c>
      <c r="D832" s="299" t="s">
        <v>301</v>
      </c>
      <c r="E832" s="331">
        <v>19.5</v>
      </c>
      <c r="F832" s="331"/>
      <c r="G832" s="333">
        <f t="shared" si="18"/>
        <v>5692.8499999999858</v>
      </c>
      <c r="H832" s="334"/>
      <c r="I832" s="335"/>
      <c r="J832" s="336"/>
      <c r="K832" s="301"/>
      <c r="L832" s="336"/>
      <c r="M832" s="301"/>
      <c r="N832" s="336"/>
      <c r="O832" s="301"/>
      <c r="P832" s="336"/>
      <c r="Q832" s="301"/>
      <c r="R832" s="336"/>
      <c r="S832" s="301"/>
      <c r="T832" s="336"/>
    </row>
    <row r="833" spans="1:20" ht="12" customHeight="1" x14ac:dyDescent="0.3">
      <c r="A833" s="329" t="s">
        <v>289</v>
      </c>
      <c r="B833" s="330">
        <v>2</v>
      </c>
      <c r="C833" s="298">
        <v>46108</v>
      </c>
      <c r="D833" s="299" t="s">
        <v>296</v>
      </c>
      <c r="E833" s="331">
        <v>11.48</v>
      </c>
      <c r="F833" s="331"/>
      <c r="G833" s="333">
        <f t="shared" si="18"/>
        <v>5712.3499999999858</v>
      </c>
      <c r="H833" s="334"/>
      <c r="I833" s="335"/>
      <c r="J833" s="336"/>
      <c r="K833" s="301"/>
      <c r="L833" s="336"/>
      <c r="M833" s="301"/>
      <c r="N833" s="336"/>
      <c r="O833" s="301"/>
      <c r="P833" s="336"/>
      <c r="Q833" s="301"/>
      <c r="R833" s="336"/>
      <c r="S833" s="301"/>
      <c r="T833" s="336"/>
    </row>
    <row r="834" spans="1:20" ht="12" customHeight="1" x14ac:dyDescent="0.3">
      <c r="A834" s="329" t="s">
        <v>289</v>
      </c>
      <c r="B834" s="330">
        <v>8</v>
      </c>
      <c r="C834" s="298">
        <v>46108</v>
      </c>
      <c r="D834" s="299" t="s">
        <v>334</v>
      </c>
      <c r="E834" s="331">
        <v>11.46</v>
      </c>
      <c r="F834" s="331"/>
      <c r="G834" s="333">
        <f t="shared" si="18"/>
        <v>5723.8299999999854</v>
      </c>
      <c r="H834" s="334"/>
      <c r="I834" s="335"/>
      <c r="J834" s="336"/>
      <c r="K834" s="301"/>
      <c r="L834" s="336"/>
      <c r="M834" s="301"/>
      <c r="N834" s="336"/>
      <c r="O834" s="301"/>
      <c r="P834" s="336"/>
      <c r="Q834" s="301"/>
      <c r="R834" s="336"/>
      <c r="S834" s="301"/>
      <c r="T834" s="336"/>
    </row>
    <row r="835" spans="1:20" ht="12" customHeight="1" x14ac:dyDescent="0.3">
      <c r="A835" s="329" t="s">
        <v>289</v>
      </c>
      <c r="B835" s="330">
        <v>4</v>
      </c>
      <c r="C835" s="298">
        <v>46108</v>
      </c>
      <c r="D835" s="299" t="s">
        <v>334</v>
      </c>
      <c r="E835" s="331">
        <v>38.21</v>
      </c>
      <c r="F835" s="331"/>
      <c r="G835" s="333">
        <f t="shared" si="18"/>
        <v>5735.2899999999854</v>
      </c>
      <c r="H835" s="334"/>
      <c r="I835" s="335"/>
      <c r="J835" s="336"/>
      <c r="K835" s="301"/>
      <c r="L835" s="336"/>
      <c r="M835" s="301"/>
      <c r="N835" s="336"/>
      <c r="O835" s="301"/>
      <c r="P835" s="336"/>
      <c r="Q835" s="301"/>
      <c r="R835" s="336"/>
      <c r="S835" s="301"/>
      <c r="T835" s="336"/>
    </row>
    <row r="836" spans="1:20" ht="12" customHeight="1" x14ac:dyDescent="0.3">
      <c r="A836" s="329" t="s">
        <v>289</v>
      </c>
      <c r="B836" s="330">
        <v>2</v>
      </c>
      <c r="C836" s="298">
        <v>46108</v>
      </c>
      <c r="D836" s="299" t="s">
        <v>384</v>
      </c>
      <c r="E836" s="331">
        <v>69.95</v>
      </c>
      <c r="F836" s="331"/>
      <c r="G836" s="333">
        <f t="shared" si="18"/>
        <v>5773.4999999999854</v>
      </c>
      <c r="H836" s="334"/>
      <c r="I836" s="335"/>
      <c r="J836" s="336"/>
      <c r="K836" s="301"/>
      <c r="L836" s="336"/>
      <c r="M836" s="301"/>
      <c r="N836" s="336"/>
      <c r="O836" s="301"/>
      <c r="P836" s="336"/>
      <c r="Q836" s="301"/>
      <c r="R836" s="336"/>
      <c r="S836" s="301"/>
      <c r="T836" s="336"/>
    </row>
    <row r="837" spans="1:20" ht="12" customHeight="1" x14ac:dyDescent="0.3">
      <c r="A837" s="329" t="s">
        <v>289</v>
      </c>
      <c r="B837" s="330">
        <v>3</v>
      </c>
      <c r="C837" s="298">
        <v>46108</v>
      </c>
      <c r="D837" s="299" t="s">
        <v>348</v>
      </c>
      <c r="E837" s="331">
        <v>10.78</v>
      </c>
      <c r="F837" s="331"/>
      <c r="G837" s="333">
        <f t="shared" si="18"/>
        <v>5843.4499999999853</v>
      </c>
      <c r="H837" s="334"/>
      <c r="I837" s="335"/>
      <c r="J837" s="336"/>
      <c r="K837" s="301"/>
      <c r="L837" s="336"/>
      <c r="M837" s="301"/>
      <c r="N837" s="336"/>
      <c r="O837" s="301"/>
      <c r="P837" s="336"/>
      <c r="Q837" s="301"/>
      <c r="R837" s="336"/>
      <c r="S837" s="301"/>
      <c r="T837" s="336"/>
    </row>
    <row r="838" spans="1:20" ht="12" customHeight="1" x14ac:dyDescent="0.3">
      <c r="A838" s="329" t="s">
        <v>289</v>
      </c>
      <c r="B838" s="330">
        <v>6</v>
      </c>
      <c r="C838" s="298">
        <v>46108</v>
      </c>
      <c r="D838" s="299" t="s">
        <v>300</v>
      </c>
      <c r="E838" s="331">
        <v>15.84</v>
      </c>
      <c r="F838" s="331"/>
      <c r="G838" s="333">
        <f t="shared" si="18"/>
        <v>5854.229999999985</v>
      </c>
      <c r="H838" s="334"/>
      <c r="I838" s="335"/>
      <c r="J838" s="336"/>
      <c r="K838" s="301"/>
      <c r="L838" s="336"/>
      <c r="M838" s="301"/>
      <c r="N838" s="336"/>
      <c r="O838" s="301"/>
      <c r="P838" s="336"/>
      <c r="Q838" s="301"/>
      <c r="R838" s="336"/>
      <c r="S838" s="301"/>
      <c r="T838" s="336"/>
    </row>
    <row r="839" spans="1:20" ht="12" customHeight="1" x14ac:dyDescent="0.3">
      <c r="A839" s="329" t="s">
        <v>289</v>
      </c>
      <c r="B839" s="330">
        <v>8</v>
      </c>
      <c r="C839" s="298">
        <v>46108</v>
      </c>
      <c r="D839" s="299" t="s">
        <v>385</v>
      </c>
      <c r="E839" s="331">
        <v>22.48</v>
      </c>
      <c r="F839" s="331"/>
      <c r="G839" s="333">
        <f t="shared" si="18"/>
        <v>5870.0699999999852</v>
      </c>
      <c r="H839" s="334"/>
      <c r="I839" s="335"/>
      <c r="J839" s="336"/>
      <c r="K839" s="301"/>
      <c r="L839" s="336"/>
      <c r="M839" s="301"/>
      <c r="N839" s="336"/>
      <c r="O839" s="301"/>
      <c r="P839" s="336"/>
      <c r="Q839" s="301"/>
      <c r="R839" s="336"/>
      <c r="S839" s="301"/>
      <c r="T839" s="336"/>
    </row>
    <row r="840" spans="1:20" ht="12" customHeight="1" x14ac:dyDescent="0.3">
      <c r="A840" s="329" t="s">
        <v>289</v>
      </c>
      <c r="B840" s="330">
        <v>2</v>
      </c>
      <c r="C840" s="298">
        <v>46107</v>
      </c>
      <c r="D840" s="299" t="s">
        <v>358</v>
      </c>
      <c r="E840" s="331">
        <v>11.17</v>
      </c>
      <c r="F840" s="331"/>
      <c r="G840" s="333">
        <f t="shared" si="18"/>
        <v>5892.5499999999847</v>
      </c>
      <c r="H840" s="334"/>
      <c r="I840" s="335"/>
      <c r="J840" s="336"/>
      <c r="K840" s="301"/>
      <c r="L840" s="336"/>
      <c r="M840" s="301"/>
      <c r="N840" s="336"/>
      <c r="O840" s="301"/>
      <c r="P840" s="336"/>
      <c r="Q840" s="301"/>
      <c r="R840" s="336"/>
      <c r="S840" s="301"/>
      <c r="T840" s="336"/>
    </row>
    <row r="841" spans="1:20" ht="12" customHeight="1" x14ac:dyDescent="0.3">
      <c r="A841" s="329" t="s">
        <v>289</v>
      </c>
      <c r="B841" s="330">
        <v>2</v>
      </c>
      <c r="C841" s="298">
        <v>46107</v>
      </c>
      <c r="D841" s="299" t="s">
        <v>386</v>
      </c>
      <c r="E841" s="331">
        <v>14.38</v>
      </c>
      <c r="F841" s="331"/>
      <c r="G841" s="333">
        <f t="shared" si="18"/>
        <v>5903.7199999999848</v>
      </c>
      <c r="H841" s="334"/>
      <c r="I841" s="335"/>
      <c r="J841" s="336"/>
      <c r="K841" s="301"/>
      <c r="L841" s="336"/>
      <c r="M841" s="301"/>
      <c r="N841" s="336"/>
      <c r="O841" s="301"/>
      <c r="P841" s="336"/>
      <c r="Q841" s="301"/>
      <c r="R841" s="336"/>
      <c r="S841" s="301"/>
      <c r="T841" s="336"/>
    </row>
    <row r="842" spans="1:20" ht="12" customHeight="1" x14ac:dyDescent="0.3">
      <c r="A842" s="329" t="s">
        <v>289</v>
      </c>
      <c r="B842" s="330">
        <v>8</v>
      </c>
      <c r="C842" s="298">
        <v>46107</v>
      </c>
      <c r="D842" s="299" t="s">
        <v>387</v>
      </c>
      <c r="E842" s="331">
        <v>45</v>
      </c>
      <c r="F842" s="331"/>
      <c r="G842" s="333">
        <f t="shared" si="18"/>
        <v>5918.0999999999849</v>
      </c>
      <c r="H842" s="334"/>
      <c r="I842" s="335"/>
      <c r="J842" s="336"/>
      <c r="K842" s="301"/>
      <c r="L842" s="336"/>
      <c r="M842" s="301"/>
      <c r="N842" s="336"/>
      <c r="O842" s="301"/>
      <c r="P842" s="336"/>
      <c r="Q842" s="301"/>
      <c r="R842" s="336"/>
      <c r="S842" s="301"/>
      <c r="T842" s="336"/>
    </row>
    <row r="843" spans="1:20" ht="12" customHeight="1" x14ac:dyDescent="0.3">
      <c r="A843" s="329" t="s">
        <v>289</v>
      </c>
      <c r="B843" s="330">
        <v>2</v>
      </c>
      <c r="C843" s="298">
        <v>46107</v>
      </c>
      <c r="D843" s="299" t="s">
        <v>324</v>
      </c>
      <c r="E843" s="331">
        <v>9.0299999999999994</v>
      </c>
      <c r="F843" s="331"/>
      <c r="G843" s="333">
        <f t="shared" si="18"/>
        <v>5963.0999999999849</v>
      </c>
      <c r="H843" s="334"/>
      <c r="I843" s="335"/>
      <c r="J843" s="336"/>
      <c r="K843" s="301"/>
      <c r="L843" s="336"/>
      <c r="M843" s="301"/>
      <c r="N843" s="336"/>
      <c r="O843" s="301"/>
      <c r="P843" s="336"/>
      <c r="Q843" s="301"/>
      <c r="R843" s="336"/>
      <c r="S843" s="301"/>
      <c r="T843" s="336"/>
    </row>
    <row r="844" spans="1:20" ht="12" customHeight="1" x14ac:dyDescent="0.3">
      <c r="A844" s="329" t="s">
        <v>289</v>
      </c>
      <c r="B844" s="330">
        <v>2</v>
      </c>
      <c r="C844" s="298">
        <v>46107</v>
      </c>
      <c r="D844" s="299" t="s">
        <v>301</v>
      </c>
      <c r="E844" s="331">
        <v>30</v>
      </c>
      <c r="F844" s="331"/>
      <c r="G844" s="333">
        <f t="shared" si="18"/>
        <v>5972.1299999999846</v>
      </c>
      <c r="H844" s="334"/>
      <c r="I844" s="335"/>
      <c r="J844" s="336"/>
      <c r="K844" s="301"/>
      <c r="L844" s="336"/>
      <c r="M844" s="301"/>
      <c r="N844" s="336"/>
      <c r="O844" s="301"/>
      <c r="P844" s="336"/>
      <c r="Q844" s="301"/>
      <c r="R844" s="336"/>
      <c r="S844" s="301"/>
      <c r="T844" s="336"/>
    </row>
    <row r="845" spans="1:20" ht="12" customHeight="1" x14ac:dyDescent="0.3">
      <c r="A845" s="329" t="s">
        <v>289</v>
      </c>
      <c r="B845" s="330">
        <v>6</v>
      </c>
      <c r="C845" s="298">
        <v>46106</v>
      </c>
      <c r="D845" s="299" t="s">
        <v>388</v>
      </c>
      <c r="E845" s="331">
        <v>12</v>
      </c>
      <c r="F845" s="331"/>
      <c r="G845" s="333">
        <f t="shared" si="18"/>
        <v>6002.1299999999846</v>
      </c>
      <c r="H845" s="334"/>
      <c r="I845" s="335"/>
      <c r="J845" s="336"/>
      <c r="K845" s="301"/>
      <c r="L845" s="336"/>
      <c r="M845" s="301"/>
      <c r="N845" s="336"/>
      <c r="O845" s="301"/>
      <c r="P845" s="336"/>
      <c r="Q845" s="301"/>
      <c r="R845" s="336"/>
      <c r="S845" s="301"/>
      <c r="T845" s="336"/>
    </row>
    <row r="846" spans="1:20" ht="12" customHeight="1" x14ac:dyDescent="0.3">
      <c r="A846" s="329" t="s">
        <v>289</v>
      </c>
      <c r="B846" s="330">
        <v>6</v>
      </c>
      <c r="C846" s="298">
        <v>46106</v>
      </c>
      <c r="D846" s="299" t="s">
        <v>389</v>
      </c>
      <c r="E846" s="331">
        <v>20</v>
      </c>
      <c r="F846" s="331"/>
      <c r="G846" s="333">
        <f t="shared" si="18"/>
        <v>6014.1299999999846</v>
      </c>
      <c r="H846" s="334"/>
      <c r="I846" s="335"/>
      <c r="J846" s="336"/>
      <c r="K846" s="301"/>
      <c r="L846" s="336"/>
      <c r="M846" s="301"/>
      <c r="N846" s="336"/>
      <c r="O846" s="301"/>
      <c r="P846" s="336"/>
      <c r="Q846" s="301"/>
      <c r="R846" s="336"/>
      <c r="S846" s="301"/>
      <c r="T846" s="336"/>
    </row>
    <row r="847" spans="1:20" ht="12" customHeight="1" x14ac:dyDescent="0.3">
      <c r="A847" s="329" t="s">
        <v>289</v>
      </c>
      <c r="B847" s="330">
        <v>2</v>
      </c>
      <c r="C847" s="298">
        <v>46106</v>
      </c>
      <c r="D847" s="299" t="s">
        <v>296</v>
      </c>
      <c r="E847" s="331">
        <v>21.05</v>
      </c>
      <c r="F847" s="331"/>
      <c r="G847" s="333">
        <f t="shared" si="18"/>
        <v>6034.1299999999846</v>
      </c>
      <c r="H847" s="334"/>
      <c r="I847" s="335"/>
      <c r="J847" s="336"/>
      <c r="K847" s="301"/>
      <c r="L847" s="336"/>
      <c r="M847" s="301"/>
      <c r="N847" s="336"/>
      <c r="O847" s="301"/>
      <c r="P847" s="336"/>
      <c r="Q847" s="301"/>
      <c r="R847" s="336"/>
      <c r="S847" s="301"/>
      <c r="T847" s="336"/>
    </row>
    <row r="848" spans="1:20" ht="12" customHeight="1" x14ac:dyDescent="0.3">
      <c r="A848" s="329" t="s">
        <v>289</v>
      </c>
      <c r="B848" s="330">
        <v>4</v>
      </c>
      <c r="C848" s="298">
        <v>46106</v>
      </c>
      <c r="D848" s="299" t="s">
        <v>296</v>
      </c>
      <c r="E848" s="331">
        <v>38.58</v>
      </c>
      <c r="F848" s="331"/>
      <c r="G848" s="333">
        <f t="shared" si="18"/>
        <v>6055.1799999999848</v>
      </c>
      <c r="H848" s="334"/>
      <c r="I848" s="335"/>
      <c r="J848" s="336"/>
      <c r="K848" s="301"/>
      <c r="L848" s="336"/>
      <c r="M848" s="301"/>
      <c r="N848" s="336"/>
      <c r="O848" s="301"/>
      <c r="P848" s="336"/>
      <c r="Q848" s="301"/>
      <c r="R848" s="336"/>
      <c r="S848" s="301"/>
      <c r="T848" s="336"/>
    </row>
    <row r="849" spans="1:20" ht="12" customHeight="1" x14ac:dyDescent="0.3">
      <c r="A849" s="329" t="s">
        <v>294</v>
      </c>
      <c r="B849" s="330">
        <v>12</v>
      </c>
      <c r="C849" s="298">
        <v>46106</v>
      </c>
      <c r="D849" s="299" t="s">
        <v>314</v>
      </c>
      <c r="E849" s="331">
        <v>204.47</v>
      </c>
      <c r="F849" s="331"/>
      <c r="G849" s="333">
        <f t="shared" si="18"/>
        <v>6093.7599999999848</v>
      </c>
      <c r="H849" s="334"/>
      <c r="I849" s="335"/>
      <c r="J849" s="336"/>
      <c r="K849" s="301"/>
      <c r="L849" s="336"/>
      <c r="M849" s="301"/>
      <c r="N849" s="336"/>
      <c r="O849" s="301"/>
      <c r="P849" s="336"/>
      <c r="Q849" s="301"/>
      <c r="R849" s="336"/>
      <c r="S849" s="301"/>
      <c r="T849" s="336"/>
    </row>
    <row r="850" spans="1:20" ht="12" customHeight="1" x14ac:dyDescent="0.3">
      <c r="A850" s="329" t="s">
        <v>294</v>
      </c>
      <c r="B850" s="330">
        <v>24</v>
      </c>
      <c r="C850" s="298">
        <v>46105</v>
      </c>
      <c r="D850" s="299" t="s">
        <v>860</v>
      </c>
      <c r="E850" s="331">
        <v>86.58</v>
      </c>
      <c r="F850" s="331"/>
      <c r="G850" s="333">
        <f t="shared" si="18"/>
        <v>6298.229999999985</v>
      </c>
      <c r="H850" s="334"/>
      <c r="I850" s="335"/>
      <c r="J850" s="336"/>
      <c r="K850" s="301"/>
      <c r="L850" s="336"/>
      <c r="M850" s="301"/>
      <c r="N850" s="336"/>
      <c r="O850" s="301"/>
      <c r="P850" s="336"/>
      <c r="Q850" s="301"/>
      <c r="R850" s="336"/>
      <c r="S850" s="301"/>
      <c r="T850" s="336"/>
    </row>
    <row r="851" spans="1:20" ht="12" customHeight="1" x14ac:dyDescent="0.3">
      <c r="A851" s="329" t="s">
        <v>289</v>
      </c>
      <c r="B851" s="330">
        <v>6</v>
      </c>
      <c r="C851" s="298">
        <v>46105</v>
      </c>
      <c r="D851" s="299" t="s">
        <v>389</v>
      </c>
      <c r="E851" s="331">
        <v>20</v>
      </c>
      <c r="F851" s="331"/>
      <c r="G851" s="333">
        <f t="shared" si="18"/>
        <v>6384.8099999999849</v>
      </c>
      <c r="H851" s="334"/>
      <c r="I851" s="335"/>
      <c r="J851" s="336"/>
      <c r="K851" s="301"/>
      <c r="L851" s="336"/>
      <c r="M851" s="301"/>
      <c r="N851" s="336"/>
      <c r="O851" s="301"/>
      <c r="P851" s="336"/>
      <c r="Q851" s="301"/>
      <c r="R851" s="336"/>
      <c r="S851" s="301"/>
      <c r="T851" s="336"/>
    </row>
    <row r="852" spans="1:20" ht="12" customHeight="1" x14ac:dyDescent="0.3">
      <c r="A852" s="329" t="s">
        <v>289</v>
      </c>
      <c r="B852" s="330">
        <v>2</v>
      </c>
      <c r="C852" s="298">
        <v>46105</v>
      </c>
      <c r="D852" s="299" t="s">
        <v>390</v>
      </c>
      <c r="E852" s="331">
        <v>15.29</v>
      </c>
      <c r="F852" s="331"/>
      <c r="G852" s="333">
        <f t="shared" si="18"/>
        <v>6404.8099999999849</v>
      </c>
      <c r="H852" s="334"/>
      <c r="I852" s="335"/>
      <c r="J852" s="336"/>
      <c r="K852" s="301"/>
      <c r="L852" s="336"/>
      <c r="M852" s="301"/>
      <c r="N852" s="336"/>
      <c r="O852" s="301"/>
      <c r="P852" s="336"/>
      <c r="Q852" s="301"/>
      <c r="R852" s="336"/>
      <c r="S852" s="301"/>
      <c r="T852" s="336"/>
    </row>
    <row r="853" spans="1:20" ht="12" customHeight="1" x14ac:dyDescent="0.3">
      <c r="A853" s="329" t="s">
        <v>289</v>
      </c>
      <c r="B853" s="330">
        <v>8</v>
      </c>
      <c r="C853" s="298">
        <v>46105</v>
      </c>
      <c r="D853" s="299" t="s">
        <v>308</v>
      </c>
      <c r="E853" s="331">
        <v>47.99</v>
      </c>
      <c r="F853" s="331"/>
      <c r="G853" s="333">
        <f t="shared" si="18"/>
        <v>6420.0999999999849</v>
      </c>
      <c r="H853" s="334"/>
      <c r="I853" s="335"/>
      <c r="J853" s="336"/>
      <c r="K853" s="301"/>
      <c r="L853" s="336"/>
      <c r="M853" s="301"/>
      <c r="N853" s="336"/>
      <c r="O853" s="301"/>
      <c r="P853" s="336"/>
      <c r="Q853" s="301"/>
      <c r="R853" s="336"/>
      <c r="S853" s="301"/>
      <c r="T853" s="336"/>
    </row>
    <row r="854" spans="1:20" ht="12" customHeight="1" x14ac:dyDescent="0.3">
      <c r="A854" s="329" t="s">
        <v>294</v>
      </c>
      <c r="B854" s="330">
        <v>23</v>
      </c>
      <c r="C854" s="298">
        <v>46104</v>
      </c>
      <c r="D854" s="299" t="s">
        <v>67</v>
      </c>
      <c r="E854" s="331">
        <v>650.88</v>
      </c>
      <c r="F854" s="331"/>
      <c r="G854" s="333">
        <f t="shared" si="18"/>
        <v>6468.0899999999847</v>
      </c>
      <c r="H854" s="334"/>
      <c r="I854" s="335"/>
      <c r="J854" s="336"/>
      <c r="K854" s="301"/>
      <c r="L854" s="336"/>
      <c r="M854" s="301"/>
      <c r="N854" s="336"/>
      <c r="O854" s="301"/>
      <c r="P854" s="336"/>
      <c r="Q854" s="301"/>
      <c r="R854" s="336"/>
      <c r="S854" s="301"/>
      <c r="T854" s="336"/>
    </row>
    <row r="855" spans="1:20" ht="12" customHeight="1" x14ac:dyDescent="0.3">
      <c r="A855" s="329" t="s">
        <v>289</v>
      </c>
      <c r="B855" s="330">
        <v>2</v>
      </c>
      <c r="C855" s="298">
        <v>46104</v>
      </c>
      <c r="D855" s="299" t="s">
        <v>391</v>
      </c>
      <c r="E855" s="331">
        <v>46</v>
      </c>
      <c r="F855" s="331"/>
      <c r="G855" s="333">
        <f t="shared" si="18"/>
        <v>7118.9699999999848</v>
      </c>
      <c r="H855" s="334"/>
      <c r="I855" s="335"/>
      <c r="J855" s="336"/>
      <c r="K855" s="301"/>
      <c r="L855" s="336"/>
      <c r="M855" s="301"/>
      <c r="N855" s="336"/>
      <c r="O855" s="301"/>
      <c r="P855" s="336"/>
      <c r="Q855" s="301"/>
      <c r="R855" s="336"/>
      <c r="S855" s="301"/>
      <c r="T855" s="336"/>
    </row>
    <row r="856" spans="1:20" ht="12" customHeight="1" x14ac:dyDescent="0.3">
      <c r="A856" s="329" t="s">
        <v>289</v>
      </c>
      <c r="B856" s="330">
        <v>2</v>
      </c>
      <c r="C856" s="298">
        <v>46103</v>
      </c>
      <c r="D856" s="299" t="s">
        <v>392</v>
      </c>
      <c r="E856" s="331">
        <v>24.81</v>
      </c>
      <c r="F856" s="331"/>
      <c r="G856" s="333">
        <f t="shared" si="18"/>
        <v>7164.9699999999848</v>
      </c>
      <c r="H856" s="334"/>
      <c r="I856" s="335"/>
      <c r="J856" s="336"/>
      <c r="K856" s="301"/>
      <c r="L856" s="336"/>
      <c r="M856" s="301"/>
      <c r="N856" s="336"/>
      <c r="O856" s="301"/>
      <c r="P856" s="336"/>
      <c r="Q856" s="301"/>
      <c r="R856" s="336"/>
      <c r="S856" s="301"/>
      <c r="T856" s="336"/>
    </row>
    <row r="857" spans="1:20" ht="12" customHeight="1" x14ac:dyDescent="0.3">
      <c r="A857" s="329" t="s">
        <v>289</v>
      </c>
      <c r="B857" s="330">
        <v>4</v>
      </c>
      <c r="C857" s="298">
        <v>46103</v>
      </c>
      <c r="D857" s="299" t="s">
        <v>296</v>
      </c>
      <c r="E857" s="331">
        <v>28.77</v>
      </c>
      <c r="F857" s="331"/>
      <c r="G857" s="333">
        <f t="shared" si="18"/>
        <v>7189.7799999999852</v>
      </c>
      <c r="H857" s="334"/>
      <c r="I857" s="335"/>
      <c r="J857" s="336"/>
      <c r="K857" s="301"/>
      <c r="L857" s="336"/>
      <c r="M857" s="301"/>
      <c r="N857" s="336"/>
      <c r="O857" s="301"/>
      <c r="P857" s="336"/>
      <c r="Q857" s="301"/>
      <c r="R857" s="336"/>
      <c r="S857" s="301"/>
      <c r="T857" s="336"/>
    </row>
    <row r="858" spans="1:20" ht="12" customHeight="1" x14ac:dyDescent="0.3">
      <c r="A858" s="329" t="s">
        <v>289</v>
      </c>
      <c r="B858" s="330">
        <v>8</v>
      </c>
      <c r="C858" s="298">
        <v>46103</v>
      </c>
      <c r="D858" s="299" t="s">
        <v>296</v>
      </c>
      <c r="E858" s="331">
        <v>11.9</v>
      </c>
      <c r="F858" s="331"/>
      <c r="G858" s="333">
        <f t="shared" si="18"/>
        <v>7218.5499999999856</v>
      </c>
      <c r="H858" s="334"/>
      <c r="I858" s="335"/>
      <c r="J858" s="336"/>
      <c r="K858" s="301"/>
      <c r="L858" s="336"/>
      <c r="M858" s="301"/>
      <c r="N858" s="336"/>
      <c r="O858" s="301"/>
      <c r="P858" s="336"/>
      <c r="Q858" s="301"/>
      <c r="R858" s="336"/>
      <c r="S858" s="301"/>
      <c r="T858" s="336"/>
    </row>
    <row r="859" spans="1:20" ht="12" customHeight="1" x14ac:dyDescent="0.3">
      <c r="A859" s="329" t="s">
        <v>289</v>
      </c>
      <c r="B859" s="330">
        <v>1</v>
      </c>
      <c r="C859" s="298">
        <v>46103</v>
      </c>
      <c r="D859" s="299" t="s">
        <v>300</v>
      </c>
      <c r="E859" s="331">
        <v>42.59</v>
      </c>
      <c r="F859" s="331"/>
      <c r="G859" s="333">
        <f t="shared" si="18"/>
        <v>7230.4499999999853</v>
      </c>
      <c r="H859" s="334"/>
      <c r="I859" s="335"/>
      <c r="J859" s="336"/>
      <c r="K859" s="301"/>
      <c r="L859" s="336"/>
      <c r="M859" s="301"/>
      <c r="N859" s="336"/>
      <c r="O859" s="301"/>
      <c r="P859" s="336"/>
      <c r="Q859" s="301"/>
      <c r="R859" s="336"/>
      <c r="S859" s="301"/>
      <c r="T859" s="336"/>
    </row>
    <row r="860" spans="1:20" ht="12" customHeight="1" x14ac:dyDescent="0.3">
      <c r="A860" s="329" t="s">
        <v>289</v>
      </c>
      <c r="B860" s="330">
        <v>6</v>
      </c>
      <c r="C860" s="298">
        <v>46103</v>
      </c>
      <c r="D860" s="299" t="s">
        <v>300</v>
      </c>
      <c r="E860" s="331">
        <v>17.579999999999998</v>
      </c>
      <c r="F860" s="331"/>
      <c r="G860" s="333">
        <f t="shared" si="18"/>
        <v>7273.0399999999854</v>
      </c>
      <c r="H860" s="334"/>
      <c r="I860" s="335"/>
      <c r="J860" s="336"/>
      <c r="K860" s="301"/>
      <c r="L860" s="336"/>
      <c r="M860" s="301"/>
      <c r="N860" s="336"/>
      <c r="O860" s="301"/>
      <c r="P860" s="336"/>
      <c r="Q860" s="301"/>
      <c r="R860" s="336"/>
      <c r="S860" s="301"/>
      <c r="T860" s="336"/>
    </row>
    <row r="861" spans="1:20" ht="12" customHeight="1" x14ac:dyDescent="0.3">
      <c r="A861" s="329" t="s">
        <v>289</v>
      </c>
      <c r="B861" s="330">
        <v>1</v>
      </c>
      <c r="C861" s="298">
        <v>46103</v>
      </c>
      <c r="D861" s="299" t="s">
        <v>300</v>
      </c>
      <c r="E861" s="331">
        <v>11.99</v>
      </c>
      <c r="F861" s="331"/>
      <c r="G861" s="333">
        <f t="shared" si="18"/>
        <v>7290.6199999999853</v>
      </c>
      <c r="H861" s="334"/>
      <c r="I861" s="335"/>
      <c r="J861" s="336"/>
      <c r="K861" s="301"/>
      <c r="L861" s="336"/>
      <c r="M861" s="301"/>
      <c r="N861" s="336"/>
      <c r="O861" s="301"/>
      <c r="P861" s="336"/>
      <c r="Q861" s="301"/>
      <c r="R861" s="336"/>
      <c r="S861" s="301"/>
      <c r="T861" s="336"/>
    </row>
    <row r="862" spans="1:20" ht="12" customHeight="1" x14ac:dyDescent="0.3">
      <c r="A862" s="329" t="s">
        <v>289</v>
      </c>
      <c r="B862" s="330">
        <v>1</v>
      </c>
      <c r="C862" s="298">
        <v>46103</v>
      </c>
      <c r="D862" s="299" t="s">
        <v>311</v>
      </c>
      <c r="E862" s="331">
        <v>81.31</v>
      </c>
      <c r="F862" s="331"/>
      <c r="G862" s="333">
        <f t="shared" si="18"/>
        <v>7302.6099999999851</v>
      </c>
      <c r="H862" s="334"/>
      <c r="I862" s="335"/>
      <c r="J862" s="336"/>
      <c r="K862" s="301"/>
      <c r="L862" s="336"/>
      <c r="M862" s="301"/>
      <c r="N862" s="336"/>
      <c r="O862" s="301"/>
      <c r="P862" s="336"/>
      <c r="Q862" s="301"/>
      <c r="R862" s="336"/>
      <c r="S862" s="301"/>
      <c r="T862" s="336"/>
    </row>
    <row r="863" spans="1:20" ht="12" customHeight="1" x14ac:dyDescent="0.3">
      <c r="A863" s="329" t="s">
        <v>289</v>
      </c>
      <c r="B863" s="330">
        <v>1</v>
      </c>
      <c r="C863" s="298">
        <v>46103</v>
      </c>
      <c r="D863" s="299" t="s">
        <v>393</v>
      </c>
      <c r="E863" s="331">
        <v>38.44</v>
      </c>
      <c r="F863" s="331"/>
      <c r="G863" s="333">
        <f t="shared" si="18"/>
        <v>7383.9199999999855</v>
      </c>
      <c r="H863" s="334"/>
      <c r="I863" s="335"/>
      <c r="J863" s="336"/>
      <c r="K863" s="301"/>
      <c r="L863" s="336"/>
      <c r="M863" s="301"/>
      <c r="N863" s="336"/>
      <c r="O863" s="301"/>
      <c r="P863" s="336"/>
      <c r="Q863" s="301"/>
      <c r="R863" s="336"/>
      <c r="S863" s="301"/>
      <c r="T863" s="336"/>
    </row>
    <row r="864" spans="1:20" ht="12" customHeight="1" x14ac:dyDescent="0.3">
      <c r="A864" s="329" t="s">
        <v>289</v>
      </c>
      <c r="B864" s="330">
        <v>2</v>
      </c>
      <c r="C864" s="298">
        <v>46103</v>
      </c>
      <c r="D864" s="299" t="s">
        <v>394</v>
      </c>
      <c r="E864" s="331">
        <v>35.700000000000003</v>
      </c>
      <c r="F864" s="331"/>
      <c r="G864" s="333">
        <f t="shared" si="18"/>
        <v>7422.3599999999851</v>
      </c>
      <c r="H864" s="334"/>
      <c r="I864" s="335"/>
      <c r="J864" s="336"/>
      <c r="K864" s="301"/>
      <c r="L864" s="336"/>
      <c r="M864" s="301"/>
      <c r="N864" s="336"/>
      <c r="O864" s="301"/>
      <c r="P864" s="336"/>
      <c r="Q864" s="301"/>
      <c r="R864" s="336"/>
      <c r="S864" s="301"/>
      <c r="T864" s="336"/>
    </row>
    <row r="865" spans="1:20" ht="12" customHeight="1" x14ac:dyDescent="0.3">
      <c r="A865" s="329" t="s">
        <v>289</v>
      </c>
      <c r="B865" s="330">
        <v>6</v>
      </c>
      <c r="C865" s="298">
        <v>46102</v>
      </c>
      <c r="D865" s="299" t="s">
        <v>300</v>
      </c>
      <c r="E865" s="331">
        <v>10.64</v>
      </c>
      <c r="F865" s="331"/>
      <c r="G865" s="333">
        <f t="shared" si="18"/>
        <v>7458.0599999999849</v>
      </c>
      <c r="H865" s="334"/>
      <c r="I865" s="335"/>
      <c r="J865" s="336"/>
      <c r="K865" s="301"/>
      <c r="L865" s="336"/>
      <c r="M865" s="301"/>
      <c r="N865" s="336"/>
      <c r="O865" s="301"/>
      <c r="P865" s="336"/>
      <c r="Q865" s="301"/>
      <c r="R865" s="336"/>
      <c r="S865" s="301"/>
      <c r="T865" s="336"/>
    </row>
    <row r="866" spans="1:20" ht="12" customHeight="1" x14ac:dyDescent="0.3">
      <c r="A866" s="329" t="s">
        <v>289</v>
      </c>
      <c r="B866" s="330">
        <v>1</v>
      </c>
      <c r="C866" s="298">
        <v>46102</v>
      </c>
      <c r="D866" s="299" t="s">
        <v>300</v>
      </c>
      <c r="E866" s="331">
        <v>28.69</v>
      </c>
      <c r="F866" s="331"/>
      <c r="G866" s="333">
        <f t="shared" si="18"/>
        <v>7468.6999999999853</v>
      </c>
      <c r="H866" s="334"/>
      <c r="I866" s="335"/>
      <c r="J866" s="336"/>
      <c r="K866" s="301"/>
      <c r="L866" s="336"/>
      <c r="M866" s="301"/>
      <c r="N866" s="336"/>
      <c r="O866" s="301"/>
      <c r="P866" s="336"/>
      <c r="Q866" s="301"/>
      <c r="R866" s="336"/>
      <c r="S866" s="301"/>
      <c r="T866" s="336"/>
    </row>
    <row r="867" spans="1:20" ht="12" customHeight="1" x14ac:dyDescent="0.3">
      <c r="A867" s="329" t="s">
        <v>289</v>
      </c>
      <c r="B867" s="330">
        <v>3</v>
      </c>
      <c r="C867" s="298">
        <v>46102</v>
      </c>
      <c r="D867" s="299" t="s">
        <v>348</v>
      </c>
      <c r="E867" s="331">
        <v>11.59</v>
      </c>
      <c r="F867" s="331"/>
      <c r="G867" s="333">
        <f t="shared" si="18"/>
        <v>7497.3899999999849</v>
      </c>
      <c r="H867" s="334"/>
      <c r="I867" s="335"/>
      <c r="J867" s="336"/>
      <c r="K867" s="301"/>
      <c r="L867" s="336"/>
      <c r="M867" s="301"/>
      <c r="N867" s="336"/>
      <c r="O867" s="301"/>
      <c r="P867" s="336"/>
      <c r="Q867" s="301"/>
      <c r="R867" s="336"/>
      <c r="S867" s="301"/>
      <c r="T867" s="336"/>
    </row>
    <row r="868" spans="1:20" ht="12" customHeight="1" x14ac:dyDescent="0.3">
      <c r="A868" s="329" t="s">
        <v>291</v>
      </c>
      <c r="B868" s="330">
        <v>41</v>
      </c>
      <c r="C868" s="298">
        <v>46102</v>
      </c>
      <c r="D868" s="299" t="s">
        <v>383</v>
      </c>
      <c r="E868" s="331"/>
      <c r="F868" s="331">
        <v>400</v>
      </c>
      <c r="G868" s="333">
        <f t="shared" si="18"/>
        <v>7508.979999999985</v>
      </c>
      <c r="H868" s="334"/>
      <c r="I868" s="335"/>
      <c r="J868" s="336"/>
      <c r="K868" s="301"/>
      <c r="L868" s="336"/>
      <c r="M868" s="301"/>
      <c r="N868" s="336"/>
      <c r="O868" s="301"/>
      <c r="P868" s="336"/>
      <c r="Q868" s="301"/>
      <c r="R868" s="336"/>
      <c r="S868" s="301"/>
      <c r="T868" s="336"/>
    </row>
    <row r="869" spans="1:20" ht="12" customHeight="1" x14ac:dyDescent="0.3">
      <c r="A869" s="329" t="s">
        <v>289</v>
      </c>
      <c r="B869" s="330">
        <v>5</v>
      </c>
      <c r="C869" s="298">
        <v>46102</v>
      </c>
      <c r="D869" s="299" t="s">
        <v>395</v>
      </c>
      <c r="E869" s="331">
        <v>170</v>
      </c>
      <c r="F869" s="331"/>
      <c r="G869" s="333">
        <f t="shared" si="18"/>
        <v>7108.979999999985</v>
      </c>
      <c r="H869" s="334" t="s">
        <v>298</v>
      </c>
      <c r="I869" s="335"/>
      <c r="J869" s="336"/>
      <c r="K869" s="301"/>
      <c r="L869" s="336"/>
      <c r="M869" s="301"/>
      <c r="N869" s="336"/>
      <c r="O869" s="301"/>
      <c r="P869" s="336"/>
      <c r="Q869" s="301"/>
      <c r="R869" s="336"/>
      <c r="S869" s="301"/>
      <c r="T869" s="336"/>
    </row>
    <row r="870" spans="1:20" ht="12" customHeight="1" x14ac:dyDescent="0.3">
      <c r="A870" s="329" t="s">
        <v>289</v>
      </c>
      <c r="B870" s="330">
        <v>5</v>
      </c>
      <c r="C870" s="298">
        <v>46102</v>
      </c>
      <c r="D870" s="299" t="s">
        <v>354</v>
      </c>
      <c r="E870" s="331">
        <v>70</v>
      </c>
      <c r="F870" s="331"/>
      <c r="G870" s="333">
        <f t="shared" si="18"/>
        <v>7278.979999999985</v>
      </c>
      <c r="H870" s="334" t="s">
        <v>298</v>
      </c>
      <c r="I870" s="335"/>
      <c r="J870" s="336"/>
      <c r="K870" s="301"/>
      <c r="L870" s="336"/>
      <c r="M870" s="301"/>
      <c r="N870" s="336"/>
      <c r="O870" s="301"/>
      <c r="P870" s="336"/>
      <c r="Q870" s="301"/>
      <c r="R870" s="336"/>
      <c r="S870" s="301"/>
      <c r="T870" s="336"/>
    </row>
    <row r="871" spans="1:20" ht="12" customHeight="1" x14ac:dyDescent="0.3">
      <c r="A871" s="329" t="s">
        <v>289</v>
      </c>
      <c r="B871" s="330">
        <v>5</v>
      </c>
      <c r="C871" s="298">
        <v>46102</v>
      </c>
      <c r="D871" s="299" t="s">
        <v>396</v>
      </c>
      <c r="E871" s="331">
        <v>40</v>
      </c>
      <c r="F871" s="331"/>
      <c r="G871" s="333">
        <f t="shared" ref="G871:G1125" si="19">G872-E871+F871</f>
        <v>7348.979999999985</v>
      </c>
      <c r="H871" s="334" t="s">
        <v>298</v>
      </c>
      <c r="I871" s="335"/>
      <c r="J871" s="336"/>
      <c r="K871" s="301"/>
      <c r="L871" s="336"/>
      <c r="M871" s="301"/>
      <c r="N871" s="336"/>
      <c r="O871" s="301"/>
      <c r="P871" s="336"/>
      <c r="Q871" s="301"/>
      <c r="R871" s="336"/>
      <c r="S871" s="301"/>
      <c r="T871" s="336"/>
    </row>
    <row r="872" spans="1:20" ht="12" customHeight="1" x14ac:dyDescent="0.3">
      <c r="A872" s="329" t="s">
        <v>289</v>
      </c>
      <c r="B872" s="330">
        <v>3</v>
      </c>
      <c r="C872" s="298">
        <v>46102</v>
      </c>
      <c r="D872" s="299" t="s">
        <v>348</v>
      </c>
      <c r="E872" s="331">
        <v>25</v>
      </c>
      <c r="F872" s="331"/>
      <c r="G872" s="333">
        <f t="shared" si="19"/>
        <v>7388.979999999985</v>
      </c>
      <c r="H872" s="334"/>
      <c r="I872" s="335"/>
      <c r="J872" s="336"/>
      <c r="K872" s="301"/>
      <c r="L872" s="336"/>
      <c r="M872" s="301"/>
      <c r="N872" s="336"/>
      <c r="O872" s="301"/>
      <c r="P872" s="336"/>
      <c r="Q872" s="301"/>
      <c r="R872" s="336"/>
      <c r="S872" s="301"/>
      <c r="T872" s="336"/>
    </row>
    <row r="873" spans="1:20" ht="12" customHeight="1" x14ac:dyDescent="0.3">
      <c r="A873" s="329" t="s">
        <v>289</v>
      </c>
      <c r="B873" s="330">
        <v>1</v>
      </c>
      <c r="C873" s="298">
        <v>46102</v>
      </c>
      <c r="D873" s="299" t="s">
        <v>304</v>
      </c>
      <c r="E873" s="331">
        <v>65.19</v>
      </c>
      <c r="F873" s="331"/>
      <c r="G873" s="333">
        <f t="shared" si="19"/>
        <v>7413.979999999985</v>
      </c>
      <c r="H873" s="334"/>
      <c r="I873" s="335"/>
      <c r="J873" s="336"/>
      <c r="K873" s="301"/>
      <c r="L873" s="336"/>
      <c r="M873" s="301"/>
      <c r="N873" s="336"/>
      <c r="O873" s="301"/>
      <c r="P873" s="336"/>
      <c r="Q873" s="301"/>
      <c r="R873" s="336"/>
      <c r="S873" s="301"/>
      <c r="T873" s="336"/>
    </row>
    <row r="874" spans="1:20" ht="12" customHeight="1" x14ac:dyDescent="0.3">
      <c r="A874" s="329" t="s">
        <v>289</v>
      </c>
      <c r="B874" s="330">
        <v>4</v>
      </c>
      <c r="C874" s="298">
        <v>46102</v>
      </c>
      <c r="D874" s="299" t="s">
        <v>310</v>
      </c>
      <c r="E874" s="331">
        <v>37.450000000000003</v>
      </c>
      <c r="F874" s="331"/>
      <c r="G874" s="333">
        <f t="shared" si="19"/>
        <v>7479.1699999999846</v>
      </c>
      <c r="H874" s="334"/>
      <c r="I874" s="335"/>
      <c r="J874" s="336"/>
      <c r="K874" s="301"/>
      <c r="L874" s="336"/>
      <c r="M874" s="301"/>
      <c r="N874" s="336"/>
      <c r="O874" s="301"/>
      <c r="P874" s="336"/>
      <c r="Q874" s="301"/>
      <c r="R874" s="336"/>
      <c r="S874" s="301"/>
      <c r="T874" s="336"/>
    </row>
    <row r="875" spans="1:20" ht="12" customHeight="1" x14ac:dyDescent="0.3">
      <c r="A875" s="329" t="s">
        <v>289</v>
      </c>
      <c r="B875" s="330">
        <v>8</v>
      </c>
      <c r="C875" s="298">
        <v>46101</v>
      </c>
      <c r="D875" s="299" t="s">
        <v>356</v>
      </c>
      <c r="E875" s="331">
        <v>65.099999999999994</v>
      </c>
      <c r="F875" s="331"/>
      <c r="G875" s="333">
        <f t="shared" si="19"/>
        <v>7516.6199999999844</v>
      </c>
      <c r="H875" s="334"/>
      <c r="I875" s="335"/>
      <c r="J875" s="336"/>
      <c r="K875" s="301"/>
      <c r="L875" s="336"/>
      <c r="M875" s="301"/>
      <c r="N875" s="336"/>
      <c r="O875" s="301"/>
      <c r="P875" s="336"/>
      <c r="Q875" s="301"/>
      <c r="R875" s="336"/>
      <c r="S875" s="301"/>
      <c r="T875" s="336"/>
    </row>
    <row r="876" spans="1:20" ht="12" customHeight="1" x14ac:dyDescent="0.3">
      <c r="A876" s="329" t="s">
        <v>294</v>
      </c>
      <c r="B876" s="330">
        <v>22</v>
      </c>
      <c r="C876" s="298">
        <v>46101</v>
      </c>
      <c r="D876" s="299" t="s">
        <v>323</v>
      </c>
      <c r="E876" s="331">
        <v>20.22</v>
      </c>
      <c r="F876" s="331"/>
      <c r="G876" s="333">
        <f t="shared" si="19"/>
        <v>7581.7199999999848</v>
      </c>
      <c r="H876" s="334"/>
      <c r="I876" s="335"/>
      <c r="J876" s="336"/>
      <c r="K876" s="301"/>
      <c r="L876" s="336"/>
      <c r="M876" s="301"/>
      <c r="N876" s="336"/>
      <c r="O876" s="301"/>
      <c r="P876" s="336"/>
      <c r="Q876" s="301"/>
      <c r="R876" s="336"/>
      <c r="S876" s="301"/>
      <c r="T876" s="336"/>
    </row>
    <row r="877" spans="1:20" ht="12" customHeight="1" x14ac:dyDescent="0.3">
      <c r="A877" s="329" t="s">
        <v>289</v>
      </c>
      <c r="B877" s="330">
        <v>6</v>
      </c>
      <c r="C877" s="298">
        <v>46101</v>
      </c>
      <c r="D877" s="299" t="s">
        <v>433</v>
      </c>
      <c r="E877" s="331">
        <v>-73</v>
      </c>
      <c r="F877" s="331"/>
      <c r="G877" s="333">
        <f t="shared" si="19"/>
        <v>7601.939999999985</v>
      </c>
      <c r="H877" s="334"/>
      <c r="I877" s="335"/>
      <c r="J877" s="336"/>
      <c r="K877" s="301"/>
      <c r="L877" s="336"/>
      <c r="M877" s="301"/>
      <c r="N877" s="336"/>
      <c r="O877" s="301"/>
      <c r="P877" s="336"/>
      <c r="Q877" s="301"/>
      <c r="R877" s="336"/>
      <c r="S877" s="301"/>
      <c r="T877" s="336"/>
    </row>
    <row r="878" spans="1:20" ht="12" customHeight="1" x14ac:dyDescent="0.3">
      <c r="A878" s="329" t="s">
        <v>289</v>
      </c>
      <c r="B878" s="330">
        <v>6</v>
      </c>
      <c r="C878" s="298">
        <v>46101</v>
      </c>
      <c r="D878" s="299" t="s">
        <v>300</v>
      </c>
      <c r="E878" s="331">
        <v>34.68</v>
      </c>
      <c r="F878" s="331"/>
      <c r="G878" s="333">
        <f t="shared" si="19"/>
        <v>7528.939999999985</v>
      </c>
      <c r="H878" s="334"/>
      <c r="I878" s="335"/>
      <c r="J878" s="336"/>
      <c r="K878" s="301"/>
      <c r="L878" s="336"/>
      <c r="M878" s="301"/>
      <c r="N878" s="336"/>
      <c r="O878" s="301"/>
      <c r="P878" s="336"/>
      <c r="Q878" s="301"/>
      <c r="R878" s="336"/>
      <c r="S878" s="301"/>
      <c r="T878" s="336"/>
    </row>
    <row r="879" spans="1:20" ht="12" customHeight="1" x14ac:dyDescent="0.3">
      <c r="A879" s="329" t="s">
        <v>289</v>
      </c>
      <c r="B879" s="330">
        <v>6</v>
      </c>
      <c r="C879" s="298">
        <v>46101</v>
      </c>
      <c r="D879" s="299" t="s">
        <v>397</v>
      </c>
      <c r="E879" s="331">
        <v>10.63</v>
      </c>
      <c r="F879" s="331"/>
      <c r="G879" s="333">
        <f t="shared" si="19"/>
        <v>7563.6199999999853</v>
      </c>
      <c r="H879" s="334"/>
      <c r="I879" s="335"/>
      <c r="J879" s="336"/>
      <c r="K879" s="301"/>
      <c r="L879" s="336"/>
      <c r="M879" s="301"/>
      <c r="N879" s="336"/>
      <c r="O879" s="301"/>
      <c r="P879" s="336"/>
      <c r="Q879" s="301"/>
      <c r="R879" s="336"/>
      <c r="S879" s="301"/>
      <c r="T879" s="336"/>
    </row>
    <row r="880" spans="1:20" ht="12" customHeight="1" x14ac:dyDescent="0.3">
      <c r="A880" s="329" t="s">
        <v>289</v>
      </c>
      <c r="B880" s="330">
        <v>5</v>
      </c>
      <c r="C880" s="298">
        <v>46101</v>
      </c>
      <c r="D880" s="299" t="s">
        <v>398</v>
      </c>
      <c r="E880" s="331">
        <v>106.49</v>
      </c>
      <c r="F880" s="331"/>
      <c r="G880" s="333">
        <f t="shared" si="19"/>
        <v>7574.2499999999854</v>
      </c>
      <c r="H880" s="334"/>
      <c r="I880" s="335"/>
      <c r="J880" s="336"/>
      <c r="K880" s="301"/>
      <c r="L880" s="336"/>
      <c r="M880" s="301"/>
      <c r="N880" s="336"/>
      <c r="O880" s="301"/>
      <c r="P880" s="336"/>
      <c r="Q880" s="301"/>
      <c r="R880" s="336"/>
      <c r="S880" s="301"/>
      <c r="T880" s="336"/>
    </row>
    <row r="881" spans="1:20" ht="12" customHeight="1" x14ac:dyDescent="0.3">
      <c r="A881" s="329" t="s">
        <v>289</v>
      </c>
      <c r="B881" s="330">
        <v>8</v>
      </c>
      <c r="C881" s="298">
        <v>46100</v>
      </c>
      <c r="D881" s="299" t="s">
        <v>357</v>
      </c>
      <c r="E881" s="331">
        <v>16.739999999999998</v>
      </c>
      <c r="F881" s="331"/>
      <c r="G881" s="333">
        <f t="shared" si="19"/>
        <v>7680.7399999999852</v>
      </c>
      <c r="H881" s="334"/>
      <c r="I881" s="335"/>
      <c r="J881" s="336"/>
      <c r="K881" s="301"/>
      <c r="L881" s="336"/>
      <c r="M881" s="301"/>
      <c r="N881" s="336"/>
      <c r="O881" s="301"/>
      <c r="P881" s="336"/>
      <c r="Q881" s="301"/>
      <c r="R881" s="336"/>
      <c r="S881" s="301"/>
      <c r="T881" s="336"/>
    </row>
    <row r="882" spans="1:20" ht="12" customHeight="1" x14ac:dyDescent="0.3">
      <c r="A882" s="329" t="s">
        <v>289</v>
      </c>
      <c r="B882" s="330">
        <v>8</v>
      </c>
      <c r="C882" s="298">
        <v>46100</v>
      </c>
      <c r="D882" s="299" t="s">
        <v>399</v>
      </c>
      <c r="E882" s="331">
        <v>108.54</v>
      </c>
      <c r="F882" s="331"/>
      <c r="G882" s="333">
        <f t="shared" si="19"/>
        <v>7697.479999999985</v>
      </c>
      <c r="H882" s="334"/>
      <c r="I882" s="335"/>
      <c r="J882" s="336"/>
      <c r="K882" s="301"/>
      <c r="L882" s="336"/>
      <c r="M882" s="301"/>
      <c r="N882" s="336"/>
      <c r="O882" s="301"/>
      <c r="P882" s="336"/>
      <c r="Q882" s="301"/>
      <c r="R882" s="336"/>
      <c r="S882" s="301"/>
      <c r="T882" s="336"/>
    </row>
    <row r="883" spans="1:20" ht="12" customHeight="1" x14ac:dyDescent="0.3">
      <c r="A883" s="329" t="s">
        <v>294</v>
      </c>
      <c r="B883" s="330">
        <v>22</v>
      </c>
      <c r="C883" s="298">
        <v>46100</v>
      </c>
      <c r="D883" s="299" t="s">
        <v>835</v>
      </c>
      <c r="E883" s="331">
        <v>12.77</v>
      </c>
      <c r="F883" s="331"/>
      <c r="G883" s="333">
        <f t="shared" si="19"/>
        <v>7806.019999999985</v>
      </c>
      <c r="H883" s="334"/>
      <c r="I883" s="335"/>
      <c r="J883" s="336"/>
      <c r="K883" s="301"/>
      <c r="L883" s="336"/>
      <c r="M883" s="301"/>
      <c r="N883" s="336"/>
      <c r="O883" s="301"/>
      <c r="P883" s="336"/>
      <c r="Q883" s="301"/>
      <c r="R883" s="336"/>
      <c r="S883" s="301"/>
      <c r="T883" s="336"/>
    </row>
    <row r="884" spans="1:20" ht="12" customHeight="1" x14ac:dyDescent="0.3">
      <c r="A884" s="329" t="s">
        <v>289</v>
      </c>
      <c r="B884" s="330">
        <v>8</v>
      </c>
      <c r="C884" s="298">
        <v>46100</v>
      </c>
      <c r="D884" s="299" t="s">
        <v>334</v>
      </c>
      <c r="E884" s="331">
        <v>28.33</v>
      </c>
      <c r="F884" s="331"/>
      <c r="G884" s="333">
        <f t="shared" si="19"/>
        <v>7818.7899999999854</v>
      </c>
      <c r="H884" s="334"/>
      <c r="I884" s="335"/>
      <c r="J884" s="336"/>
      <c r="K884" s="301"/>
      <c r="L884" s="336"/>
      <c r="M884" s="301"/>
      <c r="N884" s="336"/>
      <c r="O884" s="301"/>
      <c r="P884" s="336"/>
      <c r="Q884" s="301"/>
      <c r="R884" s="336"/>
      <c r="S884" s="301"/>
      <c r="T884" s="336"/>
    </row>
    <row r="885" spans="1:20" ht="12" customHeight="1" x14ac:dyDescent="0.3">
      <c r="A885" s="329" t="s">
        <v>289</v>
      </c>
      <c r="B885" s="330">
        <v>2</v>
      </c>
      <c r="C885" s="298">
        <v>46100</v>
      </c>
      <c r="D885" s="299" t="s">
        <v>358</v>
      </c>
      <c r="E885" s="331">
        <v>17.45</v>
      </c>
      <c r="F885" s="331"/>
      <c r="G885" s="333">
        <f t="shared" si="19"/>
        <v>7847.1199999999853</v>
      </c>
      <c r="H885" s="334"/>
      <c r="I885" s="335"/>
      <c r="J885" s="336"/>
      <c r="K885" s="301"/>
      <c r="L885" s="336"/>
      <c r="M885" s="301"/>
      <c r="N885" s="336"/>
      <c r="O885" s="301"/>
      <c r="P885" s="336"/>
      <c r="Q885" s="301"/>
      <c r="R885" s="336"/>
      <c r="S885" s="301"/>
      <c r="T885" s="336"/>
    </row>
    <row r="886" spans="1:20" ht="12" customHeight="1" x14ac:dyDescent="0.3">
      <c r="A886" s="329" t="s">
        <v>294</v>
      </c>
      <c r="B886" s="330">
        <v>22</v>
      </c>
      <c r="C886" s="298">
        <v>46100</v>
      </c>
      <c r="D886" s="299" t="s">
        <v>328</v>
      </c>
      <c r="E886" s="331">
        <v>7.46</v>
      </c>
      <c r="F886" s="331"/>
      <c r="G886" s="333">
        <f t="shared" si="19"/>
        <v>7864.5699999999852</v>
      </c>
      <c r="H886" s="334"/>
      <c r="I886" s="335"/>
      <c r="J886" s="336"/>
      <c r="K886" s="301"/>
      <c r="L886" s="336"/>
      <c r="M886" s="301"/>
      <c r="N886" s="336"/>
      <c r="O886" s="301"/>
      <c r="P886" s="336"/>
      <c r="Q886" s="301"/>
      <c r="R886" s="336"/>
      <c r="S886" s="301"/>
      <c r="T886" s="336"/>
    </row>
    <row r="887" spans="1:20" ht="12" customHeight="1" x14ac:dyDescent="0.3">
      <c r="A887" s="329" t="s">
        <v>335</v>
      </c>
      <c r="B887" s="330" t="s">
        <v>335</v>
      </c>
      <c r="C887" s="298">
        <v>46100</v>
      </c>
      <c r="D887" s="299" t="s">
        <v>336</v>
      </c>
      <c r="E887" s="331">
        <v>172.29</v>
      </c>
      <c r="F887" s="331"/>
      <c r="G887" s="333">
        <f t="shared" si="19"/>
        <v>7872.0299999999852</v>
      </c>
      <c r="H887" s="334"/>
      <c r="I887" s="335"/>
      <c r="J887" s="336"/>
      <c r="K887" s="301"/>
      <c r="L887" s="336"/>
      <c r="M887" s="301"/>
      <c r="N887" s="336"/>
      <c r="O887" s="301"/>
      <c r="P887" s="336"/>
      <c r="Q887" s="301"/>
      <c r="R887" s="336"/>
      <c r="S887" s="301"/>
      <c r="T887" s="336"/>
    </row>
    <row r="888" spans="1:20" ht="12" customHeight="1" x14ac:dyDescent="0.3">
      <c r="A888" s="329" t="s">
        <v>294</v>
      </c>
      <c r="B888" s="330">
        <v>15</v>
      </c>
      <c r="C888" s="298">
        <v>46100</v>
      </c>
      <c r="D888" s="299" t="s">
        <v>185</v>
      </c>
      <c r="E888" s="331">
        <v>175.09</v>
      </c>
      <c r="F888" s="331"/>
      <c r="G888" s="333">
        <f t="shared" si="19"/>
        <v>8044.3199999999852</v>
      </c>
      <c r="H888" s="334"/>
      <c r="I888" s="335"/>
      <c r="J888" s="336"/>
      <c r="K888" s="301"/>
      <c r="L888" s="336"/>
      <c r="M888" s="301"/>
      <c r="N888" s="336"/>
      <c r="O888" s="301"/>
      <c r="P888" s="336"/>
      <c r="Q888" s="301"/>
      <c r="R888" s="336"/>
      <c r="S888" s="301"/>
      <c r="T888" s="336"/>
    </row>
    <row r="889" spans="1:20" ht="12" customHeight="1" x14ac:dyDescent="0.3">
      <c r="A889" s="329" t="s">
        <v>291</v>
      </c>
      <c r="B889" s="330">
        <v>39</v>
      </c>
      <c r="C889" s="298">
        <v>46100</v>
      </c>
      <c r="D889" s="299" t="s">
        <v>292</v>
      </c>
      <c r="E889" s="331"/>
      <c r="F889" s="331">
        <v>2763.78</v>
      </c>
      <c r="G889" s="333">
        <f t="shared" si="19"/>
        <v>8219.4099999999853</v>
      </c>
      <c r="H889" s="334"/>
      <c r="I889" s="335"/>
      <c r="J889" s="336"/>
      <c r="K889" s="301"/>
      <c r="L889" s="336"/>
      <c r="M889" s="301"/>
      <c r="N889" s="336"/>
      <c r="O889" s="301"/>
      <c r="P889" s="336"/>
      <c r="Q889" s="301"/>
      <c r="R889" s="336"/>
      <c r="S889" s="301"/>
      <c r="T889" s="336"/>
    </row>
    <row r="890" spans="1:20" ht="12" customHeight="1" x14ac:dyDescent="0.3">
      <c r="A890" s="329" t="s">
        <v>289</v>
      </c>
      <c r="B890" s="330">
        <v>2</v>
      </c>
      <c r="C890" s="298">
        <v>46099</v>
      </c>
      <c r="D890" s="299" t="s">
        <v>400</v>
      </c>
      <c r="E890" s="331">
        <v>47.46</v>
      </c>
      <c r="F890" s="331"/>
      <c r="G890" s="333">
        <f t="shared" si="19"/>
        <v>5455.6299999999856</v>
      </c>
      <c r="H890" s="334"/>
      <c r="I890" s="335"/>
      <c r="J890" s="336"/>
      <c r="K890" s="301"/>
      <c r="L890" s="336"/>
      <c r="M890" s="301"/>
      <c r="N890" s="336"/>
      <c r="O890" s="301"/>
      <c r="P890" s="336"/>
      <c r="Q890" s="301"/>
      <c r="R890" s="336"/>
      <c r="S890" s="301"/>
      <c r="T890" s="336"/>
    </row>
    <row r="891" spans="1:20" ht="12" customHeight="1" x14ac:dyDescent="0.3">
      <c r="A891" s="329" t="s">
        <v>289</v>
      </c>
      <c r="B891" s="330">
        <v>8</v>
      </c>
      <c r="C891" s="298">
        <v>46099</v>
      </c>
      <c r="D891" s="299" t="s">
        <v>400</v>
      </c>
      <c r="E891" s="331">
        <v>15.01</v>
      </c>
      <c r="F891" s="331"/>
      <c r="G891" s="333">
        <f t="shared" si="19"/>
        <v>5503.0899999999856</v>
      </c>
      <c r="H891" s="334"/>
      <c r="I891" s="335"/>
      <c r="J891" s="336"/>
      <c r="K891" s="301"/>
      <c r="L891" s="336"/>
      <c r="M891" s="301"/>
      <c r="N891" s="336"/>
      <c r="O891" s="301"/>
      <c r="P891" s="336"/>
      <c r="Q891" s="301"/>
      <c r="R891" s="336"/>
      <c r="S891" s="301"/>
      <c r="T891" s="336"/>
    </row>
    <row r="892" spans="1:20" ht="12" customHeight="1" x14ac:dyDescent="0.3">
      <c r="A892" s="329" t="s">
        <v>291</v>
      </c>
      <c r="B892" s="330">
        <v>40</v>
      </c>
      <c r="C892" s="298">
        <v>46099</v>
      </c>
      <c r="D892" s="299" t="s">
        <v>316</v>
      </c>
      <c r="E892" s="331"/>
      <c r="F892" s="331">
        <v>838.67</v>
      </c>
      <c r="G892" s="333">
        <f t="shared" si="19"/>
        <v>5518.0999999999858</v>
      </c>
      <c r="H892" s="334"/>
      <c r="I892" s="335"/>
      <c r="J892" s="336"/>
      <c r="K892" s="301"/>
      <c r="L892" s="336"/>
      <c r="M892" s="301"/>
      <c r="N892" s="336"/>
      <c r="O892" s="301"/>
      <c r="P892" s="336"/>
      <c r="Q892" s="301"/>
      <c r="R892" s="336"/>
      <c r="S892" s="301"/>
      <c r="T892" s="336"/>
    </row>
    <row r="893" spans="1:20" ht="12" customHeight="1" x14ac:dyDescent="0.3">
      <c r="A893" s="329" t="s">
        <v>289</v>
      </c>
      <c r="B893" s="330">
        <v>2</v>
      </c>
      <c r="C893" s="298">
        <v>46099</v>
      </c>
      <c r="D893" s="299" t="s">
        <v>296</v>
      </c>
      <c r="E893" s="331">
        <v>14.67</v>
      </c>
      <c r="F893" s="331"/>
      <c r="G893" s="333">
        <f t="shared" si="19"/>
        <v>4679.4299999999857</v>
      </c>
      <c r="H893" s="334"/>
      <c r="I893" s="335"/>
      <c r="J893" s="336"/>
      <c r="K893" s="301"/>
      <c r="L893" s="336"/>
      <c r="M893" s="301"/>
      <c r="N893" s="336"/>
      <c r="O893" s="301"/>
      <c r="P893" s="336"/>
      <c r="Q893" s="301"/>
      <c r="R893" s="336"/>
      <c r="S893" s="301"/>
      <c r="T893" s="336"/>
    </row>
    <row r="894" spans="1:20" ht="12" customHeight="1" x14ac:dyDescent="0.3">
      <c r="A894" s="329" t="s">
        <v>289</v>
      </c>
      <c r="B894" s="330">
        <v>4</v>
      </c>
      <c r="C894" s="298">
        <v>46099</v>
      </c>
      <c r="D894" s="299" t="s">
        <v>296</v>
      </c>
      <c r="E894" s="331">
        <v>40.22</v>
      </c>
      <c r="F894" s="331"/>
      <c r="G894" s="333">
        <f t="shared" si="19"/>
        <v>4694.0999999999858</v>
      </c>
      <c r="H894" s="334"/>
      <c r="I894" s="335"/>
      <c r="J894" s="336"/>
      <c r="K894" s="301"/>
      <c r="L894" s="336"/>
      <c r="M894" s="301"/>
      <c r="N894" s="336"/>
      <c r="O894" s="301"/>
      <c r="P894" s="336"/>
      <c r="Q894" s="301"/>
      <c r="R894" s="336"/>
      <c r="S894" s="301"/>
      <c r="T894" s="336"/>
    </row>
    <row r="895" spans="1:20" ht="12" customHeight="1" x14ac:dyDescent="0.3">
      <c r="A895" s="329" t="s">
        <v>289</v>
      </c>
      <c r="B895" s="330">
        <v>8</v>
      </c>
      <c r="C895" s="298">
        <v>46099</v>
      </c>
      <c r="D895" s="299" t="s">
        <v>295</v>
      </c>
      <c r="E895" s="331">
        <v>3.49</v>
      </c>
      <c r="F895" s="331"/>
      <c r="G895" s="333">
        <f t="shared" si="19"/>
        <v>4734.3199999999861</v>
      </c>
      <c r="H895" s="334"/>
      <c r="I895" s="335"/>
      <c r="J895" s="336"/>
      <c r="K895" s="301"/>
      <c r="L895" s="336"/>
      <c r="M895" s="301"/>
      <c r="N895" s="336"/>
      <c r="O895" s="301"/>
      <c r="P895" s="336"/>
      <c r="Q895" s="301"/>
      <c r="R895" s="336"/>
      <c r="S895" s="301"/>
      <c r="T895" s="336"/>
    </row>
    <row r="896" spans="1:20" ht="12" customHeight="1" x14ac:dyDescent="0.3">
      <c r="A896" s="329" t="s">
        <v>294</v>
      </c>
      <c r="B896" s="330">
        <v>22</v>
      </c>
      <c r="C896" s="298">
        <v>46099</v>
      </c>
      <c r="D896" s="299" t="s">
        <v>401</v>
      </c>
      <c r="E896" s="331">
        <v>13.84</v>
      </c>
      <c r="F896" s="331"/>
      <c r="G896" s="333">
        <f t="shared" si="19"/>
        <v>4737.8099999999858</v>
      </c>
      <c r="H896" s="334"/>
      <c r="I896" s="335"/>
      <c r="J896" s="336"/>
      <c r="K896" s="301"/>
      <c r="L896" s="336"/>
      <c r="M896" s="301"/>
      <c r="N896" s="336"/>
      <c r="O896" s="301"/>
      <c r="P896" s="336"/>
      <c r="Q896" s="301"/>
      <c r="R896" s="336"/>
      <c r="S896" s="301"/>
      <c r="T896" s="336"/>
    </row>
    <row r="897" spans="1:20" ht="12" customHeight="1" x14ac:dyDescent="0.3">
      <c r="A897" s="329" t="s">
        <v>294</v>
      </c>
      <c r="B897" s="330">
        <v>17</v>
      </c>
      <c r="C897" s="298">
        <v>46098</v>
      </c>
      <c r="D897" s="299" t="s">
        <v>188</v>
      </c>
      <c r="E897" s="331">
        <v>42.65</v>
      </c>
      <c r="F897" s="331"/>
      <c r="G897" s="333">
        <f t="shared" si="19"/>
        <v>4751.649999999986</v>
      </c>
      <c r="H897" s="334"/>
      <c r="I897" s="335"/>
      <c r="J897" s="336"/>
      <c r="K897" s="301"/>
      <c r="L897" s="336"/>
      <c r="M897" s="301"/>
      <c r="N897" s="336"/>
      <c r="O897" s="301"/>
      <c r="P897" s="336"/>
      <c r="Q897" s="301"/>
      <c r="R897" s="336"/>
      <c r="S897" s="301"/>
      <c r="T897" s="336"/>
    </row>
    <row r="898" spans="1:20" ht="12" customHeight="1" x14ac:dyDescent="0.3">
      <c r="A898" s="329" t="s">
        <v>294</v>
      </c>
      <c r="B898" s="330">
        <v>23</v>
      </c>
      <c r="C898" s="298">
        <v>46098</v>
      </c>
      <c r="D898" s="299" t="s">
        <v>402</v>
      </c>
      <c r="E898" s="331">
        <v>529.46</v>
      </c>
      <c r="F898" s="331"/>
      <c r="G898" s="333">
        <f t="shared" si="19"/>
        <v>4794.2999999999856</v>
      </c>
      <c r="H898" s="334"/>
      <c r="I898" s="335"/>
      <c r="J898" s="336"/>
      <c r="K898" s="301"/>
      <c r="L898" s="336"/>
      <c r="M898" s="301"/>
      <c r="N898" s="336"/>
      <c r="O898" s="301"/>
      <c r="P898" s="336"/>
      <c r="Q898" s="301"/>
      <c r="R898" s="336"/>
      <c r="S898" s="301"/>
      <c r="T898" s="336"/>
    </row>
    <row r="899" spans="1:20" ht="12" customHeight="1" x14ac:dyDescent="0.3">
      <c r="A899" s="329" t="s">
        <v>294</v>
      </c>
      <c r="B899" s="330">
        <v>43</v>
      </c>
      <c r="C899" s="298">
        <v>46098</v>
      </c>
      <c r="D899" s="299" t="s">
        <v>333</v>
      </c>
      <c r="E899" s="331">
        <v>22.35</v>
      </c>
      <c r="F899" s="331"/>
      <c r="G899" s="333">
        <f t="shared" si="19"/>
        <v>5323.7599999999857</v>
      </c>
      <c r="H899" s="334"/>
      <c r="I899" s="335"/>
      <c r="J899" s="336"/>
      <c r="K899" s="301"/>
      <c r="L899" s="336"/>
      <c r="M899" s="301"/>
      <c r="N899" s="336"/>
      <c r="O899" s="301"/>
      <c r="P899" s="336"/>
      <c r="Q899" s="301"/>
      <c r="R899" s="336"/>
      <c r="S899" s="301"/>
      <c r="T899" s="336"/>
    </row>
    <row r="900" spans="1:20" ht="12" customHeight="1" x14ac:dyDescent="0.3">
      <c r="A900" s="329" t="s">
        <v>294</v>
      </c>
      <c r="B900" s="330">
        <v>42</v>
      </c>
      <c r="C900" s="298">
        <v>46098</v>
      </c>
      <c r="D900" s="299" t="s">
        <v>333</v>
      </c>
      <c r="E900" s="331">
        <v>37.25</v>
      </c>
      <c r="F900" s="331"/>
      <c r="G900" s="333">
        <f t="shared" si="19"/>
        <v>5346.109999999986</v>
      </c>
      <c r="H900" s="334"/>
      <c r="I900" s="335"/>
      <c r="J900" s="336"/>
      <c r="K900" s="301"/>
      <c r="L900" s="336"/>
      <c r="M900" s="301"/>
      <c r="N900" s="336"/>
      <c r="O900" s="301"/>
      <c r="P900" s="336"/>
      <c r="Q900" s="301"/>
      <c r="R900" s="336"/>
      <c r="S900" s="301"/>
      <c r="T900" s="336"/>
    </row>
    <row r="901" spans="1:20" ht="12" customHeight="1" x14ac:dyDescent="0.3">
      <c r="A901" s="329" t="s">
        <v>289</v>
      </c>
      <c r="B901" s="330">
        <v>8</v>
      </c>
      <c r="C901" s="298">
        <v>46098</v>
      </c>
      <c r="D901" s="299" t="s">
        <v>319</v>
      </c>
      <c r="E901" s="331">
        <v>3.99</v>
      </c>
      <c r="F901" s="331"/>
      <c r="G901" s="333">
        <f t="shared" si="19"/>
        <v>5383.359999999986</v>
      </c>
      <c r="H901" s="334"/>
      <c r="I901" s="335"/>
      <c r="J901" s="336"/>
      <c r="K901" s="301"/>
      <c r="L901" s="336"/>
      <c r="M901" s="301"/>
      <c r="N901" s="336"/>
      <c r="O901" s="301"/>
      <c r="P901" s="336"/>
      <c r="Q901" s="301"/>
      <c r="R901" s="336"/>
      <c r="S901" s="301"/>
      <c r="T901" s="336"/>
    </row>
    <row r="902" spans="1:20" ht="12" customHeight="1" x14ac:dyDescent="0.3">
      <c r="A902" s="329" t="s">
        <v>289</v>
      </c>
      <c r="B902" s="330">
        <v>8</v>
      </c>
      <c r="C902" s="298">
        <v>46098</v>
      </c>
      <c r="D902" s="299" t="s">
        <v>319</v>
      </c>
      <c r="E902" s="331">
        <v>24.47</v>
      </c>
      <c r="F902" s="331"/>
      <c r="G902" s="333">
        <f t="shared" si="19"/>
        <v>5387.3499999999858</v>
      </c>
      <c r="H902" s="334"/>
      <c r="I902" s="335"/>
      <c r="J902" s="336"/>
      <c r="K902" s="301"/>
      <c r="L902" s="336"/>
      <c r="M902" s="301"/>
      <c r="N902" s="336"/>
      <c r="O902" s="301"/>
      <c r="P902" s="336"/>
      <c r="Q902" s="301"/>
      <c r="R902" s="336"/>
      <c r="S902" s="301"/>
      <c r="T902" s="336"/>
    </row>
    <row r="903" spans="1:20" ht="12" customHeight="1" x14ac:dyDescent="0.3">
      <c r="A903" s="329" t="s">
        <v>294</v>
      </c>
      <c r="B903" s="330">
        <v>21</v>
      </c>
      <c r="C903" s="298">
        <v>46098</v>
      </c>
      <c r="D903" s="299" t="s">
        <v>194</v>
      </c>
      <c r="E903" s="331">
        <v>75.599999999999994</v>
      </c>
      <c r="F903" s="331"/>
      <c r="G903" s="333">
        <f t="shared" si="19"/>
        <v>5411.8199999999861</v>
      </c>
      <c r="H903" s="334"/>
      <c r="I903" s="335"/>
      <c r="J903" s="336"/>
      <c r="K903" s="301"/>
      <c r="L903" s="336"/>
      <c r="M903" s="301"/>
      <c r="N903" s="336"/>
      <c r="O903" s="301"/>
      <c r="P903" s="336"/>
      <c r="Q903" s="301"/>
      <c r="R903" s="336"/>
      <c r="S903" s="301"/>
      <c r="T903" s="336"/>
    </row>
    <row r="904" spans="1:20" ht="12" customHeight="1" x14ac:dyDescent="0.3">
      <c r="A904" s="329" t="s">
        <v>289</v>
      </c>
      <c r="B904" s="330">
        <v>5</v>
      </c>
      <c r="C904" s="298">
        <v>46097</v>
      </c>
      <c r="D904" s="299" t="s">
        <v>340</v>
      </c>
      <c r="E904" s="331">
        <v>21.3</v>
      </c>
      <c r="F904" s="331"/>
      <c r="G904" s="333">
        <f t="shared" si="19"/>
        <v>5487.4199999999864</v>
      </c>
      <c r="H904" s="334"/>
      <c r="I904" s="335"/>
      <c r="J904" s="336"/>
      <c r="K904" s="301"/>
      <c r="L904" s="336"/>
      <c r="M904" s="301"/>
      <c r="N904" s="336"/>
      <c r="O904" s="301"/>
      <c r="P904" s="336"/>
      <c r="Q904" s="301"/>
      <c r="R904" s="336"/>
      <c r="S904" s="301"/>
      <c r="T904" s="336"/>
    </row>
    <row r="905" spans="1:20" ht="12" customHeight="1" x14ac:dyDescent="0.3">
      <c r="A905" s="329" t="s">
        <v>294</v>
      </c>
      <c r="B905" s="330">
        <v>11</v>
      </c>
      <c r="C905" s="298">
        <v>46097</v>
      </c>
      <c r="D905" s="299" t="s">
        <v>178</v>
      </c>
      <c r="E905" s="331">
        <v>267.91000000000003</v>
      </c>
      <c r="F905" s="331"/>
      <c r="G905" s="333">
        <f t="shared" si="19"/>
        <v>5508.7199999999866</v>
      </c>
      <c r="H905" s="334"/>
      <c r="I905" s="335"/>
      <c r="J905" s="336"/>
      <c r="K905" s="301"/>
      <c r="L905" s="336"/>
      <c r="M905" s="301"/>
      <c r="N905" s="336"/>
      <c r="O905" s="301"/>
      <c r="P905" s="336"/>
      <c r="Q905" s="301"/>
      <c r="R905" s="336"/>
      <c r="S905" s="301"/>
      <c r="T905" s="336"/>
    </row>
    <row r="906" spans="1:20" ht="12" customHeight="1" x14ac:dyDescent="0.3">
      <c r="A906" s="329" t="s">
        <v>287</v>
      </c>
      <c r="B906" s="330" t="s">
        <v>287</v>
      </c>
      <c r="C906" s="298">
        <v>46097</v>
      </c>
      <c r="D906" s="299" t="s">
        <v>403</v>
      </c>
      <c r="E906" s="331"/>
      <c r="F906" s="331">
        <v>80</v>
      </c>
      <c r="G906" s="333">
        <f t="shared" si="19"/>
        <v>5776.6299999999865</v>
      </c>
      <c r="H906" s="334" t="s">
        <v>298</v>
      </c>
      <c r="I906" s="335"/>
      <c r="J906" s="336"/>
      <c r="K906" s="301"/>
      <c r="L906" s="336"/>
      <c r="M906" s="301"/>
      <c r="N906" s="336"/>
      <c r="O906" s="301"/>
      <c r="P906" s="336"/>
      <c r="Q906" s="301"/>
      <c r="R906" s="336"/>
      <c r="S906" s="301"/>
      <c r="T906" s="336"/>
    </row>
    <row r="907" spans="1:20" ht="12" customHeight="1" x14ac:dyDescent="0.3">
      <c r="A907" s="329" t="s">
        <v>287</v>
      </c>
      <c r="B907" s="330" t="s">
        <v>287</v>
      </c>
      <c r="C907" s="298">
        <v>46097</v>
      </c>
      <c r="D907" s="299" t="s">
        <v>302</v>
      </c>
      <c r="E907" s="331">
        <v>80</v>
      </c>
      <c r="F907" s="331"/>
      <c r="G907" s="333">
        <f t="shared" si="19"/>
        <v>5696.6299999999865</v>
      </c>
      <c r="H907" s="334"/>
      <c r="I907" s="335"/>
      <c r="J907" s="336"/>
      <c r="K907" s="301"/>
      <c r="L907" s="336"/>
      <c r="M907" s="301"/>
      <c r="N907" s="336"/>
      <c r="O907" s="301"/>
      <c r="P907" s="336"/>
      <c r="Q907" s="301"/>
      <c r="R907" s="336"/>
      <c r="S907" s="301"/>
      <c r="T907" s="336"/>
    </row>
    <row r="908" spans="1:20" ht="12" customHeight="1" x14ac:dyDescent="0.3">
      <c r="A908" s="329" t="s">
        <v>289</v>
      </c>
      <c r="B908" s="330">
        <v>4</v>
      </c>
      <c r="C908" s="298">
        <v>46097</v>
      </c>
      <c r="D908" s="299" t="s">
        <v>310</v>
      </c>
      <c r="E908" s="331">
        <v>42.47</v>
      </c>
      <c r="F908" s="331"/>
      <c r="G908" s="333">
        <f t="shared" si="19"/>
        <v>5776.6299999999865</v>
      </c>
      <c r="H908" s="334"/>
      <c r="I908" s="335"/>
      <c r="J908" s="336"/>
      <c r="K908" s="301"/>
      <c r="L908" s="336"/>
      <c r="M908" s="301"/>
      <c r="N908" s="336"/>
      <c r="O908" s="301"/>
      <c r="P908" s="336"/>
      <c r="Q908" s="301"/>
      <c r="R908" s="336"/>
      <c r="S908" s="301"/>
      <c r="T908" s="336"/>
    </row>
    <row r="909" spans="1:20" ht="12" customHeight="1" x14ac:dyDescent="0.3">
      <c r="A909" s="329" t="s">
        <v>289</v>
      </c>
      <c r="B909" s="330">
        <v>2</v>
      </c>
      <c r="C909" s="298">
        <v>46097</v>
      </c>
      <c r="D909" s="299" t="s">
        <v>296</v>
      </c>
      <c r="E909" s="331">
        <v>11.18</v>
      </c>
      <c r="F909" s="331"/>
      <c r="G909" s="333">
        <f t="shared" si="19"/>
        <v>5819.0999999999867</v>
      </c>
      <c r="H909" s="334"/>
      <c r="I909" s="335"/>
      <c r="J909" s="336"/>
      <c r="K909" s="301"/>
      <c r="L909" s="336"/>
      <c r="M909" s="301"/>
      <c r="N909" s="336"/>
      <c r="O909" s="301"/>
      <c r="P909" s="336"/>
      <c r="Q909" s="301"/>
      <c r="R909" s="336"/>
      <c r="S909" s="301"/>
      <c r="T909" s="336"/>
    </row>
    <row r="910" spans="1:20" ht="12" customHeight="1" x14ac:dyDescent="0.3">
      <c r="A910" s="329" t="s">
        <v>289</v>
      </c>
      <c r="B910" s="330">
        <v>2</v>
      </c>
      <c r="C910" s="298">
        <v>46096</v>
      </c>
      <c r="D910" s="299" t="s">
        <v>404</v>
      </c>
      <c r="E910" s="331">
        <v>38.67</v>
      </c>
      <c r="F910" s="331"/>
      <c r="G910" s="333">
        <f t="shared" si="19"/>
        <v>5830.279999999987</v>
      </c>
      <c r="H910" s="334"/>
      <c r="I910" s="335"/>
      <c r="J910" s="336"/>
      <c r="K910" s="301"/>
      <c r="L910" s="336"/>
      <c r="M910" s="301"/>
      <c r="N910" s="336"/>
      <c r="O910" s="301"/>
      <c r="P910" s="336"/>
      <c r="Q910" s="301"/>
      <c r="R910" s="336"/>
      <c r="S910" s="301"/>
      <c r="T910" s="336"/>
    </row>
    <row r="911" spans="1:20" ht="12" customHeight="1" x14ac:dyDescent="0.3">
      <c r="A911" s="329" t="s">
        <v>289</v>
      </c>
      <c r="B911" s="330">
        <v>3</v>
      </c>
      <c r="C911" s="298">
        <v>46096</v>
      </c>
      <c r="D911" s="299" t="s">
        <v>348</v>
      </c>
      <c r="E911" s="331">
        <v>7.11</v>
      </c>
      <c r="F911" s="331"/>
      <c r="G911" s="333">
        <f t="shared" si="19"/>
        <v>5868.9499999999871</v>
      </c>
      <c r="H911" s="334"/>
      <c r="I911" s="335"/>
      <c r="J911" s="336"/>
      <c r="K911" s="301"/>
      <c r="L911" s="336"/>
      <c r="M911" s="301"/>
      <c r="N911" s="336"/>
      <c r="O911" s="301"/>
      <c r="P911" s="336"/>
      <c r="Q911" s="301"/>
      <c r="R911" s="336"/>
      <c r="S911" s="301"/>
      <c r="T911" s="336"/>
    </row>
    <row r="912" spans="1:20" ht="12" customHeight="1" x14ac:dyDescent="0.3">
      <c r="A912" s="329" t="s">
        <v>289</v>
      </c>
      <c r="B912" s="330">
        <v>1</v>
      </c>
      <c r="C912" s="298">
        <v>46096</v>
      </c>
      <c r="D912" s="299" t="s">
        <v>304</v>
      </c>
      <c r="E912" s="331">
        <v>126.64</v>
      </c>
      <c r="F912" s="331"/>
      <c r="G912" s="333">
        <f t="shared" si="19"/>
        <v>5876.0599999999868</v>
      </c>
      <c r="H912" s="334"/>
      <c r="I912" s="335"/>
      <c r="J912" s="336"/>
      <c r="K912" s="301"/>
      <c r="L912" s="336"/>
      <c r="M912" s="301"/>
      <c r="N912" s="336"/>
      <c r="O912" s="301"/>
      <c r="P912" s="336"/>
      <c r="Q912" s="301"/>
      <c r="R912" s="336"/>
      <c r="S912" s="301"/>
      <c r="T912" s="336"/>
    </row>
    <row r="913" spans="1:20" ht="12" customHeight="1" x14ac:dyDescent="0.3">
      <c r="A913" s="329" t="s">
        <v>289</v>
      </c>
      <c r="B913" s="330">
        <v>1</v>
      </c>
      <c r="C913" s="298">
        <v>46096</v>
      </c>
      <c r="D913" s="299" t="s">
        <v>311</v>
      </c>
      <c r="E913" s="331">
        <v>125.2</v>
      </c>
      <c r="F913" s="331"/>
      <c r="G913" s="333">
        <f t="shared" si="19"/>
        <v>6002.6999999999871</v>
      </c>
      <c r="H913" s="334"/>
      <c r="I913" s="335"/>
      <c r="J913" s="336"/>
      <c r="K913" s="301"/>
      <c r="L913" s="336"/>
      <c r="M913" s="301"/>
      <c r="N913" s="336"/>
      <c r="O913" s="301"/>
      <c r="P913" s="336"/>
      <c r="Q913" s="301"/>
      <c r="R913" s="336"/>
      <c r="S913" s="301"/>
      <c r="T913" s="336"/>
    </row>
    <row r="914" spans="1:20" ht="12" customHeight="1" x14ac:dyDescent="0.3">
      <c r="A914" s="329" t="s">
        <v>289</v>
      </c>
      <c r="B914" s="330">
        <v>1</v>
      </c>
      <c r="C914" s="298">
        <v>46096</v>
      </c>
      <c r="D914" s="299" t="s">
        <v>306</v>
      </c>
      <c r="E914" s="331">
        <v>37.159999999999997</v>
      </c>
      <c r="F914" s="331"/>
      <c r="G914" s="333">
        <f t="shared" si="19"/>
        <v>6127.8999999999869</v>
      </c>
      <c r="H914" s="334"/>
      <c r="I914" s="335"/>
      <c r="J914" s="336"/>
      <c r="K914" s="301"/>
      <c r="L914" s="336"/>
      <c r="M914" s="301"/>
      <c r="N914" s="336"/>
      <c r="O914" s="301"/>
      <c r="P914" s="336"/>
      <c r="Q914" s="301"/>
      <c r="R914" s="336"/>
      <c r="S914" s="301"/>
      <c r="T914" s="336"/>
    </row>
    <row r="915" spans="1:20" ht="12" customHeight="1" x14ac:dyDescent="0.3">
      <c r="A915" s="329" t="s">
        <v>294</v>
      </c>
      <c r="B915" s="330">
        <v>16</v>
      </c>
      <c r="C915" s="298">
        <v>46096</v>
      </c>
      <c r="D915" s="299" t="s">
        <v>405</v>
      </c>
      <c r="E915" s="331">
        <v>713.06</v>
      </c>
      <c r="F915" s="331"/>
      <c r="G915" s="333">
        <f t="shared" si="19"/>
        <v>6165.0599999999868</v>
      </c>
      <c r="H915" s="334"/>
      <c r="I915" s="335"/>
      <c r="J915" s="336"/>
      <c r="K915" s="301"/>
      <c r="L915" s="336"/>
      <c r="M915" s="301"/>
      <c r="N915" s="336"/>
      <c r="O915" s="301"/>
      <c r="P915" s="336"/>
      <c r="Q915" s="301"/>
      <c r="R915" s="336"/>
      <c r="S915" s="301"/>
      <c r="T915" s="336"/>
    </row>
    <row r="916" spans="1:20" ht="12" customHeight="1" x14ac:dyDescent="0.3">
      <c r="A916" s="329" t="s">
        <v>289</v>
      </c>
      <c r="B916" s="330">
        <v>5</v>
      </c>
      <c r="C916" s="298">
        <v>46095</v>
      </c>
      <c r="D916" s="299" t="s">
        <v>406</v>
      </c>
      <c r="E916" s="331">
        <v>24</v>
      </c>
      <c r="F916" s="331"/>
      <c r="G916" s="333">
        <f t="shared" si="19"/>
        <v>6878.1199999999862</v>
      </c>
      <c r="H916" s="334"/>
      <c r="I916" s="335"/>
      <c r="J916" s="336"/>
      <c r="K916" s="301"/>
      <c r="L916" s="336"/>
      <c r="M916" s="301"/>
      <c r="N916" s="336"/>
      <c r="O916" s="301"/>
      <c r="P916" s="336"/>
      <c r="Q916" s="301"/>
      <c r="R916" s="336"/>
      <c r="S916" s="301"/>
      <c r="T916" s="336"/>
    </row>
    <row r="917" spans="1:20" ht="12" customHeight="1" x14ac:dyDescent="0.3">
      <c r="A917" s="329" t="s">
        <v>289</v>
      </c>
      <c r="B917" s="330">
        <v>3</v>
      </c>
      <c r="C917" s="298">
        <v>46095</v>
      </c>
      <c r="D917" s="299" t="s">
        <v>348</v>
      </c>
      <c r="E917" s="331">
        <v>14.58</v>
      </c>
      <c r="F917" s="331"/>
      <c r="G917" s="333">
        <f t="shared" si="19"/>
        <v>6902.1199999999862</v>
      </c>
      <c r="H917" s="334"/>
      <c r="I917" s="335"/>
      <c r="J917" s="336"/>
      <c r="K917" s="301"/>
      <c r="L917" s="336"/>
      <c r="M917" s="301"/>
      <c r="N917" s="336"/>
      <c r="O917" s="301"/>
      <c r="P917" s="336"/>
      <c r="Q917" s="301"/>
      <c r="R917" s="336"/>
      <c r="S917" s="301"/>
      <c r="T917" s="336"/>
    </row>
    <row r="918" spans="1:20" ht="12" customHeight="1" x14ac:dyDescent="0.3">
      <c r="A918" s="329" t="s">
        <v>291</v>
      </c>
      <c r="B918" s="330">
        <v>41</v>
      </c>
      <c r="C918" s="298">
        <v>46094</v>
      </c>
      <c r="D918" s="299" t="s">
        <v>407</v>
      </c>
      <c r="E918" s="331"/>
      <c r="F918" s="331">
        <v>300</v>
      </c>
      <c r="G918" s="333">
        <f t="shared" si="19"/>
        <v>6916.6999999999862</v>
      </c>
      <c r="H918" s="334"/>
      <c r="I918" s="335"/>
      <c r="J918" s="336"/>
      <c r="K918" s="301"/>
      <c r="L918" s="336"/>
      <c r="M918" s="301"/>
      <c r="N918" s="336"/>
      <c r="O918" s="301"/>
      <c r="P918" s="336"/>
      <c r="Q918" s="301"/>
      <c r="R918" s="336"/>
      <c r="S918" s="301"/>
      <c r="T918" s="336"/>
    </row>
    <row r="919" spans="1:20" ht="12" customHeight="1" x14ac:dyDescent="0.3">
      <c r="A919" s="329" t="s">
        <v>289</v>
      </c>
      <c r="B919" s="330">
        <v>1</v>
      </c>
      <c r="C919" s="298">
        <v>46094</v>
      </c>
      <c r="D919" s="299" t="s">
        <v>311</v>
      </c>
      <c r="E919" s="331">
        <v>17.71</v>
      </c>
      <c r="F919" s="331"/>
      <c r="G919" s="333">
        <f t="shared" si="19"/>
        <v>6616.6999999999862</v>
      </c>
      <c r="H919" s="334"/>
      <c r="I919" s="335"/>
      <c r="J919" s="336"/>
      <c r="K919" s="301"/>
      <c r="L919" s="336"/>
      <c r="M919" s="301"/>
      <c r="N919" s="336"/>
      <c r="O919" s="301"/>
      <c r="P919" s="336"/>
      <c r="Q919" s="301"/>
      <c r="R919" s="336"/>
      <c r="S919" s="301"/>
      <c r="T919" s="336"/>
    </row>
    <row r="920" spans="1:20" ht="12" customHeight="1" x14ac:dyDescent="0.3">
      <c r="A920" s="329" t="s">
        <v>289</v>
      </c>
      <c r="B920" s="330">
        <v>4</v>
      </c>
      <c r="C920" s="298">
        <v>46094</v>
      </c>
      <c r="D920" s="299" t="s">
        <v>296</v>
      </c>
      <c r="E920" s="331">
        <v>31.56</v>
      </c>
      <c r="F920" s="331"/>
      <c r="G920" s="333">
        <f t="shared" si="19"/>
        <v>6634.4099999999862</v>
      </c>
      <c r="H920" s="334"/>
      <c r="I920" s="335"/>
      <c r="J920" s="336"/>
      <c r="K920" s="301"/>
      <c r="L920" s="336"/>
      <c r="M920" s="301"/>
      <c r="N920" s="336"/>
      <c r="O920" s="301"/>
      <c r="P920" s="336"/>
      <c r="Q920" s="301"/>
      <c r="R920" s="336"/>
      <c r="S920" s="301"/>
      <c r="T920" s="336"/>
    </row>
    <row r="921" spans="1:20" ht="12" customHeight="1" x14ac:dyDescent="0.3">
      <c r="A921" s="329" t="s">
        <v>289</v>
      </c>
      <c r="B921" s="330">
        <v>2</v>
      </c>
      <c r="C921" s="298">
        <v>46094</v>
      </c>
      <c r="D921" s="299" t="s">
        <v>296</v>
      </c>
      <c r="E921" s="331">
        <v>34.79</v>
      </c>
      <c r="F921" s="331"/>
      <c r="G921" s="333">
        <f t="shared" si="19"/>
        <v>6665.9699999999866</v>
      </c>
      <c r="H921" s="334"/>
      <c r="I921" s="335"/>
      <c r="J921" s="336"/>
      <c r="K921" s="301"/>
      <c r="L921" s="336"/>
      <c r="M921" s="301"/>
      <c r="N921" s="336"/>
      <c r="O921" s="301"/>
      <c r="P921" s="336"/>
      <c r="Q921" s="301"/>
      <c r="R921" s="336"/>
      <c r="S921" s="301"/>
      <c r="T921" s="336"/>
    </row>
    <row r="922" spans="1:20" ht="12" customHeight="1" x14ac:dyDescent="0.3">
      <c r="A922" s="329" t="s">
        <v>289</v>
      </c>
      <c r="B922" s="330">
        <v>2</v>
      </c>
      <c r="C922" s="298">
        <v>46094</v>
      </c>
      <c r="D922" s="299" t="s">
        <v>408</v>
      </c>
      <c r="E922" s="331">
        <v>23.9</v>
      </c>
      <c r="F922" s="331"/>
      <c r="G922" s="333">
        <f t="shared" si="19"/>
        <v>6700.7599999999866</v>
      </c>
      <c r="H922" s="334"/>
      <c r="I922" s="335"/>
      <c r="J922" s="336"/>
      <c r="K922" s="301"/>
      <c r="L922" s="336"/>
      <c r="M922" s="301"/>
      <c r="N922" s="336"/>
      <c r="O922" s="301"/>
      <c r="P922" s="336"/>
      <c r="Q922" s="301"/>
      <c r="R922" s="336"/>
      <c r="S922" s="301"/>
      <c r="T922" s="336"/>
    </row>
    <row r="923" spans="1:20" ht="12" customHeight="1" x14ac:dyDescent="0.3">
      <c r="A923" s="329" t="s">
        <v>289</v>
      </c>
      <c r="B923" s="330">
        <v>3</v>
      </c>
      <c r="C923" s="298">
        <v>46094</v>
      </c>
      <c r="D923" s="299" t="s">
        <v>348</v>
      </c>
      <c r="E923" s="331">
        <v>7.26</v>
      </c>
      <c r="F923" s="331"/>
      <c r="G923" s="333">
        <f t="shared" si="19"/>
        <v>6724.6599999999862</v>
      </c>
      <c r="H923" s="334"/>
      <c r="I923" s="335"/>
      <c r="J923" s="336"/>
      <c r="K923" s="301"/>
      <c r="L923" s="336"/>
      <c r="M923" s="301"/>
      <c r="N923" s="336"/>
      <c r="O923" s="301"/>
      <c r="P923" s="336"/>
      <c r="Q923" s="301"/>
      <c r="R923" s="336"/>
      <c r="S923" s="301"/>
      <c r="T923" s="336"/>
    </row>
    <row r="924" spans="1:20" ht="12" customHeight="1" x14ac:dyDescent="0.3">
      <c r="A924" s="329" t="s">
        <v>289</v>
      </c>
      <c r="B924" s="330">
        <v>5</v>
      </c>
      <c r="C924" s="298">
        <v>46094</v>
      </c>
      <c r="D924" s="299" t="s">
        <v>354</v>
      </c>
      <c r="E924" s="331">
        <v>85</v>
      </c>
      <c r="F924" s="331"/>
      <c r="G924" s="333">
        <f t="shared" si="19"/>
        <v>6731.9199999999864</v>
      </c>
      <c r="H924" s="334" t="s">
        <v>298</v>
      </c>
      <c r="I924" s="335"/>
      <c r="J924" s="336"/>
      <c r="K924" s="301"/>
      <c r="L924" s="336"/>
      <c r="M924" s="301"/>
      <c r="N924" s="336"/>
      <c r="O924" s="301"/>
      <c r="P924" s="336"/>
      <c r="Q924" s="301"/>
      <c r="R924" s="336"/>
      <c r="S924" s="301"/>
      <c r="T924" s="336"/>
    </row>
    <row r="925" spans="1:20" ht="12" customHeight="1" x14ac:dyDescent="0.3">
      <c r="A925" s="329" t="s">
        <v>289</v>
      </c>
      <c r="B925" s="330">
        <v>8</v>
      </c>
      <c r="C925" s="298">
        <v>46093</v>
      </c>
      <c r="D925" s="299" t="s">
        <v>409</v>
      </c>
      <c r="E925" s="331">
        <v>51.22</v>
      </c>
      <c r="F925" s="331"/>
      <c r="G925" s="333">
        <f t="shared" si="19"/>
        <v>6816.9199999999864</v>
      </c>
      <c r="H925" s="334"/>
      <c r="I925" s="335"/>
      <c r="J925" s="336"/>
      <c r="K925" s="301"/>
      <c r="L925" s="336"/>
      <c r="M925" s="301"/>
      <c r="N925" s="336"/>
      <c r="O925" s="301"/>
      <c r="P925" s="336"/>
      <c r="Q925" s="301"/>
      <c r="R925" s="336"/>
      <c r="S925" s="301"/>
      <c r="T925" s="336"/>
    </row>
    <row r="926" spans="1:20" ht="12" customHeight="1" x14ac:dyDescent="0.3">
      <c r="A926" s="329" t="s">
        <v>289</v>
      </c>
      <c r="B926" s="330">
        <v>2</v>
      </c>
      <c r="C926" s="298">
        <v>46093</v>
      </c>
      <c r="D926" s="299" t="s">
        <v>410</v>
      </c>
      <c r="E926" s="331">
        <v>57.43</v>
      </c>
      <c r="F926" s="331"/>
      <c r="G926" s="333">
        <f t="shared" si="19"/>
        <v>6868.1399999999867</v>
      </c>
      <c r="H926" s="334"/>
      <c r="I926" s="335"/>
      <c r="J926" s="336"/>
      <c r="K926" s="301"/>
      <c r="L926" s="336"/>
      <c r="M926" s="301"/>
      <c r="N926" s="336"/>
      <c r="O926" s="301"/>
      <c r="P926" s="336"/>
      <c r="Q926" s="301"/>
      <c r="R926" s="336"/>
      <c r="S926" s="301"/>
      <c r="T926" s="336"/>
    </row>
    <row r="927" spans="1:20" ht="12" customHeight="1" x14ac:dyDescent="0.3">
      <c r="A927" s="329" t="s">
        <v>289</v>
      </c>
      <c r="B927" s="330">
        <v>2</v>
      </c>
      <c r="C927" s="298">
        <v>46093</v>
      </c>
      <c r="D927" s="299" t="s">
        <v>358</v>
      </c>
      <c r="E927" s="331">
        <v>17.45</v>
      </c>
      <c r="F927" s="331"/>
      <c r="G927" s="333">
        <f t="shared" si="19"/>
        <v>6925.569999999987</v>
      </c>
      <c r="H927" s="334"/>
      <c r="I927" s="335"/>
      <c r="J927" s="336"/>
      <c r="K927" s="301"/>
      <c r="L927" s="336"/>
      <c r="M927" s="301"/>
      <c r="N927" s="336"/>
      <c r="O927" s="301"/>
      <c r="P927" s="336"/>
      <c r="Q927" s="301"/>
      <c r="R927" s="336"/>
      <c r="S927" s="301"/>
      <c r="T927" s="336"/>
    </row>
    <row r="928" spans="1:20" ht="12" customHeight="1" x14ac:dyDescent="0.3">
      <c r="A928" s="329" t="s">
        <v>289</v>
      </c>
      <c r="B928" s="330">
        <v>8</v>
      </c>
      <c r="C928" s="298">
        <v>46093</v>
      </c>
      <c r="D928" s="299" t="s">
        <v>319</v>
      </c>
      <c r="E928" s="331">
        <v>7.92</v>
      </c>
      <c r="F928" s="331"/>
      <c r="G928" s="333">
        <f t="shared" si="19"/>
        <v>6943.0199999999868</v>
      </c>
      <c r="H928" s="334"/>
      <c r="I928" s="335"/>
      <c r="J928" s="336"/>
      <c r="K928" s="301"/>
      <c r="L928" s="336"/>
      <c r="M928" s="301"/>
      <c r="N928" s="336"/>
      <c r="O928" s="301"/>
      <c r="P928" s="336"/>
      <c r="Q928" s="301"/>
      <c r="R928" s="336"/>
      <c r="S928" s="301"/>
      <c r="T928" s="336"/>
    </row>
    <row r="929" spans="1:20" ht="12" customHeight="1" x14ac:dyDescent="0.3">
      <c r="A929" s="329" t="s">
        <v>291</v>
      </c>
      <c r="B929" s="330">
        <v>38</v>
      </c>
      <c r="C929" s="298">
        <v>46093</v>
      </c>
      <c r="D929" s="299" t="s">
        <v>293</v>
      </c>
      <c r="E929" s="331"/>
      <c r="F929" s="331">
        <v>4726.92</v>
      </c>
      <c r="G929" s="333">
        <f t="shared" si="19"/>
        <v>6950.9399999999869</v>
      </c>
      <c r="H929" s="334"/>
      <c r="I929" s="335"/>
      <c r="J929" s="336"/>
      <c r="K929" s="301"/>
      <c r="L929" s="336"/>
      <c r="M929" s="301"/>
      <c r="N929" s="336"/>
      <c r="O929" s="301"/>
      <c r="P929" s="336"/>
      <c r="Q929" s="301"/>
      <c r="R929" s="336"/>
      <c r="S929" s="301"/>
      <c r="T929" s="336"/>
    </row>
    <row r="930" spans="1:20" ht="12" customHeight="1" x14ac:dyDescent="0.3">
      <c r="A930" s="329" t="s">
        <v>289</v>
      </c>
      <c r="B930" s="330">
        <v>2</v>
      </c>
      <c r="C930" s="298">
        <v>46093</v>
      </c>
      <c r="D930" s="299" t="s">
        <v>386</v>
      </c>
      <c r="E930" s="331">
        <v>15</v>
      </c>
      <c r="F930" s="331"/>
      <c r="G930" s="333">
        <f t="shared" si="19"/>
        <v>2224.0199999999868</v>
      </c>
      <c r="H930" s="334"/>
      <c r="I930" s="335"/>
      <c r="J930" s="336"/>
      <c r="K930" s="301"/>
      <c r="L930" s="336"/>
      <c r="M930" s="301"/>
      <c r="N930" s="336"/>
      <c r="O930" s="301"/>
      <c r="P930" s="336"/>
      <c r="Q930" s="301"/>
      <c r="R930" s="336"/>
      <c r="S930" s="301"/>
      <c r="T930" s="336"/>
    </row>
    <row r="931" spans="1:20" ht="12" customHeight="1" x14ac:dyDescent="0.3">
      <c r="A931" s="329" t="s">
        <v>289</v>
      </c>
      <c r="B931" s="330">
        <v>6</v>
      </c>
      <c r="C931" s="298">
        <v>46093</v>
      </c>
      <c r="D931" s="299" t="s">
        <v>411</v>
      </c>
      <c r="E931" s="331">
        <v>12</v>
      </c>
      <c r="F931" s="331"/>
      <c r="G931" s="333">
        <f t="shared" si="19"/>
        <v>2239.0199999999868</v>
      </c>
      <c r="H931" s="334"/>
      <c r="I931" s="335"/>
      <c r="J931" s="336"/>
      <c r="K931" s="301"/>
      <c r="L931" s="336"/>
      <c r="M931" s="301"/>
      <c r="N931" s="336"/>
      <c r="O931" s="301"/>
      <c r="P931" s="336"/>
      <c r="Q931" s="301"/>
      <c r="R931" s="336"/>
      <c r="S931" s="301"/>
      <c r="T931" s="336"/>
    </row>
    <row r="932" spans="1:20" ht="12" customHeight="1" x14ac:dyDescent="0.3">
      <c r="A932" s="329" t="s">
        <v>294</v>
      </c>
      <c r="B932" s="330">
        <v>19</v>
      </c>
      <c r="C932" s="298">
        <v>46093</v>
      </c>
      <c r="D932" s="299" t="s">
        <v>191</v>
      </c>
      <c r="E932" s="331">
        <v>200</v>
      </c>
      <c r="F932" s="331"/>
      <c r="G932" s="333">
        <f t="shared" si="19"/>
        <v>2251.0199999999868</v>
      </c>
      <c r="H932" s="334"/>
      <c r="I932" s="335"/>
      <c r="J932" s="336"/>
      <c r="K932" s="301"/>
      <c r="L932" s="336"/>
      <c r="M932" s="301"/>
      <c r="N932" s="336"/>
      <c r="O932" s="301"/>
      <c r="P932" s="336"/>
      <c r="Q932" s="301"/>
      <c r="R932" s="336"/>
      <c r="S932" s="301"/>
      <c r="T932" s="336"/>
    </row>
    <row r="933" spans="1:20" ht="12" customHeight="1" x14ac:dyDescent="0.3">
      <c r="A933" s="329" t="s">
        <v>289</v>
      </c>
      <c r="B933" s="330">
        <v>6</v>
      </c>
      <c r="C933" s="298">
        <v>46092</v>
      </c>
      <c r="D933" s="299" t="s">
        <v>412</v>
      </c>
      <c r="E933" s="331">
        <v>-10.050000000000001</v>
      </c>
      <c r="F933" s="331"/>
      <c r="G933" s="333">
        <f t="shared" si="19"/>
        <v>2451.0199999999868</v>
      </c>
      <c r="H933" s="334"/>
      <c r="I933" s="335"/>
      <c r="J933" s="336"/>
      <c r="K933" s="301"/>
      <c r="L933" s="336"/>
      <c r="M933" s="301"/>
      <c r="N933" s="336"/>
      <c r="O933" s="301"/>
      <c r="P933" s="336"/>
      <c r="Q933" s="301"/>
      <c r="R933" s="336"/>
      <c r="S933" s="301"/>
      <c r="T933" s="336"/>
    </row>
    <row r="934" spans="1:20" ht="12" customHeight="1" x14ac:dyDescent="0.3">
      <c r="A934" s="329" t="s">
        <v>289</v>
      </c>
      <c r="B934" s="330">
        <v>6</v>
      </c>
      <c r="C934" s="298">
        <v>46092</v>
      </c>
      <c r="D934" s="299" t="s">
        <v>413</v>
      </c>
      <c r="E934" s="331">
        <v>25</v>
      </c>
      <c r="F934" s="331"/>
      <c r="G934" s="333">
        <f t="shared" si="19"/>
        <v>2440.9699999999866</v>
      </c>
      <c r="H934" s="334"/>
      <c r="I934" s="335"/>
      <c r="J934" s="336"/>
      <c r="K934" s="301"/>
      <c r="L934" s="336"/>
      <c r="M934" s="301"/>
      <c r="N934" s="336"/>
      <c r="O934" s="301"/>
      <c r="P934" s="336"/>
      <c r="Q934" s="301"/>
      <c r="R934" s="336"/>
      <c r="S934" s="301"/>
      <c r="T934" s="336"/>
    </row>
    <row r="935" spans="1:20" ht="12" customHeight="1" x14ac:dyDescent="0.3">
      <c r="A935" s="329" t="s">
        <v>289</v>
      </c>
      <c r="B935" s="330">
        <v>2</v>
      </c>
      <c r="C935" s="298">
        <v>46092</v>
      </c>
      <c r="D935" s="299" t="s">
        <v>301</v>
      </c>
      <c r="E935" s="331">
        <v>-9</v>
      </c>
      <c r="F935" s="331"/>
      <c r="G935" s="333">
        <f t="shared" si="19"/>
        <v>2465.9699999999866</v>
      </c>
      <c r="H935" s="334"/>
      <c r="I935" s="335"/>
      <c r="J935" s="336"/>
      <c r="K935" s="301"/>
      <c r="L935" s="336"/>
      <c r="M935" s="301"/>
      <c r="N935" s="336"/>
      <c r="O935" s="301"/>
      <c r="P935" s="336"/>
      <c r="Q935" s="301"/>
      <c r="R935" s="336"/>
      <c r="S935" s="301"/>
      <c r="T935" s="336"/>
    </row>
    <row r="936" spans="1:20" ht="12" customHeight="1" x14ac:dyDescent="0.3">
      <c r="A936" s="329" t="s">
        <v>291</v>
      </c>
      <c r="B936" s="330">
        <v>41</v>
      </c>
      <c r="C936" s="298">
        <v>46092</v>
      </c>
      <c r="D936" s="299" t="s">
        <v>407</v>
      </c>
      <c r="E936" s="331"/>
      <c r="F936" s="331">
        <v>500</v>
      </c>
      <c r="G936" s="333">
        <f t="shared" si="19"/>
        <v>2456.9699999999866</v>
      </c>
      <c r="H936" s="334"/>
      <c r="I936" s="335"/>
      <c r="J936" s="336"/>
      <c r="K936" s="301"/>
      <c r="L936" s="336"/>
      <c r="M936" s="301"/>
      <c r="N936" s="336"/>
      <c r="O936" s="301"/>
      <c r="P936" s="336"/>
      <c r="Q936" s="301"/>
      <c r="R936" s="336"/>
      <c r="S936" s="301"/>
      <c r="T936" s="336"/>
    </row>
    <row r="937" spans="1:20" ht="12" customHeight="1" x14ac:dyDescent="0.3">
      <c r="A937" s="329" t="s">
        <v>289</v>
      </c>
      <c r="B937" s="330">
        <v>2</v>
      </c>
      <c r="C937" s="298">
        <v>46092</v>
      </c>
      <c r="D937" s="299" t="s">
        <v>296</v>
      </c>
      <c r="E937" s="331">
        <v>16.170000000000002</v>
      </c>
      <c r="F937" s="331"/>
      <c r="G937" s="333">
        <f t="shared" si="19"/>
        <v>1956.9699999999864</v>
      </c>
      <c r="H937" s="334"/>
      <c r="I937" s="335"/>
      <c r="J937" s="336"/>
      <c r="K937" s="301"/>
      <c r="L937" s="336"/>
      <c r="M937" s="301"/>
      <c r="N937" s="336"/>
      <c r="O937" s="301"/>
      <c r="P937" s="336"/>
      <c r="Q937" s="301"/>
      <c r="R937" s="336"/>
      <c r="S937" s="301"/>
      <c r="T937" s="336"/>
    </row>
    <row r="938" spans="1:20" ht="12" customHeight="1" x14ac:dyDescent="0.3">
      <c r="A938" s="329" t="s">
        <v>294</v>
      </c>
      <c r="B938" s="330">
        <v>22</v>
      </c>
      <c r="C938" s="298">
        <v>46092</v>
      </c>
      <c r="D938" s="299" t="s">
        <v>352</v>
      </c>
      <c r="E938" s="331">
        <v>19.16</v>
      </c>
      <c r="F938" s="331"/>
      <c r="G938" s="333">
        <f t="shared" si="19"/>
        <v>1973.1399999999865</v>
      </c>
      <c r="H938" s="334"/>
      <c r="I938" s="335"/>
      <c r="J938" s="336"/>
      <c r="K938" s="301"/>
      <c r="L938" s="336"/>
      <c r="M938" s="301"/>
      <c r="N938" s="336"/>
      <c r="O938" s="301"/>
      <c r="P938" s="336"/>
      <c r="Q938" s="301"/>
      <c r="R938" s="336"/>
      <c r="S938" s="301"/>
      <c r="T938" s="336"/>
    </row>
    <row r="939" spans="1:20" ht="12" customHeight="1" x14ac:dyDescent="0.3">
      <c r="A939" s="329" t="s">
        <v>335</v>
      </c>
      <c r="B939" s="330" t="s">
        <v>335</v>
      </c>
      <c r="C939" s="298">
        <v>46091</v>
      </c>
      <c r="D939" s="299" t="s">
        <v>447</v>
      </c>
      <c r="E939" s="331">
        <v>47.28</v>
      </c>
      <c r="F939" s="331"/>
      <c r="G939" s="333">
        <f t="shared" si="19"/>
        <v>1992.2999999999865</v>
      </c>
      <c r="H939" s="334"/>
      <c r="I939" s="335"/>
      <c r="J939" s="336"/>
      <c r="K939" s="301"/>
      <c r="L939" s="336"/>
      <c r="M939" s="301"/>
      <c r="N939" s="336"/>
      <c r="O939" s="301"/>
      <c r="P939" s="336"/>
      <c r="Q939" s="301"/>
      <c r="R939" s="336"/>
      <c r="S939" s="301"/>
      <c r="T939" s="336"/>
    </row>
    <row r="940" spans="1:20" ht="12" customHeight="1" x14ac:dyDescent="0.3">
      <c r="A940" s="329" t="s">
        <v>294</v>
      </c>
      <c r="B940" s="330">
        <v>13</v>
      </c>
      <c r="C940" s="298">
        <v>46091</v>
      </c>
      <c r="D940" s="299" t="s">
        <v>182</v>
      </c>
      <c r="E940" s="331">
        <v>134.93</v>
      </c>
      <c r="F940" s="331"/>
      <c r="G940" s="333">
        <f t="shared" si="19"/>
        <v>2039.5799999999865</v>
      </c>
      <c r="H940" s="334"/>
      <c r="I940" s="335"/>
      <c r="J940" s="336"/>
      <c r="K940" s="301"/>
      <c r="L940" s="336"/>
      <c r="M940" s="301"/>
      <c r="N940" s="336"/>
      <c r="O940" s="301"/>
      <c r="P940" s="336"/>
      <c r="Q940" s="301"/>
      <c r="R940" s="336"/>
      <c r="S940" s="301"/>
      <c r="T940" s="336"/>
    </row>
    <row r="941" spans="1:20" ht="12" customHeight="1" x14ac:dyDescent="0.3">
      <c r="A941" s="329" t="s">
        <v>289</v>
      </c>
      <c r="B941" s="330">
        <v>8</v>
      </c>
      <c r="C941" s="298">
        <v>46091</v>
      </c>
      <c r="D941" s="299" t="s">
        <v>295</v>
      </c>
      <c r="E941" s="331">
        <v>7.44</v>
      </c>
      <c r="F941" s="331"/>
      <c r="G941" s="333">
        <f t="shared" si="19"/>
        <v>2174.5099999999866</v>
      </c>
      <c r="H941" s="334"/>
      <c r="I941" s="335"/>
      <c r="J941" s="336"/>
      <c r="K941" s="301"/>
      <c r="L941" s="336"/>
      <c r="M941" s="301"/>
      <c r="N941" s="336"/>
      <c r="O941" s="301"/>
      <c r="P941" s="336"/>
      <c r="Q941" s="301"/>
      <c r="R941" s="336"/>
      <c r="S941" s="301"/>
      <c r="T941" s="336"/>
    </row>
    <row r="942" spans="1:20" ht="12" customHeight="1" x14ac:dyDescent="0.3">
      <c r="A942" s="329" t="s">
        <v>289</v>
      </c>
      <c r="B942" s="330">
        <v>4</v>
      </c>
      <c r="C942" s="298">
        <v>46091</v>
      </c>
      <c r="D942" s="299" t="s">
        <v>295</v>
      </c>
      <c r="E942" s="331">
        <v>29.53</v>
      </c>
      <c r="F942" s="331"/>
      <c r="G942" s="333">
        <f t="shared" si="19"/>
        <v>2181.9499999999866</v>
      </c>
      <c r="H942" s="334"/>
      <c r="I942" s="335"/>
      <c r="J942" s="336"/>
      <c r="K942" s="301"/>
      <c r="L942" s="336"/>
      <c r="M942" s="301"/>
      <c r="N942" s="336"/>
      <c r="O942" s="301"/>
      <c r="P942" s="336"/>
      <c r="Q942" s="301"/>
      <c r="R942" s="336"/>
      <c r="S942" s="301"/>
      <c r="T942" s="336"/>
    </row>
    <row r="943" spans="1:20" ht="12" customHeight="1" x14ac:dyDescent="0.3">
      <c r="A943" s="329" t="s">
        <v>289</v>
      </c>
      <c r="B943" s="330">
        <v>4</v>
      </c>
      <c r="C943" s="298">
        <v>46091</v>
      </c>
      <c r="D943" s="299" t="s">
        <v>310</v>
      </c>
      <c r="E943" s="331">
        <v>34.119999999999997</v>
      </c>
      <c r="F943" s="331"/>
      <c r="G943" s="333">
        <f t="shared" si="19"/>
        <v>2211.4799999999868</v>
      </c>
      <c r="H943" s="334"/>
      <c r="I943" s="335"/>
      <c r="J943" s="336"/>
      <c r="K943" s="301"/>
      <c r="L943" s="336"/>
      <c r="M943" s="301"/>
      <c r="N943" s="336"/>
      <c r="O943" s="301"/>
      <c r="P943" s="336"/>
      <c r="Q943" s="301"/>
      <c r="R943" s="336"/>
      <c r="S943" s="301"/>
      <c r="T943" s="336"/>
    </row>
    <row r="944" spans="1:20" ht="12" customHeight="1" x14ac:dyDescent="0.3">
      <c r="A944" s="329" t="s">
        <v>289</v>
      </c>
      <c r="B944" s="330">
        <v>2</v>
      </c>
      <c r="C944" s="298">
        <v>46091</v>
      </c>
      <c r="D944" s="299" t="s">
        <v>414</v>
      </c>
      <c r="E944" s="331">
        <v>18.57</v>
      </c>
      <c r="F944" s="331"/>
      <c r="G944" s="333">
        <f t="shared" si="19"/>
        <v>2245.5999999999867</v>
      </c>
      <c r="H944" s="334"/>
      <c r="I944" s="335"/>
      <c r="J944" s="336"/>
      <c r="K944" s="301"/>
      <c r="L944" s="336"/>
      <c r="M944" s="301"/>
      <c r="N944" s="336"/>
      <c r="O944" s="301"/>
      <c r="P944" s="336"/>
      <c r="Q944" s="301"/>
      <c r="R944" s="336"/>
      <c r="S944" s="301"/>
      <c r="T944" s="336"/>
    </row>
    <row r="945" spans="1:20" ht="12" customHeight="1" x14ac:dyDescent="0.3">
      <c r="A945" s="329" t="s">
        <v>294</v>
      </c>
      <c r="B945" s="330">
        <v>16</v>
      </c>
      <c r="C945" s="298">
        <v>46091</v>
      </c>
      <c r="D945" s="299" t="s">
        <v>415</v>
      </c>
      <c r="E945" s="331">
        <v>107</v>
      </c>
      <c r="F945" s="331"/>
      <c r="G945" s="333">
        <f t="shared" si="19"/>
        <v>2264.1699999999869</v>
      </c>
      <c r="H945" s="334"/>
      <c r="I945" s="335"/>
      <c r="J945" s="336"/>
      <c r="K945" s="301"/>
      <c r="L945" s="336"/>
      <c r="M945" s="301"/>
      <c r="N945" s="336"/>
      <c r="O945" s="301"/>
      <c r="P945" s="336"/>
      <c r="Q945" s="301"/>
      <c r="R945" s="336"/>
      <c r="S945" s="301"/>
      <c r="T945" s="336"/>
    </row>
    <row r="946" spans="1:20" ht="12" customHeight="1" x14ac:dyDescent="0.3">
      <c r="A946" s="329" t="s">
        <v>294</v>
      </c>
      <c r="B946" s="330">
        <v>18</v>
      </c>
      <c r="C946" s="298">
        <v>46090</v>
      </c>
      <c r="D946" s="299" t="s">
        <v>361</v>
      </c>
      <c r="E946" s="331">
        <v>400</v>
      </c>
      <c r="F946" s="331"/>
      <c r="G946" s="333">
        <f t="shared" si="19"/>
        <v>2371.1699999999869</v>
      </c>
      <c r="H946" s="334"/>
      <c r="I946" s="335"/>
      <c r="J946" s="336"/>
      <c r="K946" s="301"/>
      <c r="L946" s="336"/>
      <c r="M946" s="301"/>
      <c r="N946" s="336"/>
      <c r="O946" s="301"/>
      <c r="P946" s="336"/>
      <c r="Q946" s="301"/>
      <c r="R946" s="336"/>
      <c r="S946" s="301"/>
      <c r="T946" s="336"/>
    </row>
    <row r="947" spans="1:20" ht="12" customHeight="1" x14ac:dyDescent="0.3">
      <c r="A947" s="329" t="s">
        <v>289</v>
      </c>
      <c r="B947" s="330">
        <v>4</v>
      </c>
      <c r="C947" s="298">
        <v>46090</v>
      </c>
      <c r="D947" s="299" t="s">
        <v>296</v>
      </c>
      <c r="E947" s="331">
        <v>24.69</v>
      </c>
      <c r="F947" s="331"/>
      <c r="G947" s="333">
        <f t="shared" si="19"/>
        <v>2771.1699999999869</v>
      </c>
      <c r="H947" s="334"/>
      <c r="I947" s="335"/>
      <c r="J947" s="336"/>
      <c r="K947" s="301"/>
      <c r="L947" s="336"/>
      <c r="M947" s="301"/>
      <c r="N947" s="336"/>
      <c r="O947" s="301"/>
      <c r="P947" s="336"/>
      <c r="Q947" s="301"/>
      <c r="R947" s="336"/>
      <c r="S947" s="301"/>
      <c r="T947" s="336"/>
    </row>
    <row r="948" spans="1:20" ht="12" customHeight="1" x14ac:dyDescent="0.3">
      <c r="A948" s="329" t="s">
        <v>289</v>
      </c>
      <c r="B948" s="330">
        <v>3</v>
      </c>
      <c r="C948" s="298">
        <v>46090</v>
      </c>
      <c r="D948" s="299" t="s">
        <v>416</v>
      </c>
      <c r="E948" s="331">
        <v>4.59</v>
      </c>
      <c r="F948" s="331"/>
      <c r="G948" s="333">
        <f t="shared" si="19"/>
        <v>2795.8599999999869</v>
      </c>
      <c r="H948" s="334"/>
      <c r="I948" s="335"/>
      <c r="J948" s="336"/>
      <c r="K948" s="301"/>
      <c r="L948" s="336"/>
      <c r="M948" s="301"/>
      <c r="N948" s="336"/>
      <c r="O948" s="301"/>
      <c r="P948" s="336"/>
      <c r="Q948" s="301"/>
      <c r="R948" s="336"/>
      <c r="S948" s="301"/>
      <c r="T948" s="336"/>
    </row>
    <row r="949" spans="1:20" ht="12" customHeight="1" x14ac:dyDescent="0.3">
      <c r="A949" s="329" t="s">
        <v>294</v>
      </c>
      <c r="B949" s="330">
        <v>9</v>
      </c>
      <c r="C949" s="298">
        <v>46090</v>
      </c>
      <c r="D949" s="299" t="s">
        <v>58</v>
      </c>
      <c r="E949" s="331">
        <v>1281.53</v>
      </c>
      <c r="F949" s="331"/>
      <c r="G949" s="333">
        <f t="shared" si="19"/>
        <v>2800.4499999999871</v>
      </c>
      <c r="H949" s="334"/>
      <c r="I949" s="335"/>
      <c r="J949" s="336"/>
      <c r="K949" s="301"/>
      <c r="L949" s="336"/>
      <c r="M949" s="301"/>
      <c r="N949" s="336"/>
      <c r="O949" s="301"/>
      <c r="P949" s="336"/>
      <c r="Q949" s="301"/>
      <c r="R949" s="336"/>
      <c r="S949" s="301"/>
      <c r="T949" s="336"/>
    </row>
    <row r="950" spans="1:20" ht="12" customHeight="1" x14ac:dyDescent="0.3">
      <c r="A950" s="329" t="s">
        <v>289</v>
      </c>
      <c r="B950" s="330">
        <v>7</v>
      </c>
      <c r="C950" s="298">
        <v>46090</v>
      </c>
      <c r="D950" s="299" t="s">
        <v>338</v>
      </c>
      <c r="E950" s="331">
        <v>40.61</v>
      </c>
      <c r="F950" s="331"/>
      <c r="G950" s="333">
        <f t="shared" si="19"/>
        <v>4081.9799999999873</v>
      </c>
      <c r="H950" s="334"/>
      <c r="I950" s="335"/>
      <c r="J950" s="336"/>
      <c r="K950" s="301"/>
      <c r="L950" s="336"/>
      <c r="M950" s="301"/>
      <c r="N950" s="336"/>
      <c r="O950" s="301"/>
      <c r="P950" s="336"/>
      <c r="Q950" s="301"/>
      <c r="R950" s="336"/>
      <c r="S950" s="301"/>
      <c r="T950" s="336"/>
    </row>
    <row r="951" spans="1:20" ht="12" customHeight="1" x14ac:dyDescent="0.3">
      <c r="A951" s="329" t="s">
        <v>287</v>
      </c>
      <c r="B951" s="330" t="s">
        <v>287</v>
      </c>
      <c r="C951" s="298">
        <v>46090</v>
      </c>
      <c r="D951" s="299" t="s">
        <v>417</v>
      </c>
      <c r="E951" s="331">
        <v>380</v>
      </c>
      <c r="F951" s="331">
        <v>380</v>
      </c>
      <c r="G951" s="333">
        <f t="shared" si="19"/>
        <v>4122.5899999999874</v>
      </c>
      <c r="H951" s="334"/>
      <c r="I951" s="335"/>
      <c r="J951" s="336"/>
      <c r="K951" s="301"/>
      <c r="L951" s="336"/>
      <c r="M951" s="301"/>
      <c r="N951" s="336"/>
      <c r="O951" s="301"/>
      <c r="P951" s="336"/>
      <c r="Q951" s="301"/>
      <c r="R951" s="336"/>
      <c r="S951" s="301"/>
      <c r="T951" s="336"/>
    </row>
    <row r="952" spans="1:20" ht="12" customHeight="1" x14ac:dyDescent="0.3">
      <c r="A952" s="329" t="s">
        <v>289</v>
      </c>
      <c r="B952" s="330">
        <v>2</v>
      </c>
      <c r="C952" s="298">
        <v>46090</v>
      </c>
      <c r="D952" s="299" t="s">
        <v>418</v>
      </c>
      <c r="E952" s="331">
        <v>15</v>
      </c>
      <c r="F952" s="331"/>
      <c r="G952" s="333">
        <f t="shared" si="19"/>
        <v>4122.5899999999874</v>
      </c>
      <c r="H952" s="334"/>
      <c r="I952" s="335"/>
      <c r="J952" s="336"/>
      <c r="K952" s="301"/>
      <c r="L952" s="336"/>
      <c r="M952" s="301"/>
      <c r="N952" s="336"/>
      <c r="O952" s="301"/>
      <c r="P952" s="336"/>
      <c r="Q952" s="301"/>
      <c r="R952" s="336"/>
      <c r="S952" s="301"/>
      <c r="T952" s="336"/>
    </row>
    <row r="953" spans="1:20" ht="12" customHeight="1" x14ac:dyDescent="0.3">
      <c r="A953" s="329" t="s">
        <v>289</v>
      </c>
      <c r="B953" s="330">
        <v>2</v>
      </c>
      <c r="C953" s="298">
        <v>46090</v>
      </c>
      <c r="D953" s="299" t="s">
        <v>386</v>
      </c>
      <c r="E953" s="331">
        <v>15</v>
      </c>
      <c r="F953" s="331"/>
      <c r="G953" s="333">
        <f t="shared" si="19"/>
        <v>4137.5899999999874</v>
      </c>
      <c r="H953" s="334"/>
      <c r="I953" s="335"/>
      <c r="J953" s="336"/>
      <c r="K953" s="301"/>
      <c r="L953" s="336"/>
      <c r="M953" s="301"/>
      <c r="N953" s="336"/>
      <c r="O953" s="301"/>
      <c r="P953" s="336"/>
      <c r="Q953" s="301"/>
      <c r="R953" s="336"/>
      <c r="S953" s="301"/>
      <c r="T953" s="336"/>
    </row>
    <row r="954" spans="1:20" ht="12" customHeight="1" x14ac:dyDescent="0.3">
      <c r="A954" s="329" t="s">
        <v>289</v>
      </c>
      <c r="B954" s="330">
        <v>6</v>
      </c>
      <c r="C954" s="298">
        <v>46090</v>
      </c>
      <c r="D954" s="299" t="s">
        <v>300</v>
      </c>
      <c r="E954" s="331">
        <v>70.66</v>
      </c>
      <c r="F954" s="331"/>
      <c r="G954" s="333">
        <f t="shared" si="19"/>
        <v>4152.5899999999874</v>
      </c>
      <c r="H954" s="334"/>
      <c r="I954" s="335"/>
      <c r="J954" s="336"/>
      <c r="K954" s="301"/>
      <c r="L954" s="336"/>
      <c r="M954" s="301"/>
      <c r="N954" s="336"/>
      <c r="O954" s="301"/>
      <c r="P954" s="336"/>
      <c r="Q954" s="301"/>
      <c r="R954" s="336"/>
      <c r="S954" s="301"/>
      <c r="T954" s="336"/>
    </row>
    <row r="955" spans="1:20" ht="12" customHeight="1" x14ac:dyDescent="0.3">
      <c r="A955" s="329" t="s">
        <v>289</v>
      </c>
      <c r="B955" s="330">
        <v>1</v>
      </c>
      <c r="C955" s="298">
        <v>46089</v>
      </c>
      <c r="D955" s="299" t="s">
        <v>311</v>
      </c>
      <c r="E955" s="331">
        <v>109.77</v>
      </c>
      <c r="F955" s="331"/>
      <c r="G955" s="333">
        <f t="shared" si="19"/>
        <v>4223.2499999999873</v>
      </c>
      <c r="H955" s="334"/>
      <c r="I955" s="335"/>
      <c r="J955" s="336"/>
      <c r="K955" s="301"/>
      <c r="L955" s="336"/>
      <c r="M955" s="301"/>
      <c r="N955" s="336"/>
      <c r="O955" s="301"/>
      <c r="P955" s="336"/>
      <c r="Q955" s="301"/>
      <c r="R955" s="336"/>
      <c r="S955" s="301"/>
      <c r="T955" s="336"/>
    </row>
    <row r="956" spans="1:20" ht="12" customHeight="1" x14ac:dyDescent="0.3">
      <c r="A956" s="329" t="s">
        <v>289</v>
      </c>
      <c r="B956" s="330">
        <v>6</v>
      </c>
      <c r="C956" s="298">
        <v>46089</v>
      </c>
      <c r="D956" s="299" t="s">
        <v>306</v>
      </c>
      <c r="E956" s="331">
        <v>9.3800000000000008</v>
      </c>
      <c r="F956" s="331"/>
      <c r="G956" s="333">
        <f t="shared" si="19"/>
        <v>4333.0199999999877</v>
      </c>
      <c r="H956" s="334"/>
      <c r="I956" s="335"/>
      <c r="J956" s="336"/>
      <c r="K956" s="301"/>
      <c r="L956" s="336"/>
      <c r="M956" s="301"/>
      <c r="N956" s="336"/>
      <c r="O956" s="301"/>
      <c r="P956" s="336"/>
      <c r="Q956" s="301"/>
      <c r="R956" s="336"/>
      <c r="S956" s="301"/>
      <c r="T956" s="336"/>
    </row>
    <row r="957" spans="1:20" ht="12" customHeight="1" x14ac:dyDescent="0.3">
      <c r="A957" s="329" t="s">
        <v>289</v>
      </c>
      <c r="B957" s="330">
        <v>3</v>
      </c>
      <c r="C957" s="298">
        <v>46089</v>
      </c>
      <c r="D957" s="299" t="s">
        <v>419</v>
      </c>
      <c r="E957" s="331">
        <v>3.85</v>
      </c>
      <c r="F957" s="331"/>
      <c r="G957" s="333">
        <f t="shared" si="19"/>
        <v>4342.3999999999878</v>
      </c>
      <c r="H957" s="334"/>
      <c r="I957" s="335"/>
      <c r="J957" s="336"/>
      <c r="K957" s="301"/>
      <c r="L957" s="336"/>
      <c r="M957" s="301"/>
      <c r="N957" s="336"/>
      <c r="O957" s="301"/>
      <c r="P957" s="336"/>
      <c r="Q957" s="301"/>
      <c r="R957" s="336"/>
      <c r="S957" s="301"/>
      <c r="T957" s="336"/>
    </row>
    <row r="958" spans="1:20" ht="12" customHeight="1" x14ac:dyDescent="0.3">
      <c r="A958" s="329" t="s">
        <v>289</v>
      </c>
      <c r="B958" s="330">
        <v>2</v>
      </c>
      <c r="C958" s="298">
        <v>46089</v>
      </c>
      <c r="D958" s="299" t="s">
        <v>404</v>
      </c>
      <c r="E958" s="331">
        <v>88.54</v>
      </c>
      <c r="F958" s="331"/>
      <c r="G958" s="333">
        <f t="shared" si="19"/>
        <v>4346.2499999999882</v>
      </c>
      <c r="H958" s="334"/>
      <c r="I958" s="335"/>
      <c r="J958" s="336"/>
      <c r="K958" s="301"/>
      <c r="L958" s="336"/>
      <c r="M958" s="301"/>
      <c r="N958" s="336"/>
      <c r="O958" s="301"/>
      <c r="P958" s="336"/>
      <c r="Q958" s="301"/>
      <c r="R958" s="336"/>
      <c r="S958" s="301"/>
      <c r="T958" s="336"/>
    </row>
    <row r="959" spans="1:20" ht="12" customHeight="1" x14ac:dyDescent="0.3">
      <c r="A959" s="329" t="s">
        <v>289</v>
      </c>
      <c r="B959" s="330">
        <v>2</v>
      </c>
      <c r="C959" s="298">
        <v>46089</v>
      </c>
      <c r="D959" s="299" t="s">
        <v>358</v>
      </c>
      <c r="E959" s="331">
        <v>8.3800000000000008</v>
      </c>
      <c r="F959" s="331"/>
      <c r="G959" s="333">
        <f t="shared" si="19"/>
        <v>4434.7899999999881</v>
      </c>
      <c r="H959" s="334"/>
      <c r="I959" s="335"/>
      <c r="J959" s="336"/>
      <c r="K959" s="301"/>
      <c r="L959" s="336"/>
      <c r="M959" s="301"/>
      <c r="N959" s="336"/>
      <c r="O959" s="301"/>
      <c r="P959" s="336"/>
      <c r="Q959" s="301"/>
      <c r="R959" s="336"/>
      <c r="S959" s="301"/>
      <c r="T959" s="336"/>
    </row>
    <row r="960" spans="1:20" ht="12" customHeight="1" x14ac:dyDescent="0.3">
      <c r="A960" s="329" t="s">
        <v>289</v>
      </c>
      <c r="B960" s="330">
        <v>2</v>
      </c>
      <c r="C960" s="298">
        <v>46089</v>
      </c>
      <c r="D960" s="299" t="s">
        <v>301</v>
      </c>
      <c r="E960" s="331">
        <v>39.549999999999997</v>
      </c>
      <c r="F960" s="331"/>
      <c r="G960" s="333">
        <f t="shared" si="19"/>
        <v>4443.1699999999882</v>
      </c>
      <c r="H960" s="334"/>
      <c r="I960" s="335"/>
      <c r="J960" s="336"/>
      <c r="K960" s="301"/>
      <c r="L960" s="336"/>
      <c r="M960" s="301"/>
      <c r="N960" s="336"/>
      <c r="O960" s="301"/>
      <c r="P960" s="336"/>
      <c r="Q960" s="301"/>
      <c r="R960" s="336"/>
      <c r="S960" s="301"/>
      <c r="T960" s="336"/>
    </row>
    <row r="961" spans="1:20" ht="12" customHeight="1" x14ac:dyDescent="0.3">
      <c r="A961" s="329" t="s">
        <v>289</v>
      </c>
      <c r="B961" s="330">
        <v>4</v>
      </c>
      <c r="C961" s="298">
        <v>46089</v>
      </c>
      <c r="D961" s="299" t="s">
        <v>420</v>
      </c>
      <c r="E961" s="331">
        <v>31.68</v>
      </c>
      <c r="F961" s="331"/>
      <c r="G961" s="333">
        <f t="shared" si="19"/>
        <v>4482.7199999999884</v>
      </c>
      <c r="H961" s="334"/>
      <c r="I961" s="335"/>
      <c r="J961" s="336"/>
      <c r="K961" s="301"/>
      <c r="L961" s="336"/>
      <c r="M961" s="301"/>
      <c r="N961" s="336"/>
      <c r="O961" s="301"/>
      <c r="P961" s="336"/>
      <c r="Q961" s="301"/>
      <c r="R961" s="336"/>
      <c r="S961" s="301"/>
      <c r="T961" s="336"/>
    </row>
    <row r="962" spans="1:20" ht="12" customHeight="1" x14ac:dyDescent="0.3">
      <c r="A962" s="329" t="s">
        <v>289</v>
      </c>
      <c r="B962" s="330">
        <v>8</v>
      </c>
      <c r="C962" s="298">
        <v>46088</v>
      </c>
      <c r="D962" s="299" t="s">
        <v>308</v>
      </c>
      <c r="E962" s="331">
        <v>24.65</v>
      </c>
      <c r="F962" s="331"/>
      <c r="G962" s="333">
        <f t="shared" si="19"/>
        <v>4514.3999999999887</v>
      </c>
      <c r="H962" s="334"/>
      <c r="I962" s="335"/>
      <c r="J962" s="336"/>
      <c r="K962" s="301"/>
      <c r="L962" s="336"/>
      <c r="M962" s="301"/>
      <c r="N962" s="336"/>
      <c r="O962" s="301"/>
      <c r="P962" s="336"/>
      <c r="Q962" s="301"/>
      <c r="R962" s="336"/>
      <c r="S962" s="301"/>
      <c r="T962" s="336"/>
    </row>
    <row r="963" spans="1:20" ht="12" customHeight="1" x14ac:dyDescent="0.3">
      <c r="A963" s="329" t="s">
        <v>289</v>
      </c>
      <c r="B963" s="330">
        <v>2</v>
      </c>
      <c r="C963" s="298">
        <v>46088</v>
      </c>
      <c r="D963" s="299" t="s">
        <v>346</v>
      </c>
      <c r="E963" s="331">
        <v>11.04</v>
      </c>
      <c r="F963" s="331"/>
      <c r="G963" s="333">
        <f t="shared" si="19"/>
        <v>4539.0499999999884</v>
      </c>
      <c r="H963" s="334"/>
      <c r="I963" s="335"/>
      <c r="J963" s="336"/>
      <c r="K963" s="301"/>
      <c r="L963" s="336"/>
      <c r="M963" s="301"/>
      <c r="N963" s="336"/>
      <c r="O963" s="301"/>
      <c r="P963" s="336"/>
      <c r="Q963" s="301"/>
      <c r="R963" s="336"/>
      <c r="S963" s="301"/>
      <c r="T963" s="336"/>
    </row>
    <row r="964" spans="1:20" ht="12" customHeight="1" x14ac:dyDescent="0.3">
      <c r="A964" s="329" t="s">
        <v>289</v>
      </c>
      <c r="B964" s="330">
        <v>8</v>
      </c>
      <c r="C964" s="298">
        <v>46088</v>
      </c>
      <c r="D964" s="299" t="s">
        <v>319</v>
      </c>
      <c r="E964" s="331">
        <v>11.5</v>
      </c>
      <c r="F964" s="331"/>
      <c r="G964" s="333">
        <f t="shared" si="19"/>
        <v>4550.0899999999883</v>
      </c>
      <c r="H964" s="334"/>
      <c r="I964" s="335"/>
      <c r="J964" s="336"/>
      <c r="K964" s="301"/>
      <c r="L964" s="336"/>
      <c r="M964" s="301"/>
      <c r="N964" s="336"/>
      <c r="O964" s="301"/>
      <c r="P964" s="336"/>
      <c r="Q964" s="301"/>
      <c r="R964" s="336"/>
      <c r="S964" s="301"/>
      <c r="T964" s="336"/>
    </row>
    <row r="965" spans="1:20" ht="12" customHeight="1" x14ac:dyDescent="0.3">
      <c r="A965" s="329" t="s">
        <v>289</v>
      </c>
      <c r="B965" s="330">
        <v>8</v>
      </c>
      <c r="C965" s="298">
        <v>46088</v>
      </c>
      <c r="D965" s="299" t="s">
        <v>296</v>
      </c>
      <c r="E965" s="331">
        <v>12.44</v>
      </c>
      <c r="F965" s="331"/>
      <c r="G965" s="333">
        <f t="shared" si="19"/>
        <v>4561.5899999999883</v>
      </c>
      <c r="H965" s="334"/>
      <c r="I965" s="335"/>
      <c r="J965" s="336"/>
      <c r="K965" s="301"/>
      <c r="L965" s="336"/>
      <c r="M965" s="301"/>
      <c r="N965" s="336"/>
      <c r="O965" s="301"/>
      <c r="P965" s="336"/>
      <c r="Q965" s="301"/>
      <c r="R965" s="336"/>
      <c r="S965" s="301"/>
      <c r="T965" s="336"/>
    </row>
    <row r="966" spans="1:20" ht="12" customHeight="1" x14ac:dyDescent="0.3">
      <c r="A966" s="329" t="s">
        <v>289</v>
      </c>
      <c r="B966" s="330">
        <v>4</v>
      </c>
      <c r="C966" s="298">
        <v>46088</v>
      </c>
      <c r="D966" s="299" t="s">
        <v>296</v>
      </c>
      <c r="E966" s="331">
        <v>23.62</v>
      </c>
      <c r="F966" s="331"/>
      <c r="G966" s="333">
        <f t="shared" si="19"/>
        <v>4574.0299999999879</v>
      </c>
      <c r="H966" s="334"/>
      <c r="I966" s="335"/>
      <c r="J966" s="336"/>
      <c r="K966" s="301"/>
      <c r="L966" s="336"/>
      <c r="M966" s="301"/>
      <c r="N966" s="336"/>
      <c r="O966" s="301"/>
      <c r="P966" s="336"/>
      <c r="Q966" s="301"/>
      <c r="R966" s="336"/>
      <c r="S966" s="301"/>
      <c r="T966" s="336"/>
    </row>
    <row r="967" spans="1:20" ht="12" customHeight="1" x14ac:dyDescent="0.3">
      <c r="A967" s="329" t="s">
        <v>289</v>
      </c>
      <c r="B967" s="330">
        <v>2</v>
      </c>
      <c r="C967" s="298">
        <v>46088</v>
      </c>
      <c r="D967" s="299" t="s">
        <v>301</v>
      </c>
      <c r="E967" s="331">
        <v>36.049999999999997</v>
      </c>
      <c r="F967" s="331"/>
      <c r="G967" s="333">
        <f t="shared" si="19"/>
        <v>4597.6499999999878</v>
      </c>
      <c r="H967" s="334"/>
      <c r="I967" s="335"/>
      <c r="J967" s="336"/>
      <c r="K967" s="301"/>
      <c r="L967" s="336"/>
      <c r="M967" s="301"/>
      <c r="N967" s="336"/>
      <c r="O967" s="301"/>
      <c r="P967" s="336"/>
      <c r="Q967" s="301"/>
      <c r="R967" s="336"/>
      <c r="S967" s="301"/>
      <c r="T967" s="336"/>
    </row>
    <row r="968" spans="1:20" ht="12" customHeight="1" x14ac:dyDescent="0.3">
      <c r="A968" s="329" t="s">
        <v>294</v>
      </c>
      <c r="B968" s="330">
        <v>14</v>
      </c>
      <c r="C968" s="298">
        <v>46087</v>
      </c>
      <c r="D968" s="299" t="s">
        <v>366</v>
      </c>
      <c r="E968" s="331">
        <v>66.67</v>
      </c>
      <c r="F968" s="331"/>
      <c r="G968" s="333">
        <f t="shared" si="19"/>
        <v>4633.699999999988</v>
      </c>
      <c r="H968" s="334"/>
      <c r="I968" s="335"/>
      <c r="J968" s="336"/>
      <c r="K968" s="301"/>
      <c r="L968" s="336"/>
      <c r="M968" s="301"/>
      <c r="N968" s="336"/>
      <c r="O968" s="301"/>
      <c r="P968" s="336"/>
      <c r="Q968" s="301"/>
      <c r="R968" s="336"/>
      <c r="S968" s="301"/>
      <c r="T968" s="336"/>
    </row>
    <row r="969" spans="1:20" ht="12" customHeight="1" x14ac:dyDescent="0.3">
      <c r="A969" s="329" t="s">
        <v>289</v>
      </c>
      <c r="B969" s="330">
        <v>2</v>
      </c>
      <c r="C969" s="298">
        <v>46087</v>
      </c>
      <c r="D969" s="299" t="s">
        <v>296</v>
      </c>
      <c r="E969" s="331">
        <v>17.850000000000001</v>
      </c>
      <c r="F969" s="331"/>
      <c r="G969" s="333">
        <f t="shared" si="19"/>
        <v>4700.3699999999881</v>
      </c>
      <c r="H969" s="334"/>
      <c r="I969" s="335"/>
      <c r="J969" s="336"/>
      <c r="K969" s="301"/>
      <c r="L969" s="336"/>
      <c r="M969" s="301"/>
      <c r="N969" s="336"/>
      <c r="O969" s="301"/>
      <c r="P969" s="336"/>
      <c r="Q969" s="301"/>
      <c r="R969" s="336"/>
      <c r="S969" s="301"/>
      <c r="T969" s="336"/>
    </row>
    <row r="970" spans="1:20" ht="12" customHeight="1" x14ac:dyDescent="0.3">
      <c r="A970" s="329" t="s">
        <v>289</v>
      </c>
      <c r="B970" s="330">
        <v>1</v>
      </c>
      <c r="C970" s="298">
        <v>46087</v>
      </c>
      <c r="D970" s="299" t="s">
        <v>304</v>
      </c>
      <c r="E970" s="331">
        <v>112.13</v>
      </c>
      <c r="F970" s="331"/>
      <c r="G970" s="333">
        <f t="shared" si="19"/>
        <v>4718.2199999999884</v>
      </c>
      <c r="H970" s="334"/>
      <c r="I970" s="335"/>
      <c r="J970" s="336"/>
      <c r="K970" s="301"/>
      <c r="L970" s="336"/>
      <c r="M970" s="301"/>
      <c r="N970" s="336"/>
      <c r="O970" s="301"/>
      <c r="P970" s="336"/>
      <c r="Q970" s="301"/>
      <c r="R970" s="336"/>
      <c r="S970" s="301"/>
      <c r="T970" s="336"/>
    </row>
    <row r="971" spans="1:20" ht="12" customHeight="1" x14ac:dyDescent="0.3">
      <c r="A971" s="329" t="s">
        <v>289</v>
      </c>
      <c r="B971" s="330">
        <v>3</v>
      </c>
      <c r="C971" s="298">
        <v>46087</v>
      </c>
      <c r="D971" s="299" t="s">
        <v>324</v>
      </c>
      <c r="E971" s="331">
        <v>7.31</v>
      </c>
      <c r="F971" s="331"/>
      <c r="G971" s="333">
        <f t="shared" si="19"/>
        <v>4830.3499999999885</v>
      </c>
      <c r="H971" s="334"/>
      <c r="I971" s="335"/>
      <c r="J971" s="336"/>
      <c r="K971" s="301"/>
      <c r="L971" s="336"/>
      <c r="M971" s="301"/>
      <c r="N971" s="336"/>
      <c r="O971" s="301"/>
      <c r="P971" s="336"/>
      <c r="Q971" s="301"/>
      <c r="R971" s="336"/>
      <c r="S971" s="301"/>
      <c r="T971" s="336"/>
    </row>
    <row r="972" spans="1:20" ht="12" customHeight="1" x14ac:dyDescent="0.3">
      <c r="A972" s="329" t="s">
        <v>291</v>
      </c>
      <c r="B972" s="330">
        <v>39</v>
      </c>
      <c r="C972" s="298">
        <v>46086</v>
      </c>
      <c r="D972" s="299" t="s">
        <v>292</v>
      </c>
      <c r="E972" s="331"/>
      <c r="F972" s="331">
        <v>2763.78</v>
      </c>
      <c r="G972" s="333">
        <f t="shared" si="19"/>
        <v>4837.6599999999889</v>
      </c>
      <c r="H972" s="334"/>
      <c r="I972" s="335"/>
      <c r="J972" s="336"/>
      <c r="K972" s="301"/>
      <c r="L972" s="336"/>
      <c r="M972" s="301"/>
      <c r="N972" s="336"/>
      <c r="O972" s="301"/>
      <c r="P972" s="336"/>
      <c r="Q972" s="301"/>
      <c r="R972" s="336"/>
      <c r="S972" s="301"/>
      <c r="T972" s="336"/>
    </row>
    <row r="973" spans="1:20" ht="12" customHeight="1" x14ac:dyDescent="0.3">
      <c r="A973" s="329" t="s">
        <v>289</v>
      </c>
      <c r="B973" s="330">
        <v>4</v>
      </c>
      <c r="C973" s="298">
        <v>46086</v>
      </c>
      <c r="D973" s="299" t="s">
        <v>295</v>
      </c>
      <c r="E973" s="331">
        <v>31.52</v>
      </c>
      <c r="F973" s="331"/>
      <c r="G973" s="333">
        <f t="shared" si="19"/>
        <v>2073.8799999999892</v>
      </c>
      <c r="H973" s="334"/>
      <c r="I973" s="335"/>
      <c r="J973" s="336"/>
      <c r="K973" s="301"/>
      <c r="L973" s="336"/>
      <c r="M973" s="301"/>
      <c r="N973" s="336"/>
      <c r="O973" s="301"/>
      <c r="P973" s="336"/>
      <c r="Q973" s="301"/>
      <c r="R973" s="336"/>
      <c r="S973" s="301"/>
      <c r="T973" s="336"/>
    </row>
    <row r="974" spans="1:20" ht="12" customHeight="1" x14ac:dyDescent="0.3">
      <c r="A974" s="329" t="s">
        <v>289</v>
      </c>
      <c r="B974" s="330">
        <v>2</v>
      </c>
      <c r="C974" s="298">
        <v>46086</v>
      </c>
      <c r="D974" s="299" t="s">
        <v>358</v>
      </c>
      <c r="E974" s="331">
        <v>14.86</v>
      </c>
      <c r="F974" s="331"/>
      <c r="G974" s="333">
        <f t="shared" si="19"/>
        <v>2105.3999999999892</v>
      </c>
      <c r="H974" s="334"/>
      <c r="I974" s="335"/>
      <c r="J974" s="336"/>
      <c r="K974" s="301"/>
      <c r="L974" s="336"/>
      <c r="M974" s="301"/>
      <c r="N974" s="336"/>
      <c r="O974" s="301"/>
      <c r="P974" s="336"/>
      <c r="Q974" s="301"/>
      <c r="R974" s="336"/>
      <c r="S974" s="301"/>
      <c r="T974" s="336"/>
    </row>
    <row r="975" spans="1:20" ht="12" customHeight="1" x14ac:dyDescent="0.3">
      <c r="A975" s="329" t="s">
        <v>289</v>
      </c>
      <c r="B975" s="330">
        <v>8</v>
      </c>
      <c r="C975" s="298">
        <v>46086</v>
      </c>
      <c r="D975" s="299" t="s">
        <v>409</v>
      </c>
      <c r="E975" s="331">
        <v>44.99</v>
      </c>
      <c r="F975" s="331"/>
      <c r="G975" s="333">
        <f t="shared" si="19"/>
        <v>2120.2599999999893</v>
      </c>
      <c r="H975" s="334"/>
      <c r="I975" s="335"/>
      <c r="J975" s="336"/>
      <c r="K975" s="301"/>
      <c r="L975" s="336"/>
      <c r="M975" s="301"/>
      <c r="N975" s="336"/>
      <c r="O975" s="301"/>
      <c r="P975" s="336"/>
      <c r="Q975" s="301"/>
      <c r="R975" s="336"/>
      <c r="S975" s="301"/>
      <c r="T975" s="336"/>
    </row>
    <row r="976" spans="1:20" ht="12" customHeight="1" x14ac:dyDescent="0.3">
      <c r="A976" s="329" t="s">
        <v>289</v>
      </c>
      <c r="B976" s="330">
        <v>2</v>
      </c>
      <c r="C976" s="298">
        <v>46085</v>
      </c>
      <c r="D976" s="299" t="s">
        <v>421</v>
      </c>
      <c r="E976" s="331">
        <v>15</v>
      </c>
      <c r="F976" s="331"/>
      <c r="G976" s="333">
        <f t="shared" si="19"/>
        <v>2165.2499999999891</v>
      </c>
      <c r="H976" s="334"/>
      <c r="I976" s="335"/>
      <c r="J976" s="336"/>
      <c r="K976" s="301"/>
      <c r="L976" s="336"/>
      <c r="M976" s="301"/>
      <c r="N976" s="336"/>
      <c r="O976" s="301"/>
      <c r="P976" s="336"/>
      <c r="Q976" s="301"/>
      <c r="R976" s="336"/>
      <c r="S976" s="301"/>
      <c r="T976" s="336"/>
    </row>
    <row r="977" spans="1:20" ht="12" customHeight="1" x14ac:dyDescent="0.3">
      <c r="A977" s="329" t="s">
        <v>289</v>
      </c>
      <c r="B977" s="330">
        <v>2</v>
      </c>
      <c r="C977" s="298">
        <v>46085</v>
      </c>
      <c r="D977" s="299" t="s">
        <v>296</v>
      </c>
      <c r="E977" s="331">
        <v>10.84</v>
      </c>
      <c r="F977" s="331"/>
      <c r="G977" s="333">
        <f t="shared" si="19"/>
        <v>2180.2499999999891</v>
      </c>
      <c r="H977" s="334"/>
      <c r="I977" s="335"/>
      <c r="J977" s="336"/>
      <c r="K977" s="301"/>
      <c r="L977" s="336"/>
      <c r="M977" s="301"/>
      <c r="N977" s="336"/>
      <c r="O977" s="301"/>
      <c r="P977" s="336"/>
      <c r="Q977" s="301"/>
      <c r="R977" s="336"/>
      <c r="S977" s="301"/>
      <c r="T977" s="336"/>
    </row>
    <row r="978" spans="1:20" ht="12" customHeight="1" x14ac:dyDescent="0.3">
      <c r="A978" s="329" t="s">
        <v>294</v>
      </c>
      <c r="B978" s="330">
        <v>14</v>
      </c>
      <c r="C978" s="298">
        <v>46085</v>
      </c>
      <c r="D978" s="299" t="s">
        <v>367</v>
      </c>
      <c r="E978" s="331">
        <v>68.739999999999995</v>
      </c>
      <c r="F978" s="331"/>
      <c r="G978" s="333">
        <f t="shared" si="19"/>
        <v>2191.0899999999892</v>
      </c>
      <c r="H978" s="334"/>
      <c r="I978" s="335"/>
      <c r="J978" s="336"/>
      <c r="K978" s="301"/>
      <c r="L978" s="336"/>
      <c r="M978" s="301"/>
      <c r="N978" s="336"/>
      <c r="O978" s="301"/>
      <c r="P978" s="336"/>
      <c r="Q978" s="301"/>
      <c r="R978" s="336"/>
      <c r="S978" s="301"/>
      <c r="T978" s="336"/>
    </row>
    <row r="979" spans="1:20" ht="12" customHeight="1" x14ac:dyDescent="0.3">
      <c r="A979" s="329" t="s">
        <v>289</v>
      </c>
      <c r="B979" s="330">
        <v>4</v>
      </c>
      <c r="C979" s="298">
        <v>46085</v>
      </c>
      <c r="D979" s="299" t="s">
        <v>310</v>
      </c>
      <c r="E979" s="331">
        <v>30.67</v>
      </c>
      <c r="F979" s="331"/>
      <c r="G979" s="333">
        <f t="shared" si="19"/>
        <v>2259.829999999989</v>
      </c>
      <c r="H979" s="334"/>
      <c r="I979" s="335"/>
      <c r="J979" s="336"/>
      <c r="K979" s="301"/>
      <c r="L979" s="336"/>
      <c r="M979" s="301"/>
      <c r="N979" s="336"/>
      <c r="O979" s="301"/>
      <c r="P979" s="336"/>
      <c r="Q979" s="301"/>
      <c r="R979" s="336"/>
      <c r="S979" s="301"/>
      <c r="T979" s="336"/>
    </row>
    <row r="980" spans="1:20" ht="12" customHeight="1" x14ac:dyDescent="0.3">
      <c r="A980" s="329" t="s">
        <v>294</v>
      </c>
      <c r="B980" s="330">
        <v>17</v>
      </c>
      <c r="C980" s="298">
        <v>46085</v>
      </c>
      <c r="D980" s="299" t="s">
        <v>370</v>
      </c>
      <c r="E980" s="331">
        <v>99</v>
      </c>
      <c r="F980" s="331"/>
      <c r="G980" s="333">
        <f t="shared" si="19"/>
        <v>2290.4999999999891</v>
      </c>
      <c r="H980" s="334"/>
      <c r="I980" s="335"/>
      <c r="J980" s="336"/>
      <c r="K980" s="301"/>
      <c r="L980" s="336"/>
      <c r="M980" s="301"/>
      <c r="N980" s="336"/>
      <c r="O980" s="301"/>
      <c r="P980" s="336"/>
      <c r="Q980" s="301"/>
      <c r="R980" s="336"/>
      <c r="S980" s="301"/>
      <c r="T980" s="336"/>
    </row>
    <row r="981" spans="1:20" ht="12" customHeight="1" x14ac:dyDescent="0.3">
      <c r="A981" s="329" t="s">
        <v>294</v>
      </c>
      <c r="B981" s="330">
        <v>21</v>
      </c>
      <c r="C981" s="298">
        <v>46084</v>
      </c>
      <c r="D981" s="299" t="s">
        <v>194</v>
      </c>
      <c r="E981" s="331">
        <v>40.72</v>
      </c>
      <c r="F981" s="331"/>
      <c r="G981" s="333">
        <f t="shared" si="19"/>
        <v>2389.4999999999891</v>
      </c>
      <c r="H981" s="334"/>
      <c r="I981" s="335"/>
      <c r="J981" s="336"/>
      <c r="K981" s="301"/>
      <c r="L981" s="336"/>
      <c r="M981" s="301"/>
      <c r="N981" s="336"/>
      <c r="O981" s="301"/>
      <c r="P981" s="336"/>
      <c r="Q981" s="301"/>
      <c r="R981" s="336"/>
      <c r="S981" s="301"/>
      <c r="T981" s="336"/>
    </row>
    <row r="982" spans="1:20" ht="12" customHeight="1" x14ac:dyDescent="0.3">
      <c r="A982" s="329" t="s">
        <v>284</v>
      </c>
      <c r="B982" s="330">
        <v>36</v>
      </c>
      <c r="C982" s="298">
        <v>46084</v>
      </c>
      <c r="D982" s="299" t="s">
        <v>374</v>
      </c>
      <c r="E982" s="331">
        <v>50</v>
      </c>
      <c r="F982" s="331"/>
      <c r="G982" s="333">
        <f t="shared" si="19"/>
        <v>2430.2199999999889</v>
      </c>
      <c r="H982" s="334"/>
      <c r="I982" s="335"/>
      <c r="J982" s="336"/>
      <c r="K982" s="301"/>
      <c r="L982" s="336"/>
      <c r="M982" s="301"/>
      <c r="N982" s="336"/>
      <c r="O982" s="301"/>
      <c r="P982" s="336"/>
      <c r="Q982" s="301"/>
      <c r="R982" s="336"/>
      <c r="S982" s="301"/>
      <c r="T982" s="336"/>
    </row>
    <row r="983" spans="1:20" ht="12" customHeight="1" x14ac:dyDescent="0.3">
      <c r="A983" s="329" t="s">
        <v>289</v>
      </c>
      <c r="B983" s="330">
        <v>2</v>
      </c>
      <c r="C983" s="298">
        <v>46084</v>
      </c>
      <c r="D983" s="299" t="s">
        <v>296</v>
      </c>
      <c r="E983" s="331">
        <v>14.67</v>
      </c>
      <c r="F983" s="331"/>
      <c r="G983" s="333">
        <f t="shared" si="19"/>
        <v>2480.2199999999889</v>
      </c>
      <c r="H983" s="334"/>
      <c r="I983" s="335"/>
      <c r="J983" s="336"/>
      <c r="K983" s="301"/>
      <c r="L983" s="336"/>
      <c r="M983" s="301"/>
      <c r="N983" s="336"/>
      <c r="O983" s="301"/>
      <c r="P983" s="336"/>
      <c r="Q983" s="301"/>
      <c r="R983" s="336"/>
      <c r="S983" s="301"/>
      <c r="T983" s="336"/>
    </row>
    <row r="984" spans="1:20" ht="12" customHeight="1" x14ac:dyDescent="0.3">
      <c r="A984" s="329" t="s">
        <v>289</v>
      </c>
      <c r="B984" s="330">
        <v>4</v>
      </c>
      <c r="C984" s="298">
        <v>46084</v>
      </c>
      <c r="D984" s="299" t="s">
        <v>296</v>
      </c>
      <c r="E984" s="331">
        <v>27.42</v>
      </c>
      <c r="F984" s="331"/>
      <c r="G984" s="333">
        <f t="shared" si="19"/>
        <v>2494.889999999989</v>
      </c>
      <c r="H984" s="334"/>
      <c r="I984" s="335"/>
      <c r="J984" s="336"/>
      <c r="K984" s="301"/>
      <c r="L984" s="336"/>
      <c r="M984" s="301"/>
      <c r="N984" s="336"/>
      <c r="O984" s="301"/>
      <c r="P984" s="336"/>
      <c r="Q984" s="301"/>
      <c r="R984" s="336"/>
      <c r="S984" s="301"/>
      <c r="T984" s="336"/>
    </row>
    <row r="985" spans="1:20" ht="12" customHeight="1" x14ac:dyDescent="0.3">
      <c r="A985" s="329" t="s">
        <v>289</v>
      </c>
      <c r="B985" s="330">
        <v>6</v>
      </c>
      <c r="C985" s="298">
        <v>46084</v>
      </c>
      <c r="D985" s="299" t="s">
        <v>422</v>
      </c>
      <c r="E985" s="331">
        <v>106.27</v>
      </c>
      <c r="F985" s="331"/>
      <c r="G985" s="333">
        <f t="shared" si="19"/>
        <v>2522.309999999989</v>
      </c>
      <c r="H985" s="334"/>
      <c r="I985" s="335"/>
      <c r="J985" s="336"/>
      <c r="K985" s="301"/>
      <c r="L985" s="336"/>
      <c r="M985" s="301"/>
      <c r="N985" s="336"/>
      <c r="O985" s="301"/>
      <c r="P985" s="336"/>
      <c r="Q985" s="301"/>
      <c r="R985" s="336"/>
      <c r="S985" s="301"/>
      <c r="T985" s="336"/>
    </row>
    <row r="986" spans="1:20" ht="12" customHeight="1" x14ac:dyDescent="0.3">
      <c r="A986" s="329" t="s">
        <v>289</v>
      </c>
      <c r="B986" s="330">
        <v>6</v>
      </c>
      <c r="C986" s="298">
        <v>46084</v>
      </c>
      <c r="D986" s="299" t="s">
        <v>422</v>
      </c>
      <c r="E986" s="331">
        <v>-107</v>
      </c>
      <c r="F986" s="331"/>
      <c r="G986" s="333">
        <f t="shared" si="19"/>
        <v>2628.579999999989</v>
      </c>
      <c r="H986" s="334" t="s">
        <v>298</v>
      </c>
      <c r="I986" s="335"/>
      <c r="J986" s="336"/>
      <c r="K986" s="301"/>
      <c r="L986" s="336"/>
      <c r="M986" s="301"/>
      <c r="N986" s="336"/>
      <c r="O986" s="301"/>
      <c r="P986" s="336"/>
      <c r="Q986" s="301"/>
      <c r="R986" s="336"/>
      <c r="S986" s="301"/>
      <c r="T986" s="336"/>
    </row>
    <row r="987" spans="1:20" ht="12" customHeight="1" x14ac:dyDescent="0.3">
      <c r="A987" s="329" t="s">
        <v>289</v>
      </c>
      <c r="B987" s="330">
        <v>2</v>
      </c>
      <c r="C987" s="298">
        <v>46083</v>
      </c>
      <c r="D987" s="299" t="s">
        <v>301</v>
      </c>
      <c r="E987" s="331">
        <v>20</v>
      </c>
      <c r="F987" s="331"/>
      <c r="G987" s="333">
        <f t="shared" si="19"/>
        <v>2521.579999999989</v>
      </c>
      <c r="H987" s="334"/>
      <c r="I987" s="335"/>
      <c r="J987" s="336"/>
      <c r="K987" s="301"/>
      <c r="L987" s="336"/>
      <c r="M987" s="301"/>
      <c r="N987" s="336"/>
      <c r="O987" s="301"/>
      <c r="P987" s="336"/>
      <c r="Q987" s="301"/>
      <c r="R987" s="336"/>
      <c r="S987" s="301"/>
      <c r="T987" s="336"/>
    </row>
    <row r="988" spans="1:20" ht="12" customHeight="1" x14ac:dyDescent="0.3">
      <c r="A988" s="329" t="s">
        <v>287</v>
      </c>
      <c r="B988" s="330" t="s">
        <v>287</v>
      </c>
      <c r="C988" s="298">
        <v>46083</v>
      </c>
      <c r="D988" s="299" t="s">
        <v>288</v>
      </c>
      <c r="E988" s="331">
        <v>185.64</v>
      </c>
      <c r="F988" s="331">
        <v>185.64</v>
      </c>
      <c r="G988" s="333">
        <f t="shared" si="19"/>
        <v>2541.579999999989</v>
      </c>
      <c r="H988" s="334"/>
      <c r="I988" s="335"/>
      <c r="J988" s="336"/>
      <c r="K988" s="301"/>
      <c r="L988" s="336"/>
      <c r="M988" s="301"/>
      <c r="N988" s="336"/>
      <c r="O988" s="301"/>
      <c r="P988" s="336"/>
      <c r="Q988" s="301"/>
      <c r="R988" s="336"/>
      <c r="S988" s="301"/>
      <c r="T988" s="336"/>
    </row>
    <row r="989" spans="1:20" ht="12" customHeight="1" x14ac:dyDescent="0.3">
      <c r="A989" s="329" t="s">
        <v>289</v>
      </c>
      <c r="B989" s="330">
        <v>2</v>
      </c>
      <c r="C989" s="298">
        <v>46083</v>
      </c>
      <c r="D989" s="299" t="s">
        <v>424</v>
      </c>
      <c r="E989" s="331">
        <v>70.12</v>
      </c>
      <c r="F989" s="331"/>
      <c r="G989" s="333">
        <f t="shared" si="19"/>
        <v>2541.579999999989</v>
      </c>
      <c r="H989" s="334"/>
      <c r="I989" s="335"/>
      <c r="J989" s="336"/>
      <c r="K989" s="301"/>
      <c r="L989" s="336"/>
      <c r="M989" s="301"/>
      <c r="N989" s="336"/>
      <c r="O989" s="301"/>
      <c r="P989" s="336"/>
      <c r="Q989" s="301"/>
      <c r="R989" s="336"/>
      <c r="S989" s="301"/>
      <c r="T989" s="336"/>
    </row>
    <row r="990" spans="1:20" ht="12" customHeight="1" x14ac:dyDescent="0.3">
      <c r="A990" s="329" t="s">
        <v>294</v>
      </c>
      <c r="B990" s="330">
        <v>17</v>
      </c>
      <c r="C990" s="298">
        <v>46083</v>
      </c>
      <c r="D990" s="299" t="s">
        <v>188</v>
      </c>
      <c r="E990" s="331">
        <v>41.44</v>
      </c>
      <c r="F990" s="331"/>
      <c r="G990" s="333">
        <f t="shared" si="19"/>
        <v>2611.6999999999889</v>
      </c>
      <c r="H990" s="334"/>
      <c r="I990" s="335"/>
      <c r="J990" s="336"/>
      <c r="K990" s="301"/>
      <c r="L990" s="336"/>
      <c r="M990" s="301"/>
      <c r="N990" s="336"/>
      <c r="O990" s="301"/>
      <c r="P990" s="336"/>
      <c r="Q990" s="301"/>
      <c r="R990" s="336"/>
      <c r="S990" s="301"/>
      <c r="T990" s="336"/>
    </row>
    <row r="991" spans="1:20" ht="12" customHeight="1" x14ac:dyDescent="0.3">
      <c r="A991" s="329" t="s">
        <v>289</v>
      </c>
      <c r="B991" s="330">
        <v>8</v>
      </c>
      <c r="C991" s="298">
        <v>46083</v>
      </c>
      <c r="D991" s="299" t="s">
        <v>296</v>
      </c>
      <c r="E991" s="331">
        <v>8.7200000000000006</v>
      </c>
      <c r="F991" s="331"/>
      <c r="G991" s="333">
        <f t="shared" si="19"/>
        <v>2653.139999999989</v>
      </c>
      <c r="H991" s="334"/>
      <c r="I991" s="335"/>
      <c r="J991" s="336"/>
      <c r="K991" s="301"/>
      <c r="L991" s="336"/>
      <c r="M991" s="301"/>
      <c r="N991" s="336"/>
      <c r="O991" s="301"/>
      <c r="P991" s="336"/>
      <c r="Q991" s="301"/>
      <c r="R991" s="336"/>
      <c r="S991" s="301"/>
      <c r="T991" s="336"/>
    </row>
    <row r="992" spans="1:20" ht="12" customHeight="1" x14ac:dyDescent="0.3">
      <c r="A992" s="329" t="s">
        <v>294</v>
      </c>
      <c r="B992" s="330">
        <v>22</v>
      </c>
      <c r="C992" s="298">
        <v>46082</v>
      </c>
      <c r="D992" s="299" t="s">
        <v>375</v>
      </c>
      <c r="E992" s="331">
        <v>6.37</v>
      </c>
      <c r="F992" s="331"/>
      <c r="G992" s="333">
        <f t="shared" si="19"/>
        <v>2661.8599999999888</v>
      </c>
      <c r="H992" s="334"/>
      <c r="I992" s="335"/>
      <c r="J992" s="336"/>
      <c r="K992" s="301"/>
      <c r="L992" s="336"/>
      <c r="M992" s="301"/>
      <c r="N992" s="336"/>
      <c r="O992" s="301"/>
      <c r="P992" s="336"/>
      <c r="Q992" s="301"/>
      <c r="R992" s="336"/>
      <c r="S992" s="301"/>
      <c r="T992" s="336"/>
    </row>
    <row r="993" spans="1:20" ht="12" customHeight="1" x14ac:dyDescent="0.3">
      <c r="A993" s="329" t="s">
        <v>289</v>
      </c>
      <c r="B993" s="330">
        <v>2</v>
      </c>
      <c r="C993" s="298">
        <v>46082</v>
      </c>
      <c r="D993" s="299" t="s">
        <v>296</v>
      </c>
      <c r="E993" s="331">
        <v>9.8699999999999992</v>
      </c>
      <c r="F993" s="331"/>
      <c r="G993" s="333">
        <f t="shared" si="19"/>
        <v>2668.2299999999886</v>
      </c>
      <c r="H993" s="334"/>
      <c r="I993" s="335"/>
      <c r="J993" s="336"/>
      <c r="K993" s="301"/>
      <c r="L993" s="336"/>
      <c r="M993" s="301"/>
      <c r="N993" s="336"/>
      <c r="O993" s="301"/>
      <c r="P993" s="336"/>
      <c r="Q993" s="301"/>
      <c r="R993" s="336"/>
      <c r="S993" s="301"/>
      <c r="T993" s="336"/>
    </row>
    <row r="994" spans="1:20" ht="12" customHeight="1" x14ac:dyDescent="0.3">
      <c r="A994" s="329" t="s">
        <v>289</v>
      </c>
      <c r="B994" s="330">
        <v>1</v>
      </c>
      <c r="C994" s="298">
        <v>46082</v>
      </c>
      <c r="D994" s="299" t="s">
        <v>311</v>
      </c>
      <c r="E994" s="331">
        <v>119.55</v>
      </c>
      <c r="F994" s="331"/>
      <c r="G994" s="333">
        <f t="shared" si="19"/>
        <v>2678.0999999999885</v>
      </c>
      <c r="H994" s="334"/>
      <c r="I994" s="335"/>
      <c r="J994" s="336"/>
      <c r="K994" s="301"/>
      <c r="L994" s="336"/>
      <c r="M994" s="301"/>
      <c r="N994" s="336"/>
      <c r="O994" s="301"/>
      <c r="P994" s="336"/>
      <c r="Q994" s="301"/>
      <c r="R994" s="336"/>
      <c r="S994" s="301"/>
      <c r="T994" s="336"/>
    </row>
    <row r="995" spans="1:20" ht="12" customHeight="1" x14ac:dyDescent="0.3">
      <c r="A995" s="329" t="s">
        <v>289</v>
      </c>
      <c r="B995" s="330">
        <v>3</v>
      </c>
      <c r="C995" s="298">
        <v>46082</v>
      </c>
      <c r="D995" s="299" t="s">
        <v>348</v>
      </c>
      <c r="E995" s="331">
        <v>25</v>
      </c>
      <c r="F995" s="331"/>
      <c r="G995" s="333">
        <f t="shared" si="19"/>
        <v>2797.6499999999887</v>
      </c>
      <c r="H995" s="334"/>
      <c r="I995" s="335"/>
      <c r="J995" s="336"/>
      <c r="K995" s="301"/>
      <c r="L995" s="336"/>
      <c r="M995" s="301"/>
      <c r="N995" s="336"/>
      <c r="O995" s="301"/>
      <c r="P995" s="336"/>
      <c r="Q995" s="301"/>
      <c r="R995" s="336"/>
      <c r="S995" s="301"/>
      <c r="T995" s="336"/>
    </row>
    <row r="996" spans="1:20" ht="12" customHeight="1" x14ac:dyDescent="0.3">
      <c r="A996" s="329" t="s">
        <v>289</v>
      </c>
      <c r="B996" s="330">
        <v>1</v>
      </c>
      <c r="C996" s="298">
        <v>46082</v>
      </c>
      <c r="D996" s="299" t="s">
        <v>304</v>
      </c>
      <c r="E996" s="331">
        <v>119.17</v>
      </c>
      <c r="F996" s="331"/>
      <c r="G996" s="333">
        <f t="shared" si="19"/>
        <v>2822.6499999999887</v>
      </c>
      <c r="H996" s="334"/>
      <c r="I996" s="335"/>
      <c r="J996" s="336"/>
      <c r="K996" s="301"/>
      <c r="L996" s="336"/>
      <c r="M996" s="301"/>
      <c r="N996" s="336"/>
      <c r="O996" s="301"/>
      <c r="P996" s="336"/>
      <c r="Q996" s="301"/>
      <c r="R996" s="336"/>
      <c r="S996" s="301"/>
      <c r="T996" s="336"/>
    </row>
    <row r="997" spans="1:20" ht="12" customHeight="1" x14ac:dyDescent="0.3">
      <c r="A997" s="329" t="s">
        <v>284</v>
      </c>
      <c r="B997" s="330">
        <v>37</v>
      </c>
      <c r="C997" s="298">
        <v>46081</v>
      </c>
      <c r="D997" s="299" t="s">
        <v>425</v>
      </c>
      <c r="E997" s="331">
        <v>3764.91</v>
      </c>
      <c r="F997" s="331"/>
      <c r="G997" s="333">
        <f t="shared" si="19"/>
        <v>2941.8199999999888</v>
      </c>
      <c r="H997" s="334"/>
      <c r="I997" s="335"/>
      <c r="J997" s="336"/>
      <c r="K997" s="301"/>
      <c r="L997" s="336"/>
      <c r="M997" s="301"/>
      <c r="N997" s="336"/>
      <c r="O997" s="301"/>
      <c r="P997" s="336"/>
      <c r="Q997" s="301"/>
      <c r="R997" s="336"/>
      <c r="S997" s="301"/>
      <c r="T997" s="336"/>
    </row>
    <row r="998" spans="1:20" ht="12" customHeight="1" x14ac:dyDescent="0.3">
      <c r="A998" s="329" t="s">
        <v>286</v>
      </c>
      <c r="B998" s="330">
        <v>25</v>
      </c>
      <c r="C998" s="298">
        <v>46081</v>
      </c>
      <c r="D998" s="298" t="s">
        <v>204</v>
      </c>
      <c r="E998" s="331">
        <v>350</v>
      </c>
      <c r="F998" s="331"/>
      <c r="G998" s="333">
        <f t="shared" si="19"/>
        <v>6706.7299999999886</v>
      </c>
      <c r="H998" s="334"/>
      <c r="I998" s="335"/>
      <c r="J998" s="336"/>
      <c r="K998" s="301"/>
      <c r="L998" s="336"/>
      <c r="M998" s="301"/>
      <c r="N998" s="336"/>
      <c r="O998" s="301"/>
      <c r="P998" s="336"/>
      <c r="Q998" s="301"/>
      <c r="R998" s="336"/>
      <c r="S998" s="301"/>
      <c r="T998" s="336"/>
    </row>
    <row r="999" spans="1:20" ht="12" customHeight="1" x14ac:dyDescent="0.3">
      <c r="A999" s="329" t="s">
        <v>286</v>
      </c>
      <c r="B999" s="330">
        <v>26</v>
      </c>
      <c r="C999" s="298">
        <v>46081</v>
      </c>
      <c r="D999" s="298" t="s">
        <v>205</v>
      </c>
      <c r="E999" s="331">
        <v>320</v>
      </c>
      <c r="F999" s="331"/>
      <c r="G999" s="333">
        <f t="shared" si="19"/>
        <v>7056.7299999999886</v>
      </c>
      <c r="H999" s="334"/>
      <c r="I999" s="335"/>
      <c r="J999" s="336"/>
      <c r="K999" s="301"/>
      <c r="L999" s="336"/>
      <c r="M999" s="301"/>
      <c r="N999" s="336"/>
      <c r="O999" s="301"/>
      <c r="P999" s="336"/>
      <c r="Q999" s="301"/>
      <c r="R999" s="336"/>
      <c r="S999" s="301"/>
      <c r="T999" s="336"/>
    </row>
    <row r="1000" spans="1:20" ht="12" customHeight="1" x14ac:dyDescent="0.3">
      <c r="A1000" s="329" t="s">
        <v>286</v>
      </c>
      <c r="B1000" s="330">
        <v>27</v>
      </c>
      <c r="C1000" s="298">
        <v>46081</v>
      </c>
      <c r="D1000" s="298" t="s">
        <v>206</v>
      </c>
      <c r="E1000" s="331">
        <v>25</v>
      </c>
      <c r="F1000" s="331"/>
      <c r="G1000" s="333">
        <f t="shared" si="19"/>
        <v>7376.7299999999886</v>
      </c>
      <c r="H1000" s="334"/>
      <c r="I1000" s="335"/>
      <c r="J1000" s="336"/>
      <c r="K1000" s="301"/>
      <c r="L1000" s="336"/>
      <c r="M1000" s="301"/>
      <c r="N1000" s="336"/>
      <c r="O1000" s="301"/>
      <c r="P1000" s="336"/>
      <c r="Q1000" s="301"/>
      <c r="R1000" s="336"/>
      <c r="S1000" s="301"/>
      <c r="T1000" s="336"/>
    </row>
    <row r="1001" spans="1:20" ht="12" customHeight="1" x14ac:dyDescent="0.3">
      <c r="A1001" s="329" t="s">
        <v>286</v>
      </c>
      <c r="B1001" s="330">
        <v>28</v>
      </c>
      <c r="C1001" s="298">
        <v>46081</v>
      </c>
      <c r="D1001" s="298" t="s">
        <v>207</v>
      </c>
      <c r="E1001" s="331">
        <v>25</v>
      </c>
      <c r="F1001" s="331"/>
      <c r="G1001" s="333">
        <f t="shared" si="19"/>
        <v>7401.7299999999886</v>
      </c>
      <c r="H1001" s="334"/>
      <c r="I1001" s="335"/>
      <c r="J1001" s="336"/>
      <c r="K1001" s="301"/>
      <c r="L1001" s="336"/>
      <c r="M1001" s="301"/>
      <c r="N1001" s="336"/>
      <c r="O1001" s="301"/>
      <c r="P1001" s="336"/>
      <c r="Q1001" s="301"/>
      <c r="R1001" s="336"/>
      <c r="S1001" s="301"/>
      <c r="T1001" s="336"/>
    </row>
    <row r="1002" spans="1:20" ht="12" customHeight="1" x14ac:dyDescent="0.3">
      <c r="A1002" s="329" t="s">
        <v>286</v>
      </c>
      <c r="B1002" s="330">
        <v>29</v>
      </c>
      <c r="C1002" s="298">
        <v>46081</v>
      </c>
      <c r="D1002" s="298" t="s">
        <v>208</v>
      </c>
      <c r="E1002" s="331">
        <v>45</v>
      </c>
      <c r="F1002" s="331"/>
      <c r="G1002" s="333">
        <f t="shared" si="19"/>
        <v>7426.7299999999886</v>
      </c>
      <c r="H1002" s="334"/>
      <c r="I1002" s="335"/>
      <c r="J1002" s="336"/>
      <c r="K1002" s="301"/>
      <c r="L1002" s="336"/>
      <c r="M1002" s="301"/>
      <c r="N1002" s="336"/>
      <c r="O1002" s="301"/>
      <c r="P1002" s="336"/>
      <c r="Q1002" s="301"/>
      <c r="R1002" s="336"/>
      <c r="S1002" s="301"/>
      <c r="T1002" s="336"/>
    </row>
    <row r="1003" spans="1:20" ht="12" customHeight="1" x14ac:dyDescent="0.3">
      <c r="A1003" s="329" t="s">
        <v>286</v>
      </c>
      <c r="B1003" s="330">
        <v>30</v>
      </c>
      <c r="C1003" s="298">
        <v>46081</v>
      </c>
      <c r="D1003" s="298" t="s">
        <v>209</v>
      </c>
      <c r="E1003" s="331">
        <v>400</v>
      </c>
      <c r="F1003" s="331"/>
      <c r="G1003" s="333">
        <f t="shared" si="19"/>
        <v>7471.7299999999886</v>
      </c>
      <c r="H1003" s="334"/>
      <c r="I1003" s="335"/>
      <c r="J1003" s="336"/>
      <c r="K1003" s="301"/>
      <c r="L1003" s="336"/>
      <c r="M1003" s="301"/>
      <c r="N1003" s="336"/>
      <c r="O1003" s="301"/>
      <c r="P1003" s="336"/>
      <c r="Q1003" s="301"/>
      <c r="R1003" s="336"/>
      <c r="S1003" s="301"/>
      <c r="T1003" s="336"/>
    </row>
    <row r="1004" spans="1:20" ht="12" customHeight="1" x14ac:dyDescent="0.3">
      <c r="A1004" s="329" t="s">
        <v>286</v>
      </c>
      <c r="B1004" s="330">
        <v>31</v>
      </c>
      <c r="C1004" s="298">
        <v>46081</v>
      </c>
      <c r="D1004" s="298" t="s">
        <v>210</v>
      </c>
      <c r="E1004" s="331">
        <v>375</v>
      </c>
      <c r="F1004" s="331"/>
      <c r="G1004" s="333">
        <f t="shared" si="19"/>
        <v>7871.7299999999886</v>
      </c>
      <c r="H1004" s="334"/>
      <c r="I1004" s="335"/>
      <c r="J1004" s="336"/>
      <c r="K1004" s="301"/>
      <c r="L1004" s="336"/>
      <c r="M1004" s="301"/>
      <c r="N1004" s="336"/>
      <c r="O1004" s="301"/>
      <c r="P1004" s="336"/>
      <c r="Q1004" s="301"/>
      <c r="R1004" s="336"/>
      <c r="S1004" s="301"/>
      <c r="T1004" s="336"/>
    </row>
    <row r="1005" spans="1:20" ht="12" customHeight="1" x14ac:dyDescent="0.3">
      <c r="A1005" s="329" t="s">
        <v>286</v>
      </c>
      <c r="B1005" s="330">
        <v>32</v>
      </c>
      <c r="C1005" s="298">
        <v>46081</v>
      </c>
      <c r="D1005" s="298" t="s">
        <v>211</v>
      </c>
      <c r="E1005" s="331">
        <v>100</v>
      </c>
      <c r="F1005" s="331"/>
      <c r="G1005" s="333">
        <f t="shared" si="19"/>
        <v>8246.7299999999886</v>
      </c>
      <c r="H1005" s="334"/>
      <c r="I1005" s="335"/>
      <c r="J1005" s="336"/>
      <c r="K1005" s="301"/>
      <c r="L1005" s="336"/>
      <c r="M1005" s="301"/>
      <c r="N1005" s="336"/>
      <c r="O1005" s="301"/>
      <c r="P1005" s="336"/>
      <c r="Q1005" s="301"/>
      <c r="R1005" s="336"/>
      <c r="S1005" s="301"/>
      <c r="T1005" s="336"/>
    </row>
    <row r="1006" spans="1:20" ht="12" customHeight="1" x14ac:dyDescent="0.3">
      <c r="A1006" s="329" t="s">
        <v>286</v>
      </c>
      <c r="B1006" s="330">
        <v>33</v>
      </c>
      <c r="C1006" s="298">
        <v>46081</v>
      </c>
      <c r="D1006" s="298" t="s">
        <v>212</v>
      </c>
      <c r="E1006" s="331">
        <v>85</v>
      </c>
      <c r="F1006" s="331"/>
      <c r="G1006" s="333">
        <f t="shared" si="19"/>
        <v>8346.7299999999886</v>
      </c>
      <c r="H1006" s="334"/>
      <c r="I1006" s="335"/>
      <c r="J1006" s="336"/>
      <c r="K1006" s="301"/>
      <c r="L1006" s="336"/>
      <c r="M1006" s="301"/>
      <c r="N1006" s="336"/>
      <c r="O1006" s="301"/>
      <c r="P1006" s="336"/>
      <c r="Q1006" s="301"/>
      <c r="R1006" s="336"/>
      <c r="S1006" s="301"/>
      <c r="T1006" s="336"/>
    </row>
    <row r="1007" spans="1:20" ht="12" customHeight="1" x14ac:dyDescent="0.3">
      <c r="A1007" s="329" t="s">
        <v>286</v>
      </c>
      <c r="B1007" s="330">
        <v>34</v>
      </c>
      <c r="C1007" s="298">
        <v>46081</v>
      </c>
      <c r="D1007" s="298" t="s">
        <v>213</v>
      </c>
      <c r="E1007" s="331">
        <v>230</v>
      </c>
      <c r="F1007" s="331"/>
      <c r="G1007" s="333">
        <f t="shared" si="19"/>
        <v>8431.7299999999886</v>
      </c>
      <c r="H1007" s="334"/>
      <c r="I1007" s="335"/>
      <c r="J1007" s="336"/>
      <c r="K1007" s="301"/>
      <c r="L1007" s="336"/>
      <c r="M1007" s="301"/>
      <c r="N1007" s="336"/>
      <c r="O1007" s="301"/>
      <c r="P1007" s="336"/>
      <c r="Q1007" s="301"/>
      <c r="R1007" s="336"/>
      <c r="S1007" s="301"/>
      <c r="T1007" s="336"/>
    </row>
    <row r="1008" spans="1:20" ht="12" customHeight="1" x14ac:dyDescent="0.3">
      <c r="A1008" s="329" t="s">
        <v>286</v>
      </c>
      <c r="B1008" s="330">
        <v>35</v>
      </c>
      <c r="C1008" s="298">
        <v>46081</v>
      </c>
      <c r="D1008" s="298" t="s">
        <v>214</v>
      </c>
      <c r="E1008" s="331">
        <v>45</v>
      </c>
      <c r="F1008" s="331"/>
      <c r="G1008" s="333">
        <f t="shared" si="19"/>
        <v>8661.7299999999886</v>
      </c>
      <c r="H1008" s="334"/>
      <c r="I1008" s="335"/>
      <c r="J1008" s="336"/>
      <c r="K1008" s="301"/>
      <c r="L1008" s="336"/>
      <c r="M1008" s="301"/>
      <c r="N1008" s="336"/>
      <c r="O1008" s="301"/>
      <c r="P1008" s="336"/>
      <c r="Q1008" s="301"/>
      <c r="R1008" s="336"/>
      <c r="S1008" s="301"/>
      <c r="T1008" s="336"/>
    </row>
    <row r="1009" spans="1:20" ht="12" customHeight="1" x14ac:dyDescent="0.3">
      <c r="A1009" s="329" t="s">
        <v>294</v>
      </c>
      <c r="B1009" s="330">
        <v>42</v>
      </c>
      <c r="C1009" s="298">
        <v>46081</v>
      </c>
      <c r="D1009" s="298" t="s">
        <v>200</v>
      </c>
      <c r="E1009" s="331">
        <v>51.19</v>
      </c>
      <c r="F1009" s="331"/>
      <c r="G1009" s="333">
        <f t="shared" si="19"/>
        <v>8706.7299999999886</v>
      </c>
      <c r="H1009" s="334"/>
      <c r="I1009" s="335"/>
      <c r="J1009" s="336"/>
      <c r="K1009" s="301"/>
      <c r="L1009" s="336"/>
      <c r="M1009" s="301"/>
      <c r="N1009" s="336"/>
      <c r="O1009" s="301"/>
      <c r="P1009" s="336"/>
      <c r="Q1009" s="301"/>
      <c r="R1009" s="336"/>
      <c r="S1009" s="301"/>
      <c r="T1009" s="336"/>
    </row>
    <row r="1010" spans="1:20" ht="12" customHeight="1" x14ac:dyDescent="0.3">
      <c r="A1010" s="329" t="s">
        <v>294</v>
      </c>
      <c r="B1010" s="330">
        <v>43</v>
      </c>
      <c r="C1010" s="298">
        <v>46081</v>
      </c>
      <c r="D1010" s="298" t="s">
        <v>201</v>
      </c>
      <c r="E1010" s="331">
        <v>37.17</v>
      </c>
      <c r="F1010" s="331"/>
      <c r="G1010" s="333">
        <f t="shared" si="19"/>
        <v>8757.9199999999892</v>
      </c>
      <c r="H1010" s="334"/>
      <c r="I1010" s="335"/>
      <c r="J1010" s="336"/>
      <c r="K1010" s="301"/>
      <c r="L1010" s="336"/>
      <c r="M1010" s="301"/>
      <c r="N1010" s="336"/>
      <c r="O1010" s="301"/>
      <c r="P1010" s="336"/>
      <c r="Q1010" s="301"/>
      <c r="R1010" s="336"/>
      <c r="S1010" s="301"/>
      <c r="T1010" s="336"/>
    </row>
    <row r="1011" spans="1:20" ht="12" customHeight="1" x14ac:dyDescent="0.3">
      <c r="A1011" s="329" t="s">
        <v>294</v>
      </c>
      <c r="B1011" s="330">
        <v>10</v>
      </c>
      <c r="C1011" s="298">
        <v>46081</v>
      </c>
      <c r="D1011" s="298" t="s">
        <v>176</v>
      </c>
      <c r="E1011" s="331">
        <v>17.899999999999999</v>
      </c>
      <c r="F1011" s="331"/>
      <c r="G1011" s="333">
        <f t="shared" si="19"/>
        <v>8795.0899999999892</v>
      </c>
      <c r="H1011" s="334"/>
      <c r="I1011" s="335"/>
      <c r="J1011" s="336"/>
      <c r="K1011" s="301"/>
      <c r="L1011" s="336"/>
      <c r="M1011" s="301"/>
      <c r="N1011" s="336"/>
      <c r="O1011" s="301"/>
      <c r="P1011" s="336"/>
      <c r="Q1011" s="301"/>
      <c r="R1011" s="336"/>
      <c r="S1011" s="301"/>
      <c r="T1011" s="336"/>
    </row>
    <row r="1012" spans="1:20" ht="12" customHeight="1" x14ac:dyDescent="0.3">
      <c r="A1012" s="329" t="s">
        <v>289</v>
      </c>
      <c r="B1012" s="330">
        <v>2</v>
      </c>
      <c r="C1012" s="298">
        <v>46080</v>
      </c>
      <c r="D1012" s="298" t="s">
        <v>358</v>
      </c>
      <c r="E1012" s="331">
        <v>11.17</v>
      </c>
      <c r="F1012" s="331"/>
      <c r="G1012" s="333">
        <f t="shared" si="19"/>
        <v>8812.9899999999889</v>
      </c>
      <c r="H1012" s="334"/>
      <c r="I1012" s="335"/>
      <c r="J1012" s="336"/>
      <c r="K1012" s="301"/>
      <c r="L1012" s="336"/>
      <c r="M1012" s="301"/>
      <c r="N1012" s="336"/>
      <c r="O1012" s="301"/>
      <c r="P1012" s="336"/>
      <c r="Q1012" s="301"/>
      <c r="R1012" s="336"/>
      <c r="S1012" s="301"/>
      <c r="T1012" s="336"/>
    </row>
    <row r="1013" spans="1:20" ht="12" customHeight="1" x14ac:dyDescent="0.3">
      <c r="A1013" s="329" t="s">
        <v>289</v>
      </c>
      <c r="B1013" s="330">
        <v>2</v>
      </c>
      <c r="C1013" s="298">
        <v>46080</v>
      </c>
      <c r="D1013" s="299" t="s">
        <v>426</v>
      </c>
      <c r="E1013" s="331">
        <v>25</v>
      </c>
      <c r="F1013" s="331"/>
      <c r="G1013" s="333">
        <f t="shared" si="19"/>
        <v>8824.1599999999889</v>
      </c>
      <c r="H1013" s="334"/>
      <c r="I1013" s="335"/>
      <c r="J1013" s="336"/>
      <c r="K1013" s="301"/>
      <c r="L1013" s="336"/>
      <c r="M1013" s="301"/>
      <c r="N1013" s="336"/>
      <c r="O1013" s="301"/>
      <c r="P1013" s="336"/>
      <c r="Q1013" s="301"/>
      <c r="R1013" s="336"/>
      <c r="S1013" s="301"/>
      <c r="T1013" s="336"/>
    </row>
    <row r="1014" spans="1:20" ht="12" customHeight="1" x14ac:dyDescent="0.3">
      <c r="A1014" s="329" t="s">
        <v>289</v>
      </c>
      <c r="B1014" s="330">
        <v>2</v>
      </c>
      <c r="C1014" s="298">
        <v>46080</v>
      </c>
      <c r="D1014" s="299" t="s">
        <v>358</v>
      </c>
      <c r="E1014" s="331">
        <v>22.84</v>
      </c>
      <c r="F1014" s="331"/>
      <c r="G1014" s="333">
        <f t="shared" si="19"/>
        <v>8849.1599999999889</v>
      </c>
      <c r="H1014" s="334"/>
      <c r="I1014" s="335"/>
      <c r="J1014" s="336"/>
      <c r="K1014" s="301"/>
      <c r="L1014" s="336"/>
      <c r="M1014" s="301"/>
      <c r="N1014" s="336"/>
      <c r="O1014" s="301"/>
      <c r="P1014" s="336"/>
      <c r="Q1014" s="301"/>
      <c r="R1014" s="336"/>
      <c r="S1014" s="301"/>
      <c r="T1014" s="336"/>
    </row>
    <row r="1015" spans="1:20" ht="12" customHeight="1" x14ac:dyDescent="0.3">
      <c r="A1015" s="329" t="s">
        <v>289</v>
      </c>
      <c r="B1015" s="330">
        <v>6</v>
      </c>
      <c r="C1015" s="298">
        <v>46080</v>
      </c>
      <c r="D1015" s="299" t="s">
        <v>427</v>
      </c>
      <c r="E1015" s="331">
        <v>-88</v>
      </c>
      <c r="F1015" s="331"/>
      <c r="G1015" s="333">
        <f t="shared" si="19"/>
        <v>8871.9999999999891</v>
      </c>
      <c r="H1015" s="334"/>
      <c r="I1015" s="335"/>
      <c r="J1015" s="336"/>
      <c r="K1015" s="301"/>
      <c r="L1015" s="336"/>
      <c r="M1015" s="301"/>
      <c r="N1015" s="336"/>
      <c r="O1015" s="301"/>
      <c r="P1015" s="336"/>
      <c r="Q1015" s="301"/>
      <c r="R1015" s="336"/>
      <c r="S1015" s="301"/>
      <c r="T1015" s="336"/>
    </row>
    <row r="1016" spans="1:20" ht="12" customHeight="1" x14ac:dyDescent="0.3">
      <c r="A1016" s="329" t="s">
        <v>291</v>
      </c>
      <c r="B1016" s="330">
        <v>38</v>
      </c>
      <c r="C1016" s="298">
        <v>46080</v>
      </c>
      <c r="D1016" s="299" t="s">
        <v>293</v>
      </c>
      <c r="E1016" s="331"/>
      <c r="F1016" s="331">
        <v>4278.1499999999996</v>
      </c>
      <c r="G1016" s="333">
        <f t="shared" si="19"/>
        <v>8783.9999999999891</v>
      </c>
      <c r="H1016" s="334"/>
      <c r="I1016" s="335"/>
      <c r="J1016" s="336"/>
      <c r="K1016" s="301"/>
      <c r="L1016" s="336"/>
      <c r="M1016" s="301"/>
      <c r="N1016" s="336"/>
      <c r="O1016" s="301"/>
      <c r="P1016" s="336"/>
      <c r="Q1016" s="301"/>
      <c r="R1016" s="336"/>
      <c r="S1016" s="301"/>
      <c r="T1016" s="336"/>
    </row>
    <row r="1017" spans="1:20" ht="12" customHeight="1" x14ac:dyDescent="0.3">
      <c r="A1017" s="329" t="s">
        <v>289</v>
      </c>
      <c r="B1017" s="330">
        <v>6</v>
      </c>
      <c r="C1017" s="298">
        <v>46080</v>
      </c>
      <c r="D1017" s="299" t="s">
        <v>428</v>
      </c>
      <c r="E1017" s="331">
        <v>25.93</v>
      </c>
      <c r="F1017" s="331"/>
      <c r="G1017" s="333">
        <f t="shared" si="19"/>
        <v>4505.8499999999904</v>
      </c>
      <c r="H1017" s="334"/>
      <c r="I1017" s="335"/>
      <c r="J1017" s="336"/>
      <c r="K1017" s="301"/>
      <c r="L1017" s="336"/>
      <c r="M1017" s="301"/>
      <c r="N1017" s="336"/>
      <c r="O1017" s="301"/>
      <c r="P1017" s="336"/>
      <c r="Q1017" s="301"/>
      <c r="R1017" s="336"/>
      <c r="S1017" s="301"/>
      <c r="T1017" s="336"/>
    </row>
    <row r="1018" spans="1:20" ht="12" customHeight="1" x14ac:dyDescent="0.3">
      <c r="A1018" s="329" t="s">
        <v>289</v>
      </c>
      <c r="B1018" s="330">
        <v>4</v>
      </c>
      <c r="C1018" s="298">
        <v>46079</v>
      </c>
      <c r="D1018" s="299" t="s">
        <v>310</v>
      </c>
      <c r="E1018" s="331">
        <v>29.84</v>
      </c>
      <c r="F1018" s="331"/>
      <c r="G1018" s="333">
        <f t="shared" si="19"/>
        <v>4531.7799999999907</v>
      </c>
      <c r="H1018" s="334"/>
      <c r="I1018" s="335"/>
      <c r="J1018" s="336"/>
      <c r="K1018" s="301"/>
      <c r="L1018" s="336"/>
      <c r="M1018" s="301"/>
      <c r="N1018" s="336"/>
      <c r="O1018" s="301"/>
      <c r="P1018" s="336"/>
      <c r="Q1018" s="301"/>
      <c r="R1018" s="336"/>
      <c r="S1018" s="301"/>
      <c r="T1018" s="336"/>
    </row>
    <row r="1019" spans="1:20" ht="12" customHeight="1" x14ac:dyDescent="0.3">
      <c r="A1019" s="329" t="s">
        <v>289</v>
      </c>
      <c r="B1019" s="330">
        <v>5</v>
      </c>
      <c r="C1019" s="298">
        <v>46079</v>
      </c>
      <c r="D1019" s="299" t="s">
        <v>429</v>
      </c>
      <c r="E1019" s="331">
        <v>103.25</v>
      </c>
      <c r="F1019" s="331"/>
      <c r="G1019" s="333">
        <f t="shared" si="19"/>
        <v>4561.6199999999908</v>
      </c>
      <c r="H1019" s="334"/>
      <c r="I1019" s="335"/>
      <c r="J1019" s="336"/>
      <c r="K1019" s="301"/>
      <c r="L1019" s="336"/>
      <c r="M1019" s="301"/>
      <c r="N1019" s="336"/>
      <c r="O1019" s="301"/>
      <c r="P1019" s="336"/>
      <c r="Q1019" s="301"/>
      <c r="R1019" s="336"/>
      <c r="S1019" s="301"/>
      <c r="T1019" s="336"/>
    </row>
    <row r="1020" spans="1:20" ht="12" customHeight="1" x14ac:dyDescent="0.3">
      <c r="A1020" s="329" t="s">
        <v>289</v>
      </c>
      <c r="B1020" s="330">
        <v>8</v>
      </c>
      <c r="C1020" s="298">
        <v>46079</v>
      </c>
      <c r="D1020" s="299" t="s">
        <v>357</v>
      </c>
      <c r="E1020" s="331">
        <v>26.02</v>
      </c>
      <c r="F1020" s="331"/>
      <c r="G1020" s="333">
        <f t="shared" si="19"/>
        <v>4664.8699999999908</v>
      </c>
      <c r="H1020" s="334"/>
      <c r="I1020" s="335"/>
      <c r="J1020" s="336"/>
      <c r="K1020" s="301"/>
      <c r="L1020" s="336"/>
      <c r="M1020" s="301"/>
      <c r="N1020" s="336"/>
      <c r="O1020" s="301"/>
      <c r="P1020" s="336"/>
      <c r="Q1020" s="301"/>
      <c r="R1020" s="336"/>
      <c r="S1020" s="301"/>
      <c r="T1020" s="336"/>
    </row>
    <row r="1021" spans="1:20" ht="12" customHeight="1" x14ac:dyDescent="0.3">
      <c r="A1021" s="329" t="s">
        <v>294</v>
      </c>
      <c r="B1021" s="330">
        <v>24</v>
      </c>
      <c r="C1021" s="298">
        <v>46079</v>
      </c>
      <c r="D1021" s="299" t="s">
        <v>860</v>
      </c>
      <c r="E1021" s="331">
        <v>84.83</v>
      </c>
      <c r="F1021" s="331"/>
      <c r="G1021" s="333">
        <f t="shared" si="19"/>
        <v>4690.8899999999912</v>
      </c>
      <c r="H1021" s="334"/>
      <c r="I1021" s="335"/>
      <c r="J1021" s="336"/>
      <c r="K1021" s="301"/>
      <c r="L1021" s="336"/>
      <c r="M1021" s="301"/>
      <c r="N1021" s="336"/>
      <c r="O1021" s="301"/>
      <c r="P1021" s="336"/>
      <c r="Q1021" s="301"/>
      <c r="R1021" s="336"/>
      <c r="S1021" s="301"/>
      <c r="T1021" s="336"/>
    </row>
    <row r="1022" spans="1:20" ht="12" customHeight="1" x14ac:dyDescent="0.3">
      <c r="A1022" s="329" t="s">
        <v>289</v>
      </c>
      <c r="B1022" s="330">
        <v>2</v>
      </c>
      <c r="C1022" s="298">
        <v>46079</v>
      </c>
      <c r="D1022" s="299" t="s">
        <v>296</v>
      </c>
      <c r="E1022" s="331">
        <v>17.87</v>
      </c>
      <c r="F1022" s="331"/>
      <c r="G1022" s="333">
        <f t="shared" si="19"/>
        <v>4775.7199999999912</v>
      </c>
      <c r="H1022" s="334"/>
      <c r="I1022" s="335"/>
      <c r="J1022" s="336"/>
      <c r="K1022" s="301"/>
      <c r="L1022" s="336"/>
      <c r="M1022" s="301"/>
      <c r="N1022" s="336"/>
      <c r="O1022" s="301"/>
      <c r="P1022" s="336"/>
      <c r="Q1022" s="301"/>
      <c r="R1022" s="336"/>
      <c r="S1022" s="301"/>
      <c r="T1022" s="336"/>
    </row>
    <row r="1023" spans="1:20" ht="12" customHeight="1" x14ac:dyDescent="0.3">
      <c r="A1023" s="329" t="s">
        <v>289</v>
      </c>
      <c r="B1023" s="330">
        <v>5</v>
      </c>
      <c r="C1023" s="298">
        <v>46079</v>
      </c>
      <c r="D1023" s="299" t="s">
        <v>430</v>
      </c>
      <c r="E1023" s="331">
        <v>123.64</v>
      </c>
      <c r="F1023" s="331"/>
      <c r="G1023" s="333">
        <f t="shared" si="19"/>
        <v>4793.5899999999911</v>
      </c>
      <c r="H1023" s="334"/>
      <c r="I1023" s="335"/>
      <c r="J1023" s="336"/>
      <c r="K1023" s="301"/>
      <c r="L1023" s="336"/>
      <c r="M1023" s="301"/>
      <c r="N1023" s="336"/>
      <c r="O1023" s="301"/>
      <c r="P1023" s="336"/>
      <c r="Q1023" s="301"/>
      <c r="R1023" s="336"/>
      <c r="S1023" s="301"/>
      <c r="T1023" s="336"/>
    </row>
    <row r="1024" spans="1:20" ht="12" customHeight="1" x14ac:dyDescent="0.3">
      <c r="A1024" s="329" t="s">
        <v>289</v>
      </c>
      <c r="B1024" s="330">
        <v>8</v>
      </c>
      <c r="C1024" s="298">
        <v>46078</v>
      </c>
      <c r="D1024" s="299" t="s">
        <v>319</v>
      </c>
      <c r="E1024" s="331">
        <v>18.5</v>
      </c>
      <c r="F1024" s="331"/>
      <c r="G1024" s="333">
        <f t="shared" si="19"/>
        <v>4917.2299999999914</v>
      </c>
      <c r="H1024" s="334"/>
      <c r="I1024" s="335"/>
      <c r="J1024" s="336"/>
      <c r="K1024" s="301"/>
      <c r="L1024" s="336"/>
      <c r="M1024" s="301"/>
      <c r="N1024" s="336"/>
      <c r="O1024" s="301"/>
      <c r="P1024" s="336"/>
      <c r="Q1024" s="301"/>
      <c r="R1024" s="336"/>
      <c r="S1024" s="301"/>
      <c r="T1024" s="336"/>
    </row>
    <row r="1025" spans="1:20" ht="12" customHeight="1" x14ac:dyDescent="0.3">
      <c r="A1025" s="329" t="s">
        <v>289</v>
      </c>
      <c r="B1025" s="330">
        <v>4</v>
      </c>
      <c r="C1025" s="298">
        <v>46078</v>
      </c>
      <c r="D1025" s="299" t="s">
        <v>296</v>
      </c>
      <c r="E1025" s="331">
        <v>50.96</v>
      </c>
      <c r="F1025" s="331"/>
      <c r="G1025" s="333">
        <f t="shared" si="19"/>
        <v>4935.7299999999914</v>
      </c>
      <c r="H1025" s="334"/>
      <c r="I1025" s="335"/>
      <c r="J1025" s="336"/>
      <c r="K1025" s="301"/>
      <c r="L1025" s="336"/>
      <c r="M1025" s="301"/>
      <c r="N1025" s="336"/>
      <c r="O1025" s="301"/>
      <c r="P1025" s="336"/>
      <c r="Q1025" s="301"/>
      <c r="R1025" s="336"/>
      <c r="S1025" s="301"/>
      <c r="T1025" s="336"/>
    </row>
    <row r="1026" spans="1:20" ht="12" customHeight="1" x14ac:dyDescent="0.3">
      <c r="A1026" s="329" t="s">
        <v>289</v>
      </c>
      <c r="B1026" s="330">
        <v>8</v>
      </c>
      <c r="C1026" s="298">
        <v>46078</v>
      </c>
      <c r="D1026" s="299" t="s">
        <v>296</v>
      </c>
      <c r="E1026" s="331">
        <v>11.28</v>
      </c>
      <c r="F1026" s="331"/>
      <c r="G1026" s="333">
        <f t="shared" si="19"/>
        <v>4986.6899999999914</v>
      </c>
      <c r="H1026" s="334"/>
      <c r="I1026" s="335"/>
      <c r="J1026" s="336"/>
      <c r="K1026" s="301"/>
      <c r="L1026" s="336"/>
      <c r="M1026" s="301"/>
      <c r="N1026" s="336"/>
      <c r="O1026" s="301"/>
      <c r="P1026" s="336"/>
      <c r="Q1026" s="301"/>
      <c r="R1026" s="336"/>
      <c r="S1026" s="301"/>
      <c r="T1026" s="336"/>
    </row>
    <row r="1027" spans="1:20" ht="12" customHeight="1" x14ac:dyDescent="0.3">
      <c r="A1027" s="329" t="s">
        <v>294</v>
      </c>
      <c r="B1027" s="330">
        <v>12</v>
      </c>
      <c r="C1027" s="298">
        <v>46078</v>
      </c>
      <c r="D1027" s="299" t="s">
        <v>314</v>
      </c>
      <c r="E1027" s="331">
        <v>204.47</v>
      </c>
      <c r="F1027" s="331"/>
      <c r="G1027" s="333">
        <f t="shared" si="19"/>
        <v>4997.9699999999912</v>
      </c>
      <c r="H1027" s="334"/>
      <c r="I1027" s="335"/>
      <c r="J1027" s="336"/>
      <c r="K1027" s="301"/>
      <c r="L1027" s="336"/>
      <c r="M1027" s="301"/>
      <c r="N1027" s="336"/>
      <c r="O1027" s="301"/>
      <c r="P1027" s="336"/>
      <c r="Q1027" s="301"/>
      <c r="R1027" s="336"/>
      <c r="S1027" s="301"/>
      <c r="T1027" s="336"/>
    </row>
    <row r="1028" spans="1:20" ht="12" customHeight="1" x14ac:dyDescent="0.3">
      <c r="A1028" s="329" t="s">
        <v>289</v>
      </c>
      <c r="B1028" s="330">
        <v>8</v>
      </c>
      <c r="C1028" s="298">
        <v>46078</v>
      </c>
      <c r="D1028" s="299" t="s">
        <v>308</v>
      </c>
      <c r="E1028" s="331">
        <v>47.99</v>
      </c>
      <c r="F1028" s="331"/>
      <c r="G1028" s="333">
        <f t="shared" si="19"/>
        <v>5202.4399999999914</v>
      </c>
      <c r="H1028" s="334"/>
      <c r="I1028" s="335"/>
      <c r="J1028" s="336"/>
      <c r="K1028" s="301"/>
      <c r="L1028" s="336"/>
      <c r="M1028" s="301"/>
      <c r="N1028" s="336"/>
      <c r="O1028" s="301"/>
      <c r="P1028" s="336"/>
      <c r="Q1028" s="301"/>
      <c r="R1028" s="336"/>
      <c r="S1028" s="301"/>
      <c r="T1028" s="336"/>
    </row>
    <row r="1029" spans="1:20" ht="12" customHeight="1" x14ac:dyDescent="0.3">
      <c r="A1029" s="329" t="s">
        <v>289</v>
      </c>
      <c r="B1029" s="330">
        <v>1</v>
      </c>
      <c r="C1029" s="298">
        <v>46078</v>
      </c>
      <c r="D1029" s="299" t="s">
        <v>304</v>
      </c>
      <c r="E1029" s="331">
        <v>19.09</v>
      </c>
      <c r="F1029" s="331"/>
      <c r="G1029" s="333">
        <f t="shared" si="19"/>
        <v>5250.4299999999912</v>
      </c>
      <c r="H1029" s="334"/>
      <c r="I1029" s="335"/>
      <c r="J1029" s="336"/>
      <c r="K1029" s="301"/>
      <c r="L1029" s="336"/>
      <c r="M1029" s="301"/>
      <c r="N1029" s="336"/>
      <c r="O1029" s="301"/>
      <c r="P1029" s="336"/>
      <c r="Q1029" s="301"/>
      <c r="R1029" s="336"/>
      <c r="S1029" s="301"/>
      <c r="T1029" s="336"/>
    </row>
    <row r="1030" spans="1:20" ht="12" customHeight="1" x14ac:dyDescent="0.3">
      <c r="A1030" s="329" t="s">
        <v>294</v>
      </c>
      <c r="B1030" s="330">
        <v>23</v>
      </c>
      <c r="C1030" s="298">
        <v>46076</v>
      </c>
      <c r="D1030" s="299" t="s">
        <v>67</v>
      </c>
      <c r="E1030" s="331">
        <v>650.88</v>
      </c>
      <c r="F1030" s="331"/>
      <c r="G1030" s="333">
        <f t="shared" si="19"/>
        <v>5269.5199999999913</v>
      </c>
      <c r="H1030" s="334"/>
      <c r="I1030" s="335"/>
      <c r="J1030" s="336"/>
      <c r="K1030" s="301"/>
      <c r="L1030" s="336"/>
      <c r="M1030" s="301"/>
      <c r="N1030" s="336"/>
      <c r="O1030" s="301"/>
      <c r="P1030" s="336"/>
      <c r="Q1030" s="301"/>
      <c r="R1030" s="336"/>
      <c r="S1030" s="301"/>
      <c r="T1030" s="336"/>
    </row>
    <row r="1031" spans="1:20" ht="12" customHeight="1" x14ac:dyDescent="0.3">
      <c r="A1031" s="329" t="s">
        <v>289</v>
      </c>
      <c r="B1031" s="330">
        <v>6</v>
      </c>
      <c r="C1031" s="298">
        <v>46076</v>
      </c>
      <c r="D1031" s="299" t="s">
        <v>351</v>
      </c>
      <c r="E1031" s="331">
        <v>35</v>
      </c>
      <c r="F1031" s="331"/>
      <c r="G1031" s="333">
        <f t="shared" si="19"/>
        <v>5920.3999999999915</v>
      </c>
      <c r="H1031" s="334"/>
      <c r="I1031" s="335"/>
      <c r="J1031" s="336"/>
      <c r="K1031" s="301"/>
      <c r="L1031" s="336"/>
      <c r="M1031" s="301"/>
      <c r="N1031" s="336"/>
      <c r="O1031" s="301"/>
      <c r="P1031" s="336"/>
      <c r="Q1031" s="301"/>
      <c r="R1031" s="336"/>
      <c r="S1031" s="301"/>
      <c r="T1031" s="336"/>
    </row>
    <row r="1032" spans="1:20" ht="12" customHeight="1" x14ac:dyDescent="0.3">
      <c r="A1032" s="329" t="s">
        <v>289</v>
      </c>
      <c r="B1032" s="330">
        <v>1</v>
      </c>
      <c r="C1032" s="298">
        <v>46076</v>
      </c>
      <c r="D1032" s="299" t="s">
        <v>306</v>
      </c>
      <c r="E1032" s="331">
        <v>128.97999999999999</v>
      </c>
      <c r="F1032" s="331"/>
      <c r="G1032" s="333">
        <f t="shared" si="19"/>
        <v>5955.3999999999915</v>
      </c>
      <c r="H1032" s="334"/>
      <c r="I1032" s="335"/>
      <c r="J1032" s="336"/>
      <c r="K1032" s="301"/>
      <c r="L1032" s="336"/>
      <c r="M1032" s="301"/>
      <c r="N1032" s="336"/>
      <c r="O1032" s="301"/>
      <c r="P1032" s="336"/>
      <c r="Q1032" s="301"/>
      <c r="R1032" s="336"/>
      <c r="S1032" s="301"/>
      <c r="T1032" s="336"/>
    </row>
    <row r="1033" spans="1:20" ht="12" customHeight="1" x14ac:dyDescent="0.3">
      <c r="A1033" s="329" t="s">
        <v>289</v>
      </c>
      <c r="B1033" s="330">
        <v>1</v>
      </c>
      <c r="C1033" s="298">
        <v>46076</v>
      </c>
      <c r="D1033" s="299" t="s">
        <v>320</v>
      </c>
      <c r="E1033" s="331">
        <v>52.55</v>
      </c>
      <c r="F1033" s="331"/>
      <c r="G1033" s="333">
        <f t="shared" si="19"/>
        <v>6084.379999999991</v>
      </c>
      <c r="H1033" s="334"/>
      <c r="I1033" s="335"/>
      <c r="J1033" s="336"/>
      <c r="K1033" s="301"/>
      <c r="L1033" s="336"/>
      <c r="M1033" s="301"/>
      <c r="N1033" s="336"/>
      <c r="O1033" s="301"/>
      <c r="P1033" s="336"/>
      <c r="Q1033" s="301"/>
      <c r="R1033" s="336"/>
      <c r="S1033" s="301"/>
      <c r="T1033" s="336"/>
    </row>
    <row r="1034" spans="1:20" ht="12" customHeight="1" x14ac:dyDescent="0.3">
      <c r="A1034" s="329" t="s">
        <v>289</v>
      </c>
      <c r="B1034" s="330">
        <v>3</v>
      </c>
      <c r="C1034" s="298">
        <v>46075</v>
      </c>
      <c r="D1034" s="299" t="s">
        <v>348</v>
      </c>
      <c r="E1034" s="331">
        <v>13.76</v>
      </c>
      <c r="F1034" s="331"/>
      <c r="G1034" s="333">
        <f t="shared" si="19"/>
        <v>6136.9299999999912</v>
      </c>
      <c r="H1034" s="334"/>
      <c r="I1034" s="335"/>
      <c r="J1034" s="336"/>
      <c r="K1034" s="301"/>
      <c r="L1034" s="336"/>
      <c r="M1034" s="301"/>
      <c r="N1034" s="336"/>
      <c r="O1034" s="301"/>
      <c r="P1034" s="336"/>
      <c r="Q1034" s="301"/>
      <c r="R1034" s="336"/>
      <c r="S1034" s="301"/>
      <c r="T1034" s="336"/>
    </row>
    <row r="1035" spans="1:20" ht="12" customHeight="1" x14ac:dyDescent="0.3">
      <c r="A1035" s="329" t="s">
        <v>289</v>
      </c>
      <c r="B1035" s="330">
        <v>1</v>
      </c>
      <c r="C1035" s="298">
        <v>46075</v>
      </c>
      <c r="D1035" s="299" t="s">
        <v>311</v>
      </c>
      <c r="E1035" s="331">
        <v>187.64</v>
      </c>
      <c r="F1035" s="331"/>
      <c r="G1035" s="333">
        <f t="shared" si="19"/>
        <v>6150.6899999999914</v>
      </c>
      <c r="H1035" s="334"/>
      <c r="I1035" s="335"/>
      <c r="J1035" s="336"/>
      <c r="K1035" s="301"/>
      <c r="L1035" s="336"/>
      <c r="M1035" s="301"/>
      <c r="N1035" s="336"/>
      <c r="O1035" s="301"/>
      <c r="P1035" s="336"/>
      <c r="Q1035" s="301"/>
      <c r="R1035" s="336"/>
      <c r="S1035" s="301"/>
      <c r="T1035" s="336"/>
    </row>
    <row r="1036" spans="1:20" ht="12" customHeight="1" x14ac:dyDescent="0.3">
      <c r="A1036" s="329" t="s">
        <v>289</v>
      </c>
      <c r="B1036" s="330">
        <v>1</v>
      </c>
      <c r="C1036" s="298">
        <v>46074</v>
      </c>
      <c r="D1036" s="299" t="s">
        <v>393</v>
      </c>
      <c r="E1036" s="331">
        <v>75.78</v>
      </c>
      <c r="F1036" s="331"/>
      <c r="G1036" s="333">
        <f t="shared" si="19"/>
        <v>6338.3299999999917</v>
      </c>
      <c r="H1036" s="334"/>
      <c r="I1036" s="335"/>
      <c r="J1036" s="336"/>
      <c r="K1036" s="301"/>
      <c r="L1036" s="336"/>
      <c r="M1036" s="301"/>
      <c r="N1036" s="336"/>
      <c r="O1036" s="301"/>
      <c r="P1036" s="336"/>
      <c r="Q1036" s="301"/>
      <c r="R1036" s="336"/>
      <c r="S1036" s="301"/>
      <c r="T1036" s="336"/>
    </row>
    <row r="1037" spans="1:20" ht="12" customHeight="1" x14ac:dyDescent="0.3">
      <c r="A1037" s="329" t="s">
        <v>289</v>
      </c>
      <c r="B1037" s="330">
        <v>2</v>
      </c>
      <c r="C1037" s="298">
        <v>46074</v>
      </c>
      <c r="D1037" s="299" t="s">
        <v>392</v>
      </c>
      <c r="E1037" s="331">
        <v>27.41</v>
      </c>
      <c r="F1037" s="331"/>
      <c r="G1037" s="333">
        <f t="shared" si="19"/>
        <v>6414.1099999999915</v>
      </c>
      <c r="H1037" s="334"/>
      <c r="I1037" s="335"/>
      <c r="J1037" s="336"/>
      <c r="K1037" s="301"/>
      <c r="L1037" s="336"/>
      <c r="M1037" s="301"/>
      <c r="N1037" s="336"/>
      <c r="O1037" s="301"/>
      <c r="P1037" s="336"/>
      <c r="Q1037" s="301"/>
      <c r="R1037" s="336"/>
      <c r="S1037" s="301"/>
      <c r="T1037" s="336"/>
    </row>
    <row r="1038" spans="1:20" ht="12" customHeight="1" x14ac:dyDescent="0.3">
      <c r="A1038" s="329" t="s">
        <v>289</v>
      </c>
      <c r="B1038" s="330">
        <v>4</v>
      </c>
      <c r="C1038" s="298">
        <v>46074</v>
      </c>
      <c r="D1038" s="299" t="s">
        <v>431</v>
      </c>
      <c r="E1038" s="331">
        <v>32.049999999999997</v>
      </c>
      <c r="F1038" s="331"/>
      <c r="G1038" s="333">
        <f t="shared" si="19"/>
        <v>6441.5199999999913</v>
      </c>
      <c r="H1038" s="334"/>
      <c r="I1038" s="335"/>
      <c r="J1038" s="336"/>
      <c r="K1038" s="301"/>
      <c r="L1038" s="336"/>
      <c r="M1038" s="301"/>
      <c r="N1038" s="336"/>
      <c r="O1038" s="301"/>
      <c r="P1038" s="336"/>
      <c r="Q1038" s="301"/>
      <c r="R1038" s="336"/>
      <c r="S1038" s="301"/>
      <c r="T1038" s="336"/>
    </row>
    <row r="1039" spans="1:20" ht="12" customHeight="1" x14ac:dyDescent="0.3">
      <c r="A1039" s="329" t="s">
        <v>289</v>
      </c>
      <c r="B1039" s="330">
        <v>2</v>
      </c>
      <c r="C1039" s="298">
        <v>46074</v>
      </c>
      <c r="D1039" s="299" t="s">
        <v>358</v>
      </c>
      <c r="E1039" s="331">
        <v>9.4700000000000006</v>
      </c>
      <c r="F1039" s="331"/>
      <c r="G1039" s="333">
        <f t="shared" si="19"/>
        <v>6473.5699999999915</v>
      </c>
      <c r="H1039" s="334"/>
      <c r="I1039" s="335"/>
      <c r="J1039" s="336"/>
      <c r="K1039" s="301"/>
      <c r="L1039" s="336"/>
      <c r="M1039" s="301"/>
      <c r="N1039" s="336"/>
      <c r="O1039" s="301"/>
      <c r="P1039" s="336"/>
      <c r="Q1039" s="301"/>
      <c r="R1039" s="336"/>
      <c r="S1039" s="301"/>
      <c r="T1039" s="336"/>
    </row>
    <row r="1040" spans="1:20" ht="12" customHeight="1" x14ac:dyDescent="0.3">
      <c r="A1040" s="329" t="s">
        <v>289</v>
      </c>
      <c r="B1040" s="330">
        <v>2</v>
      </c>
      <c r="C1040" s="298">
        <v>46073</v>
      </c>
      <c r="D1040" s="299" t="s">
        <v>296</v>
      </c>
      <c r="E1040" s="331">
        <v>14.47</v>
      </c>
      <c r="F1040" s="331"/>
      <c r="G1040" s="333">
        <f t="shared" si="19"/>
        <v>6483.0399999999918</v>
      </c>
      <c r="H1040" s="334"/>
      <c r="I1040" s="335"/>
      <c r="J1040" s="336"/>
      <c r="K1040" s="301"/>
      <c r="L1040" s="336"/>
      <c r="M1040" s="301"/>
      <c r="N1040" s="336"/>
      <c r="O1040" s="301"/>
      <c r="P1040" s="336"/>
      <c r="Q1040" s="301"/>
      <c r="R1040" s="336"/>
      <c r="S1040" s="301"/>
      <c r="T1040" s="336"/>
    </row>
    <row r="1041" spans="1:20" ht="12" customHeight="1" x14ac:dyDescent="0.3">
      <c r="A1041" s="329" t="s">
        <v>289</v>
      </c>
      <c r="B1041" s="330">
        <v>3</v>
      </c>
      <c r="C1041" s="298">
        <v>46073</v>
      </c>
      <c r="D1041" s="299" t="s">
        <v>355</v>
      </c>
      <c r="E1041" s="331">
        <v>11.97</v>
      </c>
      <c r="F1041" s="331"/>
      <c r="G1041" s="333">
        <f t="shared" si="19"/>
        <v>6497.509999999992</v>
      </c>
      <c r="H1041" s="334"/>
      <c r="I1041" s="335"/>
      <c r="J1041" s="336"/>
      <c r="K1041" s="301"/>
      <c r="L1041" s="336"/>
      <c r="M1041" s="301"/>
      <c r="N1041" s="336"/>
      <c r="O1041" s="301"/>
      <c r="P1041" s="336"/>
      <c r="Q1041" s="301"/>
      <c r="R1041" s="336"/>
      <c r="S1041" s="301"/>
      <c r="T1041" s="336"/>
    </row>
    <row r="1042" spans="1:20" ht="12" customHeight="1" x14ac:dyDescent="0.3">
      <c r="A1042" s="329" t="s">
        <v>289</v>
      </c>
      <c r="B1042" s="330">
        <v>4</v>
      </c>
      <c r="C1042" s="298">
        <v>46073</v>
      </c>
      <c r="D1042" s="299" t="s">
        <v>355</v>
      </c>
      <c r="E1042" s="331">
        <v>59.88</v>
      </c>
      <c r="F1042" s="331"/>
      <c r="G1042" s="333">
        <f t="shared" si="19"/>
        <v>6509.4799999999923</v>
      </c>
      <c r="H1042" s="334"/>
      <c r="I1042" s="335"/>
      <c r="J1042" s="336"/>
      <c r="K1042" s="301"/>
      <c r="L1042" s="336"/>
      <c r="M1042" s="301"/>
      <c r="N1042" s="336"/>
      <c r="O1042" s="301"/>
      <c r="P1042" s="336"/>
      <c r="Q1042" s="301"/>
      <c r="R1042" s="336"/>
      <c r="S1042" s="301"/>
      <c r="T1042" s="336"/>
    </row>
    <row r="1043" spans="1:20" ht="12" customHeight="1" x14ac:dyDescent="0.3">
      <c r="A1043" s="329" t="s">
        <v>289</v>
      </c>
      <c r="B1043" s="330">
        <v>2</v>
      </c>
      <c r="C1043" s="298">
        <v>46073</v>
      </c>
      <c r="D1043" s="299" t="s">
        <v>418</v>
      </c>
      <c r="E1043" s="331">
        <v>19.57</v>
      </c>
      <c r="F1043" s="331"/>
      <c r="G1043" s="333">
        <f t="shared" si="19"/>
        <v>6569.3599999999924</v>
      </c>
      <c r="H1043" s="334"/>
      <c r="I1043" s="335"/>
      <c r="J1043" s="336"/>
      <c r="K1043" s="301"/>
      <c r="L1043" s="336"/>
      <c r="M1043" s="301"/>
      <c r="N1043" s="336"/>
      <c r="O1043" s="301"/>
      <c r="P1043" s="336"/>
      <c r="Q1043" s="301"/>
      <c r="R1043" s="336"/>
      <c r="S1043" s="301"/>
      <c r="T1043" s="336"/>
    </row>
    <row r="1044" spans="1:20" ht="12" customHeight="1" x14ac:dyDescent="0.3">
      <c r="A1044" s="329" t="s">
        <v>294</v>
      </c>
      <c r="B1044" s="330">
        <v>22</v>
      </c>
      <c r="C1044" s="298">
        <v>46073</v>
      </c>
      <c r="D1044" s="299" t="s">
        <v>323</v>
      </c>
      <c r="E1044" s="331">
        <v>20.22</v>
      </c>
      <c r="F1044" s="331"/>
      <c r="G1044" s="333">
        <f t="shared" si="19"/>
        <v>6588.9299999999921</v>
      </c>
      <c r="H1044" s="334"/>
      <c r="I1044" s="335"/>
      <c r="J1044" s="336"/>
      <c r="K1044" s="301"/>
      <c r="L1044" s="336"/>
      <c r="M1044" s="301"/>
      <c r="N1044" s="336"/>
      <c r="O1044" s="301"/>
      <c r="P1044" s="336"/>
      <c r="Q1044" s="301"/>
      <c r="R1044" s="336"/>
      <c r="S1044" s="301"/>
      <c r="T1044" s="336"/>
    </row>
    <row r="1045" spans="1:20" ht="12" customHeight="1" x14ac:dyDescent="0.3">
      <c r="A1045" s="329" t="s">
        <v>289</v>
      </c>
      <c r="B1045" s="330">
        <v>2</v>
      </c>
      <c r="C1045" s="298">
        <v>46073</v>
      </c>
      <c r="D1045" s="299" t="s">
        <v>358</v>
      </c>
      <c r="E1045" s="331">
        <v>5.3</v>
      </c>
      <c r="F1045" s="331"/>
      <c r="G1045" s="333">
        <f t="shared" si="19"/>
        <v>6609.1499999999924</v>
      </c>
      <c r="H1045" s="334"/>
      <c r="I1045" s="335"/>
      <c r="J1045" s="336"/>
      <c r="K1045" s="301"/>
      <c r="L1045" s="336"/>
      <c r="M1045" s="301"/>
      <c r="N1045" s="336"/>
      <c r="O1045" s="301"/>
      <c r="P1045" s="336"/>
      <c r="Q1045" s="301"/>
      <c r="R1045" s="336"/>
      <c r="S1045" s="301"/>
      <c r="T1045" s="336"/>
    </row>
    <row r="1046" spans="1:20" ht="12" customHeight="1" x14ac:dyDescent="0.3">
      <c r="A1046" s="329" t="s">
        <v>289</v>
      </c>
      <c r="B1046" s="330">
        <v>3</v>
      </c>
      <c r="C1046" s="298">
        <v>46073</v>
      </c>
      <c r="D1046" s="299" t="s">
        <v>324</v>
      </c>
      <c r="E1046" s="331">
        <v>8.1300000000000008</v>
      </c>
      <c r="F1046" s="331"/>
      <c r="G1046" s="333">
        <f t="shared" si="19"/>
        <v>6614.4499999999925</v>
      </c>
      <c r="H1046" s="334"/>
      <c r="I1046" s="335"/>
      <c r="J1046" s="336"/>
      <c r="K1046" s="301"/>
      <c r="L1046" s="336"/>
      <c r="M1046" s="301"/>
      <c r="N1046" s="336"/>
      <c r="O1046" s="301"/>
      <c r="P1046" s="336"/>
      <c r="Q1046" s="301"/>
      <c r="R1046" s="336"/>
      <c r="S1046" s="301"/>
      <c r="T1046" s="336"/>
    </row>
    <row r="1047" spans="1:20" ht="12" customHeight="1" x14ac:dyDescent="0.3">
      <c r="A1047" s="329" t="s">
        <v>289</v>
      </c>
      <c r="B1047" s="330">
        <v>4</v>
      </c>
      <c r="C1047" s="298">
        <v>46073</v>
      </c>
      <c r="D1047" s="299" t="s">
        <v>310</v>
      </c>
      <c r="E1047" s="331">
        <v>32.43</v>
      </c>
      <c r="F1047" s="331"/>
      <c r="G1047" s="333">
        <f t="shared" si="19"/>
        <v>6622.5799999999927</v>
      </c>
      <c r="H1047" s="334"/>
      <c r="I1047" s="335"/>
      <c r="J1047" s="336"/>
      <c r="K1047" s="301"/>
      <c r="L1047" s="336"/>
      <c r="M1047" s="301"/>
      <c r="N1047" s="336"/>
      <c r="O1047" s="301"/>
      <c r="P1047" s="336"/>
      <c r="Q1047" s="301"/>
      <c r="R1047" s="336"/>
      <c r="S1047" s="301"/>
      <c r="T1047" s="336"/>
    </row>
    <row r="1048" spans="1:20" ht="12" customHeight="1" x14ac:dyDescent="0.3">
      <c r="A1048" s="329" t="s">
        <v>289</v>
      </c>
      <c r="B1048" s="330">
        <v>8</v>
      </c>
      <c r="C1048" s="298">
        <v>46073</v>
      </c>
      <c r="D1048" s="299" t="s">
        <v>432</v>
      </c>
      <c r="E1048" s="331">
        <v>98.65</v>
      </c>
      <c r="F1048" s="331"/>
      <c r="G1048" s="333">
        <f t="shared" si="19"/>
        <v>6655.0099999999929</v>
      </c>
      <c r="H1048" s="334"/>
      <c r="I1048" s="335"/>
      <c r="J1048" s="336"/>
      <c r="K1048" s="301"/>
      <c r="L1048" s="336"/>
      <c r="M1048" s="301"/>
      <c r="N1048" s="336"/>
      <c r="O1048" s="301"/>
      <c r="P1048" s="336"/>
      <c r="Q1048" s="301"/>
      <c r="R1048" s="336"/>
      <c r="S1048" s="301"/>
      <c r="T1048" s="336"/>
    </row>
    <row r="1049" spans="1:20" ht="12" customHeight="1" x14ac:dyDescent="0.3">
      <c r="A1049" s="329" t="s">
        <v>289</v>
      </c>
      <c r="B1049" s="330">
        <v>6</v>
      </c>
      <c r="C1049" s="298">
        <v>46072</v>
      </c>
      <c r="D1049" s="299" t="s">
        <v>300</v>
      </c>
      <c r="E1049" s="331">
        <v>30.87</v>
      </c>
      <c r="F1049" s="331"/>
      <c r="G1049" s="333">
        <f t="shared" si="19"/>
        <v>6753.6599999999926</v>
      </c>
      <c r="H1049" s="334"/>
      <c r="I1049" s="335"/>
      <c r="J1049" s="336"/>
      <c r="K1049" s="301"/>
      <c r="L1049" s="336"/>
      <c r="M1049" s="301"/>
      <c r="N1049" s="336"/>
      <c r="O1049" s="301"/>
      <c r="P1049" s="336"/>
      <c r="Q1049" s="301"/>
      <c r="R1049" s="336"/>
      <c r="S1049" s="301"/>
      <c r="T1049" s="336"/>
    </row>
    <row r="1050" spans="1:20" ht="12" customHeight="1" x14ac:dyDescent="0.3">
      <c r="A1050" s="329" t="s">
        <v>289</v>
      </c>
      <c r="B1050" s="330">
        <v>6</v>
      </c>
      <c r="C1050" s="298">
        <v>46072</v>
      </c>
      <c r="D1050" s="299" t="s">
        <v>300</v>
      </c>
      <c r="E1050" s="331">
        <v>15.96</v>
      </c>
      <c r="F1050" s="331"/>
      <c r="G1050" s="333">
        <f t="shared" si="19"/>
        <v>6784.5299999999925</v>
      </c>
      <c r="H1050" s="334"/>
      <c r="I1050" s="335"/>
      <c r="J1050" s="336"/>
      <c r="K1050" s="301"/>
      <c r="L1050" s="336"/>
      <c r="M1050" s="301"/>
      <c r="N1050" s="336"/>
      <c r="O1050" s="301"/>
      <c r="P1050" s="336"/>
      <c r="Q1050" s="301"/>
      <c r="R1050" s="336"/>
      <c r="S1050" s="301"/>
      <c r="T1050" s="336"/>
    </row>
    <row r="1051" spans="1:20" ht="12" customHeight="1" x14ac:dyDescent="0.3">
      <c r="A1051" s="329" t="s">
        <v>289</v>
      </c>
      <c r="B1051" s="330">
        <v>2</v>
      </c>
      <c r="C1051" s="298">
        <v>46072</v>
      </c>
      <c r="D1051" s="299" t="s">
        <v>296</v>
      </c>
      <c r="E1051" s="331">
        <v>17.36</v>
      </c>
      <c r="F1051" s="331"/>
      <c r="G1051" s="333">
        <f t="shared" si="19"/>
        <v>6800.4899999999925</v>
      </c>
      <c r="H1051" s="334"/>
      <c r="I1051" s="335"/>
      <c r="J1051" s="336"/>
      <c r="K1051" s="301"/>
      <c r="L1051" s="336"/>
      <c r="M1051" s="301"/>
      <c r="N1051" s="336"/>
      <c r="O1051" s="301"/>
      <c r="P1051" s="336"/>
      <c r="Q1051" s="301"/>
      <c r="R1051" s="336"/>
      <c r="S1051" s="301"/>
      <c r="T1051" s="336"/>
    </row>
    <row r="1052" spans="1:20" ht="12" customHeight="1" x14ac:dyDescent="0.3">
      <c r="A1052" s="329" t="s">
        <v>294</v>
      </c>
      <c r="B1052" s="330">
        <v>22</v>
      </c>
      <c r="C1052" s="298">
        <v>46072</v>
      </c>
      <c r="D1052" s="299" t="s">
        <v>328</v>
      </c>
      <c r="E1052" s="331">
        <v>7.46</v>
      </c>
      <c r="F1052" s="331"/>
      <c r="G1052" s="333">
        <f t="shared" si="19"/>
        <v>6817.8499999999922</v>
      </c>
      <c r="H1052" s="334"/>
      <c r="I1052" s="335"/>
      <c r="J1052" s="336"/>
      <c r="K1052" s="301"/>
      <c r="L1052" s="336"/>
      <c r="M1052" s="301"/>
      <c r="N1052" s="336"/>
      <c r="O1052" s="301"/>
      <c r="P1052" s="336"/>
      <c r="Q1052" s="301"/>
      <c r="R1052" s="336"/>
      <c r="S1052" s="301"/>
      <c r="T1052" s="336"/>
    </row>
    <row r="1053" spans="1:20" ht="12" customHeight="1" x14ac:dyDescent="0.3">
      <c r="A1053" s="329" t="s">
        <v>291</v>
      </c>
      <c r="B1053" s="330">
        <v>39</v>
      </c>
      <c r="C1053" s="298">
        <v>46072</v>
      </c>
      <c r="D1053" s="299" t="s">
        <v>292</v>
      </c>
      <c r="E1053" s="331"/>
      <c r="F1053" s="331">
        <v>2763.77</v>
      </c>
      <c r="G1053" s="333">
        <f t="shared" si="19"/>
        <v>6825.3099999999922</v>
      </c>
      <c r="H1053" s="334"/>
      <c r="I1053" s="335"/>
      <c r="J1053" s="336"/>
      <c r="K1053" s="301"/>
      <c r="L1053" s="336"/>
      <c r="M1053" s="301"/>
      <c r="N1053" s="336"/>
      <c r="O1053" s="301"/>
      <c r="P1053" s="336"/>
      <c r="Q1053" s="301"/>
      <c r="R1053" s="336"/>
      <c r="S1053" s="301"/>
      <c r="T1053" s="336"/>
    </row>
    <row r="1054" spans="1:20" ht="12" customHeight="1" x14ac:dyDescent="0.3">
      <c r="A1054" s="329" t="s">
        <v>335</v>
      </c>
      <c r="B1054" s="330" t="s">
        <v>335</v>
      </c>
      <c r="C1054" s="298">
        <v>46071</v>
      </c>
      <c r="D1054" s="299" t="s">
        <v>336</v>
      </c>
      <c r="E1054" s="331">
        <v>182.55</v>
      </c>
      <c r="F1054" s="331"/>
      <c r="G1054" s="333">
        <f t="shared" si="19"/>
        <v>4061.5399999999927</v>
      </c>
      <c r="H1054" s="334"/>
      <c r="I1054" s="335"/>
      <c r="J1054" s="336"/>
      <c r="K1054" s="301"/>
      <c r="L1054" s="336"/>
      <c r="M1054" s="301"/>
      <c r="N1054" s="336"/>
      <c r="O1054" s="301"/>
      <c r="P1054" s="336"/>
      <c r="Q1054" s="301"/>
      <c r="R1054" s="336"/>
      <c r="S1054" s="301"/>
      <c r="T1054" s="336"/>
    </row>
    <row r="1055" spans="1:20" ht="12" customHeight="1" x14ac:dyDescent="0.3">
      <c r="A1055" s="329" t="s">
        <v>294</v>
      </c>
      <c r="B1055" s="330">
        <v>15</v>
      </c>
      <c r="C1055" s="298">
        <v>46071</v>
      </c>
      <c r="D1055" s="299" t="s">
        <v>185</v>
      </c>
      <c r="E1055" s="331">
        <v>188.16</v>
      </c>
      <c r="F1055" s="331"/>
      <c r="G1055" s="333">
        <f t="shared" si="19"/>
        <v>4244.0899999999929</v>
      </c>
      <c r="H1055" s="334"/>
      <c r="I1055" s="335"/>
      <c r="J1055" s="336"/>
      <c r="K1055" s="301"/>
      <c r="L1055" s="336"/>
      <c r="M1055" s="301"/>
      <c r="N1055" s="336"/>
      <c r="O1055" s="301"/>
      <c r="P1055" s="336"/>
      <c r="Q1055" s="301"/>
      <c r="R1055" s="336"/>
      <c r="S1055" s="301"/>
      <c r="T1055" s="336"/>
    </row>
    <row r="1056" spans="1:20" ht="12" customHeight="1" x14ac:dyDescent="0.3">
      <c r="A1056" s="329" t="s">
        <v>291</v>
      </c>
      <c r="B1056" s="330">
        <v>40</v>
      </c>
      <c r="C1056" s="298">
        <v>46071</v>
      </c>
      <c r="D1056" s="299" t="s">
        <v>316</v>
      </c>
      <c r="E1056" s="331"/>
      <c r="F1056" s="331">
        <v>1281.58</v>
      </c>
      <c r="G1056" s="333">
        <f t="shared" si="19"/>
        <v>4432.2499999999927</v>
      </c>
      <c r="H1056" s="334"/>
      <c r="I1056" s="335"/>
      <c r="J1056" s="336"/>
      <c r="K1056" s="301"/>
      <c r="L1056" s="336"/>
      <c r="M1056" s="301"/>
      <c r="N1056" s="336"/>
      <c r="O1056" s="301"/>
      <c r="P1056" s="336"/>
      <c r="Q1056" s="301"/>
      <c r="R1056" s="336"/>
      <c r="S1056" s="301"/>
      <c r="T1056" s="336"/>
    </row>
    <row r="1057" spans="1:20" ht="12" customHeight="1" x14ac:dyDescent="0.3">
      <c r="A1057" s="329" t="s">
        <v>289</v>
      </c>
      <c r="B1057" s="330">
        <v>6</v>
      </c>
      <c r="C1057" s="298">
        <v>46071</v>
      </c>
      <c r="D1057" s="299" t="s">
        <v>433</v>
      </c>
      <c r="E1057" s="331">
        <v>-146</v>
      </c>
      <c r="F1057" s="331"/>
      <c r="G1057" s="333">
        <f t="shared" si="19"/>
        <v>3150.6699999999933</v>
      </c>
      <c r="H1057" s="334"/>
      <c r="I1057" s="335"/>
      <c r="J1057" s="336"/>
      <c r="K1057" s="301"/>
      <c r="L1057" s="336"/>
      <c r="M1057" s="301"/>
      <c r="N1057" s="336"/>
      <c r="O1057" s="301"/>
      <c r="P1057" s="336"/>
      <c r="Q1057" s="301"/>
      <c r="R1057" s="336"/>
      <c r="S1057" s="301"/>
      <c r="T1057" s="336"/>
    </row>
    <row r="1058" spans="1:20" ht="12" customHeight="1" x14ac:dyDescent="0.3">
      <c r="A1058" s="329" t="s">
        <v>289</v>
      </c>
      <c r="B1058" s="330">
        <v>2</v>
      </c>
      <c r="C1058" s="298">
        <v>46071</v>
      </c>
      <c r="D1058" s="299" t="s">
        <v>434</v>
      </c>
      <c r="E1058" s="331">
        <v>-13</v>
      </c>
      <c r="F1058" s="331"/>
      <c r="G1058" s="333">
        <f t="shared" si="19"/>
        <v>3004.6699999999933</v>
      </c>
      <c r="H1058" s="334"/>
      <c r="I1058" s="335"/>
      <c r="J1058" s="336"/>
      <c r="K1058" s="301"/>
      <c r="L1058" s="336"/>
      <c r="M1058" s="301"/>
      <c r="N1058" s="336"/>
      <c r="O1058" s="301"/>
      <c r="P1058" s="336"/>
      <c r="Q1058" s="301"/>
      <c r="R1058" s="336"/>
      <c r="S1058" s="301"/>
      <c r="T1058" s="336"/>
    </row>
    <row r="1059" spans="1:20" ht="12" customHeight="1" x14ac:dyDescent="0.3">
      <c r="A1059" s="329" t="s">
        <v>335</v>
      </c>
      <c r="B1059" s="330" t="s">
        <v>335</v>
      </c>
      <c r="C1059" s="298">
        <v>46071</v>
      </c>
      <c r="D1059" s="299" t="s">
        <v>460</v>
      </c>
      <c r="E1059" s="331"/>
      <c r="F1059" s="331">
        <v>191</v>
      </c>
      <c r="G1059" s="333">
        <f t="shared" si="19"/>
        <v>2991.6699999999933</v>
      </c>
      <c r="H1059" s="334"/>
      <c r="I1059" s="335"/>
      <c r="J1059" s="336"/>
      <c r="K1059" s="301"/>
      <c r="L1059" s="336"/>
      <c r="M1059" s="301"/>
      <c r="N1059" s="336"/>
      <c r="O1059" s="301"/>
      <c r="P1059" s="336"/>
      <c r="Q1059" s="301"/>
      <c r="R1059" s="336"/>
      <c r="S1059" s="301"/>
      <c r="T1059" s="336"/>
    </row>
    <row r="1060" spans="1:20" ht="12" customHeight="1" x14ac:dyDescent="0.3">
      <c r="A1060" s="329" t="s">
        <v>289</v>
      </c>
      <c r="B1060" s="330">
        <v>6</v>
      </c>
      <c r="C1060" s="298">
        <v>46071</v>
      </c>
      <c r="D1060" s="299" t="s">
        <v>300</v>
      </c>
      <c r="E1060" s="331">
        <v>43.63</v>
      </c>
      <c r="F1060" s="331"/>
      <c r="G1060" s="333">
        <f t="shared" si="19"/>
        <v>2800.6699999999933</v>
      </c>
      <c r="H1060" s="334"/>
      <c r="I1060" s="335"/>
      <c r="J1060" s="336"/>
      <c r="K1060" s="301"/>
      <c r="L1060" s="336"/>
      <c r="M1060" s="301"/>
      <c r="N1060" s="336"/>
      <c r="O1060" s="301"/>
      <c r="P1060" s="336"/>
      <c r="Q1060" s="301"/>
      <c r="R1060" s="336"/>
      <c r="S1060" s="301"/>
      <c r="T1060" s="336"/>
    </row>
    <row r="1061" spans="1:20" ht="12" customHeight="1" x14ac:dyDescent="0.3">
      <c r="A1061" s="329" t="s">
        <v>289</v>
      </c>
      <c r="B1061" s="330">
        <v>6</v>
      </c>
      <c r="C1061" s="298">
        <v>46071</v>
      </c>
      <c r="D1061" s="299" t="s">
        <v>300</v>
      </c>
      <c r="E1061" s="331">
        <v>10.64</v>
      </c>
      <c r="F1061" s="331"/>
      <c r="G1061" s="333">
        <f t="shared" si="19"/>
        <v>2844.2999999999934</v>
      </c>
      <c r="H1061" s="334"/>
      <c r="I1061" s="335"/>
      <c r="J1061" s="336"/>
      <c r="K1061" s="301"/>
      <c r="L1061" s="336"/>
      <c r="M1061" s="301"/>
      <c r="N1061" s="336"/>
      <c r="O1061" s="301"/>
      <c r="P1061" s="336"/>
      <c r="Q1061" s="301"/>
      <c r="R1061" s="336"/>
      <c r="S1061" s="301"/>
      <c r="T1061" s="336"/>
    </row>
    <row r="1062" spans="1:20" ht="12" customHeight="1" x14ac:dyDescent="0.3">
      <c r="A1062" s="329" t="s">
        <v>289</v>
      </c>
      <c r="B1062" s="330">
        <v>8</v>
      </c>
      <c r="C1062" s="298">
        <v>46071</v>
      </c>
      <c r="D1062" s="299" t="s">
        <v>296</v>
      </c>
      <c r="E1062" s="331">
        <v>14.87</v>
      </c>
      <c r="F1062" s="331"/>
      <c r="G1062" s="333">
        <f t="shared" si="19"/>
        <v>2854.9399999999932</v>
      </c>
      <c r="H1062" s="334"/>
      <c r="I1062" s="335"/>
      <c r="J1062" s="336"/>
      <c r="K1062" s="301"/>
      <c r="L1062" s="336"/>
      <c r="M1062" s="301"/>
      <c r="N1062" s="336"/>
      <c r="O1062" s="301"/>
      <c r="P1062" s="336"/>
      <c r="Q1062" s="301"/>
      <c r="R1062" s="336"/>
      <c r="S1062" s="301"/>
      <c r="T1062" s="336"/>
    </row>
    <row r="1063" spans="1:20" ht="12" customHeight="1" x14ac:dyDescent="0.3">
      <c r="A1063" s="329" t="s">
        <v>289</v>
      </c>
      <c r="B1063" s="330">
        <v>2</v>
      </c>
      <c r="C1063" s="298">
        <v>46071</v>
      </c>
      <c r="D1063" s="299" t="s">
        <v>295</v>
      </c>
      <c r="E1063" s="331">
        <v>12.99</v>
      </c>
      <c r="F1063" s="331"/>
      <c r="G1063" s="333">
        <f t="shared" si="19"/>
        <v>2869.8099999999931</v>
      </c>
      <c r="H1063" s="334"/>
      <c r="I1063" s="335"/>
      <c r="J1063" s="336"/>
      <c r="K1063" s="301"/>
      <c r="L1063" s="336"/>
      <c r="M1063" s="301"/>
      <c r="N1063" s="336"/>
      <c r="O1063" s="301"/>
      <c r="P1063" s="336"/>
      <c r="Q1063" s="301"/>
      <c r="R1063" s="336"/>
      <c r="S1063" s="301"/>
      <c r="T1063" s="336"/>
    </row>
    <row r="1064" spans="1:20" ht="12" customHeight="1" x14ac:dyDescent="0.3">
      <c r="A1064" s="329" t="s">
        <v>289</v>
      </c>
      <c r="B1064" s="330">
        <v>4</v>
      </c>
      <c r="C1064" s="298">
        <v>46071</v>
      </c>
      <c r="D1064" s="299" t="s">
        <v>295</v>
      </c>
      <c r="E1064" s="331">
        <v>29.47</v>
      </c>
      <c r="F1064" s="331"/>
      <c r="G1064" s="333">
        <f t="shared" si="19"/>
        <v>2882.7999999999929</v>
      </c>
      <c r="H1064" s="334"/>
      <c r="I1064" s="335"/>
      <c r="J1064" s="336"/>
      <c r="K1064" s="301"/>
      <c r="L1064" s="336"/>
      <c r="M1064" s="301"/>
      <c r="N1064" s="336"/>
      <c r="O1064" s="301"/>
      <c r="P1064" s="336"/>
      <c r="Q1064" s="301"/>
      <c r="R1064" s="336"/>
      <c r="S1064" s="301"/>
      <c r="T1064" s="336"/>
    </row>
    <row r="1065" spans="1:20" ht="12" customHeight="1" x14ac:dyDescent="0.3">
      <c r="A1065" s="329" t="s">
        <v>294</v>
      </c>
      <c r="B1065" s="330">
        <v>22</v>
      </c>
      <c r="C1065" s="298">
        <v>46071</v>
      </c>
      <c r="D1065" s="299" t="s">
        <v>401</v>
      </c>
      <c r="E1065" s="331">
        <v>13.84</v>
      </c>
      <c r="F1065" s="331"/>
      <c r="G1065" s="333">
        <f t="shared" si="19"/>
        <v>2912.2699999999927</v>
      </c>
      <c r="H1065" s="334"/>
      <c r="I1065" s="335"/>
      <c r="J1065" s="336"/>
      <c r="K1065" s="301"/>
      <c r="L1065" s="336"/>
      <c r="M1065" s="301"/>
      <c r="N1065" s="336"/>
      <c r="O1065" s="301"/>
      <c r="P1065" s="336"/>
      <c r="Q1065" s="301"/>
      <c r="R1065" s="336"/>
      <c r="S1065" s="301"/>
      <c r="T1065" s="336"/>
    </row>
    <row r="1066" spans="1:20" ht="12" customHeight="1" x14ac:dyDescent="0.3">
      <c r="A1066" s="329" t="s">
        <v>289</v>
      </c>
      <c r="B1066" s="330">
        <v>2</v>
      </c>
      <c r="C1066" s="298">
        <v>46071</v>
      </c>
      <c r="D1066" s="299" t="s">
        <v>435</v>
      </c>
      <c r="E1066" s="331">
        <v>64.569999999999993</v>
      </c>
      <c r="F1066" s="331"/>
      <c r="G1066" s="333">
        <f t="shared" si="19"/>
        <v>2926.1099999999929</v>
      </c>
      <c r="H1066" s="334"/>
      <c r="I1066" s="335"/>
      <c r="J1066" s="336"/>
      <c r="K1066" s="301"/>
      <c r="L1066" s="336"/>
      <c r="M1066" s="301"/>
      <c r="N1066" s="336"/>
      <c r="O1066" s="301"/>
      <c r="P1066" s="336"/>
      <c r="Q1066" s="301"/>
      <c r="R1066" s="336"/>
      <c r="S1066" s="301"/>
      <c r="T1066" s="336"/>
    </row>
    <row r="1067" spans="1:20" ht="12" customHeight="1" x14ac:dyDescent="0.3">
      <c r="A1067" s="329" t="s">
        <v>294</v>
      </c>
      <c r="B1067" s="330">
        <v>21</v>
      </c>
      <c r="C1067" s="298">
        <v>46070</v>
      </c>
      <c r="D1067" s="299" t="s">
        <v>194</v>
      </c>
      <c r="E1067" s="331">
        <v>81</v>
      </c>
      <c r="F1067" s="331"/>
      <c r="G1067" s="333">
        <f t="shared" si="19"/>
        <v>2990.679999999993</v>
      </c>
      <c r="H1067" s="334"/>
      <c r="I1067" s="335"/>
      <c r="J1067" s="336"/>
      <c r="K1067" s="301"/>
      <c r="L1067" s="336"/>
      <c r="M1067" s="301"/>
      <c r="N1067" s="336"/>
      <c r="O1067" s="301"/>
      <c r="P1067" s="336"/>
      <c r="Q1067" s="301"/>
      <c r="R1067" s="336"/>
      <c r="S1067" s="301"/>
      <c r="T1067" s="336"/>
    </row>
    <row r="1068" spans="1:20" ht="12" customHeight="1" x14ac:dyDescent="0.3">
      <c r="A1068" s="329" t="s">
        <v>289</v>
      </c>
      <c r="B1068" s="330">
        <v>2</v>
      </c>
      <c r="C1068" s="298">
        <v>46070</v>
      </c>
      <c r="D1068" s="299" t="s">
        <v>384</v>
      </c>
      <c r="E1068" s="331">
        <v>81.41</v>
      </c>
      <c r="F1068" s="331"/>
      <c r="G1068" s="333">
        <f t="shared" si="19"/>
        <v>3071.679999999993</v>
      </c>
      <c r="H1068" s="334"/>
      <c r="I1068" s="335"/>
      <c r="J1068" s="336"/>
      <c r="K1068" s="301"/>
      <c r="L1068" s="336"/>
      <c r="M1068" s="301"/>
      <c r="N1068" s="336"/>
      <c r="O1068" s="301"/>
      <c r="P1068" s="336"/>
      <c r="Q1068" s="301"/>
      <c r="R1068" s="336"/>
      <c r="S1068" s="301"/>
      <c r="T1068" s="336"/>
    </row>
    <row r="1069" spans="1:20" ht="12" customHeight="1" x14ac:dyDescent="0.3">
      <c r="A1069" s="329" t="s">
        <v>289</v>
      </c>
      <c r="B1069" s="330">
        <v>6</v>
      </c>
      <c r="C1069" s="298">
        <v>46070</v>
      </c>
      <c r="D1069" s="299" t="s">
        <v>300</v>
      </c>
      <c r="E1069" s="331">
        <v>113.74</v>
      </c>
      <c r="F1069" s="331"/>
      <c r="G1069" s="333">
        <f t="shared" si="19"/>
        <v>3153.0899999999929</v>
      </c>
      <c r="H1069" s="334"/>
      <c r="I1069" s="335"/>
      <c r="J1069" s="336"/>
      <c r="K1069" s="301"/>
      <c r="L1069" s="336"/>
      <c r="M1069" s="301"/>
      <c r="N1069" s="336"/>
      <c r="O1069" s="301"/>
      <c r="P1069" s="336"/>
      <c r="Q1069" s="301"/>
      <c r="R1069" s="336"/>
      <c r="S1069" s="301"/>
      <c r="T1069" s="336"/>
    </row>
    <row r="1070" spans="1:20" ht="12" customHeight="1" x14ac:dyDescent="0.3">
      <c r="A1070" s="329" t="s">
        <v>294</v>
      </c>
      <c r="B1070" s="330">
        <v>43</v>
      </c>
      <c r="C1070" s="298">
        <v>46070</v>
      </c>
      <c r="D1070" s="299" t="s">
        <v>333</v>
      </c>
      <c r="E1070" s="331">
        <v>29.8</v>
      </c>
      <c r="F1070" s="331"/>
      <c r="G1070" s="333">
        <f t="shared" si="19"/>
        <v>3266.8299999999927</v>
      </c>
      <c r="H1070" s="334"/>
      <c r="I1070" s="335"/>
      <c r="J1070" s="336"/>
      <c r="K1070" s="301"/>
      <c r="L1070" s="336"/>
      <c r="M1070" s="301"/>
      <c r="N1070" s="336"/>
      <c r="O1070" s="301"/>
      <c r="P1070" s="336"/>
      <c r="Q1070" s="301"/>
      <c r="R1070" s="336"/>
      <c r="S1070" s="301"/>
      <c r="T1070" s="336"/>
    </row>
    <row r="1071" spans="1:20" ht="12" customHeight="1" x14ac:dyDescent="0.3">
      <c r="A1071" s="329" t="s">
        <v>294</v>
      </c>
      <c r="B1071" s="330">
        <v>42</v>
      </c>
      <c r="C1071" s="298">
        <v>46070</v>
      </c>
      <c r="D1071" s="299" t="s">
        <v>333</v>
      </c>
      <c r="E1071" s="331">
        <v>37.25</v>
      </c>
      <c r="F1071" s="331"/>
      <c r="G1071" s="333">
        <f t="shared" si="19"/>
        <v>3296.6299999999928</v>
      </c>
      <c r="H1071" s="334"/>
      <c r="I1071" s="335"/>
      <c r="J1071" s="336"/>
      <c r="K1071" s="301"/>
      <c r="L1071" s="336"/>
      <c r="M1071" s="301"/>
      <c r="N1071" s="336"/>
      <c r="O1071" s="301"/>
      <c r="P1071" s="336"/>
      <c r="Q1071" s="301"/>
      <c r="R1071" s="336"/>
      <c r="S1071" s="301"/>
      <c r="T1071" s="336"/>
    </row>
    <row r="1072" spans="1:20" ht="12" customHeight="1" x14ac:dyDescent="0.3">
      <c r="A1072" s="329" t="s">
        <v>289</v>
      </c>
      <c r="B1072" s="330">
        <v>2</v>
      </c>
      <c r="C1072" s="298">
        <v>46070</v>
      </c>
      <c r="D1072" s="299" t="s">
        <v>424</v>
      </c>
      <c r="E1072" s="331">
        <v>7.97</v>
      </c>
      <c r="F1072" s="331"/>
      <c r="G1072" s="333">
        <f t="shared" si="19"/>
        <v>3333.8799999999928</v>
      </c>
      <c r="H1072" s="334"/>
      <c r="I1072" s="335"/>
      <c r="J1072" s="336"/>
      <c r="K1072" s="301"/>
      <c r="L1072" s="336"/>
      <c r="M1072" s="301"/>
      <c r="N1072" s="336"/>
      <c r="O1072" s="301"/>
      <c r="P1072" s="336"/>
      <c r="Q1072" s="301"/>
      <c r="R1072" s="336"/>
      <c r="S1072" s="301"/>
      <c r="T1072" s="336"/>
    </row>
    <row r="1073" spans="1:20" ht="12" customHeight="1" x14ac:dyDescent="0.3">
      <c r="A1073" s="329" t="s">
        <v>294</v>
      </c>
      <c r="B1073" s="330">
        <v>17</v>
      </c>
      <c r="C1073" s="298">
        <v>46070</v>
      </c>
      <c r="D1073" s="299" t="s">
        <v>188</v>
      </c>
      <c r="E1073" s="331">
        <v>42.65</v>
      </c>
      <c r="F1073" s="331"/>
      <c r="G1073" s="333">
        <f t="shared" si="19"/>
        <v>3341.8499999999926</v>
      </c>
      <c r="H1073" s="334"/>
      <c r="I1073" s="335"/>
      <c r="J1073" s="336"/>
      <c r="K1073" s="301"/>
      <c r="L1073" s="336"/>
      <c r="M1073" s="301"/>
      <c r="N1073" s="336"/>
      <c r="O1073" s="301"/>
      <c r="P1073" s="336"/>
      <c r="Q1073" s="301"/>
      <c r="R1073" s="336"/>
      <c r="S1073" s="301"/>
      <c r="T1073" s="336"/>
    </row>
    <row r="1074" spans="1:20" ht="12" customHeight="1" x14ac:dyDescent="0.3">
      <c r="A1074" s="329" t="s">
        <v>289</v>
      </c>
      <c r="B1074" s="330">
        <v>6</v>
      </c>
      <c r="C1074" s="298">
        <v>46070</v>
      </c>
      <c r="D1074" s="299" t="s">
        <v>436</v>
      </c>
      <c r="E1074" s="331">
        <v>40</v>
      </c>
      <c r="F1074" s="331"/>
      <c r="G1074" s="333">
        <f t="shared" si="19"/>
        <v>3384.4999999999927</v>
      </c>
      <c r="H1074" s="334"/>
      <c r="I1074" s="335"/>
      <c r="J1074" s="336"/>
      <c r="K1074" s="301"/>
      <c r="L1074" s="336"/>
      <c r="M1074" s="301"/>
      <c r="N1074" s="336"/>
      <c r="O1074" s="301"/>
      <c r="P1074" s="336"/>
      <c r="Q1074" s="301"/>
      <c r="R1074" s="336"/>
      <c r="S1074" s="301"/>
      <c r="T1074" s="336"/>
    </row>
    <row r="1075" spans="1:20" ht="12" customHeight="1" x14ac:dyDescent="0.3">
      <c r="A1075" s="329" t="s">
        <v>294</v>
      </c>
      <c r="B1075" s="330">
        <v>11</v>
      </c>
      <c r="C1075" s="298">
        <v>46070</v>
      </c>
      <c r="D1075" s="299" t="s">
        <v>178</v>
      </c>
      <c r="E1075" s="331">
        <v>480.91</v>
      </c>
      <c r="F1075" s="331"/>
      <c r="G1075" s="333">
        <f t="shared" si="19"/>
        <v>3424.4999999999927</v>
      </c>
      <c r="H1075" s="334"/>
      <c r="I1075" s="335"/>
      <c r="J1075" s="336"/>
      <c r="K1075" s="301"/>
      <c r="L1075" s="336"/>
      <c r="M1075" s="301"/>
      <c r="N1075" s="336"/>
      <c r="O1075" s="301"/>
      <c r="P1075" s="336"/>
      <c r="Q1075" s="301"/>
      <c r="R1075" s="336"/>
      <c r="S1075" s="301"/>
      <c r="T1075" s="336"/>
    </row>
    <row r="1076" spans="1:20" ht="12" customHeight="1" x14ac:dyDescent="0.3">
      <c r="A1076" s="329" t="s">
        <v>294</v>
      </c>
      <c r="B1076" s="330">
        <v>23</v>
      </c>
      <c r="C1076" s="298">
        <v>46070</v>
      </c>
      <c r="D1076" s="299" t="s">
        <v>63</v>
      </c>
      <c r="E1076" s="331">
        <v>529.46</v>
      </c>
      <c r="F1076" s="331"/>
      <c r="G1076" s="333">
        <f t="shared" si="19"/>
        <v>3905.4099999999926</v>
      </c>
      <c r="H1076" s="334"/>
      <c r="I1076" s="335"/>
      <c r="J1076" s="336"/>
      <c r="K1076" s="301"/>
      <c r="L1076" s="336"/>
      <c r="M1076" s="301"/>
      <c r="N1076" s="336"/>
      <c r="O1076" s="301"/>
      <c r="P1076" s="336"/>
      <c r="Q1076" s="301"/>
      <c r="R1076" s="336"/>
      <c r="S1076" s="301"/>
      <c r="T1076" s="336"/>
    </row>
    <row r="1077" spans="1:20" ht="12" customHeight="1" x14ac:dyDescent="0.3">
      <c r="A1077" s="329" t="s">
        <v>289</v>
      </c>
      <c r="B1077" s="330">
        <v>2</v>
      </c>
      <c r="C1077" s="298">
        <v>46069</v>
      </c>
      <c r="D1077" s="299" t="s">
        <v>324</v>
      </c>
      <c r="E1077" s="331">
        <v>16.079999999999998</v>
      </c>
      <c r="F1077" s="331"/>
      <c r="G1077" s="333">
        <f t="shared" si="19"/>
        <v>4434.8699999999926</v>
      </c>
      <c r="H1077" s="334"/>
      <c r="I1077" s="335"/>
      <c r="J1077" s="336"/>
      <c r="K1077" s="301"/>
      <c r="L1077" s="336"/>
      <c r="M1077" s="301"/>
      <c r="N1077" s="336"/>
      <c r="O1077" s="301"/>
      <c r="P1077" s="336"/>
      <c r="Q1077" s="301"/>
      <c r="R1077" s="336"/>
      <c r="S1077" s="301"/>
      <c r="T1077" s="336"/>
    </row>
    <row r="1078" spans="1:20" ht="12" customHeight="1" x14ac:dyDescent="0.3">
      <c r="A1078" s="329" t="s">
        <v>289</v>
      </c>
      <c r="B1078" s="330">
        <v>6</v>
      </c>
      <c r="C1078" s="298">
        <v>46069</v>
      </c>
      <c r="D1078" s="299" t="s">
        <v>300</v>
      </c>
      <c r="E1078" s="331">
        <v>21.17</v>
      </c>
      <c r="F1078" s="331"/>
      <c r="G1078" s="333">
        <f t="shared" si="19"/>
        <v>4450.9499999999925</v>
      </c>
      <c r="H1078" s="334"/>
      <c r="I1078" s="335"/>
      <c r="J1078" s="336"/>
      <c r="K1078" s="301"/>
      <c r="L1078" s="336"/>
      <c r="M1078" s="301"/>
      <c r="N1078" s="336"/>
      <c r="O1078" s="301"/>
      <c r="P1078" s="336"/>
      <c r="Q1078" s="301"/>
      <c r="R1078" s="336"/>
      <c r="S1078" s="301"/>
      <c r="T1078" s="336"/>
    </row>
    <row r="1079" spans="1:20" ht="12" customHeight="1" x14ac:dyDescent="0.3">
      <c r="A1079" s="329" t="s">
        <v>289</v>
      </c>
      <c r="B1079" s="330">
        <v>6</v>
      </c>
      <c r="C1079" s="298">
        <v>46069</v>
      </c>
      <c r="D1079" s="299" t="s">
        <v>300</v>
      </c>
      <c r="E1079" s="331">
        <v>17.03</v>
      </c>
      <c r="F1079" s="331"/>
      <c r="G1079" s="333">
        <f t="shared" si="19"/>
        <v>4472.1199999999926</v>
      </c>
      <c r="H1079" s="334"/>
      <c r="I1079" s="335"/>
      <c r="J1079" s="336"/>
      <c r="K1079" s="301"/>
      <c r="L1079" s="336"/>
      <c r="M1079" s="301"/>
      <c r="N1079" s="336"/>
      <c r="O1079" s="301"/>
      <c r="P1079" s="336"/>
      <c r="Q1079" s="301"/>
      <c r="R1079" s="336"/>
      <c r="S1079" s="301"/>
      <c r="T1079" s="336"/>
    </row>
    <row r="1080" spans="1:20" ht="12" customHeight="1" x14ac:dyDescent="0.3">
      <c r="A1080" s="329" t="s">
        <v>289</v>
      </c>
      <c r="B1080" s="330">
        <v>2</v>
      </c>
      <c r="C1080" s="298">
        <v>46069</v>
      </c>
      <c r="D1080" s="299" t="s">
        <v>296</v>
      </c>
      <c r="E1080" s="331">
        <v>18.309999999999999</v>
      </c>
      <c r="F1080" s="331"/>
      <c r="G1080" s="333">
        <f t="shared" si="19"/>
        <v>4489.1499999999924</v>
      </c>
      <c r="H1080" s="334"/>
      <c r="I1080" s="335"/>
      <c r="J1080" s="336"/>
      <c r="K1080" s="301"/>
      <c r="L1080" s="336"/>
      <c r="M1080" s="301"/>
      <c r="N1080" s="336"/>
      <c r="O1080" s="301"/>
      <c r="P1080" s="336"/>
      <c r="Q1080" s="301"/>
      <c r="R1080" s="336"/>
      <c r="S1080" s="301"/>
      <c r="T1080" s="336"/>
    </row>
    <row r="1081" spans="1:20" ht="12" customHeight="1" x14ac:dyDescent="0.3">
      <c r="A1081" s="329" t="s">
        <v>289</v>
      </c>
      <c r="B1081" s="330">
        <v>2</v>
      </c>
      <c r="C1081" s="298">
        <v>46069</v>
      </c>
      <c r="D1081" s="299" t="s">
        <v>301</v>
      </c>
      <c r="E1081" s="331">
        <v>19.3</v>
      </c>
      <c r="F1081" s="331"/>
      <c r="G1081" s="333">
        <f t="shared" si="19"/>
        <v>4507.4599999999928</v>
      </c>
      <c r="H1081" s="334"/>
      <c r="I1081" s="335"/>
      <c r="J1081" s="336"/>
      <c r="K1081" s="301"/>
      <c r="L1081" s="336"/>
      <c r="M1081" s="301"/>
      <c r="N1081" s="336"/>
      <c r="O1081" s="301"/>
      <c r="P1081" s="336"/>
      <c r="Q1081" s="301"/>
      <c r="R1081" s="336"/>
      <c r="S1081" s="301"/>
      <c r="T1081" s="336"/>
    </row>
    <row r="1082" spans="1:20" ht="12" customHeight="1" x14ac:dyDescent="0.3">
      <c r="A1082" s="329" t="s">
        <v>289</v>
      </c>
      <c r="B1082" s="330">
        <v>6</v>
      </c>
      <c r="C1082" s="298">
        <v>46069</v>
      </c>
      <c r="D1082" s="299" t="s">
        <v>397</v>
      </c>
      <c r="E1082" s="331">
        <v>24.67</v>
      </c>
      <c r="F1082" s="331"/>
      <c r="G1082" s="333">
        <f t="shared" si="19"/>
        <v>4526.7599999999929</v>
      </c>
      <c r="H1082" s="334"/>
      <c r="I1082" s="335"/>
      <c r="J1082" s="336"/>
      <c r="K1082" s="301"/>
      <c r="L1082" s="336"/>
      <c r="M1082" s="301"/>
      <c r="N1082" s="336"/>
      <c r="O1082" s="301"/>
      <c r="P1082" s="336"/>
      <c r="Q1082" s="301"/>
      <c r="R1082" s="336"/>
      <c r="S1082" s="301"/>
      <c r="T1082" s="336"/>
    </row>
    <row r="1083" spans="1:20" ht="12" customHeight="1" x14ac:dyDescent="0.3">
      <c r="A1083" s="329" t="s">
        <v>287</v>
      </c>
      <c r="B1083" s="330" t="s">
        <v>287</v>
      </c>
      <c r="C1083" s="298">
        <v>46069</v>
      </c>
      <c r="D1083" s="299" t="s">
        <v>397</v>
      </c>
      <c r="E1083" s="331">
        <v>152.41999999999999</v>
      </c>
      <c r="F1083" s="331">
        <v>152.41999999999999</v>
      </c>
      <c r="G1083" s="333">
        <f t="shared" si="19"/>
        <v>4551.429999999993</v>
      </c>
      <c r="H1083" s="334"/>
      <c r="I1083" s="335"/>
      <c r="J1083" s="336"/>
      <c r="K1083" s="301"/>
      <c r="L1083" s="336"/>
      <c r="M1083" s="301"/>
      <c r="N1083" s="336"/>
      <c r="O1083" s="301"/>
      <c r="P1083" s="336"/>
      <c r="Q1083" s="301"/>
      <c r="R1083" s="336"/>
      <c r="S1083" s="301"/>
      <c r="T1083" s="336"/>
    </row>
    <row r="1084" spans="1:20" ht="12" customHeight="1" x14ac:dyDescent="0.3">
      <c r="A1084" s="329" t="s">
        <v>289</v>
      </c>
      <c r="B1084" s="330">
        <v>6</v>
      </c>
      <c r="C1084" s="298">
        <v>46068</v>
      </c>
      <c r="D1084" s="299" t="s">
        <v>437</v>
      </c>
      <c r="E1084" s="331">
        <v>233.83</v>
      </c>
      <c r="F1084" s="331"/>
      <c r="G1084" s="333">
        <f t="shared" si="19"/>
        <v>4551.429999999993</v>
      </c>
      <c r="H1084" s="334"/>
      <c r="I1084" s="335"/>
      <c r="J1084" s="336"/>
      <c r="K1084" s="301"/>
      <c r="L1084" s="336"/>
      <c r="M1084" s="301"/>
      <c r="N1084" s="336"/>
      <c r="O1084" s="301"/>
      <c r="P1084" s="336"/>
      <c r="Q1084" s="301"/>
      <c r="R1084" s="336"/>
      <c r="S1084" s="301"/>
      <c r="T1084" s="336"/>
    </row>
    <row r="1085" spans="1:20" ht="12" customHeight="1" x14ac:dyDescent="0.3">
      <c r="A1085" s="329" t="s">
        <v>289</v>
      </c>
      <c r="B1085" s="330">
        <v>2</v>
      </c>
      <c r="C1085" s="298">
        <v>46068</v>
      </c>
      <c r="D1085" s="299" t="s">
        <v>326</v>
      </c>
      <c r="E1085" s="331">
        <v>50.87</v>
      </c>
      <c r="F1085" s="331"/>
      <c r="G1085" s="333">
        <f t="shared" si="19"/>
        <v>4785.2599999999929</v>
      </c>
      <c r="H1085" s="334"/>
      <c r="I1085" s="335"/>
      <c r="J1085" s="336"/>
      <c r="K1085" s="301"/>
      <c r="L1085" s="336"/>
      <c r="M1085" s="301"/>
      <c r="N1085" s="336"/>
      <c r="O1085" s="301"/>
      <c r="P1085" s="336"/>
      <c r="Q1085" s="301"/>
      <c r="R1085" s="336"/>
      <c r="S1085" s="301"/>
      <c r="T1085" s="336"/>
    </row>
    <row r="1086" spans="1:20" ht="12" customHeight="1" x14ac:dyDescent="0.3">
      <c r="A1086" s="329" t="s">
        <v>289</v>
      </c>
      <c r="B1086" s="330">
        <v>2</v>
      </c>
      <c r="C1086" s="298">
        <v>46068</v>
      </c>
      <c r="D1086" s="299" t="s">
        <v>438</v>
      </c>
      <c r="E1086" s="331">
        <v>16</v>
      </c>
      <c r="F1086" s="331"/>
      <c r="G1086" s="333">
        <f t="shared" si="19"/>
        <v>4836.1299999999928</v>
      </c>
      <c r="H1086" s="334"/>
      <c r="I1086" s="335"/>
      <c r="J1086" s="336"/>
      <c r="K1086" s="301"/>
      <c r="L1086" s="336"/>
      <c r="M1086" s="301"/>
      <c r="N1086" s="336"/>
      <c r="O1086" s="301"/>
      <c r="P1086" s="336"/>
      <c r="Q1086" s="301"/>
      <c r="R1086" s="336"/>
      <c r="S1086" s="301"/>
      <c r="T1086" s="336"/>
    </row>
    <row r="1087" spans="1:20" ht="12" customHeight="1" x14ac:dyDescent="0.3">
      <c r="A1087" s="329" t="s">
        <v>289</v>
      </c>
      <c r="B1087" s="330">
        <v>2</v>
      </c>
      <c r="C1087" s="298">
        <v>46068</v>
      </c>
      <c r="D1087" s="299" t="s">
        <v>353</v>
      </c>
      <c r="E1087" s="331">
        <v>30</v>
      </c>
      <c r="F1087" s="331"/>
      <c r="G1087" s="333">
        <f t="shared" si="19"/>
        <v>4852.1299999999928</v>
      </c>
      <c r="H1087" s="334"/>
      <c r="I1087" s="335"/>
      <c r="J1087" s="336"/>
      <c r="K1087" s="301"/>
      <c r="L1087" s="336"/>
      <c r="M1087" s="301"/>
      <c r="N1087" s="336"/>
      <c r="O1087" s="301"/>
      <c r="P1087" s="336"/>
      <c r="Q1087" s="301"/>
      <c r="R1087" s="336"/>
      <c r="S1087" s="301"/>
      <c r="T1087" s="336"/>
    </row>
    <row r="1088" spans="1:20" ht="12" customHeight="1" x14ac:dyDescent="0.3">
      <c r="A1088" s="329" t="s">
        <v>289</v>
      </c>
      <c r="B1088" s="330">
        <v>6</v>
      </c>
      <c r="C1088" s="298">
        <v>46068</v>
      </c>
      <c r="D1088" s="299" t="s">
        <v>306</v>
      </c>
      <c r="E1088" s="331">
        <v>76</v>
      </c>
      <c r="F1088" s="331"/>
      <c r="G1088" s="333">
        <f t="shared" si="19"/>
        <v>4882.1299999999928</v>
      </c>
      <c r="H1088" s="334"/>
      <c r="I1088" s="335"/>
      <c r="J1088" s="336"/>
      <c r="K1088" s="301"/>
      <c r="L1088" s="336"/>
      <c r="M1088" s="301"/>
      <c r="N1088" s="336"/>
      <c r="O1088" s="301"/>
      <c r="P1088" s="336"/>
      <c r="Q1088" s="301"/>
      <c r="R1088" s="336"/>
      <c r="S1088" s="301"/>
      <c r="T1088" s="336"/>
    </row>
    <row r="1089" spans="1:20" ht="12" customHeight="1" x14ac:dyDescent="0.3">
      <c r="A1089" s="329" t="s">
        <v>289</v>
      </c>
      <c r="B1089" s="330">
        <v>3</v>
      </c>
      <c r="C1089" s="298">
        <v>46068</v>
      </c>
      <c r="D1089" s="299" t="s">
        <v>348</v>
      </c>
      <c r="E1089" s="331">
        <v>3.59</v>
      </c>
      <c r="F1089" s="331"/>
      <c r="G1089" s="333">
        <f t="shared" si="19"/>
        <v>4958.1299999999928</v>
      </c>
      <c r="H1089" s="334"/>
      <c r="I1089" s="335"/>
      <c r="J1089" s="336"/>
      <c r="K1089" s="301"/>
      <c r="L1089" s="336"/>
      <c r="M1089" s="301"/>
      <c r="N1089" s="336"/>
      <c r="O1089" s="301"/>
      <c r="P1089" s="336"/>
      <c r="Q1089" s="301"/>
      <c r="R1089" s="336"/>
      <c r="S1089" s="301"/>
      <c r="T1089" s="336"/>
    </row>
    <row r="1090" spans="1:20" ht="12" customHeight="1" x14ac:dyDescent="0.3">
      <c r="A1090" s="329" t="s">
        <v>289</v>
      </c>
      <c r="B1090" s="330">
        <v>6</v>
      </c>
      <c r="C1090" s="298">
        <v>46068</v>
      </c>
      <c r="D1090" s="299" t="s">
        <v>439</v>
      </c>
      <c r="E1090" s="331">
        <v>70</v>
      </c>
      <c r="F1090" s="331"/>
      <c r="G1090" s="333">
        <f t="shared" si="19"/>
        <v>4961.719999999993</v>
      </c>
      <c r="H1090" s="334"/>
      <c r="I1090" s="335"/>
      <c r="J1090" s="336"/>
      <c r="K1090" s="301"/>
      <c r="L1090" s="336"/>
      <c r="M1090" s="301"/>
      <c r="N1090" s="336"/>
      <c r="O1090" s="301"/>
      <c r="P1090" s="336"/>
      <c r="Q1090" s="301"/>
      <c r="R1090" s="336"/>
      <c r="S1090" s="301"/>
      <c r="T1090" s="336"/>
    </row>
    <row r="1091" spans="1:20" ht="12" customHeight="1" x14ac:dyDescent="0.3">
      <c r="A1091" s="329" t="s">
        <v>289</v>
      </c>
      <c r="B1091" s="330">
        <v>8</v>
      </c>
      <c r="C1091" s="298">
        <v>46068</v>
      </c>
      <c r="D1091" s="299" t="s">
        <v>440</v>
      </c>
      <c r="E1091" s="331">
        <v>175</v>
      </c>
      <c r="F1091" s="331"/>
      <c r="G1091" s="333">
        <f t="shared" si="19"/>
        <v>5031.719999999993</v>
      </c>
      <c r="H1091" s="334" t="s">
        <v>298</v>
      </c>
      <c r="I1091" s="335"/>
      <c r="J1091" s="336"/>
      <c r="K1091" s="301"/>
      <c r="L1091" s="336"/>
      <c r="M1091" s="301"/>
      <c r="N1091" s="336"/>
      <c r="O1091" s="301"/>
      <c r="P1091" s="336"/>
      <c r="Q1091" s="301"/>
      <c r="R1091" s="336"/>
      <c r="S1091" s="301"/>
      <c r="T1091" s="336"/>
    </row>
    <row r="1092" spans="1:20" ht="12" customHeight="1" x14ac:dyDescent="0.3">
      <c r="A1092" s="329" t="s">
        <v>289</v>
      </c>
      <c r="B1092" s="330">
        <v>8</v>
      </c>
      <c r="C1092" s="298">
        <v>46067</v>
      </c>
      <c r="D1092" s="299" t="s">
        <v>319</v>
      </c>
      <c r="E1092" s="331">
        <v>13.09</v>
      </c>
      <c r="F1092" s="331"/>
      <c r="G1092" s="333">
        <f t="shared" si="19"/>
        <v>5206.719999999993</v>
      </c>
      <c r="H1092" s="334"/>
      <c r="I1092" s="335"/>
      <c r="J1092" s="336"/>
      <c r="K1092" s="301"/>
      <c r="L1092" s="336"/>
      <c r="M1092" s="301"/>
      <c r="N1092" s="336"/>
      <c r="O1092" s="301"/>
      <c r="P1092" s="336"/>
      <c r="Q1092" s="301"/>
      <c r="R1092" s="336"/>
      <c r="S1092" s="301"/>
      <c r="T1092" s="336"/>
    </row>
    <row r="1093" spans="1:20" ht="12" customHeight="1" x14ac:dyDescent="0.3">
      <c r="A1093" s="329" t="s">
        <v>289</v>
      </c>
      <c r="B1093" s="330">
        <v>3</v>
      </c>
      <c r="C1093" s="298">
        <v>46067</v>
      </c>
      <c r="D1093" s="299" t="s">
        <v>296</v>
      </c>
      <c r="E1093" s="331">
        <v>7.56</v>
      </c>
      <c r="F1093" s="331"/>
      <c r="G1093" s="333">
        <f t="shared" si="19"/>
        <v>5219.8099999999931</v>
      </c>
      <c r="H1093" s="334"/>
      <c r="I1093" s="335"/>
      <c r="J1093" s="336"/>
      <c r="K1093" s="301"/>
      <c r="L1093" s="336"/>
      <c r="M1093" s="301"/>
      <c r="N1093" s="336"/>
      <c r="O1093" s="301"/>
      <c r="P1093" s="336"/>
      <c r="Q1093" s="301"/>
      <c r="R1093" s="336"/>
      <c r="S1093" s="301"/>
      <c r="T1093" s="336"/>
    </row>
    <row r="1094" spans="1:20" ht="12" customHeight="1" x14ac:dyDescent="0.3">
      <c r="A1094" s="329" t="s">
        <v>289</v>
      </c>
      <c r="B1094" s="330">
        <v>4</v>
      </c>
      <c r="C1094" s="298">
        <v>46067</v>
      </c>
      <c r="D1094" s="299" t="s">
        <v>296</v>
      </c>
      <c r="E1094" s="331">
        <v>32.409999999999997</v>
      </c>
      <c r="F1094" s="331"/>
      <c r="G1094" s="333">
        <f t="shared" si="19"/>
        <v>5227.3699999999935</v>
      </c>
      <c r="H1094" s="334"/>
      <c r="I1094" s="335"/>
      <c r="J1094" s="336"/>
      <c r="K1094" s="301"/>
      <c r="L1094" s="336"/>
      <c r="M1094" s="301"/>
      <c r="N1094" s="336"/>
      <c r="O1094" s="301"/>
      <c r="P1094" s="336"/>
      <c r="Q1094" s="301"/>
      <c r="R1094" s="336"/>
      <c r="S1094" s="301"/>
      <c r="T1094" s="336"/>
    </row>
    <row r="1095" spans="1:20" ht="12" customHeight="1" x14ac:dyDescent="0.3">
      <c r="A1095" s="329" t="s">
        <v>289</v>
      </c>
      <c r="B1095" s="330">
        <v>5</v>
      </c>
      <c r="C1095" s="298">
        <v>46067</v>
      </c>
      <c r="D1095" s="299" t="s">
        <v>441</v>
      </c>
      <c r="E1095" s="331">
        <v>400</v>
      </c>
      <c r="F1095" s="331"/>
      <c r="G1095" s="333">
        <f t="shared" si="19"/>
        <v>5259.7799999999934</v>
      </c>
      <c r="H1095" s="334"/>
      <c r="I1095" s="335"/>
      <c r="J1095" s="336"/>
      <c r="K1095" s="301"/>
      <c r="L1095" s="336"/>
      <c r="M1095" s="301"/>
      <c r="N1095" s="336"/>
      <c r="O1095" s="301"/>
      <c r="P1095" s="336"/>
      <c r="Q1095" s="301"/>
      <c r="R1095" s="336"/>
      <c r="S1095" s="301"/>
      <c r="T1095" s="336"/>
    </row>
    <row r="1096" spans="1:20" ht="12" customHeight="1" x14ac:dyDescent="0.3">
      <c r="A1096" s="329" t="s">
        <v>289</v>
      </c>
      <c r="B1096" s="330">
        <v>8</v>
      </c>
      <c r="C1096" s="298">
        <v>46066</v>
      </c>
      <c r="D1096" s="299" t="s">
        <v>319</v>
      </c>
      <c r="E1096" s="331">
        <v>41.51</v>
      </c>
      <c r="F1096" s="331"/>
      <c r="G1096" s="333">
        <f t="shared" si="19"/>
        <v>5659.7799999999934</v>
      </c>
      <c r="H1096" s="334"/>
      <c r="I1096" s="335"/>
      <c r="J1096" s="336"/>
      <c r="K1096" s="301"/>
      <c r="L1096" s="336"/>
      <c r="M1096" s="301"/>
      <c r="N1096" s="336"/>
      <c r="O1096" s="301"/>
      <c r="P1096" s="336"/>
      <c r="Q1096" s="301"/>
      <c r="R1096" s="336"/>
      <c r="S1096" s="301"/>
      <c r="T1096" s="336"/>
    </row>
    <row r="1097" spans="1:20" ht="12" customHeight="1" x14ac:dyDescent="0.3">
      <c r="A1097" s="329" t="s">
        <v>289</v>
      </c>
      <c r="B1097" s="330">
        <v>4</v>
      </c>
      <c r="C1097" s="298">
        <v>46066</v>
      </c>
      <c r="D1097" s="299" t="s">
        <v>296</v>
      </c>
      <c r="E1097" s="331">
        <v>21.55</v>
      </c>
      <c r="F1097" s="331"/>
      <c r="G1097" s="333">
        <f t="shared" si="19"/>
        <v>5701.2899999999936</v>
      </c>
      <c r="H1097" s="334"/>
      <c r="I1097" s="335"/>
      <c r="J1097" s="336"/>
      <c r="K1097" s="301"/>
      <c r="L1097" s="336"/>
      <c r="M1097" s="301"/>
      <c r="N1097" s="336"/>
      <c r="O1097" s="301"/>
      <c r="P1097" s="336"/>
      <c r="Q1097" s="301"/>
      <c r="R1097" s="336"/>
      <c r="S1097" s="301"/>
      <c r="T1097" s="336"/>
    </row>
    <row r="1098" spans="1:20" ht="12" customHeight="1" x14ac:dyDescent="0.3">
      <c r="A1098" s="329" t="s">
        <v>289</v>
      </c>
      <c r="B1098" s="330">
        <v>2</v>
      </c>
      <c r="C1098" s="298">
        <v>46066</v>
      </c>
      <c r="D1098" s="299" t="s">
        <v>358</v>
      </c>
      <c r="E1098" s="331">
        <v>12.45</v>
      </c>
      <c r="F1098" s="331"/>
      <c r="G1098" s="333">
        <f t="shared" si="19"/>
        <v>5722.8399999999938</v>
      </c>
      <c r="H1098" s="334"/>
      <c r="I1098" s="335"/>
      <c r="J1098" s="336"/>
      <c r="K1098" s="301"/>
      <c r="L1098" s="336"/>
      <c r="M1098" s="301"/>
      <c r="N1098" s="336"/>
      <c r="O1098" s="301"/>
      <c r="P1098" s="336"/>
      <c r="Q1098" s="301"/>
      <c r="R1098" s="336"/>
      <c r="S1098" s="301"/>
      <c r="T1098" s="336"/>
    </row>
    <row r="1099" spans="1:20" ht="12" customHeight="1" x14ac:dyDescent="0.3">
      <c r="A1099" s="329" t="s">
        <v>287</v>
      </c>
      <c r="B1099" s="330" t="s">
        <v>287</v>
      </c>
      <c r="C1099" s="298">
        <v>46066</v>
      </c>
      <c r="D1099" s="299" t="s">
        <v>397</v>
      </c>
      <c r="E1099" s="331">
        <v>91.38</v>
      </c>
      <c r="F1099" s="331">
        <v>91.38</v>
      </c>
      <c r="G1099" s="333">
        <f t="shared" si="19"/>
        <v>5735.2899999999936</v>
      </c>
      <c r="H1099" s="334"/>
      <c r="I1099" s="335"/>
      <c r="J1099" s="336"/>
      <c r="K1099" s="301"/>
      <c r="L1099" s="336"/>
      <c r="M1099" s="301"/>
      <c r="N1099" s="336"/>
      <c r="O1099" s="301"/>
      <c r="P1099" s="336"/>
      <c r="Q1099" s="301"/>
      <c r="R1099" s="336"/>
      <c r="S1099" s="301"/>
      <c r="T1099" s="336"/>
    </row>
    <row r="1100" spans="1:20" ht="12" customHeight="1" x14ac:dyDescent="0.3">
      <c r="A1100" s="329" t="s">
        <v>289</v>
      </c>
      <c r="B1100" s="330">
        <v>1</v>
      </c>
      <c r="C1100" s="298">
        <v>46066</v>
      </c>
      <c r="D1100" s="299" t="s">
        <v>311</v>
      </c>
      <c r="E1100" s="331">
        <v>16.48</v>
      </c>
      <c r="F1100" s="331"/>
      <c r="G1100" s="333">
        <f t="shared" si="19"/>
        <v>5735.2899999999936</v>
      </c>
      <c r="H1100" s="334"/>
      <c r="I1100" s="335"/>
      <c r="J1100" s="336"/>
      <c r="K1100" s="301"/>
      <c r="L1100" s="336"/>
      <c r="M1100" s="301"/>
      <c r="N1100" s="336"/>
      <c r="O1100" s="301"/>
      <c r="P1100" s="336"/>
      <c r="Q1100" s="301"/>
      <c r="R1100" s="336"/>
      <c r="S1100" s="301"/>
      <c r="T1100" s="336"/>
    </row>
    <row r="1101" spans="1:20" ht="12" customHeight="1" x14ac:dyDescent="0.3">
      <c r="A1101" s="329" t="s">
        <v>289</v>
      </c>
      <c r="B1101" s="330">
        <v>1</v>
      </c>
      <c r="C1101" s="298">
        <v>46066</v>
      </c>
      <c r="D1101" s="299" t="s">
        <v>428</v>
      </c>
      <c r="E1101" s="331">
        <v>12.76</v>
      </c>
      <c r="F1101" s="331"/>
      <c r="G1101" s="333">
        <f t="shared" si="19"/>
        <v>5751.7699999999932</v>
      </c>
      <c r="H1101" s="334"/>
      <c r="I1101" s="335"/>
      <c r="J1101" s="336"/>
      <c r="K1101" s="301"/>
      <c r="L1101" s="336"/>
      <c r="M1101" s="301"/>
      <c r="N1101" s="336"/>
      <c r="O1101" s="301"/>
      <c r="P1101" s="336"/>
      <c r="Q1101" s="301"/>
      <c r="R1101" s="336"/>
      <c r="S1101" s="301"/>
      <c r="T1101" s="336"/>
    </row>
    <row r="1102" spans="1:20" ht="12" customHeight="1" x14ac:dyDescent="0.3">
      <c r="A1102" s="329" t="s">
        <v>289</v>
      </c>
      <c r="B1102" s="330">
        <v>4</v>
      </c>
      <c r="C1102" s="298">
        <v>46066</v>
      </c>
      <c r="D1102" s="299" t="s">
        <v>329</v>
      </c>
      <c r="E1102" s="331">
        <v>37.9</v>
      </c>
      <c r="F1102" s="331"/>
      <c r="G1102" s="333">
        <f t="shared" si="19"/>
        <v>5764.5299999999934</v>
      </c>
      <c r="H1102" s="334"/>
      <c r="I1102" s="335"/>
      <c r="J1102" s="336"/>
      <c r="K1102" s="301"/>
      <c r="L1102" s="336"/>
      <c r="M1102" s="301"/>
      <c r="N1102" s="336"/>
      <c r="O1102" s="301"/>
      <c r="P1102" s="336"/>
      <c r="Q1102" s="301"/>
      <c r="R1102" s="336"/>
      <c r="S1102" s="301"/>
      <c r="T1102" s="336"/>
    </row>
    <row r="1103" spans="1:20" ht="12" customHeight="1" x14ac:dyDescent="0.3">
      <c r="A1103" s="329" t="s">
        <v>291</v>
      </c>
      <c r="B1103" s="330">
        <v>40</v>
      </c>
      <c r="C1103" s="298">
        <v>46066</v>
      </c>
      <c r="D1103" s="299" t="s">
        <v>316</v>
      </c>
      <c r="E1103" s="331"/>
      <c r="F1103" s="331">
        <v>427.18</v>
      </c>
      <c r="G1103" s="333">
        <f t="shared" si="19"/>
        <v>5802.429999999993</v>
      </c>
      <c r="H1103" s="334"/>
      <c r="I1103" s="335"/>
      <c r="J1103" s="336"/>
      <c r="K1103" s="301"/>
      <c r="L1103" s="336"/>
      <c r="M1103" s="301"/>
      <c r="N1103" s="336"/>
      <c r="O1103" s="301"/>
      <c r="P1103" s="336"/>
      <c r="Q1103" s="301"/>
      <c r="R1103" s="336"/>
      <c r="S1103" s="301"/>
      <c r="T1103" s="336"/>
    </row>
    <row r="1104" spans="1:20" ht="12" customHeight="1" x14ac:dyDescent="0.3">
      <c r="A1104" s="329" t="s">
        <v>291</v>
      </c>
      <c r="B1104" s="330">
        <v>38</v>
      </c>
      <c r="C1104" s="298">
        <v>46066</v>
      </c>
      <c r="D1104" s="299" t="s">
        <v>293</v>
      </c>
      <c r="E1104" s="331"/>
      <c r="F1104" s="331">
        <v>4278.16</v>
      </c>
      <c r="G1104" s="333">
        <f t="shared" si="19"/>
        <v>5375.2499999999927</v>
      </c>
      <c r="H1104" s="334"/>
      <c r="I1104" s="335"/>
      <c r="J1104" s="336"/>
      <c r="K1104" s="301"/>
      <c r="L1104" s="336"/>
      <c r="M1104" s="301"/>
      <c r="N1104" s="336"/>
      <c r="O1104" s="301"/>
      <c r="P1104" s="336"/>
      <c r="Q1104" s="301"/>
      <c r="R1104" s="336"/>
      <c r="S1104" s="301"/>
      <c r="T1104" s="336"/>
    </row>
    <row r="1105" spans="1:20" ht="12" customHeight="1" x14ac:dyDescent="0.3">
      <c r="A1105" s="329" t="s">
        <v>289</v>
      </c>
      <c r="B1105" s="330">
        <v>8</v>
      </c>
      <c r="C1105" s="298">
        <v>46065</v>
      </c>
      <c r="D1105" s="299" t="s">
        <v>357</v>
      </c>
      <c r="E1105" s="331">
        <v>111.36</v>
      </c>
      <c r="F1105" s="331"/>
      <c r="G1105" s="333">
        <f t="shared" si="19"/>
        <v>1097.0899999999931</v>
      </c>
      <c r="H1105" s="334"/>
      <c r="I1105" s="335"/>
      <c r="J1105" s="336"/>
      <c r="K1105" s="301"/>
      <c r="L1105" s="336"/>
      <c r="M1105" s="301"/>
      <c r="N1105" s="336"/>
      <c r="O1105" s="301"/>
      <c r="P1105" s="336"/>
      <c r="Q1105" s="301"/>
      <c r="R1105" s="336"/>
      <c r="S1105" s="301"/>
      <c r="T1105" s="336"/>
    </row>
    <row r="1106" spans="1:20" ht="12" customHeight="1" x14ac:dyDescent="0.3">
      <c r="A1106" s="329" t="s">
        <v>289</v>
      </c>
      <c r="B1106" s="330">
        <v>6</v>
      </c>
      <c r="C1106" s="298">
        <v>46065</v>
      </c>
      <c r="D1106" s="299" t="s">
        <v>442</v>
      </c>
      <c r="E1106" s="331">
        <v>16</v>
      </c>
      <c r="F1106" s="331"/>
      <c r="G1106" s="333">
        <f t="shared" si="19"/>
        <v>1208.449999999993</v>
      </c>
      <c r="H1106" s="334"/>
      <c r="I1106" s="335"/>
      <c r="J1106" s="336"/>
      <c r="K1106" s="301"/>
      <c r="L1106" s="336"/>
      <c r="M1106" s="301"/>
      <c r="N1106" s="336"/>
      <c r="O1106" s="301"/>
      <c r="P1106" s="336"/>
      <c r="Q1106" s="301"/>
      <c r="R1106" s="336"/>
      <c r="S1106" s="301"/>
      <c r="T1106" s="336"/>
    </row>
    <row r="1107" spans="1:20" ht="12" customHeight="1" x14ac:dyDescent="0.3">
      <c r="A1107" s="329" t="s">
        <v>289</v>
      </c>
      <c r="B1107" s="330">
        <v>6</v>
      </c>
      <c r="C1107" s="298">
        <v>46065</v>
      </c>
      <c r="D1107" s="299" t="s">
        <v>300</v>
      </c>
      <c r="E1107" s="331">
        <v>29.81</v>
      </c>
      <c r="F1107" s="331"/>
      <c r="G1107" s="333">
        <f t="shared" si="19"/>
        <v>1224.449999999993</v>
      </c>
      <c r="H1107" s="334"/>
      <c r="I1107" s="335"/>
      <c r="J1107" s="336"/>
      <c r="K1107" s="301"/>
      <c r="L1107" s="336"/>
      <c r="M1107" s="301"/>
      <c r="N1107" s="336"/>
      <c r="O1107" s="301"/>
      <c r="P1107" s="336"/>
      <c r="Q1107" s="301"/>
      <c r="R1107" s="336"/>
      <c r="S1107" s="301"/>
      <c r="T1107" s="336"/>
    </row>
    <row r="1108" spans="1:20" ht="12" customHeight="1" x14ac:dyDescent="0.3">
      <c r="A1108" s="329" t="s">
        <v>294</v>
      </c>
      <c r="B1108" s="330">
        <v>19</v>
      </c>
      <c r="C1108" s="298">
        <v>46065</v>
      </c>
      <c r="D1108" s="299" t="s">
        <v>191</v>
      </c>
      <c r="E1108" s="331">
        <v>200</v>
      </c>
      <c r="F1108" s="331"/>
      <c r="G1108" s="333">
        <f t="shared" si="19"/>
        <v>1254.2599999999929</v>
      </c>
      <c r="H1108" s="334"/>
      <c r="I1108" s="335"/>
      <c r="J1108" s="336"/>
      <c r="K1108" s="301"/>
      <c r="L1108" s="336"/>
      <c r="M1108" s="301"/>
      <c r="N1108" s="336"/>
      <c r="O1108" s="301"/>
      <c r="P1108" s="336"/>
      <c r="Q1108" s="301"/>
      <c r="R1108" s="336"/>
      <c r="S1108" s="301"/>
      <c r="T1108" s="336"/>
    </row>
    <row r="1109" spans="1:20" ht="12" customHeight="1" x14ac:dyDescent="0.3">
      <c r="A1109" s="329" t="s">
        <v>289</v>
      </c>
      <c r="B1109" s="330">
        <v>2</v>
      </c>
      <c r="C1109" s="298">
        <v>46065</v>
      </c>
      <c r="D1109" s="299" t="s">
        <v>296</v>
      </c>
      <c r="E1109" s="331">
        <v>7.56</v>
      </c>
      <c r="F1109" s="331"/>
      <c r="G1109" s="333">
        <f t="shared" si="19"/>
        <v>1454.2599999999929</v>
      </c>
      <c r="H1109" s="334"/>
      <c r="I1109" s="335"/>
      <c r="J1109" s="336"/>
      <c r="K1109" s="301"/>
      <c r="L1109" s="336"/>
      <c r="M1109" s="301"/>
      <c r="N1109" s="336"/>
      <c r="O1109" s="301"/>
      <c r="P1109" s="336"/>
      <c r="Q1109" s="301"/>
      <c r="R1109" s="336"/>
      <c r="S1109" s="301"/>
      <c r="T1109" s="336"/>
    </row>
    <row r="1110" spans="1:20" ht="12" customHeight="1" x14ac:dyDescent="0.3">
      <c r="A1110" s="329" t="s">
        <v>289</v>
      </c>
      <c r="B1110" s="330">
        <v>4</v>
      </c>
      <c r="C1110" s="298">
        <v>46065</v>
      </c>
      <c r="D1110" s="299" t="s">
        <v>296</v>
      </c>
      <c r="E1110" s="331">
        <v>65.78</v>
      </c>
      <c r="F1110" s="331"/>
      <c r="G1110" s="333">
        <f t="shared" si="19"/>
        <v>1461.8199999999929</v>
      </c>
      <c r="H1110" s="334"/>
      <c r="I1110" s="335"/>
      <c r="J1110" s="336"/>
      <c r="K1110" s="301"/>
      <c r="L1110" s="336"/>
      <c r="M1110" s="301"/>
      <c r="N1110" s="336"/>
      <c r="O1110" s="301"/>
      <c r="P1110" s="336"/>
      <c r="Q1110" s="301"/>
      <c r="R1110" s="336"/>
      <c r="S1110" s="301"/>
      <c r="T1110" s="336"/>
    </row>
    <row r="1111" spans="1:20" ht="12" customHeight="1" x14ac:dyDescent="0.3">
      <c r="A1111" s="329" t="s">
        <v>289</v>
      </c>
      <c r="B1111" s="330">
        <v>3</v>
      </c>
      <c r="C1111" s="298">
        <v>46065</v>
      </c>
      <c r="D1111" s="299" t="s">
        <v>296</v>
      </c>
      <c r="E1111" s="331">
        <v>3.93</v>
      </c>
      <c r="F1111" s="331"/>
      <c r="G1111" s="333">
        <f t="shared" si="19"/>
        <v>1527.5999999999929</v>
      </c>
      <c r="H1111" s="334"/>
      <c r="I1111" s="335"/>
      <c r="J1111" s="336"/>
      <c r="K1111" s="301"/>
      <c r="L1111" s="336"/>
      <c r="M1111" s="301"/>
      <c r="N1111" s="336"/>
      <c r="O1111" s="301"/>
      <c r="P1111" s="336"/>
      <c r="Q1111" s="301"/>
      <c r="R1111" s="336"/>
      <c r="S1111" s="301"/>
      <c r="T1111" s="336"/>
    </row>
    <row r="1112" spans="1:20" ht="12" customHeight="1" x14ac:dyDescent="0.3">
      <c r="A1112" s="329" t="s">
        <v>289</v>
      </c>
      <c r="B1112" s="330">
        <v>7</v>
      </c>
      <c r="C1112" s="298">
        <v>46065</v>
      </c>
      <c r="D1112" s="299" t="s">
        <v>443</v>
      </c>
      <c r="E1112" s="331">
        <v>564.83000000000004</v>
      </c>
      <c r="F1112" s="331"/>
      <c r="G1112" s="333">
        <f t="shared" si="19"/>
        <v>1531.5299999999929</v>
      </c>
      <c r="H1112" s="334"/>
      <c r="I1112" s="335"/>
      <c r="J1112" s="336"/>
      <c r="K1112" s="301"/>
      <c r="L1112" s="336"/>
      <c r="M1112" s="301"/>
      <c r="N1112" s="336"/>
      <c r="O1112" s="301"/>
      <c r="P1112" s="336"/>
      <c r="Q1112" s="301"/>
      <c r="R1112" s="336"/>
      <c r="S1112" s="301"/>
      <c r="T1112" s="336"/>
    </row>
    <row r="1113" spans="1:20" ht="12" customHeight="1" x14ac:dyDescent="0.3">
      <c r="A1113" s="329" t="s">
        <v>289</v>
      </c>
      <c r="B1113" s="330">
        <v>7</v>
      </c>
      <c r="C1113" s="298">
        <v>46065</v>
      </c>
      <c r="D1113" s="299" t="s">
        <v>444</v>
      </c>
      <c r="E1113" s="331">
        <v>70.180000000000007</v>
      </c>
      <c r="F1113" s="331"/>
      <c r="G1113" s="333">
        <f t="shared" si="19"/>
        <v>2096.3599999999929</v>
      </c>
      <c r="H1113" s="334"/>
      <c r="I1113" s="335"/>
      <c r="J1113" s="336"/>
      <c r="K1113" s="301"/>
      <c r="L1113" s="336"/>
      <c r="M1113" s="301"/>
      <c r="N1113" s="336"/>
      <c r="O1113" s="301"/>
      <c r="P1113" s="336"/>
      <c r="Q1113" s="301"/>
      <c r="R1113" s="336"/>
      <c r="S1113" s="301"/>
      <c r="T1113" s="336"/>
    </row>
    <row r="1114" spans="1:20" ht="12" customHeight="1" x14ac:dyDescent="0.3">
      <c r="A1114" s="329" t="s">
        <v>289</v>
      </c>
      <c r="B1114" s="330">
        <v>6</v>
      </c>
      <c r="C1114" s="298">
        <v>46065</v>
      </c>
      <c r="D1114" s="299" t="s">
        <v>445</v>
      </c>
      <c r="E1114" s="331">
        <v>2.66</v>
      </c>
      <c r="F1114" s="331"/>
      <c r="G1114" s="333">
        <f t="shared" si="19"/>
        <v>2166.5399999999927</v>
      </c>
      <c r="H1114" s="334"/>
      <c r="I1114" s="335"/>
      <c r="J1114" s="336"/>
      <c r="K1114" s="301"/>
      <c r="L1114" s="336"/>
      <c r="M1114" s="301"/>
      <c r="N1114" s="336"/>
      <c r="O1114" s="301"/>
      <c r="P1114" s="336"/>
      <c r="Q1114" s="301"/>
      <c r="R1114" s="336"/>
      <c r="S1114" s="301"/>
      <c r="T1114" s="336"/>
    </row>
    <row r="1115" spans="1:20" ht="12" customHeight="1" x14ac:dyDescent="0.3">
      <c r="A1115" s="329" t="s">
        <v>289</v>
      </c>
      <c r="B1115" s="330">
        <v>5</v>
      </c>
      <c r="C1115" s="298">
        <v>46064</v>
      </c>
      <c r="D1115" s="299" t="s">
        <v>429</v>
      </c>
      <c r="E1115" s="331">
        <v>103.25</v>
      </c>
      <c r="F1115" s="331"/>
      <c r="G1115" s="333">
        <f t="shared" si="19"/>
        <v>2169.1999999999925</v>
      </c>
      <c r="H1115" s="334"/>
      <c r="I1115" s="335"/>
      <c r="J1115" s="336"/>
      <c r="K1115" s="301"/>
      <c r="L1115" s="336"/>
      <c r="M1115" s="301"/>
      <c r="N1115" s="336"/>
      <c r="O1115" s="301"/>
      <c r="P1115" s="336"/>
      <c r="Q1115" s="301"/>
      <c r="R1115" s="336"/>
      <c r="S1115" s="301"/>
      <c r="T1115" s="336"/>
    </row>
    <row r="1116" spans="1:20" ht="12" customHeight="1" x14ac:dyDescent="0.3">
      <c r="A1116" s="329" t="s">
        <v>289</v>
      </c>
      <c r="B1116" s="330">
        <v>4</v>
      </c>
      <c r="C1116" s="298">
        <v>46064</v>
      </c>
      <c r="D1116" s="299" t="s">
        <v>363</v>
      </c>
      <c r="E1116" s="331">
        <v>30.39</v>
      </c>
      <c r="F1116" s="331"/>
      <c r="G1116" s="333">
        <f t="shared" si="19"/>
        <v>2272.4499999999925</v>
      </c>
      <c r="H1116" s="334"/>
      <c r="I1116" s="335"/>
      <c r="J1116" s="336"/>
      <c r="K1116" s="301"/>
      <c r="L1116" s="336"/>
      <c r="M1116" s="301"/>
      <c r="N1116" s="336"/>
      <c r="O1116" s="301"/>
      <c r="P1116" s="336"/>
      <c r="Q1116" s="301"/>
      <c r="R1116" s="336"/>
      <c r="S1116" s="301"/>
      <c r="T1116" s="336"/>
    </row>
    <row r="1117" spans="1:20" ht="12" customHeight="1" x14ac:dyDescent="0.3">
      <c r="A1117" s="329" t="s">
        <v>289</v>
      </c>
      <c r="B1117" s="330">
        <v>2</v>
      </c>
      <c r="C1117" s="298">
        <v>46064</v>
      </c>
      <c r="D1117" s="299" t="s">
        <v>296</v>
      </c>
      <c r="E1117" s="331">
        <v>9.92</v>
      </c>
      <c r="F1117" s="331"/>
      <c r="G1117" s="333">
        <f t="shared" si="19"/>
        <v>2302.8399999999924</v>
      </c>
      <c r="H1117" s="334"/>
      <c r="I1117" s="335"/>
      <c r="J1117" s="336"/>
      <c r="K1117" s="301"/>
      <c r="L1117" s="336"/>
      <c r="M1117" s="301"/>
      <c r="N1117" s="336"/>
      <c r="O1117" s="301"/>
      <c r="P1117" s="336"/>
      <c r="Q1117" s="301"/>
      <c r="R1117" s="336"/>
      <c r="S1117" s="301"/>
      <c r="T1117" s="336"/>
    </row>
    <row r="1118" spans="1:20" ht="12" customHeight="1" x14ac:dyDescent="0.3">
      <c r="A1118" s="329" t="s">
        <v>289</v>
      </c>
      <c r="B1118" s="330">
        <v>3</v>
      </c>
      <c r="C1118" s="298">
        <v>46064</v>
      </c>
      <c r="D1118" s="299" t="s">
        <v>295</v>
      </c>
      <c r="E1118" s="331">
        <v>3.49</v>
      </c>
      <c r="F1118" s="331"/>
      <c r="G1118" s="333">
        <f t="shared" si="19"/>
        <v>2312.7599999999925</v>
      </c>
      <c r="H1118" s="334"/>
      <c r="I1118" s="335"/>
      <c r="J1118" s="336"/>
      <c r="K1118" s="301"/>
      <c r="L1118" s="336"/>
      <c r="M1118" s="301"/>
      <c r="N1118" s="336"/>
      <c r="O1118" s="301"/>
      <c r="P1118" s="336"/>
      <c r="Q1118" s="301"/>
      <c r="R1118" s="336"/>
      <c r="S1118" s="301"/>
      <c r="T1118" s="336"/>
    </row>
    <row r="1119" spans="1:20" ht="12" customHeight="1" x14ac:dyDescent="0.3">
      <c r="A1119" s="329" t="s">
        <v>294</v>
      </c>
      <c r="B1119" s="330">
        <v>22</v>
      </c>
      <c r="C1119" s="298">
        <v>46064</v>
      </c>
      <c r="D1119" s="299" t="s">
        <v>352</v>
      </c>
      <c r="E1119" s="331">
        <v>19.16</v>
      </c>
      <c r="F1119" s="331"/>
      <c r="G1119" s="333">
        <f t="shared" si="19"/>
        <v>2316.2499999999923</v>
      </c>
      <c r="H1119" s="334"/>
      <c r="I1119" s="335"/>
      <c r="J1119" s="336"/>
      <c r="K1119" s="301"/>
      <c r="L1119" s="336"/>
      <c r="M1119" s="301"/>
      <c r="N1119" s="336"/>
      <c r="O1119" s="301"/>
      <c r="P1119" s="336"/>
      <c r="Q1119" s="301"/>
      <c r="R1119" s="336"/>
      <c r="S1119" s="301"/>
      <c r="T1119" s="336"/>
    </row>
    <row r="1120" spans="1:20" ht="12" customHeight="1" x14ac:dyDescent="0.3">
      <c r="A1120" s="329" t="s">
        <v>289</v>
      </c>
      <c r="B1120" s="330">
        <v>6</v>
      </c>
      <c r="C1120" s="298">
        <v>46063</v>
      </c>
      <c r="D1120" s="299" t="s">
        <v>412</v>
      </c>
      <c r="E1120" s="331">
        <v>-8</v>
      </c>
      <c r="F1120" s="331"/>
      <c r="G1120" s="333">
        <f t="shared" si="19"/>
        <v>2335.4099999999921</v>
      </c>
      <c r="H1120" s="334"/>
      <c r="I1120" s="335"/>
      <c r="J1120" s="336"/>
      <c r="K1120" s="301"/>
      <c r="L1120" s="336"/>
      <c r="M1120" s="301"/>
      <c r="N1120" s="336"/>
      <c r="O1120" s="301"/>
      <c r="P1120" s="336"/>
      <c r="Q1120" s="301"/>
      <c r="R1120" s="336"/>
      <c r="S1120" s="301"/>
      <c r="T1120" s="336"/>
    </row>
    <row r="1121" spans="1:20" ht="12" customHeight="1" x14ac:dyDescent="0.3">
      <c r="A1121" s="329" t="s">
        <v>289</v>
      </c>
      <c r="B1121" s="330">
        <v>6</v>
      </c>
      <c r="C1121" s="298">
        <v>46063</v>
      </c>
      <c r="D1121" s="299" t="s">
        <v>446</v>
      </c>
      <c r="E1121" s="331">
        <v>-0.04</v>
      </c>
      <c r="F1121" s="331"/>
      <c r="G1121" s="333">
        <f t="shared" si="19"/>
        <v>2327.4099999999921</v>
      </c>
      <c r="H1121" s="334"/>
      <c r="I1121" s="335"/>
      <c r="J1121" s="336"/>
      <c r="K1121" s="301"/>
      <c r="L1121" s="336"/>
      <c r="M1121" s="301"/>
      <c r="N1121" s="336"/>
      <c r="O1121" s="301"/>
      <c r="P1121" s="336"/>
      <c r="Q1121" s="301"/>
      <c r="R1121" s="336"/>
      <c r="S1121" s="301"/>
      <c r="T1121" s="336"/>
    </row>
    <row r="1122" spans="1:20" ht="12" customHeight="1" x14ac:dyDescent="0.3">
      <c r="A1122" s="329" t="s">
        <v>335</v>
      </c>
      <c r="B1122" s="330" t="s">
        <v>335</v>
      </c>
      <c r="C1122" s="298">
        <v>46063</v>
      </c>
      <c r="D1122" s="299" t="s">
        <v>447</v>
      </c>
      <c r="E1122" s="331">
        <v>65.78</v>
      </c>
      <c r="F1122" s="331"/>
      <c r="G1122" s="333">
        <f t="shared" si="19"/>
        <v>2327.3699999999922</v>
      </c>
      <c r="H1122" s="334"/>
      <c r="I1122" s="335"/>
      <c r="J1122" s="336"/>
      <c r="K1122" s="301"/>
      <c r="L1122" s="336"/>
      <c r="M1122" s="301"/>
      <c r="N1122" s="336"/>
      <c r="O1122" s="301"/>
      <c r="P1122" s="336"/>
      <c r="Q1122" s="301"/>
      <c r="R1122" s="336"/>
      <c r="S1122" s="301"/>
      <c r="T1122" s="336"/>
    </row>
    <row r="1123" spans="1:20" ht="12" customHeight="1" x14ac:dyDescent="0.3">
      <c r="A1123" s="329" t="s">
        <v>294</v>
      </c>
      <c r="B1123" s="330">
        <v>13</v>
      </c>
      <c r="C1123" s="298">
        <v>46063</v>
      </c>
      <c r="D1123" s="299" t="s">
        <v>182</v>
      </c>
      <c r="E1123" s="331">
        <v>159.35</v>
      </c>
      <c r="F1123" s="331"/>
      <c r="G1123" s="333">
        <f t="shared" si="19"/>
        <v>2393.1499999999924</v>
      </c>
      <c r="H1123" s="334"/>
      <c r="I1123" s="335"/>
      <c r="J1123" s="336"/>
      <c r="K1123" s="301"/>
      <c r="L1123" s="336"/>
      <c r="M1123" s="301"/>
      <c r="N1123" s="336"/>
      <c r="O1123" s="301"/>
      <c r="P1123" s="336"/>
      <c r="Q1123" s="301"/>
      <c r="R1123" s="336"/>
      <c r="S1123" s="301"/>
      <c r="T1123" s="336"/>
    </row>
    <row r="1124" spans="1:20" ht="12" customHeight="1" x14ac:dyDescent="0.3">
      <c r="A1124" s="329" t="s">
        <v>289</v>
      </c>
      <c r="B1124" s="330">
        <v>2</v>
      </c>
      <c r="C1124" s="298">
        <v>46063</v>
      </c>
      <c r="D1124" s="299" t="s">
        <v>296</v>
      </c>
      <c r="E1124" s="331">
        <v>16.29</v>
      </c>
      <c r="F1124" s="331"/>
      <c r="G1124" s="333">
        <f t="shared" si="19"/>
        <v>2552.4999999999923</v>
      </c>
      <c r="H1124" s="334"/>
      <c r="I1124" s="335"/>
      <c r="J1124" s="336"/>
      <c r="K1124" s="301"/>
      <c r="L1124" s="336"/>
      <c r="M1124" s="301"/>
      <c r="N1124" s="336"/>
      <c r="O1124" s="301"/>
      <c r="P1124" s="336"/>
      <c r="Q1124" s="301"/>
      <c r="R1124" s="336"/>
      <c r="S1124" s="301"/>
      <c r="T1124" s="336"/>
    </row>
    <row r="1125" spans="1:20" ht="12" customHeight="1" x14ac:dyDescent="0.3">
      <c r="A1125" s="329" t="s">
        <v>289</v>
      </c>
      <c r="B1125" s="330">
        <v>1</v>
      </c>
      <c r="C1125" s="298">
        <v>46063</v>
      </c>
      <c r="D1125" s="299" t="s">
        <v>311</v>
      </c>
      <c r="E1125" s="331">
        <v>19.329999999999998</v>
      </c>
      <c r="F1125" s="331"/>
      <c r="G1125" s="333">
        <f t="shared" si="19"/>
        <v>2568.7899999999922</v>
      </c>
      <c r="H1125" s="334"/>
      <c r="I1125" s="335"/>
      <c r="J1125" s="336"/>
      <c r="K1125" s="301"/>
      <c r="L1125" s="336"/>
      <c r="M1125" s="301"/>
      <c r="N1125" s="336"/>
      <c r="O1125" s="301"/>
      <c r="P1125" s="336"/>
      <c r="Q1125" s="301"/>
      <c r="R1125" s="336"/>
      <c r="S1125" s="301"/>
      <c r="T1125" s="336"/>
    </row>
    <row r="1126" spans="1:20" ht="12" customHeight="1" x14ac:dyDescent="0.3">
      <c r="A1126" s="329" t="s">
        <v>289</v>
      </c>
      <c r="B1126" s="330">
        <v>3</v>
      </c>
      <c r="C1126" s="298">
        <v>46062</v>
      </c>
      <c r="D1126" s="299" t="s">
        <v>448</v>
      </c>
      <c r="E1126" s="331">
        <v>8.61</v>
      </c>
      <c r="F1126" s="331"/>
      <c r="G1126" s="333">
        <f t="shared" ref="G1126:G1371" si="20">G1127-E1126+F1126</f>
        <v>2588.1199999999922</v>
      </c>
      <c r="H1126" s="334"/>
      <c r="I1126" s="335"/>
      <c r="J1126" s="336"/>
      <c r="K1126" s="301"/>
      <c r="L1126" s="336"/>
      <c r="M1126" s="301"/>
      <c r="N1126" s="336"/>
      <c r="O1126" s="301"/>
      <c r="P1126" s="336"/>
      <c r="Q1126" s="301"/>
      <c r="R1126" s="336"/>
      <c r="S1126" s="301"/>
      <c r="T1126" s="336"/>
    </row>
    <row r="1127" spans="1:20" ht="12" customHeight="1" x14ac:dyDescent="0.3">
      <c r="A1127" s="329" t="s">
        <v>289</v>
      </c>
      <c r="B1127" s="330">
        <v>2</v>
      </c>
      <c r="C1127" s="298">
        <v>46062</v>
      </c>
      <c r="D1127" s="299" t="s">
        <v>296</v>
      </c>
      <c r="E1127" s="331">
        <v>13.41</v>
      </c>
      <c r="F1127" s="331"/>
      <c r="G1127" s="333">
        <f t="shared" si="20"/>
        <v>2596.7299999999923</v>
      </c>
      <c r="H1127" s="334"/>
      <c r="I1127" s="335"/>
      <c r="J1127" s="336"/>
      <c r="K1127" s="301"/>
      <c r="L1127" s="336"/>
      <c r="M1127" s="301"/>
      <c r="N1127" s="336"/>
      <c r="O1127" s="301"/>
      <c r="P1127" s="336"/>
      <c r="Q1127" s="301"/>
      <c r="R1127" s="336"/>
      <c r="S1127" s="301"/>
      <c r="T1127" s="336"/>
    </row>
    <row r="1128" spans="1:20" ht="12" customHeight="1" x14ac:dyDescent="0.3">
      <c r="A1128" s="329" t="s">
        <v>294</v>
      </c>
      <c r="B1128" s="330">
        <v>18</v>
      </c>
      <c r="C1128" s="298">
        <v>46062</v>
      </c>
      <c r="D1128" s="299" t="s">
        <v>361</v>
      </c>
      <c r="E1128" s="331">
        <v>400</v>
      </c>
      <c r="F1128" s="331"/>
      <c r="G1128" s="333">
        <f t="shared" si="20"/>
        <v>2610.1399999999921</v>
      </c>
      <c r="H1128" s="334"/>
      <c r="I1128" s="335"/>
      <c r="J1128" s="336"/>
      <c r="K1128" s="301"/>
      <c r="L1128" s="336"/>
      <c r="M1128" s="301"/>
      <c r="N1128" s="336"/>
      <c r="O1128" s="301"/>
      <c r="P1128" s="336"/>
      <c r="Q1128" s="301"/>
      <c r="R1128" s="336"/>
      <c r="S1128" s="301"/>
      <c r="T1128" s="336"/>
    </row>
    <row r="1129" spans="1:20" ht="12" customHeight="1" x14ac:dyDescent="0.3">
      <c r="A1129" s="329" t="s">
        <v>294</v>
      </c>
      <c r="B1129" s="330">
        <v>9</v>
      </c>
      <c r="C1129" s="298">
        <v>46062</v>
      </c>
      <c r="D1129" s="299" t="s">
        <v>58</v>
      </c>
      <c r="E1129" s="331">
        <v>1281.53</v>
      </c>
      <c r="F1129" s="331"/>
      <c r="G1129" s="333">
        <f t="shared" si="20"/>
        <v>3010.1399999999921</v>
      </c>
      <c r="H1129" s="334"/>
      <c r="I1129" s="335"/>
      <c r="J1129" s="336"/>
      <c r="K1129" s="301"/>
      <c r="L1129" s="336"/>
      <c r="M1129" s="301"/>
      <c r="N1129" s="336"/>
      <c r="O1129" s="301"/>
      <c r="P1129" s="336"/>
      <c r="Q1129" s="301"/>
      <c r="R1129" s="336"/>
      <c r="S1129" s="301"/>
      <c r="T1129" s="336"/>
    </row>
    <row r="1130" spans="1:20" ht="12" customHeight="1" x14ac:dyDescent="0.3">
      <c r="A1130" s="329" t="s">
        <v>289</v>
      </c>
      <c r="B1130" s="330">
        <v>5</v>
      </c>
      <c r="C1130" s="298">
        <v>46062</v>
      </c>
      <c r="D1130" s="299" t="s">
        <v>449</v>
      </c>
      <c r="E1130" s="331">
        <v>50</v>
      </c>
      <c r="F1130" s="331"/>
      <c r="G1130" s="333">
        <f t="shared" si="20"/>
        <v>4291.6699999999919</v>
      </c>
      <c r="H1130" s="334"/>
      <c r="I1130" s="335"/>
      <c r="J1130" s="336"/>
      <c r="K1130" s="301"/>
      <c r="L1130" s="336"/>
      <c r="M1130" s="301"/>
      <c r="N1130" s="336"/>
      <c r="O1130" s="301"/>
      <c r="P1130" s="336"/>
      <c r="Q1130" s="301"/>
      <c r="R1130" s="336"/>
      <c r="S1130" s="301"/>
      <c r="T1130" s="336"/>
    </row>
    <row r="1131" spans="1:20" ht="12" customHeight="1" x14ac:dyDescent="0.3">
      <c r="A1131" s="329" t="s">
        <v>289</v>
      </c>
      <c r="B1131" s="330">
        <v>2</v>
      </c>
      <c r="C1131" s="298">
        <v>46062</v>
      </c>
      <c r="D1131" s="299" t="s">
        <v>450</v>
      </c>
      <c r="E1131" s="331">
        <v>12.1</v>
      </c>
      <c r="F1131" s="331"/>
      <c r="G1131" s="333">
        <f t="shared" si="20"/>
        <v>4341.6699999999919</v>
      </c>
      <c r="H1131" s="334"/>
      <c r="I1131" s="335"/>
      <c r="J1131" s="336"/>
      <c r="K1131" s="301"/>
      <c r="L1131" s="336"/>
      <c r="M1131" s="301"/>
      <c r="N1131" s="336"/>
      <c r="O1131" s="301"/>
      <c r="P1131" s="336"/>
      <c r="Q1131" s="301"/>
      <c r="R1131" s="336"/>
      <c r="S1131" s="301"/>
      <c r="T1131" s="336"/>
    </row>
    <row r="1132" spans="1:20" ht="12" customHeight="1" x14ac:dyDescent="0.3">
      <c r="A1132" s="329" t="s">
        <v>289</v>
      </c>
      <c r="B1132" s="330">
        <v>1</v>
      </c>
      <c r="C1132" s="298">
        <v>46061</v>
      </c>
      <c r="D1132" s="299" t="s">
        <v>306</v>
      </c>
      <c r="E1132" s="331">
        <v>72.099999999999994</v>
      </c>
      <c r="F1132" s="331"/>
      <c r="G1132" s="333">
        <f t="shared" si="20"/>
        <v>4353.7699999999923</v>
      </c>
      <c r="H1132" s="334"/>
      <c r="I1132" s="335"/>
      <c r="J1132" s="336"/>
      <c r="K1132" s="301"/>
      <c r="L1132" s="336"/>
      <c r="M1132" s="301"/>
      <c r="N1132" s="336"/>
      <c r="O1132" s="301"/>
      <c r="P1132" s="336"/>
      <c r="Q1132" s="301"/>
      <c r="R1132" s="336"/>
      <c r="S1132" s="301"/>
      <c r="T1132" s="336"/>
    </row>
    <row r="1133" spans="1:20" ht="12" customHeight="1" x14ac:dyDescent="0.3">
      <c r="A1133" s="329" t="s">
        <v>289</v>
      </c>
      <c r="B1133" s="330">
        <v>8</v>
      </c>
      <c r="C1133" s="298">
        <v>46061</v>
      </c>
      <c r="D1133" s="299" t="s">
        <v>319</v>
      </c>
      <c r="E1133" s="331">
        <v>30.25</v>
      </c>
      <c r="F1133" s="331"/>
      <c r="G1133" s="333">
        <f t="shared" si="20"/>
        <v>4425.8699999999926</v>
      </c>
      <c r="H1133" s="334"/>
      <c r="I1133" s="335"/>
      <c r="J1133" s="336"/>
      <c r="K1133" s="301"/>
      <c r="L1133" s="336"/>
      <c r="M1133" s="301"/>
      <c r="N1133" s="336"/>
      <c r="O1133" s="301"/>
      <c r="P1133" s="336"/>
      <c r="Q1133" s="301"/>
      <c r="R1133" s="336"/>
      <c r="S1133" s="301"/>
      <c r="T1133" s="336"/>
    </row>
    <row r="1134" spans="1:20" ht="12" customHeight="1" x14ac:dyDescent="0.3">
      <c r="A1134" s="329" t="s">
        <v>289</v>
      </c>
      <c r="B1134" s="330">
        <v>3</v>
      </c>
      <c r="C1134" s="298">
        <v>46061</v>
      </c>
      <c r="D1134" s="299" t="s">
        <v>296</v>
      </c>
      <c r="E1134" s="331">
        <v>3.72</v>
      </c>
      <c r="F1134" s="331"/>
      <c r="G1134" s="333">
        <f t="shared" si="20"/>
        <v>4456.1199999999926</v>
      </c>
      <c r="H1134" s="334"/>
      <c r="I1134" s="335"/>
      <c r="J1134" s="336"/>
      <c r="K1134" s="301"/>
      <c r="L1134" s="336"/>
      <c r="M1134" s="301"/>
      <c r="N1134" s="336"/>
      <c r="O1134" s="301"/>
      <c r="P1134" s="336"/>
      <c r="Q1134" s="301"/>
      <c r="R1134" s="336"/>
      <c r="S1134" s="301"/>
      <c r="T1134" s="336"/>
    </row>
    <row r="1135" spans="1:20" ht="12" customHeight="1" x14ac:dyDescent="0.3">
      <c r="A1135" s="329" t="s">
        <v>289</v>
      </c>
      <c r="B1135" s="330">
        <v>4</v>
      </c>
      <c r="C1135" s="298">
        <v>46061</v>
      </c>
      <c r="D1135" s="299" t="s">
        <v>296</v>
      </c>
      <c r="E1135" s="331">
        <v>41.6</v>
      </c>
      <c r="F1135" s="331"/>
      <c r="G1135" s="333">
        <f t="shared" si="20"/>
        <v>4459.8399999999929</v>
      </c>
      <c r="H1135" s="334"/>
      <c r="I1135" s="335"/>
      <c r="J1135" s="336"/>
      <c r="K1135" s="301"/>
      <c r="L1135" s="336"/>
      <c r="M1135" s="301"/>
      <c r="N1135" s="336"/>
      <c r="O1135" s="301"/>
      <c r="P1135" s="336"/>
      <c r="Q1135" s="301"/>
      <c r="R1135" s="336"/>
      <c r="S1135" s="301"/>
      <c r="T1135" s="336"/>
    </row>
    <row r="1136" spans="1:20" ht="12" customHeight="1" x14ac:dyDescent="0.3">
      <c r="A1136" s="329" t="s">
        <v>289</v>
      </c>
      <c r="B1136" s="330">
        <v>3</v>
      </c>
      <c r="C1136" s="298">
        <v>46061</v>
      </c>
      <c r="D1136" s="299" t="s">
        <v>451</v>
      </c>
      <c r="E1136" s="331">
        <v>1</v>
      </c>
      <c r="F1136" s="331"/>
      <c r="G1136" s="333">
        <f t="shared" si="20"/>
        <v>4501.4399999999932</v>
      </c>
      <c r="H1136" s="334"/>
      <c r="I1136" s="335"/>
      <c r="J1136" s="336"/>
      <c r="K1136" s="301"/>
      <c r="L1136" s="336"/>
      <c r="M1136" s="301"/>
      <c r="N1136" s="336"/>
      <c r="O1136" s="301"/>
      <c r="P1136" s="336"/>
      <c r="Q1136" s="301"/>
      <c r="R1136" s="336"/>
      <c r="S1136" s="301"/>
      <c r="T1136" s="336"/>
    </row>
    <row r="1137" spans="1:20" ht="12" customHeight="1" x14ac:dyDescent="0.3">
      <c r="A1137" s="329" t="s">
        <v>289</v>
      </c>
      <c r="B1137" s="330">
        <v>2</v>
      </c>
      <c r="C1137" s="298">
        <v>46061</v>
      </c>
      <c r="D1137" s="299" t="s">
        <v>358</v>
      </c>
      <c r="E1137" s="331">
        <v>10.17</v>
      </c>
      <c r="F1137" s="331"/>
      <c r="G1137" s="333">
        <f t="shared" si="20"/>
        <v>4502.4399999999932</v>
      </c>
      <c r="H1137" s="334"/>
      <c r="I1137" s="335"/>
      <c r="J1137" s="336"/>
      <c r="K1137" s="301"/>
      <c r="L1137" s="336"/>
      <c r="M1137" s="301"/>
      <c r="N1137" s="336"/>
      <c r="O1137" s="301"/>
      <c r="P1137" s="336"/>
      <c r="Q1137" s="301"/>
      <c r="R1137" s="336"/>
      <c r="S1137" s="301"/>
      <c r="T1137" s="336"/>
    </row>
    <row r="1138" spans="1:20" ht="12" customHeight="1" x14ac:dyDescent="0.3">
      <c r="A1138" s="329" t="s">
        <v>287</v>
      </c>
      <c r="B1138" s="330" t="s">
        <v>287</v>
      </c>
      <c r="C1138" s="298">
        <v>46060</v>
      </c>
      <c r="D1138" s="299" t="s">
        <v>452</v>
      </c>
      <c r="E1138" s="331">
        <v>367.77</v>
      </c>
      <c r="F1138" s="331">
        <v>367.77</v>
      </c>
      <c r="G1138" s="333">
        <f t="shared" si="20"/>
        <v>4512.6099999999933</v>
      </c>
      <c r="H1138" s="334"/>
      <c r="I1138" s="335"/>
      <c r="J1138" s="336"/>
      <c r="K1138" s="301"/>
      <c r="L1138" s="336"/>
      <c r="M1138" s="301"/>
      <c r="N1138" s="336"/>
      <c r="O1138" s="301"/>
      <c r="P1138" s="336"/>
      <c r="Q1138" s="301"/>
      <c r="R1138" s="336"/>
      <c r="S1138" s="301"/>
      <c r="T1138" s="336"/>
    </row>
    <row r="1139" spans="1:20" ht="12" customHeight="1" x14ac:dyDescent="0.3">
      <c r="A1139" s="329" t="s">
        <v>289</v>
      </c>
      <c r="B1139" s="330">
        <v>4</v>
      </c>
      <c r="C1139" s="298">
        <v>46060</v>
      </c>
      <c r="D1139" s="299" t="s">
        <v>310</v>
      </c>
      <c r="E1139" s="331">
        <v>32.36</v>
      </c>
      <c r="F1139" s="331"/>
      <c r="G1139" s="333">
        <f t="shared" si="20"/>
        <v>4512.6099999999933</v>
      </c>
      <c r="H1139" s="334"/>
      <c r="I1139" s="335"/>
      <c r="J1139" s="336"/>
      <c r="K1139" s="301"/>
      <c r="L1139" s="336"/>
      <c r="M1139" s="301"/>
      <c r="N1139" s="336"/>
      <c r="O1139" s="301"/>
      <c r="P1139" s="336"/>
      <c r="Q1139" s="301"/>
      <c r="R1139" s="336"/>
      <c r="S1139" s="301"/>
      <c r="T1139" s="336"/>
    </row>
    <row r="1140" spans="1:20" ht="12" customHeight="1" x14ac:dyDescent="0.3">
      <c r="A1140" s="329" t="s">
        <v>289</v>
      </c>
      <c r="B1140" s="330">
        <v>6</v>
      </c>
      <c r="C1140" s="298">
        <v>46060</v>
      </c>
      <c r="D1140" s="299" t="s">
        <v>453</v>
      </c>
      <c r="E1140" s="331">
        <v>41.39</v>
      </c>
      <c r="F1140" s="331"/>
      <c r="G1140" s="333">
        <f t="shared" si="20"/>
        <v>4544.969999999993</v>
      </c>
      <c r="H1140" s="334"/>
      <c r="I1140" s="335"/>
      <c r="J1140" s="336"/>
      <c r="K1140" s="301"/>
      <c r="L1140" s="336"/>
      <c r="M1140" s="301"/>
      <c r="N1140" s="336"/>
      <c r="O1140" s="301"/>
      <c r="P1140" s="336"/>
      <c r="Q1140" s="301"/>
      <c r="R1140" s="336"/>
      <c r="S1140" s="301"/>
      <c r="T1140" s="336"/>
    </row>
    <row r="1141" spans="1:20" ht="12" customHeight="1" x14ac:dyDescent="0.3">
      <c r="A1141" s="329" t="s">
        <v>289</v>
      </c>
      <c r="B1141" s="330">
        <v>1</v>
      </c>
      <c r="C1141" s="298">
        <v>46060</v>
      </c>
      <c r="D1141" s="299" t="s">
        <v>445</v>
      </c>
      <c r="E1141" s="331">
        <v>35.770000000000003</v>
      </c>
      <c r="F1141" s="331"/>
      <c r="G1141" s="333">
        <f t="shared" si="20"/>
        <v>4586.3599999999933</v>
      </c>
      <c r="H1141" s="334"/>
      <c r="I1141" s="335"/>
      <c r="J1141" s="336"/>
      <c r="K1141" s="301"/>
      <c r="L1141" s="336"/>
      <c r="M1141" s="301"/>
      <c r="N1141" s="336"/>
      <c r="O1141" s="301"/>
      <c r="P1141" s="336"/>
      <c r="Q1141" s="301"/>
      <c r="R1141" s="336"/>
      <c r="S1141" s="301"/>
      <c r="T1141" s="336"/>
    </row>
    <row r="1142" spans="1:20" ht="12" customHeight="1" x14ac:dyDescent="0.3">
      <c r="A1142" s="329" t="s">
        <v>289</v>
      </c>
      <c r="B1142" s="330">
        <v>3</v>
      </c>
      <c r="C1142" s="298">
        <v>46060</v>
      </c>
      <c r="D1142" s="299" t="s">
        <v>348</v>
      </c>
      <c r="E1142" s="331">
        <v>25</v>
      </c>
      <c r="F1142" s="331"/>
      <c r="G1142" s="333">
        <f t="shared" si="20"/>
        <v>4622.1299999999937</v>
      </c>
      <c r="H1142" s="334"/>
      <c r="I1142" s="335"/>
      <c r="J1142" s="336"/>
      <c r="K1142" s="301"/>
      <c r="L1142" s="336"/>
      <c r="M1142" s="301"/>
      <c r="N1142" s="336"/>
      <c r="O1142" s="301"/>
      <c r="P1142" s="336"/>
      <c r="Q1142" s="301"/>
      <c r="R1142" s="336"/>
      <c r="S1142" s="301"/>
      <c r="T1142" s="336"/>
    </row>
    <row r="1143" spans="1:20" ht="12" customHeight="1" x14ac:dyDescent="0.3">
      <c r="A1143" s="329" t="s">
        <v>289</v>
      </c>
      <c r="B1143" s="330">
        <v>8</v>
      </c>
      <c r="C1143" s="298">
        <v>46060</v>
      </c>
      <c r="D1143" s="299" t="s">
        <v>296</v>
      </c>
      <c r="E1143" s="331">
        <v>6.69</v>
      </c>
      <c r="F1143" s="331"/>
      <c r="G1143" s="333">
        <f t="shared" si="20"/>
        <v>4647.1299999999937</v>
      </c>
      <c r="H1143" s="334"/>
      <c r="I1143" s="335"/>
      <c r="J1143" s="336"/>
      <c r="K1143" s="301"/>
      <c r="L1143" s="336"/>
      <c r="M1143" s="301"/>
      <c r="N1143" s="336"/>
      <c r="O1143" s="301"/>
      <c r="P1143" s="336"/>
      <c r="Q1143" s="301"/>
      <c r="R1143" s="336"/>
      <c r="S1143" s="301"/>
      <c r="T1143" s="336"/>
    </row>
    <row r="1144" spans="1:20" ht="12" customHeight="1" x14ac:dyDescent="0.3">
      <c r="A1144" s="329" t="s">
        <v>289</v>
      </c>
      <c r="B1144" s="330">
        <v>4</v>
      </c>
      <c r="C1144" s="298">
        <v>46060</v>
      </c>
      <c r="D1144" s="299" t="s">
        <v>296</v>
      </c>
      <c r="E1144" s="331">
        <v>47.85</v>
      </c>
      <c r="F1144" s="331"/>
      <c r="G1144" s="333">
        <f t="shared" si="20"/>
        <v>4653.8199999999933</v>
      </c>
      <c r="H1144" s="334"/>
      <c r="I1144" s="335"/>
      <c r="J1144" s="336"/>
      <c r="K1144" s="301"/>
      <c r="L1144" s="336"/>
      <c r="M1144" s="301"/>
      <c r="N1144" s="336"/>
      <c r="O1144" s="301"/>
      <c r="P1144" s="336"/>
      <c r="Q1144" s="301"/>
      <c r="R1144" s="336"/>
      <c r="S1144" s="301"/>
      <c r="T1144" s="336"/>
    </row>
    <row r="1145" spans="1:20" ht="12" customHeight="1" x14ac:dyDescent="0.3">
      <c r="A1145" s="329" t="s">
        <v>289</v>
      </c>
      <c r="B1145" s="330">
        <v>2</v>
      </c>
      <c r="C1145" s="298">
        <v>46059</v>
      </c>
      <c r="D1145" s="299" t="s">
        <v>301</v>
      </c>
      <c r="E1145" s="331">
        <v>20</v>
      </c>
      <c r="F1145" s="331"/>
      <c r="G1145" s="333">
        <f t="shared" si="20"/>
        <v>4701.6699999999937</v>
      </c>
      <c r="H1145" s="334"/>
      <c r="I1145" s="335"/>
      <c r="J1145" s="336"/>
      <c r="K1145" s="301"/>
      <c r="L1145" s="336"/>
      <c r="M1145" s="301"/>
      <c r="N1145" s="336"/>
      <c r="O1145" s="301"/>
      <c r="P1145" s="336"/>
      <c r="Q1145" s="301"/>
      <c r="R1145" s="336"/>
      <c r="S1145" s="301"/>
      <c r="T1145" s="336"/>
    </row>
    <row r="1146" spans="1:20" ht="12" customHeight="1" x14ac:dyDescent="0.3">
      <c r="A1146" s="329" t="s">
        <v>291</v>
      </c>
      <c r="B1146" s="330">
        <v>40</v>
      </c>
      <c r="C1146" s="298">
        <v>46059</v>
      </c>
      <c r="D1146" s="299" t="s">
        <v>316</v>
      </c>
      <c r="E1146" s="331"/>
      <c r="F1146" s="331">
        <v>822.99</v>
      </c>
      <c r="G1146" s="333">
        <f t="shared" si="20"/>
        <v>4721.6699999999937</v>
      </c>
      <c r="H1146" s="334"/>
      <c r="I1146" s="335"/>
      <c r="J1146" s="336"/>
      <c r="K1146" s="301"/>
      <c r="L1146" s="336"/>
      <c r="M1146" s="301"/>
      <c r="N1146" s="336"/>
      <c r="O1146" s="301"/>
      <c r="P1146" s="336"/>
      <c r="Q1146" s="301"/>
      <c r="R1146" s="336"/>
      <c r="S1146" s="301"/>
      <c r="T1146" s="336"/>
    </row>
    <row r="1147" spans="1:20" ht="12" customHeight="1" x14ac:dyDescent="0.3">
      <c r="A1147" s="329" t="s">
        <v>294</v>
      </c>
      <c r="B1147" s="330">
        <v>14</v>
      </c>
      <c r="C1147" s="298">
        <v>46059</v>
      </c>
      <c r="D1147" s="299" t="s">
        <v>366</v>
      </c>
      <c r="E1147" s="331">
        <v>66.67</v>
      </c>
      <c r="F1147" s="331"/>
      <c r="G1147" s="333">
        <f t="shared" si="20"/>
        <v>3898.6799999999935</v>
      </c>
      <c r="H1147" s="334"/>
      <c r="I1147" s="335"/>
      <c r="J1147" s="336"/>
      <c r="K1147" s="301"/>
      <c r="L1147" s="336"/>
      <c r="M1147" s="301"/>
      <c r="N1147" s="336"/>
      <c r="O1147" s="301"/>
      <c r="P1147" s="336"/>
      <c r="Q1147" s="301"/>
      <c r="R1147" s="336"/>
      <c r="S1147" s="301"/>
      <c r="T1147" s="336"/>
    </row>
    <row r="1148" spans="1:20" ht="12" customHeight="1" x14ac:dyDescent="0.3">
      <c r="A1148" s="329" t="s">
        <v>289</v>
      </c>
      <c r="B1148" s="330">
        <v>2</v>
      </c>
      <c r="C1148" s="298">
        <v>46059</v>
      </c>
      <c r="D1148" s="299" t="s">
        <v>296</v>
      </c>
      <c r="E1148" s="331">
        <v>9.35</v>
      </c>
      <c r="F1148" s="331"/>
      <c r="G1148" s="333">
        <f t="shared" si="20"/>
        <v>3965.3499999999935</v>
      </c>
      <c r="H1148" s="334"/>
      <c r="I1148" s="335"/>
      <c r="J1148" s="336"/>
      <c r="K1148" s="301"/>
      <c r="L1148" s="336"/>
      <c r="M1148" s="301"/>
      <c r="N1148" s="336"/>
      <c r="O1148" s="301"/>
      <c r="P1148" s="336"/>
      <c r="Q1148" s="301"/>
      <c r="R1148" s="336"/>
      <c r="S1148" s="301"/>
      <c r="T1148" s="336"/>
    </row>
    <row r="1149" spans="1:20" ht="12" customHeight="1" x14ac:dyDescent="0.3">
      <c r="A1149" s="329" t="s">
        <v>289</v>
      </c>
      <c r="B1149" s="330">
        <v>4</v>
      </c>
      <c r="C1149" s="298">
        <v>46059</v>
      </c>
      <c r="D1149" s="299" t="s">
        <v>296</v>
      </c>
      <c r="E1149" s="331">
        <v>45.81</v>
      </c>
      <c r="F1149" s="331"/>
      <c r="G1149" s="333">
        <f t="shared" si="20"/>
        <v>3974.6999999999935</v>
      </c>
      <c r="H1149" s="334"/>
      <c r="I1149" s="335"/>
      <c r="J1149" s="336"/>
      <c r="K1149" s="301"/>
      <c r="L1149" s="336"/>
      <c r="M1149" s="301"/>
      <c r="N1149" s="336"/>
      <c r="O1149" s="301"/>
      <c r="P1149" s="336"/>
      <c r="Q1149" s="301"/>
      <c r="R1149" s="336"/>
      <c r="S1149" s="301"/>
      <c r="T1149" s="336"/>
    </row>
    <row r="1150" spans="1:20" ht="12" customHeight="1" x14ac:dyDescent="0.3">
      <c r="A1150" s="329" t="s">
        <v>289</v>
      </c>
      <c r="B1150" s="330">
        <v>2</v>
      </c>
      <c r="C1150" s="298">
        <v>46059</v>
      </c>
      <c r="D1150" s="299" t="s">
        <v>353</v>
      </c>
      <c r="E1150" s="331">
        <v>22.98</v>
      </c>
      <c r="F1150" s="331"/>
      <c r="G1150" s="333">
        <f t="shared" si="20"/>
        <v>4020.5099999999934</v>
      </c>
      <c r="H1150" s="334"/>
      <c r="I1150" s="335"/>
      <c r="J1150" s="336"/>
      <c r="K1150" s="301"/>
      <c r="L1150" s="336"/>
      <c r="M1150" s="301"/>
      <c r="N1150" s="336"/>
      <c r="O1150" s="301"/>
      <c r="P1150" s="336"/>
      <c r="Q1150" s="301"/>
      <c r="R1150" s="336"/>
      <c r="S1150" s="301"/>
      <c r="T1150" s="336"/>
    </row>
    <row r="1151" spans="1:20" ht="12" customHeight="1" x14ac:dyDescent="0.3">
      <c r="A1151" s="329" t="s">
        <v>289</v>
      </c>
      <c r="B1151" s="330">
        <v>2</v>
      </c>
      <c r="C1151" s="298">
        <v>46059</v>
      </c>
      <c r="D1151" s="299" t="s">
        <v>301</v>
      </c>
      <c r="E1151" s="331">
        <v>46.5</v>
      </c>
      <c r="F1151" s="331"/>
      <c r="G1151" s="333">
        <f t="shared" si="20"/>
        <v>4043.4899999999934</v>
      </c>
      <c r="H1151" s="334"/>
      <c r="I1151" s="335"/>
      <c r="J1151" s="336"/>
      <c r="K1151" s="301"/>
      <c r="L1151" s="336"/>
      <c r="M1151" s="301"/>
      <c r="N1151" s="336"/>
      <c r="O1151" s="301"/>
      <c r="P1151" s="336"/>
      <c r="Q1151" s="301"/>
      <c r="R1151" s="336"/>
      <c r="S1151" s="301"/>
      <c r="T1151" s="336"/>
    </row>
    <row r="1152" spans="1:20" ht="12" customHeight="1" x14ac:dyDescent="0.3">
      <c r="A1152" s="329" t="s">
        <v>289</v>
      </c>
      <c r="B1152" s="330">
        <v>2</v>
      </c>
      <c r="C1152" s="298">
        <v>46059</v>
      </c>
      <c r="D1152" s="299" t="s">
        <v>358</v>
      </c>
      <c r="E1152" s="331">
        <v>10.17</v>
      </c>
      <c r="F1152" s="331"/>
      <c r="G1152" s="333">
        <f t="shared" si="20"/>
        <v>4089.9899999999934</v>
      </c>
      <c r="H1152" s="334"/>
      <c r="I1152" s="335"/>
      <c r="J1152" s="336"/>
      <c r="K1152" s="301"/>
      <c r="L1152" s="336"/>
      <c r="M1152" s="301"/>
      <c r="N1152" s="336"/>
      <c r="O1152" s="301"/>
      <c r="P1152" s="336"/>
      <c r="Q1152" s="301"/>
      <c r="R1152" s="336"/>
      <c r="S1152" s="301"/>
      <c r="T1152" s="336"/>
    </row>
    <row r="1153" spans="1:20" ht="12" customHeight="1" x14ac:dyDescent="0.3">
      <c r="A1153" s="329" t="s">
        <v>289</v>
      </c>
      <c r="B1153" s="330">
        <v>8</v>
      </c>
      <c r="C1153" s="298">
        <v>46059</v>
      </c>
      <c r="D1153" s="299" t="s">
        <v>435</v>
      </c>
      <c r="E1153" s="331">
        <v>81.2</v>
      </c>
      <c r="F1153" s="331"/>
      <c r="G1153" s="333">
        <f t="shared" si="20"/>
        <v>4100.1599999999935</v>
      </c>
      <c r="H1153" s="334"/>
      <c r="I1153" s="335"/>
      <c r="J1153" s="336"/>
      <c r="K1153" s="301"/>
      <c r="L1153" s="336"/>
      <c r="M1153" s="301"/>
      <c r="N1153" s="336"/>
      <c r="O1153" s="301"/>
      <c r="P1153" s="336"/>
      <c r="Q1153" s="301"/>
      <c r="R1153" s="336"/>
      <c r="S1153" s="301"/>
      <c r="T1153" s="336"/>
    </row>
    <row r="1154" spans="1:20" ht="12" customHeight="1" x14ac:dyDescent="0.3">
      <c r="A1154" s="329" t="s">
        <v>289</v>
      </c>
      <c r="B1154" s="330">
        <v>2</v>
      </c>
      <c r="C1154" s="298">
        <v>46058</v>
      </c>
      <c r="D1154" s="299" t="s">
        <v>301</v>
      </c>
      <c r="E1154" s="331">
        <v>21</v>
      </c>
      <c r="F1154" s="331"/>
      <c r="G1154" s="333">
        <f t="shared" si="20"/>
        <v>4181.3599999999933</v>
      </c>
      <c r="H1154" s="334"/>
      <c r="I1154" s="335"/>
      <c r="J1154" s="336"/>
      <c r="K1154" s="301"/>
      <c r="L1154" s="336"/>
      <c r="M1154" s="301"/>
      <c r="N1154" s="336"/>
      <c r="O1154" s="301"/>
      <c r="P1154" s="336"/>
      <c r="Q1154" s="301"/>
      <c r="R1154" s="336"/>
      <c r="S1154" s="301"/>
      <c r="T1154" s="336"/>
    </row>
    <row r="1155" spans="1:20" ht="12" customHeight="1" x14ac:dyDescent="0.3">
      <c r="A1155" s="329" t="s">
        <v>291</v>
      </c>
      <c r="B1155" s="330">
        <v>39</v>
      </c>
      <c r="C1155" s="298">
        <v>46058</v>
      </c>
      <c r="D1155" s="299" t="s">
        <v>292</v>
      </c>
      <c r="E1155" s="331"/>
      <c r="F1155" s="331">
        <v>2763.79</v>
      </c>
      <c r="G1155" s="333">
        <f t="shared" si="20"/>
        <v>4202.3599999999933</v>
      </c>
      <c r="H1155" s="334"/>
      <c r="I1155" s="335"/>
      <c r="J1155" s="336"/>
      <c r="K1155" s="301"/>
      <c r="L1155" s="336"/>
      <c r="M1155" s="301"/>
      <c r="N1155" s="336"/>
      <c r="O1155" s="301"/>
      <c r="P1155" s="336"/>
      <c r="Q1155" s="301"/>
      <c r="R1155" s="336"/>
      <c r="S1155" s="301"/>
      <c r="T1155" s="336"/>
    </row>
    <row r="1156" spans="1:20" ht="12" customHeight="1" x14ac:dyDescent="0.3">
      <c r="A1156" s="329" t="s">
        <v>289</v>
      </c>
      <c r="B1156" s="330">
        <v>8</v>
      </c>
      <c r="C1156" s="298">
        <v>46058</v>
      </c>
      <c r="D1156" s="299" t="s">
        <v>357</v>
      </c>
      <c r="E1156" s="331">
        <v>95.35</v>
      </c>
      <c r="F1156" s="331"/>
      <c r="G1156" s="333">
        <f t="shared" si="20"/>
        <v>1438.5699999999933</v>
      </c>
      <c r="H1156" s="334"/>
      <c r="I1156" s="335"/>
      <c r="J1156" s="336"/>
      <c r="K1156" s="301"/>
      <c r="L1156" s="336"/>
      <c r="M1156" s="301"/>
      <c r="N1156" s="336"/>
      <c r="O1156" s="301"/>
      <c r="P1156" s="336"/>
      <c r="Q1156" s="301"/>
      <c r="R1156" s="336"/>
      <c r="S1156" s="301"/>
      <c r="T1156" s="336"/>
    </row>
    <row r="1157" spans="1:20" ht="12" customHeight="1" x14ac:dyDescent="0.3">
      <c r="A1157" s="329" t="s">
        <v>289</v>
      </c>
      <c r="B1157" s="330">
        <v>2</v>
      </c>
      <c r="C1157" s="298">
        <v>46058</v>
      </c>
      <c r="D1157" s="299" t="s">
        <v>353</v>
      </c>
      <c r="E1157" s="331">
        <v>14.99</v>
      </c>
      <c r="F1157" s="331"/>
      <c r="G1157" s="333">
        <f t="shared" si="20"/>
        <v>1533.9199999999933</v>
      </c>
      <c r="H1157" s="334"/>
      <c r="I1157" s="335"/>
      <c r="J1157" s="336"/>
      <c r="K1157" s="301"/>
      <c r="L1157" s="336"/>
      <c r="M1157" s="301"/>
      <c r="N1157" s="336"/>
      <c r="O1157" s="301"/>
      <c r="P1157" s="336"/>
      <c r="Q1157" s="301"/>
      <c r="R1157" s="336"/>
      <c r="S1157" s="301"/>
      <c r="T1157" s="336"/>
    </row>
    <row r="1158" spans="1:20" ht="12" customHeight="1" x14ac:dyDescent="0.3">
      <c r="A1158" s="329" t="s">
        <v>287</v>
      </c>
      <c r="B1158" s="330" t="s">
        <v>287</v>
      </c>
      <c r="C1158" s="298">
        <v>46058</v>
      </c>
      <c r="D1158" s="299" t="s">
        <v>452</v>
      </c>
      <c r="E1158" s="331">
        <v>77.569999999999993</v>
      </c>
      <c r="F1158" s="331">
        <v>77.569999999999993</v>
      </c>
      <c r="G1158" s="333">
        <f t="shared" si="20"/>
        <v>1548.9099999999933</v>
      </c>
      <c r="H1158" s="334"/>
      <c r="I1158" s="335"/>
      <c r="J1158" s="336"/>
      <c r="K1158" s="301"/>
      <c r="L1158" s="336"/>
      <c r="M1158" s="301"/>
      <c r="N1158" s="336"/>
      <c r="O1158" s="301"/>
      <c r="P1158" s="336"/>
      <c r="Q1158" s="301"/>
      <c r="R1158" s="336"/>
      <c r="S1158" s="301"/>
      <c r="T1158" s="336"/>
    </row>
    <row r="1159" spans="1:20" ht="12" customHeight="1" x14ac:dyDescent="0.3">
      <c r="A1159" s="329" t="s">
        <v>289</v>
      </c>
      <c r="B1159" s="330">
        <v>6</v>
      </c>
      <c r="C1159" s="298">
        <v>46057</v>
      </c>
      <c r="D1159" s="299" t="s">
        <v>344</v>
      </c>
      <c r="E1159" s="331">
        <v>50</v>
      </c>
      <c r="F1159" s="331"/>
      <c r="G1159" s="333">
        <f t="shared" si="20"/>
        <v>1548.9099999999933</v>
      </c>
      <c r="H1159" s="334"/>
      <c r="I1159" s="335"/>
      <c r="J1159" s="336"/>
      <c r="K1159" s="301"/>
      <c r="L1159" s="336"/>
      <c r="M1159" s="301"/>
      <c r="N1159" s="336"/>
      <c r="O1159" s="301"/>
      <c r="P1159" s="336"/>
      <c r="Q1159" s="301"/>
      <c r="R1159" s="336"/>
      <c r="S1159" s="301"/>
      <c r="T1159" s="336"/>
    </row>
    <row r="1160" spans="1:20" ht="12" customHeight="1" x14ac:dyDescent="0.3">
      <c r="A1160" s="329" t="s">
        <v>289</v>
      </c>
      <c r="B1160" s="330">
        <v>1</v>
      </c>
      <c r="C1160" s="298">
        <v>46057</v>
      </c>
      <c r="D1160" s="299" t="s">
        <v>306</v>
      </c>
      <c r="E1160" s="331">
        <v>62.03</v>
      </c>
      <c r="F1160" s="331"/>
      <c r="G1160" s="333">
        <f t="shared" si="20"/>
        <v>1598.9099999999933</v>
      </c>
      <c r="H1160" s="334"/>
      <c r="I1160" s="335"/>
      <c r="J1160" s="336"/>
      <c r="K1160" s="301"/>
      <c r="L1160" s="336"/>
      <c r="M1160" s="301"/>
      <c r="N1160" s="336"/>
      <c r="O1160" s="301"/>
      <c r="P1160" s="336"/>
      <c r="Q1160" s="301"/>
      <c r="R1160" s="336"/>
      <c r="S1160" s="301"/>
      <c r="T1160" s="336"/>
    </row>
    <row r="1161" spans="1:20" ht="12" customHeight="1" x14ac:dyDescent="0.3">
      <c r="A1161" s="329" t="s">
        <v>289</v>
      </c>
      <c r="B1161" s="330">
        <v>2</v>
      </c>
      <c r="C1161" s="298">
        <v>46057</v>
      </c>
      <c r="D1161" s="299" t="s">
        <v>296</v>
      </c>
      <c r="E1161" s="331">
        <v>14.91</v>
      </c>
      <c r="F1161" s="331"/>
      <c r="G1161" s="333">
        <f t="shared" si="20"/>
        <v>1660.9399999999932</v>
      </c>
      <c r="H1161" s="334"/>
      <c r="I1161" s="335"/>
      <c r="J1161" s="336"/>
      <c r="K1161" s="301"/>
      <c r="L1161" s="336"/>
      <c r="M1161" s="301"/>
      <c r="N1161" s="336"/>
      <c r="O1161" s="301"/>
      <c r="P1161" s="336"/>
      <c r="Q1161" s="301"/>
      <c r="R1161" s="336"/>
      <c r="S1161" s="301"/>
      <c r="T1161" s="336"/>
    </row>
    <row r="1162" spans="1:20" ht="12" customHeight="1" x14ac:dyDescent="0.3">
      <c r="A1162" s="329" t="s">
        <v>289</v>
      </c>
      <c r="B1162" s="330">
        <v>4</v>
      </c>
      <c r="C1162" s="298">
        <v>46057</v>
      </c>
      <c r="D1162" s="299" t="s">
        <v>310</v>
      </c>
      <c r="E1162" s="331">
        <v>63.38</v>
      </c>
      <c r="F1162" s="331"/>
      <c r="G1162" s="333">
        <f t="shared" si="20"/>
        <v>1675.8499999999933</v>
      </c>
      <c r="H1162" s="334"/>
      <c r="I1162" s="335"/>
      <c r="J1162" s="336"/>
      <c r="K1162" s="301"/>
      <c r="L1162" s="336"/>
      <c r="M1162" s="301"/>
      <c r="N1162" s="336"/>
      <c r="O1162" s="301"/>
      <c r="P1162" s="336"/>
      <c r="Q1162" s="301"/>
      <c r="R1162" s="336"/>
      <c r="S1162" s="301"/>
      <c r="T1162" s="336"/>
    </row>
    <row r="1163" spans="1:20" ht="12" customHeight="1" x14ac:dyDescent="0.3">
      <c r="A1163" s="329" t="s">
        <v>287</v>
      </c>
      <c r="B1163" s="330" t="s">
        <v>287</v>
      </c>
      <c r="C1163" s="298">
        <v>46057</v>
      </c>
      <c r="D1163" s="299" t="s">
        <v>454</v>
      </c>
      <c r="E1163" s="331">
        <v>192.78</v>
      </c>
      <c r="F1163" s="331">
        <v>192.78</v>
      </c>
      <c r="G1163" s="333">
        <f t="shared" si="20"/>
        <v>1739.2299999999934</v>
      </c>
      <c r="H1163" s="334"/>
      <c r="I1163" s="335"/>
      <c r="J1163" s="336"/>
      <c r="K1163" s="301"/>
      <c r="L1163" s="336"/>
      <c r="M1163" s="301"/>
      <c r="N1163" s="336"/>
      <c r="O1163" s="301"/>
      <c r="P1163" s="336"/>
      <c r="Q1163" s="301"/>
      <c r="R1163" s="336"/>
      <c r="S1163" s="301"/>
      <c r="T1163" s="336"/>
    </row>
    <row r="1164" spans="1:20" ht="12" customHeight="1" x14ac:dyDescent="0.3">
      <c r="A1164" s="329" t="s">
        <v>294</v>
      </c>
      <c r="B1164" s="330">
        <v>14</v>
      </c>
      <c r="C1164" s="298">
        <v>46057</v>
      </c>
      <c r="D1164" s="299" t="s">
        <v>367</v>
      </c>
      <c r="E1164" s="331">
        <v>68.739999999999995</v>
      </c>
      <c r="F1164" s="331"/>
      <c r="G1164" s="333">
        <f t="shared" si="20"/>
        <v>1739.2299999999934</v>
      </c>
      <c r="H1164" s="334"/>
      <c r="I1164" s="335"/>
      <c r="J1164" s="336"/>
      <c r="K1164" s="301"/>
      <c r="L1164" s="336"/>
      <c r="M1164" s="301"/>
      <c r="N1164" s="336"/>
      <c r="O1164" s="301"/>
      <c r="P1164" s="336"/>
      <c r="Q1164" s="301"/>
      <c r="R1164" s="336"/>
      <c r="S1164" s="301"/>
      <c r="T1164" s="336"/>
    </row>
    <row r="1165" spans="1:20" ht="12" customHeight="1" x14ac:dyDescent="0.3">
      <c r="A1165" s="329" t="s">
        <v>289</v>
      </c>
      <c r="B1165" s="330">
        <v>6</v>
      </c>
      <c r="C1165" s="298">
        <v>46057</v>
      </c>
      <c r="D1165" s="299" t="s">
        <v>300</v>
      </c>
      <c r="E1165" s="331">
        <v>-42.58</v>
      </c>
      <c r="F1165" s="331"/>
      <c r="G1165" s="333">
        <f t="shared" si="20"/>
        <v>1807.9699999999934</v>
      </c>
      <c r="H1165" s="334"/>
      <c r="I1165" s="335"/>
      <c r="J1165" s="336"/>
      <c r="K1165" s="301"/>
      <c r="L1165" s="336"/>
      <c r="M1165" s="301"/>
      <c r="N1165" s="336"/>
      <c r="O1165" s="301"/>
      <c r="P1165" s="336"/>
      <c r="Q1165" s="301"/>
      <c r="R1165" s="336"/>
      <c r="S1165" s="301"/>
      <c r="T1165" s="336"/>
    </row>
    <row r="1166" spans="1:20" ht="12" customHeight="1" x14ac:dyDescent="0.3">
      <c r="A1166" s="329" t="s">
        <v>289</v>
      </c>
      <c r="B1166" s="330">
        <v>1</v>
      </c>
      <c r="C1166" s="298">
        <v>46057</v>
      </c>
      <c r="D1166" s="299" t="s">
        <v>371</v>
      </c>
      <c r="E1166" s="331">
        <v>31.36</v>
      </c>
      <c r="F1166" s="331"/>
      <c r="G1166" s="333">
        <f t="shared" si="20"/>
        <v>1765.3899999999935</v>
      </c>
      <c r="H1166" s="334"/>
      <c r="I1166" s="335"/>
      <c r="J1166" s="336"/>
      <c r="K1166" s="301"/>
      <c r="L1166" s="336"/>
      <c r="M1166" s="301"/>
      <c r="N1166" s="336"/>
      <c r="O1166" s="301"/>
      <c r="P1166" s="336"/>
      <c r="Q1166" s="301"/>
      <c r="R1166" s="336"/>
      <c r="S1166" s="301"/>
      <c r="T1166" s="336"/>
    </row>
    <row r="1167" spans="1:20" ht="12" customHeight="1" x14ac:dyDescent="0.3">
      <c r="A1167" s="329" t="s">
        <v>294</v>
      </c>
      <c r="B1167" s="330">
        <v>17</v>
      </c>
      <c r="C1167" s="298">
        <v>46057</v>
      </c>
      <c r="D1167" s="299" t="s">
        <v>370</v>
      </c>
      <c r="E1167" s="331">
        <v>99</v>
      </c>
      <c r="F1167" s="331"/>
      <c r="G1167" s="333">
        <f t="shared" si="20"/>
        <v>1796.7499999999934</v>
      </c>
      <c r="H1167" s="334"/>
      <c r="I1167" s="335"/>
      <c r="J1167" s="336"/>
      <c r="K1167" s="301"/>
      <c r="L1167" s="336"/>
      <c r="M1167" s="301"/>
      <c r="N1167" s="336"/>
      <c r="O1167" s="301"/>
      <c r="P1167" s="336"/>
      <c r="Q1167" s="301"/>
      <c r="R1167" s="336"/>
      <c r="S1167" s="301"/>
      <c r="T1167" s="336"/>
    </row>
    <row r="1168" spans="1:20" ht="12" customHeight="1" x14ac:dyDescent="0.3">
      <c r="A1168" s="329" t="s">
        <v>284</v>
      </c>
      <c r="B1168" s="330">
        <v>36</v>
      </c>
      <c r="C1168" s="298">
        <v>46056</v>
      </c>
      <c r="D1168" s="299" t="s">
        <v>374</v>
      </c>
      <c r="E1168" s="331">
        <v>50</v>
      </c>
      <c r="F1168" s="331"/>
      <c r="G1168" s="333">
        <f t="shared" si="20"/>
        <v>1895.7499999999934</v>
      </c>
      <c r="H1168" s="334"/>
      <c r="I1168" s="335"/>
      <c r="J1168" s="336"/>
      <c r="K1168" s="301"/>
      <c r="L1168" s="336"/>
      <c r="M1168" s="301"/>
      <c r="N1168" s="336"/>
      <c r="O1168" s="301"/>
      <c r="P1168" s="336"/>
      <c r="Q1168" s="301"/>
      <c r="R1168" s="336"/>
      <c r="S1168" s="301"/>
      <c r="T1168" s="336"/>
    </row>
    <row r="1169" spans="1:20" ht="12" customHeight="1" x14ac:dyDescent="0.3">
      <c r="A1169" s="329" t="s">
        <v>289</v>
      </c>
      <c r="B1169" s="330">
        <v>8</v>
      </c>
      <c r="C1169" s="298">
        <v>46056</v>
      </c>
      <c r="D1169" s="299" t="s">
        <v>319</v>
      </c>
      <c r="E1169" s="331">
        <v>7.92</v>
      </c>
      <c r="F1169" s="331"/>
      <c r="G1169" s="333">
        <f t="shared" si="20"/>
        <v>1945.7499999999934</v>
      </c>
      <c r="H1169" s="334"/>
      <c r="I1169" s="335"/>
      <c r="J1169" s="336"/>
      <c r="K1169" s="301"/>
      <c r="L1169" s="336"/>
      <c r="M1169" s="301"/>
      <c r="N1169" s="336"/>
      <c r="O1169" s="301"/>
      <c r="P1169" s="336"/>
      <c r="Q1169" s="301"/>
      <c r="R1169" s="336"/>
      <c r="S1169" s="301"/>
      <c r="T1169" s="336"/>
    </row>
    <row r="1170" spans="1:20" ht="12" customHeight="1" x14ac:dyDescent="0.3">
      <c r="A1170" s="329" t="s">
        <v>294</v>
      </c>
      <c r="B1170" s="330">
        <v>24</v>
      </c>
      <c r="C1170" s="298">
        <v>46056</v>
      </c>
      <c r="D1170" s="299" t="s">
        <v>860</v>
      </c>
      <c r="E1170" s="331">
        <v>83.58</v>
      </c>
      <c r="F1170" s="331"/>
      <c r="G1170" s="333">
        <f t="shared" si="20"/>
        <v>1953.6699999999935</v>
      </c>
      <c r="H1170" s="334"/>
      <c r="I1170" s="335"/>
      <c r="J1170" s="336"/>
      <c r="K1170" s="301"/>
      <c r="L1170" s="336"/>
      <c r="M1170" s="301"/>
      <c r="N1170" s="336"/>
      <c r="O1170" s="301"/>
      <c r="P1170" s="336"/>
      <c r="Q1170" s="301"/>
      <c r="R1170" s="336"/>
      <c r="S1170" s="301"/>
      <c r="T1170" s="336"/>
    </row>
    <row r="1171" spans="1:20" ht="12" customHeight="1" x14ac:dyDescent="0.3">
      <c r="A1171" s="329" t="s">
        <v>289</v>
      </c>
      <c r="B1171" s="330">
        <v>4</v>
      </c>
      <c r="C1171" s="298">
        <v>46056</v>
      </c>
      <c r="D1171" s="299" t="s">
        <v>455</v>
      </c>
      <c r="E1171" s="331">
        <v>28.64</v>
      </c>
      <c r="F1171" s="331"/>
      <c r="G1171" s="333">
        <f t="shared" si="20"/>
        <v>2037.2499999999934</v>
      </c>
      <c r="H1171" s="334"/>
      <c r="I1171" s="335"/>
      <c r="J1171" s="336"/>
      <c r="K1171" s="301"/>
      <c r="L1171" s="336"/>
      <c r="M1171" s="301"/>
      <c r="N1171" s="336"/>
      <c r="O1171" s="301"/>
      <c r="P1171" s="336"/>
      <c r="Q1171" s="301"/>
      <c r="R1171" s="336"/>
      <c r="S1171" s="301"/>
      <c r="T1171" s="336"/>
    </row>
    <row r="1172" spans="1:20" ht="12" customHeight="1" x14ac:dyDescent="0.3">
      <c r="A1172" s="329" t="s">
        <v>289</v>
      </c>
      <c r="B1172" s="330">
        <v>2</v>
      </c>
      <c r="C1172" s="298">
        <v>46056</v>
      </c>
      <c r="D1172" s="299" t="s">
        <v>358</v>
      </c>
      <c r="E1172" s="331">
        <v>9.4700000000000006</v>
      </c>
      <c r="F1172" s="331"/>
      <c r="G1172" s="333">
        <f t="shared" si="20"/>
        <v>2065.8899999999935</v>
      </c>
      <c r="H1172" s="334"/>
      <c r="I1172" s="335"/>
      <c r="J1172" s="336"/>
      <c r="K1172" s="301"/>
      <c r="L1172" s="336"/>
      <c r="M1172" s="301"/>
      <c r="N1172" s="336"/>
      <c r="O1172" s="301"/>
      <c r="P1172" s="336"/>
      <c r="Q1172" s="301"/>
      <c r="R1172" s="336"/>
      <c r="S1172" s="301"/>
      <c r="T1172" s="336"/>
    </row>
    <row r="1173" spans="1:20" ht="12" customHeight="1" x14ac:dyDescent="0.3">
      <c r="A1173" s="329" t="s">
        <v>289</v>
      </c>
      <c r="B1173" s="330">
        <v>6</v>
      </c>
      <c r="C1173" s="298">
        <v>46055</v>
      </c>
      <c r="D1173" s="299" t="s">
        <v>456</v>
      </c>
      <c r="E1173" s="331">
        <v>20</v>
      </c>
      <c r="F1173" s="331"/>
      <c r="G1173" s="333">
        <f t="shared" si="20"/>
        <v>2075.3599999999933</v>
      </c>
      <c r="H1173" s="334"/>
      <c r="I1173" s="335"/>
      <c r="J1173" s="336"/>
      <c r="K1173" s="301"/>
      <c r="L1173" s="336"/>
      <c r="M1173" s="301"/>
      <c r="N1173" s="336"/>
      <c r="O1173" s="301"/>
      <c r="P1173" s="336"/>
      <c r="Q1173" s="301"/>
      <c r="R1173" s="336"/>
      <c r="S1173" s="301"/>
      <c r="T1173" s="336"/>
    </row>
    <row r="1174" spans="1:20" ht="12" customHeight="1" x14ac:dyDescent="0.3">
      <c r="A1174" s="329" t="s">
        <v>294</v>
      </c>
      <c r="B1174" s="330">
        <v>17</v>
      </c>
      <c r="C1174" s="298">
        <v>46055</v>
      </c>
      <c r="D1174" s="299" t="s">
        <v>188</v>
      </c>
      <c r="E1174" s="331">
        <v>41.54</v>
      </c>
      <c r="F1174" s="331"/>
      <c r="G1174" s="333">
        <f t="shared" si="20"/>
        <v>2095.3599999999933</v>
      </c>
      <c r="H1174" s="334"/>
      <c r="I1174" s="335"/>
      <c r="J1174" s="336"/>
      <c r="K1174" s="301"/>
      <c r="L1174" s="336"/>
      <c r="M1174" s="301"/>
      <c r="N1174" s="336"/>
      <c r="O1174" s="301"/>
      <c r="P1174" s="336"/>
      <c r="Q1174" s="301"/>
      <c r="R1174" s="336"/>
      <c r="S1174" s="301"/>
      <c r="T1174" s="336"/>
    </row>
    <row r="1175" spans="1:20" ht="12" customHeight="1" x14ac:dyDescent="0.3">
      <c r="A1175" s="329" t="s">
        <v>289</v>
      </c>
      <c r="B1175" s="330">
        <v>2</v>
      </c>
      <c r="C1175" s="298">
        <v>46055</v>
      </c>
      <c r="D1175" s="299" t="s">
        <v>296</v>
      </c>
      <c r="E1175" s="331">
        <v>9.92</v>
      </c>
      <c r="F1175" s="331"/>
      <c r="G1175" s="333">
        <f t="shared" si="20"/>
        <v>2136.8999999999933</v>
      </c>
      <c r="H1175" s="334"/>
      <c r="I1175" s="335"/>
      <c r="J1175" s="336"/>
      <c r="K1175" s="301"/>
      <c r="L1175" s="336"/>
      <c r="M1175" s="301"/>
      <c r="N1175" s="336"/>
      <c r="O1175" s="301"/>
      <c r="P1175" s="336"/>
      <c r="Q1175" s="301"/>
      <c r="R1175" s="336"/>
      <c r="S1175" s="301"/>
      <c r="T1175" s="336"/>
    </row>
    <row r="1176" spans="1:20" ht="12" customHeight="1" x14ac:dyDescent="0.3">
      <c r="A1176" s="329" t="s">
        <v>289</v>
      </c>
      <c r="B1176" s="330">
        <v>8</v>
      </c>
      <c r="C1176" s="298">
        <v>46055</v>
      </c>
      <c r="D1176" s="299" t="s">
        <v>457</v>
      </c>
      <c r="E1176" s="331">
        <v>155.38</v>
      </c>
      <c r="F1176" s="331"/>
      <c r="G1176" s="333">
        <f t="shared" si="20"/>
        <v>2146.8199999999933</v>
      </c>
      <c r="H1176" s="334"/>
      <c r="I1176" s="335"/>
      <c r="J1176" s="336"/>
      <c r="K1176" s="301"/>
      <c r="L1176" s="336"/>
      <c r="M1176" s="301"/>
      <c r="N1176" s="336"/>
      <c r="O1176" s="301"/>
      <c r="P1176" s="336"/>
      <c r="Q1176" s="301"/>
      <c r="R1176" s="336"/>
      <c r="S1176" s="301"/>
      <c r="T1176" s="336"/>
    </row>
    <row r="1177" spans="1:20" ht="12" customHeight="1" x14ac:dyDescent="0.3">
      <c r="A1177" s="329" t="s">
        <v>294</v>
      </c>
      <c r="B1177" s="330">
        <v>21</v>
      </c>
      <c r="C1177" s="298">
        <v>46055</v>
      </c>
      <c r="D1177" s="299" t="s">
        <v>194</v>
      </c>
      <c r="E1177" s="331">
        <v>27.35</v>
      </c>
      <c r="F1177" s="331"/>
      <c r="G1177" s="333">
        <f t="shared" si="20"/>
        <v>2302.1999999999935</v>
      </c>
      <c r="H1177" s="334"/>
      <c r="I1177" s="335"/>
      <c r="J1177" s="336"/>
      <c r="K1177" s="301"/>
      <c r="L1177" s="336"/>
      <c r="M1177" s="301"/>
      <c r="N1177" s="336"/>
      <c r="O1177" s="301"/>
      <c r="P1177" s="336"/>
      <c r="Q1177" s="301"/>
      <c r="R1177" s="336"/>
      <c r="S1177" s="301"/>
      <c r="T1177" s="336"/>
    </row>
    <row r="1178" spans="1:20" ht="12" customHeight="1" x14ac:dyDescent="0.3">
      <c r="A1178" s="329" t="s">
        <v>289</v>
      </c>
      <c r="B1178" s="330">
        <v>6</v>
      </c>
      <c r="C1178" s="298">
        <v>46054</v>
      </c>
      <c r="D1178" s="299" t="s">
        <v>300</v>
      </c>
      <c r="E1178" s="331">
        <v>59.37</v>
      </c>
      <c r="F1178" s="331"/>
      <c r="G1178" s="333">
        <f t="shared" si="20"/>
        <v>2329.5499999999934</v>
      </c>
      <c r="H1178" s="334"/>
      <c r="I1178" s="335"/>
      <c r="J1178" s="336"/>
      <c r="K1178" s="301"/>
      <c r="L1178" s="336"/>
      <c r="M1178" s="301"/>
      <c r="N1178" s="336"/>
      <c r="O1178" s="301"/>
      <c r="P1178" s="336"/>
      <c r="Q1178" s="301"/>
      <c r="R1178" s="336"/>
      <c r="S1178" s="301"/>
      <c r="T1178" s="336"/>
    </row>
    <row r="1179" spans="1:20" ht="12" customHeight="1" x14ac:dyDescent="0.3">
      <c r="A1179" s="329" t="s">
        <v>294</v>
      </c>
      <c r="B1179" s="330">
        <v>22</v>
      </c>
      <c r="C1179" s="298">
        <v>46054</v>
      </c>
      <c r="D1179" s="299" t="s">
        <v>375</v>
      </c>
      <c r="E1179" s="331">
        <v>6.37</v>
      </c>
      <c r="F1179" s="331"/>
      <c r="G1179" s="333">
        <f t="shared" si="20"/>
        <v>2388.9199999999933</v>
      </c>
      <c r="H1179" s="334"/>
      <c r="I1179" s="335"/>
      <c r="J1179" s="336"/>
      <c r="K1179" s="301"/>
      <c r="L1179" s="336"/>
      <c r="M1179" s="301"/>
      <c r="N1179" s="336"/>
      <c r="O1179" s="301"/>
      <c r="P1179" s="336"/>
      <c r="Q1179" s="301"/>
      <c r="R1179" s="336"/>
      <c r="S1179" s="301"/>
      <c r="T1179" s="336"/>
    </row>
    <row r="1180" spans="1:20" ht="12" customHeight="1" x14ac:dyDescent="0.3">
      <c r="A1180" s="329" t="s">
        <v>289</v>
      </c>
      <c r="B1180" s="330">
        <v>8</v>
      </c>
      <c r="C1180" s="298">
        <v>46054</v>
      </c>
      <c r="D1180" s="299" t="s">
        <v>458</v>
      </c>
      <c r="E1180" s="331">
        <v>44.65</v>
      </c>
      <c r="F1180" s="331"/>
      <c r="G1180" s="333">
        <f t="shared" si="20"/>
        <v>2395.2899999999931</v>
      </c>
      <c r="H1180" s="334"/>
      <c r="I1180" s="335"/>
      <c r="J1180" s="336"/>
      <c r="K1180" s="301"/>
      <c r="L1180" s="336"/>
      <c r="M1180" s="301"/>
      <c r="N1180" s="336"/>
      <c r="O1180" s="301"/>
      <c r="P1180" s="336"/>
      <c r="Q1180" s="301"/>
      <c r="R1180" s="336"/>
      <c r="S1180" s="301"/>
      <c r="T1180" s="336"/>
    </row>
    <row r="1181" spans="1:20" ht="12" customHeight="1" x14ac:dyDescent="0.3">
      <c r="A1181" s="329" t="s">
        <v>289</v>
      </c>
      <c r="B1181" s="330">
        <v>7</v>
      </c>
      <c r="C1181" s="298">
        <v>46054</v>
      </c>
      <c r="D1181" s="299" t="s">
        <v>338</v>
      </c>
      <c r="E1181" s="331">
        <v>35.17</v>
      </c>
      <c r="F1181" s="331"/>
      <c r="G1181" s="333">
        <f t="shared" si="20"/>
        <v>2439.9399999999932</v>
      </c>
      <c r="H1181" s="334"/>
      <c r="I1181" s="335"/>
      <c r="J1181" s="336"/>
      <c r="K1181" s="301"/>
      <c r="L1181" s="336"/>
      <c r="M1181" s="301"/>
      <c r="N1181" s="336"/>
      <c r="O1181" s="301"/>
      <c r="P1181" s="336"/>
      <c r="Q1181" s="301"/>
      <c r="R1181" s="336"/>
      <c r="S1181" s="301"/>
      <c r="T1181" s="336"/>
    </row>
    <row r="1182" spans="1:20" ht="12" customHeight="1" x14ac:dyDescent="0.3">
      <c r="A1182" s="329" t="s">
        <v>289</v>
      </c>
      <c r="B1182" s="330">
        <v>4</v>
      </c>
      <c r="C1182" s="298">
        <v>46054</v>
      </c>
      <c r="D1182" s="299" t="s">
        <v>310</v>
      </c>
      <c r="E1182" s="331">
        <v>28.48</v>
      </c>
      <c r="F1182" s="331"/>
      <c r="G1182" s="333">
        <f t="shared" si="20"/>
        <v>2475.1099999999933</v>
      </c>
      <c r="H1182" s="334"/>
      <c r="I1182" s="335"/>
      <c r="J1182" s="336"/>
      <c r="K1182" s="301"/>
      <c r="L1182" s="336"/>
      <c r="M1182" s="301"/>
      <c r="N1182" s="336"/>
      <c r="O1182" s="301"/>
      <c r="P1182" s="336"/>
      <c r="Q1182" s="301"/>
      <c r="R1182" s="336"/>
      <c r="S1182" s="301"/>
      <c r="T1182" s="336"/>
    </row>
    <row r="1183" spans="1:20" ht="12" customHeight="1" x14ac:dyDescent="0.3">
      <c r="A1183" s="329" t="s">
        <v>289</v>
      </c>
      <c r="B1183" s="330">
        <v>1</v>
      </c>
      <c r="C1183" s="298">
        <v>46054</v>
      </c>
      <c r="D1183" s="299" t="s">
        <v>311</v>
      </c>
      <c r="E1183" s="331">
        <v>125.07</v>
      </c>
      <c r="F1183" s="331"/>
      <c r="G1183" s="333">
        <f t="shared" si="20"/>
        <v>2503.5899999999933</v>
      </c>
      <c r="H1183" s="334"/>
      <c r="I1183" s="335"/>
      <c r="J1183" s="336"/>
      <c r="K1183" s="301"/>
      <c r="L1183" s="336"/>
      <c r="M1183" s="301"/>
      <c r="N1183" s="336"/>
      <c r="O1183" s="301"/>
      <c r="P1183" s="336"/>
      <c r="Q1183" s="301"/>
      <c r="R1183" s="336"/>
      <c r="S1183" s="301"/>
      <c r="T1183" s="336"/>
    </row>
    <row r="1184" spans="1:20" ht="12" customHeight="1" x14ac:dyDescent="0.3">
      <c r="A1184" s="329" t="s">
        <v>289</v>
      </c>
      <c r="B1184" s="330">
        <v>2</v>
      </c>
      <c r="C1184" s="298">
        <v>46054</v>
      </c>
      <c r="D1184" s="299" t="s">
        <v>458</v>
      </c>
      <c r="E1184" s="331">
        <v>100</v>
      </c>
      <c r="F1184" s="331"/>
      <c r="G1184" s="333">
        <f t="shared" si="20"/>
        <v>2628.6599999999935</v>
      </c>
      <c r="H1184" s="334"/>
      <c r="I1184" s="335"/>
      <c r="J1184" s="336"/>
      <c r="K1184" s="301"/>
      <c r="L1184" s="336"/>
      <c r="M1184" s="301"/>
      <c r="N1184" s="336"/>
      <c r="O1184" s="301"/>
      <c r="P1184" s="336"/>
      <c r="Q1184" s="301"/>
      <c r="R1184" s="336"/>
      <c r="S1184" s="301"/>
      <c r="T1184" s="336"/>
    </row>
    <row r="1185" spans="1:20" ht="12" customHeight="1" x14ac:dyDescent="0.3">
      <c r="A1185" s="329" t="s">
        <v>289</v>
      </c>
      <c r="B1185" s="330">
        <v>1</v>
      </c>
      <c r="C1185" s="298">
        <v>46054</v>
      </c>
      <c r="D1185" s="299" t="s">
        <v>329</v>
      </c>
      <c r="E1185" s="331">
        <v>194.96</v>
      </c>
      <c r="F1185" s="331"/>
      <c r="G1185" s="333">
        <f t="shared" si="20"/>
        <v>2728.6599999999935</v>
      </c>
      <c r="H1185" s="334"/>
      <c r="I1185" s="335"/>
      <c r="J1185" s="336"/>
      <c r="K1185" s="301"/>
      <c r="L1185" s="336"/>
      <c r="M1185" s="301"/>
      <c r="N1185" s="336"/>
      <c r="O1185" s="301"/>
      <c r="P1185" s="336"/>
      <c r="Q1185" s="301"/>
      <c r="R1185" s="336"/>
      <c r="S1185" s="301"/>
      <c r="T1185" s="336"/>
    </row>
    <row r="1186" spans="1:20" ht="12" customHeight="1" x14ac:dyDescent="0.3">
      <c r="A1186" s="329" t="s">
        <v>289</v>
      </c>
      <c r="B1186" s="330">
        <v>2</v>
      </c>
      <c r="C1186" s="298">
        <v>46054</v>
      </c>
      <c r="D1186" s="299" t="s">
        <v>410</v>
      </c>
      <c r="E1186" s="331">
        <v>75.53</v>
      </c>
      <c r="F1186" s="331"/>
      <c r="G1186" s="333">
        <f t="shared" si="20"/>
        <v>2923.6199999999935</v>
      </c>
      <c r="H1186" s="334"/>
      <c r="I1186" s="335"/>
      <c r="J1186" s="336"/>
      <c r="K1186" s="301"/>
      <c r="L1186" s="336"/>
      <c r="M1186" s="301"/>
      <c r="N1186" s="336"/>
      <c r="O1186" s="301"/>
      <c r="P1186" s="336"/>
      <c r="Q1186" s="301"/>
      <c r="R1186" s="336"/>
      <c r="S1186" s="301"/>
      <c r="T1186" s="336"/>
    </row>
    <row r="1187" spans="1:20" ht="12" customHeight="1" x14ac:dyDescent="0.3">
      <c r="A1187" s="329" t="s">
        <v>284</v>
      </c>
      <c r="B1187" s="330">
        <v>37</v>
      </c>
      <c r="C1187" s="298">
        <v>46053</v>
      </c>
      <c r="D1187" s="299" t="s">
        <v>459</v>
      </c>
      <c r="E1187" s="331">
        <v>3194.64</v>
      </c>
      <c r="F1187" s="331"/>
      <c r="G1187" s="333">
        <f t="shared" si="20"/>
        <v>2999.1499999999937</v>
      </c>
      <c r="H1187" s="334"/>
      <c r="I1187" s="335"/>
      <c r="J1187" s="336"/>
      <c r="K1187" s="301"/>
      <c r="L1187" s="336"/>
      <c r="M1187" s="301"/>
      <c r="N1187" s="336"/>
      <c r="O1187" s="301"/>
      <c r="P1187" s="336"/>
      <c r="Q1187" s="301"/>
      <c r="R1187" s="336"/>
      <c r="S1187" s="301"/>
      <c r="T1187" s="336"/>
    </row>
    <row r="1188" spans="1:20" ht="12" customHeight="1" x14ac:dyDescent="0.3">
      <c r="A1188" s="329" t="s">
        <v>286</v>
      </c>
      <c r="B1188" s="330">
        <v>25</v>
      </c>
      <c r="C1188" s="298">
        <v>46053</v>
      </c>
      <c r="D1188" s="298" t="s">
        <v>204</v>
      </c>
      <c r="E1188" s="331">
        <v>350</v>
      </c>
      <c r="F1188" s="331"/>
      <c r="G1188" s="333">
        <f t="shared" si="20"/>
        <v>6193.7899999999936</v>
      </c>
      <c r="H1188" s="334"/>
      <c r="I1188" s="335"/>
      <c r="J1188" s="336"/>
      <c r="K1188" s="301"/>
      <c r="L1188" s="336"/>
      <c r="M1188" s="301"/>
      <c r="N1188" s="336"/>
      <c r="O1188" s="301"/>
      <c r="P1188" s="336"/>
      <c r="Q1188" s="301"/>
      <c r="R1188" s="336"/>
      <c r="S1188" s="301"/>
      <c r="T1188" s="336"/>
    </row>
    <row r="1189" spans="1:20" ht="12" customHeight="1" x14ac:dyDescent="0.3">
      <c r="A1189" s="329" t="s">
        <v>286</v>
      </c>
      <c r="B1189" s="330">
        <v>26</v>
      </c>
      <c r="C1189" s="298">
        <v>46053</v>
      </c>
      <c r="D1189" s="298" t="s">
        <v>205</v>
      </c>
      <c r="E1189" s="331">
        <v>320</v>
      </c>
      <c r="F1189" s="331"/>
      <c r="G1189" s="333">
        <f t="shared" si="20"/>
        <v>6543.7899999999936</v>
      </c>
      <c r="H1189" s="334"/>
      <c r="I1189" s="335"/>
      <c r="J1189" s="336"/>
      <c r="K1189" s="301"/>
      <c r="L1189" s="336"/>
      <c r="M1189" s="301"/>
      <c r="N1189" s="336"/>
      <c r="O1189" s="301"/>
      <c r="P1189" s="336"/>
      <c r="Q1189" s="301"/>
      <c r="R1189" s="336"/>
      <c r="S1189" s="301"/>
      <c r="T1189" s="336"/>
    </row>
    <row r="1190" spans="1:20" ht="12" customHeight="1" x14ac:dyDescent="0.3">
      <c r="A1190" s="329" t="s">
        <v>286</v>
      </c>
      <c r="B1190" s="330">
        <v>27</v>
      </c>
      <c r="C1190" s="298">
        <v>46053</v>
      </c>
      <c r="D1190" s="298" t="s">
        <v>206</v>
      </c>
      <c r="E1190" s="331">
        <v>25</v>
      </c>
      <c r="F1190" s="331"/>
      <c r="G1190" s="333">
        <f t="shared" si="20"/>
        <v>6863.7899999999936</v>
      </c>
      <c r="H1190" s="334"/>
      <c r="I1190" s="335"/>
      <c r="J1190" s="336"/>
      <c r="K1190" s="301"/>
      <c r="L1190" s="336"/>
      <c r="M1190" s="301"/>
      <c r="N1190" s="336"/>
      <c r="O1190" s="301"/>
      <c r="P1190" s="336"/>
      <c r="Q1190" s="301"/>
      <c r="R1190" s="336"/>
      <c r="S1190" s="301"/>
      <c r="T1190" s="336"/>
    </row>
    <row r="1191" spans="1:20" ht="12" customHeight="1" x14ac:dyDescent="0.3">
      <c r="A1191" s="329" t="s">
        <v>286</v>
      </c>
      <c r="B1191" s="330">
        <v>28</v>
      </c>
      <c r="C1191" s="298">
        <v>46053</v>
      </c>
      <c r="D1191" s="298" t="s">
        <v>207</v>
      </c>
      <c r="E1191" s="331">
        <v>25</v>
      </c>
      <c r="F1191" s="331"/>
      <c r="G1191" s="333">
        <f t="shared" si="20"/>
        <v>6888.7899999999936</v>
      </c>
      <c r="H1191" s="334"/>
      <c r="I1191" s="335"/>
      <c r="J1191" s="336"/>
      <c r="K1191" s="301"/>
      <c r="L1191" s="336"/>
      <c r="M1191" s="301"/>
      <c r="N1191" s="336"/>
      <c r="O1191" s="301"/>
      <c r="P1191" s="336"/>
      <c r="Q1191" s="301"/>
      <c r="R1191" s="336"/>
      <c r="S1191" s="301"/>
      <c r="T1191" s="336"/>
    </row>
    <row r="1192" spans="1:20" ht="12" customHeight="1" x14ac:dyDescent="0.3">
      <c r="A1192" s="329" t="s">
        <v>286</v>
      </c>
      <c r="B1192" s="330">
        <v>29</v>
      </c>
      <c r="C1192" s="298">
        <v>46053</v>
      </c>
      <c r="D1192" s="298" t="s">
        <v>208</v>
      </c>
      <c r="E1192" s="331">
        <v>45</v>
      </c>
      <c r="F1192" s="331"/>
      <c r="G1192" s="333">
        <f t="shared" si="20"/>
        <v>6913.7899999999936</v>
      </c>
      <c r="H1192" s="334"/>
      <c r="I1192" s="335"/>
      <c r="J1192" s="336"/>
      <c r="K1192" s="301"/>
      <c r="L1192" s="336"/>
      <c r="M1192" s="301"/>
      <c r="N1192" s="336"/>
      <c r="O1192" s="301"/>
      <c r="P1192" s="336"/>
      <c r="Q1192" s="301"/>
      <c r="R1192" s="336"/>
      <c r="S1192" s="301"/>
      <c r="T1192" s="336"/>
    </row>
    <row r="1193" spans="1:20" ht="12" customHeight="1" x14ac:dyDescent="0.3">
      <c r="A1193" s="329" t="s">
        <v>286</v>
      </c>
      <c r="B1193" s="330">
        <v>30</v>
      </c>
      <c r="C1193" s="298">
        <v>46053</v>
      </c>
      <c r="D1193" s="298" t="s">
        <v>209</v>
      </c>
      <c r="E1193" s="331">
        <v>400</v>
      </c>
      <c r="F1193" s="331"/>
      <c r="G1193" s="333">
        <f t="shared" si="20"/>
        <v>6958.7899999999936</v>
      </c>
      <c r="H1193" s="334"/>
      <c r="I1193" s="335"/>
      <c r="J1193" s="336"/>
      <c r="K1193" s="301"/>
      <c r="L1193" s="336"/>
      <c r="M1193" s="301"/>
      <c r="N1193" s="336"/>
      <c r="O1193" s="301"/>
      <c r="P1193" s="336"/>
      <c r="Q1193" s="301"/>
      <c r="R1193" s="336"/>
      <c r="S1193" s="301"/>
      <c r="T1193" s="336"/>
    </row>
    <row r="1194" spans="1:20" ht="12" customHeight="1" x14ac:dyDescent="0.3">
      <c r="A1194" s="329" t="s">
        <v>286</v>
      </c>
      <c r="B1194" s="330">
        <v>31</v>
      </c>
      <c r="C1194" s="298">
        <v>46053</v>
      </c>
      <c r="D1194" s="298" t="s">
        <v>210</v>
      </c>
      <c r="E1194" s="331">
        <v>375</v>
      </c>
      <c r="F1194" s="331"/>
      <c r="G1194" s="333">
        <f t="shared" si="20"/>
        <v>7358.7899999999936</v>
      </c>
      <c r="H1194" s="334"/>
      <c r="I1194" s="335"/>
      <c r="J1194" s="336"/>
      <c r="K1194" s="301"/>
      <c r="L1194" s="336"/>
      <c r="M1194" s="301"/>
      <c r="N1194" s="336"/>
      <c r="O1194" s="301"/>
      <c r="P1194" s="336"/>
      <c r="Q1194" s="301"/>
      <c r="R1194" s="336"/>
      <c r="S1194" s="301"/>
      <c r="T1194" s="336"/>
    </row>
    <row r="1195" spans="1:20" ht="12" customHeight="1" x14ac:dyDescent="0.3">
      <c r="A1195" s="329" t="s">
        <v>286</v>
      </c>
      <c r="B1195" s="330">
        <v>32</v>
      </c>
      <c r="C1195" s="298">
        <v>46053</v>
      </c>
      <c r="D1195" s="298" t="s">
        <v>211</v>
      </c>
      <c r="E1195" s="331">
        <v>100</v>
      </c>
      <c r="F1195" s="331"/>
      <c r="G1195" s="333">
        <f t="shared" si="20"/>
        <v>7733.7899999999936</v>
      </c>
      <c r="H1195" s="334"/>
      <c r="I1195" s="335"/>
      <c r="J1195" s="336"/>
      <c r="K1195" s="301"/>
      <c r="L1195" s="336"/>
      <c r="M1195" s="301"/>
      <c r="N1195" s="336"/>
      <c r="O1195" s="301"/>
      <c r="P1195" s="336"/>
      <c r="Q1195" s="301"/>
      <c r="R1195" s="336"/>
      <c r="S1195" s="301"/>
      <c r="T1195" s="336"/>
    </row>
    <row r="1196" spans="1:20" ht="12" customHeight="1" x14ac:dyDescent="0.3">
      <c r="A1196" s="329" t="s">
        <v>286</v>
      </c>
      <c r="B1196" s="330">
        <v>33</v>
      </c>
      <c r="C1196" s="298">
        <v>46053</v>
      </c>
      <c r="D1196" s="298" t="s">
        <v>212</v>
      </c>
      <c r="E1196" s="331">
        <v>85</v>
      </c>
      <c r="F1196" s="331"/>
      <c r="G1196" s="333">
        <f t="shared" si="20"/>
        <v>7833.7899999999936</v>
      </c>
      <c r="H1196" s="334"/>
      <c r="I1196" s="335"/>
      <c r="J1196" s="336"/>
      <c r="K1196" s="301"/>
      <c r="L1196" s="336"/>
      <c r="M1196" s="301"/>
      <c r="N1196" s="336"/>
      <c r="O1196" s="301"/>
      <c r="P1196" s="336"/>
      <c r="Q1196" s="301"/>
      <c r="R1196" s="336"/>
      <c r="S1196" s="301"/>
      <c r="T1196" s="336"/>
    </row>
    <row r="1197" spans="1:20" ht="12" customHeight="1" x14ac:dyDescent="0.3">
      <c r="A1197" s="329" t="s">
        <v>286</v>
      </c>
      <c r="B1197" s="330">
        <v>34</v>
      </c>
      <c r="C1197" s="298">
        <v>46053</v>
      </c>
      <c r="D1197" s="298" t="s">
        <v>213</v>
      </c>
      <c r="E1197" s="331">
        <v>230</v>
      </c>
      <c r="F1197" s="331"/>
      <c r="G1197" s="333">
        <f t="shared" si="20"/>
        <v>7918.7899999999936</v>
      </c>
      <c r="H1197" s="334"/>
      <c r="I1197" s="335"/>
      <c r="J1197" s="336"/>
      <c r="K1197" s="301"/>
      <c r="L1197" s="336"/>
      <c r="M1197" s="301"/>
      <c r="N1197" s="336"/>
      <c r="O1197" s="301"/>
      <c r="P1197" s="336"/>
      <c r="Q1197" s="301"/>
      <c r="R1197" s="336"/>
      <c r="S1197" s="301"/>
      <c r="T1197" s="336"/>
    </row>
    <row r="1198" spans="1:20" ht="12" customHeight="1" x14ac:dyDescent="0.3">
      <c r="A1198" s="329" t="s">
        <v>286</v>
      </c>
      <c r="B1198" s="330">
        <v>35</v>
      </c>
      <c r="C1198" s="298">
        <v>46053</v>
      </c>
      <c r="D1198" s="298" t="s">
        <v>214</v>
      </c>
      <c r="E1198" s="331">
        <v>45</v>
      </c>
      <c r="F1198" s="331"/>
      <c r="G1198" s="333">
        <f t="shared" si="20"/>
        <v>8148.7899999999936</v>
      </c>
      <c r="H1198" s="334"/>
      <c r="I1198" s="335"/>
      <c r="J1198" s="336"/>
      <c r="K1198" s="301"/>
      <c r="L1198" s="336"/>
      <c r="M1198" s="301"/>
      <c r="N1198" s="336"/>
      <c r="O1198" s="301"/>
      <c r="P1198" s="336"/>
      <c r="Q1198" s="301"/>
      <c r="R1198" s="336"/>
      <c r="S1198" s="301"/>
      <c r="T1198" s="336"/>
    </row>
    <row r="1199" spans="1:20" ht="12" customHeight="1" x14ac:dyDescent="0.3">
      <c r="A1199" s="329" t="s">
        <v>289</v>
      </c>
      <c r="B1199" s="330">
        <v>8</v>
      </c>
      <c r="C1199" s="298">
        <v>46053</v>
      </c>
      <c r="D1199" s="298" t="s">
        <v>319</v>
      </c>
      <c r="E1199" s="331">
        <v>31.03</v>
      </c>
      <c r="F1199" s="331"/>
      <c r="G1199" s="333">
        <f t="shared" si="20"/>
        <v>8193.7899999999936</v>
      </c>
      <c r="H1199" s="334"/>
      <c r="I1199" s="335"/>
      <c r="J1199" s="336"/>
      <c r="K1199" s="301"/>
      <c r="L1199" s="336"/>
      <c r="M1199" s="301"/>
      <c r="N1199" s="336"/>
      <c r="O1199" s="301"/>
      <c r="P1199" s="336"/>
      <c r="Q1199" s="301"/>
      <c r="R1199" s="336"/>
      <c r="S1199" s="301"/>
      <c r="T1199" s="336"/>
    </row>
    <row r="1200" spans="1:20" ht="12" customHeight="1" x14ac:dyDescent="0.3">
      <c r="A1200" s="329" t="s">
        <v>294</v>
      </c>
      <c r="B1200" s="330">
        <v>10</v>
      </c>
      <c r="C1200" s="298">
        <v>46053</v>
      </c>
      <c r="D1200" s="298" t="s">
        <v>176</v>
      </c>
      <c r="E1200" s="331">
        <v>17.899999999999999</v>
      </c>
      <c r="F1200" s="331"/>
      <c r="G1200" s="333">
        <f t="shared" si="20"/>
        <v>8224.8199999999943</v>
      </c>
      <c r="H1200" s="334"/>
      <c r="I1200" s="335"/>
      <c r="J1200" s="336"/>
      <c r="K1200" s="301"/>
      <c r="L1200" s="336"/>
      <c r="M1200" s="301"/>
      <c r="N1200" s="336"/>
      <c r="O1200" s="301"/>
      <c r="P1200" s="336"/>
      <c r="Q1200" s="301"/>
      <c r="R1200" s="336"/>
      <c r="S1200" s="301"/>
      <c r="T1200" s="336"/>
    </row>
    <row r="1201" spans="1:20" ht="12" customHeight="1" x14ac:dyDescent="0.3">
      <c r="A1201" s="329" t="s">
        <v>289</v>
      </c>
      <c r="B1201" s="330">
        <v>3</v>
      </c>
      <c r="C1201" s="298">
        <v>46053</v>
      </c>
      <c r="D1201" s="298" t="s">
        <v>348</v>
      </c>
      <c r="E1201" s="331">
        <v>18.84</v>
      </c>
      <c r="F1201" s="331"/>
      <c r="G1201" s="333">
        <f t="shared" si="20"/>
        <v>8242.7199999999939</v>
      </c>
      <c r="H1201" s="334"/>
      <c r="I1201" s="335"/>
      <c r="J1201" s="336"/>
      <c r="K1201" s="301"/>
      <c r="L1201" s="336"/>
      <c r="M1201" s="301"/>
      <c r="N1201" s="336"/>
      <c r="O1201" s="301"/>
      <c r="P1201" s="336"/>
      <c r="Q1201" s="301"/>
      <c r="R1201" s="336"/>
      <c r="S1201" s="301"/>
      <c r="T1201" s="336"/>
    </row>
    <row r="1202" spans="1:20" ht="12" customHeight="1" x14ac:dyDescent="0.3">
      <c r="A1202" s="329" t="s">
        <v>289</v>
      </c>
      <c r="B1202" s="330">
        <v>8</v>
      </c>
      <c r="C1202" s="298">
        <v>46053</v>
      </c>
      <c r="D1202" s="298" t="s">
        <v>319</v>
      </c>
      <c r="E1202" s="331">
        <v>25.54</v>
      </c>
      <c r="F1202" s="331"/>
      <c r="G1202" s="333">
        <f t="shared" si="20"/>
        <v>8261.559999999994</v>
      </c>
      <c r="H1202" s="334"/>
      <c r="I1202" s="335"/>
      <c r="J1202" s="336"/>
      <c r="K1202" s="301"/>
      <c r="L1202" s="336"/>
      <c r="M1202" s="301"/>
      <c r="N1202" s="336"/>
      <c r="O1202" s="301"/>
      <c r="P1202" s="336"/>
      <c r="Q1202" s="301"/>
      <c r="R1202" s="336"/>
      <c r="S1202" s="301"/>
      <c r="T1202" s="336"/>
    </row>
    <row r="1203" spans="1:20" ht="12" customHeight="1" x14ac:dyDescent="0.3">
      <c r="A1203" s="329" t="s">
        <v>289</v>
      </c>
      <c r="B1203" s="330">
        <v>8</v>
      </c>
      <c r="C1203" s="298">
        <v>46053</v>
      </c>
      <c r="D1203" s="298" t="s">
        <v>308</v>
      </c>
      <c r="E1203" s="331">
        <v>52.59</v>
      </c>
      <c r="F1203" s="331"/>
      <c r="G1203" s="333">
        <f t="shared" si="20"/>
        <v>8287.0999999999949</v>
      </c>
      <c r="H1203" s="334"/>
      <c r="I1203" s="335"/>
      <c r="J1203" s="336"/>
      <c r="K1203" s="301"/>
      <c r="L1203" s="336"/>
      <c r="M1203" s="301"/>
      <c r="N1203" s="336"/>
      <c r="O1203" s="301"/>
      <c r="P1203" s="336"/>
      <c r="Q1203" s="301"/>
      <c r="R1203" s="336"/>
      <c r="S1203" s="301"/>
      <c r="T1203" s="336"/>
    </row>
    <row r="1204" spans="1:20" ht="12" customHeight="1" x14ac:dyDescent="0.3">
      <c r="A1204" s="329" t="s">
        <v>335</v>
      </c>
      <c r="B1204" s="330" t="s">
        <v>335</v>
      </c>
      <c r="C1204" s="298">
        <v>46052</v>
      </c>
      <c r="D1204" s="299" t="s">
        <v>460</v>
      </c>
      <c r="E1204" s="331"/>
      <c r="F1204" s="331">
        <v>422</v>
      </c>
      <c r="G1204" s="333">
        <f t="shared" si="20"/>
        <v>8339.6899999999951</v>
      </c>
      <c r="H1204" s="334"/>
      <c r="I1204" s="335"/>
      <c r="J1204" s="336"/>
      <c r="K1204" s="301"/>
      <c r="L1204" s="336"/>
      <c r="M1204" s="301"/>
      <c r="N1204" s="336"/>
      <c r="O1204" s="301"/>
      <c r="P1204" s="336"/>
      <c r="Q1204" s="301"/>
      <c r="R1204" s="336"/>
      <c r="S1204" s="301"/>
      <c r="T1204" s="336"/>
    </row>
    <row r="1205" spans="1:20" ht="12" customHeight="1" x14ac:dyDescent="0.3">
      <c r="A1205" s="329" t="s">
        <v>289</v>
      </c>
      <c r="B1205" s="330">
        <v>5</v>
      </c>
      <c r="C1205" s="298">
        <v>46052</v>
      </c>
      <c r="D1205" s="299" t="s">
        <v>864</v>
      </c>
      <c r="E1205" s="331">
        <v>200</v>
      </c>
      <c r="F1205" s="331"/>
      <c r="G1205" s="333">
        <f t="shared" si="20"/>
        <v>7917.6899999999951</v>
      </c>
      <c r="H1205" s="334"/>
      <c r="I1205" s="335"/>
      <c r="J1205" s="336"/>
      <c r="K1205" s="301"/>
      <c r="L1205" s="336"/>
      <c r="M1205" s="301"/>
      <c r="N1205" s="336"/>
      <c r="O1205" s="301"/>
      <c r="P1205" s="336"/>
      <c r="Q1205" s="301"/>
      <c r="R1205" s="336"/>
      <c r="S1205" s="301"/>
      <c r="T1205" s="336"/>
    </row>
    <row r="1206" spans="1:20" ht="12" customHeight="1" x14ac:dyDescent="0.3">
      <c r="A1206" s="329" t="s">
        <v>289</v>
      </c>
      <c r="B1206" s="330">
        <v>2</v>
      </c>
      <c r="C1206" s="298">
        <v>46052</v>
      </c>
      <c r="D1206" s="299" t="s">
        <v>296</v>
      </c>
      <c r="E1206" s="331">
        <v>8.52</v>
      </c>
      <c r="F1206" s="331"/>
      <c r="G1206" s="333">
        <f t="shared" si="20"/>
        <v>8117.6899999999951</v>
      </c>
      <c r="H1206" s="334"/>
      <c r="I1206" s="335"/>
      <c r="J1206" s="336"/>
      <c r="K1206" s="301"/>
      <c r="L1206" s="336"/>
      <c r="M1206" s="301"/>
      <c r="N1206" s="336"/>
      <c r="O1206" s="301"/>
      <c r="P1206" s="336"/>
      <c r="Q1206" s="301"/>
      <c r="R1206" s="336"/>
      <c r="S1206" s="301"/>
      <c r="T1206" s="336"/>
    </row>
    <row r="1207" spans="1:20" ht="12" customHeight="1" x14ac:dyDescent="0.3">
      <c r="A1207" s="329" t="s">
        <v>287</v>
      </c>
      <c r="B1207" s="330" t="s">
        <v>287</v>
      </c>
      <c r="C1207" s="298">
        <v>46052</v>
      </c>
      <c r="D1207" s="299" t="s">
        <v>461</v>
      </c>
      <c r="E1207" s="331">
        <v>831.92</v>
      </c>
      <c r="F1207" s="331">
        <v>831.92</v>
      </c>
      <c r="G1207" s="333">
        <f t="shared" si="20"/>
        <v>8126.2099999999955</v>
      </c>
      <c r="H1207" s="334"/>
      <c r="I1207" s="335"/>
      <c r="J1207" s="336"/>
      <c r="K1207" s="301"/>
      <c r="L1207" s="336"/>
      <c r="M1207" s="301"/>
      <c r="N1207" s="336"/>
      <c r="O1207" s="301"/>
      <c r="P1207" s="336"/>
      <c r="Q1207" s="301"/>
      <c r="R1207" s="336"/>
      <c r="S1207" s="301"/>
      <c r="T1207" s="336"/>
    </row>
    <row r="1208" spans="1:20" ht="12" customHeight="1" x14ac:dyDescent="0.3">
      <c r="A1208" s="329" t="s">
        <v>289</v>
      </c>
      <c r="B1208" s="330">
        <v>5</v>
      </c>
      <c r="C1208" s="298">
        <v>46052</v>
      </c>
      <c r="D1208" s="299" t="s">
        <v>441</v>
      </c>
      <c r="E1208" s="331">
        <v>200</v>
      </c>
      <c r="F1208" s="331"/>
      <c r="G1208" s="333">
        <f t="shared" si="20"/>
        <v>8126.2099999999955</v>
      </c>
      <c r="H1208" s="334"/>
      <c r="I1208" s="335"/>
      <c r="J1208" s="336"/>
      <c r="K1208" s="301"/>
      <c r="L1208" s="336"/>
      <c r="M1208" s="301"/>
      <c r="N1208" s="336"/>
      <c r="O1208" s="301"/>
      <c r="P1208" s="336"/>
      <c r="Q1208" s="301"/>
      <c r="R1208" s="336"/>
      <c r="S1208" s="301"/>
      <c r="T1208" s="336"/>
    </row>
    <row r="1209" spans="1:20" ht="12" customHeight="1" x14ac:dyDescent="0.3">
      <c r="A1209" s="329" t="s">
        <v>289</v>
      </c>
      <c r="B1209" s="330">
        <v>2</v>
      </c>
      <c r="C1209" s="298">
        <v>46052</v>
      </c>
      <c r="D1209" s="299" t="s">
        <v>324</v>
      </c>
      <c r="E1209" s="331">
        <v>11.04</v>
      </c>
      <c r="F1209" s="331"/>
      <c r="G1209" s="333">
        <f t="shared" si="20"/>
        <v>8326.2099999999955</v>
      </c>
      <c r="H1209" s="334"/>
      <c r="I1209" s="335"/>
      <c r="J1209" s="336"/>
      <c r="K1209" s="301"/>
      <c r="L1209" s="336"/>
      <c r="M1209" s="301"/>
      <c r="N1209" s="336"/>
      <c r="O1209" s="301"/>
      <c r="P1209" s="336"/>
      <c r="Q1209" s="301"/>
      <c r="R1209" s="336"/>
      <c r="S1209" s="301"/>
      <c r="T1209" s="336"/>
    </row>
    <row r="1210" spans="1:20" ht="12" customHeight="1" x14ac:dyDescent="0.3">
      <c r="A1210" s="329" t="s">
        <v>291</v>
      </c>
      <c r="B1210" s="330">
        <v>38</v>
      </c>
      <c r="C1210" s="298">
        <v>46051</v>
      </c>
      <c r="D1210" s="299" t="s">
        <v>293</v>
      </c>
      <c r="E1210" s="331"/>
      <c r="F1210" s="331">
        <v>4365.6499999999996</v>
      </c>
      <c r="G1210" s="333">
        <f t="shared" si="20"/>
        <v>8337.2499999999964</v>
      </c>
      <c r="H1210" s="334"/>
      <c r="I1210" s="335"/>
      <c r="J1210" s="336"/>
      <c r="K1210" s="301"/>
      <c r="L1210" s="336"/>
      <c r="M1210" s="301"/>
      <c r="N1210" s="336"/>
      <c r="O1210" s="301"/>
      <c r="P1210" s="336"/>
      <c r="Q1210" s="301"/>
      <c r="R1210" s="336"/>
      <c r="S1210" s="301"/>
      <c r="T1210" s="336"/>
    </row>
    <row r="1211" spans="1:20" ht="12" customHeight="1" x14ac:dyDescent="0.3">
      <c r="A1211" s="329" t="s">
        <v>289</v>
      </c>
      <c r="B1211" s="330">
        <v>2</v>
      </c>
      <c r="C1211" s="298">
        <v>46051</v>
      </c>
      <c r="D1211" s="299" t="s">
        <v>296</v>
      </c>
      <c r="E1211" s="331">
        <v>18.28</v>
      </c>
      <c r="F1211" s="331"/>
      <c r="G1211" s="333">
        <f t="shared" si="20"/>
        <v>3971.5999999999976</v>
      </c>
      <c r="H1211" s="334"/>
      <c r="I1211" s="335"/>
      <c r="J1211" s="336"/>
      <c r="K1211" s="301"/>
      <c r="L1211" s="336"/>
      <c r="M1211" s="301"/>
      <c r="N1211" s="336"/>
      <c r="O1211" s="301"/>
      <c r="P1211" s="336"/>
      <c r="Q1211" s="301"/>
      <c r="R1211" s="336"/>
      <c r="S1211" s="301"/>
      <c r="T1211" s="336"/>
    </row>
    <row r="1212" spans="1:20" ht="12" customHeight="1" x14ac:dyDescent="0.3">
      <c r="A1212" s="329" t="s">
        <v>289</v>
      </c>
      <c r="B1212" s="330">
        <v>4</v>
      </c>
      <c r="C1212" s="298">
        <v>46051</v>
      </c>
      <c r="D1212" s="299" t="s">
        <v>295</v>
      </c>
      <c r="E1212" s="331">
        <v>57.06</v>
      </c>
      <c r="F1212" s="331"/>
      <c r="G1212" s="333">
        <f t="shared" si="20"/>
        <v>3989.8799999999978</v>
      </c>
      <c r="H1212" s="334"/>
      <c r="I1212" s="335"/>
      <c r="J1212" s="336"/>
      <c r="K1212" s="301"/>
      <c r="L1212" s="336"/>
      <c r="M1212" s="301"/>
      <c r="N1212" s="336"/>
      <c r="O1212" s="301"/>
      <c r="P1212" s="336"/>
      <c r="Q1212" s="301"/>
      <c r="R1212" s="336"/>
      <c r="S1212" s="301"/>
      <c r="T1212" s="336"/>
    </row>
    <row r="1213" spans="1:20" ht="12" customHeight="1" x14ac:dyDescent="0.3">
      <c r="A1213" s="329" t="s">
        <v>287</v>
      </c>
      <c r="B1213" s="330" t="s">
        <v>287</v>
      </c>
      <c r="C1213" s="298">
        <v>46051</v>
      </c>
      <c r="D1213" s="299" t="s">
        <v>462</v>
      </c>
      <c r="E1213" s="331">
        <v>89.42</v>
      </c>
      <c r="F1213" s="331">
        <v>89.42</v>
      </c>
      <c r="G1213" s="333">
        <f t="shared" si="20"/>
        <v>4046.9399999999978</v>
      </c>
      <c r="H1213" s="334"/>
      <c r="I1213" s="335"/>
      <c r="J1213" s="336"/>
      <c r="K1213" s="301"/>
      <c r="L1213" s="336"/>
      <c r="M1213" s="301"/>
      <c r="N1213" s="336"/>
      <c r="O1213" s="301"/>
      <c r="P1213" s="336"/>
      <c r="Q1213" s="301"/>
      <c r="R1213" s="336"/>
      <c r="S1213" s="301"/>
      <c r="T1213" s="336"/>
    </row>
    <row r="1214" spans="1:20" ht="12" customHeight="1" x14ac:dyDescent="0.3">
      <c r="A1214" s="329" t="s">
        <v>289</v>
      </c>
      <c r="B1214" s="330">
        <v>8</v>
      </c>
      <c r="C1214" s="298">
        <v>46051</v>
      </c>
      <c r="D1214" s="299" t="s">
        <v>463</v>
      </c>
      <c r="E1214" s="331">
        <v>59</v>
      </c>
      <c r="F1214" s="331"/>
      <c r="G1214" s="333">
        <f t="shared" si="20"/>
        <v>4046.9399999999978</v>
      </c>
      <c r="H1214" s="334"/>
      <c r="I1214" s="335"/>
      <c r="J1214" s="336"/>
      <c r="K1214" s="301"/>
      <c r="L1214" s="336"/>
      <c r="M1214" s="301"/>
      <c r="N1214" s="336"/>
      <c r="O1214" s="301"/>
      <c r="P1214" s="336"/>
      <c r="Q1214" s="301"/>
      <c r="R1214" s="336"/>
      <c r="S1214" s="301"/>
      <c r="T1214" s="336"/>
    </row>
    <row r="1215" spans="1:20" ht="12" customHeight="1" x14ac:dyDescent="0.3">
      <c r="A1215" s="329" t="s">
        <v>289</v>
      </c>
      <c r="B1215" s="330">
        <v>2</v>
      </c>
      <c r="C1215" s="298">
        <v>46051</v>
      </c>
      <c r="D1215" s="299" t="s">
        <v>371</v>
      </c>
      <c r="E1215" s="331">
        <v>19.899999999999999</v>
      </c>
      <c r="F1215" s="331"/>
      <c r="G1215" s="333">
        <f t="shared" si="20"/>
        <v>4105.9399999999978</v>
      </c>
      <c r="H1215" s="334"/>
      <c r="I1215" s="335"/>
      <c r="J1215" s="336"/>
      <c r="K1215" s="301"/>
      <c r="L1215" s="336"/>
      <c r="M1215" s="301"/>
      <c r="N1215" s="336"/>
      <c r="O1215" s="301"/>
      <c r="P1215" s="336"/>
      <c r="Q1215" s="301"/>
      <c r="R1215" s="336"/>
      <c r="S1215" s="301"/>
      <c r="T1215" s="336"/>
    </row>
    <row r="1216" spans="1:20" ht="12" customHeight="1" x14ac:dyDescent="0.3">
      <c r="A1216" s="329" t="s">
        <v>289</v>
      </c>
      <c r="B1216" s="330">
        <v>2</v>
      </c>
      <c r="C1216" s="298">
        <v>46050</v>
      </c>
      <c r="D1216" s="299" t="s">
        <v>353</v>
      </c>
      <c r="E1216" s="331">
        <v>14.99</v>
      </c>
      <c r="F1216" s="331"/>
      <c r="G1216" s="333">
        <f t="shared" si="20"/>
        <v>4125.8399999999974</v>
      </c>
      <c r="H1216" s="334"/>
      <c r="I1216" s="335"/>
      <c r="J1216" s="336"/>
      <c r="K1216" s="301"/>
      <c r="L1216" s="336"/>
      <c r="M1216" s="301"/>
      <c r="N1216" s="336"/>
      <c r="O1216" s="301"/>
      <c r="P1216" s="336"/>
      <c r="Q1216" s="301"/>
      <c r="R1216" s="336"/>
      <c r="S1216" s="301"/>
      <c r="T1216" s="336"/>
    </row>
    <row r="1217" spans="1:20" ht="12" customHeight="1" x14ac:dyDescent="0.3">
      <c r="A1217" s="329" t="s">
        <v>289</v>
      </c>
      <c r="B1217" s="330">
        <v>6</v>
      </c>
      <c r="C1217" s="298">
        <v>46050</v>
      </c>
      <c r="D1217" s="299" t="s">
        <v>464</v>
      </c>
      <c r="E1217" s="331">
        <v>25</v>
      </c>
      <c r="F1217" s="331"/>
      <c r="G1217" s="333">
        <f t="shared" si="20"/>
        <v>4140.8299999999972</v>
      </c>
      <c r="H1217" s="334"/>
      <c r="I1217" s="335"/>
      <c r="J1217" s="336"/>
      <c r="K1217" s="301"/>
      <c r="L1217" s="336"/>
      <c r="M1217" s="301"/>
      <c r="N1217" s="336"/>
      <c r="O1217" s="301"/>
      <c r="P1217" s="336"/>
      <c r="Q1217" s="301"/>
      <c r="R1217" s="336"/>
      <c r="S1217" s="301"/>
      <c r="T1217" s="336"/>
    </row>
    <row r="1218" spans="1:20" ht="12" customHeight="1" x14ac:dyDescent="0.3">
      <c r="A1218" s="329" t="s">
        <v>289</v>
      </c>
      <c r="B1218" s="330">
        <v>3</v>
      </c>
      <c r="C1218" s="298">
        <v>46050</v>
      </c>
      <c r="D1218" s="299" t="s">
        <v>865</v>
      </c>
      <c r="E1218" s="331">
        <v>6</v>
      </c>
      <c r="F1218" s="331"/>
      <c r="G1218" s="333">
        <f t="shared" si="20"/>
        <v>4165.8299999999972</v>
      </c>
      <c r="H1218" s="334"/>
      <c r="I1218" s="335"/>
      <c r="J1218" s="336"/>
      <c r="K1218" s="301"/>
      <c r="L1218" s="336"/>
      <c r="M1218" s="301"/>
      <c r="N1218" s="336"/>
      <c r="O1218" s="301"/>
      <c r="P1218" s="336"/>
      <c r="Q1218" s="301"/>
      <c r="R1218" s="336"/>
      <c r="S1218" s="301"/>
      <c r="T1218" s="336"/>
    </row>
    <row r="1219" spans="1:20" ht="12" customHeight="1" x14ac:dyDescent="0.3">
      <c r="A1219" s="329" t="s">
        <v>289</v>
      </c>
      <c r="B1219" s="330">
        <v>2</v>
      </c>
      <c r="C1219" s="298">
        <v>46050</v>
      </c>
      <c r="D1219" s="299" t="s">
        <v>866</v>
      </c>
      <c r="E1219" s="331">
        <v>15</v>
      </c>
      <c r="F1219" s="331"/>
      <c r="G1219" s="333">
        <f t="shared" si="20"/>
        <v>4171.8299999999972</v>
      </c>
      <c r="H1219" s="334"/>
      <c r="I1219" s="335"/>
      <c r="J1219" s="336"/>
      <c r="K1219" s="301"/>
      <c r="L1219" s="336"/>
      <c r="M1219" s="301"/>
      <c r="N1219" s="336"/>
      <c r="O1219" s="301"/>
      <c r="P1219" s="336"/>
      <c r="Q1219" s="301"/>
      <c r="R1219" s="336"/>
      <c r="S1219" s="301"/>
      <c r="T1219" s="336"/>
    </row>
    <row r="1220" spans="1:20" ht="12" customHeight="1" x14ac:dyDescent="0.3">
      <c r="A1220" s="329" t="s">
        <v>289</v>
      </c>
      <c r="B1220" s="330">
        <v>2</v>
      </c>
      <c r="C1220" s="298">
        <v>46050</v>
      </c>
      <c r="D1220" s="299" t="s">
        <v>296</v>
      </c>
      <c r="E1220" s="331">
        <v>12.71</v>
      </c>
      <c r="F1220" s="331"/>
      <c r="G1220" s="333">
        <f t="shared" si="20"/>
        <v>4186.8299999999972</v>
      </c>
      <c r="H1220" s="334"/>
      <c r="I1220" s="335"/>
      <c r="J1220" s="336"/>
      <c r="K1220" s="301"/>
      <c r="L1220" s="336"/>
      <c r="M1220" s="301"/>
      <c r="N1220" s="336"/>
      <c r="O1220" s="301"/>
      <c r="P1220" s="336"/>
      <c r="Q1220" s="301"/>
      <c r="R1220" s="336"/>
      <c r="S1220" s="301"/>
      <c r="T1220" s="336"/>
    </row>
    <row r="1221" spans="1:20" ht="12" customHeight="1" x14ac:dyDescent="0.3">
      <c r="A1221" s="329" t="s">
        <v>287</v>
      </c>
      <c r="B1221" s="330" t="s">
        <v>287</v>
      </c>
      <c r="C1221" s="298">
        <v>46050</v>
      </c>
      <c r="D1221" s="299" t="s">
        <v>452</v>
      </c>
      <c r="E1221" s="331">
        <v>1475.9</v>
      </c>
      <c r="F1221" s="331">
        <v>1475.9</v>
      </c>
      <c r="G1221" s="333">
        <f t="shared" si="20"/>
        <v>4199.5399999999972</v>
      </c>
      <c r="H1221" s="334"/>
      <c r="I1221" s="335"/>
      <c r="J1221" s="336"/>
      <c r="K1221" s="301"/>
      <c r="L1221" s="336"/>
      <c r="M1221" s="301"/>
      <c r="N1221" s="336"/>
      <c r="O1221" s="301"/>
      <c r="P1221" s="336"/>
      <c r="Q1221" s="301"/>
      <c r="R1221" s="336"/>
      <c r="S1221" s="301"/>
      <c r="T1221" s="336"/>
    </row>
    <row r="1222" spans="1:20" ht="12" customHeight="1" x14ac:dyDescent="0.3">
      <c r="A1222" s="329" t="s">
        <v>289</v>
      </c>
      <c r="B1222" s="330">
        <v>8</v>
      </c>
      <c r="C1222" s="298">
        <v>46050</v>
      </c>
      <c r="D1222" s="299" t="s">
        <v>319</v>
      </c>
      <c r="E1222" s="331">
        <v>28.52</v>
      </c>
      <c r="F1222" s="331"/>
      <c r="G1222" s="333">
        <f t="shared" si="20"/>
        <v>4199.5399999999972</v>
      </c>
      <c r="H1222" s="334"/>
      <c r="I1222" s="335"/>
      <c r="J1222" s="336"/>
      <c r="K1222" s="301"/>
      <c r="L1222" s="336"/>
      <c r="M1222" s="301"/>
      <c r="N1222" s="336"/>
      <c r="O1222" s="301"/>
      <c r="P1222" s="336"/>
      <c r="Q1222" s="301"/>
      <c r="R1222" s="336"/>
      <c r="S1222" s="301"/>
      <c r="T1222" s="336"/>
    </row>
    <row r="1223" spans="1:20" ht="12" customHeight="1" x14ac:dyDescent="0.3">
      <c r="A1223" s="329" t="s">
        <v>289</v>
      </c>
      <c r="B1223" s="330">
        <v>2</v>
      </c>
      <c r="C1223" s="298">
        <v>46050</v>
      </c>
      <c r="D1223" s="299" t="s">
        <v>465</v>
      </c>
      <c r="E1223" s="331">
        <v>66.94</v>
      </c>
      <c r="F1223" s="331"/>
      <c r="G1223" s="333">
        <f t="shared" si="20"/>
        <v>4228.0599999999977</v>
      </c>
      <c r="H1223" s="334"/>
      <c r="I1223" s="335"/>
      <c r="J1223" s="336"/>
      <c r="K1223" s="301"/>
      <c r="L1223" s="336"/>
      <c r="M1223" s="301"/>
      <c r="N1223" s="336"/>
      <c r="O1223" s="301"/>
      <c r="P1223" s="336"/>
      <c r="Q1223" s="301"/>
      <c r="R1223" s="336"/>
      <c r="S1223" s="301"/>
      <c r="T1223" s="336"/>
    </row>
    <row r="1224" spans="1:20" ht="12" customHeight="1" x14ac:dyDescent="0.3">
      <c r="A1224" s="329" t="s">
        <v>289</v>
      </c>
      <c r="B1224" s="330">
        <v>8</v>
      </c>
      <c r="C1224" s="298">
        <v>46049</v>
      </c>
      <c r="D1224" s="299" t="s">
        <v>308</v>
      </c>
      <c r="E1224" s="331">
        <v>47.99</v>
      </c>
      <c r="F1224" s="331"/>
      <c r="G1224" s="333">
        <f t="shared" si="20"/>
        <v>4294.9999999999973</v>
      </c>
      <c r="H1224" s="334"/>
      <c r="I1224" s="335"/>
      <c r="J1224" s="336"/>
      <c r="K1224" s="301"/>
      <c r="L1224" s="336"/>
      <c r="M1224" s="301"/>
      <c r="N1224" s="336"/>
      <c r="O1224" s="301"/>
      <c r="P1224" s="336"/>
      <c r="Q1224" s="301"/>
      <c r="R1224" s="336"/>
      <c r="S1224" s="301"/>
      <c r="T1224" s="336"/>
    </row>
    <row r="1225" spans="1:20" ht="12" customHeight="1" x14ac:dyDescent="0.3">
      <c r="A1225" s="329" t="s">
        <v>287</v>
      </c>
      <c r="B1225" s="330" t="s">
        <v>287</v>
      </c>
      <c r="C1225" s="298">
        <v>46048</v>
      </c>
      <c r="D1225" s="299" t="s">
        <v>466</v>
      </c>
      <c r="E1225" s="331"/>
      <c r="F1225" s="331">
        <v>425</v>
      </c>
      <c r="G1225" s="333">
        <f t="shared" si="20"/>
        <v>4342.9899999999971</v>
      </c>
      <c r="H1225" s="334" t="s">
        <v>298</v>
      </c>
      <c r="I1225" s="335"/>
      <c r="J1225" s="336"/>
      <c r="K1225" s="301"/>
      <c r="L1225" s="336"/>
      <c r="M1225" s="301"/>
      <c r="N1225" s="336"/>
      <c r="O1225" s="301"/>
      <c r="P1225" s="336"/>
      <c r="Q1225" s="301"/>
      <c r="R1225" s="336"/>
      <c r="S1225" s="301"/>
      <c r="T1225" s="336"/>
    </row>
    <row r="1226" spans="1:20" ht="12" customHeight="1" x14ac:dyDescent="0.3">
      <c r="A1226" s="329" t="s">
        <v>287</v>
      </c>
      <c r="B1226" s="330" t="s">
        <v>287</v>
      </c>
      <c r="C1226" s="298">
        <v>46048</v>
      </c>
      <c r="D1226" s="299" t="s">
        <v>466</v>
      </c>
      <c r="E1226" s="331">
        <v>425</v>
      </c>
      <c r="F1226" s="331"/>
      <c r="G1226" s="333">
        <f t="shared" si="20"/>
        <v>3917.9899999999971</v>
      </c>
      <c r="H1226" s="334"/>
      <c r="I1226" s="335"/>
      <c r="J1226" s="336"/>
      <c r="K1226" s="301"/>
      <c r="L1226" s="336"/>
      <c r="M1226" s="301"/>
      <c r="N1226" s="336"/>
      <c r="O1226" s="301"/>
      <c r="P1226" s="336"/>
      <c r="Q1226" s="301"/>
      <c r="R1226" s="336"/>
      <c r="S1226" s="301"/>
      <c r="T1226" s="336"/>
    </row>
    <row r="1227" spans="1:20" ht="12" customHeight="1" x14ac:dyDescent="0.3">
      <c r="A1227" s="329" t="s">
        <v>289</v>
      </c>
      <c r="B1227" s="330">
        <v>2</v>
      </c>
      <c r="C1227" s="298">
        <v>46048</v>
      </c>
      <c r="D1227" s="299" t="s">
        <v>467</v>
      </c>
      <c r="E1227" s="331">
        <v>20.12</v>
      </c>
      <c r="F1227" s="331"/>
      <c r="G1227" s="333">
        <f t="shared" si="20"/>
        <v>4342.9899999999971</v>
      </c>
      <c r="H1227" s="334"/>
      <c r="I1227" s="335"/>
      <c r="J1227" s="336"/>
      <c r="K1227" s="301"/>
      <c r="L1227" s="336"/>
      <c r="M1227" s="301"/>
      <c r="N1227" s="336"/>
      <c r="O1227" s="301"/>
      <c r="P1227" s="336"/>
      <c r="Q1227" s="301"/>
      <c r="R1227" s="336"/>
      <c r="S1227" s="301"/>
      <c r="T1227" s="336"/>
    </row>
    <row r="1228" spans="1:20" ht="12" customHeight="1" x14ac:dyDescent="0.3">
      <c r="A1228" s="329" t="s">
        <v>294</v>
      </c>
      <c r="B1228" s="330">
        <v>17</v>
      </c>
      <c r="C1228" s="298">
        <v>46048</v>
      </c>
      <c r="D1228" s="299" t="s">
        <v>468</v>
      </c>
      <c r="E1228" s="331">
        <v>42.68</v>
      </c>
      <c r="F1228" s="331"/>
      <c r="G1228" s="333">
        <f t="shared" si="20"/>
        <v>4363.1099999999969</v>
      </c>
      <c r="H1228" s="334"/>
      <c r="I1228" s="335"/>
      <c r="J1228" s="336"/>
      <c r="K1228" s="301"/>
      <c r="L1228" s="336"/>
      <c r="M1228" s="301"/>
      <c r="N1228" s="336"/>
      <c r="O1228" s="301"/>
      <c r="P1228" s="336"/>
      <c r="Q1228" s="301"/>
      <c r="R1228" s="336"/>
      <c r="S1228" s="301"/>
      <c r="T1228" s="336"/>
    </row>
    <row r="1229" spans="1:20" ht="12" customHeight="1" x14ac:dyDescent="0.3">
      <c r="A1229" s="329" t="s">
        <v>289</v>
      </c>
      <c r="B1229" s="330">
        <v>6</v>
      </c>
      <c r="C1229" s="298">
        <v>46048</v>
      </c>
      <c r="D1229" s="299" t="s">
        <v>397</v>
      </c>
      <c r="E1229" s="331">
        <v>47.9</v>
      </c>
      <c r="F1229" s="331"/>
      <c r="G1229" s="333">
        <f t="shared" si="20"/>
        <v>4405.7899999999972</v>
      </c>
      <c r="H1229" s="334"/>
      <c r="I1229" s="335"/>
      <c r="J1229" s="336"/>
      <c r="K1229" s="301"/>
      <c r="L1229" s="336"/>
      <c r="M1229" s="301"/>
      <c r="N1229" s="336"/>
      <c r="O1229" s="301"/>
      <c r="P1229" s="336"/>
      <c r="Q1229" s="301"/>
      <c r="R1229" s="336"/>
      <c r="S1229" s="301"/>
      <c r="T1229" s="336"/>
    </row>
    <row r="1230" spans="1:20" ht="12" customHeight="1" x14ac:dyDescent="0.3">
      <c r="A1230" s="329" t="s">
        <v>289</v>
      </c>
      <c r="B1230" s="330">
        <v>1</v>
      </c>
      <c r="C1230" s="298">
        <v>46047</v>
      </c>
      <c r="D1230" s="299" t="s">
        <v>457</v>
      </c>
      <c r="E1230" s="331">
        <v>105.79</v>
      </c>
      <c r="F1230" s="331"/>
      <c r="G1230" s="333">
        <f t="shared" si="20"/>
        <v>4453.6899999999969</v>
      </c>
      <c r="H1230" s="334"/>
      <c r="I1230" s="335"/>
      <c r="J1230" s="336"/>
      <c r="K1230" s="301"/>
      <c r="L1230" s="336"/>
      <c r="M1230" s="301"/>
      <c r="N1230" s="336"/>
      <c r="O1230" s="301"/>
      <c r="P1230" s="336"/>
      <c r="Q1230" s="301"/>
      <c r="R1230" s="336"/>
      <c r="S1230" s="301"/>
      <c r="T1230" s="336"/>
    </row>
    <row r="1231" spans="1:20" ht="12" customHeight="1" x14ac:dyDescent="0.3">
      <c r="A1231" s="329" t="s">
        <v>294</v>
      </c>
      <c r="B1231" s="330">
        <v>12</v>
      </c>
      <c r="C1231" s="298">
        <v>46047</v>
      </c>
      <c r="D1231" s="299" t="s">
        <v>314</v>
      </c>
      <c r="E1231" s="331">
        <v>204.83</v>
      </c>
      <c r="F1231" s="331"/>
      <c r="G1231" s="333">
        <f t="shared" si="20"/>
        <v>4559.4799999999968</v>
      </c>
      <c r="H1231" s="334"/>
      <c r="I1231" s="335"/>
      <c r="J1231" s="336"/>
      <c r="K1231" s="301"/>
      <c r="L1231" s="336"/>
      <c r="M1231" s="301"/>
      <c r="N1231" s="336"/>
      <c r="O1231" s="301"/>
      <c r="P1231" s="336"/>
      <c r="Q1231" s="301"/>
      <c r="R1231" s="336"/>
      <c r="S1231" s="301"/>
      <c r="T1231" s="336"/>
    </row>
    <row r="1232" spans="1:20" ht="12" customHeight="1" x14ac:dyDescent="0.3">
      <c r="A1232" s="329" t="s">
        <v>289</v>
      </c>
      <c r="B1232" s="330">
        <v>3</v>
      </c>
      <c r="C1232" s="298">
        <v>46047</v>
      </c>
      <c r="D1232" s="299" t="s">
        <v>348</v>
      </c>
      <c r="E1232" s="331">
        <v>8.51</v>
      </c>
      <c r="F1232" s="331"/>
      <c r="G1232" s="333">
        <f t="shared" si="20"/>
        <v>4764.3099999999968</v>
      </c>
      <c r="H1232" s="334"/>
      <c r="I1232" s="335"/>
      <c r="J1232" s="336"/>
      <c r="K1232" s="301"/>
      <c r="L1232" s="336"/>
      <c r="M1232" s="301"/>
      <c r="N1232" s="336"/>
      <c r="O1232" s="301"/>
      <c r="P1232" s="336"/>
      <c r="Q1232" s="301"/>
      <c r="R1232" s="336"/>
      <c r="S1232" s="301"/>
      <c r="T1232" s="336"/>
    </row>
    <row r="1233" spans="1:20" ht="12" customHeight="1" x14ac:dyDescent="0.3">
      <c r="A1233" s="329" t="s">
        <v>289</v>
      </c>
      <c r="B1233" s="330">
        <v>4</v>
      </c>
      <c r="C1233" s="298">
        <v>46046</v>
      </c>
      <c r="D1233" s="299" t="s">
        <v>296</v>
      </c>
      <c r="E1233" s="331">
        <v>92.96</v>
      </c>
      <c r="F1233" s="331"/>
      <c r="G1233" s="333">
        <f t="shared" si="20"/>
        <v>4772.819999999997</v>
      </c>
      <c r="H1233" s="334"/>
      <c r="I1233" s="335"/>
      <c r="J1233" s="336"/>
      <c r="K1233" s="301"/>
      <c r="L1233" s="336"/>
      <c r="M1233" s="301"/>
      <c r="N1233" s="336"/>
      <c r="O1233" s="301"/>
      <c r="P1233" s="336"/>
      <c r="Q1233" s="301"/>
      <c r="R1233" s="336"/>
      <c r="S1233" s="301"/>
      <c r="T1233" s="336"/>
    </row>
    <row r="1234" spans="1:20" ht="12" customHeight="1" x14ac:dyDescent="0.3">
      <c r="A1234" s="329" t="s">
        <v>289</v>
      </c>
      <c r="B1234" s="330">
        <v>4</v>
      </c>
      <c r="C1234" s="298">
        <v>46046</v>
      </c>
      <c r="D1234" s="299" t="s">
        <v>334</v>
      </c>
      <c r="E1234" s="331">
        <v>30.77</v>
      </c>
      <c r="F1234" s="331"/>
      <c r="G1234" s="333">
        <f t="shared" si="20"/>
        <v>4865.779999999997</v>
      </c>
      <c r="H1234" s="334"/>
      <c r="I1234" s="335"/>
      <c r="J1234" s="336"/>
      <c r="K1234" s="301"/>
      <c r="L1234" s="336"/>
      <c r="M1234" s="301"/>
      <c r="N1234" s="336"/>
      <c r="O1234" s="301"/>
      <c r="P1234" s="336"/>
      <c r="Q1234" s="301"/>
      <c r="R1234" s="336"/>
      <c r="S1234" s="301"/>
      <c r="T1234" s="336"/>
    </row>
    <row r="1235" spans="1:20" ht="12" customHeight="1" x14ac:dyDescent="0.3">
      <c r="A1235" s="329" t="s">
        <v>289</v>
      </c>
      <c r="B1235" s="330">
        <v>2</v>
      </c>
      <c r="C1235" s="298">
        <v>46046</v>
      </c>
      <c r="D1235" s="299" t="s">
        <v>358</v>
      </c>
      <c r="E1235" s="331">
        <v>9.4700000000000006</v>
      </c>
      <c r="F1235" s="331"/>
      <c r="G1235" s="333">
        <f t="shared" si="20"/>
        <v>4896.5499999999975</v>
      </c>
      <c r="H1235" s="334"/>
      <c r="I1235" s="335"/>
      <c r="J1235" s="336"/>
      <c r="K1235" s="301"/>
      <c r="L1235" s="336"/>
      <c r="M1235" s="301"/>
      <c r="N1235" s="336"/>
      <c r="O1235" s="301"/>
      <c r="P1235" s="336"/>
      <c r="Q1235" s="301"/>
      <c r="R1235" s="336"/>
      <c r="S1235" s="301"/>
      <c r="T1235" s="336"/>
    </row>
    <row r="1236" spans="1:20" ht="12" customHeight="1" x14ac:dyDescent="0.3">
      <c r="A1236" s="329" t="s">
        <v>289</v>
      </c>
      <c r="B1236" s="330">
        <v>6</v>
      </c>
      <c r="C1236" s="298">
        <v>46046</v>
      </c>
      <c r="D1236" s="299" t="s">
        <v>397</v>
      </c>
      <c r="E1236" s="331">
        <v>53.59</v>
      </c>
      <c r="F1236" s="331"/>
      <c r="G1236" s="333">
        <f t="shared" si="20"/>
        <v>4906.0199999999977</v>
      </c>
      <c r="H1236" s="334"/>
      <c r="I1236" s="335"/>
      <c r="J1236" s="336"/>
      <c r="K1236" s="301"/>
      <c r="L1236" s="336"/>
      <c r="M1236" s="301"/>
      <c r="N1236" s="336"/>
      <c r="O1236" s="301"/>
      <c r="P1236" s="336"/>
      <c r="Q1236" s="301"/>
      <c r="R1236" s="336"/>
      <c r="S1236" s="301"/>
      <c r="T1236" s="336"/>
    </row>
    <row r="1237" spans="1:20" ht="12" customHeight="1" x14ac:dyDescent="0.3">
      <c r="A1237" s="329" t="s">
        <v>289</v>
      </c>
      <c r="B1237" s="330">
        <v>1</v>
      </c>
      <c r="C1237" s="298">
        <v>46046</v>
      </c>
      <c r="D1237" s="299" t="s">
        <v>311</v>
      </c>
      <c r="E1237" s="331">
        <v>61.64</v>
      </c>
      <c r="F1237" s="331"/>
      <c r="G1237" s="333">
        <f t="shared" si="20"/>
        <v>4959.6099999999979</v>
      </c>
      <c r="H1237" s="334"/>
      <c r="I1237" s="335"/>
      <c r="J1237" s="336"/>
      <c r="K1237" s="301"/>
      <c r="L1237" s="336"/>
      <c r="M1237" s="301"/>
      <c r="N1237" s="336"/>
      <c r="O1237" s="301"/>
      <c r="P1237" s="336"/>
      <c r="Q1237" s="301"/>
      <c r="R1237" s="336"/>
      <c r="S1237" s="301"/>
      <c r="T1237" s="336"/>
    </row>
    <row r="1238" spans="1:20" ht="12" customHeight="1" x14ac:dyDescent="0.3">
      <c r="A1238" s="329" t="s">
        <v>289</v>
      </c>
      <c r="B1238" s="330">
        <v>1</v>
      </c>
      <c r="C1238" s="298">
        <v>46045</v>
      </c>
      <c r="D1238" s="299" t="s">
        <v>304</v>
      </c>
      <c r="E1238" s="331">
        <v>23.17</v>
      </c>
      <c r="F1238" s="331"/>
      <c r="G1238" s="333">
        <f t="shared" si="20"/>
        <v>5021.2499999999982</v>
      </c>
      <c r="H1238" s="334"/>
      <c r="I1238" s="335"/>
      <c r="J1238" s="336"/>
      <c r="K1238" s="301"/>
      <c r="L1238" s="336"/>
      <c r="M1238" s="301"/>
      <c r="N1238" s="336"/>
      <c r="O1238" s="301"/>
      <c r="P1238" s="336"/>
      <c r="Q1238" s="301"/>
      <c r="R1238" s="336"/>
      <c r="S1238" s="301"/>
      <c r="T1238" s="336"/>
    </row>
    <row r="1239" spans="1:20" ht="12" customHeight="1" x14ac:dyDescent="0.3">
      <c r="A1239" s="329" t="s">
        <v>289</v>
      </c>
      <c r="B1239" s="330">
        <v>4</v>
      </c>
      <c r="C1239" s="298">
        <v>46045</v>
      </c>
      <c r="D1239" s="299" t="s">
        <v>296</v>
      </c>
      <c r="E1239" s="331">
        <v>62.77</v>
      </c>
      <c r="F1239" s="331"/>
      <c r="G1239" s="333">
        <f t="shared" si="20"/>
        <v>5044.4199999999983</v>
      </c>
      <c r="H1239" s="334"/>
      <c r="I1239" s="335"/>
      <c r="J1239" s="336"/>
      <c r="K1239" s="301"/>
      <c r="L1239" s="336"/>
      <c r="M1239" s="301"/>
      <c r="N1239" s="336"/>
      <c r="O1239" s="301"/>
      <c r="P1239" s="336"/>
      <c r="Q1239" s="301"/>
      <c r="R1239" s="336"/>
      <c r="S1239" s="301"/>
      <c r="T1239" s="336"/>
    </row>
    <row r="1240" spans="1:20" ht="12" customHeight="1" x14ac:dyDescent="0.3">
      <c r="A1240" s="329" t="s">
        <v>289</v>
      </c>
      <c r="B1240" s="330">
        <v>6</v>
      </c>
      <c r="C1240" s="298">
        <v>46045</v>
      </c>
      <c r="D1240" s="299" t="s">
        <v>469</v>
      </c>
      <c r="E1240" s="331">
        <v>105.51</v>
      </c>
      <c r="F1240" s="331"/>
      <c r="G1240" s="333">
        <f t="shared" si="20"/>
        <v>5107.1899999999987</v>
      </c>
      <c r="H1240" s="334"/>
      <c r="I1240" s="335"/>
      <c r="J1240" s="336"/>
      <c r="K1240" s="301"/>
      <c r="L1240" s="336"/>
      <c r="M1240" s="301"/>
      <c r="N1240" s="336"/>
      <c r="O1240" s="301"/>
      <c r="P1240" s="336"/>
      <c r="Q1240" s="301"/>
      <c r="R1240" s="336"/>
      <c r="S1240" s="301"/>
      <c r="T1240" s="336"/>
    </row>
    <row r="1241" spans="1:20" ht="12" customHeight="1" x14ac:dyDescent="0.3">
      <c r="A1241" s="329" t="s">
        <v>289</v>
      </c>
      <c r="B1241" s="330">
        <v>3</v>
      </c>
      <c r="C1241" s="298">
        <v>46045</v>
      </c>
      <c r="D1241" s="299" t="s">
        <v>334</v>
      </c>
      <c r="E1241" s="331">
        <v>9.9499999999999993</v>
      </c>
      <c r="F1241" s="331"/>
      <c r="G1241" s="333">
        <f t="shared" si="20"/>
        <v>5212.6999999999989</v>
      </c>
      <c r="H1241" s="334"/>
      <c r="I1241" s="335"/>
      <c r="J1241" s="336"/>
      <c r="K1241" s="301"/>
      <c r="L1241" s="336"/>
      <c r="M1241" s="301"/>
      <c r="N1241" s="336"/>
      <c r="O1241" s="301"/>
      <c r="P1241" s="336"/>
      <c r="Q1241" s="301"/>
      <c r="R1241" s="336"/>
      <c r="S1241" s="301"/>
      <c r="T1241" s="336"/>
    </row>
    <row r="1242" spans="1:20" ht="12" customHeight="1" x14ac:dyDescent="0.3">
      <c r="A1242" s="329" t="s">
        <v>289</v>
      </c>
      <c r="B1242" s="330">
        <v>2</v>
      </c>
      <c r="C1242" s="298">
        <v>46045</v>
      </c>
      <c r="D1242" s="299" t="s">
        <v>358</v>
      </c>
      <c r="E1242" s="331">
        <v>10.17</v>
      </c>
      <c r="F1242" s="331"/>
      <c r="G1242" s="333">
        <f t="shared" si="20"/>
        <v>5222.6499999999987</v>
      </c>
      <c r="H1242" s="334"/>
      <c r="I1242" s="335"/>
      <c r="J1242" s="336"/>
      <c r="K1242" s="301"/>
      <c r="L1242" s="336"/>
      <c r="M1242" s="301"/>
      <c r="N1242" s="336"/>
      <c r="O1242" s="301"/>
      <c r="P1242" s="336"/>
      <c r="Q1242" s="301"/>
      <c r="R1242" s="336"/>
      <c r="S1242" s="301"/>
      <c r="T1242" s="336"/>
    </row>
    <row r="1243" spans="1:20" ht="12" customHeight="1" x14ac:dyDescent="0.3">
      <c r="A1243" s="329" t="s">
        <v>289</v>
      </c>
      <c r="B1243" s="330">
        <v>2</v>
      </c>
      <c r="C1243" s="298">
        <v>46045</v>
      </c>
      <c r="D1243" s="299" t="s">
        <v>301</v>
      </c>
      <c r="E1243" s="331">
        <v>32.200000000000003</v>
      </c>
      <c r="F1243" s="331"/>
      <c r="G1243" s="333">
        <f t="shared" si="20"/>
        <v>5232.8199999999988</v>
      </c>
      <c r="H1243" s="334"/>
      <c r="I1243" s="335"/>
      <c r="J1243" s="336"/>
      <c r="K1243" s="301"/>
      <c r="L1243" s="336"/>
      <c r="M1243" s="301"/>
      <c r="N1243" s="336"/>
      <c r="O1243" s="301"/>
      <c r="P1243" s="336"/>
      <c r="Q1243" s="301"/>
      <c r="R1243" s="336"/>
      <c r="S1243" s="301"/>
      <c r="T1243" s="336"/>
    </row>
    <row r="1244" spans="1:20" ht="12" customHeight="1" x14ac:dyDescent="0.3">
      <c r="A1244" s="329" t="s">
        <v>294</v>
      </c>
      <c r="B1244" s="330">
        <v>22</v>
      </c>
      <c r="C1244" s="298">
        <v>46045</v>
      </c>
      <c r="D1244" s="299" t="s">
        <v>862</v>
      </c>
      <c r="E1244" s="331">
        <v>5.31</v>
      </c>
      <c r="F1244" s="331"/>
      <c r="G1244" s="333">
        <f t="shared" si="20"/>
        <v>5265.0199999999986</v>
      </c>
      <c r="H1244" s="334"/>
      <c r="I1244" s="335"/>
      <c r="J1244" s="336"/>
      <c r="K1244" s="301"/>
      <c r="L1244" s="336"/>
      <c r="M1244" s="301"/>
      <c r="N1244" s="336"/>
      <c r="O1244" s="301"/>
      <c r="P1244" s="336"/>
      <c r="Q1244" s="301"/>
      <c r="R1244" s="336"/>
      <c r="S1244" s="301"/>
      <c r="T1244" s="336"/>
    </row>
    <row r="1245" spans="1:20" ht="12" customHeight="1" x14ac:dyDescent="0.3">
      <c r="A1245" s="329" t="s">
        <v>289</v>
      </c>
      <c r="B1245" s="330">
        <v>8</v>
      </c>
      <c r="C1245" s="298">
        <v>46044</v>
      </c>
      <c r="D1245" s="299" t="s">
        <v>435</v>
      </c>
      <c r="E1245" s="331">
        <v>73.95</v>
      </c>
      <c r="F1245" s="331"/>
      <c r="G1245" s="333">
        <f t="shared" si="20"/>
        <v>5270.329999999999</v>
      </c>
      <c r="H1245" s="334"/>
      <c r="I1245" s="335"/>
      <c r="J1245" s="336"/>
      <c r="K1245" s="301"/>
      <c r="L1245" s="336"/>
      <c r="M1245" s="301"/>
      <c r="N1245" s="336"/>
      <c r="O1245" s="301"/>
      <c r="P1245" s="336"/>
      <c r="Q1245" s="301"/>
      <c r="R1245" s="336"/>
      <c r="S1245" s="301"/>
      <c r="T1245" s="336"/>
    </row>
    <row r="1246" spans="1:20" ht="12" customHeight="1" x14ac:dyDescent="0.3">
      <c r="A1246" s="329" t="s">
        <v>289</v>
      </c>
      <c r="B1246" s="330">
        <v>2</v>
      </c>
      <c r="C1246" s="298">
        <v>46044</v>
      </c>
      <c r="D1246" s="299" t="s">
        <v>470</v>
      </c>
      <c r="E1246" s="331">
        <v>28.68</v>
      </c>
      <c r="F1246" s="331"/>
      <c r="G1246" s="333">
        <f t="shared" si="20"/>
        <v>5344.2799999999988</v>
      </c>
      <c r="H1246" s="334"/>
      <c r="I1246" s="335"/>
      <c r="J1246" s="336"/>
      <c r="K1246" s="301"/>
      <c r="L1246" s="336"/>
      <c r="M1246" s="301"/>
      <c r="N1246" s="336"/>
      <c r="O1246" s="301"/>
      <c r="P1246" s="336"/>
      <c r="Q1246" s="301"/>
      <c r="R1246" s="336"/>
      <c r="S1246" s="301"/>
      <c r="T1246" s="336"/>
    </row>
    <row r="1247" spans="1:20" ht="12" customHeight="1" x14ac:dyDescent="0.3">
      <c r="A1247" s="329" t="s">
        <v>289</v>
      </c>
      <c r="B1247" s="330">
        <v>8</v>
      </c>
      <c r="C1247" s="298">
        <v>46044</v>
      </c>
      <c r="D1247" s="299" t="s">
        <v>357</v>
      </c>
      <c r="E1247" s="331">
        <v>57.38</v>
      </c>
      <c r="F1247" s="331"/>
      <c r="G1247" s="333">
        <f t="shared" si="20"/>
        <v>5372.9599999999991</v>
      </c>
      <c r="H1247" s="334"/>
      <c r="I1247" s="335"/>
      <c r="J1247" s="336"/>
      <c r="K1247" s="301"/>
      <c r="L1247" s="336"/>
      <c r="M1247" s="301"/>
      <c r="N1247" s="336"/>
      <c r="O1247" s="301"/>
      <c r="P1247" s="336"/>
      <c r="Q1247" s="301"/>
      <c r="R1247" s="336"/>
      <c r="S1247" s="301"/>
      <c r="T1247" s="336"/>
    </row>
    <row r="1248" spans="1:20" ht="12" customHeight="1" x14ac:dyDescent="0.3">
      <c r="A1248" s="329" t="s">
        <v>289</v>
      </c>
      <c r="B1248" s="330">
        <v>2</v>
      </c>
      <c r="C1248" s="298">
        <v>46044</v>
      </c>
      <c r="D1248" s="299" t="s">
        <v>358</v>
      </c>
      <c r="E1248" s="331">
        <v>9.4700000000000006</v>
      </c>
      <c r="F1248" s="331"/>
      <c r="G1248" s="333">
        <f t="shared" si="20"/>
        <v>5430.3399999999992</v>
      </c>
      <c r="H1248" s="334"/>
      <c r="I1248" s="335"/>
      <c r="J1248" s="336"/>
      <c r="K1248" s="301"/>
      <c r="L1248" s="336"/>
      <c r="M1248" s="301"/>
      <c r="N1248" s="336"/>
      <c r="O1248" s="301"/>
      <c r="P1248" s="336"/>
      <c r="Q1248" s="301"/>
      <c r="R1248" s="336"/>
      <c r="S1248" s="301"/>
      <c r="T1248" s="336"/>
    </row>
    <row r="1249" spans="1:20" ht="12" customHeight="1" x14ac:dyDescent="0.3">
      <c r="A1249" s="329" t="s">
        <v>289</v>
      </c>
      <c r="B1249" s="330">
        <v>2</v>
      </c>
      <c r="C1249" s="298">
        <v>46044</v>
      </c>
      <c r="D1249" s="299" t="s">
        <v>358</v>
      </c>
      <c r="E1249" s="331">
        <v>7.18</v>
      </c>
      <c r="F1249" s="331"/>
      <c r="G1249" s="333">
        <f t="shared" si="20"/>
        <v>5439.8099999999995</v>
      </c>
      <c r="H1249" s="334"/>
      <c r="I1249" s="335"/>
      <c r="J1249" s="336"/>
      <c r="K1249" s="301"/>
      <c r="L1249" s="336"/>
      <c r="M1249" s="301"/>
      <c r="N1249" s="336"/>
      <c r="O1249" s="301"/>
      <c r="P1249" s="336"/>
      <c r="Q1249" s="301"/>
      <c r="R1249" s="336"/>
      <c r="S1249" s="301"/>
      <c r="T1249" s="336"/>
    </row>
    <row r="1250" spans="1:20" ht="12" customHeight="1" x14ac:dyDescent="0.3">
      <c r="A1250" s="329" t="s">
        <v>287</v>
      </c>
      <c r="B1250" s="330" t="s">
        <v>287</v>
      </c>
      <c r="C1250" s="298">
        <v>46044</v>
      </c>
      <c r="D1250" s="299" t="s">
        <v>315</v>
      </c>
      <c r="E1250" s="331">
        <v>126.24</v>
      </c>
      <c r="F1250" s="331">
        <v>126.24</v>
      </c>
      <c r="G1250" s="333">
        <f t="shared" si="20"/>
        <v>5446.99</v>
      </c>
      <c r="H1250" s="334"/>
      <c r="I1250" s="335"/>
      <c r="J1250" s="336"/>
      <c r="K1250" s="301"/>
      <c r="L1250" s="336"/>
      <c r="M1250" s="301"/>
      <c r="N1250" s="336"/>
      <c r="O1250" s="301"/>
      <c r="P1250" s="336"/>
      <c r="Q1250" s="301"/>
      <c r="R1250" s="336"/>
      <c r="S1250" s="301"/>
      <c r="T1250" s="336"/>
    </row>
    <row r="1251" spans="1:20" ht="12" customHeight="1" x14ac:dyDescent="0.3">
      <c r="A1251" s="329" t="s">
        <v>289</v>
      </c>
      <c r="B1251" s="330">
        <v>8</v>
      </c>
      <c r="C1251" s="298">
        <v>46043</v>
      </c>
      <c r="D1251" s="299" t="s">
        <v>471</v>
      </c>
      <c r="E1251" s="331">
        <v>17</v>
      </c>
      <c r="F1251" s="331"/>
      <c r="G1251" s="333">
        <f t="shared" si="20"/>
        <v>5446.99</v>
      </c>
      <c r="H1251" s="334"/>
      <c r="I1251" s="335"/>
      <c r="J1251" s="336"/>
      <c r="K1251" s="301"/>
      <c r="L1251" s="336"/>
      <c r="M1251" s="301"/>
      <c r="N1251" s="336"/>
      <c r="O1251" s="301"/>
      <c r="P1251" s="336"/>
      <c r="Q1251" s="301"/>
      <c r="R1251" s="336"/>
      <c r="S1251" s="301"/>
      <c r="T1251" s="336"/>
    </row>
    <row r="1252" spans="1:20" ht="12" customHeight="1" x14ac:dyDescent="0.3">
      <c r="A1252" s="329" t="s">
        <v>289</v>
      </c>
      <c r="B1252" s="330">
        <v>1</v>
      </c>
      <c r="C1252" s="298">
        <v>46043</v>
      </c>
      <c r="D1252" s="299" t="s">
        <v>329</v>
      </c>
      <c r="E1252" s="331">
        <v>24.75</v>
      </c>
      <c r="F1252" s="331"/>
      <c r="G1252" s="333">
        <f t="shared" si="20"/>
        <v>5463.99</v>
      </c>
      <c r="H1252" s="334"/>
      <c r="I1252" s="335"/>
      <c r="J1252" s="336"/>
      <c r="K1252" s="301"/>
      <c r="L1252" s="336"/>
      <c r="M1252" s="301"/>
      <c r="N1252" s="336"/>
      <c r="O1252" s="301"/>
      <c r="P1252" s="336"/>
      <c r="Q1252" s="301"/>
      <c r="R1252" s="336"/>
      <c r="S1252" s="301"/>
      <c r="T1252" s="336"/>
    </row>
    <row r="1253" spans="1:20" ht="12" customHeight="1" x14ac:dyDescent="0.3">
      <c r="A1253" s="329" t="s">
        <v>291</v>
      </c>
      <c r="B1253" s="330">
        <v>39</v>
      </c>
      <c r="C1253" s="298">
        <v>46043</v>
      </c>
      <c r="D1253" s="299" t="s">
        <v>292</v>
      </c>
      <c r="E1253" s="331"/>
      <c r="F1253" s="331">
        <v>3378.82</v>
      </c>
      <c r="G1253" s="333">
        <f t="shared" si="20"/>
        <v>5488.74</v>
      </c>
      <c r="H1253" s="334"/>
      <c r="I1253" s="335"/>
      <c r="J1253" s="336"/>
      <c r="K1253" s="301"/>
      <c r="L1253" s="336"/>
      <c r="M1253" s="301"/>
      <c r="N1253" s="336"/>
      <c r="O1253" s="301"/>
      <c r="P1253" s="336"/>
      <c r="Q1253" s="301"/>
      <c r="R1253" s="336"/>
      <c r="S1253" s="301"/>
      <c r="T1253" s="336"/>
    </row>
    <row r="1254" spans="1:20" ht="12" customHeight="1" x14ac:dyDescent="0.3">
      <c r="A1254" s="329" t="s">
        <v>294</v>
      </c>
      <c r="B1254" s="330">
        <v>23</v>
      </c>
      <c r="C1254" s="298">
        <v>46043</v>
      </c>
      <c r="D1254" s="299" t="s">
        <v>67</v>
      </c>
      <c r="E1254" s="331">
        <v>650.88</v>
      </c>
      <c r="F1254" s="331"/>
      <c r="G1254" s="333">
        <f t="shared" si="20"/>
        <v>2109.9199999999992</v>
      </c>
      <c r="H1254" s="334"/>
      <c r="I1254" s="335"/>
      <c r="J1254" s="336"/>
      <c r="K1254" s="301"/>
      <c r="L1254" s="336"/>
      <c r="M1254" s="301"/>
      <c r="N1254" s="336"/>
      <c r="O1254" s="301"/>
      <c r="P1254" s="336"/>
      <c r="Q1254" s="301"/>
      <c r="R1254" s="336"/>
      <c r="S1254" s="301"/>
      <c r="T1254" s="336"/>
    </row>
    <row r="1255" spans="1:20" ht="12" customHeight="1" x14ac:dyDescent="0.3">
      <c r="A1255" s="329" t="s">
        <v>287</v>
      </c>
      <c r="B1255" s="330" t="s">
        <v>287</v>
      </c>
      <c r="C1255" s="298">
        <v>46043</v>
      </c>
      <c r="D1255" s="299" t="s">
        <v>472</v>
      </c>
      <c r="E1255" s="331">
        <v>100</v>
      </c>
      <c r="F1255" s="331">
        <v>100</v>
      </c>
      <c r="G1255" s="333">
        <f t="shared" si="20"/>
        <v>2760.7999999999993</v>
      </c>
      <c r="H1255" s="334"/>
      <c r="I1255" s="335"/>
      <c r="J1255" s="336"/>
      <c r="K1255" s="301"/>
      <c r="L1255" s="336"/>
      <c r="M1255" s="301"/>
      <c r="N1255" s="336"/>
      <c r="O1255" s="301"/>
      <c r="P1255" s="336"/>
      <c r="Q1255" s="301"/>
      <c r="R1255" s="336"/>
      <c r="S1255" s="301"/>
      <c r="T1255" s="336"/>
    </row>
    <row r="1256" spans="1:20" ht="12" customHeight="1" x14ac:dyDescent="0.3">
      <c r="A1256" s="329" t="s">
        <v>289</v>
      </c>
      <c r="B1256" s="330">
        <v>2</v>
      </c>
      <c r="C1256" s="298">
        <v>46043</v>
      </c>
      <c r="D1256" s="299" t="s">
        <v>301</v>
      </c>
      <c r="E1256" s="331">
        <v>20</v>
      </c>
      <c r="F1256" s="331"/>
      <c r="G1256" s="333">
        <f t="shared" si="20"/>
        <v>2760.7999999999993</v>
      </c>
      <c r="H1256" s="334"/>
      <c r="I1256" s="335"/>
      <c r="J1256" s="336"/>
      <c r="K1256" s="301"/>
      <c r="L1256" s="336"/>
      <c r="M1256" s="301"/>
      <c r="N1256" s="336"/>
      <c r="O1256" s="301"/>
      <c r="P1256" s="336"/>
      <c r="Q1256" s="301"/>
      <c r="R1256" s="336"/>
      <c r="S1256" s="301"/>
      <c r="T1256" s="336"/>
    </row>
    <row r="1257" spans="1:20" ht="12" customHeight="1" x14ac:dyDescent="0.3">
      <c r="A1257" s="329" t="s">
        <v>289</v>
      </c>
      <c r="B1257" s="330">
        <v>8</v>
      </c>
      <c r="C1257" s="298">
        <v>46043</v>
      </c>
      <c r="D1257" s="299" t="s">
        <v>295</v>
      </c>
      <c r="E1257" s="331">
        <v>6.38</v>
      </c>
      <c r="F1257" s="331"/>
      <c r="G1257" s="333">
        <f t="shared" si="20"/>
        <v>2780.7999999999993</v>
      </c>
      <c r="H1257" s="334"/>
      <c r="I1257" s="335"/>
      <c r="J1257" s="336"/>
      <c r="K1257" s="301"/>
      <c r="L1257" s="336"/>
      <c r="M1257" s="301"/>
      <c r="N1257" s="336"/>
      <c r="O1257" s="301"/>
      <c r="P1257" s="336"/>
      <c r="Q1257" s="301"/>
      <c r="R1257" s="336"/>
      <c r="S1257" s="301"/>
      <c r="T1257" s="336"/>
    </row>
    <row r="1258" spans="1:20" ht="12" customHeight="1" x14ac:dyDescent="0.3">
      <c r="A1258" s="329" t="s">
        <v>289</v>
      </c>
      <c r="B1258" s="330">
        <v>2</v>
      </c>
      <c r="C1258" s="298">
        <v>46043</v>
      </c>
      <c r="D1258" s="299" t="s">
        <v>295</v>
      </c>
      <c r="E1258" s="331">
        <v>17.29</v>
      </c>
      <c r="F1258" s="331"/>
      <c r="G1258" s="333">
        <f t="shared" si="20"/>
        <v>2787.1799999999994</v>
      </c>
      <c r="H1258" s="334"/>
      <c r="I1258" s="335"/>
      <c r="J1258" s="336"/>
      <c r="K1258" s="301"/>
      <c r="L1258" s="336"/>
      <c r="M1258" s="301"/>
      <c r="N1258" s="336"/>
      <c r="O1258" s="301"/>
      <c r="P1258" s="336"/>
      <c r="Q1258" s="301"/>
      <c r="R1258" s="336"/>
      <c r="S1258" s="301"/>
      <c r="T1258" s="336"/>
    </row>
    <row r="1259" spans="1:20" ht="12" customHeight="1" x14ac:dyDescent="0.3">
      <c r="A1259" s="329" t="s">
        <v>289</v>
      </c>
      <c r="B1259" s="330">
        <v>2</v>
      </c>
      <c r="C1259" s="298">
        <v>46043</v>
      </c>
      <c r="D1259" s="299" t="s">
        <v>358</v>
      </c>
      <c r="E1259" s="331">
        <v>14.86</v>
      </c>
      <c r="F1259" s="331"/>
      <c r="G1259" s="333">
        <f t="shared" si="20"/>
        <v>2804.4699999999993</v>
      </c>
      <c r="H1259" s="334"/>
      <c r="I1259" s="335"/>
      <c r="J1259" s="336"/>
      <c r="K1259" s="301"/>
      <c r="L1259" s="336"/>
      <c r="M1259" s="301"/>
      <c r="N1259" s="336"/>
      <c r="O1259" s="301"/>
      <c r="P1259" s="336"/>
      <c r="Q1259" s="301"/>
      <c r="R1259" s="336"/>
      <c r="S1259" s="301"/>
      <c r="T1259" s="336"/>
    </row>
    <row r="1260" spans="1:20" ht="12" customHeight="1" x14ac:dyDescent="0.3">
      <c r="A1260" s="329" t="s">
        <v>289</v>
      </c>
      <c r="B1260" s="330">
        <v>2</v>
      </c>
      <c r="C1260" s="298">
        <v>46042</v>
      </c>
      <c r="D1260" s="299" t="s">
        <v>371</v>
      </c>
      <c r="E1260" s="331">
        <v>13.4</v>
      </c>
      <c r="F1260" s="331"/>
      <c r="G1260" s="333">
        <f t="shared" si="20"/>
        <v>2819.3299999999995</v>
      </c>
      <c r="H1260" s="334"/>
      <c r="I1260" s="335"/>
      <c r="J1260" s="336"/>
      <c r="K1260" s="301"/>
      <c r="L1260" s="336"/>
      <c r="M1260" s="301"/>
      <c r="N1260" s="336"/>
      <c r="O1260" s="301"/>
      <c r="P1260" s="336"/>
      <c r="Q1260" s="301"/>
      <c r="R1260" s="336"/>
      <c r="S1260" s="301"/>
      <c r="T1260" s="336"/>
    </row>
    <row r="1261" spans="1:20" ht="12" customHeight="1" x14ac:dyDescent="0.3">
      <c r="A1261" s="329" t="s">
        <v>289</v>
      </c>
      <c r="B1261" s="330">
        <v>2</v>
      </c>
      <c r="C1261" s="298">
        <v>46042</v>
      </c>
      <c r="D1261" s="299" t="s">
        <v>371</v>
      </c>
      <c r="E1261" s="331">
        <v>5.97</v>
      </c>
      <c r="F1261" s="331"/>
      <c r="G1261" s="333">
        <f t="shared" si="20"/>
        <v>2832.7299999999996</v>
      </c>
      <c r="H1261" s="334"/>
      <c r="I1261" s="335"/>
      <c r="J1261" s="336"/>
      <c r="K1261" s="301"/>
      <c r="L1261" s="336"/>
      <c r="M1261" s="301"/>
      <c r="N1261" s="336"/>
      <c r="O1261" s="301"/>
      <c r="P1261" s="336"/>
      <c r="Q1261" s="301"/>
      <c r="R1261" s="336"/>
      <c r="S1261" s="301"/>
      <c r="T1261" s="336"/>
    </row>
    <row r="1262" spans="1:20" ht="12" customHeight="1" x14ac:dyDescent="0.3">
      <c r="A1262" s="329" t="s">
        <v>294</v>
      </c>
      <c r="B1262" s="330">
        <v>22</v>
      </c>
      <c r="C1262" s="298">
        <v>46042</v>
      </c>
      <c r="D1262" s="299" t="s">
        <v>323</v>
      </c>
      <c r="E1262" s="331">
        <v>18.09</v>
      </c>
      <c r="F1262" s="331"/>
      <c r="G1262" s="333">
        <f t="shared" si="20"/>
        <v>2838.6999999999994</v>
      </c>
      <c r="H1262" s="334"/>
      <c r="I1262" s="335"/>
      <c r="J1262" s="336"/>
      <c r="K1262" s="301"/>
      <c r="L1262" s="336"/>
      <c r="M1262" s="301"/>
      <c r="N1262" s="336"/>
      <c r="O1262" s="301"/>
      <c r="P1262" s="336"/>
      <c r="Q1262" s="301"/>
      <c r="R1262" s="336"/>
      <c r="S1262" s="301"/>
      <c r="T1262" s="336"/>
    </row>
    <row r="1263" spans="1:20" ht="12" customHeight="1" x14ac:dyDescent="0.3">
      <c r="A1263" s="329" t="s">
        <v>294</v>
      </c>
      <c r="B1263" s="330">
        <v>17</v>
      </c>
      <c r="C1263" s="298">
        <v>46042</v>
      </c>
      <c r="D1263" s="299" t="s">
        <v>188</v>
      </c>
      <c r="E1263" s="331">
        <v>42.65</v>
      </c>
      <c r="F1263" s="331"/>
      <c r="G1263" s="333">
        <f t="shared" si="20"/>
        <v>2856.7899999999995</v>
      </c>
      <c r="H1263" s="334"/>
      <c r="I1263" s="335"/>
      <c r="J1263" s="336"/>
      <c r="K1263" s="301"/>
      <c r="L1263" s="336"/>
      <c r="M1263" s="301"/>
      <c r="N1263" s="336"/>
      <c r="O1263" s="301"/>
      <c r="P1263" s="336"/>
      <c r="Q1263" s="301"/>
      <c r="R1263" s="336"/>
      <c r="S1263" s="301"/>
      <c r="T1263" s="336"/>
    </row>
    <row r="1264" spans="1:20" ht="12" customHeight="1" x14ac:dyDescent="0.3">
      <c r="A1264" s="329" t="s">
        <v>335</v>
      </c>
      <c r="B1264" s="330" t="s">
        <v>335</v>
      </c>
      <c r="C1264" s="298">
        <v>46042</v>
      </c>
      <c r="D1264" s="299" t="s">
        <v>336</v>
      </c>
      <c r="E1264" s="331">
        <v>130.51</v>
      </c>
      <c r="F1264" s="331"/>
      <c r="G1264" s="333">
        <f t="shared" si="20"/>
        <v>2899.4399999999996</v>
      </c>
      <c r="H1264" s="334"/>
      <c r="I1264" s="335"/>
      <c r="J1264" s="336"/>
      <c r="K1264" s="301"/>
      <c r="L1264" s="336"/>
      <c r="M1264" s="301"/>
      <c r="N1264" s="336"/>
      <c r="O1264" s="301"/>
      <c r="P1264" s="336"/>
      <c r="Q1264" s="301"/>
      <c r="R1264" s="336"/>
      <c r="S1264" s="301"/>
      <c r="T1264" s="336"/>
    </row>
    <row r="1265" spans="1:20" ht="12" customHeight="1" x14ac:dyDescent="0.3">
      <c r="A1265" s="329" t="s">
        <v>294</v>
      </c>
      <c r="B1265" s="330">
        <v>15</v>
      </c>
      <c r="C1265" s="298">
        <v>46042</v>
      </c>
      <c r="D1265" s="299" t="s">
        <v>185</v>
      </c>
      <c r="E1265" s="331">
        <v>132.4</v>
      </c>
      <c r="F1265" s="331"/>
      <c r="G1265" s="333">
        <f t="shared" si="20"/>
        <v>3029.9499999999994</v>
      </c>
      <c r="H1265" s="334"/>
      <c r="I1265" s="335"/>
      <c r="J1265" s="336"/>
      <c r="K1265" s="301"/>
      <c r="L1265" s="336"/>
      <c r="M1265" s="301"/>
      <c r="N1265" s="336"/>
      <c r="O1265" s="301"/>
      <c r="P1265" s="336"/>
      <c r="Q1265" s="301"/>
      <c r="R1265" s="336"/>
      <c r="S1265" s="301"/>
      <c r="T1265" s="336"/>
    </row>
    <row r="1266" spans="1:20" ht="12" customHeight="1" x14ac:dyDescent="0.3">
      <c r="A1266" s="329" t="s">
        <v>294</v>
      </c>
      <c r="B1266" s="330">
        <v>23</v>
      </c>
      <c r="C1266" s="298">
        <v>46042</v>
      </c>
      <c r="D1266" s="299" t="s">
        <v>63</v>
      </c>
      <c r="E1266" s="331">
        <v>529.46</v>
      </c>
      <c r="F1266" s="331"/>
      <c r="G1266" s="333">
        <f t="shared" si="20"/>
        <v>3162.3499999999995</v>
      </c>
      <c r="H1266" s="334"/>
      <c r="I1266" s="335"/>
      <c r="J1266" s="336"/>
      <c r="K1266" s="301"/>
      <c r="L1266" s="336"/>
      <c r="M1266" s="301"/>
      <c r="N1266" s="336"/>
      <c r="O1266" s="301"/>
      <c r="P1266" s="336"/>
      <c r="Q1266" s="301"/>
      <c r="R1266" s="336"/>
      <c r="S1266" s="301"/>
      <c r="T1266" s="336"/>
    </row>
    <row r="1267" spans="1:20" ht="12" customHeight="1" x14ac:dyDescent="0.3">
      <c r="A1267" s="329" t="s">
        <v>289</v>
      </c>
      <c r="B1267" s="330">
        <v>6</v>
      </c>
      <c r="C1267" s="298">
        <v>46042</v>
      </c>
      <c r="D1267" s="299" t="s">
        <v>300</v>
      </c>
      <c r="E1267" s="331">
        <v>51.63</v>
      </c>
      <c r="F1267" s="331"/>
      <c r="G1267" s="333">
        <f t="shared" si="20"/>
        <v>3691.8099999999995</v>
      </c>
      <c r="H1267" s="334"/>
      <c r="I1267" s="335"/>
      <c r="J1267" s="336"/>
      <c r="K1267" s="301"/>
      <c r="L1267" s="336"/>
      <c r="M1267" s="301"/>
      <c r="N1267" s="336"/>
      <c r="O1267" s="301"/>
      <c r="P1267" s="336"/>
      <c r="Q1267" s="301"/>
      <c r="R1267" s="336"/>
      <c r="S1267" s="301"/>
      <c r="T1267" s="336"/>
    </row>
    <row r="1268" spans="1:20" ht="12" customHeight="1" x14ac:dyDescent="0.3">
      <c r="A1268" s="329" t="s">
        <v>289</v>
      </c>
      <c r="B1268" s="330">
        <v>2</v>
      </c>
      <c r="C1268" s="298">
        <v>46042</v>
      </c>
      <c r="D1268" s="299" t="s">
        <v>296</v>
      </c>
      <c r="E1268" s="331">
        <v>11.17</v>
      </c>
      <c r="F1268" s="331"/>
      <c r="G1268" s="333">
        <f t="shared" si="20"/>
        <v>3743.4399999999996</v>
      </c>
      <c r="H1268" s="334"/>
      <c r="I1268" s="335"/>
      <c r="J1268" s="336"/>
      <c r="K1268" s="301"/>
      <c r="L1268" s="336"/>
      <c r="M1268" s="301"/>
      <c r="N1268" s="336"/>
      <c r="O1268" s="301"/>
      <c r="P1268" s="336"/>
      <c r="Q1268" s="301"/>
      <c r="R1268" s="336"/>
      <c r="S1268" s="301"/>
      <c r="T1268" s="336"/>
    </row>
    <row r="1269" spans="1:20" ht="12" customHeight="1" x14ac:dyDescent="0.3">
      <c r="A1269" s="329" t="s">
        <v>289</v>
      </c>
      <c r="B1269" s="330">
        <v>4</v>
      </c>
      <c r="C1269" s="298">
        <v>46042</v>
      </c>
      <c r="D1269" s="299" t="s">
        <v>296</v>
      </c>
      <c r="E1269" s="331">
        <v>57.37</v>
      </c>
      <c r="F1269" s="331"/>
      <c r="G1269" s="333">
        <f t="shared" si="20"/>
        <v>3754.6099999999997</v>
      </c>
      <c r="H1269" s="334"/>
      <c r="I1269" s="335"/>
      <c r="J1269" s="336"/>
      <c r="K1269" s="301"/>
      <c r="L1269" s="336"/>
      <c r="M1269" s="301"/>
      <c r="N1269" s="336"/>
      <c r="O1269" s="301"/>
      <c r="P1269" s="336"/>
      <c r="Q1269" s="301"/>
      <c r="R1269" s="336"/>
      <c r="S1269" s="301"/>
      <c r="T1269" s="336"/>
    </row>
    <row r="1270" spans="1:20" ht="12" customHeight="1" x14ac:dyDescent="0.3">
      <c r="A1270" s="329" t="s">
        <v>294</v>
      </c>
      <c r="B1270" s="330">
        <v>22</v>
      </c>
      <c r="C1270" s="298">
        <v>46042</v>
      </c>
      <c r="D1270" s="299" t="s">
        <v>328</v>
      </c>
      <c r="E1270" s="331">
        <v>7.46</v>
      </c>
      <c r="F1270" s="331"/>
      <c r="G1270" s="333">
        <f t="shared" si="20"/>
        <v>3811.9799999999996</v>
      </c>
      <c r="H1270" s="334"/>
      <c r="I1270" s="335"/>
      <c r="J1270" s="336"/>
      <c r="K1270" s="301"/>
      <c r="L1270" s="336"/>
      <c r="M1270" s="301"/>
      <c r="N1270" s="336"/>
      <c r="O1270" s="301"/>
      <c r="P1270" s="336"/>
      <c r="Q1270" s="301"/>
      <c r="R1270" s="336"/>
      <c r="S1270" s="301"/>
      <c r="T1270" s="336"/>
    </row>
    <row r="1271" spans="1:20" ht="12" customHeight="1" x14ac:dyDescent="0.3">
      <c r="A1271" s="329" t="s">
        <v>289</v>
      </c>
      <c r="B1271" s="330">
        <v>4</v>
      </c>
      <c r="C1271" s="298">
        <v>46042</v>
      </c>
      <c r="D1271" s="299" t="s">
        <v>310</v>
      </c>
      <c r="E1271" s="331">
        <v>28.91</v>
      </c>
      <c r="F1271" s="331"/>
      <c r="G1271" s="333">
        <f t="shared" si="20"/>
        <v>3819.4399999999996</v>
      </c>
      <c r="H1271" s="334"/>
      <c r="I1271" s="335"/>
      <c r="J1271" s="336"/>
      <c r="K1271" s="301"/>
      <c r="L1271" s="336"/>
      <c r="M1271" s="301"/>
      <c r="N1271" s="336"/>
      <c r="O1271" s="301"/>
      <c r="P1271" s="336"/>
      <c r="Q1271" s="301"/>
      <c r="R1271" s="336"/>
      <c r="S1271" s="301"/>
      <c r="T1271" s="336"/>
    </row>
    <row r="1272" spans="1:20" ht="12" customHeight="1" x14ac:dyDescent="0.3">
      <c r="A1272" s="329" t="s">
        <v>289</v>
      </c>
      <c r="B1272" s="330">
        <v>6</v>
      </c>
      <c r="C1272" s="298">
        <v>46040</v>
      </c>
      <c r="D1272" s="299" t="s">
        <v>300</v>
      </c>
      <c r="E1272" s="331">
        <v>31.35</v>
      </c>
      <c r="F1272" s="331"/>
      <c r="G1272" s="333">
        <f t="shared" si="20"/>
        <v>3848.3499999999995</v>
      </c>
      <c r="H1272" s="334"/>
      <c r="I1272" s="335"/>
      <c r="J1272" s="336"/>
      <c r="K1272" s="301"/>
      <c r="L1272" s="336"/>
      <c r="M1272" s="301"/>
      <c r="N1272" s="336"/>
      <c r="O1272" s="301"/>
      <c r="P1272" s="336"/>
      <c r="Q1272" s="301"/>
      <c r="R1272" s="336"/>
      <c r="S1272" s="301"/>
      <c r="T1272" s="336"/>
    </row>
    <row r="1273" spans="1:20" ht="12" customHeight="1" x14ac:dyDescent="0.3">
      <c r="A1273" s="329" t="s">
        <v>289</v>
      </c>
      <c r="B1273" s="330">
        <v>8</v>
      </c>
      <c r="C1273" s="298">
        <v>46040</v>
      </c>
      <c r="D1273" s="299" t="s">
        <v>473</v>
      </c>
      <c r="E1273" s="331">
        <v>124.75</v>
      </c>
      <c r="F1273" s="331"/>
      <c r="G1273" s="333">
        <f t="shared" si="20"/>
        <v>3879.6999999999994</v>
      </c>
      <c r="H1273" s="334"/>
      <c r="I1273" s="335"/>
      <c r="J1273" s="336"/>
      <c r="K1273" s="301"/>
      <c r="L1273" s="336"/>
      <c r="M1273" s="301"/>
      <c r="N1273" s="336"/>
      <c r="O1273" s="301"/>
      <c r="P1273" s="336"/>
      <c r="Q1273" s="301"/>
      <c r="R1273" s="336"/>
      <c r="S1273" s="301"/>
      <c r="T1273" s="336"/>
    </row>
    <row r="1274" spans="1:20" ht="12" customHeight="1" x14ac:dyDescent="0.3">
      <c r="A1274" s="329" t="s">
        <v>289</v>
      </c>
      <c r="B1274" s="330">
        <v>3</v>
      </c>
      <c r="C1274" s="298">
        <v>46040</v>
      </c>
      <c r="D1274" s="299" t="s">
        <v>320</v>
      </c>
      <c r="E1274" s="331">
        <v>11.3</v>
      </c>
      <c r="F1274" s="331"/>
      <c r="G1274" s="333">
        <f t="shared" si="20"/>
        <v>4004.4499999999994</v>
      </c>
      <c r="H1274" s="334"/>
      <c r="I1274" s="335"/>
      <c r="J1274" s="336"/>
      <c r="K1274" s="301"/>
      <c r="L1274" s="336"/>
      <c r="M1274" s="301"/>
      <c r="N1274" s="336"/>
      <c r="O1274" s="301"/>
      <c r="P1274" s="336"/>
      <c r="Q1274" s="301"/>
      <c r="R1274" s="336"/>
      <c r="S1274" s="301"/>
      <c r="T1274" s="336"/>
    </row>
    <row r="1275" spans="1:20" ht="12" customHeight="1" x14ac:dyDescent="0.3">
      <c r="A1275" s="329" t="s">
        <v>294</v>
      </c>
      <c r="B1275" s="330">
        <v>22</v>
      </c>
      <c r="C1275" s="298">
        <v>46040</v>
      </c>
      <c r="D1275" s="299" t="s">
        <v>401</v>
      </c>
      <c r="E1275" s="331">
        <v>13.84</v>
      </c>
      <c r="F1275" s="331"/>
      <c r="G1275" s="333">
        <f t="shared" si="20"/>
        <v>4015.7499999999995</v>
      </c>
      <c r="H1275" s="334"/>
      <c r="I1275" s="335"/>
      <c r="J1275" s="336"/>
      <c r="K1275" s="301"/>
      <c r="L1275" s="336"/>
      <c r="M1275" s="301"/>
      <c r="N1275" s="336"/>
      <c r="O1275" s="301"/>
      <c r="P1275" s="336"/>
      <c r="Q1275" s="301"/>
      <c r="R1275" s="336"/>
      <c r="S1275" s="301"/>
      <c r="T1275" s="336"/>
    </row>
    <row r="1276" spans="1:20" ht="12" customHeight="1" x14ac:dyDescent="0.3">
      <c r="A1276" s="329" t="s">
        <v>289</v>
      </c>
      <c r="B1276" s="330">
        <v>1</v>
      </c>
      <c r="C1276" s="298">
        <v>46040</v>
      </c>
      <c r="D1276" s="299" t="s">
        <v>306</v>
      </c>
      <c r="E1276" s="331">
        <v>92.06</v>
      </c>
      <c r="F1276" s="331"/>
      <c r="G1276" s="333">
        <f t="shared" si="20"/>
        <v>4029.5899999999997</v>
      </c>
      <c r="H1276" s="334"/>
      <c r="I1276" s="335"/>
      <c r="J1276" s="336"/>
      <c r="K1276" s="301"/>
      <c r="L1276" s="336"/>
      <c r="M1276" s="301"/>
      <c r="N1276" s="336"/>
      <c r="O1276" s="301"/>
      <c r="P1276" s="336"/>
      <c r="Q1276" s="301"/>
      <c r="R1276" s="336"/>
      <c r="S1276" s="301"/>
      <c r="T1276" s="336"/>
    </row>
    <row r="1277" spans="1:20" ht="12" customHeight="1" x14ac:dyDescent="0.3">
      <c r="A1277" s="329" t="s">
        <v>289</v>
      </c>
      <c r="B1277" s="330">
        <v>7</v>
      </c>
      <c r="C1277" s="298">
        <v>46040</v>
      </c>
      <c r="D1277" s="299" t="s">
        <v>338</v>
      </c>
      <c r="E1277" s="331">
        <v>78.47</v>
      </c>
      <c r="F1277" s="331"/>
      <c r="G1277" s="333">
        <f t="shared" si="20"/>
        <v>4121.6499999999996</v>
      </c>
      <c r="H1277" s="334"/>
      <c r="I1277" s="335"/>
      <c r="J1277" s="336"/>
      <c r="K1277" s="301"/>
      <c r="L1277" s="336"/>
      <c r="M1277" s="301"/>
      <c r="N1277" s="336"/>
      <c r="O1277" s="301"/>
      <c r="P1277" s="336"/>
      <c r="Q1277" s="301"/>
      <c r="R1277" s="336"/>
      <c r="S1277" s="301"/>
      <c r="T1277" s="336"/>
    </row>
    <row r="1278" spans="1:20" ht="12" customHeight="1" x14ac:dyDescent="0.3">
      <c r="A1278" s="329" t="s">
        <v>289</v>
      </c>
      <c r="B1278" s="330">
        <v>1</v>
      </c>
      <c r="C1278" s="298">
        <v>46040</v>
      </c>
      <c r="D1278" s="299" t="s">
        <v>393</v>
      </c>
      <c r="E1278" s="331">
        <v>28.22</v>
      </c>
      <c r="F1278" s="331"/>
      <c r="G1278" s="333">
        <f t="shared" si="20"/>
        <v>4200.12</v>
      </c>
      <c r="H1278" s="334"/>
      <c r="I1278" s="335"/>
      <c r="J1278" s="336"/>
      <c r="K1278" s="301"/>
      <c r="L1278" s="336"/>
      <c r="M1278" s="301"/>
      <c r="N1278" s="336"/>
      <c r="O1278" s="301"/>
      <c r="P1278" s="336"/>
      <c r="Q1278" s="301"/>
      <c r="R1278" s="336"/>
      <c r="S1278" s="301"/>
      <c r="T1278" s="336"/>
    </row>
    <row r="1279" spans="1:20" ht="12" customHeight="1" x14ac:dyDescent="0.3">
      <c r="A1279" s="329" t="s">
        <v>289</v>
      </c>
      <c r="B1279" s="330">
        <v>2</v>
      </c>
      <c r="C1279" s="298">
        <v>46040</v>
      </c>
      <c r="D1279" s="299" t="s">
        <v>392</v>
      </c>
      <c r="E1279" s="331">
        <v>32.729999999999997</v>
      </c>
      <c r="F1279" s="331"/>
      <c r="G1279" s="333">
        <f t="shared" si="20"/>
        <v>4228.34</v>
      </c>
      <c r="H1279" s="334"/>
      <c r="I1279" s="335"/>
      <c r="J1279" s="336"/>
      <c r="K1279" s="301"/>
      <c r="L1279" s="336"/>
      <c r="M1279" s="301"/>
      <c r="N1279" s="336"/>
      <c r="O1279" s="301"/>
      <c r="P1279" s="336"/>
      <c r="Q1279" s="301"/>
      <c r="R1279" s="336"/>
      <c r="S1279" s="301"/>
      <c r="T1279" s="336"/>
    </row>
    <row r="1280" spans="1:20" ht="12" customHeight="1" x14ac:dyDescent="0.3">
      <c r="A1280" s="329" t="s">
        <v>294</v>
      </c>
      <c r="B1280" s="330">
        <v>42</v>
      </c>
      <c r="C1280" s="298">
        <v>46039</v>
      </c>
      <c r="D1280" s="299" t="s">
        <v>333</v>
      </c>
      <c r="E1280" s="331">
        <v>29.8</v>
      </c>
      <c r="F1280" s="331"/>
      <c r="G1280" s="333">
        <f t="shared" si="20"/>
        <v>4261.07</v>
      </c>
      <c r="H1280" s="334"/>
      <c r="I1280" s="335"/>
      <c r="J1280" s="336"/>
      <c r="K1280" s="301"/>
      <c r="L1280" s="336"/>
      <c r="M1280" s="301"/>
      <c r="N1280" s="336"/>
      <c r="O1280" s="301"/>
      <c r="P1280" s="336"/>
      <c r="Q1280" s="301"/>
      <c r="R1280" s="336"/>
      <c r="S1280" s="301"/>
      <c r="T1280" s="336"/>
    </row>
    <row r="1281" spans="1:20" ht="12" customHeight="1" x14ac:dyDescent="0.3">
      <c r="A1281" s="329" t="s">
        <v>294</v>
      </c>
      <c r="B1281" s="330">
        <v>43</v>
      </c>
      <c r="C1281" s="298">
        <v>46039</v>
      </c>
      <c r="D1281" s="299" t="s">
        <v>333</v>
      </c>
      <c r="E1281" s="331">
        <v>22.35</v>
      </c>
      <c r="F1281" s="331"/>
      <c r="G1281" s="333">
        <f t="shared" si="20"/>
        <v>4290.87</v>
      </c>
      <c r="H1281" s="334"/>
      <c r="I1281" s="335"/>
      <c r="J1281" s="336"/>
      <c r="K1281" s="301"/>
      <c r="L1281" s="336"/>
      <c r="M1281" s="301"/>
      <c r="N1281" s="336"/>
      <c r="O1281" s="301"/>
      <c r="P1281" s="336"/>
      <c r="Q1281" s="301"/>
      <c r="R1281" s="336"/>
      <c r="S1281" s="301"/>
      <c r="T1281" s="336"/>
    </row>
    <row r="1282" spans="1:20" ht="12" customHeight="1" x14ac:dyDescent="0.3">
      <c r="A1282" s="329" t="s">
        <v>289</v>
      </c>
      <c r="B1282" s="330">
        <v>8</v>
      </c>
      <c r="C1282" s="298">
        <v>46039</v>
      </c>
      <c r="D1282" s="299" t="s">
        <v>319</v>
      </c>
      <c r="E1282" s="331">
        <v>36.92</v>
      </c>
      <c r="F1282" s="331"/>
      <c r="G1282" s="333">
        <f t="shared" si="20"/>
        <v>4313.22</v>
      </c>
      <c r="H1282" s="334"/>
      <c r="I1282" s="335"/>
      <c r="J1282" s="336"/>
      <c r="K1282" s="301"/>
      <c r="L1282" s="336"/>
      <c r="M1282" s="301"/>
      <c r="N1282" s="336"/>
      <c r="O1282" s="301"/>
      <c r="P1282" s="336"/>
      <c r="Q1282" s="301"/>
      <c r="R1282" s="336"/>
      <c r="S1282" s="301"/>
      <c r="T1282" s="336"/>
    </row>
    <row r="1283" spans="1:20" ht="12" customHeight="1" x14ac:dyDescent="0.3">
      <c r="A1283" s="329" t="s">
        <v>289</v>
      </c>
      <c r="B1283" s="330">
        <v>1</v>
      </c>
      <c r="C1283" s="298">
        <v>46039</v>
      </c>
      <c r="D1283" s="299" t="s">
        <v>311</v>
      </c>
      <c r="E1283" s="331">
        <v>117.89</v>
      </c>
      <c r="F1283" s="331"/>
      <c r="G1283" s="333">
        <f t="shared" si="20"/>
        <v>4350.1400000000003</v>
      </c>
      <c r="H1283" s="334"/>
      <c r="I1283" s="335"/>
      <c r="J1283" s="336"/>
      <c r="K1283" s="301"/>
      <c r="L1283" s="336"/>
      <c r="M1283" s="301"/>
      <c r="N1283" s="336"/>
      <c r="O1283" s="301"/>
      <c r="P1283" s="336"/>
      <c r="Q1283" s="301"/>
      <c r="R1283" s="336"/>
      <c r="S1283" s="301"/>
      <c r="T1283" s="336"/>
    </row>
    <row r="1284" spans="1:20" ht="12" customHeight="1" x14ac:dyDescent="0.3">
      <c r="A1284" s="329" t="s">
        <v>289</v>
      </c>
      <c r="B1284" s="330">
        <v>1</v>
      </c>
      <c r="C1284" s="298">
        <v>46039</v>
      </c>
      <c r="D1284" s="299" t="s">
        <v>329</v>
      </c>
      <c r="E1284" s="331">
        <v>196.36</v>
      </c>
      <c r="F1284" s="331"/>
      <c r="G1284" s="333">
        <f t="shared" si="20"/>
        <v>4468.0300000000007</v>
      </c>
      <c r="H1284" s="334"/>
      <c r="I1284" s="335"/>
      <c r="J1284" s="336"/>
      <c r="K1284" s="301"/>
      <c r="L1284" s="336"/>
      <c r="M1284" s="301"/>
      <c r="N1284" s="336"/>
      <c r="O1284" s="301"/>
      <c r="P1284" s="336"/>
      <c r="Q1284" s="301"/>
      <c r="R1284" s="336"/>
      <c r="S1284" s="301"/>
      <c r="T1284" s="336"/>
    </row>
    <row r="1285" spans="1:20" ht="12" customHeight="1" x14ac:dyDescent="0.3">
      <c r="A1285" s="329" t="s">
        <v>294</v>
      </c>
      <c r="B1285" s="330">
        <v>21</v>
      </c>
      <c r="C1285" s="298">
        <v>46039</v>
      </c>
      <c r="D1285" s="299" t="s">
        <v>194</v>
      </c>
      <c r="E1285" s="331">
        <v>70.2</v>
      </c>
      <c r="F1285" s="331"/>
      <c r="G1285" s="333">
        <f t="shared" si="20"/>
        <v>4664.3900000000003</v>
      </c>
      <c r="H1285" s="334"/>
      <c r="I1285" s="335"/>
      <c r="J1285" s="336"/>
      <c r="K1285" s="301"/>
      <c r="L1285" s="336"/>
      <c r="M1285" s="301"/>
      <c r="N1285" s="336"/>
      <c r="O1285" s="301"/>
      <c r="P1285" s="336"/>
      <c r="Q1285" s="301"/>
      <c r="R1285" s="336"/>
      <c r="S1285" s="301"/>
      <c r="T1285" s="336"/>
    </row>
    <row r="1286" spans="1:20" ht="12" customHeight="1" x14ac:dyDescent="0.3">
      <c r="A1286" s="329" t="s">
        <v>289</v>
      </c>
      <c r="B1286" s="330">
        <v>2</v>
      </c>
      <c r="C1286" s="298">
        <v>46038</v>
      </c>
      <c r="D1286" s="299" t="s">
        <v>324</v>
      </c>
      <c r="E1286" s="331">
        <v>13.14</v>
      </c>
      <c r="F1286" s="331"/>
      <c r="G1286" s="333">
        <f t="shared" si="20"/>
        <v>4734.59</v>
      </c>
      <c r="H1286" s="334"/>
      <c r="I1286" s="335"/>
      <c r="J1286" s="336"/>
      <c r="K1286" s="301"/>
      <c r="L1286" s="336"/>
      <c r="M1286" s="301"/>
      <c r="N1286" s="336"/>
      <c r="O1286" s="301"/>
      <c r="P1286" s="336"/>
      <c r="Q1286" s="301"/>
      <c r="R1286" s="336"/>
      <c r="S1286" s="301"/>
      <c r="T1286" s="336"/>
    </row>
    <row r="1287" spans="1:20" ht="12" customHeight="1" x14ac:dyDescent="0.3">
      <c r="A1287" s="329" t="s">
        <v>289</v>
      </c>
      <c r="B1287" s="330">
        <v>2</v>
      </c>
      <c r="C1287" s="298">
        <v>46038</v>
      </c>
      <c r="D1287" s="299" t="s">
        <v>296</v>
      </c>
      <c r="E1287" s="331">
        <v>18.489999999999998</v>
      </c>
      <c r="F1287" s="331"/>
      <c r="G1287" s="333">
        <f t="shared" si="20"/>
        <v>4747.7300000000005</v>
      </c>
      <c r="H1287" s="334"/>
      <c r="I1287" s="335"/>
      <c r="J1287" s="336"/>
      <c r="K1287" s="301"/>
      <c r="L1287" s="336"/>
      <c r="M1287" s="301"/>
      <c r="N1287" s="336"/>
      <c r="O1287" s="301"/>
      <c r="P1287" s="336"/>
      <c r="Q1287" s="301"/>
      <c r="R1287" s="336"/>
      <c r="S1287" s="301"/>
      <c r="T1287" s="336"/>
    </row>
    <row r="1288" spans="1:20" ht="12" customHeight="1" x14ac:dyDescent="0.3">
      <c r="A1288" s="329" t="s">
        <v>291</v>
      </c>
      <c r="B1288" s="330">
        <v>41</v>
      </c>
      <c r="C1288" s="298">
        <v>46038</v>
      </c>
      <c r="D1288" s="299" t="s">
        <v>474</v>
      </c>
      <c r="E1288" s="331"/>
      <c r="F1288" s="331">
        <v>800</v>
      </c>
      <c r="G1288" s="333">
        <f t="shared" si="20"/>
        <v>4766.22</v>
      </c>
      <c r="H1288" s="334" t="s">
        <v>298</v>
      </c>
      <c r="I1288" s="335"/>
      <c r="J1288" s="336"/>
      <c r="K1288" s="301"/>
      <c r="L1288" s="336"/>
      <c r="M1288" s="301"/>
      <c r="N1288" s="336"/>
      <c r="O1288" s="301"/>
      <c r="P1288" s="336"/>
      <c r="Q1288" s="301"/>
      <c r="R1288" s="336"/>
      <c r="S1288" s="301"/>
      <c r="T1288" s="336"/>
    </row>
    <row r="1289" spans="1:20" ht="12" customHeight="1" x14ac:dyDescent="0.3">
      <c r="A1289" s="329" t="s">
        <v>294</v>
      </c>
      <c r="B1289" s="330">
        <v>18</v>
      </c>
      <c r="C1289" s="298">
        <v>46038</v>
      </c>
      <c r="D1289" s="299" t="s">
        <v>361</v>
      </c>
      <c r="E1289" s="331">
        <v>400</v>
      </c>
      <c r="F1289" s="331"/>
      <c r="G1289" s="333">
        <f t="shared" si="20"/>
        <v>3966.2200000000003</v>
      </c>
      <c r="H1289" s="334"/>
      <c r="I1289" s="335"/>
      <c r="J1289" s="336"/>
      <c r="K1289" s="301"/>
      <c r="L1289" s="336"/>
      <c r="M1289" s="301"/>
      <c r="N1289" s="336"/>
      <c r="O1289" s="301"/>
      <c r="P1289" s="336"/>
      <c r="Q1289" s="301"/>
      <c r="R1289" s="336"/>
      <c r="S1289" s="301"/>
      <c r="T1289" s="336"/>
    </row>
    <row r="1290" spans="1:20" ht="12" customHeight="1" x14ac:dyDescent="0.3">
      <c r="A1290" s="329" t="s">
        <v>294</v>
      </c>
      <c r="B1290" s="330">
        <v>19</v>
      </c>
      <c r="C1290" s="298">
        <v>46038</v>
      </c>
      <c r="D1290" s="299" t="s">
        <v>191</v>
      </c>
      <c r="E1290" s="331">
        <v>200</v>
      </c>
      <c r="F1290" s="331"/>
      <c r="G1290" s="333">
        <f t="shared" si="20"/>
        <v>4366.22</v>
      </c>
      <c r="H1290" s="334"/>
      <c r="I1290" s="335"/>
      <c r="J1290" s="336"/>
      <c r="K1290" s="301"/>
      <c r="L1290" s="336"/>
      <c r="M1290" s="301"/>
      <c r="N1290" s="336"/>
      <c r="O1290" s="301"/>
      <c r="P1290" s="336"/>
      <c r="Q1290" s="301"/>
      <c r="R1290" s="336"/>
      <c r="S1290" s="301"/>
      <c r="T1290" s="336"/>
    </row>
    <row r="1291" spans="1:20" ht="12" customHeight="1" x14ac:dyDescent="0.3">
      <c r="A1291" s="329" t="s">
        <v>294</v>
      </c>
      <c r="B1291" s="330">
        <v>11</v>
      </c>
      <c r="C1291" s="298">
        <v>46038</v>
      </c>
      <c r="D1291" s="299" t="s">
        <v>178</v>
      </c>
      <c r="E1291" s="331">
        <v>267.95999999999998</v>
      </c>
      <c r="F1291" s="331"/>
      <c r="G1291" s="333">
        <f t="shared" si="20"/>
        <v>4566.22</v>
      </c>
      <c r="H1291" s="334"/>
      <c r="I1291" s="335"/>
      <c r="J1291" s="336"/>
      <c r="K1291" s="301"/>
      <c r="L1291" s="336"/>
      <c r="M1291" s="301"/>
      <c r="N1291" s="336"/>
      <c r="O1291" s="301"/>
      <c r="P1291" s="336"/>
      <c r="Q1291" s="301"/>
      <c r="R1291" s="336"/>
      <c r="S1291" s="301"/>
      <c r="T1291" s="336"/>
    </row>
    <row r="1292" spans="1:20" ht="12" customHeight="1" x14ac:dyDescent="0.3">
      <c r="A1292" s="329" t="s">
        <v>289</v>
      </c>
      <c r="B1292" s="330">
        <v>8</v>
      </c>
      <c r="C1292" s="298">
        <v>46037</v>
      </c>
      <c r="D1292" s="299" t="s">
        <v>357</v>
      </c>
      <c r="E1292" s="331">
        <v>59.95</v>
      </c>
      <c r="F1292" s="331"/>
      <c r="G1292" s="333">
        <f t="shared" si="20"/>
        <v>4834.18</v>
      </c>
      <c r="H1292" s="334"/>
      <c r="I1292" s="335"/>
      <c r="J1292" s="336"/>
      <c r="K1292" s="301"/>
      <c r="L1292" s="336"/>
      <c r="M1292" s="301"/>
      <c r="N1292" s="336"/>
      <c r="O1292" s="301"/>
      <c r="P1292" s="336"/>
      <c r="Q1292" s="301"/>
      <c r="R1292" s="336"/>
      <c r="S1292" s="301"/>
      <c r="T1292" s="336"/>
    </row>
    <row r="1293" spans="1:20" ht="12" customHeight="1" x14ac:dyDescent="0.3">
      <c r="A1293" s="329" t="s">
        <v>289</v>
      </c>
      <c r="B1293" s="330">
        <v>2</v>
      </c>
      <c r="C1293" s="298">
        <v>46037</v>
      </c>
      <c r="D1293" s="299" t="s">
        <v>357</v>
      </c>
      <c r="E1293" s="331">
        <v>59.96</v>
      </c>
      <c r="F1293" s="331"/>
      <c r="G1293" s="333">
        <f t="shared" si="20"/>
        <v>4894.13</v>
      </c>
      <c r="H1293" s="334"/>
      <c r="I1293" s="335"/>
      <c r="J1293" s="336"/>
      <c r="K1293" s="301"/>
      <c r="L1293" s="336"/>
      <c r="M1293" s="301"/>
      <c r="N1293" s="336"/>
      <c r="O1293" s="301"/>
      <c r="P1293" s="336"/>
      <c r="Q1293" s="301"/>
      <c r="R1293" s="336"/>
      <c r="S1293" s="301"/>
      <c r="T1293" s="336"/>
    </row>
    <row r="1294" spans="1:20" ht="12" customHeight="1" x14ac:dyDescent="0.3">
      <c r="A1294" s="329" t="s">
        <v>289</v>
      </c>
      <c r="B1294" s="330">
        <v>8</v>
      </c>
      <c r="C1294" s="298">
        <v>46037</v>
      </c>
      <c r="D1294" s="299" t="s">
        <v>319</v>
      </c>
      <c r="E1294" s="331">
        <v>12.43</v>
      </c>
      <c r="F1294" s="331"/>
      <c r="G1294" s="333">
        <f t="shared" si="20"/>
        <v>4954.09</v>
      </c>
      <c r="H1294" s="334"/>
      <c r="I1294" s="335"/>
      <c r="J1294" s="336"/>
      <c r="K1294" s="301"/>
      <c r="L1294" s="336"/>
      <c r="M1294" s="301"/>
      <c r="N1294" s="336"/>
      <c r="O1294" s="301"/>
      <c r="P1294" s="336"/>
      <c r="Q1294" s="301"/>
      <c r="R1294" s="336"/>
      <c r="S1294" s="301"/>
      <c r="T1294" s="336"/>
    </row>
    <row r="1295" spans="1:20" ht="12" customHeight="1" x14ac:dyDescent="0.3">
      <c r="A1295" s="329" t="s">
        <v>289</v>
      </c>
      <c r="B1295" s="330">
        <v>2</v>
      </c>
      <c r="C1295" s="298">
        <v>46037</v>
      </c>
      <c r="D1295" s="299" t="s">
        <v>296</v>
      </c>
      <c r="E1295" s="331">
        <v>11.07</v>
      </c>
      <c r="F1295" s="331"/>
      <c r="G1295" s="333">
        <f t="shared" si="20"/>
        <v>4966.5200000000004</v>
      </c>
      <c r="H1295" s="334"/>
      <c r="I1295" s="335"/>
      <c r="J1295" s="336"/>
      <c r="K1295" s="301"/>
      <c r="L1295" s="336"/>
      <c r="M1295" s="301"/>
      <c r="N1295" s="336"/>
      <c r="O1295" s="301"/>
      <c r="P1295" s="336"/>
      <c r="Q1295" s="301"/>
      <c r="R1295" s="336"/>
      <c r="S1295" s="301"/>
      <c r="T1295" s="336"/>
    </row>
    <row r="1296" spans="1:20" ht="12" customHeight="1" x14ac:dyDescent="0.3">
      <c r="A1296" s="329" t="s">
        <v>289</v>
      </c>
      <c r="B1296" s="330">
        <v>4</v>
      </c>
      <c r="C1296" s="298">
        <v>46037</v>
      </c>
      <c r="D1296" s="299" t="s">
        <v>296</v>
      </c>
      <c r="E1296" s="331">
        <v>52.3</v>
      </c>
      <c r="F1296" s="331"/>
      <c r="G1296" s="333">
        <f t="shared" si="20"/>
        <v>4977.59</v>
      </c>
      <c r="H1296" s="334"/>
      <c r="I1296" s="335"/>
      <c r="J1296" s="336"/>
      <c r="K1296" s="301"/>
      <c r="L1296" s="336"/>
      <c r="M1296" s="301"/>
      <c r="N1296" s="336"/>
      <c r="O1296" s="301"/>
      <c r="P1296" s="336"/>
      <c r="Q1296" s="301"/>
      <c r="R1296" s="336"/>
      <c r="S1296" s="301"/>
      <c r="T1296" s="336"/>
    </row>
    <row r="1297" spans="1:20" ht="12" customHeight="1" x14ac:dyDescent="0.3">
      <c r="A1297" s="329" t="s">
        <v>289</v>
      </c>
      <c r="B1297" s="330">
        <v>6</v>
      </c>
      <c r="C1297" s="298">
        <v>46037</v>
      </c>
      <c r="D1297" s="299" t="s">
        <v>436</v>
      </c>
      <c r="E1297" s="331">
        <v>50</v>
      </c>
      <c r="F1297" s="331"/>
      <c r="G1297" s="333">
        <f t="shared" si="20"/>
        <v>5029.8900000000003</v>
      </c>
      <c r="H1297" s="334"/>
      <c r="I1297" s="335"/>
      <c r="J1297" s="336"/>
      <c r="K1297" s="301"/>
      <c r="L1297" s="336"/>
      <c r="M1297" s="301"/>
      <c r="N1297" s="336"/>
      <c r="O1297" s="301"/>
      <c r="P1297" s="336"/>
      <c r="Q1297" s="301"/>
      <c r="R1297" s="336"/>
      <c r="S1297" s="301"/>
      <c r="T1297" s="336"/>
    </row>
    <row r="1298" spans="1:20" ht="12" customHeight="1" x14ac:dyDescent="0.3">
      <c r="A1298" s="329" t="s">
        <v>291</v>
      </c>
      <c r="B1298" s="330">
        <v>38</v>
      </c>
      <c r="C1298" s="298">
        <v>46037</v>
      </c>
      <c r="D1298" s="299" t="s">
        <v>293</v>
      </c>
      <c r="E1298" s="331"/>
      <c r="F1298" s="331">
        <v>4365.67</v>
      </c>
      <c r="G1298" s="333">
        <f t="shared" si="20"/>
        <v>5079.8900000000003</v>
      </c>
      <c r="H1298" s="334"/>
      <c r="I1298" s="335"/>
      <c r="J1298" s="336"/>
      <c r="K1298" s="301"/>
      <c r="L1298" s="336"/>
      <c r="M1298" s="301"/>
      <c r="N1298" s="336"/>
      <c r="O1298" s="301"/>
      <c r="P1298" s="336"/>
      <c r="Q1298" s="301"/>
      <c r="R1298" s="336"/>
      <c r="S1298" s="301"/>
      <c r="T1298" s="336"/>
    </row>
    <row r="1299" spans="1:20" ht="12" customHeight="1" x14ac:dyDescent="0.3">
      <c r="A1299" s="329" t="s">
        <v>289</v>
      </c>
      <c r="B1299" s="330">
        <v>4</v>
      </c>
      <c r="C1299" s="298">
        <v>46036</v>
      </c>
      <c r="D1299" s="299" t="s">
        <v>295</v>
      </c>
      <c r="E1299" s="331">
        <v>30.91</v>
      </c>
      <c r="F1299" s="331"/>
      <c r="G1299" s="333">
        <f t="shared" si="20"/>
        <v>714.22</v>
      </c>
      <c r="H1299" s="334"/>
      <c r="I1299" s="335"/>
      <c r="J1299" s="336"/>
      <c r="K1299" s="301"/>
      <c r="L1299" s="336"/>
      <c r="M1299" s="301"/>
      <c r="N1299" s="336"/>
      <c r="O1299" s="301"/>
      <c r="P1299" s="336"/>
      <c r="Q1299" s="301"/>
      <c r="R1299" s="336"/>
      <c r="S1299" s="301"/>
      <c r="T1299" s="336"/>
    </row>
    <row r="1300" spans="1:20" ht="12" customHeight="1" x14ac:dyDescent="0.3">
      <c r="A1300" s="329" t="s">
        <v>289</v>
      </c>
      <c r="B1300" s="330">
        <v>3</v>
      </c>
      <c r="C1300" s="298">
        <v>46036</v>
      </c>
      <c r="D1300" s="299" t="s">
        <v>348</v>
      </c>
      <c r="E1300" s="331">
        <v>8.67</v>
      </c>
      <c r="F1300" s="331"/>
      <c r="G1300" s="333">
        <f t="shared" si="20"/>
        <v>745.13</v>
      </c>
      <c r="H1300" s="334"/>
      <c r="I1300" s="335"/>
      <c r="J1300" s="336"/>
      <c r="K1300" s="301"/>
      <c r="L1300" s="336"/>
      <c r="M1300" s="301"/>
      <c r="N1300" s="336"/>
      <c r="O1300" s="301"/>
      <c r="P1300" s="336"/>
      <c r="Q1300" s="301"/>
      <c r="R1300" s="336"/>
      <c r="S1300" s="301"/>
      <c r="T1300" s="336"/>
    </row>
    <row r="1301" spans="1:20" ht="12" customHeight="1" x14ac:dyDescent="0.3">
      <c r="A1301" s="329" t="s">
        <v>289</v>
      </c>
      <c r="B1301" s="330">
        <v>3</v>
      </c>
      <c r="C1301" s="298">
        <v>46035</v>
      </c>
      <c r="D1301" s="299" t="s">
        <v>351</v>
      </c>
      <c r="E1301" s="331">
        <v>25.01</v>
      </c>
      <c r="F1301" s="331"/>
      <c r="G1301" s="333">
        <f t="shared" si="20"/>
        <v>753.8</v>
      </c>
      <c r="H1301" s="334"/>
      <c r="I1301" s="335"/>
      <c r="J1301" s="336"/>
      <c r="K1301" s="301"/>
      <c r="L1301" s="336"/>
      <c r="M1301" s="301"/>
      <c r="N1301" s="336"/>
      <c r="O1301" s="301"/>
      <c r="P1301" s="336"/>
      <c r="Q1301" s="301"/>
      <c r="R1301" s="336"/>
      <c r="S1301" s="301"/>
      <c r="T1301" s="336"/>
    </row>
    <row r="1302" spans="1:20" ht="12" customHeight="1" x14ac:dyDescent="0.3">
      <c r="A1302" s="329" t="s">
        <v>289</v>
      </c>
      <c r="B1302" s="330">
        <v>6</v>
      </c>
      <c r="C1302" s="298">
        <v>46035</v>
      </c>
      <c r="D1302" s="299" t="s">
        <v>412</v>
      </c>
      <c r="E1302" s="331">
        <v>-5.9</v>
      </c>
      <c r="F1302" s="331"/>
      <c r="G1302" s="333">
        <f t="shared" si="20"/>
        <v>778.81</v>
      </c>
      <c r="H1302" s="334"/>
      <c r="I1302" s="335"/>
      <c r="J1302" s="336"/>
      <c r="K1302" s="301"/>
      <c r="L1302" s="336"/>
      <c r="M1302" s="301"/>
      <c r="N1302" s="336"/>
      <c r="O1302" s="301"/>
      <c r="P1302" s="336"/>
      <c r="Q1302" s="301"/>
      <c r="R1302" s="336"/>
      <c r="S1302" s="301"/>
      <c r="T1302" s="336"/>
    </row>
    <row r="1303" spans="1:20" ht="12" customHeight="1" x14ac:dyDescent="0.3">
      <c r="A1303" s="329" t="s">
        <v>289</v>
      </c>
      <c r="B1303" s="330">
        <v>6</v>
      </c>
      <c r="C1303" s="298">
        <v>46035</v>
      </c>
      <c r="D1303" s="299" t="s">
        <v>446</v>
      </c>
      <c r="E1303" s="331">
        <v>-0.03</v>
      </c>
      <c r="F1303" s="331"/>
      <c r="G1303" s="333">
        <f t="shared" si="20"/>
        <v>772.91</v>
      </c>
      <c r="H1303" s="334"/>
      <c r="I1303" s="335"/>
      <c r="J1303" s="336"/>
      <c r="K1303" s="301"/>
      <c r="L1303" s="336"/>
      <c r="M1303" s="301"/>
      <c r="N1303" s="336"/>
      <c r="O1303" s="301"/>
      <c r="P1303" s="336"/>
      <c r="Q1303" s="301"/>
      <c r="R1303" s="336"/>
      <c r="S1303" s="301"/>
      <c r="T1303" s="336"/>
    </row>
    <row r="1304" spans="1:20" ht="12" customHeight="1" x14ac:dyDescent="0.3">
      <c r="A1304" s="329" t="s">
        <v>294</v>
      </c>
      <c r="B1304" s="330">
        <v>43</v>
      </c>
      <c r="C1304" s="298">
        <v>46035</v>
      </c>
      <c r="D1304" s="299" t="s">
        <v>201</v>
      </c>
      <c r="E1304" s="331">
        <v>44.18</v>
      </c>
      <c r="F1304" s="331"/>
      <c r="G1304" s="333">
        <f t="shared" si="20"/>
        <v>772.88</v>
      </c>
      <c r="H1304" s="334"/>
      <c r="I1304" s="335"/>
      <c r="J1304" s="336"/>
      <c r="K1304" s="301"/>
      <c r="L1304" s="336"/>
      <c r="M1304" s="301"/>
      <c r="N1304" s="336"/>
      <c r="O1304" s="301"/>
      <c r="P1304" s="336"/>
      <c r="Q1304" s="301"/>
      <c r="R1304" s="336"/>
      <c r="S1304" s="301"/>
      <c r="T1304" s="336"/>
    </row>
    <row r="1305" spans="1:20" ht="12" customHeight="1" x14ac:dyDescent="0.3">
      <c r="A1305" s="329" t="s">
        <v>294</v>
      </c>
      <c r="B1305" s="330">
        <v>42</v>
      </c>
      <c r="C1305" s="298">
        <v>46035</v>
      </c>
      <c r="D1305" s="299" t="s">
        <v>200</v>
      </c>
      <c r="E1305" s="331">
        <v>51.19</v>
      </c>
      <c r="F1305" s="331"/>
      <c r="G1305" s="333">
        <f t="shared" si="20"/>
        <v>817.06</v>
      </c>
      <c r="H1305" s="334"/>
      <c r="I1305" s="335"/>
      <c r="J1305" s="336"/>
      <c r="K1305" s="301"/>
      <c r="L1305" s="336"/>
      <c r="M1305" s="301"/>
      <c r="N1305" s="336"/>
      <c r="O1305" s="301"/>
      <c r="P1305" s="336"/>
      <c r="Q1305" s="301"/>
      <c r="R1305" s="336"/>
      <c r="S1305" s="301"/>
      <c r="T1305" s="336"/>
    </row>
    <row r="1306" spans="1:20" ht="12" customHeight="1" x14ac:dyDescent="0.3">
      <c r="A1306" s="329" t="s">
        <v>289</v>
      </c>
      <c r="B1306" s="330">
        <v>4</v>
      </c>
      <c r="C1306" s="298">
        <v>46035</v>
      </c>
      <c r="D1306" s="299" t="s">
        <v>295</v>
      </c>
      <c r="E1306" s="331">
        <v>28.15</v>
      </c>
      <c r="F1306" s="331"/>
      <c r="G1306" s="333">
        <f t="shared" si="20"/>
        <v>868.25</v>
      </c>
      <c r="H1306" s="334"/>
      <c r="I1306" s="335"/>
      <c r="J1306" s="336"/>
      <c r="K1306" s="301"/>
      <c r="L1306" s="336"/>
      <c r="M1306" s="301"/>
      <c r="N1306" s="336"/>
      <c r="O1306" s="301"/>
      <c r="P1306" s="336"/>
      <c r="Q1306" s="301"/>
      <c r="R1306" s="336"/>
      <c r="S1306" s="301"/>
      <c r="T1306" s="336"/>
    </row>
    <row r="1307" spans="1:20" ht="12" customHeight="1" x14ac:dyDescent="0.3">
      <c r="A1307" s="329" t="s">
        <v>289</v>
      </c>
      <c r="B1307" s="330">
        <v>3</v>
      </c>
      <c r="C1307" s="298">
        <v>46035</v>
      </c>
      <c r="D1307" s="299" t="s">
        <v>296</v>
      </c>
      <c r="E1307" s="331">
        <v>20.85</v>
      </c>
      <c r="F1307" s="331"/>
      <c r="G1307" s="333">
        <f t="shared" si="20"/>
        <v>896.4</v>
      </c>
      <c r="H1307" s="334"/>
      <c r="I1307" s="335"/>
      <c r="J1307" s="336"/>
      <c r="K1307" s="301"/>
      <c r="L1307" s="336"/>
      <c r="M1307" s="301"/>
      <c r="N1307" s="336"/>
      <c r="O1307" s="301"/>
      <c r="P1307" s="336"/>
      <c r="Q1307" s="301"/>
      <c r="R1307" s="336"/>
      <c r="S1307" s="301"/>
      <c r="T1307" s="336"/>
    </row>
    <row r="1308" spans="1:20" ht="12" customHeight="1" x14ac:dyDescent="0.3">
      <c r="A1308" s="329" t="s">
        <v>289</v>
      </c>
      <c r="B1308" s="330">
        <v>1</v>
      </c>
      <c r="C1308" s="298">
        <v>46034</v>
      </c>
      <c r="D1308" s="299" t="s">
        <v>306</v>
      </c>
      <c r="E1308" s="331">
        <v>145.81</v>
      </c>
      <c r="F1308" s="331"/>
      <c r="G1308" s="333">
        <f t="shared" si="20"/>
        <v>917.25</v>
      </c>
      <c r="H1308" s="334"/>
      <c r="I1308" s="335"/>
      <c r="J1308" s="336"/>
      <c r="K1308" s="301"/>
      <c r="L1308" s="336"/>
      <c r="M1308" s="301"/>
      <c r="N1308" s="336"/>
      <c r="O1308" s="301"/>
      <c r="P1308" s="336"/>
      <c r="Q1308" s="301"/>
      <c r="R1308" s="336"/>
      <c r="S1308" s="301"/>
      <c r="T1308" s="336"/>
    </row>
    <row r="1309" spans="1:20" ht="12" customHeight="1" x14ac:dyDescent="0.3">
      <c r="A1309" s="329" t="s">
        <v>289</v>
      </c>
      <c r="B1309" s="330">
        <v>2</v>
      </c>
      <c r="C1309" s="298">
        <v>46034</v>
      </c>
      <c r="D1309" s="299" t="s">
        <v>424</v>
      </c>
      <c r="E1309" s="331">
        <v>25.22</v>
      </c>
      <c r="F1309" s="331"/>
      <c r="G1309" s="333">
        <f t="shared" si="20"/>
        <v>1063.06</v>
      </c>
      <c r="H1309" s="334"/>
      <c r="I1309" s="335"/>
      <c r="J1309" s="336"/>
      <c r="K1309" s="301"/>
      <c r="L1309" s="336"/>
      <c r="M1309" s="301"/>
      <c r="N1309" s="336"/>
      <c r="O1309" s="301"/>
      <c r="P1309" s="336"/>
      <c r="Q1309" s="301"/>
      <c r="R1309" s="336"/>
      <c r="S1309" s="301"/>
      <c r="T1309" s="336"/>
    </row>
    <row r="1310" spans="1:20" ht="12" customHeight="1" x14ac:dyDescent="0.3">
      <c r="A1310" s="329" t="s">
        <v>289</v>
      </c>
      <c r="B1310" s="330">
        <v>2</v>
      </c>
      <c r="C1310" s="298">
        <v>46033</v>
      </c>
      <c r="D1310" s="299" t="s">
        <v>326</v>
      </c>
      <c r="E1310" s="331">
        <v>49.38</v>
      </c>
      <c r="F1310" s="331"/>
      <c r="G1310" s="333">
        <f t="shared" si="20"/>
        <v>1088.28</v>
      </c>
      <c r="H1310" s="334"/>
      <c r="I1310" s="335"/>
      <c r="J1310" s="336"/>
      <c r="K1310" s="301"/>
      <c r="L1310" s="336"/>
      <c r="M1310" s="301"/>
      <c r="N1310" s="336"/>
      <c r="O1310" s="301"/>
      <c r="P1310" s="336"/>
      <c r="Q1310" s="301"/>
      <c r="R1310" s="336"/>
      <c r="S1310" s="301"/>
      <c r="T1310" s="336"/>
    </row>
    <row r="1311" spans="1:20" ht="12" customHeight="1" x14ac:dyDescent="0.3">
      <c r="A1311" s="329" t="s">
        <v>294</v>
      </c>
      <c r="B1311" s="330">
        <v>22</v>
      </c>
      <c r="C1311" s="298">
        <v>46033</v>
      </c>
      <c r="D1311" s="299" t="s">
        <v>352</v>
      </c>
      <c r="E1311" s="331">
        <v>19.16</v>
      </c>
      <c r="F1311" s="331"/>
      <c r="G1311" s="333">
        <f t="shared" si="20"/>
        <v>1137.6600000000001</v>
      </c>
      <c r="H1311" s="334"/>
      <c r="I1311" s="335"/>
      <c r="J1311" s="336"/>
      <c r="K1311" s="301"/>
      <c r="L1311" s="336"/>
      <c r="M1311" s="301"/>
      <c r="N1311" s="336"/>
      <c r="O1311" s="301"/>
      <c r="P1311" s="336"/>
      <c r="Q1311" s="301"/>
      <c r="R1311" s="336"/>
      <c r="S1311" s="301"/>
      <c r="T1311" s="336"/>
    </row>
    <row r="1312" spans="1:20" ht="12" customHeight="1" x14ac:dyDescent="0.3">
      <c r="A1312" s="329" t="s">
        <v>289</v>
      </c>
      <c r="B1312" s="330">
        <v>6</v>
      </c>
      <c r="C1312" s="298">
        <v>46033</v>
      </c>
      <c r="D1312" s="299" t="s">
        <v>312</v>
      </c>
      <c r="E1312" s="331">
        <v>39.86</v>
      </c>
      <c r="F1312" s="331"/>
      <c r="G1312" s="333">
        <f t="shared" si="20"/>
        <v>1156.8200000000002</v>
      </c>
      <c r="H1312" s="334"/>
      <c r="I1312" s="335"/>
      <c r="J1312" s="336"/>
      <c r="K1312" s="301"/>
      <c r="L1312" s="336"/>
      <c r="M1312" s="301"/>
      <c r="N1312" s="336"/>
      <c r="O1312" s="301"/>
      <c r="P1312" s="336"/>
      <c r="Q1312" s="301"/>
      <c r="R1312" s="336"/>
      <c r="S1312" s="301"/>
      <c r="T1312" s="336"/>
    </row>
    <row r="1313" spans="1:20" ht="12" customHeight="1" x14ac:dyDescent="0.3">
      <c r="A1313" s="329" t="s">
        <v>289</v>
      </c>
      <c r="B1313" s="330">
        <v>7</v>
      </c>
      <c r="C1313" s="298">
        <v>46033</v>
      </c>
      <c r="D1313" s="299" t="s">
        <v>444</v>
      </c>
      <c r="E1313" s="331">
        <v>165.05</v>
      </c>
      <c r="F1313" s="331"/>
      <c r="G1313" s="333">
        <f t="shared" si="20"/>
        <v>1196.68</v>
      </c>
      <c r="H1313" s="334"/>
      <c r="I1313" s="335"/>
      <c r="J1313" s="336"/>
      <c r="K1313" s="301"/>
      <c r="L1313" s="336"/>
      <c r="M1313" s="301"/>
      <c r="N1313" s="336"/>
      <c r="O1313" s="301"/>
      <c r="P1313" s="336"/>
      <c r="Q1313" s="301"/>
      <c r="R1313" s="336"/>
      <c r="S1313" s="301"/>
      <c r="T1313" s="336"/>
    </row>
    <row r="1314" spans="1:20" ht="12" customHeight="1" x14ac:dyDescent="0.3">
      <c r="A1314" s="329" t="s">
        <v>294</v>
      </c>
      <c r="B1314" s="330">
        <v>24</v>
      </c>
      <c r="C1314" s="298">
        <v>46032</v>
      </c>
      <c r="D1314" s="299" t="s">
        <v>860</v>
      </c>
      <c r="E1314" s="331">
        <v>83.42</v>
      </c>
      <c r="F1314" s="331"/>
      <c r="G1314" s="333">
        <f t="shared" si="20"/>
        <v>1361.73</v>
      </c>
      <c r="H1314" s="334"/>
      <c r="I1314" s="335"/>
      <c r="J1314" s="336"/>
      <c r="K1314" s="301"/>
      <c r="L1314" s="336"/>
      <c r="M1314" s="301"/>
      <c r="N1314" s="336"/>
      <c r="O1314" s="301"/>
      <c r="P1314" s="336"/>
      <c r="Q1314" s="301"/>
      <c r="R1314" s="336"/>
      <c r="S1314" s="301"/>
      <c r="T1314" s="336"/>
    </row>
    <row r="1315" spans="1:20" ht="12" customHeight="1" x14ac:dyDescent="0.3">
      <c r="A1315" s="329" t="s">
        <v>289</v>
      </c>
      <c r="B1315" s="330">
        <v>4</v>
      </c>
      <c r="C1315" s="298">
        <v>46032</v>
      </c>
      <c r="D1315" s="299" t="s">
        <v>296</v>
      </c>
      <c r="E1315" s="331">
        <v>30.4</v>
      </c>
      <c r="F1315" s="331"/>
      <c r="G1315" s="333">
        <f t="shared" si="20"/>
        <v>1445.15</v>
      </c>
      <c r="H1315" s="334"/>
      <c r="I1315" s="335"/>
      <c r="J1315" s="336"/>
      <c r="K1315" s="301"/>
      <c r="L1315" s="336"/>
      <c r="M1315" s="301"/>
      <c r="N1315" s="336"/>
      <c r="O1315" s="301"/>
      <c r="P1315" s="336"/>
      <c r="Q1315" s="301"/>
      <c r="R1315" s="336"/>
      <c r="S1315" s="301"/>
      <c r="T1315" s="336"/>
    </row>
    <row r="1316" spans="1:20" ht="12" customHeight="1" x14ac:dyDescent="0.3">
      <c r="A1316" s="329" t="s">
        <v>289</v>
      </c>
      <c r="B1316" s="330">
        <v>2</v>
      </c>
      <c r="C1316" s="298">
        <v>46032</v>
      </c>
      <c r="D1316" s="299" t="s">
        <v>296</v>
      </c>
      <c r="E1316" s="331">
        <v>13.83</v>
      </c>
      <c r="F1316" s="331"/>
      <c r="G1316" s="333">
        <f t="shared" si="20"/>
        <v>1475.5500000000002</v>
      </c>
      <c r="H1316" s="334"/>
      <c r="I1316" s="335"/>
      <c r="J1316" s="336"/>
      <c r="K1316" s="301"/>
      <c r="L1316" s="336"/>
      <c r="M1316" s="301"/>
      <c r="N1316" s="336"/>
      <c r="O1316" s="301"/>
      <c r="P1316" s="336"/>
      <c r="Q1316" s="301"/>
      <c r="R1316" s="336"/>
      <c r="S1316" s="301"/>
      <c r="T1316" s="336"/>
    </row>
    <row r="1317" spans="1:20" ht="12" customHeight="1" x14ac:dyDescent="0.3">
      <c r="A1317" s="329" t="s">
        <v>289</v>
      </c>
      <c r="B1317" s="330">
        <v>2</v>
      </c>
      <c r="C1317" s="298">
        <v>46032</v>
      </c>
      <c r="D1317" s="299" t="s">
        <v>473</v>
      </c>
      <c r="E1317" s="331">
        <v>100</v>
      </c>
      <c r="F1317" s="331"/>
      <c r="G1317" s="333">
        <f t="shared" si="20"/>
        <v>1489.38</v>
      </c>
      <c r="H1317" s="334"/>
      <c r="I1317" s="335"/>
      <c r="J1317" s="336"/>
      <c r="K1317" s="301"/>
      <c r="L1317" s="336"/>
      <c r="M1317" s="301"/>
      <c r="N1317" s="336"/>
      <c r="O1317" s="301"/>
      <c r="P1317" s="336"/>
      <c r="Q1317" s="301"/>
      <c r="R1317" s="336"/>
      <c r="S1317" s="301"/>
      <c r="T1317" s="336"/>
    </row>
    <row r="1318" spans="1:20" ht="12" customHeight="1" x14ac:dyDescent="0.3">
      <c r="A1318" s="329" t="s">
        <v>289</v>
      </c>
      <c r="B1318" s="330">
        <v>1</v>
      </c>
      <c r="C1318" s="298">
        <v>46032</v>
      </c>
      <c r="D1318" s="299" t="s">
        <v>304</v>
      </c>
      <c r="E1318" s="331">
        <v>55.68</v>
      </c>
      <c r="F1318" s="331"/>
      <c r="G1318" s="333">
        <f t="shared" si="20"/>
        <v>1589.38</v>
      </c>
      <c r="H1318" s="334"/>
      <c r="I1318" s="335"/>
      <c r="J1318" s="336"/>
      <c r="K1318" s="301"/>
      <c r="L1318" s="336"/>
      <c r="M1318" s="301"/>
      <c r="N1318" s="336"/>
      <c r="O1318" s="301"/>
      <c r="P1318" s="336"/>
      <c r="Q1318" s="301"/>
      <c r="R1318" s="336"/>
      <c r="S1318" s="301"/>
      <c r="T1318" s="336"/>
    </row>
    <row r="1319" spans="1:20" ht="12" customHeight="1" x14ac:dyDescent="0.3">
      <c r="A1319" s="329" t="s">
        <v>289</v>
      </c>
      <c r="B1319" s="330">
        <v>2</v>
      </c>
      <c r="C1319" s="298">
        <v>46031</v>
      </c>
      <c r="D1319" s="299" t="s">
        <v>358</v>
      </c>
      <c r="E1319" s="331">
        <v>9.4700000000000006</v>
      </c>
      <c r="F1319" s="331"/>
      <c r="G1319" s="333">
        <f t="shared" si="20"/>
        <v>1645.0600000000002</v>
      </c>
      <c r="H1319" s="334"/>
      <c r="I1319" s="335"/>
      <c r="J1319" s="336"/>
      <c r="K1319" s="301"/>
      <c r="L1319" s="336"/>
      <c r="M1319" s="301"/>
      <c r="N1319" s="336"/>
      <c r="O1319" s="301"/>
      <c r="P1319" s="336"/>
      <c r="Q1319" s="301"/>
      <c r="R1319" s="336"/>
      <c r="S1319" s="301"/>
      <c r="T1319" s="336"/>
    </row>
    <row r="1320" spans="1:20" ht="12" customHeight="1" x14ac:dyDescent="0.3">
      <c r="A1320" s="329" t="s">
        <v>289</v>
      </c>
      <c r="B1320" s="330">
        <v>5</v>
      </c>
      <c r="C1320" s="298">
        <v>46031</v>
      </c>
      <c r="D1320" s="299" t="s">
        <v>475</v>
      </c>
      <c r="E1320" s="331">
        <v>50</v>
      </c>
      <c r="F1320" s="331"/>
      <c r="G1320" s="333">
        <f t="shared" si="20"/>
        <v>1654.5300000000002</v>
      </c>
      <c r="H1320" s="334"/>
      <c r="I1320" s="335"/>
      <c r="J1320" s="336"/>
      <c r="K1320" s="301"/>
      <c r="L1320" s="336"/>
      <c r="M1320" s="301"/>
      <c r="N1320" s="336"/>
      <c r="O1320" s="301"/>
      <c r="P1320" s="336"/>
      <c r="Q1320" s="301"/>
      <c r="R1320" s="336"/>
      <c r="S1320" s="301"/>
      <c r="T1320" s="336"/>
    </row>
    <row r="1321" spans="1:20" ht="12" customHeight="1" x14ac:dyDescent="0.3">
      <c r="A1321" s="329" t="s">
        <v>289</v>
      </c>
      <c r="B1321" s="330">
        <v>8</v>
      </c>
      <c r="C1321" s="298">
        <v>46030</v>
      </c>
      <c r="D1321" s="299" t="s">
        <v>476</v>
      </c>
      <c r="E1321" s="331">
        <v>32.619999999999997</v>
      </c>
      <c r="F1321" s="331"/>
      <c r="G1321" s="333">
        <f t="shared" si="20"/>
        <v>1704.5300000000002</v>
      </c>
      <c r="H1321" s="334"/>
      <c r="I1321" s="335"/>
      <c r="J1321" s="336"/>
      <c r="K1321" s="301"/>
      <c r="L1321" s="336"/>
      <c r="M1321" s="301"/>
      <c r="N1321" s="336"/>
      <c r="O1321" s="301"/>
      <c r="P1321" s="336"/>
      <c r="Q1321" s="301"/>
      <c r="R1321" s="336"/>
      <c r="S1321" s="301"/>
      <c r="T1321" s="336"/>
    </row>
    <row r="1322" spans="1:20" ht="12" customHeight="1" x14ac:dyDescent="0.3">
      <c r="A1322" s="329" t="s">
        <v>291</v>
      </c>
      <c r="B1322" s="330">
        <v>39</v>
      </c>
      <c r="C1322" s="298">
        <v>46030</v>
      </c>
      <c r="D1322" s="299" t="s">
        <v>292</v>
      </c>
      <c r="E1322" s="331"/>
      <c r="F1322" s="331">
        <v>2729.22</v>
      </c>
      <c r="G1322" s="333">
        <f t="shared" si="20"/>
        <v>1737.15</v>
      </c>
      <c r="H1322" s="334"/>
      <c r="I1322" s="335"/>
      <c r="J1322" s="336"/>
      <c r="K1322" s="301"/>
      <c r="L1322" s="336"/>
      <c r="M1322" s="301"/>
      <c r="N1322" s="336"/>
      <c r="O1322" s="301"/>
      <c r="P1322" s="336"/>
      <c r="Q1322" s="301"/>
      <c r="R1322" s="336"/>
      <c r="S1322" s="301"/>
      <c r="T1322" s="336"/>
    </row>
    <row r="1323" spans="1:20" ht="12" customHeight="1" x14ac:dyDescent="0.3">
      <c r="A1323" s="329" t="s">
        <v>289</v>
      </c>
      <c r="B1323" s="330">
        <v>2</v>
      </c>
      <c r="C1323" s="298">
        <v>46030</v>
      </c>
      <c r="D1323" s="299" t="s">
        <v>296</v>
      </c>
      <c r="E1323" s="331">
        <v>6.37</v>
      </c>
      <c r="F1323" s="331"/>
      <c r="G1323" s="333">
        <f t="shared" si="20"/>
        <v>-992.06999999999971</v>
      </c>
      <c r="H1323" s="334"/>
      <c r="I1323" s="335"/>
      <c r="J1323" s="336"/>
      <c r="K1323" s="301"/>
      <c r="L1323" s="336"/>
      <c r="M1323" s="301"/>
      <c r="N1323" s="336"/>
      <c r="O1323" s="301"/>
      <c r="P1323" s="336"/>
      <c r="Q1323" s="301"/>
      <c r="R1323" s="336"/>
      <c r="S1323" s="301"/>
      <c r="T1323" s="336"/>
    </row>
    <row r="1324" spans="1:20" ht="12" customHeight="1" x14ac:dyDescent="0.3">
      <c r="A1324" s="329" t="s">
        <v>289</v>
      </c>
      <c r="B1324" s="330">
        <v>4</v>
      </c>
      <c r="C1324" s="298">
        <v>46030</v>
      </c>
      <c r="D1324" s="299" t="s">
        <v>296</v>
      </c>
      <c r="E1324" s="331">
        <v>32.119999999999997</v>
      </c>
      <c r="F1324" s="331"/>
      <c r="G1324" s="333">
        <f t="shared" si="20"/>
        <v>-985.6999999999997</v>
      </c>
      <c r="H1324" s="334"/>
      <c r="I1324" s="335"/>
      <c r="J1324" s="336"/>
      <c r="K1324" s="301"/>
      <c r="L1324" s="336"/>
      <c r="M1324" s="301"/>
      <c r="N1324" s="336"/>
      <c r="O1324" s="301"/>
      <c r="P1324" s="336"/>
      <c r="Q1324" s="301"/>
      <c r="R1324" s="336"/>
      <c r="S1324" s="301"/>
      <c r="T1324" s="336"/>
    </row>
    <row r="1325" spans="1:20" ht="12" customHeight="1" x14ac:dyDescent="0.3">
      <c r="A1325" s="329" t="s">
        <v>289</v>
      </c>
      <c r="B1325" s="330">
        <v>2</v>
      </c>
      <c r="C1325" s="298">
        <v>46030</v>
      </c>
      <c r="D1325" s="299" t="s">
        <v>358</v>
      </c>
      <c r="E1325" s="331">
        <v>9.4700000000000006</v>
      </c>
      <c r="F1325" s="331"/>
      <c r="G1325" s="333">
        <f t="shared" si="20"/>
        <v>-953.5799999999997</v>
      </c>
      <c r="H1325" s="334"/>
      <c r="I1325" s="335"/>
      <c r="J1325" s="336"/>
      <c r="K1325" s="301"/>
      <c r="L1325" s="336"/>
      <c r="M1325" s="301"/>
      <c r="N1325" s="336"/>
      <c r="O1325" s="301"/>
      <c r="P1325" s="336"/>
      <c r="Q1325" s="301"/>
      <c r="R1325" s="336"/>
      <c r="S1325" s="301"/>
      <c r="T1325" s="336"/>
    </row>
    <row r="1326" spans="1:20" ht="12" customHeight="1" x14ac:dyDescent="0.3">
      <c r="A1326" s="329" t="s">
        <v>289</v>
      </c>
      <c r="B1326" s="330">
        <v>2</v>
      </c>
      <c r="C1326" s="298">
        <v>46030</v>
      </c>
      <c r="D1326" s="299" t="s">
        <v>386</v>
      </c>
      <c r="E1326" s="331">
        <v>21.18</v>
      </c>
      <c r="F1326" s="331"/>
      <c r="G1326" s="333">
        <f t="shared" si="20"/>
        <v>-944.10999999999967</v>
      </c>
      <c r="H1326" s="334"/>
      <c r="I1326" s="335"/>
      <c r="J1326" s="336"/>
      <c r="K1326" s="301"/>
      <c r="L1326" s="336"/>
      <c r="M1326" s="301"/>
      <c r="N1326" s="336"/>
      <c r="O1326" s="301"/>
      <c r="P1326" s="336"/>
      <c r="Q1326" s="301"/>
      <c r="R1326" s="336"/>
      <c r="S1326" s="301"/>
      <c r="T1326" s="336"/>
    </row>
    <row r="1327" spans="1:20" ht="12" customHeight="1" x14ac:dyDescent="0.3">
      <c r="A1327" s="329" t="s">
        <v>335</v>
      </c>
      <c r="B1327" s="330" t="s">
        <v>335</v>
      </c>
      <c r="C1327" s="298">
        <v>46029</v>
      </c>
      <c r="D1327" s="299" t="s">
        <v>447</v>
      </c>
      <c r="E1327" s="331">
        <v>52.66</v>
      </c>
      <c r="F1327" s="331"/>
      <c r="G1327" s="333">
        <f t="shared" si="20"/>
        <v>-922.92999999999972</v>
      </c>
      <c r="H1327" s="334"/>
      <c r="I1327" s="335"/>
      <c r="J1327" s="336"/>
      <c r="K1327" s="301"/>
      <c r="L1327" s="336"/>
      <c r="M1327" s="301"/>
      <c r="N1327" s="336"/>
      <c r="O1327" s="301"/>
      <c r="P1327" s="336"/>
      <c r="Q1327" s="301"/>
      <c r="R1327" s="336"/>
      <c r="S1327" s="301"/>
      <c r="T1327" s="336"/>
    </row>
    <row r="1328" spans="1:20" ht="12" customHeight="1" x14ac:dyDescent="0.3">
      <c r="A1328" s="329" t="s">
        <v>294</v>
      </c>
      <c r="B1328" s="330">
        <v>13</v>
      </c>
      <c r="C1328" s="298">
        <v>46029</v>
      </c>
      <c r="D1328" s="299" t="s">
        <v>182</v>
      </c>
      <c r="E1328" s="331">
        <v>167.42</v>
      </c>
      <c r="F1328" s="331"/>
      <c r="G1328" s="333">
        <f t="shared" si="20"/>
        <v>-870.26999999999975</v>
      </c>
      <c r="H1328" s="334"/>
      <c r="I1328" s="335"/>
      <c r="J1328" s="336"/>
      <c r="K1328" s="301"/>
      <c r="L1328" s="336"/>
      <c r="M1328" s="301"/>
      <c r="N1328" s="336"/>
      <c r="O1328" s="301"/>
      <c r="P1328" s="336"/>
      <c r="Q1328" s="301"/>
      <c r="R1328" s="336"/>
      <c r="S1328" s="301"/>
      <c r="T1328" s="336"/>
    </row>
    <row r="1329" spans="1:20" ht="12" customHeight="1" x14ac:dyDescent="0.3">
      <c r="A1329" s="329" t="s">
        <v>289</v>
      </c>
      <c r="B1329" s="330">
        <v>4</v>
      </c>
      <c r="C1329" s="298">
        <v>46029</v>
      </c>
      <c r="D1329" s="299" t="s">
        <v>296</v>
      </c>
      <c r="E1329" s="331">
        <v>30.81</v>
      </c>
      <c r="F1329" s="331"/>
      <c r="G1329" s="333">
        <f t="shared" si="20"/>
        <v>-702.8499999999998</v>
      </c>
      <c r="H1329" s="334"/>
      <c r="I1329" s="335"/>
      <c r="J1329" s="336"/>
      <c r="K1329" s="301"/>
      <c r="L1329" s="336"/>
      <c r="M1329" s="301"/>
      <c r="N1329" s="336"/>
      <c r="O1329" s="301"/>
      <c r="P1329" s="336"/>
      <c r="Q1329" s="301"/>
      <c r="R1329" s="336"/>
      <c r="S1329" s="301"/>
      <c r="T1329" s="336"/>
    </row>
    <row r="1330" spans="1:20" ht="12" customHeight="1" x14ac:dyDescent="0.3">
      <c r="A1330" s="329" t="s">
        <v>289</v>
      </c>
      <c r="B1330" s="330">
        <v>2</v>
      </c>
      <c r="C1330" s="298">
        <v>46029</v>
      </c>
      <c r="D1330" s="299" t="s">
        <v>358</v>
      </c>
      <c r="E1330" s="331">
        <v>9.4700000000000006</v>
      </c>
      <c r="F1330" s="331"/>
      <c r="G1330" s="333">
        <f t="shared" si="20"/>
        <v>-672.03999999999985</v>
      </c>
      <c r="H1330" s="334"/>
      <c r="I1330" s="335"/>
      <c r="J1330" s="336"/>
      <c r="K1330" s="301"/>
      <c r="L1330" s="336"/>
      <c r="M1330" s="301"/>
      <c r="N1330" s="336"/>
      <c r="O1330" s="301"/>
      <c r="P1330" s="336"/>
      <c r="Q1330" s="301"/>
      <c r="R1330" s="336"/>
      <c r="S1330" s="301"/>
      <c r="T1330" s="336"/>
    </row>
    <row r="1331" spans="1:20" ht="12" customHeight="1" x14ac:dyDescent="0.3">
      <c r="A1331" s="329" t="s">
        <v>294</v>
      </c>
      <c r="B1331" s="330">
        <v>22</v>
      </c>
      <c r="C1331" s="298">
        <v>46029</v>
      </c>
      <c r="D1331" s="299" t="s">
        <v>477</v>
      </c>
      <c r="E1331" s="331">
        <v>148.04</v>
      </c>
      <c r="F1331" s="331"/>
      <c r="G1331" s="333">
        <f t="shared" si="20"/>
        <v>-662.56999999999982</v>
      </c>
      <c r="H1331" s="334"/>
      <c r="I1331" s="335"/>
      <c r="J1331" s="336"/>
      <c r="K1331" s="301"/>
      <c r="L1331" s="336"/>
      <c r="M1331" s="301"/>
      <c r="N1331" s="336"/>
      <c r="O1331" s="301"/>
      <c r="P1331" s="336"/>
      <c r="Q1331" s="301"/>
      <c r="R1331" s="336"/>
      <c r="S1331" s="301"/>
      <c r="T1331" s="336"/>
    </row>
    <row r="1332" spans="1:20" ht="12" customHeight="1" x14ac:dyDescent="0.3">
      <c r="A1332" s="329" t="s">
        <v>294</v>
      </c>
      <c r="B1332" s="330">
        <v>14</v>
      </c>
      <c r="C1332" s="298">
        <v>46028</v>
      </c>
      <c r="D1332" s="299" t="s">
        <v>366</v>
      </c>
      <c r="E1332" s="331">
        <v>66.67</v>
      </c>
      <c r="F1332" s="331"/>
      <c r="G1332" s="333">
        <f t="shared" si="20"/>
        <v>-514.52999999999986</v>
      </c>
      <c r="H1332" s="334"/>
      <c r="I1332" s="335"/>
      <c r="J1332" s="336"/>
      <c r="K1332" s="301"/>
      <c r="L1332" s="336"/>
      <c r="M1332" s="301"/>
      <c r="N1332" s="336"/>
      <c r="O1332" s="301"/>
      <c r="P1332" s="336"/>
      <c r="Q1332" s="301"/>
      <c r="R1332" s="336"/>
      <c r="S1332" s="301"/>
      <c r="T1332" s="336"/>
    </row>
    <row r="1333" spans="1:20" ht="12" customHeight="1" x14ac:dyDescent="0.3">
      <c r="A1333" s="329" t="s">
        <v>289</v>
      </c>
      <c r="B1333" s="330">
        <v>3</v>
      </c>
      <c r="C1333" s="298">
        <v>46028</v>
      </c>
      <c r="D1333" s="299" t="s">
        <v>296</v>
      </c>
      <c r="E1333" s="331">
        <v>5.7</v>
      </c>
      <c r="F1333" s="331"/>
      <c r="G1333" s="333">
        <f t="shared" si="20"/>
        <v>-447.8599999999999</v>
      </c>
      <c r="H1333" s="334"/>
      <c r="I1333" s="335"/>
      <c r="J1333" s="336"/>
      <c r="K1333" s="301"/>
      <c r="L1333" s="336"/>
      <c r="M1333" s="301"/>
      <c r="N1333" s="336"/>
      <c r="O1333" s="301"/>
      <c r="P1333" s="336"/>
      <c r="Q1333" s="301"/>
      <c r="R1333" s="336"/>
      <c r="S1333" s="301"/>
      <c r="T1333" s="336"/>
    </row>
    <row r="1334" spans="1:20" ht="12" customHeight="1" x14ac:dyDescent="0.3">
      <c r="A1334" s="329" t="s">
        <v>294</v>
      </c>
      <c r="B1334" s="330">
        <v>21</v>
      </c>
      <c r="C1334" s="298">
        <v>46028</v>
      </c>
      <c r="D1334" s="299" t="s">
        <v>194</v>
      </c>
      <c r="E1334" s="331">
        <v>30.59</v>
      </c>
      <c r="F1334" s="331"/>
      <c r="G1334" s="333">
        <f t="shared" si="20"/>
        <v>-442.15999999999991</v>
      </c>
      <c r="H1334" s="334"/>
      <c r="I1334" s="335"/>
      <c r="J1334" s="336"/>
      <c r="K1334" s="301"/>
      <c r="L1334" s="336"/>
      <c r="M1334" s="301"/>
      <c r="N1334" s="336"/>
      <c r="O1334" s="301"/>
      <c r="P1334" s="336"/>
      <c r="Q1334" s="301"/>
      <c r="R1334" s="336"/>
      <c r="S1334" s="301"/>
      <c r="T1334" s="336"/>
    </row>
    <row r="1335" spans="1:20" ht="12" customHeight="1" x14ac:dyDescent="0.3">
      <c r="A1335" s="329" t="s">
        <v>294</v>
      </c>
      <c r="B1335" s="330">
        <v>17</v>
      </c>
      <c r="C1335" s="298">
        <v>46027</v>
      </c>
      <c r="D1335" s="299" t="s">
        <v>370</v>
      </c>
      <c r="E1335" s="331">
        <v>133.91999999999999</v>
      </c>
      <c r="F1335" s="331"/>
      <c r="G1335" s="333">
        <f t="shared" si="20"/>
        <v>-411.56999999999994</v>
      </c>
      <c r="H1335" s="334"/>
      <c r="I1335" s="335"/>
      <c r="J1335" s="336"/>
      <c r="K1335" s="301"/>
      <c r="L1335" s="336"/>
      <c r="M1335" s="301"/>
      <c r="N1335" s="336"/>
      <c r="O1335" s="301"/>
      <c r="P1335" s="336"/>
      <c r="Q1335" s="301"/>
      <c r="R1335" s="336"/>
      <c r="S1335" s="301"/>
      <c r="T1335" s="336"/>
    </row>
    <row r="1336" spans="1:20" ht="12" customHeight="1" x14ac:dyDescent="0.3">
      <c r="A1336" s="329" t="s">
        <v>294</v>
      </c>
      <c r="B1336" s="330">
        <v>17</v>
      </c>
      <c r="C1336" s="298">
        <v>46027</v>
      </c>
      <c r="D1336" s="299" t="s">
        <v>370</v>
      </c>
      <c r="E1336" s="331">
        <v>62</v>
      </c>
      <c r="F1336" s="331"/>
      <c r="G1336" s="333">
        <f t="shared" si="20"/>
        <v>-277.64999999999992</v>
      </c>
      <c r="H1336" s="334"/>
      <c r="I1336" s="335"/>
      <c r="J1336" s="336"/>
      <c r="K1336" s="301"/>
      <c r="L1336" s="336"/>
      <c r="M1336" s="301"/>
      <c r="N1336" s="336"/>
      <c r="O1336" s="301"/>
      <c r="P1336" s="336"/>
      <c r="Q1336" s="301"/>
      <c r="R1336" s="336"/>
      <c r="S1336" s="301"/>
      <c r="T1336" s="336"/>
    </row>
    <row r="1337" spans="1:20" ht="12" customHeight="1" x14ac:dyDescent="0.3">
      <c r="A1337" s="329" t="s">
        <v>289</v>
      </c>
      <c r="B1337" s="330">
        <v>6</v>
      </c>
      <c r="C1337" s="298">
        <v>46027</v>
      </c>
      <c r="D1337" s="299" t="s">
        <v>300</v>
      </c>
      <c r="E1337" s="331">
        <v>10.64</v>
      </c>
      <c r="F1337" s="331"/>
      <c r="G1337" s="333">
        <f t="shared" si="20"/>
        <v>-215.64999999999992</v>
      </c>
      <c r="H1337" s="334"/>
      <c r="I1337" s="335"/>
      <c r="J1337" s="336"/>
      <c r="K1337" s="301"/>
      <c r="L1337" s="336"/>
      <c r="M1337" s="301"/>
      <c r="N1337" s="336"/>
      <c r="O1337" s="301"/>
      <c r="P1337" s="336"/>
      <c r="Q1337" s="301"/>
      <c r="R1337" s="336"/>
      <c r="S1337" s="301"/>
      <c r="T1337" s="336"/>
    </row>
    <row r="1338" spans="1:20" ht="12" customHeight="1" x14ac:dyDescent="0.3">
      <c r="A1338" s="329" t="s">
        <v>289</v>
      </c>
      <c r="B1338" s="330">
        <v>8</v>
      </c>
      <c r="C1338" s="298">
        <v>46027</v>
      </c>
      <c r="D1338" s="299" t="s">
        <v>319</v>
      </c>
      <c r="E1338" s="331">
        <v>17.440000000000001</v>
      </c>
      <c r="F1338" s="331"/>
      <c r="G1338" s="333">
        <f t="shared" si="20"/>
        <v>-205.00999999999991</v>
      </c>
      <c r="H1338" s="334"/>
      <c r="I1338" s="335"/>
      <c r="J1338" s="336"/>
      <c r="K1338" s="301"/>
      <c r="L1338" s="336"/>
      <c r="M1338" s="301"/>
      <c r="N1338" s="336"/>
      <c r="O1338" s="301"/>
      <c r="P1338" s="336"/>
      <c r="Q1338" s="301"/>
      <c r="R1338" s="336"/>
      <c r="S1338" s="301"/>
      <c r="T1338" s="336"/>
    </row>
    <row r="1339" spans="1:20" ht="12" customHeight="1" x14ac:dyDescent="0.3">
      <c r="A1339" s="329" t="s">
        <v>289</v>
      </c>
      <c r="B1339" s="330">
        <v>1</v>
      </c>
      <c r="C1339" s="298">
        <v>46027</v>
      </c>
      <c r="D1339" s="299" t="s">
        <v>306</v>
      </c>
      <c r="E1339" s="331">
        <v>216.19</v>
      </c>
      <c r="F1339" s="331"/>
      <c r="G1339" s="333">
        <f t="shared" si="20"/>
        <v>-187.56999999999991</v>
      </c>
      <c r="H1339" s="334"/>
      <c r="I1339" s="335"/>
      <c r="J1339" s="336"/>
      <c r="K1339" s="301"/>
      <c r="L1339" s="336"/>
      <c r="M1339" s="301"/>
      <c r="N1339" s="336"/>
      <c r="O1339" s="301"/>
      <c r="P1339" s="336"/>
      <c r="Q1339" s="301"/>
      <c r="R1339" s="336"/>
      <c r="S1339" s="301"/>
      <c r="T1339" s="336"/>
    </row>
    <row r="1340" spans="1:20" ht="12" customHeight="1" x14ac:dyDescent="0.3">
      <c r="A1340" s="329" t="s">
        <v>289</v>
      </c>
      <c r="B1340" s="330">
        <v>2</v>
      </c>
      <c r="C1340" s="298">
        <v>46027</v>
      </c>
      <c r="D1340" s="299" t="s">
        <v>478</v>
      </c>
      <c r="E1340" s="331">
        <v>70</v>
      </c>
      <c r="F1340" s="331"/>
      <c r="G1340" s="333">
        <f t="shared" si="20"/>
        <v>28.62000000000009</v>
      </c>
      <c r="H1340" s="334"/>
      <c r="I1340" s="335"/>
      <c r="J1340" s="336"/>
      <c r="K1340" s="301"/>
      <c r="L1340" s="336"/>
      <c r="M1340" s="301"/>
      <c r="N1340" s="336"/>
      <c r="O1340" s="301"/>
      <c r="P1340" s="336"/>
      <c r="Q1340" s="301"/>
      <c r="R1340" s="336"/>
      <c r="S1340" s="301"/>
      <c r="T1340" s="336"/>
    </row>
    <row r="1341" spans="1:20" ht="12" customHeight="1" x14ac:dyDescent="0.3">
      <c r="A1341" s="329" t="s">
        <v>289</v>
      </c>
      <c r="B1341" s="330">
        <v>2</v>
      </c>
      <c r="C1341" s="298">
        <v>46027</v>
      </c>
      <c r="D1341" s="299" t="s">
        <v>358</v>
      </c>
      <c r="E1341" s="331">
        <v>14.05</v>
      </c>
      <c r="F1341" s="331"/>
      <c r="G1341" s="333">
        <f t="shared" si="20"/>
        <v>98.62000000000009</v>
      </c>
      <c r="H1341" s="334"/>
      <c r="I1341" s="335"/>
      <c r="J1341" s="336"/>
      <c r="K1341" s="301"/>
      <c r="L1341" s="336"/>
      <c r="M1341" s="301"/>
      <c r="N1341" s="336"/>
      <c r="O1341" s="301"/>
      <c r="P1341" s="336"/>
      <c r="Q1341" s="301"/>
      <c r="R1341" s="336"/>
      <c r="S1341" s="301"/>
      <c r="T1341" s="336"/>
    </row>
    <row r="1342" spans="1:20" ht="12" customHeight="1" x14ac:dyDescent="0.3">
      <c r="A1342" s="329" t="s">
        <v>294</v>
      </c>
      <c r="B1342" s="330">
        <v>14</v>
      </c>
      <c r="C1342" s="298">
        <v>46027</v>
      </c>
      <c r="D1342" s="299" t="s">
        <v>367</v>
      </c>
      <c r="E1342" s="331">
        <v>68.739999999999995</v>
      </c>
      <c r="F1342" s="331"/>
      <c r="G1342" s="333">
        <f t="shared" si="20"/>
        <v>112.67000000000009</v>
      </c>
      <c r="H1342" s="334"/>
      <c r="I1342" s="335"/>
      <c r="J1342" s="336"/>
      <c r="K1342" s="301"/>
      <c r="L1342" s="336"/>
      <c r="M1342" s="301"/>
      <c r="N1342" s="336"/>
      <c r="O1342" s="301"/>
      <c r="P1342" s="336"/>
      <c r="Q1342" s="301"/>
      <c r="R1342" s="336"/>
      <c r="S1342" s="301"/>
      <c r="T1342" s="336"/>
    </row>
    <row r="1343" spans="1:20" ht="12" customHeight="1" x14ac:dyDescent="0.3">
      <c r="A1343" s="329" t="s">
        <v>289</v>
      </c>
      <c r="B1343" s="330">
        <v>6</v>
      </c>
      <c r="C1343" s="298">
        <v>46027</v>
      </c>
      <c r="D1343" s="299" t="s">
        <v>479</v>
      </c>
      <c r="E1343" s="331">
        <v>120</v>
      </c>
      <c r="F1343" s="331"/>
      <c r="G1343" s="333">
        <f t="shared" si="20"/>
        <v>181.41000000000008</v>
      </c>
      <c r="H1343" s="334"/>
      <c r="I1343" s="335"/>
      <c r="J1343" s="336"/>
      <c r="K1343" s="301"/>
      <c r="L1343" s="336"/>
      <c r="M1343" s="301"/>
      <c r="N1343" s="336"/>
      <c r="O1343" s="301"/>
      <c r="P1343" s="336"/>
      <c r="Q1343" s="301"/>
      <c r="R1343" s="336"/>
      <c r="S1343" s="301"/>
      <c r="T1343" s="336"/>
    </row>
    <row r="1344" spans="1:20" ht="12" customHeight="1" x14ac:dyDescent="0.3">
      <c r="A1344" s="329" t="s">
        <v>294</v>
      </c>
      <c r="B1344" s="330">
        <v>9</v>
      </c>
      <c r="C1344" s="298">
        <v>46027</v>
      </c>
      <c r="D1344" s="299" t="s">
        <v>58</v>
      </c>
      <c r="E1344" s="331">
        <v>1281.53</v>
      </c>
      <c r="F1344" s="331"/>
      <c r="G1344" s="333">
        <f t="shared" si="20"/>
        <v>301.41000000000008</v>
      </c>
      <c r="H1344" s="334"/>
      <c r="I1344" s="335"/>
      <c r="J1344" s="336"/>
      <c r="K1344" s="301"/>
      <c r="L1344" s="336"/>
      <c r="M1344" s="301"/>
      <c r="N1344" s="336"/>
      <c r="O1344" s="301"/>
      <c r="P1344" s="336"/>
      <c r="Q1344" s="301"/>
      <c r="R1344" s="336"/>
      <c r="S1344" s="301"/>
      <c r="T1344" s="336"/>
    </row>
    <row r="1345" spans="1:20" ht="12" customHeight="1" x14ac:dyDescent="0.3">
      <c r="A1345" s="329" t="s">
        <v>289</v>
      </c>
      <c r="B1345" s="330">
        <v>7</v>
      </c>
      <c r="C1345" s="298">
        <v>46026</v>
      </c>
      <c r="D1345" s="299" t="s">
        <v>338</v>
      </c>
      <c r="E1345" s="331">
        <v>18.260000000000002</v>
      </c>
      <c r="F1345" s="331"/>
      <c r="G1345" s="333">
        <f t="shared" si="20"/>
        <v>1582.94</v>
      </c>
      <c r="H1345" s="334"/>
      <c r="I1345" s="335"/>
      <c r="J1345" s="336"/>
      <c r="K1345" s="301"/>
      <c r="L1345" s="336"/>
      <c r="M1345" s="301"/>
      <c r="N1345" s="336"/>
      <c r="O1345" s="301"/>
      <c r="P1345" s="336"/>
      <c r="Q1345" s="301"/>
      <c r="R1345" s="336"/>
      <c r="S1345" s="301"/>
      <c r="T1345" s="336"/>
    </row>
    <row r="1346" spans="1:20" ht="12" customHeight="1" x14ac:dyDescent="0.3">
      <c r="A1346" s="329" t="s">
        <v>287</v>
      </c>
      <c r="B1346" s="330" t="s">
        <v>287</v>
      </c>
      <c r="C1346" s="298">
        <v>46026</v>
      </c>
      <c r="D1346" s="299" t="s">
        <v>300</v>
      </c>
      <c r="E1346" s="331">
        <v>114.91</v>
      </c>
      <c r="F1346" s="331">
        <v>114.91</v>
      </c>
      <c r="G1346" s="333">
        <f t="shared" si="20"/>
        <v>1601.2</v>
      </c>
      <c r="H1346" s="334"/>
      <c r="I1346" s="335"/>
      <c r="J1346" s="336"/>
      <c r="K1346" s="301"/>
      <c r="L1346" s="336"/>
      <c r="M1346" s="301"/>
      <c r="N1346" s="336"/>
      <c r="O1346" s="301"/>
      <c r="P1346" s="336"/>
      <c r="Q1346" s="301"/>
      <c r="R1346" s="336"/>
      <c r="S1346" s="301"/>
      <c r="T1346" s="336"/>
    </row>
    <row r="1347" spans="1:20" ht="12" customHeight="1" x14ac:dyDescent="0.3">
      <c r="A1347" s="329" t="s">
        <v>289</v>
      </c>
      <c r="B1347" s="330">
        <v>5</v>
      </c>
      <c r="C1347" s="298">
        <v>46026</v>
      </c>
      <c r="D1347" s="299" t="s">
        <v>480</v>
      </c>
      <c r="E1347" s="331">
        <v>42.43</v>
      </c>
      <c r="F1347" s="331"/>
      <c r="G1347" s="333">
        <f t="shared" si="20"/>
        <v>1601.2</v>
      </c>
      <c r="H1347" s="334"/>
      <c r="I1347" s="335"/>
      <c r="J1347" s="336"/>
      <c r="K1347" s="301"/>
      <c r="L1347" s="336"/>
      <c r="M1347" s="301"/>
      <c r="N1347" s="336"/>
      <c r="O1347" s="301"/>
      <c r="P1347" s="336"/>
      <c r="Q1347" s="301"/>
      <c r="R1347" s="336"/>
      <c r="S1347" s="301"/>
      <c r="T1347" s="336"/>
    </row>
    <row r="1348" spans="1:20" ht="12" customHeight="1" x14ac:dyDescent="0.3">
      <c r="A1348" s="329" t="s">
        <v>289</v>
      </c>
      <c r="B1348" s="330">
        <v>7</v>
      </c>
      <c r="C1348" s="298">
        <v>46026</v>
      </c>
      <c r="D1348" s="299" t="s">
        <v>300</v>
      </c>
      <c r="E1348" s="331">
        <v>42.59</v>
      </c>
      <c r="F1348" s="331"/>
      <c r="G1348" s="333">
        <f t="shared" si="20"/>
        <v>1643.63</v>
      </c>
      <c r="H1348" s="334"/>
      <c r="I1348" s="335"/>
      <c r="J1348" s="336"/>
      <c r="K1348" s="301"/>
      <c r="L1348" s="336"/>
      <c r="M1348" s="301"/>
      <c r="N1348" s="336"/>
      <c r="O1348" s="301"/>
      <c r="P1348" s="336"/>
      <c r="Q1348" s="301"/>
      <c r="R1348" s="336"/>
      <c r="S1348" s="301"/>
      <c r="T1348" s="336"/>
    </row>
    <row r="1349" spans="1:20" ht="12" customHeight="1" x14ac:dyDescent="0.3">
      <c r="A1349" s="329" t="s">
        <v>289</v>
      </c>
      <c r="B1349" s="330">
        <v>3</v>
      </c>
      <c r="C1349" s="298">
        <v>46025</v>
      </c>
      <c r="D1349" s="299" t="s">
        <v>348</v>
      </c>
      <c r="E1349" s="331">
        <v>14.57</v>
      </c>
      <c r="F1349" s="331"/>
      <c r="G1349" s="333">
        <f t="shared" si="20"/>
        <v>1686.22</v>
      </c>
      <c r="H1349" s="334"/>
      <c r="I1349" s="335"/>
      <c r="J1349" s="336"/>
      <c r="K1349" s="301"/>
      <c r="L1349" s="336"/>
      <c r="M1349" s="301"/>
      <c r="N1349" s="336"/>
      <c r="O1349" s="301"/>
      <c r="P1349" s="336"/>
      <c r="Q1349" s="301"/>
      <c r="R1349" s="336"/>
      <c r="S1349" s="301"/>
      <c r="T1349" s="336"/>
    </row>
    <row r="1350" spans="1:20" ht="12" customHeight="1" x14ac:dyDescent="0.3">
      <c r="A1350" s="329" t="s">
        <v>289</v>
      </c>
      <c r="B1350" s="330">
        <v>2</v>
      </c>
      <c r="C1350" s="298">
        <v>46025</v>
      </c>
      <c r="D1350" s="299" t="s">
        <v>481</v>
      </c>
      <c r="E1350" s="331">
        <v>41.05</v>
      </c>
      <c r="F1350" s="331"/>
      <c r="G1350" s="333">
        <f t="shared" si="20"/>
        <v>1700.79</v>
      </c>
      <c r="H1350" s="334"/>
      <c r="I1350" s="335"/>
      <c r="J1350" s="336"/>
      <c r="K1350" s="301"/>
      <c r="L1350" s="336"/>
      <c r="M1350" s="301"/>
      <c r="N1350" s="336"/>
      <c r="O1350" s="301"/>
      <c r="P1350" s="336"/>
      <c r="Q1350" s="301"/>
      <c r="R1350" s="336"/>
      <c r="S1350" s="301"/>
      <c r="T1350" s="336"/>
    </row>
    <row r="1351" spans="1:20" ht="12" customHeight="1" x14ac:dyDescent="0.3">
      <c r="A1351" s="329" t="s">
        <v>289</v>
      </c>
      <c r="B1351" s="330">
        <v>4</v>
      </c>
      <c r="C1351" s="298">
        <v>46025</v>
      </c>
      <c r="D1351" s="299" t="s">
        <v>310</v>
      </c>
      <c r="E1351" s="331">
        <v>26.88</v>
      </c>
      <c r="F1351" s="331"/>
      <c r="G1351" s="333">
        <f t="shared" si="20"/>
        <v>1741.84</v>
      </c>
      <c r="H1351" s="334"/>
      <c r="I1351" s="335"/>
      <c r="J1351" s="336"/>
      <c r="K1351" s="301"/>
      <c r="L1351" s="336"/>
      <c r="M1351" s="301"/>
      <c r="N1351" s="336"/>
      <c r="O1351" s="301"/>
      <c r="P1351" s="336"/>
      <c r="Q1351" s="301"/>
      <c r="R1351" s="336"/>
      <c r="S1351" s="301"/>
      <c r="T1351" s="336"/>
    </row>
    <row r="1352" spans="1:20" ht="12" customHeight="1" x14ac:dyDescent="0.3">
      <c r="A1352" s="329" t="s">
        <v>289</v>
      </c>
      <c r="B1352" s="330">
        <v>2</v>
      </c>
      <c r="C1352" s="298">
        <v>46025</v>
      </c>
      <c r="D1352" s="299" t="s">
        <v>308</v>
      </c>
      <c r="E1352" s="331">
        <v>130.08000000000001</v>
      </c>
      <c r="F1352" s="331"/>
      <c r="G1352" s="333">
        <f t="shared" si="20"/>
        <v>1768.72</v>
      </c>
      <c r="H1352" s="334"/>
      <c r="I1352" s="335"/>
      <c r="J1352" s="336"/>
      <c r="K1352" s="301"/>
      <c r="L1352" s="336"/>
      <c r="M1352" s="301"/>
      <c r="N1352" s="336"/>
      <c r="O1352" s="301"/>
      <c r="P1352" s="336"/>
      <c r="Q1352" s="301"/>
      <c r="R1352" s="336"/>
      <c r="S1352" s="301"/>
      <c r="T1352" s="336"/>
    </row>
    <row r="1353" spans="1:20" ht="12" customHeight="1" x14ac:dyDescent="0.3">
      <c r="A1353" s="329" t="s">
        <v>289</v>
      </c>
      <c r="B1353" s="330">
        <v>7</v>
      </c>
      <c r="C1353" s="298">
        <v>46025</v>
      </c>
      <c r="D1353" s="299" t="s">
        <v>482</v>
      </c>
      <c r="E1353" s="331">
        <v>222.49</v>
      </c>
      <c r="F1353" s="331"/>
      <c r="G1353" s="333">
        <f t="shared" si="20"/>
        <v>1898.8</v>
      </c>
      <c r="H1353" s="334"/>
      <c r="I1353" s="335"/>
      <c r="J1353" s="336"/>
      <c r="K1353" s="301"/>
      <c r="L1353" s="336"/>
      <c r="M1353" s="301"/>
      <c r="N1353" s="336"/>
      <c r="O1353" s="301"/>
      <c r="P1353" s="336"/>
      <c r="Q1353" s="301"/>
      <c r="R1353" s="336"/>
      <c r="S1353" s="301"/>
      <c r="T1353" s="336"/>
    </row>
    <row r="1354" spans="1:20" ht="12" customHeight="1" x14ac:dyDescent="0.3">
      <c r="A1354" s="329" t="s">
        <v>289</v>
      </c>
      <c r="B1354" s="330">
        <v>7</v>
      </c>
      <c r="C1354" s="298">
        <v>46025</v>
      </c>
      <c r="D1354" s="299" t="s">
        <v>482</v>
      </c>
      <c r="E1354" s="331">
        <v>99.18</v>
      </c>
      <c r="F1354" s="331"/>
      <c r="G1354" s="333">
        <f t="shared" si="20"/>
        <v>2121.29</v>
      </c>
      <c r="H1354" s="334"/>
      <c r="I1354" s="335"/>
      <c r="J1354" s="336"/>
      <c r="K1354" s="301"/>
      <c r="L1354" s="336"/>
      <c r="M1354" s="301"/>
      <c r="N1354" s="336"/>
      <c r="O1354" s="301"/>
      <c r="P1354" s="336"/>
      <c r="Q1354" s="301"/>
      <c r="R1354" s="336"/>
      <c r="S1354" s="301"/>
      <c r="T1354" s="336"/>
    </row>
    <row r="1355" spans="1:20" ht="12" customHeight="1" x14ac:dyDescent="0.3">
      <c r="A1355" s="329" t="s">
        <v>289</v>
      </c>
      <c r="B1355" s="330">
        <v>5</v>
      </c>
      <c r="C1355" s="298">
        <v>46024</v>
      </c>
      <c r="D1355" s="299" t="s">
        <v>483</v>
      </c>
      <c r="E1355" s="331">
        <v>35</v>
      </c>
      <c r="F1355" s="331"/>
      <c r="G1355" s="333">
        <f t="shared" si="20"/>
        <v>2220.4699999999998</v>
      </c>
      <c r="H1355" s="334"/>
      <c r="I1355" s="335"/>
      <c r="J1355" s="336"/>
      <c r="K1355" s="301"/>
      <c r="L1355" s="336"/>
      <c r="M1355" s="301"/>
      <c r="N1355" s="336"/>
      <c r="O1355" s="301"/>
      <c r="P1355" s="336"/>
      <c r="Q1355" s="301"/>
      <c r="R1355" s="336"/>
      <c r="S1355" s="301"/>
      <c r="T1355" s="336"/>
    </row>
    <row r="1356" spans="1:20" ht="12" customHeight="1" x14ac:dyDescent="0.3">
      <c r="A1356" s="329" t="s">
        <v>289</v>
      </c>
      <c r="B1356" s="330">
        <v>3</v>
      </c>
      <c r="C1356" s="298">
        <v>46024</v>
      </c>
      <c r="D1356" s="299" t="s">
        <v>296</v>
      </c>
      <c r="E1356" s="331">
        <v>15.11</v>
      </c>
      <c r="F1356" s="331"/>
      <c r="G1356" s="333">
        <f t="shared" si="20"/>
        <v>2255.4699999999998</v>
      </c>
      <c r="H1356" s="334"/>
      <c r="I1356" s="335"/>
      <c r="J1356" s="336"/>
      <c r="K1356" s="301"/>
      <c r="L1356" s="336"/>
      <c r="M1356" s="301"/>
      <c r="N1356" s="336"/>
      <c r="O1356" s="301"/>
      <c r="P1356" s="336"/>
      <c r="Q1356" s="301"/>
      <c r="R1356" s="336"/>
      <c r="S1356" s="301"/>
      <c r="T1356" s="336"/>
    </row>
    <row r="1357" spans="1:20" ht="12" customHeight="1" x14ac:dyDescent="0.3">
      <c r="A1357" s="329" t="s">
        <v>289</v>
      </c>
      <c r="B1357" s="330">
        <v>5</v>
      </c>
      <c r="C1357" s="298">
        <v>46024</v>
      </c>
      <c r="D1357" s="299" t="s">
        <v>484</v>
      </c>
      <c r="E1357" s="331">
        <v>29.67</v>
      </c>
      <c r="F1357" s="331"/>
      <c r="G1357" s="333">
        <f t="shared" si="20"/>
        <v>2270.58</v>
      </c>
      <c r="H1357" s="334"/>
      <c r="I1357" s="335"/>
      <c r="J1357" s="336"/>
      <c r="K1357" s="301"/>
      <c r="L1357" s="336"/>
      <c r="M1357" s="301"/>
      <c r="N1357" s="336"/>
      <c r="O1357" s="301"/>
      <c r="P1357" s="336"/>
      <c r="Q1357" s="301"/>
      <c r="R1357" s="336"/>
      <c r="S1357" s="301"/>
      <c r="T1357" s="336"/>
    </row>
    <row r="1358" spans="1:20" ht="12" customHeight="1" x14ac:dyDescent="0.3">
      <c r="A1358" s="329" t="s">
        <v>287</v>
      </c>
      <c r="B1358" s="330" t="s">
        <v>287</v>
      </c>
      <c r="C1358" s="298">
        <v>46024</v>
      </c>
      <c r="D1358" s="299" t="s">
        <v>397</v>
      </c>
      <c r="E1358" s="331">
        <v>70.56</v>
      </c>
      <c r="F1358" s="331">
        <v>70.56</v>
      </c>
      <c r="G1358" s="333">
        <f t="shared" si="20"/>
        <v>2300.25</v>
      </c>
      <c r="H1358" s="334"/>
      <c r="I1358" s="335"/>
      <c r="J1358" s="336"/>
      <c r="K1358" s="301"/>
      <c r="L1358" s="336"/>
      <c r="M1358" s="301"/>
      <c r="N1358" s="336"/>
      <c r="O1358" s="301"/>
      <c r="P1358" s="336"/>
      <c r="Q1358" s="301"/>
      <c r="R1358" s="336"/>
      <c r="S1358" s="301"/>
      <c r="T1358" s="336"/>
    </row>
    <row r="1359" spans="1:20" ht="12" customHeight="1" x14ac:dyDescent="0.3">
      <c r="A1359" s="329" t="s">
        <v>287</v>
      </c>
      <c r="B1359" s="330" t="s">
        <v>287</v>
      </c>
      <c r="C1359" s="298">
        <v>46024</v>
      </c>
      <c r="D1359" s="299" t="s">
        <v>485</v>
      </c>
      <c r="E1359" s="331">
        <v>113.94</v>
      </c>
      <c r="F1359" s="331">
        <v>113.94</v>
      </c>
      <c r="G1359" s="333">
        <f t="shared" si="20"/>
        <v>2300.25</v>
      </c>
      <c r="H1359" s="334"/>
      <c r="I1359" s="335"/>
      <c r="J1359" s="336"/>
      <c r="K1359" s="301"/>
      <c r="L1359" s="336"/>
      <c r="M1359" s="301"/>
      <c r="N1359" s="336"/>
      <c r="O1359" s="301"/>
      <c r="P1359" s="336"/>
      <c r="Q1359" s="301"/>
      <c r="R1359" s="336"/>
      <c r="S1359" s="301"/>
      <c r="T1359" s="336"/>
    </row>
    <row r="1360" spans="1:20" ht="12" customHeight="1" x14ac:dyDescent="0.3">
      <c r="A1360" s="329" t="s">
        <v>289</v>
      </c>
      <c r="B1360" s="330">
        <v>2</v>
      </c>
      <c r="C1360" s="298">
        <v>46024</v>
      </c>
      <c r="D1360" s="299" t="s">
        <v>371</v>
      </c>
      <c r="E1360" s="331">
        <v>11.9</v>
      </c>
      <c r="F1360" s="331"/>
      <c r="G1360" s="333">
        <f t="shared" si="20"/>
        <v>2300.25</v>
      </c>
      <c r="H1360" s="334"/>
      <c r="I1360" s="335"/>
      <c r="J1360" s="336"/>
      <c r="K1360" s="301"/>
      <c r="L1360" s="336"/>
      <c r="M1360" s="301"/>
      <c r="N1360" s="336"/>
      <c r="O1360" s="301"/>
      <c r="P1360" s="336"/>
      <c r="Q1360" s="301"/>
      <c r="R1360" s="336"/>
      <c r="S1360" s="301"/>
      <c r="T1360" s="336"/>
    </row>
    <row r="1361" spans="1:20" ht="12" customHeight="1" x14ac:dyDescent="0.3">
      <c r="A1361" s="329" t="s">
        <v>289</v>
      </c>
      <c r="B1361" s="330">
        <v>2</v>
      </c>
      <c r="C1361" s="298">
        <v>46024</v>
      </c>
      <c r="D1361" s="299" t="s">
        <v>408</v>
      </c>
      <c r="E1361" s="331">
        <v>23.9</v>
      </c>
      <c r="F1361" s="331"/>
      <c r="G1361" s="333">
        <f t="shared" si="20"/>
        <v>2312.15</v>
      </c>
      <c r="H1361" s="334"/>
      <c r="I1361" s="335"/>
      <c r="J1361" s="336"/>
      <c r="K1361" s="301"/>
      <c r="L1361" s="336"/>
      <c r="M1361" s="301"/>
      <c r="N1361" s="336"/>
      <c r="O1361" s="301"/>
      <c r="P1361" s="336"/>
      <c r="Q1361" s="301"/>
      <c r="R1361" s="336"/>
      <c r="S1361" s="301"/>
      <c r="T1361" s="336"/>
    </row>
    <row r="1362" spans="1:20" ht="12" customHeight="1" x14ac:dyDescent="0.3">
      <c r="A1362" s="329" t="s">
        <v>289</v>
      </c>
      <c r="B1362" s="330">
        <v>5</v>
      </c>
      <c r="C1362" s="298">
        <v>46024</v>
      </c>
      <c r="D1362" s="299" t="s">
        <v>486</v>
      </c>
      <c r="E1362" s="331">
        <v>160</v>
      </c>
      <c r="F1362" s="331"/>
      <c r="G1362" s="333">
        <f t="shared" si="20"/>
        <v>2336.0500000000002</v>
      </c>
      <c r="H1362" s="334"/>
      <c r="I1362" s="335"/>
      <c r="J1362" s="336"/>
      <c r="K1362" s="301"/>
      <c r="L1362" s="336"/>
      <c r="M1362" s="301"/>
      <c r="N1362" s="336"/>
      <c r="O1362" s="301"/>
      <c r="P1362" s="336"/>
      <c r="Q1362" s="301"/>
      <c r="R1362" s="336"/>
      <c r="S1362" s="301"/>
      <c r="T1362" s="336"/>
    </row>
    <row r="1363" spans="1:20" ht="12" customHeight="1" x14ac:dyDescent="0.3">
      <c r="A1363" s="329" t="s">
        <v>284</v>
      </c>
      <c r="B1363" s="330">
        <v>36</v>
      </c>
      <c r="C1363" s="298">
        <v>46024</v>
      </c>
      <c r="D1363" s="299" t="s">
        <v>374</v>
      </c>
      <c r="E1363" s="331">
        <v>50</v>
      </c>
      <c r="F1363" s="331"/>
      <c r="G1363" s="333">
        <f t="shared" si="20"/>
        <v>2496.0500000000002</v>
      </c>
      <c r="H1363" s="334"/>
      <c r="I1363" s="335"/>
      <c r="J1363" s="336"/>
      <c r="K1363" s="301"/>
      <c r="L1363" s="336"/>
      <c r="M1363" s="301"/>
      <c r="N1363" s="336"/>
      <c r="O1363" s="301"/>
      <c r="P1363" s="336"/>
      <c r="Q1363" s="301"/>
      <c r="R1363" s="336"/>
      <c r="S1363" s="301"/>
      <c r="T1363" s="336"/>
    </row>
    <row r="1364" spans="1:20" ht="12" customHeight="1" x14ac:dyDescent="0.3">
      <c r="A1364" s="329" t="s">
        <v>289</v>
      </c>
      <c r="B1364" s="330">
        <v>6</v>
      </c>
      <c r="C1364" s="298">
        <v>46023</v>
      </c>
      <c r="D1364" s="299" t="s">
        <v>312</v>
      </c>
      <c r="E1364" s="331">
        <v>8</v>
      </c>
      <c r="F1364" s="331"/>
      <c r="G1364" s="333">
        <f t="shared" si="20"/>
        <v>2546.0500000000002</v>
      </c>
      <c r="H1364" s="334"/>
      <c r="I1364" s="335"/>
      <c r="J1364" s="336"/>
      <c r="K1364" s="301"/>
      <c r="L1364" s="336"/>
      <c r="M1364" s="301"/>
      <c r="N1364" s="336"/>
      <c r="O1364" s="301"/>
      <c r="P1364" s="336"/>
      <c r="Q1364" s="301"/>
      <c r="R1364" s="336"/>
      <c r="S1364" s="301"/>
      <c r="T1364" s="336"/>
    </row>
    <row r="1365" spans="1:20" ht="12" customHeight="1" x14ac:dyDescent="0.3">
      <c r="A1365" s="329" t="s">
        <v>289</v>
      </c>
      <c r="B1365" s="330">
        <v>2</v>
      </c>
      <c r="C1365" s="298">
        <v>46023</v>
      </c>
      <c r="D1365" s="299" t="s">
        <v>371</v>
      </c>
      <c r="E1365" s="331">
        <v>13.06</v>
      </c>
      <c r="F1365" s="331"/>
      <c r="G1365" s="333">
        <f t="shared" si="20"/>
        <v>2554.0500000000002</v>
      </c>
      <c r="H1365" s="334"/>
      <c r="I1365" s="335"/>
      <c r="J1365" s="336"/>
      <c r="K1365" s="301"/>
      <c r="L1365" s="336"/>
      <c r="M1365" s="301"/>
      <c r="N1365" s="336"/>
      <c r="O1365" s="301"/>
      <c r="P1365" s="336"/>
      <c r="Q1365" s="301"/>
      <c r="R1365" s="336"/>
      <c r="S1365" s="301"/>
      <c r="T1365" s="336"/>
    </row>
    <row r="1366" spans="1:20" ht="12" customHeight="1" x14ac:dyDescent="0.3">
      <c r="A1366" s="329" t="s">
        <v>294</v>
      </c>
      <c r="B1366" s="330">
        <v>22</v>
      </c>
      <c r="C1366" s="298">
        <v>46023</v>
      </c>
      <c r="D1366" s="299" t="s">
        <v>375</v>
      </c>
      <c r="E1366" s="331">
        <v>6.37</v>
      </c>
      <c r="F1366" s="331"/>
      <c r="G1366" s="333">
        <f t="shared" si="20"/>
        <v>2567.11</v>
      </c>
      <c r="H1366" s="334"/>
      <c r="I1366" s="335"/>
      <c r="J1366" s="336"/>
      <c r="K1366" s="301"/>
      <c r="L1366" s="336"/>
      <c r="M1366" s="301"/>
      <c r="N1366" s="336"/>
      <c r="O1366" s="301"/>
      <c r="P1366" s="336"/>
      <c r="Q1366" s="301"/>
      <c r="R1366" s="336"/>
      <c r="S1366" s="301"/>
      <c r="T1366" s="336"/>
    </row>
    <row r="1367" spans="1:20" ht="12" customHeight="1" x14ac:dyDescent="0.3">
      <c r="A1367" s="329" t="s">
        <v>289</v>
      </c>
      <c r="B1367" s="330">
        <v>2</v>
      </c>
      <c r="C1367" s="298">
        <v>46023</v>
      </c>
      <c r="D1367" s="299" t="s">
        <v>358</v>
      </c>
      <c r="E1367" s="331">
        <v>10.27</v>
      </c>
      <c r="F1367" s="331"/>
      <c r="G1367" s="333">
        <f t="shared" si="20"/>
        <v>2573.48</v>
      </c>
      <c r="H1367" s="334"/>
      <c r="I1367" s="335"/>
      <c r="J1367" s="336"/>
      <c r="K1367" s="301"/>
      <c r="L1367" s="336"/>
      <c r="M1367" s="301"/>
      <c r="N1367" s="336"/>
      <c r="O1367" s="301"/>
      <c r="P1367" s="336"/>
      <c r="Q1367" s="301"/>
      <c r="R1367" s="336"/>
      <c r="S1367" s="301"/>
      <c r="T1367" s="336"/>
    </row>
    <row r="1368" spans="1:20" ht="12" customHeight="1" x14ac:dyDescent="0.3">
      <c r="A1368" s="329" t="s">
        <v>289</v>
      </c>
      <c r="B1368" s="330">
        <v>6</v>
      </c>
      <c r="C1368" s="298">
        <v>46023</v>
      </c>
      <c r="D1368" s="299" t="s">
        <v>487</v>
      </c>
      <c r="E1368" s="331">
        <v>176.57</v>
      </c>
      <c r="F1368" s="331"/>
      <c r="G1368" s="333">
        <f t="shared" si="20"/>
        <v>2583.75</v>
      </c>
      <c r="H1368" s="334"/>
      <c r="I1368" s="335"/>
      <c r="J1368" s="336"/>
      <c r="K1368" s="301"/>
      <c r="L1368" s="336"/>
      <c r="M1368" s="301"/>
      <c r="N1368" s="336"/>
      <c r="O1368" s="301"/>
      <c r="P1368" s="336"/>
      <c r="Q1368" s="301"/>
      <c r="R1368" s="336"/>
      <c r="S1368" s="301"/>
      <c r="T1368" s="336"/>
    </row>
    <row r="1369" spans="1:20" ht="12" customHeight="1" x14ac:dyDescent="0.3">
      <c r="A1369" s="329" t="s">
        <v>287</v>
      </c>
      <c r="B1369" s="330" t="s">
        <v>287</v>
      </c>
      <c r="C1369" s="298">
        <v>46023</v>
      </c>
      <c r="D1369" s="299" t="s">
        <v>300</v>
      </c>
      <c r="E1369" s="331">
        <v>383.39</v>
      </c>
      <c r="F1369" s="331">
        <v>383.39</v>
      </c>
      <c r="G1369" s="333">
        <f t="shared" si="20"/>
        <v>2760.32</v>
      </c>
      <c r="H1369" s="334"/>
      <c r="I1369" s="335"/>
      <c r="J1369" s="336"/>
      <c r="K1369" s="301"/>
      <c r="L1369" s="336"/>
      <c r="M1369" s="301"/>
      <c r="N1369" s="336"/>
      <c r="O1369" s="301"/>
      <c r="P1369" s="336"/>
      <c r="Q1369" s="301"/>
      <c r="R1369" s="336"/>
      <c r="S1369" s="301"/>
      <c r="T1369" s="336"/>
    </row>
    <row r="1370" spans="1:20" ht="12" customHeight="1" x14ac:dyDescent="0.3">
      <c r="A1370" s="329" t="s">
        <v>287</v>
      </c>
      <c r="B1370" s="330" t="s">
        <v>287</v>
      </c>
      <c r="C1370" s="298">
        <v>46023</v>
      </c>
      <c r="D1370" s="299" t="s">
        <v>300</v>
      </c>
      <c r="E1370" s="331">
        <v>53.24</v>
      </c>
      <c r="F1370" s="331">
        <v>53.24</v>
      </c>
      <c r="G1370" s="333">
        <f t="shared" si="20"/>
        <v>2760.32</v>
      </c>
      <c r="H1370" s="334"/>
      <c r="I1370" s="335"/>
      <c r="J1370" s="336"/>
      <c r="K1370" s="301"/>
      <c r="L1370" s="336"/>
      <c r="M1370" s="301"/>
      <c r="N1370" s="336"/>
      <c r="O1370" s="301"/>
      <c r="P1370" s="336"/>
      <c r="Q1370" s="301"/>
      <c r="R1370" s="336"/>
      <c r="S1370" s="301"/>
      <c r="T1370" s="336"/>
    </row>
    <row r="1371" spans="1:20" ht="12" customHeight="1" x14ac:dyDescent="0.3">
      <c r="A1371" s="329" t="s">
        <v>335</v>
      </c>
      <c r="B1371" s="330" t="s">
        <v>335</v>
      </c>
      <c r="C1371" s="298">
        <v>46023</v>
      </c>
      <c r="D1371" s="337" t="s">
        <v>460</v>
      </c>
      <c r="E1371" s="331">
        <v>239.68</v>
      </c>
      <c r="F1371" s="331"/>
      <c r="G1371" s="333">
        <f t="shared" si="20"/>
        <v>2760.32</v>
      </c>
      <c r="H1371" s="334"/>
      <c r="I1371" s="335"/>
      <c r="J1371" s="336"/>
      <c r="K1371" s="301"/>
      <c r="L1371" s="336"/>
      <c r="M1371" s="301"/>
      <c r="N1371" s="336"/>
      <c r="O1371" s="301"/>
      <c r="P1371" s="336"/>
      <c r="Q1371" s="301"/>
      <c r="R1371" s="336"/>
      <c r="S1371" s="301"/>
      <c r="T1371" s="336"/>
    </row>
    <row r="1372" spans="1:20" ht="12" customHeight="1" x14ac:dyDescent="0.3">
      <c r="A1372" s="329" t="s">
        <v>488</v>
      </c>
      <c r="B1372" s="330" t="s">
        <v>488</v>
      </c>
      <c r="C1372" s="298">
        <v>45658</v>
      </c>
      <c r="D1372" s="298" t="s">
        <v>489</v>
      </c>
      <c r="E1372" s="332"/>
      <c r="F1372" s="332"/>
      <c r="G1372" s="333">
        <v>3000</v>
      </c>
      <c r="H1372" s="334"/>
      <c r="I1372" s="335"/>
      <c r="J1372" s="336"/>
      <c r="K1372" s="301"/>
      <c r="L1372" s="336"/>
      <c r="M1372" s="301"/>
      <c r="N1372" s="336"/>
      <c r="O1372" s="301"/>
      <c r="P1372" s="336"/>
      <c r="Q1372" s="301"/>
      <c r="R1372" s="336"/>
      <c r="S1372" s="301"/>
      <c r="T1372" s="336"/>
    </row>
    <row r="1373" spans="1:20" ht="15.75" customHeight="1" x14ac:dyDescent="0.3"/>
    <row r="1374" spans="1:20" ht="15.75" customHeight="1" x14ac:dyDescent="0.3"/>
    <row r="1375" spans="1:20" ht="15.75" customHeight="1" x14ac:dyDescent="0.3"/>
    <row r="1376" spans="1:20" ht="15.75" customHeight="1" x14ac:dyDescent="0.3"/>
    <row r="1377" ht="15.75" customHeight="1" x14ac:dyDescent="0.3"/>
    <row r="1378" ht="15.75" customHeight="1" x14ac:dyDescent="0.3"/>
    <row r="1379" ht="15.75" customHeight="1" x14ac:dyDescent="0.3"/>
    <row r="1380" ht="15.75" customHeight="1" x14ac:dyDescent="0.3"/>
    <row r="1381" ht="15.75" customHeight="1" x14ac:dyDescent="0.3"/>
    <row r="1382" ht="15.75" customHeight="1" x14ac:dyDescent="0.3"/>
    <row r="1383" ht="15.75" customHeight="1" x14ac:dyDescent="0.3"/>
    <row r="1384" ht="15.75" customHeight="1" x14ac:dyDescent="0.3"/>
    <row r="1385" ht="15.75" customHeight="1" x14ac:dyDescent="0.3"/>
    <row r="1386" ht="15.75" customHeight="1" x14ac:dyDescent="0.3"/>
    <row r="1387" ht="15.75" customHeight="1" x14ac:dyDescent="0.3"/>
    <row r="1388" ht="15.75" customHeight="1" x14ac:dyDescent="0.3"/>
    <row r="1389" ht="15.75" customHeight="1" x14ac:dyDescent="0.3"/>
    <row r="1390" ht="15.75" customHeight="1" x14ac:dyDescent="0.3"/>
    <row r="1391" ht="15.75" customHeight="1" x14ac:dyDescent="0.3"/>
    <row r="1392" ht="15.75" customHeight="1" x14ac:dyDescent="0.3"/>
    <row r="1393" ht="15.75" customHeight="1" x14ac:dyDescent="0.3"/>
    <row r="1394" ht="15.75" customHeight="1" x14ac:dyDescent="0.3"/>
    <row r="1395" ht="15.75" customHeight="1" x14ac:dyDescent="0.3"/>
    <row r="1396" ht="15.75" customHeight="1" x14ac:dyDescent="0.3"/>
    <row r="1397" ht="15.75" customHeight="1" x14ac:dyDescent="0.3"/>
    <row r="1398" ht="15.75" customHeight="1" x14ac:dyDescent="0.3"/>
    <row r="1399" ht="15.75" customHeight="1" x14ac:dyDescent="0.3"/>
    <row r="1400" ht="15.75" customHeight="1" x14ac:dyDescent="0.3"/>
    <row r="1401" ht="15.75" customHeight="1" x14ac:dyDescent="0.3"/>
    <row r="1402" ht="15.75" customHeight="1" x14ac:dyDescent="0.3"/>
    <row r="1403" ht="15.75" customHeight="1" x14ac:dyDescent="0.3"/>
    <row r="1404" ht="15.75" customHeight="1" x14ac:dyDescent="0.3"/>
    <row r="1405" ht="15.75" customHeight="1" x14ac:dyDescent="0.3"/>
    <row r="1406" ht="15.75" customHeight="1" x14ac:dyDescent="0.3"/>
    <row r="1407" ht="15.75" customHeight="1" x14ac:dyDescent="0.3"/>
    <row r="1408" ht="15.75" customHeight="1" x14ac:dyDescent="0.3"/>
    <row r="1409" ht="15.75" customHeight="1" x14ac:dyDescent="0.3"/>
    <row r="1410" ht="15.75" customHeight="1" x14ac:dyDescent="0.3"/>
    <row r="1411" ht="15.75" customHeight="1" x14ac:dyDescent="0.3"/>
    <row r="1412" ht="15.75" customHeight="1" x14ac:dyDescent="0.3"/>
    <row r="1413" ht="15.75" customHeight="1" x14ac:dyDescent="0.3"/>
    <row r="1414" ht="15.75" customHeight="1" x14ac:dyDescent="0.3"/>
    <row r="1415" ht="15.75" customHeight="1" x14ac:dyDescent="0.3"/>
    <row r="1416" ht="15.75" customHeight="1" x14ac:dyDescent="0.3"/>
    <row r="1417" ht="15.75" customHeight="1" x14ac:dyDescent="0.3"/>
    <row r="1418" ht="15.75" customHeight="1" x14ac:dyDescent="0.3"/>
    <row r="1419" ht="15.75" customHeight="1" x14ac:dyDescent="0.3"/>
    <row r="1420" ht="15.75" customHeight="1" x14ac:dyDescent="0.3"/>
    <row r="1421" ht="15.75" customHeight="1" x14ac:dyDescent="0.3"/>
    <row r="1422" ht="15.75" customHeight="1" x14ac:dyDescent="0.3"/>
    <row r="1423" ht="15.75" customHeight="1" x14ac:dyDescent="0.3"/>
    <row r="1424" ht="15.75" customHeight="1" x14ac:dyDescent="0.3"/>
    <row r="1425" ht="15.75" customHeight="1" x14ac:dyDescent="0.3"/>
    <row r="1426" ht="15.75" customHeight="1" x14ac:dyDescent="0.3"/>
    <row r="1427" ht="15.75" customHeight="1" x14ac:dyDescent="0.3"/>
    <row r="1428" ht="15.75" customHeight="1" x14ac:dyDescent="0.3"/>
    <row r="1429" ht="15.75" customHeight="1" x14ac:dyDescent="0.3"/>
    <row r="1430" ht="15.75" customHeight="1" x14ac:dyDescent="0.3"/>
    <row r="1431" ht="15.75" customHeight="1" x14ac:dyDescent="0.3"/>
    <row r="1432" ht="15.75" customHeight="1" x14ac:dyDescent="0.3"/>
    <row r="1433" ht="15.75" customHeight="1" x14ac:dyDescent="0.3"/>
    <row r="1434" ht="15.75" customHeight="1" x14ac:dyDescent="0.3"/>
    <row r="1435" ht="15.75" customHeight="1" x14ac:dyDescent="0.3"/>
    <row r="1436" ht="15.75" customHeight="1" x14ac:dyDescent="0.3"/>
    <row r="1437" ht="15.75" customHeight="1" x14ac:dyDescent="0.3"/>
    <row r="1438" ht="15.75" customHeight="1" x14ac:dyDescent="0.3"/>
    <row r="1439" ht="15.75" customHeight="1" x14ac:dyDescent="0.3"/>
    <row r="1440" ht="15.75" customHeight="1" x14ac:dyDescent="0.3"/>
    <row r="1441" ht="15.75" customHeight="1" x14ac:dyDescent="0.3"/>
    <row r="1442" ht="15.75" customHeight="1" x14ac:dyDescent="0.3"/>
    <row r="1443" ht="15.75" customHeight="1" x14ac:dyDescent="0.3"/>
    <row r="1444" ht="15.75" customHeight="1" x14ac:dyDescent="0.3"/>
    <row r="1445" ht="15.75" customHeight="1" x14ac:dyDescent="0.3"/>
    <row r="1446" ht="15.75" customHeight="1" x14ac:dyDescent="0.3"/>
    <row r="1447" ht="15.75" customHeight="1" x14ac:dyDescent="0.3"/>
    <row r="1448" ht="15.75" customHeight="1" x14ac:dyDescent="0.3"/>
    <row r="1449" ht="15.75" customHeight="1" x14ac:dyDescent="0.3"/>
    <row r="1450" ht="15.75" customHeight="1" x14ac:dyDescent="0.3"/>
    <row r="1451" ht="15.75" customHeight="1" x14ac:dyDescent="0.3"/>
    <row r="1452" ht="15.75" customHeight="1" x14ac:dyDescent="0.3"/>
    <row r="1453" ht="15.75" customHeight="1" x14ac:dyDescent="0.3"/>
    <row r="1454" ht="15.75" customHeight="1" x14ac:dyDescent="0.3"/>
    <row r="1455" ht="15.75" customHeight="1" x14ac:dyDescent="0.3"/>
    <row r="1456" ht="15.75" customHeight="1" x14ac:dyDescent="0.3"/>
    <row r="1457" ht="15.75" customHeight="1" x14ac:dyDescent="0.3"/>
    <row r="1458" ht="15.75" customHeight="1" x14ac:dyDescent="0.3"/>
    <row r="1459" ht="15.75" customHeight="1" x14ac:dyDescent="0.3"/>
    <row r="1460" ht="15.75" customHeight="1" x14ac:dyDescent="0.3"/>
    <row r="1461" ht="15.75" customHeight="1" x14ac:dyDescent="0.3"/>
    <row r="1462" ht="15.75" customHeight="1" x14ac:dyDescent="0.3"/>
    <row r="1463" ht="15.75" customHeight="1" x14ac:dyDescent="0.3"/>
    <row r="1464" ht="15.75" customHeight="1" x14ac:dyDescent="0.3"/>
    <row r="1465" ht="15.75" customHeight="1" x14ac:dyDescent="0.3"/>
    <row r="1466" ht="15.75" customHeight="1" x14ac:dyDescent="0.3"/>
    <row r="1467" ht="15.75" customHeight="1" x14ac:dyDescent="0.3"/>
    <row r="1468" ht="15.75" customHeight="1" x14ac:dyDescent="0.3"/>
    <row r="1469" ht="15.75" customHeight="1" x14ac:dyDescent="0.3"/>
    <row r="1470" ht="15.75" customHeight="1" x14ac:dyDescent="0.3"/>
    <row r="1471" ht="15.75" customHeight="1" x14ac:dyDescent="0.3"/>
    <row r="1472" ht="15.75" customHeight="1" x14ac:dyDescent="0.3"/>
    <row r="1473" ht="15.75" customHeight="1" x14ac:dyDescent="0.3"/>
    <row r="1474" ht="15.75" customHeight="1" x14ac:dyDescent="0.3"/>
    <row r="1475" ht="15.75" customHeight="1" x14ac:dyDescent="0.3"/>
    <row r="1476" ht="15.75" customHeight="1" x14ac:dyDescent="0.3"/>
    <row r="1477" ht="15.75" customHeight="1" x14ac:dyDescent="0.3"/>
    <row r="1478" ht="15.75" customHeight="1" x14ac:dyDescent="0.3"/>
    <row r="1479" ht="15.75" customHeight="1" x14ac:dyDescent="0.3"/>
    <row r="1480" ht="15.75" customHeight="1" x14ac:dyDescent="0.3"/>
    <row r="1481" ht="15.75" customHeight="1" x14ac:dyDescent="0.3"/>
    <row r="1482" ht="15.75" customHeight="1" x14ac:dyDescent="0.3"/>
    <row r="1483" ht="15.75" customHeight="1" x14ac:dyDescent="0.3"/>
    <row r="1484" ht="15.75" customHeight="1" x14ac:dyDescent="0.3"/>
    <row r="1485" ht="15.75" customHeight="1" x14ac:dyDescent="0.3"/>
    <row r="1486" ht="15.75" customHeight="1" x14ac:dyDescent="0.3"/>
    <row r="1487" ht="15.75" customHeight="1" x14ac:dyDescent="0.3"/>
    <row r="1488" ht="15.75" customHeight="1" x14ac:dyDescent="0.3"/>
    <row r="1489" ht="15.75" customHeight="1" x14ac:dyDescent="0.3"/>
    <row r="1490" ht="15.75" customHeight="1" x14ac:dyDescent="0.3"/>
    <row r="1491" ht="15.75" customHeight="1" x14ac:dyDescent="0.3"/>
    <row r="1492" ht="15.75" customHeight="1" x14ac:dyDescent="0.3"/>
    <row r="1493" ht="15.75" customHeight="1" x14ac:dyDescent="0.3"/>
    <row r="1494" ht="15.75" customHeight="1" x14ac:dyDescent="0.3"/>
    <row r="1495" ht="15.75" customHeight="1" x14ac:dyDescent="0.3"/>
    <row r="1496" ht="15.75" customHeight="1" x14ac:dyDescent="0.3"/>
    <row r="1497" ht="15.75" customHeight="1" x14ac:dyDescent="0.3"/>
    <row r="1498" ht="15.75" customHeight="1" x14ac:dyDescent="0.3"/>
    <row r="1499" ht="15.75" customHeight="1" x14ac:dyDescent="0.3"/>
    <row r="1500" ht="15.75" customHeight="1" x14ac:dyDescent="0.3"/>
    <row r="1501" ht="15.75" customHeight="1" x14ac:dyDescent="0.3"/>
    <row r="1502" ht="15.75" customHeight="1" x14ac:dyDescent="0.3"/>
    <row r="1503" ht="15.75" customHeight="1" x14ac:dyDescent="0.3"/>
    <row r="1504" ht="15.75" customHeight="1" x14ac:dyDescent="0.3"/>
    <row r="1505" ht="15.75" customHeight="1" x14ac:dyDescent="0.3"/>
    <row r="1506" ht="15.75" customHeight="1" x14ac:dyDescent="0.3"/>
    <row r="1507" ht="15.75" customHeight="1" x14ac:dyDescent="0.3"/>
    <row r="1508" ht="15.75" customHeight="1" x14ac:dyDescent="0.3"/>
    <row r="1509" ht="15.75" customHeight="1" x14ac:dyDescent="0.3"/>
    <row r="1510" ht="15.75" customHeight="1" x14ac:dyDescent="0.3"/>
    <row r="1511" ht="15.75" customHeight="1" x14ac:dyDescent="0.3"/>
    <row r="1512" ht="15.75" customHeight="1" x14ac:dyDescent="0.3"/>
    <row r="1513" ht="15.75" customHeight="1" x14ac:dyDescent="0.3"/>
    <row r="1514" ht="15.75" customHeight="1" x14ac:dyDescent="0.3"/>
    <row r="1515" ht="15.75" customHeight="1" x14ac:dyDescent="0.3"/>
    <row r="1516" ht="15.75" customHeight="1" x14ac:dyDescent="0.3"/>
    <row r="1517" ht="15.75" customHeight="1" x14ac:dyDescent="0.3"/>
    <row r="1518" ht="15.75" customHeight="1" x14ac:dyDescent="0.3"/>
    <row r="1519" ht="15.75" customHeight="1" x14ac:dyDescent="0.3"/>
    <row r="1520" ht="15.75" customHeight="1" x14ac:dyDescent="0.3"/>
    <row r="1521" ht="15.75" customHeight="1" x14ac:dyDescent="0.3"/>
    <row r="1522" ht="15.75" customHeight="1" x14ac:dyDescent="0.3"/>
    <row r="1523" ht="15.75" customHeight="1" x14ac:dyDescent="0.3"/>
    <row r="1524" ht="15.75" customHeight="1" x14ac:dyDescent="0.3"/>
    <row r="1525" ht="15.75" customHeight="1" x14ac:dyDescent="0.3"/>
    <row r="1526" ht="15.75" customHeight="1" x14ac:dyDescent="0.3"/>
    <row r="1527" ht="15.75" customHeight="1" x14ac:dyDescent="0.3"/>
    <row r="1528" ht="15.75" customHeight="1" x14ac:dyDescent="0.3"/>
    <row r="1529" ht="15.75" customHeight="1" x14ac:dyDescent="0.3"/>
    <row r="1530" ht="15.75" customHeight="1" x14ac:dyDescent="0.3"/>
    <row r="1531" ht="15.75" customHeight="1" x14ac:dyDescent="0.3"/>
    <row r="1532" ht="15.75" customHeight="1" x14ac:dyDescent="0.3"/>
    <row r="1533" ht="15.75" customHeight="1" x14ac:dyDescent="0.3"/>
    <row r="1534" ht="15.75" customHeight="1" x14ac:dyDescent="0.3"/>
    <row r="1535" ht="15.75" customHeight="1" x14ac:dyDescent="0.3"/>
    <row r="1536" ht="15.75" customHeight="1" x14ac:dyDescent="0.3"/>
    <row r="1537" ht="15.75" customHeight="1" x14ac:dyDescent="0.3"/>
    <row r="1538" ht="15.75" customHeight="1" x14ac:dyDescent="0.3"/>
    <row r="1539" ht="15.75" customHeight="1" x14ac:dyDescent="0.3"/>
    <row r="1540" ht="15.75" customHeight="1" x14ac:dyDescent="0.3"/>
    <row r="1541" ht="15.75" customHeight="1" x14ac:dyDescent="0.3"/>
    <row r="1542" ht="15.75" customHeight="1" x14ac:dyDescent="0.3"/>
    <row r="1543" ht="15.75" customHeight="1" x14ac:dyDescent="0.3"/>
    <row r="1544" ht="15.75" customHeight="1" x14ac:dyDescent="0.3"/>
    <row r="1545" ht="15.75" customHeight="1" x14ac:dyDescent="0.3"/>
    <row r="1546" ht="15.75" customHeight="1" x14ac:dyDescent="0.3"/>
    <row r="1547" ht="15.75" customHeight="1" x14ac:dyDescent="0.3"/>
    <row r="1548" ht="15.75" customHeight="1" x14ac:dyDescent="0.3"/>
    <row r="1549" ht="15.75" customHeight="1" x14ac:dyDescent="0.3"/>
    <row r="1550" ht="15.75" customHeight="1" x14ac:dyDescent="0.3"/>
    <row r="1551" ht="15.75" customHeight="1" x14ac:dyDescent="0.3"/>
    <row r="1552" ht="15.75" customHeight="1" x14ac:dyDescent="0.3"/>
    <row r="1553" ht="15.75" customHeight="1" x14ac:dyDescent="0.3"/>
    <row r="1554" ht="15.75" customHeight="1" x14ac:dyDescent="0.3"/>
    <row r="1555" ht="15.75" customHeight="1" x14ac:dyDescent="0.3"/>
    <row r="1556" ht="15.75" customHeight="1" x14ac:dyDescent="0.3"/>
    <row r="1557" ht="15.75" customHeight="1" x14ac:dyDescent="0.3"/>
    <row r="1558" ht="15.75" customHeight="1" x14ac:dyDescent="0.3"/>
    <row r="1559" ht="15.75" customHeight="1" x14ac:dyDescent="0.3"/>
    <row r="1560" ht="15.75" customHeight="1" x14ac:dyDescent="0.3"/>
    <row r="1561" ht="15.75" customHeight="1" x14ac:dyDescent="0.3"/>
    <row r="1562" ht="15.75" customHeight="1" x14ac:dyDescent="0.3"/>
    <row r="1563" ht="15.75" customHeight="1" x14ac:dyDescent="0.3"/>
    <row r="1564" ht="15.75" customHeight="1" x14ac:dyDescent="0.3"/>
    <row r="1565" ht="15.75" customHeight="1" x14ac:dyDescent="0.3"/>
    <row r="1566" ht="15.75" customHeight="1" x14ac:dyDescent="0.3"/>
    <row r="1567" ht="15.75" customHeight="1" x14ac:dyDescent="0.3"/>
    <row r="1568" ht="15.75" customHeight="1" x14ac:dyDescent="0.3"/>
    <row r="1569" ht="15.75" customHeight="1" x14ac:dyDescent="0.3"/>
    <row r="1570" ht="15.75" customHeight="1" x14ac:dyDescent="0.3"/>
    <row r="1571" ht="15.75" customHeight="1" x14ac:dyDescent="0.3"/>
    <row r="1572" ht="15.75" customHeight="1" x14ac:dyDescent="0.3"/>
    <row r="1573" ht="15.75" customHeight="1" x14ac:dyDescent="0.3"/>
    <row r="1574" ht="15.75" customHeight="1" x14ac:dyDescent="0.3"/>
    <row r="1575" ht="15.75" customHeight="1" x14ac:dyDescent="0.3"/>
    <row r="1576" ht="15.75" customHeight="1" x14ac:dyDescent="0.3"/>
    <row r="1577" ht="15.75" customHeight="1" x14ac:dyDescent="0.3"/>
    <row r="1578" ht="15.75" customHeight="1" x14ac:dyDescent="0.3"/>
    <row r="1579" ht="15.75" customHeight="1" x14ac:dyDescent="0.3"/>
    <row r="1580" ht="15.75" customHeight="1" x14ac:dyDescent="0.3"/>
    <row r="1581" ht="15.75" customHeight="1" x14ac:dyDescent="0.3"/>
    <row r="1582" ht="15.75" customHeight="1" x14ac:dyDescent="0.3"/>
    <row r="1583" ht="15.75" customHeight="1" x14ac:dyDescent="0.3"/>
    <row r="1584" ht="15.75" customHeight="1" x14ac:dyDescent="0.3"/>
    <row r="1585" ht="15.75" customHeight="1" x14ac:dyDescent="0.3"/>
    <row r="1586" ht="15.75" customHeight="1" x14ac:dyDescent="0.3"/>
    <row r="1587" ht="15.75" customHeight="1" x14ac:dyDescent="0.3"/>
    <row r="1588" ht="15.75" customHeight="1" x14ac:dyDescent="0.3"/>
    <row r="1589" ht="15.75" customHeight="1" x14ac:dyDescent="0.3"/>
    <row r="1590" ht="15.75" customHeight="1" x14ac:dyDescent="0.3"/>
    <row r="1591" ht="15.75" customHeight="1" x14ac:dyDescent="0.3"/>
    <row r="1592" ht="15.75" customHeight="1" x14ac:dyDescent="0.3"/>
    <row r="1593" ht="15.75" customHeight="1" x14ac:dyDescent="0.3"/>
    <row r="1594" ht="15.75" customHeight="1" x14ac:dyDescent="0.3"/>
    <row r="1595" ht="15.75" customHeight="1" x14ac:dyDescent="0.3"/>
    <row r="1596" ht="15.75" customHeight="1" x14ac:dyDescent="0.3"/>
    <row r="1597" ht="15.75" customHeight="1" x14ac:dyDescent="0.3"/>
    <row r="1598" ht="15.75" customHeight="1" x14ac:dyDescent="0.3"/>
    <row r="1599" ht="15.75" customHeight="1" x14ac:dyDescent="0.3"/>
    <row r="1600" ht="15.75" customHeight="1" x14ac:dyDescent="0.3"/>
    <row r="1601" ht="15.75" customHeight="1" x14ac:dyDescent="0.3"/>
    <row r="1602" ht="15.75" customHeight="1" x14ac:dyDescent="0.3"/>
    <row r="1603" ht="15.75" customHeight="1" x14ac:dyDescent="0.3"/>
    <row r="1604" ht="15.75" customHeight="1" x14ac:dyDescent="0.3"/>
    <row r="1605" ht="15.75" customHeight="1" x14ac:dyDescent="0.3"/>
    <row r="1606" ht="15.75" customHeight="1" x14ac:dyDescent="0.3"/>
    <row r="1607" ht="15.75" customHeight="1" x14ac:dyDescent="0.3"/>
    <row r="1608" ht="15.75" customHeight="1" x14ac:dyDescent="0.3"/>
    <row r="1609" ht="15.75" customHeight="1" x14ac:dyDescent="0.3"/>
    <row r="1610" ht="15.75" customHeight="1" x14ac:dyDescent="0.3"/>
    <row r="1611" ht="15.75" customHeight="1" x14ac:dyDescent="0.3"/>
    <row r="1612" ht="15.75" customHeight="1" x14ac:dyDescent="0.3"/>
    <row r="1613" ht="15.75" customHeight="1" x14ac:dyDescent="0.3"/>
    <row r="1614" ht="15.75" customHeight="1" x14ac:dyDescent="0.3"/>
    <row r="1615" ht="15.75" customHeight="1" x14ac:dyDescent="0.3"/>
    <row r="1616" ht="15.75" customHeight="1" x14ac:dyDescent="0.3"/>
    <row r="1617" ht="15.75" customHeight="1" x14ac:dyDescent="0.3"/>
    <row r="1618" ht="15.75" customHeight="1" x14ac:dyDescent="0.3"/>
    <row r="1619" ht="15.75" customHeight="1" x14ac:dyDescent="0.3"/>
    <row r="1620" ht="15.75" customHeight="1" x14ac:dyDescent="0.3"/>
    <row r="1621" ht="15.75" customHeight="1" x14ac:dyDescent="0.3"/>
    <row r="1622" ht="15.75" customHeight="1" x14ac:dyDescent="0.3"/>
    <row r="1623" ht="15.75" customHeight="1" x14ac:dyDescent="0.3"/>
    <row r="1624" ht="15.75" customHeight="1" x14ac:dyDescent="0.3"/>
    <row r="1625" ht="15.75" customHeight="1" x14ac:dyDescent="0.3"/>
    <row r="1626" ht="15.75" customHeight="1" x14ac:dyDescent="0.3"/>
    <row r="1627" ht="15.75" customHeight="1" x14ac:dyDescent="0.3"/>
    <row r="1628" ht="15.75" customHeight="1" x14ac:dyDescent="0.3"/>
    <row r="1629" ht="15.75" customHeight="1" x14ac:dyDescent="0.3"/>
    <row r="1630" ht="15.75" customHeight="1" x14ac:dyDescent="0.3"/>
    <row r="1631" ht="15.75" customHeight="1" x14ac:dyDescent="0.3"/>
    <row r="1632" ht="15.75" customHeight="1" x14ac:dyDescent="0.3"/>
    <row r="1633" ht="15.75" customHeight="1" x14ac:dyDescent="0.3"/>
    <row r="1634" ht="15.75" customHeight="1" x14ac:dyDescent="0.3"/>
    <row r="1635" ht="15.75" customHeight="1" x14ac:dyDescent="0.3"/>
    <row r="1636" ht="15.75" customHeight="1" x14ac:dyDescent="0.3"/>
    <row r="1637" ht="15.75" customHeight="1" x14ac:dyDescent="0.3"/>
    <row r="1638" ht="15.75" customHeight="1" x14ac:dyDescent="0.3"/>
    <row r="1639" ht="15.75" customHeight="1" x14ac:dyDescent="0.3"/>
    <row r="1640" ht="15.75" customHeight="1" x14ac:dyDescent="0.3"/>
    <row r="1641" ht="15.75" customHeight="1" x14ac:dyDescent="0.3"/>
    <row r="1642" ht="15.75" customHeight="1" x14ac:dyDescent="0.3"/>
    <row r="1643" ht="15.75" customHeight="1" x14ac:dyDescent="0.3"/>
    <row r="1644" ht="15.75" customHeight="1" x14ac:dyDescent="0.3"/>
    <row r="1645" ht="15.75" customHeight="1" x14ac:dyDescent="0.3"/>
    <row r="1646" ht="15.75" customHeight="1" x14ac:dyDescent="0.3"/>
    <row r="1647" ht="15.75" customHeight="1" x14ac:dyDescent="0.3"/>
    <row r="1648" ht="15.75" customHeight="1" x14ac:dyDescent="0.3"/>
    <row r="1649" ht="15.75" customHeight="1" x14ac:dyDescent="0.3"/>
    <row r="1650" ht="15.75" customHeight="1" x14ac:dyDescent="0.3"/>
    <row r="1651" ht="15.75" customHeight="1" x14ac:dyDescent="0.3"/>
    <row r="1652" ht="15.75" customHeight="1" x14ac:dyDescent="0.3"/>
    <row r="1653" ht="15.75" customHeight="1" x14ac:dyDescent="0.3"/>
    <row r="1654" ht="15.75" customHeight="1" x14ac:dyDescent="0.3"/>
    <row r="1655" ht="15.75" customHeight="1" x14ac:dyDescent="0.3"/>
    <row r="1656" ht="15.75" customHeight="1" x14ac:dyDescent="0.3"/>
    <row r="1657" ht="15.75" customHeight="1" x14ac:dyDescent="0.3"/>
    <row r="1658" ht="15.75" customHeight="1" x14ac:dyDescent="0.3"/>
    <row r="1659" ht="15.75" customHeight="1" x14ac:dyDescent="0.3"/>
    <row r="1660" ht="15.75" customHeight="1" x14ac:dyDescent="0.3"/>
    <row r="1661" ht="15.75" customHeight="1" x14ac:dyDescent="0.3"/>
    <row r="1662" ht="15.75" customHeight="1" x14ac:dyDescent="0.3"/>
    <row r="1663" ht="15.75" customHeight="1" x14ac:dyDescent="0.3"/>
    <row r="1664" ht="15.75" customHeight="1" x14ac:dyDescent="0.3"/>
    <row r="1665" ht="15.75" customHeight="1" x14ac:dyDescent="0.3"/>
    <row r="1666" ht="15.75" customHeight="1" x14ac:dyDescent="0.3"/>
    <row r="1667" ht="15.75" customHeight="1" x14ac:dyDescent="0.3"/>
    <row r="1668" ht="15.75" customHeight="1" x14ac:dyDescent="0.3"/>
    <row r="1669" ht="15.75" customHeight="1" x14ac:dyDescent="0.3"/>
    <row r="1670" ht="15.75" customHeight="1" x14ac:dyDescent="0.3"/>
    <row r="1671" ht="15.75" customHeight="1" x14ac:dyDescent="0.3"/>
    <row r="1672" ht="15.75" customHeight="1" x14ac:dyDescent="0.3"/>
    <row r="1673" ht="15.75" customHeight="1" x14ac:dyDescent="0.3"/>
    <row r="1674" ht="15.75" customHeight="1" x14ac:dyDescent="0.3"/>
    <row r="1675" ht="15.75" customHeight="1" x14ac:dyDescent="0.3"/>
    <row r="1676" ht="15.75" customHeight="1" x14ac:dyDescent="0.3"/>
    <row r="1677" ht="15.75" customHeight="1" x14ac:dyDescent="0.3"/>
    <row r="1678" ht="15.75" customHeight="1" x14ac:dyDescent="0.3"/>
    <row r="1679" ht="15.75" customHeight="1" x14ac:dyDescent="0.3"/>
    <row r="1680" ht="15.75" customHeight="1" x14ac:dyDescent="0.3"/>
    <row r="1681" ht="15.75" customHeight="1" x14ac:dyDescent="0.3"/>
    <row r="1682" ht="15.75" customHeight="1" x14ac:dyDescent="0.3"/>
    <row r="1683" ht="15.75" customHeight="1" x14ac:dyDescent="0.3"/>
    <row r="1684" ht="15.75" customHeight="1" x14ac:dyDescent="0.3"/>
    <row r="1685" ht="15.75" customHeight="1" x14ac:dyDescent="0.3"/>
    <row r="1686" ht="15.75" customHeight="1" x14ac:dyDescent="0.3"/>
    <row r="1687" ht="15.75" customHeight="1" x14ac:dyDescent="0.3"/>
    <row r="1688" ht="15.75" customHeight="1" x14ac:dyDescent="0.3"/>
    <row r="1689" ht="15.75" customHeight="1" x14ac:dyDescent="0.3"/>
    <row r="1690" ht="15.75" customHeight="1" x14ac:dyDescent="0.3"/>
    <row r="1691" ht="15.75" customHeight="1" x14ac:dyDescent="0.3"/>
    <row r="1692" ht="15.75" customHeight="1" x14ac:dyDescent="0.3"/>
    <row r="1693" ht="15.75" customHeight="1" x14ac:dyDescent="0.3"/>
    <row r="1694" ht="15.75" customHeight="1" x14ac:dyDescent="0.3"/>
    <row r="1695" ht="15.75" customHeight="1" x14ac:dyDescent="0.3"/>
    <row r="1696" ht="15.75" customHeight="1" x14ac:dyDescent="0.3"/>
    <row r="1697" ht="15.75" customHeight="1" x14ac:dyDescent="0.3"/>
    <row r="1698" ht="15.75" customHeight="1" x14ac:dyDescent="0.3"/>
    <row r="1699" ht="15.75" customHeight="1" x14ac:dyDescent="0.3"/>
    <row r="1700" ht="15.75" customHeight="1" x14ac:dyDescent="0.3"/>
    <row r="1701" ht="15.75" customHeight="1" x14ac:dyDescent="0.3"/>
    <row r="1702" ht="15.75" customHeight="1" x14ac:dyDescent="0.3"/>
    <row r="1703" ht="15.75" customHeight="1" x14ac:dyDescent="0.3"/>
    <row r="1704" ht="15.75" customHeight="1" x14ac:dyDescent="0.3"/>
    <row r="1705" ht="15.75" customHeight="1" x14ac:dyDescent="0.3"/>
    <row r="1706" ht="15.75" customHeight="1" x14ac:dyDescent="0.3"/>
    <row r="1707" ht="15.75" customHeight="1" x14ac:dyDescent="0.3"/>
    <row r="1708" ht="15.75" customHeight="1" x14ac:dyDescent="0.3"/>
    <row r="1709" ht="15.75" customHeight="1" x14ac:dyDescent="0.3"/>
    <row r="1710" ht="15.75" customHeight="1" x14ac:dyDescent="0.3"/>
    <row r="1711" ht="15.75" customHeight="1" x14ac:dyDescent="0.3"/>
    <row r="1712" ht="15.75" customHeight="1" x14ac:dyDescent="0.3"/>
    <row r="1713" ht="15.75" customHeight="1" x14ac:dyDescent="0.3"/>
    <row r="1714" ht="15.75" customHeight="1" x14ac:dyDescent="0.3"/>
    <row r="1715" ht="15.75" customHeight="1" x14ac:dyDescent="0.3"/>
    <row r="1716" ht="15.75" customHeight="1" x14ac:dyDescent="0.3"/>
    <row r="1717" ht="15.75" customHeight="1" x14ac:dyDescent="0.3"/>
    <row r="1718" ht="15.75" customHeight="1" x14ac:dyDescent="0.3"/>
    <row r="1719" ht="15.75" customHeight="1" x14ac:dyDescent="0.3"/>
    <row r="1720" ht="15.75" customHeight="1" x14ac:dyDescent="0.3"/>
    <row r="1721" ht="15.75" customHeight="1" x14ac:dyDescent="0.3"/>
    <row r="1722" ht="15.75" customHeight="1" x14ac:dyDescent="0.3"/>
    <row r="1723" ht="15.75" customHeight="1" x14ac:dyDescent="0.3"/>
    <row r="1724" ht="15.75" customHeight="1" x14ac:dyDescent="0.3"/>
    <row r="1725" ht="15.75" customHeight="1" x14ac:dyDescent="0.3"/>
    <row r="1726" ht="15.75" customHeight="1" x14ac:dyDescent="0.3"/>
    <row r="1727" ht="15.75" customHeight="1" x14ac:dyDescent="0.3"/>
    <row r="1728" ht="15.75" customHeight="1" x14ac:dyDescent="0.3"/>
    <row r="1729" ht="15.75" customHeight="1" x14ac:dyDescent="0.3"/>
    <row r="1730" ht="15.75" customHeight="1" x14ac:dyDescent="0.3"/>
    <row r="1731" ht="15.75" customHeight="1" x14ac:dyDescent="0.3"/>
    <row r="1732" ht="15.75" customHeight="1" x14ac:dyDescent="0.3"/>
    <row r="1733" ht="15.75" customHeight="1" x14ac:dyDescent="0.3"/>
    <row r="1734" ht="15.75" customHeight="1" x14ac:dyDescent="0.3"/>
    <row r="1735" ht="15.75" customHeight="1" x14ac:dyDescent="0.3"/>
    <row r="1736" ht="15.75" customHeight="1" x14ac:dyDescent="0.3"/>
    <row r="1737" ht="15.75" customHeight="1" x14ac:dyDescent="0.3"/>
    <row r="1738" ht="15.75" customHeight="1" x14ac:dyDescent="0.3"/>
    <row r="1739" ht="15.75" customHeight="1" x14ac:dyDescent="0.3"/>
    <row r="1740" ht="15.75" customHeight="1" x14ac:dyDescent="0.3"/>
    <row r="1741" ht="15.75" customHeight="1" x14ac:dyDescent="0.3"/>
    <row r="1742" ht="15.75" customHeight="1" x14ac:dyDescent="0.3"/>
    <row r="1743" ht="15.75" customHeight="1" x14ac:dyDescent="0.3"/>
    <row r="1744" ht="15.75" customHeight="1" x14ac:dyDescent="0.3"/>
    <row r="1745" ht="15.75" customHeight="1" x14ac:dyDescent="0.3"/>
    <row r="1746" ht="15.75" customHeight="1" x14ac:dyDescent="0.3"/>
    <row r="1747" ht="15.75" customHeight="1" x14ac:dyDescent="0.3"/>
    <row r="1748" ht="15.75" customHeight="1" x14ac:dyDescent="0.3"/>
    <row r="1749" ht="15.75" customHeight="1" x14ac:dyDescent="0.3"/>
    <row r="1750" ht="15.75" customHeight="1" x14ac:dyDescent="0.3"/>
    <row r="1751" ht="15.75" customHeight="1" x14ac:dyDescent="0.3"/>
    <row r="1752" ht="15.75" customHeight="1" x14ac:dyDescent="0.3"/>
    <row r="1753" ht="15.75" customHeight="1" x14ac:dyDescent="0.3"/>
    <row r="1754" ht="15.75" customHeight="1" x14ac:dyDescent="0.3"/>
    <row r="1755" ht="15.75" customHeight="1" x14ac:dyDescent="0.3"/>
    <row r="1756" ht="15.75" customHeight="1" x14ac:dyDescent="0.3"/>
    <row r="1757" ht="15.75" customHeight="1" x14ac:dyDescent="0.3"/>
    <row r="1758" ht="15.75" customHeight="1" x14ac:dyDescent="0.3"/>
    <row r="1759" ht="15.75" customHeight="1" x14ac:dyDescent="0.3"/>
    <row r="1760" ht="15.75" customHeight="1" x14ac:dyDescent="0.3"/>
    <row r="1761" ht="15.75" customHeight="1" x14ac:dyDescent="0.3"/>
    <row r="1762" ht="15.75" customHeight="1" x14ac:dyDescent="0.3"/>
    <row r="1763" ht="15.75" customHeight="1" x14ac:dyDescent="0.3"/>
    <row r="1764" ht="15.75" customHeight="1" x14ac:dyDescent="0.3"/>
    <row r="1765" ht="15.75" customHeight="1" x14ac:dyDescent="0.3"/>
    <row r="1766" ht="15.75" customHeight="1" x14ac:dyDescent="0.3"/>
    <row r="1767" ht="15.75" customHeight="1" x14ac:dyDescent="0.3"/>
    <row r="1768" ht="15.75" customHeight="1" x14ac:dyDescent="0.3"/>
    <row r="1769" ht="15.75" customHeight="1" x14ac:dyDescent="0.3"/>
    <row r="1770" ht="15.75" customHeight="1" x14ac:dyDescent="0.3"/>
    <row r="1771" ht="15.75" customHeight="1" x14ac:dyDescent="0.3"/>
    <row r="1772" ht="15.75" customHeight="1" x14ac:dyDescent="0.3"/>
    <row r="1773" ht="15.75" customHeight="1" x14ac:dyDescent="0.3"/>
    <row r="1774" ht="15.75" customHeight="1" x14ac:dyDescent="0.3"/>
    <row r="1775" ht="15.75" customHeight="1" x14ac:dyDescent="0.3"/>
    <row r="1776" ht="15.75" customHeight="1" x14ac:dyDescent="0.3"/>
    <row r="1777" ht="15.75" customHeight="1" x14ac:dyDescent="0.3"/>
    <row r="1778" ht="15.75" customHeight="1" x14ac:dyDescent="0.3"/>
    <row r="1779" ht="15.75" customHeight="1" x14ac:dyDescent="0.3"/>
    <row r="1780" ht="15.75" customHeight="1" x14ac:dyDescent="0.3"/>
    <row r="1781" ht="15.75" customHeight="1" x14ac:dyDescent="0.3"/>
    <row r="1782" ht="15.75" customHeight="1" x14ac:dyDescent="0.3"/>
    <row r="1783" ht="15.75" customHeight="1" x14ac:dyDescent="0.3"/>
    <row r="1784" ht="15.75" customHeight="1" x14ac:dyDescent="0.3"/>
    <row r="1785" ht="15.75" customHeight="1" x14ac:dyDescent="0.3"/>
    <row r="1786" ht="15.75" customHeight="1" x14ac:dyDescent="0.3"/>
    <row r="1787" ht="15.75" customHeight="1" x14ac:dyDescent="0.3"/>
    <row r="1788" ht="15.75" customHeight="1" x14ac:dyDescent="0.3"/>
    <row r="1789" ht="15.75" customHeight="1" x14ac:dyDescent="0.3"/>
    <row r="1790" ht="15.75" customHeight="1" x14ac:dyDescent="0.3"/>
    <row r="1791" ht="15.75" customHeight="1" x14ac:dyDescent="0.3"/>
    <row r="1792" ht="15.75" customHeight="1" x14ac:dyDescent="0.3"/>
    <row r="1793" ht="15.75" customHeight="1" x14ac:dyDescent="0.3"/>
    <row r="1794" ht="15.75" customHeight="1" x14ac:dyDescent="0.3"/>
    <row r="1795" ht="15.75" customHeight="1" x14ac:dyDescent="0.3"/>
    <row r="1796" ht="15.75" customHeight="1" x14ac:dyDescent="0.3"/>
    <row r="1797" ht="15.75" customHeight="1" x14ac:dyDescent="0.3"/>
    <row r="1798" ht="15.75" customHeight="1" x14ac:dyDescent="0.3"/>
    <row r="1799" ht="15.75" customHeight="1" x14ac:dyDescent="0.3"/>
    <row r="1800" ht="15.75" customHeight="1" x14ac:dyDescent="0.3"/>
    <row r="1801" ht="15.75" customHeight="1" x14ac:dyDescent="0.3"/>
    <row r="1802" ht="15.75" customHeight="1" x14ac:dyDescent="0.3"/>
    <row r="1803" ht="15.75" customHeight="1" x14ac:dyDescent="0.3"/>
    <row r="1804" ht="15.75" customHeight="1" x14ac:dyDescent="0.3"/>
    <row r="1805" ht="15.75" customHeight="1" x14ac:dyDescent="0.3"/>
    <row r="1806" ht="15.75" customHeight="1" x14ac:dyDescent="0.3"/>
    <row r="1807" ht="15.75" customHeight="1" x14ac:dyDescent="0.3"/>
    <row r="1808" ht="15.75" customHeight="1" x14ac:dyDescent="0.3"/>
    <row r="1809" ht="15.75" customHeight="1" x14ac:dyDescent="0.3"/>
    <row r="1810" ht="15.75" customHeight="1" x14ac:dyDescent="0.3"/>
    <row r="1811" ht="15.75" customHeight="1" x14ac:dyDescent="0.3"/>
    <row r="1812" ht="15.75" customHeight="1" x14ac:dyDescent="0.3"/>
    <row r="1813" ht="15.75" customHeight="1" x14ac:dyDescent="0.3"/>
    <row r="1814" ht="15.75" customHeight="1" x14ac:dyDescent="0.3"/>
    <row r="1815" ht="15.75" customHeight="1" x14ac:dyDescent="0.3"/>
    <row r="1816" ht="15.75" customHeight="1" x14ac:dyDescent="0.3"/>
    <row r="1817" ht="15.75" customHeight="1" x14ac:dyDescent="0.3"/>
    <row r="1818" ht="15.75" customHeight="1" x14ac:dyDescent="0.3"/>
    <row r="1819" ht="15.75" customHeight="1" x14ac:dyDescent="0.3"/>
    <row r="1820" ht="15.75" customHeight="1" x14ac:dyDescent="0.3"/>
    <row r="1821" ht="15.75" customHeight="1" x14ac:dyDescent="0.3"/>
    <row r="1822" ht="15.75" customHeight="1" x14ac:dyDescent="0.3"/>
    <row r="1823" ht="15.75" customHeight="1" x14ac:dyDescent="0.3"/>
    <row r="1824" ht="15.75" customHeight="1" x14ac:dyDescent="0.3"/>
    <row r="1825" ht="15.75" customHeight="1" x14ac:dyDescent="0.3"/>
    <row r="1826" ht="15.75" customHeight="1" x14ac:dyDescent="0.3"/>
    <row r="1827" ht="15.75" customHeight="1" x14ac:dyDescent="0.3"/>
    <row r="1828" ht="15.75" customHeight="1" x14ac:dyDescent="0.3"/>
    <row r="1829" ht="15.75" customHeight="1" x14ac:dyDescent="0.3"/>
    <row r="1830" ht="15.75" customHeight="1" x14ac:dyDescent="0.3"/>
    <row r="1831" ht="15.75" customHeight="1" x14ac:dyDescent="0.3"/>
    <row r="1832" ht="15.75" customHeight="1" x14ac:dyDescent="0.3"/>
    <row r="1833" ht="15.75" customHeight="1" x14ac:dyDescent="0.3"/>
    <row r="1834" ht="15.75" customHeight="1" x14ac:dyDescent="0.3"/>
    <row r="1835" ht="15.75" customHeight="1" x14ac:dyDescent="0.3"/>
    <row r="1836" ht="15.75" customHeight="1" x14ac:dyDescent="0.3"/>
    <row r="1837" ht="15.75" customHeight="1" x14ac:dyDescent="0.3"/>
    <row r="1838" ht="15.75" customHeight="1" x14ac:dyDescent="0.3"/>
    <row r="1839" ht="15.75" customHeight="1" x14ac:dyDescent="0.3"/>
    <row r="1840" ht="15.75" customHeight="1" x14ac:dyDescent="0.3"/>
    <row r="1841" ht="15.75" customHeight="1" x14ac:dyDescent="0.3"/>
    <row r="1842" ht="15.75" customHeight="1" x14ac:dyDescent="0.3"/>
    <row r="1843" ht="15.75" customHeight="1" x14ac:dyDescent="0.3"/>
    <row r="1844" ht="15.75" customHeight="1" x14ac:dyDescent="0.3"/>
    <row r="1845" ht="15.75" customHeight="1" x14ac:dyDescent="0.3"/>
    <row r="1846" ht="15.75" customHeight="1" x14ac:dyDescent="0.3"/>
    <row r="1847" ht="15.75" customHeight="1" x14ac:dyDescent="0.3"/>
    <row r="1848" ht="15.75" customHeight="1" x14ac:dyDescent="0.3"/>
    <row r="1849" ht="15.75" customHeight="1" x14ac:dyDescent="0.3"/>
    <row r="1850" ht="15.75" customHeight="1" x14ac:dyDescent="0.3"/>
    <row r="1851" ht="15.75" customHeight="1" x14ac:dyDescent="0.3"/>
    <row r="1852" ht="15.75" customHeight="1" x14ac:dyDescent="0.3"/>
    <row r="1853" ht="15.75" customHeight="1" x14ac:dyDescent="0.3"/>
    <row r="1854" ht="15.75" customHeight="1" x14ac:dyDescent="0.3"/>
    <row r="1855" ht="15.75" customHeight="1" x14ac:dyDescent="0.3"/>
    <row r="1856" ht="15.75" customHeight="1" x14ac:dyDescent="0.3"/>
    <row r="1857" ht="15.75" customHeight="1" x14ac:dyDescent="0.3"/>
    <row r="1858" ht="15.75" customHeight="1" x14ac:dyDescent="0.3"/>
    <row r="1859" ht="15.75" customHeight="1" x14ac:dyDescent="0.3"/>
    <row r="1860" ht="15.75" customHeight="1" x14ac:dyDescent="0.3"/>
    <row r="1861" ht="15.75" customHeight="1" x14ac:dyDescent="0.3"/>
    <row r="1862" ht="15.75" customHeight="1" x14ac:dyDescent="0.3"/>
    <row r="1863" ht="15.75" customHeight="1" x14ac:dyDescent="0.3"/>
    <row r="1864" ht="15.75" customHeight="1" x14ac:dyDescent="0.3"/>
    <row r="1865" ht="15.75" customHeight="1" x14ac:dyDescent="0.3"/>
    <row r="1866" ht="15.75" customHeight="1" x14ac:dyDescent="0.3"/>
    <row r="1867" ht="15.75" customHeight="1" x14ac:dyDescent="0.3"/>
    <row r="1868" ht="15.75" customHeight="1" x14ac:dyDescent="0.3"/>
    <row r="1869" ht="15.75" customHeight="1" x14ac:dyDescent="0.3"/>
    <row r="1870" ht="15.75" customHeight="1" x14ac:dyDescent="0.3"/>
    <row r="1871" ht="15.75" customHeight="1" x14ac:dyDescent="0.3"/>
    <row r="1872" ht="15.75" customHeight="1" x14ac:dyDescent="0.3"/>
    <row r="1873" ht="15.75" customHeight="1" x14ac:dyDescent="0.3"/>
    <row r="1874" ht="15.75" customHeight="1" x14ac:dyDescent="0.3"/>
    <row r="1875" ht="15.75" customHeight="1" x14ac:dyDescent="0.3"/>
    <row r="1876" ht="15.75" customHeight="1" x14ac:dyDescent="0.3"/>
    <row r="1877" ht="15.75" customHeight="1" x14ac:dyDescent="0.3"/>
    <row r="1878" ht="15.75" customHeight="1" x14ac:dyDescent="0.3"/>
    <row r="1879" ht="15.75" customHeight="1" x14ac:dyDescent="0.3"/>
    <row r="1880" ht="15.75" customHeight="1" x14ac:dyDescent="0.3"/>
    <row r="1881" ht="15.75" customHeight="1" x14ac:dyDescent="0.3"/>
    <row r="1882" ht="15.75" customHeight="1" x14ac:dyDescent="0.3"/>
    <row r="1883" ht="15.75" customHeight="1" x14ac:dyDescent="0.3"/>
    <row r="1884" ht="15.75" customHeight="1" x14ac:dyDescent="0.3"/>
    <row r="1885" ht="15.75" customHeight="1" x14ac:dyDescent="0.3"/>
    <row r="1886" ht="15.75" customHeight="1" x14ac:dyDescent="0.3"/>
    <row r="1887" ht="15.75" customHeight="1" x14ac:dyDescent="0.3"/>
    <row r="1888" ht="15.75" customHeight="1" x14ac:dyDescent="0.3"/>
    <row r="1889" ht="15.75" customHeight="1" x14ac:dyDescent="0.3"/>
    <row r="1890" ht="15.75" customHeight="1" x14ac:dyDescent="0.3"/>
    <row r="1891" ht="15.75" customHeight="1" x14ac:dyDescent="0.3"/>
    <row r="1892" ht="15.75" customHeight="1" x14ac:dyDescent="0.3"/>
    <row r="1893" ht="15.75" customHeight="1" x14ac:dyDescent="0.3"/>
    <row r="1894" ht="15.75" customHeight="1" x14ac:dyDescent="0.3"/>
    <row r="1895" ht="15.75" customHeight="1" x14ac:dyDescent="0.3"/>
    <row r="1896" ht="15.75" customHeight="1" x14ac:dyDescent="0.3"/>
    <row r="1897" ht="15.75" customHeight="1" x14ac:dyDescent="0.3"/>
    <row r="1898" ht="15.75" customHeight="1" x14ac:dyDescent="0.3"/>
    <row r="1899" ht="15.75" customHeight="1" x14ac:dyDescent="0.3"/>
    <row r="1900" ht="15.75" customHeight="1" x14ac:dyDescent="0.3"/>
    <row r="1901" ht="15.75" customHeight="1" x14ac:dyDescent="0.3"/>
    <row r="1902" ht="15.75" customHeight="1" x14ac:dyDescent="0.3"/>
    <row r="1903" ht="15.75" customHeight="1" x14ac:dyDescent="0.3"/>
    <row r="1904" ht="15.75" customHeight="1" x14ac:dyDescent="0.3"/>
    <row r="1905" ht="15.75" customHeight="1" x14ac:dyDescent="0.3"/>
    <row r="1906" ht="15.75" customHeight="1" x14ac:dyDescent="0.3"/>
    <row r="1907" ht="15.75" customHeight="1" x14ac:dyDescent="0.3"/>
    <row r="1908" ht="15.75" customHeight="1" x14ac:dyDescent="0.3"/>
    <row r="1909" ht="15.75" customHeight="1" x14ac:dyDescent="0.3"/>
    <row r="1910" ht="15.75" customHeight="1" x14ac:dyDescent="0.3"/>
    <row r="1911" ht="15.75" customHeight="1" x14ac:dyDescent="0.3"/>
    <row r="1912" ht="15.75" customHeight="1" x14ac:dyDescent="0.3"/>
    <row r="1913" ht="15.75" customHeight="1" x14ac:dyDescent="0.3"/>
    <row r="1914" ht="15.75" customHeight="1" x14ac:dyDescent="0.3"/>
    <row r="1915" ht="15.75" customHeight="1" x14ac:dyDescent="0.3"/>
    <row r="1916" ht="15.75" customHeight="1" x14ac:dyDescent="0.3"/>
    <row r="1917" ht="15.75" customHeight="1" x14ac:dyDescent="0.3"/>
    <row r="1918" ht="15.75" customHeight="1" x14ac:dyDescent="0.3"/>
    <row r="1919" ht="15.75" customHeight="1" x14ac:dyDescent="0.3"/>
    <row r="1920" ht="15.75" customHeight="1" x14ac:dyDescent="0.3"/>
    <row r="1921" ht="15.75" customHeight="1" x14ac:dyDescent="0.3"/>
    <row r="1922" ht="15.75" customHeight="1" x14ac:dyDescent="0.3"/>
    <row r="1923" ht="15.75" customHeight="1" x14ac:dyDescent="0.3"/>
    <row r="1924" ht="15.75" customHeight="1" x14ac:dyDescent="0.3"/>
    <row r="1925" ht="15.75" customHeight="1" x14ac:dyDescent="0.3"/>
    <row r="1926" ht="15.75" customHeight="1" x14ac:dyDescent="0.3"/>
    <row r="1927" ht="15.75" customHeight="1" x14ac:dyDescent="0.3"/>
    <row r="1928" ht="15.75" customHeight="1" x14ac:dyDescent="0.3"/>
    <row r="1929" ht="15.75" customHeight="1" x14ac:dyDescent="0.3"/>
    <row r="1930" ht="15.75" customHeight="1" x14ac:dyDescent="0.3"/>
    <row r="1931" ht="15.75" customHeight="1" x14ac:dyDescent="0.3"/>
    <row r="1932" ht="15.75" customHeight="1" x14ac:dyDescent="0.3"/>
    <row r="1933" ht="15.75" customHeight="1" x14ac:dyDescent="0.3"/>
    <row r="1934" ht="15.75" customHeight="1" x14ac:dyDescent="0.3"/>
    <row r="1935" ht="15.75" customHeight="1" x14ac:dyDescent="0.3"/>
    <row r="1936" ht="15.75" customHeight="1" x14ac:dyDescent="0.3"/>
    <row r="1937" ht="15.75" customHeight="1" x14ac:dyDescent="0.3"/>
    <row r="1938" ht="15.75" customHeight="1" x14ac:dyDescent="0.3"/>
    <row r="1939" ht="15.75" customHeight="1" x14ac:dyDescent="0.3"/>
    <row r="1940" ht="15.75" customHeight="1" x14ac:dyDescent="0.3"/>
    <row r="1941" ht="15.75" customHeight="1" x14ac:dyDescent="0.3"/>
    <row r="1942" ht="15.75" customHeight="1" x14ac:dyDescent="0.3"/>
    <row r="1943" ht="15.75" customHeight="1" x14ac:dyDescent="0.3"/>
    <row r="1944" ht="15.75" customHeight="1" x14ac:dyDescent="0.3"/>
    <row r="1945" ht="15.75" customHeight="1" x14ac:dyDescent="0.3"/>
    <row r="1946" ht="15.75" customHeight="1" x14ac:dyDescent="0.3"/>
    <row r="1947" ht="15.75" customHeight="1" x14ac:dyDescent="0.3"/>
    <row r="1948" ht="15.75" customHeight="1" x14ac:dyDescent="0.3"/>
    <row r="1949" ht="15.75" customHeight="1" x14ac:dyDescent="0.3"/>
    <row r="1950" ht="15.75" customHeight="1" x14ac:dyDescent="0.3"/>
    <row r="1951" ht="15.75" customHeight="1" x14ac:dyDescent="0.3"/>
    <row r="1952" ht="15.75" customHeight="1" x14ac:dyDescent="0.3"/>
    <row r="1953" ht="15.75" customHeight="1" x14ac:dyDescent="0.3"/>
    <row r="1954" ht="15.75" customHeight="1" x14ac:dyDescent="0.3"/>
    <row r="1955" ht="15.75" customHeight="1" x14ac:dyDescent="0.3"/>
    <row r="1956" ht="15.75" customHeight="1" x14ac:dyDescent="0.3"/>
    <row r="1957" ht="15.75" customHeight="1" x14ac:dyDescent="0.3"/>
    <row r="1958" ht="15.75" customHeight="1" x14ac:dyDescent="0.3"/>
    <row r="1959" ht="15.75" customHeight="1" x14ac:dyDescent="0.3"/>
    <row r="1960" ht="15.75" customHeight="1" x14ac:dyDescent="0.3"/>
    <row r="1961" ht="15.75" customHeight="1" x14ac:dyDescent="0.3"/>
    <row r="1962" ht="15.75" customHeight="1" x14ac:dyDescent="0.3"/>
    <row r="1963" ht="15.75" customHeight="1" x14ac:dyDescent="0.3"/>
    <row r="1964" ht="15.75" customHeight="1" x14ac:dyDescent="0.3"/>
    <row r="1965" ht="15.75" customHeight="1" x14ac:dyDescent="0.3"/>
    <row r="1966" ht="15.75" customHeight="1" x14ac:dyDescent="0.3"/>
    <row r="1967" ht="15.75" customHeight="1" x14ac:dyDescent="0.3"/>
    <row r="1968" ht="15.75" customHeight="1" x14ac:dyDescent="0.3"/>
    <row r="1969" ht="15.75" customHeight="1" x14ac:dyDescent="0.3"/>
    <row r="1970" ht="15.75" customHeight="1" x14ac:dyDescent="0.3"/>
    <row r="1971" ht="15.75" customHeight="1" x14ac:dyDescent="0.3"/>
    <row r="1972" ht="15.75" customHeight="1" x14ac:dyDescent="0.3"/>
    <row r="1973" ht="15.75" customHeight="1" x14ac:dyDescent="0.3"/>
    <row r="1974" ht="15.75" customHeight="1" x14ac:dyDescent="0.3"/>
    <row r="1975" ht="15.75" customHeight="1" x14ac:dyDescent="0.3"/>
    <row r="1976" ht="15.75" customHeight="1" x14ac:dyDescent="0.3"/>
    <row r="1977" ht="15.75" customHeight="1" x14ac:dyDescent="0.3"/>
    <row r="1978" ht="15.75" customHeight="1" x14ac:dyDescent="0.3"/>
    <row r="1979" ht="15.75" customHeight="1" x14ac:dyDescent="0.3"/>
    <row r="1980" ht="15.75" customHeight="1" x14ac:dyDescent="0.3"/>
    <row r="1981" ht="15.75" customHeight="1" x14ac:dyDescent="0.3"/>
    <row r="1982" ht="15.75" customHeight="1" x14ac:dyDescent="0.3"/>
    <row r="1983" ht="15.75" customHeight="1" x14ac:dyDescent="0.3"/>
    <row r="1984" ht="15.75" customHeight="1" x14ac:dyDescent="0.3"/>
    <row r="1985" ht="15.75" customHeight="1" x14ac:dyDescent="0.3"/>
    <row r="1986" ht="15.75" customHeight="1" x14ac:dyDescent="0.3"/>
    <row r="1987" ht="15.75" customHeight="1" x14ac:dyDescent="0.3"/>
    <row r="1988" ht="15.75" customHeight="1" x14ac:dyDescent="0.3"/>
    <row r="1989" ht="15.75" customHeight="1" x14ac:dyDescent="0.3"/>
    <row r="1990" ht="15.75" customHeight="1" x14ac:dyDescent="0.3"/>
    <row r="1991" ht="15.75" customHeight="1" x14ac:dyDescent="0.3"/>
    <row r="1992" ht="15.75" customHeight="1" x14ac:dyDescent="0.3"/>
    <row r="1993" ht="15.75" customHeight="1" x14ac:dyDescent="0.3"/>
    <row r="1994" ht="15.75" customHeight="1" x14ac:dyDescent="0.3"/>
    <row r="1995" ht="15.75" customHeight="1" x14ac:dyDescent="0.3"/>
    <row r="1996" ht="15.75" customHeight="1" x14ac:dyDescent="0.3"/>
    <row r="1997" ht="15.75" customHeight="1" x14ac:dyDescent="0.3"/>
    <row r="1998" ht="15.75" customHeight="1" x14ac:dyDescent="0.3"/>
    <row r="1999" ht="15.75" customHeight="1" x14ac:dyDescent="0.3"/>
    <row r="2000" ht="15.75" customHeight="1" x14ac:dyDescent="0.3"/>
    <row r="2001" ht="15.75" customHeight="1" x14ac:dyDescent="0.3"/>
    <row r="2002" ht="15.75" customHeight="1" x14ac:dyDescent="0.3"/>
    <row r="2003" ht="15.75" customHeight="1" x14ac:dyDescent="0.3"/>
    <row r="2004" ht="15.75" customHeight="1" x14ac:dyDescent="0.3"/>
    <row r="2005" ht="15.75" customHeight="1" x14ac:dyDescent="0.3"/>
    <row r="2006" ht="15.75" customHeight="1" x14ac:dyDescent="0.3"/>
    <row r="2007" ht="15.75" customHeight="1" x14ac:dyDescent="0.3"/>
    <row r="2008" ht="15.75" customHeight="1" x14ac:dyDescent="0.3"/>
    <row r="2009" ht="15.75" customHeight="1" x14ac:dyDescent="0.3"/>
    <row r="2010" ht="15.75" customHeight="1" x14ac:dyDescent="0.3"/>
    <row r="2011" ht="15.75" customHeight="1" x14ac:dyDescent="0.3"/>
    <row r="2012" ht="15.75" customHeight="1" x14ac:dyDescent="0.3"/>
    <row r="2013" ht="15.75" customHeight="1" x14ac:dyDescent="0.3"/>
    <row r="2014" ht="15.75" customHeight="1" x14ac:dyDescent="0.3"/>
    <row r="2015" ht="15.75" customHeight="1" x14ac:dyDescent="0.3"/>
    <row r="2016" ht="15.75" customHeight="1" x14ac:dyDescent="0.3"/>
    <row r="2017" ht="15.75" customHeight="1" x14ac:dyDescent="0.3"/>
    <row r="2018" ht="15.75" customHeight="1" x14ac:dyDescent="0.3"/>
    <row r="2019" ht="15.75" customHeight="1" x14ac:dyDescent="0.3"/>
    <row r="2020" ht="15.75" customHeight="1" x14ac:dyDescent="0.3"/>
    <row r="2021" ht="15.75" customHeight="1" x14ac:dyDescent="0.3"/>
    <row r="2022" ht="15.75" customHeight="1" x14ac:dyDescent="0.3"/>
    <row r="2023" ht="15.75" customHeight="1" x14ac:dyDescent="0.3"/>
    <row r="2024" ht="15.75" customHeight="1" x14ac:dyDescent="0.3"/>
    <row r="2025" ht="15.75" customHeight="1" x14ac:dyDescent="0.3"/>
    <row r="2026" ht="15.75" customHeight="1" x14ac:dyDescent="0.3"/>
    <row r="2027" ht="15.75" customHeight="1" x14ac:dyDescent="0.3"/>
    <row r="2028" ht="15.75" customHeight="1" x14ac:dyDescent="0.3"/>
    <row r="2029" ht="15.75" customHeight="1" x14ac:dyDescent="0.3"/>
    <row r="2030" ht="15.75" customHeight="1" x14ac:dyDescent="0.3"/>
    <row r="2031" ht="15.75" customHeight="1" x14ac:dyDescent="0.3"/>
    <row r="2032" ht="15.75" customHeight="1" x14ac:dyDescent="0.3"/>
    <row r="2033" ht="15.75" customHeight="1" x14ac:dyDescent="0.3"/>
    <row r="2034" ht="15.75" customHeight="1" x14ac:dyDescent="0.3"/>
    <row r="2035" ht="15.75" customHeight="1" x14ac:dyDescent="0.3"/>
    <row r="2036" ht="15.75" customHeight="1" x14ac:dyDescent="0.3"/>
    <row r="2037" ht="15.75" customHeight="1" x14ac:dyDescent="0.3"/>
    <row r="2038" ht="15.75" customHeight="1" x14ac:dyDescent="0.3"/>
    <row r="2039" ht="15.75" customHeight="1" x14ac:dyDescent="0.3"/>
    <row r="2040" ht="15.75" customHeight="1" x14ac:dyDescent="0.3"/>
    <row r="2041" ht="15.75" customHeight="1" x14ac:dyDescent="0.3"/>
    <row r="2042" ht="15.75" customHeight="1" x14ac:dyDescent="0.3"/>
    <row r="2043" ht="15.75" customHeight="1" x14ac:dyDescent="0.3"/>
    <row r="2044" ht="15.75" customHeight="1" x14ac:dyDescent="0.3"/>
    <row r="2045" ht="15.75" customHeight="1" x14ac:dyDescent="0.3"/>
    <row r="2046" ht="15.75" customHeight="1" x14ac:dyDescent="0.3"/>
    <row r="2047" ht="15.75" customHeight="1" x14ac:dyDescent="0.3"/>
    <row r="2048" ht="15.75" customHeight="1" x14ac:dyDescent="0.3"/>
    <row r="2049" ht="15.75" customHeight="1" x14ac:dyDescent="0.3"/>
    <row r="2050" ht="15.75" customHeight="1" x14ac:dyDescent="0.3"/>
    <row r="2051" ht="15.75" customHeight="1" x14ac:dyDescent="0.3"/>
    <row r="2052" ht="15.75" customHeight="1" x14ac:dyDescent="0.3"/>
    <row r="2053" ht="15.75" customHeight="1" x14ac:dyDescent="0.3"/>
    <row r="2054" ht="15.75" customHeight="1" x14ac:dyDescent="0.3"/>
    <row r="2055" ht="15.75" customHeight="1" x14ac:dyDescent="0.3"/>
    <row r="2056" ht="15.75" customHeight="1" x14ac:dyDescent="0.3"/>
    <row r="2057" ht="15.75" customHeight="1" x14ac:dyDescent="0.3"/>
    <row r="2058" ht="15.75" customHeight="1" x14ac:dyDescent="0.3"/>
    <row r="2059" ht="15.75" customHeight="1" x14ac:dyDescent="0.3"/>
    <row r="2060" ht="15.75" customHeight="1" x14ac:dyDescent="0.3"/>
    <row r="2061" ht="15.75" customHeight="1" x14ac:dyDescent="0.3"/>
    <row r="2062" ht="15.75" customHeight="1" x14ac:dyDescent="0.3"/>
    <row r="2063" ht="15.75" customHeight="1" x14ac:dyDescent="0.3"/>
    <row r="2064" ht="15.75" customHeight="1" x14ac:dyDescent="0.3"/>
    <row r="2065" ht="15.75" customHeight="1" x14ac:dyDescent="0.3"/>
    <row r="2066" ht="15.75" customHeight="1" x14ac:dyDescent="0.3"/>
    <row r="2067" ht="15.75" customHeight="1" x14ac:dyDescent="0.3"/>
    <row r="2068" ht="15.75" customHeight="1" x14ac:dyDescent="0.3"/>
    <row r="2069" ht="15.75" customHeight="1" x14ac:dyDescent="0.3"/>
    <row r="2070" ht="15.75" customHeight="1" x14ac:dyDescent="0.3"/>
    <row r="2071" ht="15.75" customHeight="1" x14ac:dyDescent="0.3"/>
    <row r="2072" ht="15.75" customHeight="1" x14ac:dyDescent="0.3"/>
    <row r="2073" ht="15.75" customHeight="1" x14ac:dyDescent="0.3"/>
    <row r="2074" ht="15.75" customHeight="1" x14ac:dyDescent="0.3"/>
    <row r="2075" ht="15.75" customHeight="1" x14ac:dyDescent="0.3"/>
    <row r="2076" ht="15.75" customHeight="1" x14ac:dyDescent="0.3"/>
    <row r="2077" ht="15.75" customHeight="1" x14ac:dyDescent="0.3"/>
    <row r="2078" ht="15.75" customHeight="1" x14ac:dyDescent="0.3"/>
    <row r="2079" ht="15.75" customHeight="1" x14ac:dyDescent="0.3"/>
    <row r="2080" ht="15.75" customHeight="1" x14ac:dyDescent="0.3"/>
    <row r="2081" ht="15.75" customHeight="1" x14ac:dyDescent="0.3"/>
    <row r="2082" ht="15.75" customHeight="1" x14ac:dyDescent="0.3"/>
    <row r="2083" ht="15.75" customHeight="1" x14ac:dyDescent="0.3"/>
    <row r="2084" ht="15.75" customHeight="1" x14ac:dyDescent="0.3"/>
    <row r="2085" ht="15.75" customHeight="1" x14ac:dyDescent="0.3"/>
    <row r="2086" ht="15.75" customHeight="1" x14ac:dyDescent="0.3"/>
    <row r="2087" ht="15.75" customHeight="1" x14ac:dyDescent="0.3"/>
    <row r="2088" ht="15.75" customHeight="1" x14ac:dyDescent="0.3"/>
    <row r="2089" ht="15.75" customHeight="1" x14ac:dyDescent="0.3"/>
    <row r="2090" ht="15.75" customHeight="1" x14ac:dyDescent="0.3"/>
    <row r="2091" ht="15.75" customHeight="1" x14ac:dyDescent="0.3"/>
    <row r="2092" ht="15.75" customHeight="1" x14ac:dyDescent="0.3"/>
    <row r="2093" ht="15.75" customHeight="1" x14ac:dyDescent="0.3"/>
    <row r="2094" ht="15.75" customHeight="1" x14ac:dyDescent="0.3"/>
    <row r="2095" ht="15.75" customHeight="1" x14ac:dyDescent="0.3"/>
    <row r="2096" ht="15.75" customHeight="1" x14ac:dyDescent="0.3"/>
    <row r="2097" ht="15.75" customHeight="1" x14ac:dyDescent="0.3"/>
    <row r="2098" ht="15.75" customHeight="1" x14ac:dyDescent="0.3"/>
    <row r="2099" ht="15.75" customHeight="1" x14ac:dyDescent="0.3"/>
    <row r="2100" ht="15.75" customHeight="1" x14ac:dyDescent="0.3"/>
    <row r="2101" ht="15.75" customHeight="1" x14ac:dyDescent="0.3"/>
    <row r="2102" ht="15.75" customHeight="1" x14ac:dyDescent="0.3"/>
    <row r="2103" ht="15.75" customHeight="1" x14ac:dyDescent="0.3"/>
    <row r="2104" ht="15.75" customHeight="1" x14ac:dyDescent="0.3"/>
    <row r="2105" ht="15.75" customHeight="1" x14ac:dyDescent="0.3"/>
    <row r="2106" ht="15.75" customHeight="1" x14ac:dyDescent="0.3"/>
    <row r="2107" ht="15.75" customHeight="1" x14ac:dyDescent="0.3"/>
    <row r="2108" ht="15.75" customHeight="1" x14ac:dyDescent="0.3"/>
    <row r="2109" ht="15.75" customHeight="1" x14ac:dyDescent="0.3"/>
    <row r="2110" ht="15.75" customHeight="1" x14ac:dyDescent="0.3"/>
    <row r="2111" ht="15.75" customHeight="1" x14ac:dyDescent="0.3"/>
    <row r="2112" ht="15.75" customHeight="1" x14ac:dyDescent="0.3"/>
    <row r="2113" ht="15.75" customHeight="1" x14ac:dyDescent="0.3"/>
    <row r="2114" ht="15.75" customHeight="1" x14ac:dyDescent="0.3"/>
    <row r="2115" ht="15.75" customHeight="1" x14ac:dyDescent="0.3"/>
    <row r="2116" ht="15.75" customHeight="1" x14ac:dyDescent="0.3"/>
    <row r="2117" ht="15.75" customHeight="1" x14ac:dyDescent="0.3"/>
    <row r="2118" ht="15.75" customHeight="1" x14ac:dyDescent="0.3"/>
    <row r="2119" ht="15.75" customHeight="1" x14ac:dyDescent="0.3"/>
    <row r="2120" ht="15.75" customHeight="1" x14ac:dyDescent="0.3"/>
    <row r="2121" ht="15.75" customHeight="1" x14ac:dyDescent="0.3"/>
    <row r="2122" ht="15.75" customHeight="1" x14ac:dyDescent="0.3"/>
    <row r="2123" ht="15.75" customHeight="1" x14ac:dyDescent="0.3"/>
    <row r="2124" ht="15.75" customHeight="1" x14ac:dyDescent="0.3"/>
    <row r="2125" ht="15.75" customHeight="1" x14ac:dyDescent="0.3"/>
    <row r="2126" ht="15.75" customHeight="1" x14ac:dyDescent="0.3"/>
    <row r="2127" ht="15.75" customHeight="1" x14ac:dyDescent="0.3"/>
    <row r="2128" ht="15.75" customHeight="1" x14ac:dyDescent="0.3"/>
    <row r="2129" ht="15.75" customHeight="1" x14ac:dyDescent="0.3"/>
    <row r="2130" ht="15.75" customHeight="1" x14ac:dyDescent="0.3"/>
    <row r="2131" ht="15.75" customHeight="1" x14ac:dyDescent="0.3"/>
    <row r="2132" ht="15.75" customHeight="1" x14ac:dyDescent="0.3"/>
    <row r="2133" ht="15.75" customHeight="1" x14ac:dyDescent="0.3"/>
    <row r="2134" ht="15.75" customHeight="1" x14ac:dyDescent="0.3"/>
    <row r="2135" ht="15.75" customHeight="1" x14ac:dyDescent="0.3"/>
    <row r="2136" ht="15.75" customHeight="1" x14ac:dyDescent="0.3"/>
    <row r="2137" ht="15.75" customHeight="1" x14ac:dyDescent="0.3"/>
    <row r="2138" ht="15.75" customHeight="1" x14ac:dyDescent="0.3"/>
    <row r="2139" ht="15.75" customHeight="1" x14ac:dyDescent="0.3"/>
    <row r="2140" ht="15.75" customHeight="1" x14ac:dyDescent="0.3"/>
    <row r="2141" ht="15.75" customHeight="1" x14ac:dyDescent="0.3"/>
    <row r="2142" ht="15.75" customHeight="1" x14ac:dyDescent="0.3"/>
    <row r="2143" ht="15.75" customHeight="1" x14ac:dyDescent="0.3"/>
    <row r="2144" ht="15.75" customHeight="1" x14ac:dyDescent="0.3"/>
    <row r="2145" ht="15.75" customHeight="1" x14ac:dyDescent="0.3"/>
    <row r="2146" ht="15.75" customHeight="1" x14ac:dyDescent="0.3"/>
    <row r="2147" ht="15.75" customHeight="1" x14ac:dyDescent="0.3"/>
    <row r="2148" ht="15.75" customHeight="1" x14ac:dyDescent="0.3"/>
    <row r="2149" ht="15.75" customHeight="1" x14ac:dyDescent="0.3"/>
    <row r="2150" ht="15.75" customHeight="1" x14ac:dyDescent="0.3"/>
    <row r="2151" ht="15.75" customHeight="1" x14ac:dyDescent="0.3"/>
    <row r="2152" ht="15.75" customHeight="1" x14ac:dyDescent="0.3"/>
    <row r="2153" ht="15.75" customHeight="1" x14ac:dyDescent="0.3"/>
    <row r="2154" ht="15.75" customHeight="1" x14ac:dyDescent="0.3"/>
    <row r="2155" ht="15.75" customHeight="1" x14ac:dyDescent="0.3"/>
    <row r="2156" ht="15.75" customHeight="1" x14ac:dyDescent="0.3"/>
    <row r="2157" ht="15.75" customHeight="1" x14ac:dyDescent="0.3"/>
    <row r="2158" ht="15.75" customHeight="1" x14ac:dyDescent="0.3"/>
    <row r="2159" ht="15.75" customHeight="1" x14ac:dyDescent="0.3"/>
    <row r="2160" ht="15.75" customHeight="1" x14ac:dyDescent="0.3"/>
    <row r="2161" ht="15.75" customHeight="1" x14ac:dyDescent="0.3"/>
    <row r="2162" ht="15.75" customHeight="1" x14ac:dyDescent="0.3"/>
    <row r="2163" ht="15.75" customHeight="1" x14ac:dyDescent="0.3"/>
    <row r="2164" ht="15.75" customHeight="1" x14ac:dyDescent="0.3"/>
    <row r="2165" ht="15.75" customHeight="1" x14ac:dyDescent="0.3"/>
    <row r="2166" ht="15.75" customHeight="1" x14ac:dyDescent="0.3"/>
    <row r="2167" ht="15.75" customHeight="1" x14ac:dyDescent="0.3"/>
    <row r="2168" ht="15.75" customHeight="1" x14ac:dyDescent="0.3"/>
    <row r="2169" ht="15.75" customHeight="1" x14ac:dyDescent="0.3"/>
    <row r="2170" ht="15.75" customHeight="1" x14ac:dyDescent="0.3"/>
    <row r="2171" ht="15.75" customHeight="1" x14ac:dyDescent="0.3"/>
    <row r="2172" ht="15.75" customHeight="1" x14ac:dyDescent="0.3"/>
    <row r="2173" ht="15.75" customHeight="1" x14ac:dyDescent="0.3"/>
    <row r="2174" ht="15.75" customHeight="1" x14ac:dyDescent="0.3"/>
    <row r="2175" ht="15.75" customHeight="1" x14ac:dyDescent="0.3"/>
    <row r="2176" ht="15.75" customHeight="1" x14ac:dyDescent="0.3"/>
    <row r="2177" ht="15.75" customHeight="1" x14ac:dyDescent="0.3"/>
    <row r="2178" ht="15.75" customHeight="1" x14ac:dyDescent="0.3"/>
    <row r="2179" ht="15.75" customHeight="1" x14ac:dyDescent="0.3"/>
    <row r="2180" ht="15.75" customHeight="1" x14ac:dyDescent="0.3"/>
    <row r="2181" ht="15.75" customHeight="1" x14ac:dyDescent="0.3"/>
    <row r="2182" ht="15.75" customHeight="1" x14ac:dyDescent="0.3"/>
    <row r="2183" ht="15.75" customHeight="1" x14ac:dyDescent="0.3"/>
    <row r="2184" ht="15.75" customHeight="1" x14ac:dyDescent="0.3"/>
    <row r="2185" ht="15.75" customHeight="1" x14ac:dyDescent="0.3"/>
    <row r="2186" ht="15.75" customHeight="1" x14ac:dyDescent="0.3"/>
    <row r="2187" ht="15.75" customHeight="1" x14ac:dyDescent="0.3"/>
    <row r="2188" ht="15.75" customHeight="1" x14ac:dyDescent="0.3"/>
    <row r="2189" ht="15.75" customHeight="1" x14ac:dyDescent="0.3"/>
    <row r="2190" ht="15.75" customHeight="1" x14ac:dyDescent="0.3"/>
    <row r="2191" ht="15.75" customHeight="1" x14ac:dyDescent="0.3"/>
    <row r="2192" ht="15.75" customHeight="1" x14ac:dyDescent="0.3"/>
    <row r="2193" ht="15.75" customHeight="1" x14ac:dyDescent="0.3"/>
    <row r="2194" ht="15.75" customHeight="1" x14ac:dyDescent="0.3"/>
    <row r="2195" ht="15.75" customHeight="1" x14ac:dyDescent="0.3"/>
    <row r="2196" ht="15.75" customHeight="1" x14ac:dyDescent="0.3"/>
    <row r="2197" ht="15.75" customHeight="1" x14ac:dyDescent="0.3"/>
    <row r="2198" ht="15.75" customHeight="1" x14ac:dyDescent="0.3"/>
    <row r="2199" ht="15.75" customHeight="1" x14ac:dyDescent="0.3"/>
    <row r="2200" ht="15.75" customHeight="1" x14ac:dyDescent="0.3"/>
    <row r="2201" ht="15.75" customHeight="1" x14ac:dyDescent="0.3"/>
    <row r="2202" ht="15.75" customHeight="1" x14ac:dyDescent="0.3"/>
    <row r="2203" ht="15.75" customHeight="1" x14ac:dyDescent="0.3"/>
    <row r="2204" ht="15.75" customHeight="1" x14ac:dyDescent="0.3"/>
    <row r="2205" ht="15.75" customHeight="1" x14ac:dyDescent="0.3"/>
    <row r="2206" ht="15.75" customHeight="1" x14ac:dyDescent="0.3"/>
    <row r="2207" ht="15.75" customHeight="1" x14ac:dyDescent="0.3"/>
    <row r="2208" ht="15.75" customHeight="1" x14ac:dyDescent="0.3"/>
    <row r="2209" ht="15.75" customHeight="1" x14ac:dyDescent="0.3"/>
    <row r="2210" ht="15.75" customHeight="1" x14ac:dyDescent="0.3"/>
    <row r="2211" ht="15.75" customHeight="1" x14ac:dyDescent="0.3"/>
    <row r="2212" ht="15.75" customHeight="1" x14ac:dyDescent="0.3"/>
    <row r="2213" ht="15.75" customHeight="1" x14ac:dyDescent="0.3"/>
    <row r="2214" ht="15.75" customHeight="1" x14ac:dyDescent="0.3"/>
    <row r="2215" ht="15.75" customHeight="1" x14ac:dyDescent="0.3"/>
    <row r="2216" ht="15.75" customHeight="1" x14ac:dyDescent="0.3"/>
    <row r="2217" ht="15.75" customHeight="1" x14ac:dyDescent="0.3"/>
    <row r="2218" ht="15.75" customHeight="1" x14ac:dyDescent="0.3"/>
    <row r="2219" ht="15.75" customHeight="1" x14ac:dyDescent="0.3"/>
    <row r="2220" ht="15.75" customHeight="1" x14ac:dyDescent="0.3"/>
    <row r="2221" ht="15.75" customHeight="1" x14ac:dyDescent="0.3"/>
    <row r="2222" ht="15.75" customHeight="1" x14ac:dyDescent="0.3"/>
    <row r="2223" ht="15.75" customHeight="1" x14ac:dyDescent="0.3"/>
    <row r="2224" ht="15.75" customHeight="1" x14ac:dyDescent="0.3"/>
    <row r="2225" ht="15.75" customHeight="1" x14ac:dyDescent="0.3"/>
    <row r="2226" ht="15.75" customHeight="1" x14ac:dyDescent="0.3"/>
    <row r="2227" ht="15.75" customHeight="1" x14ac:dyDescent="0.3"/>
    <row r="2228" ht="15.75" customHeight="1" x14ac:dyDescent="0.3"/>
    <row r="2229" ht="15.75" customHeight="1" x14ac:dyDescent="0.3"/>
    <row r="2230" ht="15.75" customHeight="1" x14ac:dyDescent="0.3"/>
    <row r="2231" ht="15.75" customHeight="1" x14ac:dyDescent="0.3"/>
    <row r="2232" ht="15.75" customHeight="1" x14ac:dyDescent="0.3"/>
    <row r="2233" ht="15.75" customHeight="1" x14ac:dyDescent="0.3"/>
    <row r="2234" ht="15.75" customHeight="1" x14ac:dyDescent="0.3"/>
    <row r="2235" ht="15.75" customHeight="1" x14ac:dyDescent="0.3"/>
    <row r="2236" ht="15.75" customHeight="1" x14ac:dyDescent="0.3"/>
    <row r="2237" ht="15.75" customHeight="1" x14ac:dyDescent="0.3"/>
    <row r="2238" ht="15.75" customHeight="1" x14ac:dyDescent="0.3"/>
    <row r="2239" ht="15.75" customHeight="1" x14ac:dyDescent="0.3"/>
    <row r="2240" ht="15.75" customHeight="1" x14ac:dyDescent="0.3"/>
    <row r="2241" ht="15.75" customHeight="1" x14ac:dyDescent="0.3"/>
    <row r="2242" ht="15.75" customHeight="1" x14ac:dyDescent="0.3"/>
    <row r="2243" ht="15.75" customHeight="1" x14ac:dyDescent="0.3"/>
    <row r="2244" ht="15.75" customHeight="1" x14ac:dyDescent="0.3"/>
    <row r="2245" ht="15.75" customHeight="1" x14ac:dyDescent="0.3"/>
    <row r="2246" ht="15.75" customHeight="1" x14ac:dyDescent="0.3"/>
    <row r="2247" ht="15.75" customHeight="1" x14ac:dyDescent="0.3"/>
    <row r="2248" ht="15.75" customHeight="1" x14ac:dyDescent="0.3"/>
    <row r="2249" ht="15.75" customHeight="1" x14ac:dyDescent="0.3"/>
    <row r="2250" ht="15.75" customHeight="1" x14ac:dyDescent="0.3"/>
    <row r="2251" ht="15.75" customHeight="1" x14ac:dyDescent="0.3"/>
    <row r="2252" ht="15.75" customHeight="1" x14ac:dyDescent="0.3"/>
    <row r="2253" ht="15.75" customHeight="1" x14ac:dyDescent="0.3"/>
    <row r="2254" ht="15.75" customHeight="1" x14ac:dyDescent="0.3"/>
    <row r="2255" ht="15.75" customHeight="1" x14ac:dyDescent="0.3"/>
    <row r="2256" ht="15.75" customHeight="1" x14ac:dyDescent="0.3"/>
    <row r="2257" ht="15.75" customHeight="1" x14ac:dyDescent="0.3"/>
    <row r="2258" ht="15.75" customHeight="1" x14ac:dyDescent="0.3"/>
    <row r="2259" ht="15.75" customHeight="1" x14ac:dyDescent="0.3"/>
    <row r="2260" ht="15.75" customHeight="1" x14ac:dyDescent="0.3"/>
    <row r="2261" ht="15.75" customHeight="1" x14ac:dyDescent="0.3"/>
    <row r="2262" ht="15.75" customHeight="1" x14ac:dyDescent="0.3"/>
    <row r="2263" ht="15.75" customHeight="1" x14ac:dyDescent="0.3"/>
    <row r="2264" ht="15.75" customHeight="1" x14ac:dyDescent="0.3"/>
    <row r="2265" ht="15.75" customHeight="1" x14ac:dyDescent="0.3"/>
    <row r="2266" ht="15.75" customHeight="1" x14ac:dyDescent="0.3"/>
    <row r="2267" ht="15.75" customHeight="1" x14ac:dyDescent="0.3"/>
    <row r="2268" ht="15.75" customHeight="1" x14ac:dyDescent="0.3"/>
    <row r="2269" ht="15.75" customHeight="1" x14ac:dyDescent="0.3"/>
    <row r="2270" ht="15.75" customHeight="1" x14ac:dyDescent="0.3"/>
    <row r="2271" ht="15.75" customHeight="1" x14ac:dyDescent="0.3"/>
    <row r="2272" ht="15.75" customHeight="1" x14ac:dyDescent="0.3"/>
    <row r="2273" ht="15.75" customHeight="1" x14ac:dyDescent="0.3"/>
    <row r="2274" ht="15.75" customHeight="1" x14ac:dyDescent="0.3"/>
    <row r="2275" ht="15.75" customHeight="1" x14ac:dyDescent="0.3"/>
    <row r="2276" ht="15.75" customHeight="1" x14ac:dyDescent="0.3"/>
    <row r="2277" ht="15.75" customHeight="1" x14ac:dyDescent="0.3"/>
    <row r="2278" ht="15.75" customHeight="1" x14ac:dyDescent="0.3"/>
    <row r="2279" ht="15.75" customHeight="1" x14ac:dyDescent="0.3"/>
    <row r="2280" ht="15.75" customHeight="1" x14ac:dyDescent="0.3"/>
    <row r="2281" ht="15.75" customHeight="1" x14ac:dyDescent="0.3"/>
    <row r="2282" ht="15.75" customHeight="1" x14ac:dyDescent="0.3"/>
    <row r="2283" ht="15.75" customHeight="1" x14ac:dyDescent="0.3"/>
    <row r="2284" ht="15.75" customHeight="1" x14ac:dyDescent="0.3"/>
    <row r="2285" ht="15.75" customHeight="1" x14ac:dyDescent="0.3"/>
    <row r="2286" ht="15.75" customHeight="1" x14ac:dyDescent="0.3"/>
    <row r="2287" ht="15.75" customHeight="1" x14ac:dyDescent="0.3"/>
    <row r="2288" ht="15.75" customHeight="1" x14ac:dyDescent="0.3"/>
    <row r="2289" ht="15.75" customHeight="1" x14ac:dyDescent="0.3"/>
    <row r="2290" ht="15.75" customHeight="1" x14ac:dyDescent="0.3"/>
    <row r="2291" ht="15.75" customHeight="1" x14ac:dyDescent="0.3"/>
    <row r="2292" ht="15.75" customHeight="1" x14ac:dyDescent="0.3"/>
    <row r="2293" ht="15.75" customHeight="1" x14ac:dyDescent="0.3"/>
    <row r="2294" ht="15.75" customHeight="1" x14ac:dyDescent="0.3"/>
    <row r="2295" ht="15.75" customHeight="1" x14ac:dyDescent="0.3"/>
    <row r="2296" ht="15.75" customHeight="1" x14ac:dyDescent="0.3"/>
    <row r="2297" ht="15.75" customHeight="1" x14ac:dyDescent="0.3"/>
    <row r="2298" ht="15.75" customHeight="1" x14ac:dyDescent="0.3"/>
    <row r="2299" ht="15.75" customHeight="1" x14ac:dyDescent="0.3"/>
    <row r="2300" ht="15.75" customHeight="1" x14ac:dyDescent="0.3"/>
    <row r="2301" ht="15.75" customHeight="1" x14ac:dyDescent="0.3"/>
    <row r="2302" ht="15.75" customHeight="1" x14ac:dyDescent="0.3"/>
    <row r="2303" ht="15.75" customHeight="1" x14ac:dyDescent="0.3"/>
    <row r="2304" ht="15.75" customHeight="1" x14ac:dyDescent="0.3"/>
    <row r="2305" ht="15.75" customHeight="1" x14ac:dyDescent="0.3"/>
    <row r="2306" ht="15.75" customHeight="1" x14ac:dyDescent="0.3"/>
    <row r="2307" ht="15.75" customHeight="1" x14ac:dyDescent="0.3"/>
    <row r="2308" ht="15.75" customHeight="1" x14ac:dyDescent="0.3"/>
    <row r="2309" ht="15.75" customHeight="1" x14ac:dyDescent="0.3"/>
    <row r="2310" ht="15.75" customHeight="1" x14ac:dyDescent="0.3"/>
    <row r="2311" ht="15.75" customHeight="1" x14ac:dyDescent="0.3"/>
    <row r="2312" ht="15.75" customHeight="1" x14ac:dyDescent="0.3"/>
    <row r="2313" ht="15.75" customHeight="1" x14ac:dyDescent="0.3"/>
    <row r="2314" ht="15.75" customHeight="1" x14ac:dyDescent="0.3"/>
    <row r="2315" ht="15.75" customHeight="1" x14ac:dyDescent="0.3"/>
    <row r="2316" ht="15.75" customHeight="1" x14ac:dyDescent="0.3"/>
    <row r="2317" ht="15.75" customHeight="1" x14ac:dyDescent="0.3"/>
    <row r="2318" ht="15.75" customHeight="1" x14ac:dyDescent="0.3"/>
    <row r="2319" ht="15.75" customHeight="1" x14ac:dyDescent="0.3"/>
    <row r="2320" ht="15.75" customHeight="1" x14ac:dyDescent="0.3"/>
    <row r="2321" ht="15.75" customHeight="1" x14ac:dyDescent="0.3"/>
    <row r="2322" ht="15.75" customHeight="1" x14ac:dyDescent="0.3"/>
    <row r="2323" ht="15.75" customHeight="1" x14ac:dyDescent="0.3"/>
    <row r="2324" ht="15.75" customHeight="1" x14ac:dyDescent="0.3"/>
    <row r="2325" ht="15.75" customHeight="1" x14ac:dyDescent="0.3"/>
    <row r="2326" ht="15.75" customHeight="1" x14ac:dyDescent="0.3"/>
    <row r="2327" ht="15.75" customHeight="1" x14ac:dyDescent="0.3"/>
    <row r="2328" ht="15.75" customHeight="1" x14ac:dyDescent="0.3"/>
    <row r="2329" ht="15.75" customHeight="1" x14ac:dyDescent="0.3"/>
    <row r="2330" ht="15.75" customHeight="1" x14ac:dyDescent="0.3"/>
    <row r="2331" ht="15.75" customHeight="1" x14ac:dyDescent="0.3"/>
    <row r="2332" ht="15.75" customHeight="1" x14ac:dyDescent="0.3"/>
    <row r="2333" ht="15.75" customHeight="1" x14ac:dyDescent="0.3"/>
    <row r="2334" ht="15.75" customHeight="1" x14ac:dyDescent="0.3"/>
    <row r="2335" ht="15.75" customHeight="1" x14ac:dyDescent="0.3"/>
    <row r="2336" ht="15.75" customHeight="1" x14ac:dyDescent="0.3"/>
    <row r="2337" ht="15.75" customHeight="1" x14ac:dyDescent="0.3"/>
    <row r="2338" ht="15.75" customHeight="1" x14ac:dyDescent="0.3"/>
    <row r="2339" ht="15.75" customHeight="1" x14ac:dyDescent="0.3"/>
    <row r="2340" ht="15.75" customHeight="1" x14ac:dyDescent="0.3"/>
    <row r="2341" ht="15.75" customHeight="1" x14ac:dyDescent="0.3"/>
    <row r="2342" ht="15.75" customHeight="1" x14ac:dyDescent="0.3"/>
    <row r="2343" ht="15.75" customHeight="1" x14ac:dyDescent="0.3"/>
    <row r="2344" ht="15.75" customHeight="1" x14ac:dyDescent="0.3"/>
    <row r="2345" ht="15.75" customHeight="1" x14ac:dyDescent="0.3"/>
    <row r="2346" ht="15.75" customHeight="1" x14ac:dyDescent="0.3"/>
    <row r="2347" ht="15.75" customHeight="1" x14ac:dyDescent="0.3"/>
    <row r="2348" ht="15.75" customHeight="1" x14ac:dyDescent="0.3"/>
    <row r="2349" ht="15.75" customHeight="1" x14ac:dyDescent="0.3"/>
    <row r="2350" ht="15.75" customHeight="1" x14ac:dyDescent="0.3"/>
    <row r="2351" ht="15.75" customHeight="1" x14ac:dyDescent="0.3"/>
    <row r="2352" ht="15.75" customHeight="1" x14ac:dyDescent="0.3"/>
    <row r="2353" ht="15.75" customHeight="1" x14ac:dyDescent="0.3"/>
    <row r="2354" ht="15.75" customHeight="1" x14ac:dyDescent="0.3"/>
    <row r="2355" ht="15.75" customHeight="1" x14ac:dyDescent="0.3"/>
    <row r="2356" ht="15.75" customHeight="1" x14ac:dyDescent="0.3"/>
    <row r="2357" ht="15.75" customHeight="1" x14ac:dyDescent="0.3"/>
    <row r="2358" ht="15.75" customHeight="1" x14ac:dyDescent="0.3"/>
    <row r="2359" ht="15.75" customHeight="1" x14ac:dyDescent="0.3"/>
    <row r="2360" ht="15.75" customHeight="1" x14ac:dyDescent="0.3"/>
    <row r="2361" ht="15.75" customHeight="1" x14ac:dyDescent="0.3"/>
    <row r="2362" ht="15.75" customHeight="1" x14ac:dyDescent="0.3"/>
    <row r="2363" ht="15.75" customHeight="1" x14ac:dyDescent="0.3"/>
    <row r="2364" ht="15.75" customHeight="1" x14ac:dyDescent="0.3"/>
    <row r="2365" ht="15.75" customHeight="1" x14ac:dyDescent="0.3"/>
    <row r="2366" ht="15.75" customHeight="1" x14ac:dyDescent="0.3"/>
    <row r="2367" ht="15.75" customHeight="1" x14ac:dyDescent="0.3"/>
    <row r="2368" ht="15.75" customHeight="1" x14ac:dyDescent="0.3"/>
    <row r="2369" ht="15.75" customHeight="1" x14ac:dyDescent="0.3"/>
    <row r="2370" ht="15.75" customHeight="1" x14ac:dyDescent="0.3"/>
    <row r="2371" ht="15.75" customHeight="1" x14ac:dyDescent="0.3"/>
    <row r="2372" ht="15.75" customHeight="1" x14ac:dyDescent="0.3"/>
    <row r="2373" ht="15.75" customHeight="1" x14ac:dyDescent="0.3"/>
    <row r="2374" ht="15.75" customHeight="1" x14ac:dyDescent="0.3"/>
    <row r="2375" ht="15.75" customHeight="1" x14ac:dyDescent="0.3"/>
    <row r="2376" ht="15.75" customHeight="1" x14ac:dyDescent="0.3"/>
    <row r="2377" ht="15.75" customHeight="1" x14ac:dyDescent="0.3"/>
    <row r="2378" ht="15.75" customHeight="1" x14ac:dyDescent="0.3"/>
    <row r="2379" ht="15.75" customHeight="1" x14ac:dyDescent="0.3"/>
    <row r="2380" ht="15.75" customHeight="1" x14ac:dyDescent="0.3"/>
    <row r="2381" ht="15.75" customHeight="1" x14ac:dyDescent="0.3"/>
    <row r="2382" ht="15.75" customHeight="1" x14ac:dyDescent="0.3"/>
    <row r="2383" ht="15.75" customHeight="1" x14ac:dyDescent="0.3"/>
    <row r="2384" ht="15.75" customHeight="1" x14ac:dyDescent="0.3"/>
    <row r="2385" ht="15.75" customHeight="1" x14ac:dyDescent="0.3"/>
    <row r="2386" ht="15.75" customHeight="1" x14ac:dyDescent="0.3"/>
    <row r="2387" ht="15.75" customHeight="1" x14ac:dyDescent="0.3"/>
    <row r="2388" ht="15.75" customHeight="1" x14ac:dyDescent="0.3"/>
    <row r="2389" ht="15.75" customHeight="1" x14ac:dyDescent="0.3"/>
    <row r="2390" ht="15.75" customHeight="1" x14ac:dyDescent="0.3"/>
    <row r="2391" ht="15.75" customHeight="1" x14ac:dyDescent="0.3"/>
    <row r="2392" ht="15.75" customHeight="1" x14ac:dyDescent="0.3"/>
    <row r="2393" ht="15.75" customHeight="1" x14ac:dyDescent="0.3"/>
    <row r="2394" ht="15.75" customHeight="1" x14ac:dyDescent="0.3"/>
    <row r="2395" ht="15.75" customHeight="1" x14ac:dyDescent="0.3"/>
    <row r="2396" ht="15.75" customHeight="1" x14ac:dyDescent="0.3"/>
    <row r="2397" ht="15.75" customHeight="1" x14ac:dyDescent="0.3"/>
    <row r="2398" ht="15.75" customHeight="1" x14ac:dyDescent="0.3"/>
    <row r="2399" ht="15.75" customHeight="1" x14ac:dyDescent="0.3"/>
    <row r="2400" ht="15.75" customHeight="1" x14ac:dyDescent="0.3"/>
    <row r="2401" ht="15.75" customHeight="1" x14ac:dyDescent="0.3"/>
    <row r="2402" ht="15.75" customHeight="1" x14ac:dyDescent="0.3"/>
    <row r="2403" ht="15.75" customHeight="1" x14ac:dyDescent="0.3"/>
    <row r="2404" ht="15.75" customHeight="1" x14ac:dyDescent="0.3"/>
    <row r="2405" ht="15.75" customHeight="1" x14ac:dyDescent="0.3"/>
    <row r="2406" ht="15.75" customHeight="1" x14ac:dyDescent="0.3"/>
    <row r="2407" ht="15.75" customHeight="1" x14ac:dyDescent="0.3"/>
    <row r="2408" ht="15.75" customHeight="1" x14ac:dyDescent="0.3"/>
    <row r="2409" ht="15.75" customHeight="1" x14ac:dyDescent="0.3"/>
    <row r="2410" ht="15.75" customHeight="1" x14ac:dyDescent="0.3"/>
    <row r="2411" ht="15.75" customHeight="1" x14ac:dyDescent="0.3"/>
    <row r="2412" ht="15.75" customHeight="1" x14ac:dyDescent="0.3"/>
    <row r="2413" ht="15.75" customHeight="1" x14ac:dyDescent="0.3"/>
    <row r="2414" ht="15.75" customHeight="1" x14ac:dyDescent="0.3"/>
    <row r="2415" ht="15.75" customHeight="1" x14ac:dyDescent="0.3"/>
    <row r="2416" ht="15.75" customHeight="1" x14ac:dyDescent="0.3"/>
    <row r="2417" ht="15.75" customHeight="1" x14ac:dyDescent="0.3"/>
    <row r="2418" ht="15.75" customHeight="1" x14ac:dyDescent="0.3"/>
    <row r="2419" ht="15.75" customHeight="1" x14ac:dyDescent="0.3"/>
    <row r="2420" ht="15.75" customHeight="1" x14ac:dyDescent="0.3"/>
    <row r="2421" ht="15.75" customHeight="1" x14ac:dyDescent="0.3"/>
    <row r="2422" ht="15.75" customHeight="1" x14ac:dyDescent="0.3"/>
    <row r="2423" ht="15.75" customHeight="1" x14ac:dyDescent="0.3"/>
    <row r="2424" ht="15.75" customHeight="1" x14ac:dyDescent="0.3"/>
    <row r="2425" ht="15.75" customHeight="1" x14ac:dyDescent="0.3"/>
    <row r="2426" ht="15.75" customHeight="1" x14ac:dyDescent="0.3"/>
    <row r="2427" ht="15.75" customHeight="1" x14ac:dyDescent="0.3"/>
    <row r="2428" ht="15.75" customHeight="1" x14ac:dyDescent="0.3"/>
    <row r="2429" ht="15.75" customHeight="1" x14ac:dyDescent="0.3"/>
    <row r="2430" ht="15.75" customHeight="1" x14ac:dyDescent="0.3"/>
    <row r="2431" ht="15.75" customHeight="1" x14ac:dyDescent="0.3"/>
    <row r="2432" ht="15.75" customHeight="1" x14ac:dyDescent="0.3"/>
    <row r="2433" ht="15.75" customHeight="1" x14ac:dyDescent="0.3"/>
    <row r="2434" ht="15.75" customHeight="1" x14ac:dyDescent="0.3"/>
    <row r="2435" ht="15.75" customHeight="1" x14ac:dyDescent="0.3"/>
    <row r="2436" ht="15.75" customHeight="1" x14ac:dyDescent="0.3"/>
    <row r="2437" ht="15.75" customHeight="1" x14ac:dyDescent="0.3"/>
    <row r="2438" ht="15.75" customHeight="1" x14ac:dyDescent="0.3"/>
    <row r="2439" ht="15.75" customHeight="1" x14ac:dyDescent="0.3"/>
    <row r="2440" ht="15.75" customHeight="1" x14ac:dyDescent="0.3"/>
    <row r="2441" ht="15.75" customHeight="1" x14ac:dyDescent="0.3"/>
    <row r="2442" ht="15.75" customHeight="1" x14ac:dyDescent="0.3"/>
    <row r="2443" ht="15.75" customHeight="1" x14ac:dyDescent="0.3"/>
    <row r="2444" ht="15.75" customHeight="1" x14ac:dyDescent="0.3"/>
    <row r="2445" ht="15.75" customHeight="1" x14ac:dyDescent="0.3"/>
    <row r="2446" ht="15.75" customHeight="1" x14ac:dyDescent="0.3"/>
    <row r="2447" ht="15.75" customHeight="1" x14ac:dyDescent="0.3"/>
    <row r="2448" ht="15.75" customHeight="1" x14ac:dyDescent="0.3"/>
    <row r="2449" ht="15.75" customHeight="1" x14ac:dyDescent="0.3"/>
    <row r="2450" ht="15.75" customHeight="1" x14ac:dyDescent="0.3"/>
    <row r="2451" ht="15.75" customHeight="1" x14ac:dyDescent="0.3"/>
    <row r="2452" ht="15.75" customHeight="1" x14ac:dyDescent="0.3"/>
    <row r="2453" ht="15.75" customHeight="1" x14ac:dyDescent="0.3"/>
    <row r="2454" ht="15.75" customHeight="1" x14ac:dyDescent="0.3"/>
    <row r="2455" ht="15.75" customHeight="1" x14ac:dyDescent="0.3"/>
    <row r="2456" ht="15.75" customHeight="1" x14ac:dyDescent="0.3"/>
    <row r="2457" ht="15.75" customHeight="1" x14ac:dyDescent="0.3"/>
    <row r="2458" ht="15.75" customHeight="1" x14ac:dyDescent="0.3"/>
    <row r="2459" ht="15.75" customHeight="1" x14ac:dyDescent="0.3"/>
    <row r="2460" ht="15.75" customHeight="1" x14ac:dyDescent="0.3"/>
    <row r="2461" ht="15.75" customHeight="1" x14ac:dyDescent="0.3"/>
    <row r="2462" ht="15.75" customHeight="1" x14ac:dyDescent="0.3"/>
    <row r="2463" ht="15.75" customHeight="1" x14ac:dyDescent="0.3"/>
    <row r="2464" ht="15.75" customHeight="1" x14ac:dyDescent="0.3"/>
    <row r="2465" ht="15.75" customHeight="1" x14ac:dyDescent="0.3"/>
    <row r="2466" ht="15.75" customHeight="1" x14ac:dyDescent="0.3"/>
    <row r="2467" ht="15.75" customHeight="1" x14ac:dyDescent="0.3"/>
    <row r="2468" ht="15.75" customHeight="1" x14ac:dyDescent="0.3"/>
    <row r="2469" ht="15.75" customHeight="1" x14ac:dyDescent="0.3"/>
    <row r="2470" ht="15.75" customHeight="1" x14ac:dyDescent="0.3"/>
    <row r="2471" ht="15.75" customHeight="1" x14ac:dyDescent="0.3"/>
    <row r="2472" ht="15.75" customHeight="1" x14ac:dyDescent="0.3"/>
    <row r="2473" ht="15.75" customHeight="1" x14ac:dyDescent="0.3"/>
    <row r="2474" ht="15.75" customHeight="1" x14ac:dyDescent="0.3"/>
    <row r="2475" ht="15.75" customHeight="1" x14ac:dyDescent="0.3"/>
    <row r="2476" ht="15.75" customHeight="1" x14ac:dyDescent="0.3"/>
    <row r="2477" ht="15.75" customHeight="1" x14ac:dyDescent="0.3"/>
    <row r="2478" ht="15.75" customHeight="1" x14ac:dyDescent="0.3"/>
    <row r="2479" ht="15.75" customHeight="1" x14ac:dyDescent="0.3"/>
    <row r="2480" ht="15.75" customHeight="1" x14ac:dyDescent="0.3"/>
    <row r="2481" ht="15.75" customHeight="1" x14ac:dyDescent="0.3"/>
    <row r="2482" ht="15.75" customHeight="1" x14ac:dyDescent="0.3"/>
    <row r="2483" ht="15.75" customHeight="1" x14ac:dyDescent="0.3"/>
    <row r="2484" ht="15.75" customHeight="1" x14ac:dyDescent="0.3"/>
    <row r="2485" ht="15.75" customHeight="1" x14ac:dyDescent="0.3"/>
    <row r="2486" ht="15.75" customHeight="1" x14ac:dyDescent="0.3"/>
    <row r="2487" ht="15.75" customHeight="1" x14ac:dyDescent="0.3"/>
    <row r="2488" ht="15.75" customHeight="1" x14ac:dyDescent="0.3"/>
    <row r="2489" ht="15.75" customHeight="1" x14ac:dyDescent="0.3"/>
    <row r="2490" ht="15.75" customHeight="1" x14ac:dyDescent="0.3"/>
    <row r="2491" ht="15.75" customHeight="1" x14ac:dyDescent="0.3"/>
    <row r="2492" ht="15.75" customHeight="1" x14ac:dyDescent="0.3"/>
    <row r="2493" ht="15.75" customHeight="1" x14ac:dyDescent="0.3"/>
    <row r="2494" ht="15.75" customHeight="1" x14ac:dyDescent="0.3"/>
    <row r="2495" ht="15.75" customHeight="1" x14ac:dyDescent="0.3"/>
    <row r="2496" ht="15.75" customHeight="1" x14ac:dyDescent="0.3"/>
    <row r="2497" ht="15.75" customHeight="1" x14ac:dyDescent="0.3"/>
    <row r="2498" ht="15.75" customHeight="1" x14ac:dyDescent="0.3"/>
    <row r="2499" ht="15.75" customHeight="1" x14ac:dyDescent="0.3"/>
    <row r="2500" ht="15.75" customHeight="1" x14ac:dyDescent="0.3"/>
    <row r="2501" ht="15.75" customHeight="1" x14ac:dyDescent="0.3"/>
    <row r="2502" ht="15.75" customHeight="1" x14ac:dyDescent="0.3"/>
    <row r="2503" ht="15.75" customHeight="1" x14ac:dyDescent="0.3"/>
    <row r="2504" ht="15.75" customHeight="1" x14ac:dyDescent="0.3"/>
    <row r="2505" ht="15.75" customHeight="1" x14ac:dyDescent="0.3"/>
    <row r="2506" ht="15.75" customHeight="1" x14ac:dyDescent="0.3"/>
    <row r="2507" ht="15.75" customHeight="1" x14ac:dyDescent="0.3"/>
    <row r="2508" ht="15.75" customHeight="1" x14ac:dyDescent="0.3"/>
    <row r="2509" ht="15.75" customHeight="1" x14ac:dyDescent="0.3"/>
    <row r="2510" ht="15.75" customHeight="1" x14ac:dyDescent="0.3"/>
    <row r="2511" ht="15.75" customHeight="1" x14ac:dyDescent="0.3"/>
    <row r="2512" ht="15.75" customHeight="1" x14ac:dyDescent="0.3"/>
    <row r="2513" ht="15.75" customHeight="1" x14ac:dyDescent="0.3"/>
    <row r="2514" ht="15.75" customHeight="1" x14ac:dyDescent="0.3"/>
    <row r="2515" ht="15.75" customHeight="1" x14ac:dyDescent="0.3"/>
    <row r="2516" ht="15.75" customHeight="1" x14ac:dyDescent="0.3"/>
    <row r="2517" ht="15.75" customHeight="1" x14ac:dyDescent="0.3"/>
    <row r="2518" ht="15.75" customHeight="1" x14ac:dyDescent="0.3"/>
    <row r="2519" ht="15.75" customHeight="1" x14ac:dyDescent="0.3"/>
    <row r="2520" ht="15.75" customHeight="1" x14ac:dyDescent="0.3"/>
    <row r="2521" ht="15.75" customHeight="1" x14ac:dyDescent="0.3"/>
    <row r="2522" ht="15.75" customHeight="1" x14ac:dyDescent="0.3"/>
    <row r="2523" ht="15.75" customHeight="1" x14ac:dyDescent="0.3"/>
    <row r="2524" ht="15.75" customHeight="1" x14ac:dyDescent="0.3"/>
    <row r="2525" ht="15.75" customHeight="1" x14ac:dyDescent="0.3"/>
    <row r="2526" ht="15.75" customHeight="1" x14ac:dyDescent="0.3"/>
    <row r="2527" ht="15.75" customHeight="1" x14ac:dyDescent="0.3"/>
    <row r="2528" ht="15.75" customHeight="1" x14ac:dyDescent="0.3"/>
    <row r="2529" ht="15.75" customHeight="1" x14ac:dyDescent="0.3"/>
    <row r="2530" ht="15.75" customHeight="1" x14ac:dyDescent="0.3"/>
    <row r="2531" ht="15.75" customHeight="1" x14ac:dyDescent="0.3"/>
    <row r="2532" ht="15.75" customHeight="1" x14ac:dyDescent="0.3"/>
    <row r="2533" ht="15.75" customHeight="1" x14ac:dyDescent="0.3"/>
    <row r="2534" ht="15.75" customHeight="1" x14ac:dyDescent="0.3"/>
    <row r="2535" ht="15.75" customHeight="1" x14ac:dyDescent="0.3"/>
    <row r="2536" ht="15.75" customHeight="1" x14ac:dyDescent="0.3"/>
    <row r="2537" ht="15.75" customHeight="1" x14ac:dyDescent="0.3"/>
    <row r="2538" ht="15.75" customHeight="1" x14ac:dyDescent="0.3"/>
    <row r="2539" ht="15.75" customHeight="1" x14ac:dyDescent="0.3"/>
    <row r="2540" ht="15.75" customHeight="1" x14ac:dyDescent="0.3"/>
    <row r="2541" ht="15.75" customHeight="1" x14ac:dyDescent="0.3"/>
    <row r="2542" ht="15.75" customHeight="1" x14ac:dyDescent="0.3"/>
    <row r="2543" ht="15.75" customHeight="1" x14ac:dyDescent="0.3"/>
    <row r="2544" ht="15.75" customHeight="1" x14ac:dyDescent="0.3"/>
    <row r="2545" ht="15.75" customHeight="1" x14ac:dyDescent="0.3"/>
    <row r="2546" ht="15.75" customHeight="1" x14ac:dyDescent="0.3"/>
    <row r="2547" ht="15.75" customHeight="1" x14ac:dyDescent="0.3"/>
    <row r="2548" ht="15.75" customHeight="1" x14ac:dyDescent="0.3"/>
    <row r="2549" ht="15.75" customHeight="1" x14ac:dyDescent="0.3"/>
    <row r="2550" ht="15.75" customHeight="1" x14ac:dyDescent="0.3"/>
    <row r="2551" ht="15.75" customHeight="1" x14ac:dyDescent="0.3"/>
    <row r="2552" ht="15.75" customHeight="1" x14ac:dyDescent="0.3"/>
    <row r="2553" ht="15.75" customHeight="1" x14ac:dyDescent="0.3"/>
    <row r="2554" ht="15.75" customHeight="1" x14ac:dyDescent="0.3"/>
    <row r="2555" ht="15.75" customHeight="1" x14ac:dyDescent="0.3"/>
    <row r="2556" ht="15.75" customHeight="1" x14ac:dyDescent="0.3"/>
    <row r="2557" ht="15.75" customHeight="1" x14ac:dyDescent="0.3"/>
    <row r="2558" ht="15.75" customHeight="1" x14ac:dyDescent="0.3"/>
    <row r="2559" ht="15.75" customHeight="1" x14ac:dyDescent="0.3"/>
    <row r="2560" ht="15.75" customHeight="1" x14ac:dyDescent="0.3"/>
    <row r="2561" ht="15.75" customHeight="1" x14ac:dyDescent="0.3"/>
    <row r="2562" ht="15.75" customHeight="1" x14ac:dyDescent="0.3"/>
    <row r="2563" ht="15.75" customHeight="1" x14ac:dyDescent="0.3"/>
    <row r="2564" ht="15.75" customHeight="1" x14ac:dyDescent="0.3"/>
    <row r="2565" ht="15.75" customHeight="1" x14ac:dyDescent="0.3"/>
    <row r="2566" ht="15.75" customHeight="1" x14ac:dyDescent="0.3"/>
    <row r="2567" ht="15.75" customHeight="1" x14ac:dyDescent="0.3"/>
    <row r="2568" ht="15.75" customHeight="1" x14ac:dyDescent="0.3"/>
    <row r="2569" ht="15.75" customHeight="1" x14ac:dyDescent="0.3"/>
    <row r="2570" ht="15.75" customHeight="1" x14ac:dyDescent="0.3"/>
    <row r="2571" ht="15.75" customHeight="1" x14ac:dyDescent="0.3"/>
    <row r="2572" ht="15.75" customHeight="1" x14ac:dyDescent="0.3"/>
    <row r="2573" ht="15.75" customHeight="1" x14ac:dyDescent="0.3"/>
    <row r="2574" ht="15.75" customHeight="1" x14ac:dyDescent="0.3"/>
    <row r="2575" ht="15.75" customHeight="1" x14ac:dyDescent="0.3"/>
    <row r="2576" ht="15.75" customHeight="1" x14ac:dyDescent="0.3"/>
    <row r="2577" ht="15.75" customHeight="1" x14ac:dyDescent="0.3"/>
    <row r="2578" ht="15.75" customHeight="1" x14ac:dyDescent="0.3"/>
    <row r="2579" ht="15.75" customHeight="1" x14ac:dyDescent="0.3"/>
    <row r="2580" ht="15.75" customHeight="1" x14ac:dyDescent="0.3"/>
    <row r="2581" ht="15.75" customHeight="1" x14ac:dyDescent="0.3"/>
    <row r="2582" ht="15.75" customHeight="1" x14ac:dyDescent="0.3"/>
    <row r="2583" ht="15.75" customHeight="1" x14ac:dyDescent="0.3"/>
    <row r="2584" ht="15.75" customHeight="1" x14ac:dyDescent="0.3"/>
    <row r="2585" ht="15.75" customHeight="1" x14ac:dyDescent="0.3"/>
    <row r="2586" ht="15.75" customHeight="1" x14ac:dyDescent="0.3"/>
    <row r="2587" ht="15.75" customHeight="1" x14ac:dyDescent="0.3"/>
    <row r="2588" ht="15.75" customHeight="1" x14ac:dyDescent="0.3"/>
    <row r="2589" ht="15.75" customHeight="1" x14ac:dyDescent="0.3"/>
    <row r="2590" ht="15.75" customHeight="1" x14ac:dyDescent="0.3"/>
    <row r="2591" ht="15.75" customHeight="1" x14ac:dyDescent="0.3"/>
    <row r="2592" ht="15.75" customHeight="1" x14ac:dyDescent="0.3"/>
    <row r="2593" ht="15.75" customHeight="1" x14ac:dyDescent="0.3"/>
    <row r="2594" ht="15.75" customHeight="1" x14ac:dyDescent="0.3"/>
    <row r="2595" ht="15.75" customHeight="1" x14ac:dyDescent="0.3"/>
    <row r="2596" ht="15.75" customHeight="1" x14ac:dyDescent="0.3"/>
    <row r="2597" ht="15.75" customHeight="1" x14ac:dyDescent="0.3"/>
    <row r="2598" ht="15.75" customHeight="1" x14ac:dyDescent="0.3"/>
    <row r="2599" ht="15.75" customHeight="1" x14ac:dyDescent="0.3"/>
    <row r="2600" ht="15.75" customHeight="1" x14ac:dyDescent="0.3"/>
    <row r="2601" ht="15.75" customHeight="1" x14ac:dyDescent="0.3"/>
    <row r="2602" ht="15.75" customHeight="1" x14ac:dyDescent="0.3"/>
    <row r="2603" ht="15.75" customHeight="1" x14ac:dyDescent="0.3"/>
    <row r="2604" ht="15.75" customHeight="1" x14ac:dyDescent="0.3"/>
    <row r="2605" ht="15.75" customHeight="1" x14ac:dyDescent="0.3"/>
    <row r="2606" ht="15.75" customHeight="1" x14ac:dyDescent="0.3"/>
    <row r="2607" ht="15.75" customHeight="1" x14ac:dyDescent="0.3"/>
    <row r="2608" ht="15.75" customHeight="1" x14ac:dyDescent="0.3"/>
    <row r="2609" ht="15.75" customHeight="1" x14ac:dyDescent="0.3"/>
    <row r="2610" ht="15.75" customHeight="1" x14ac:dyDescent="0.3"/>
    <row r="2611" ht="15.75" customHeight="1" x14ac:dyDescent="0.3"/>
    <row r="2612" ht="15.75" customHeight="1" x14ac:dyDescent="0.3"/>
    <row r="2613" ht="15.75" customHeight="1" x14ac:dyDescent="0.3"/>
    <row r="2614" ht="15.75" customHeight="1" x14ac:dyDescent="0.3"/>
    <row r="2615" ht="15.75" customHeight="1" x14ac:dyDescent="0.3"/>
    <row r="2616" ht="15.75" customHeight="1" x14ac:dyDescent="0.3"/>
    <row r="2617" ht="15.75" customHeight="1" x14ac:dyDescent="0.3"/>
    <row r="2618" ht="15.75" customHeight="1" x14ac:dyDescent="0.3"/>
    <row r="2619" ht="15.75" customHeight="1" x14ac:dyDescent="0.3"/>
    <row r="2620" ht="15.75" customHeight="1" x14ac:dyDescent="0.3"/>
    <row r="2621" ht="15.75" customHeight="1" x14ac:dyDescent="0.3"/>
    <row r="2622" ht="15.75" customHeight="1" x14ac:dyDescent="0.3"/>
    <row r="2623" ht="15.75" customHeight="1" x14ac:dyDescent="0.3"/>
    <row r="2624" ht="15.75" customHeight="1" x14ac:dyDescent="0.3"/>
    <row r="2625" ht="15.75" customHeight="1" x14ac:dyDescent="0.3"/>
    <row r="2626" ht="15.75" customHeight="1" x14ac:dyDescent="0.3"/>
    <row r="2627" ht="15.75" customHeight="1" x14ac:dyDescent="0.3"/>
    <row r="2628" ht="15.75" customHeight="1" x14ac:dyDescent="0.3"/>
    <row r="2629" ht="15.75" customHeight="1" x14ac:dyDescent="0.3"/>
    <row r="2630" ht="15.75" customHeight="1" x14ac:dyDescent="0.3"/>
    <row r="2631" ht="15.75" customHeight="1" x14ac:dyDescent="0.3"/>
    <row r="2632" ht="15.75" customHeight="1" x14ac:dyDescent="0.3"/>
    <row r="2633" ht="15.75" customHeight="1" x14ac:dyDescent="0.3"/>
    <row r="2634" ht="15.75" customHeight="1" x14ac:dyDescent="0.3"/>
    <row r="2635" ht="15.75" customHeight="1" x14ac:dyDescent="0.3"/>
    <row r="2636" ht="15.75" customHeight="1" x14ac:dyDescent="0.3"/>
    <row r="2637" ht="15.75" customHeight="1" x14ac:dyDescent="0.3"/>
    <row r="2638" ht="15.75" customHeight="1" x14ac:dyDescent="0.3"/>
    <row r="2639" ht="15.75" customHeight="1" x14ac:dyDescent="0.3"/>
    <row r="2640" ht="15.75" customHeight="1" x14ac:dyDescent="0.3"/>
    <row r="2641" ht="15.75" customHeight="1" x14ac:dyDescent="0.3"/>
    <row r="2642" ht="15.75" customHeight="1" x14ac:dyDescent="0.3"/>
    <row r="2643" ht="15.75" customHeight="1" x14ac:dyDescent="0.3"/>
    <row r="2644" ht="15.75" customHeight="1" x14ac:dyDescent="0.3"/>
    <row r="2645" ht="15.75" customHeight="1" x14ac:dyDescent="0.3"/>
    <row r="2646" ht="15.75" customHeight="1" x14ac:dyDescent="0.3"/>
    <row r="2647" ht="15.75" customHeight="1" x14ac:dyDescent="0.3"/>
    <row r="2648" ht="15.75" customHeight="1" x14ac:dyDescent="0.3"/>
    <row r="2649" ht="15.75" customHeight="1" x14ac:dyDescent="0.3"/>
    <row r="2650" ht="15.75" customHeight="1" x14ac:dyDescent="0.3"/>
    <row r="2651" ht="15.75" customHeight="1" x14ac:dyDescent="0.3"/>
    <row r="2652" ht="15.75" customHeight="1" x14ac:dyDescent="0.3"/>
    <row r="2653" ht="15.75" customHeight="1" x14ac:dyDescent="0.3"/>
    <row r="2654" ht="15.75" customHeight="1" x14ac:dyDescent="0.3"/>
    <row r="2655" ht="15.75" customHeight="1" x14ac:dyDescent="0.3"/>
    <row r="2656" ht="15.75" customHeight="1" x14ac:dyDescent="0.3"/>
    <row r="2657" ht="15.75" customHeight="1" x14ac:dyDescent="0.3"/>
    <row r="2658" ht="15.75" customHeight="1" x14ac:dyDescent="0.3"/>
    <row r="2659" ht="15.75" customHeight="1" x14ac:dyDescent="0.3"/>
    <row r="2660" ht="15.75" customHeight="1" x14ac:dyDescent="0.3"/>
    <row r="2661" ht="15.75" customHeight="1" x14ac:dyDescent="0.3"/>
    <row r="2662" ht="15.75" customHeight="1" x14ac:dyDescent="0.3"/>
    <row r="2663" ht="15.75" customHeight="1" x14ac:dyDescent="0.3"/>
    <row r="2664" ht="15.75" customHeight="1" x14ac:dyDescent="0.3"/>
    <row r="2665" ht="15.75" customHeight="1" x14ac:dyDescent="0.3"/>
    <row r="2666" ht="15.75" customHeight="1" x14ac:dyDescent="0.3"/>
    <row r="2667" ht="15.75" customHeight="1" x14ac:dyDescent="0.3"/>
    <row r="2668" ht="15.75" customHeight="1" x14ac:dyDescent="0.3"/>
    <row r="2669" ht="15.75" customHeight="1" x14ac:dyDescent="0.3"/>
    <row r="2670" ht="15.75" customHeight="1" x14ac:dyDescent="0.3"/>
    <row r="2671" ht="15.75" customHeight="1" x14ac:dyDescent="0.3"/>
    <row r="2672" ht="15.75" customHeight="1" x14ac:dyDescent="0.3"/>
    <row r="2673" ht="15.75" customHeight="1" x14ac:dyDescent="0.3"/>
    <row r="2674" ht="15.75" customHeight="1" x14ac:dyDescent="0.3"/>
    <row r="2675" ht="15.75" customHeight="1" x14ac:dyDescent="0.3"/>
    <row r="2676" ht="15.75" customHeight="1" x14ac:dyDescent="0.3"/>
    <row r="2677" ht="15.75" customHeight="1" x14ac:dyDescent="0.3"/>
    <row r="2678" ht="15.75" customHeight="1" x14ac:dyDescent="0.3"/>
    <row r="2679" ht="15.75" customHeight="1" x14ac:dyDescent="0.3"/>
    <row r="2680" ht="15.75" customHeight="1" x14ac:dyDescent="0.3"/>
    <row r="2681" ht="15.75" customHeight="1" x14ac:dyDescent="0.3"/>
    <row r="2682" ht="15.75" customHeight="1" x14ac:dyDescent="0.3"/>
    <row r="2683" ht="15.75" customHeight="1" x14ac:dyDescent="0.3"/>
    <row r="2684" ht="15.75" customHeight="1" x14ac:dyDescent="0.3"/>
    <row r="2685" ht="15.75" customHeight="1" x14ac:dyDescent="0.3"/>
    <row r="2686" ht="15.75" customHeight="1" x14ac:dyDescent="0.3"/>
    <row r="2687" ht="15.75" customHeight="1" x14ac:dyDescent="0.3"/>
    <row r="2688" ht="15.75" customHeight="1" x14ac:dyDescent="0.3"/>
    <row r="2689" ht="15.75" customHeight="1" x14ac:dyDescent="0.3"/>
    <row r="2690" ht="15.75" customHeight="1" x14ac:dyDescent="0.3"/>
    <row r="2691" ht="15.75" customHeight="1" x14ac:dyDescent="0.3"/>
    <row r="2692" ht="15.75" customHeight="1" x14ac:dyDescent="0.3"/>
    <row r="2693" ht="15.75" customHeight="1" x14ac:dyDescent="0.3"/>
    <row r="2694" ht="15.75" customHeight="1" x14ac:dyDescent="0.3"/>
    <row r="2695" ht="15.75" customHeight="1" x14ac:dyDescent="0.3"/>
    <row r="2696" ht="15.75" customHeight="1" x14ac:dyDescent="0.3"/>
    <row r="2697" ht="15.75" customHeight="1" x14ac:dyDescent="0.3"/>
    <row r="2698" ht="15.75" customHeight="1" x14ac:dyDescent="0.3"/>
    <row r="2699" ht="15.75" customHeight="1" x14ac:dyDescent="0.3"/>
    <row r="2700" ht="15.75" customHeight="1" x14ac:dyDescent="0.3"/>
    <row r="2701" ht="15.75" customHeight="1" x14ac:dyDescent="0.3"/>
    <row r="2702" ht="15.75" customHeight="1" x14ac:dyDescent="0.3"/>
    <row r="2703" ht="15.75" customHeight="1" x14ac:dyDescent="0.3"/>
    <row r="2704" ht="15.75" customHeight="1" x14ac:dyDescent="0.3"/>
    <row r="2705" ht="15.75" customHeight="1" x14ac:dyDescent="0.3"/>
    <row r="2706" ht="15.75" customHeight="1" x14ac:dyDescent="0.3"/>
    <row r="2707" ht="15.75" customHeight="1" x14ac:dyDescent="0.3"/>
    <row r="2708" ht="15.75" customHeight="1" x14ac:dyDescent="0.3"/>
    <row r="2709" ht="15.75" customHeight="1" x14ac:dyDescent="0.3"/>
    <row r="2710" ht="15.75" customHeight="1" x14ac:dyDescent="0.3"/>
    <row r="2711" ht="15.75" customHeight="1" x14ac:dyDescent="0.3"/>
    <row r="2712" ht="15.75" customHeight="1" x14ac:dyDescent="0.3"/>
    <row r="2713" ht="15.75" customHeight="1" x14ac:dyDescent="0.3"/>
    <row r="2714" ht="15.75" customHeight="1" x14ac:dyDescent="0.3"/>
    <row r="2715" ht="15.75" customHeight="1" x14ac:dyDescent="0.3"/>
    <row r="2716" ht="15.75" customHeight="1" x14ac:dyDescent="0.3"/>
    <row r="2717" ht="15.75" customHeight="1" x14ac:dyDescent="0.3"/>
    <row r="2718" ht="15.75" customHeight="1" x14ac:dyDescent="0.3"/>
    <row r="2719" ht="15.75" customHeight="1" x14ac:dyDescent="0.3"/>
    <row r="2720" ht="15.75" customHeight="1" x14ac:dyDescent="0.3"/>
    <row r="2721" ht="15.75" customHeight="1" x14ac:dyDescent="0.3"/>
    <row r="2722" ht="15.75" customHeight="1" x14ac:dyDescent="0.3"/>
    <row r="2723" ht="15.75" customHeight="1" x14ac:dyDescent="0.3"/>
    <row r="2724" ht="15.75" customHeight="1" x14ac:dyDescent="0.3"/>
    <row r="2725" ht="15.75" customHeight="1" x14ac:dyDescent="0.3"/>
    <row r="2726" ht="15.75" customHeight="1" x14ac:dyDescent="0.3"/>
    <row r="2727" ht="15.75" customHeight="1" x14ac:dyDescent="0.3"/>
    <row r="2728" ht="15.75" customHeight="1" x14ac:dyDescent="0.3"/>
    <row r="2729" ht="15.75" customHeight="1" x14ac:dyDescent="0.3"/>
    <row r="2730" ht="15.75" customHeight="1" x14ac:dyDescent="0.3"/>
    <row r="2731" ht="15.75" customHeight="1" x14ac:dyDescent="0.3"/>
    <row r="2732" ht="15.75" customHeight="1" x14ac:dyDescent="0.3"/>
    <row r="2733" ht="15.75" customHeight="1" x14ac:dyDescent="0.3"/>
    <row r="2734" ht="15.75" customHeight="1" x14ac:dyDescent="0.3"/>
    <row r="2735" ht="15.75" customHeight="1" x14ac:dyDescent="0.3"/>
    <row r="2736" ht="15.75" customHeight="1" x14ac:dyDescent="0.3"/>
    <row r="2737" ht="15.75" customHeight="1" x14ac:dyDescent="0.3"/>
    <row r="2738" ht="15.75" customHeight="1" x14ac:dyDescent="0.3"/>
    <row r="2739" ht="15.75" customHeight="1" x14ac:dyDescent="0.3"/>
    <row r="2740" ht="15.75" customHeight="1" x14ac:dyDescent="0.3"/>
    <row r="2741" ht="15.75" customHeight="1" x14ac:dyDescent="0.3"/>
    <row r="2742" ht="15.75" customHeight="1" x14ac:dyDescent="0.3"/>
    <row r="2743" ht="15.75" customHeight="1" x14ac:dyDescent="0.3"/>
    <row r="2744" ht="15.75" customHeight="1" x14ac:dyDescent="0.3"/>
    <row r="2745" ht="15.75" customHeight="1" x14ac:dyDescent="0.3"/>
    <row r="2746" ht="15.75" customHeight="1" x14ac:dyDescent="0.3"/>
    <row r="2747" ht="15.75" customHeight="1" x14ac:dyDescent="0.3"/>
    <row r="2748" ht="15.75" customHeight="1" x14ac:dyDescent="0.3"/>
    <row r="2749" ht="15.75" customHeight="1" x14ac:dyDescent="0.3"/>
    <row r="2750" ht="15.75" customHeight="1" x14ac:dyDescent="0.3"/>
    <row r="2751" ht="15.75" customHeight="1" x14ac:dyDescent="0.3"/>
    <row r="2752" ht="15.75" customHeight="1" x14ac:dyDescent="0.3"/>
    <row r="2753" ht="15.75" customHeight="1" x14ac:dyDescent="0.3"/>
    <row r="2754" ht="15.75" customHeight="1" x14ac:dyDescent="0.3"/>
    <row r="2755" ht="15.75" customHeight="1" x14ac:dyDescent="0.3"/>
    <row r="2756" ht="15.75" customHeight="1" x14ac:dyDescent="0.3"/>
    <row r="2757" ht="15.75" customHeight="1" x14ac:dyDescent="0.3"/>
    <row r="2758" ht="15.75" customHeight="1" x14ac:dyDescent="0.3"/>
    <row r="2759" ht="15.75" customHeight="1" x14ac:dyDescent="0.3"/>
    <row r="2760" ht="15.75" customHeight="1" x14ac:dyDescent="0.3"/>
    <row r="2761" ht="15.75" customHeight="1" x14ac:dyDescent="0.3"/>
    <row r="2762" ht="15.75" customHeight="1" x14ac:dyDescent="0.3"/>
    <row r="2763" ht="15.75" customHeight="1" x14ac:dyDescent="0.3"/>
    <row r="2764" ht="15.75" customHeight="1" x14ac:dyDescent="0.3"/>
    <row r="2765" ht="15.75" customHeight="1" x14ac:dyDescent="0.3"/>
    <row r="2766" ht="15.75" customHeight="1" x14ac:dyDescent="0.3"/>
    <row r="2767" ht="15.75" customHeight="1" x14ac:dyDescent="0.3"/>
    <row r="2768" ht="15.75" customHeight="1" x14ac:dyDescent="0.3"/>
    <row r="2769" ht="15.75" customHeight="1" x14ac:dyDescent="0.3"/>
    <row r="2770" ht="15.75" customHeight="1" x14ac:dyDescent="0.3"/>
    <row r="2771" ht="15.75" customHeight="1" x14ac:dyDescent="0.3"/>
    <row r="2772" ht="15.75" customHeight="1" x14ac:dyDescent="0.3"/>
    <row r="2773" ht="15.75" customHeight="1" x14ac:dyDescent="0.3"/>
    <row r="2774" ht="15.75" customHeight="1" x14ac:dyDescent="0.3"/>
    <row r="2775" ht="15.75" customHeight="1" x14ac:dyDescent="0.3"/>
    <row r="2776" ht="15.75" customHeight="1" x14ac:dyDescent="0.3"/>
    <row r="2777" ht="15.75" customHeight="1" x14ac:dyDescent="0.3"/>
    <row r="2778" ht="15.75" customHeight="1" x14ac:dyDescent="0.3"/>
    <row r="2779" ht="15.75" customHeight="1" x14ac:dyDescent="0.3"/>
    <row r="2780" ht="15.75" customHeight="1" x14ac:dyDescent="0.3"/>
    <row r="2781" ht="15.75" customHeight="1" x14ac:dyDescent="0.3"/>
    <row r="2782" ht="15.75" customHeight="1" x14ac:dyDescent="0.3"/>
    <row r="2783" ht="15.75" customHeight="1" x14ac:dyDescent="0.3"/>
    <row r="2784" ht="15.75" customHeight="1" x14ac:dyDescent="0.3"/>
    <row r="2785" ht="15.75" customHeight="1" x14ac:dyDescent="0.3"/>
    <row r="2786" ht="15.75" customHeight="1" x14ac:dyDescent="0.3"/>
    <row r="2787" ht="15.75" customHeight="1" x14ac:dyDescent="0.3"/>
    <row r="2788" ht="15.75" customHeight="1" x14ac:dyDescent="0.3"/>
    <row r="2789" ht="15.75" customHeight="1" x14ac:dyDescent="0.3"/>
    <row r="2790" ht="15.75" customHeight="1" x14ac:dyDescent="0.3"/>
    <row r="2791" ht="15.75" customHeight="1" x14ac:dyDescent="0.3"/>
    <row r="2792" ht="15.75" customHeight="1" x14ac:dyDescent="0.3"/>
    <row r="2793" ht="15.75" customHeight="1" x14ac:dyDescent="0.3"/>
    <row r="2794" ht="15.75" customHeight="1" x14ac:dyDescent="0.3"/>
    <row r="2795" ht="15.75" customHeight="1" x14ac:dyDescent="0.3"/>
    <row r="2796" ht="15.75" customHeight="1" x14ac:dyDescent="0.3"/>
    <row r="2797" ht="15.75" customHeight="1" x14ac:dyDescent="0.3"/>
    <row r="2798" ht="15.75" customHeight="1" x14ac:dyDescent="0.3"/>
    <row r="2799" ht="15.75" customHeight="1" x14ac:dyDescent="0.3"/>
    <row r="2800" ht="15.75" customHeight="1" x14ac:dyDescent="0.3"/>
    <row r="2801" ht="15.75" customHeight="1" x14ac:dyDescent="0.3"/>
    <row r="2802" ht="15.75" customHeight="1" x14ac:dyDescent="0.3"/>
    <row r="2803" ht="15.75" customHeight="1" x14ac:dyDescent="0.3"/>
    <row r="2804" ht="15.75" customHeight="1" x14ac:dyDescent="0.3"/>
    <row r="2805" ht="15.75" customHeight="1" x14ac:dyDescent="0.3"/>
    <row r="2806" ht="15.75" customHeight="1" x14ac:dyDescent="0.3"/>
    <row r="2807" ht="15.75" customHeight="1" x14ac:dyDescent="0.3"/>
    <row r="2808" ht="15.75" customHeight="1" x14ac:dyDescent="0.3"/>
    <row r="2809" ht="15.75" customHeight="1" x14ac:dyDescent="0.3"/>
    <row r="2810" ht="15.75" customHeight="1" x14ac:dyDescent="0.3"/>
    <row r="2811" ht="15.75" customHeight="1" x14ac:dyDescent="0.3"/>
    <row r="2812" ht="15.75" customHeight="1" x14ac:dyDescent="0.3"/>
    <row r="2813" ht="15.75" customHeight="1" x14ac:dyDescent="0.3"/>
    <row r="2814" ht="15.75" customHeight="1" x14ac:dyDescent="0.3"/>
    <row r="2815" ht="15.75" customHeight="1" x14ac:dyDescent="0.3"/>
    <row r="2816" ht="15.75" customHeight="1" x14ac:dyDescent="0.3"/>
    <row r="2817" ht="15.75" customHeight="1" x14ac:dyDescent="0.3"/>
    <row r="2818" ht="15.75" customHeight="1" x14ac:dyDescent="0.3"/>
    <row r="2819" ht="15.75" customHeight="1" x14ac:dyDescent="0.3"/>
    <row r="2820" ht="15.75" customHeight="1" x14ac:dyDescent="0.3"/>
    <row r="2821" ht="15.75" customHeight="1" x14ac:dyDescent="0.3"/>
    <row r="2822" ht="15.75" customHeight="1" x14ac:dyDescent="0.3"/>
    <row r="2823" ht="15.75" customHeight="1" x14ac:dyDescent="0.3"/>
    <row r="2824" ht="15.75" customHeight="1" x14ac:dyDescent="0.3"/>
    <row r="2825" ht="15.75" customHeight="1" x14ac:dyDescent="0.3"/>
    <row r="2826" ht="15.75" customHeight="1" x14ac:dyDescent="0.3"/>
    <row r="2827" ht="15.75" customHeight="1" x14ac:dyDescent="0.3"/>
    <row r="2828" ht="15.75" customHeight="1" x14ac:dyDescent="0.3"/>
    <row r="2829" ht="15.75" customHeight="1" x14ac:dyDescent="0.3"/>
    <row r="2830" ht="15.75" customHeight="1" x14ac:dyDescent="0.3"/>
    <row r="2831" ht="15.75" customHeight="1" x14ac:dyDescent="0.3"/>
    <row r="2832" ht="15.75" customHeight="1" x14ac:dyDescent="0.3"/>
    <row r="2833" ht="15.75" customHeight="1" x14ac:dyDescent="0.3"/>
    <row r="2834" ht="15.75" customHeight="1" x14ac:dyDescent="0.3"/>
    <row r="2835" ht="15.75" customHeight="1" x14ac:dyDescent="0.3"/>
    <row r="2836" ht="15.75" customHeight="1" x14ac:dyDescent="0.3"/>
    <row r="2837" ht="15.75" customHeight="1" x14ac:dyDescent="0.3"/>
    <row r="2838" ht="15.75" customHeight="1" x14ac:dyDescent="0.3"/>
    <row r="2839" ht="15.75" customHeight="1" x14ac:dyDescent="0.3"/>
    <row r="2840" ht="15.75" customHeight="1" x14ac:dyDescent="0.3"/>
    <row r="2841" ht="15.75" customHeight="1" x14ac:dyDescent="0.3"/>
    <row r="2842" ht="15.75" customHeight="1" x14ac:dyDescent="0.3"/>
    <row r="2843" ht="15.75" customHeight="1" x14ac:dyDescent="0.3"/>
    <row r="2844" ht="15.75" customHeight="1" x14ac:dyDescent="0.3"/>
    <row r="2845" ht="15.75" customHeight="1" x14ac:dyDescent="0.3"/>
    <row r="2846" ht="15.75" customHeight="1" x14ac:dyDescent="0.3"/>
    <row r="2847" ht="15.75" customHeight="1" x14ac:dyDescent="0.3"/>
    <row r="2848" ht="15.75" customHeight="1" x14ac:dyDescent="0.3"/>
    <row r="2849" ht="15.75" customHeight="1" x14ac:dyDescent="0.3"/>
    <row r="2850" ht="15.75" customHeight="1" x14ac:dyDescent="0.3"/>
    <row r="2851" ht="15.75" customHeight="1" x14ac:dyDescent="0.3"/>
    <row r="2852" ht="15.75" customHeight="1" x14ac:dyDescent="0.3"/>
    <row r="2853" ht="15.75" customHeight="1" x14ac:dyDescent="0.3"/>
    <row r="2854" ht="15.75" customHeight="1" x14ac:dyDescent="0.3"/>
    <row r="2855" ht="15.75" customHeight="1" x14ac:dyDescent="0.3"/>
    <row r="2856" ht="15.75" customHeight="1" x14ac:dyDescent="0.3"/>
    <row r="2857" ht="15.75" customHeight="1" x14ac:dyDescent="0.3"/>
    <row r="2858" ht="15.75" customHeight="1" x14ac:dyDescent="0.3"/>
    <row r="2859" ht="15.75" customHeight="1" x14ac:dyDescent="0.3"/>
    <row r="2860" ht="15.75" customHeight="1" x14ac:dyDescent="0.3"/>
    <row r="2861" ht="15.75" customHeight="1" x14ac:dyDescent="0.3"/>
    <row r="2862" ht="15.75" customHeight="1" x14ac:dyDescent="0.3"/>
    <row r="2863" ht="15.75" customHeight="1" x14ac:dyDescent="0.3"/>
    <row r="2864" ht="15.75" customHeight="1" x14ac:dyDescent="0.3"/>
    <row r="2865" ht="15.75" customHeight="1" x14ac:dyDescent="0.3"/>
    <row r="2866" ht="15.75" customHeight="1" x14ac:dyDescent="0.3"/>
    <row r="2867" ht="15.75" customHeight="1" x14ac:dyDescent="0.3"/>
    <row r="2868" ht="15.75" customHeight="1" x14ac:dyDescent="0.3"/>
    <row r="2869" ht="15.75" customHeight="1" x14ac:dyDescent="0.3"/>
    <row r="2870" ht="15.75" customHeight="1" x14ac:dyDescent="0.3"/>
    <row r="2871" ht="15.75" customHeight="1" x14ac:dyDescent="0.3"/>
    <row r="2872" ht="15.75" customHeight="1" x14ac:dyDescent="0.3"/>
    <row r="2873" ht="15.75" customHeight="1" x14ac:dyDescent="0.3"/>
    <row r="2874" ht="15.75" customHeight="1" x14ac:dyDescent="0.3"/>
    <row r="2875" ht="15.75" customHeight="1" x14ac:dyDescent="0.3"/>
    <row r="2876" ht="15.75" customHeight="1" x14ac:dyDescent="0.3"/>
    <row r="2877" ht="15.75" customHeight="1" x14ac:dyDescent="0.3"/>
    <row r="2878" ht="15.75" customHeight="1" x14ac:dyDescent="0.3"/>
    <row r="2879" ht="15.75" customHeight="1" x14ac:dyDescent="0.3"/>
    <row r="2880" ht="15.75" customHeight="1" x14ac:dyDescent="0.3"/>
    <row r="2881" ht="15.75" customHeight="1" x14ac:dyDescent="0.3"/>
    <row r="2882" ht="15.75" customHeight="1" x14ac:dyDescent="0.3"/>
    <row r="2883" ht="15.75" customHeight="1" x14ac:dyDescent="0.3"/>
    <row r="2884" ht="15.75" customHeight="1" x14ac:dyDescent="0.3"/>
    <row r="2885" ht="15.75" customHeight="1" x14ac:dyDescent="0.3"/>
    <row r="2886" ht="15.75" customHeight="1" x14ac:dyDescent="0.3"/>
    <row r="2887" ht="15.75" customHeight="1" x14ac:dyDescent="0.3"/>
    <row r="2888" ht="15.75" customHeight="1" x14ac:dyDescent="0.3"/>
    <row r="2889" ht="15.75" customHeight="1" x14ac:dyDescent="0.3"/>
    <row r="2890" ht="15.75" customHeight="1" x14ac:dyDescent="0.3"/>
    <row r="2891" ht="15.75" customHeight="1" x14ac:dyDescent="0.3"/>
    <row r="2892" ht="15.75" customHeight="1" x14ac:dyDescent="0.3"/>
    <row r="2893" ht="15.75" customHeight="1" x14ac:dyDescent="0.3"/>
    <row r="2894" ht="15.75" customHeight="1" x14ac:dyDescent="0.3"/>
    <row r="2895" ht="15.75" customHeight="1" x14ac:dyDescent="0.3"/>
    <row r="2896" ht="15.75" customHeight="1" x14ac:dyDescent="0.3"/>
    <row r="2897" ht="15.75" customHeight="1" x14ac:dyDescent="0.3"/>
    <row r="2898" ht="15.75" customHeight="1" x14ac:dyDescent="0.3"/>
    <row r="2899" ht="15.75" customHeight="1" x14ac:dyDescent="0.3"/>
    <row r="2900" ht="15.75" customHeight="1" x14ac:dyDescent="0.3"/>
    <row r="2901" ht="15.75" customHeight="1" x14ac:dyDescent="0.3"/>
    <row r="2902" ht="15.75" customHeight="1" x14ac:dyDescent="0.3"/>
    <row r="2903" ht="15.75" customHeight="1" x14ac:dyDescent="0.3"/>
    <row r="2904" ht="15.75" customHeight="1" x14ac:dyDescent="0.3"/>
    <row r="2905" ht="15.75" customHeight="1" x14ac:dyDescent="0.3"/>
    <row r="2906" ht="15.75" customHeight="1" x14ac:dyDescent="0.3"/>
    <row r="2907" ht="15.75" customHeight="1" x14ac:dyDescent="0.3"/>
    <row r="2908" ht="15.75" customHeight="1" x14ac:dyDescent="0.3"/>
    <row r="2909" ht="15.75" customHeight="1" x14ac:dyDescent="0.3"/>
    <row r="2910" ht="15.75" customHeight="1" x14ac:dyDescent="0.3"/>
    <row r="2911" ht="15.75" customHeight="1" x14ac:dyDescent="0.3"/>
    <row r="2912" ht="15.75" customHeight="1" x14ac:dyDescent="0.3"/>
    <row r="2913" ht="15.75" customHeight="1" x14ac:dyDescent="0.3"/>
    <row r="2914" ht="15.75" customHeight="1" x14ac:dyDescent="0.3"/>
    <row r="2915" ht="15.75" customHeight="1" x14ac:dyDescent="0.3"/>
    <row r="2916" ht="15.75" customHeight="1" x14ac:dyDescent="0.3"/>
    <row r="2917" ht="15.75" customHeight="1" x14ac:dyDescent="0.3"/>
    <row r="2918" ht="15.75" customHeight="1" x14ac:dyDescent="0.3"/>
    <row r="2919" ht="15.75" customHeight="1" x14ac:dyDescent="0.3"/>
    <row r="2920" ht="15.75" customHeight="1" x14ac:dyDescent="0.3"/>
    <row r="2921" ht="15.75" customHeight="1" x14ac:dyDescent="0.3"/>
    <row r="2922" ht="15.75" customHeight="1" x14ac:dyDescent="0.3"/>
    <row r="2923" ht="15.75" customHeight="1" x14ac:dyDescent="0.3"/>
    <row r="2924" ht="15.75" customHeight="1" x14ac:dyDescent="0.3"/>
    <row r="2925" ht="15.75" customHeight="1" x14ac:dyDescent="0.3"/>
    <row r="2926" ht="15.75" customHeight="1" x14ac:dyDescent="0.3"/>
    <row r="2927" ht="15.75" customHeight="1" x14ac:dyDescent="0.3"/>
    <row r="2928" ht="15.75" customHeight="1" x14ac:dyDescent="0.3"/>
    <row r="2929" ht="15.75" customHeight="1" x14ac:dyDescent="0.3"/>
    <row r="2930" ht="15.75" customHeight="1" x14ac:dyDescent="0.3"/>
    <row r="2931" ht="15.75" customHeight="1" x14ac:dyDescent="0.3"/>
    <row r="2932" ht="15.75" customHeight="1" x14ac:dyDescent="0.3"/>
    <row r="2933" ht="15.75" customHeight="1" x14ac:dyDescent="0.3"/>
    <row r="2934" ht="15.75" customHeight="1" x14ac:dyDescent="0.3"/>
    <row r="2935" ht="15.75" customHeight="1" x14ac:dyDescent="0.3"/>
    <row r="2936" ht="15.75" customHeight="1" x14ac:dyDescent="0.3"/>
    <row r="2937" ht="15.75" customHeight="1" x14ac:dyDescent="0.3"/>
    <row r="2938" ht="15.75" customHeight="1" x14ac:dyDescent="0.3"/>
    <row r="2939" ht="15.75" customHeight="1" x14ac:dyDescent="0.3"/>
    <row r="2940" ht="15.75" customHeight="1" x14ac:dyDescent="0.3"/>
    <row r="2941" ht="15.75" customHeight="1" x14ac:dyDescent="0.3"/>
    <row r="2942" ht="15.75" customHeight="1" x14ac:dyDescent="0.3"/>
    <row r="2943" ht="15.75" customHeight="1" x14ac:dyDescent="0.3"/>
    <row r="2944" ht="15.75" customHeight="1" x14ac:dyDescent="0.3"/>
    <row r="2945" ht="15.75" customHeight="1" x14ac:dyDescent="0.3"/>
    <row r="2946" ht="15.75" customHeight="1" x14ac:dyDescent="0.3"/>
    <row r="2947" ht="15.75" customHeight="1" x14ac:dyDescent="0.3"/>
    <row r="2948" ht="15.75" customHeight="1" x14ac:dyDescent="0.3"/>
    <row r="2949" ht="15.75" customHeight="1" x14ac:dyDescent="0.3"/>
    <row r="2950" ht="15.75" customHeight="1" x14ac:dyDescent="0.3"/>
    <row r="2951" ht="15.75" customHeight="1" x14ac:dyDescent="0.3"/>
    <row r="2952" ht="15.75" customHeight="1" x14ac:dyDescent="0.3"/>
    <row r="2953" ht="15.75" customHeight="1" x14ac:dyDescent="0.3"/>
    <row r="2954" ht="15.75" customHeight="1" x14ac:dyDescent="0.3"/>
    <row r="2955" ht="15.75" customHeight="1" x14ac:dyDescent="0.3"/>
    <row r="2956" ht="15.75" customHeight="1" x14ac:dyDescent="0.3"/>
    <row r="2957" ht="15.75" customHeight="1" x14ac:dyDescent="0.3"/>
    <row r="2958" ht="15.75" customHeight="1" x14ac:dyDescent="0.3"/>
    <row r="2959" ht="15.75" customHeight="1" x14ac:dyDescent="0.3"/>
    <row r="2960" ht="15.75" customHeight="1" x14ac:dyDescent="0.3"/>
    <row r="2961" ht="15.75" customHeight="1" x14ac:dyDescent="0.3"/>
    <row r="2962" ht="15.75" customHeight="1" x14ac:dyDescent="0.3"/>
    <row r="2963" ht="15.75" customHeight="1" x14ac:dyDescent="0.3"/>
    <row r="2964" ht="15.75" customHeight="1" x14ac:dyDescent="0.3"/>
    <row r="2965" ht="15.75" customHeight="1" x14ac:dyDescent="0.3"/>
    <row r="2966" ht="15.75" customHeight="1" x14ac:dyDescent="0.3"/>
    <row r="2967" ht="15.75" customHeight="1" x14ac:dyDescent="0.3"/>
    <row r="2968" ht="15.75" customHeight="1" x14ac:dyDescent="0.3"/>
    <row r="2969" ht="15.75" customHeight="1" x14ac:dyDescent="0.3"/>
    <row r="2970" ht="15.75" customHeight="1" x14ac:dyDescent="0.3"/>
    <row r="2971" ht="15.75" customHeight="1" x14ac:dyDescent="0.3"/>
    <row r="2972" ht="15.75" customHeight="1" x14ac:dyDescent="0.3"/>
    <row r="2973" ht="15.75" customHeight="1" x14ac:dyDescent="0.3"/>
    <row r="2974" ht="15.75" customHeight="1" x14ac:dyDescent="0.3"/>
    <row r="2975" ht="15.75" customHeight="1" x14ac:dyDescent="0.3"/>
    <row r="2976" ht="15.75" customHeight="1" x14ac:dyDescent="0.3"/>
    <row r="2977" ht="15.75" customHeight="1" x14ac:dyDescent="0.3"/>
    <row r="2978" ht="15.75" customHeight="1" x14ac:dyDescent="0.3"/>
    <row r="2979" ht="15.75" customHeight="1" x14ac:dyDescent="0.3"/>
    <row r="2980" ht="15.75" customHeight="1" x14ac:dyDescent="0.3"/>
    <row r="2981" ht="15.75" customHeight="1" x14ac:dyDescent="0.3"/>
    <row r="2982" ht="15.75" customHeight="1" x14ac:dyDescent="0.3"/>
    <row r="2983" ht="15.75" customHeight="1" x14ac:dyDescent="0.3"/>
    <row r="2984" ht="15.75" customHeight="1" x14ac:dyDescent="0.3"/>
    <row r="2985" ht="15.75" customHeight="1" x14ac:dyDescent="0.3"/>
    <row r="2986" ht="15.75" customHeight="1" x14ac:dyDescent="0.3"/>
    <row r="2987" ht="15.75" customHeight="1" x14ac:dyDescent="0.3"/>
    <row r="2988" ht="15.75" customHeight="1" x14ac:dyDescent="0.3"/>
    <row r="2989" ht="15.75" customHeight="1" x14ac:dyDescent="0.3"/>
    <row r="2990" ht="15.75" customHeight="1" x14ac:dyDescent="0.3"/>
    <row r="2991" ht="15.75" customHeight="1" x14ac:dyDescent="0.3"/>
    <row r="2992" ht="15.75" customHeight="1" x14ac:dyDescent="0.3"/>
    <row r="2993" ht="15.75" customHeight="1" x14ac:dyDescent="0.3"/>
    <row r="2994" ht="15.75" customHeight="1" x14ac:dyDescent="0.3"/>
    <row r="2995" ht="15.75" customHeight="1" x14ac:dyDescent="0.3"/>
    <row r="2996" ht="15.75" customHeight="1" x14ac:dyDescent="0.3"/>
    <row r="2997" ht="15.75" customHeight="1" x14ac:dyDescent="0.3"/>
    <row r="2998" ht="15.75" customHeight="1" x14ac:dyDescent="0.3"/>
    <row r="2999" ht="15.75" customHeight="1" x14ac:dyDescent="0.3"/>
    <row r="3000" ht="15.75" customHeight="1" x14ac:dyDescent="0.3"/>
    <row r="3001" ht="15.75" customHeight="1" x14ac:dyDescent="0.3"/>
    <row r="3002" ht="15.75" customHeight="1" x14ac:dyDescent="0.3"/>
    <row r="3003" ht="15.75" customHeight="1" x14ac:dyDescent="0.3"/>
    <row r="3004" ht="15.75" customHeight="1" x14ac:dyDescent="0.3"/>
    <row r="3005" ht="15.75" customHeight="1" x14ac:dyDescent="0.3"/>
    <row r="3006" ht="15.75" customHeight="1" x14ac:dyDescent="0.3"/>
    <row r="3007" ht="15.75" customHeight="1" x14ac:dyDescent="0.3"/>
    <row r="3008" ht="15.75" customHeight="1" x14ac:dyDescent="0.3"/>
    <row r="3009" ht="15.75" customHeight="1" x14ac:dyDescent="0.3"/>
    <row r="3010" ht="15.75" customHeight="1" x14ac:dyDescent="0.3"/>
    <row r="3011" ht="15.75" customHeight="1" x14ac:dyDescent="0.3"/>
    <row r="3012" ht="15.75" customHeight="1" x14ac:dyDescent="0.3"/>
    <row r="3013" ht="15.75" customHeight="1" x14ac:dyDescent="0.3"/>
    <row r="3014" ht="15.75" customHeight="1" x14ac:dyDescent="0.3"/>
    <row r="3015" ht="15.75" customHeight="1" x14ac:dyDescent="0.3"/>
    <row r="3016" ht="15.75" customHeight="1" x14ac:dyDescent="0.3"/>
    <row r="3017" ht="15.75" customHeight="1" x14ac:dyDescent="0.3"/>
    <row r="3018" ht="15.75" customHeight="1" x14ac:dyDescent="0.3"/>
    <row r="3019" ht="15.75" customHeight="1" x14ac:dyDescent="0.3"/>
    <row r="3020" ht="15.75" customHeight="1" x14ac:dyDescent="0.3"/>
    <row r="3021" ht="15.75" customHeight="1" x14ac:dyDescent="0.3"/>
    <row r="3022" ht="15.75" customHeight="1" x14ac:dyDescent="0.3"/>
    <row r="3023" ht="15.75" customHeight="1" x14ac:dyDescent="0.3"/>
    <row r="3024" ht="15.75" customHeight="1" x14ac:dyDescent="0.3"/>
    <row r="3025" ht="15.75" customHeight="1" x14ac:dyDescent="0.3"/>
    <row r="3026" ht="15.75" customHeight="1" x14ac:dyDescent="0.3"/>
    <row r="3027" ht="15.75" customHeight="1" x14ac:dyDescent="0.3"/>
    <row r="3028" ht="15.75" customHeight="1" x14ac:dyDescent="0.3"/>
    <row r="3029" ht="15.75" customHeight="1" x14ac:dyDescent="0.3"/>
    <row r="3030" ht="15.75" customHeight="1" x14ac:dyDescent="0.3"/>
    <row r="3031" ht="15.75" customHeight="1" x14ac:dyDescent="0.3"/>
    <row r="3032" ht="15.75" customHeight="1" x14ac:dyDescent="0.3"/>
    <row r="3033" ht="15.75" customHeight="1" x14ac:dyDescent="0.3"/>
    <row r="3034" ht="15.75" customHeight="1" x14ac:dyDescent="0.3"/>
    <row r="3035" ht="15.75" customHeight="1" x14ac:dyDescent="0.3"/>
    <row r="3036" ht="15.75" customHeight="1" x14ac:dyDescent="0.3"/>
    <row r="3037" ht="15.75" customHeight="1" x14ac:dyDescent="0.3"/>
    <row r="3038" ht="15.75" customHeight="1" x14ac:dyDescent="0.3"/>
    <row r="3039" ht="15.75" customHeight="1" x14ac:dyDescent="0.3"/>
    <row r="3040" ht="15.75" customHeight="1" x14ac:dyDescent="0.3"/>
    <row r="3041" ht="15.75" customHeight="1" x14ac:dyDescent="0.3"/>
    <row r="3042" ht="15.75" customHeight="1" x14ac:dyDescent="0.3"/>
    <row r="3043" ht="15.75" customHeight="1" x14ac:dyDescent="0.3"/>
    <row r="3044" ht="15.75" customHeight="1" x14ac:dyDescent="0.3"/>
    <row r="3045" ht="15.75" customHeight="1" x14ac:dyDescent="0.3"/>
    <row r="3046" ht="15.75" customHeight="1" x14ac:dyDescent="0.3"/>
    <row r="3047" ht="15.75" customHeight="1" x14ac:dyDescent="0.3"/>
    <row r="3048" ht="15.75" customHeight="1" x14ac:dyDescent="0.3"/>
    <row r="3049" ht="15.75" customHeight="1" x14ac:dyDescent="0.3"/>
    <row r="3050" ht="15.75" customHeight="1" x14ac:dyDescent="0.3"/>
    <row r="3051" ht="15.75" customHeight="1" x14ac:dyDescent="0.3"/>
    <row r="3052" ht="15.75" customHeight="1" x14ac:dyDescent="0.3"/>
    <row r="3053" ht="15.75" customHeight="1" x14ac:dyDescent="0.3"/>
    <row r="3054" ht="15.75" customHeight="1" x14ac:dyDescent="0.3"/>
    <row r="3055" ht="15.75" customHeight="1" x14ac:dyDescent="0.3"/>
    <row r="3056" ht="15.75" customHeight="1" x14ac:dyDescent="0.3"/>
    <row r="3057" ht="15.75" customHeight="1" x14ac:dyDescent="0.3"/>
    <row r="3058" ht="15.75" customHeight="1" x14ac:dyDescent="0.3"/>
    <row r="3059" ht="15.75" customHeight="1" x14ac:dyDescent="0.3"/>
    <row r="3060" ht="15.75" customHeight="1" x14ac:dyDescent="0.3"/>
    <row r="3061" ht="15.75" customHeight="1" x14ac:dyDescent="0.3"/>
    <row r="3062" ht="15.75" customHeight="1" x14ac:dyDescent="0.3"/>
    <row r="3063" ht="15.75" customHeight="1" x14ac:dyDescent="0.3"/>
    <row r="3064" ht="15.75" customHeight="1" x14ac:dyDescent="0.3"/>
    <row r="3065" ht="15.75" customHeight="1" x14ac:dyDescent="0.3"/>
    <row r="3066" ht="15.75" customHeight="1" x14ac:dyDescent="0.3"/>
    <row r="3067" ht="15.75" customHeight="1" x14ac:dyDescent="0.3"/>
    <row r="3068" ht="15.75" customHeight="1" x14ac:dyDescent="0.3"/>
    <row r="3069" ht="15.75" customHeight="1" x14ac:dyDescent="0.3"/>
    <row r="3070" ht="15.75" customHeight="1" x14ac:dyDescent="0.3"/>
    <row r="3071" ht="15.75" customHeight="1" x14ac:dyDescent="0.3"/>
    <row r="3072" ht="15.75" customHeight="1" x14ac:dyDescent="0.3"/>
    <row r="3073" ht="15.75" customHeight="1" x14ac:dyDescent="0.3"/>
    <row r="3074" ht="15.75" customHeight="1" x14ac:dyDescent="0.3"/>
    <row r="3075" ht="15.75" customHeight="1" x14ac:dyDescent="0.3"/>
    <row r="3076" ht="15.75" customHeight="1" x14ac:dyDescent="0.3"/>
    <row r="3077" ht="15.75" customHeight="1" x14ac:dyDescent="0.3"/>
    <row r="3078" ht="15.75" customHeight="1" x14ac:dyDescent="0.3"/>
    <row r="3079" ht="15.75" customHeight="1" x14ac:dyDescent="0.3"/>
    <row r="3080" ht="15.75" customHeight="1" x14ac:dyDescent="0.3"/>
    <row r="3081" ht="15.75" customHeight="1" x14ac:dyDescent="0.3"/>
    <row r="3082" ht="15.75" customHeight="1" x14ac:dyDescent="0.3"/>
    <row r="3083" ht="15.75" customHeight="1" x14ac:dyDescent="0.3"/>
    <row r="3084" ht="15.75" customHeight="1" x14ac:dyDescent="0.3"/>
    <row r="3085" ht="15.75" customHeight="1" x14ac:dyDescent="0.3"/>
    <row r="3086" ht="15.75" customHeight="1" x14ac:dyDescent="0.3"/>
    <row r="3087" ht="15.75" customHeight="1" x14ac:dyDescent="0.3"/>
    <row r="3088" ht="15.75" customHeight="1" x14ac:dyDescent="0.3"/>
    <row r="3089" spans="9:9" ht="15.75" customHeight="1" x14ac:dyDescent="0.3"/>
    <row r="3090" spans="9:9" ht="15.75" customHeight="1" x14ac:dyDescent="0.3"/>
    <row r="3091" spans="9:9" ht="15.75" customHeight="1" x14ac:dyDescent="0.3"/>
    <row r="3092" spans="9:9" ht="15.75" customHeight="1" x14ac:dyDescent="0.3"/>
    <row r="3093" spans="9:9" ht="15.75" customHeight="1" x14ac:dyDescent="0.3"/>
    <row r="3094" spans="9:9" ht="15.75" customHeight="1" x14ac:dyDescent="0.3"/>
    <row r="3095" spans="9:9" ht="15.75" customHeight="1" x14ac:dyDescent="0.3"/>
    <row r="3096" spans="9:9" ht="15.75" customHeight="1" x14ac:dyDescent="0.3"/>
    <row r="3097" spans="9:9" ht="15.75" customHeight="1" x14ac:dyDescent="0.3"/>
    <row r="3098" spans="9:9" ht="15.75" customHeight="1" x14ac:dyDescent="0.3"/>
    <row r="3099" spans="9:9" ht="15.75" customHeight="1" x14ac:dyDescent="0.3"/>
    <row r="3100" spans="9:9" ht="15.75" customHeight="1" x14ac:dyDescent="0.3"/>
    <row r="3101" spans="9:9" ht="15.75" customHeight="1" x14ac:dyDescent="0.3"/>
    <row r="3102" spans="9:9" ht="12" customHeight="1" x14ac:dyDescent="0.3">
      <c r="I3102" s="335" t="s">
        <v>225</v>
      </c>
    </row>
    <row r="3103" spans="9:9" ht="12" customHeight="1" x14ac:dyDescent="0.3">
      <c r="I3103" s="335"/>
    </row>
    <row r="3104" spans="9:9" ht="12" customHeight="1" x14ac:dyDescent="0.3">
      <c r="I3104" s="335"/>
    </row>
    <row r="3105" spans="9:9" ht="12" customHeight="1" x14ac:dyDescent="0.3">
      <c r="I3105" s="335"/>
    </row>
    <row r="3106" spans="9:9" ht="12" customHeight="1" x14ac:dyDescent="0.3">
      <c r="I3106" s="335"/>
    </row>
    <row r="3107" spans="9:9" ht="12" customHeight="1" x14ac:dyDescent="0.3">
      <c r="I3107" s="335"/>
    </row>
    <row r="3108" spans="9:9" ht="12" customHeight="1" x14ac:dyDescent="0.3">
      <c r="I3108" s="335"/>
    </row>
    <row r="3109" spans="9:9" ht="12" customHeight="1" x14ac:dyDescent="0.3">
      <c r="I3109" s="335"/>
    </row>
    <row r="3110" spans="9:9" ht="12" customHeight="1" x14ac:dyDescent="0.3">
      <c r="I3110" s="335"/>
    </row>
    <row r="3111" spans="9:9" ht="12" customHeight="1" x14ac:dyDescent="0.3">
      <c r="I3111" s="335" t="s">
        <v>226</v>
      </c>
    </row>
    <row r="3112" spans="9:9" ht="15.75" customHeight="1" x14ac:dyDescent="0.3"/>
    <row r="3113" spans="9:9" ht="15.75" customHeight="1" x14ac:dyDescent="0.3"/>
    <row r="3114" spans="9:9" ht="12" customHeight="1" x14ac:dyDescent="0.3">
      <c r="I3114" s="335" t="s">
        <v>226</v>
      </c>
    </row>
    <row r="3115" spans="9:9" ht="12" customHeight="1" x14ac:dyDescent="0.3">
      <c r="I3115" s="335"/>
    </row>
    <row r="3116" spans="9:9" ht="12" customHeight="1" x14ac:dyDescent="0.3">
      <c r="I3116" s="335"/>
    </row>
    <row r="3117" spans="9:9" ht="12" customHeight="1" x14ac:dyDescent="0.3">
      <c r="I3117" s="335"/>
    </row>
    <row r="3118" spans="9:9" ht="12" customHeight="1" x14ac:dyDescent="0.3">
      <c r="I3118" s="335"/>
    </row>
    <row r="3119" spans="9:9" ht="12" customHeight="1" x14ac:dyDescent="0.3">
      <c r="I3119" s="335"/>
    </row>
    <row r="3120" spans="9:9" ht="12" customHeight="1" x14ac:dyDescent="0.3">
      <c r="I3120" s="335" t="s">
        <v>226</v>
      </c>
    </row>
    <row r="3121" spans="9:9" ht="12" customHeight="1" x14ac:dyDescent="0.3">
      <c r="I3121" s="335" t="s">
        <v>226</v>
      </c>
    </row>
    <row r="3122" spans="9:9" ht="12" customHeight="1" x14ac:dyDescent="0.3">
      <c r="I3122" s="335"/>
    </row>
    <row r="3123" spans="9:9" ht="12" customHeight="1" x14ac:dyDescent="0.3">
      <c r="I3123" s="335"/>
    </row>
    <row r="3124" spans="9:9" ht="12" customHeight="1" x14ac:dyDescent="0.3">
      <c r="I3124" s="335"/>
    </row>
    <row r="3125" spans="9:9" ht="12" customHeight="1" x14ac:dyDescent="0.3">
      <c r="I3125" s="335" t="s">
        <v>226</v>
      </c>
    </row>
    <row r="3126" spans="9:9" ht="12" customHeight="1" x14ac:dyDescent="0.3">
      <c r="I3126" s="335" t="s">
        <v>225</v>
      </c>
    </row>
    <row r="3127" spans="9:9" ht="12" customHeight="1" x14ac:dyDescent="0.3">
      <c r="I3127" s="335" t="s">
        <v>225</v>
      </c>
    </row>
    <row r="3128" spans="9:9" ht="15.75" customHeight="1" x14ac:dyDescent="0.3"/>
    <row r="3129" spans="9:9" ht="15.75" customHeight="1" x14ac:dyDescent="0.3"/>
    <row r="3130" spans="9:9" ht="12" customHeight="1" x14ac:dyDescent="0.3">
      <c r="I3130" s="335" t="s">
        <v>225</v>
      </c>
    </row>
    <row r="3131" spans="9:9" ht="12" customHeight="1" x14ac:dyDescent="0.3">
      <c r="I3131" s="335"/>
    </row>
    <row r="3132" spans="9:9" ht="12" customHeight="1" x14ac:dyDescent="0.3">
      <c r="I3132" s="335" t="s">
        <v>226</v>
      </c>
    </row>
    <row r="3133" spans="9:9" ht="12" customHeight="1" x14ac:dyDescent="0.3">
      <c r="I3133" s="335"/>
    </row>
    <row r="3134" spans="9:9" ht="12" customHeight="1" x14ac:dyDescent="0.3">
      <c r="I3134" s="335"/>
    </row>
    <row r="3135" spans="9:9" ht="12" customHeight="1" x14ac:dyDescent="0.3">
      <c r="I3135" s="335" t="s">
        <v>226</v>
      </c>
    </row>
    <row r="3136" spans="9:9" ht="12" customHeight="1" x14ac:dyDescent="0.3">
      <c r="I3136" s="335"/>
    </row>
    <row r="3137" spans="9:9" ht="12" customHeight="1" x14ac:dyDescent="0.3">
      <c r="I3137" s="335" t="s">
        <v>226</v>
      </c>
    </row>
    <row r="3138" spans="9:9" ht="15.75" customHeight="1" x14ac:dyDescent="0.3"/>
    <row r="3139" spans="9:9" ht="15.75" customHeight="1" x14ac:dyDescent="0.3"/>
    <row r="3140" spans="9:9" ht="15.75" customHeight="1" x14ac:dyDescent="0.3"/>
    <row r="3141" spans="9:9" ht="15.75" customHeight="1" x14ac:dyDescent="0.3"/>
    <row r="3142" spans="9:9" ht="15.75" customHeight="1" x14ac:dyDescent="0.3"/>
    <row r="3143" spans="9:9" ht="15.75" customHeight="1" x14ac:dyDescent="0.3"/>
    <row r="3144" spans="9:9" ht="15.75" customHeight="1" x14ac:dyDescent="0.3"/>
    <row r="3145" spans="9:9" ht="15.75" customHeight="1" x14ac:dyDescent="0.3"/>
    <row r="3146" spans="9:9" ht="12" customHeight="1" x14ac:dyDescent="0.3">
      <c r="I3146" s="335" t="s">
        <v>226</v>
      </c>
    </row>
    <row r="3147" spans="9:9" ht="12" customHeight="1" x14ac:dyDescent="0.3">
      <c r="I3147" s="335"/>
    </row>
    <row r="3148" spans="9:9" ht="12" customHeight="1" x14ac:dyDescent="0.3">
      <c r="I3148" s="335" t="s">
        <v>225</v>
      </c>
    </row>
    <row r="3149" spans="9:9" ht="12" customHeight="1" x14ac:dyDescent="0.3">
      <c r="I3149" s="335"/>
    </row>
    <row r="3150" spans="9:9" ht="12" customHeight="1" x14ac:dyDescent="0.3">
      <c r="I3150" s="335" t="s">
        <v>226</v>
      </c>
    </row>
    <row r="3151" spans="9:9" ht="12" customHeight="1" x14ac:dyDescent="0.3">
      <c r="I3151" s="335" t="s">
        <v>225</v>
      </c>
    </row>
    <row r="3152" spans="9:9" ht="15.75" customHeight="1" x14ac:dyDescent="0.3"/>
    <row r="3153" ht="15.75" customHeight="1" x14ac:dyDescent="0.3"/>
    <row r="3154" ht="15.75" customHeight="1" x14ac:dyDescent="0.3"/>
    <row r="3155" ht="15.75" customHeight="1" x14ac:dyDescent="0.3"/>
    <row r="3156" ht="15.75" customHeight="1" x14ac:dyDescent="0.3"/>
    <row r="3157" ht="15.75" customHeight="1" x14ac:dyDescent="0.3"/>
    <row r="3158" ht="15.75" customHeight="1" x14ac:dyDescent="0.3"/>
    <row r="3159" ht="15.75" customHeight="1" x14ac:dyDescent="0.3"/>
    <row r="3160" ht="15.75" customHeight="1" x14ac:dyDescent="0.3"/>
    <row r="3161" ht="15.75" customHeight="1" x14ac:dyDescent="0.3"/>
    <row r="3162" ht="15.75" customHeight="1" x14ac:dyDescent="0.3"/>
    <row r="3163" ht="15.75" customHeight="1" x14ac:dyDescent="0.3"/>
    <row r="3164" ht="15.75" customHeight="1" x14ac:dyDescent="0.3"/>
    <row r="3165" ht="15.75" customHeight="1" x14ac:dyDescent="0.3"/>
    <row r="3166" ht="15.75" customHeight="1" x14ac:dyDescent="0.3"/>
    <row r="3167" ht="15.75" customHeight="1" x14ac:dyDescent="0.3"/>
    <row r="3168" ht="15.75" customHeight="1" x14ac:dyDescent="0.3"/>
    <row r="3169" spans="9:9" ht="15.75" customHeight="1" x14ac:dyDescent="0.3"/>
    <row r="3170" spans="9:9" ht="12" customHeight="1" x14ac:dyDescent="0.3">
      <c r="I3170" s="335" t="s">
        <v>226</v>
      </c>
    </row>
  </sheetData>
  <autoFilter ref="A1:G1372" xr:uid="{00000000-0009-0000-0000-000006000000}"/>
  <mergeCells count="5">
    <mergeCell ref="A1:B1"/>
    <mergeCell ref="E1:F1"/>
    <mergeCell ref="Q1:R1"/>
    <mergeCell ref="E2:F2"/>
    <mergeCell ref="E3:F3"/>
  </mergeCells>
  <conditionalFormatting sqref="I1 I4:I3170">
    <cfRule type="cellIs" dxfId="9" priority="1" operator="equal">
      <formula>6</formula>
    </cfRule>
    <cfRule type="cellIs" dxfId="8" priority="2" operator="equal">
      <formula>5</formula>
    </cfRule>
    <cfRule type="cellIs" dxfId="7" priority="3" operator="equal">
      <formula>4</formula>
    </cfRule>
    <cfRule type="cellIs" dxfId="6" priority="4" operator="equal">
      <formula>3</formula>
    </cfRule>
    <cfRule type="cellIs" dxfId="5" priority="5" operator="equal">
      <formula>1</formula>
    </cfRule>
    <cfRule type="cellIs" dxfId="4" priority="6" operator="equal">
      <formula>2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057"/>
  <sheetViews>
    <sheetView workbookViewId="0">
      <pane ySplit="1" topLeftCell="A2" activePane="bottomLeft" state="frozen"/>
      <selection pane="bottomLeft" activeCell="C11" sqref="C11"/>
    </sheetView>
  </sheetViews>
  <sheetFormatPr defaultColWidth="14.44140625" defaultRowHeight="15" customHeight="1" x14ac:dyDescent="0.3"/>
  <cols>
    <col min="1" max="1" width="14.109375" customWidth="1"/>
    <col min="2" max="2" width="12" customWidth="1"/>
    <col min="3" max="3" width="43.88671875" customWidth="1"/>
    <col min="4" max="4" width="11" customWidth="1"/>
    <col min="5" max="5" width="12" customWidth="1"/>
    <col min="6" max="9" width="11" customWidth="1"/>
    <col min="10" max="10" width="10" customWidth="1"/>
    <col min="11" max="11" width="11" customWidth="1"/>
    <col min="12" max="12" width="10" customWidth="1"/>
    <col min="13" max="13" width="11" customWidth="1"/>
    <col min="14" max="16" width="10" customWidth="1"/>
    <col min="17" max="17" width="11" customWidth="1"/>
    <col min="18" max="19" width="11.33203125" customWidth="1"/>
    <col min="20" max="21" width="12.6640625" customWidth="1"/>
    <col min="22" max="22" width="10" customWidth="1"/>
    <col min="23" max="23" width="11" customWidth="1"/>
    <col min="24" max="25" width="10" customWidth="1"/>
    <col min="26" max="27" width="12.109375" customWidth="1"/>
    <col min="28" max="29" width="10" customWidth="1"/>
  </cols>
  <sheetData>
    <row r="1" spans="1:29" ht="14.25" customHeight="1" x14ac:dyDescent="0.3">
      <c r="A1" s="338" t="s">
        <v>490</v>
      </c>
      <c r="B1" s="339"/>
      <c r="C1" s="340"/>
      <c r="D1" s="564" t="s">
        <v>491</v>
      </c>
      <c r="E1" s="548"/>
      <c r="F1" s="565" t="s">
        <v>492</v>
      </c>
      <c r="G1" s="548"/>
      <c r="H1" s="564" t="str">
        <f>'Proposed Budget'!C33</f>
        <v>Vehicle Maintenance</v>
      </c>
      <c r="I1" s="548"/>
      <c r="J1" s="565" t="str">
        <f>'Proposed Budget'!C34</f>
        <v>Car Insurance</v>
      </c>
      <c r="K1" s="548"/>
      <c r="L1" s="564" t="str">
        <f>'Proposed Budget'!C35</f>
        <v>Rental Garbage</v>
      </c>
      <c r="M1" s="548"/>
      <c r="N1" s="565" t="str">
        <f>'Proposed Budget'!C36</f>
        <v>Garbage</v>
      </c>
      <c r="O1" s="548"/>
      <c r="P1" s="564" t="str">
        <f>'Monthly Breakdown'!C37</f>
        <v>Sanitation - Main</v>
      </c>
      <c r="Q1" s="548"/>
      <c r="R1" s="565" t="str">
        <f>'Proposed Budget'!C38</f>
        <v>Camping/Vacation</v>
      </c>
      <c r="S1" s="548"/>
      <c r="T1" s="564" t="str">
        <f>'Proposed Budget'!C39</f>
        <v>Home Maintenance</v>
      </c>
      <c r="U1" s="548"/>
      <c r="V1" s="565" t="str">
        <f>'Proposed Budget'!C40</f>
        <v>Rental Repairs</v>
      </c>
      <c r="W1" s="548"/>
      <c r="X1" s="564" t="str">
        <f>'Proposed Budget'!C41</f>
        <v>Rental Insurance</v>
      </c>
      <c r="Y1" s="548"/>
      <c r="Z1" s="565" t="str">
        <f>'Proposed Budget'!C42</f>
        <v>Rental Property Taxes</v>
      </c>
      <c r="AA1" s="548"/>
      <c r="AB1" s="564" t="str">
        <f>'Proposed Budget'!C43</f>
        <v>Rental Sanitation</v>
      </c>
      <c r="AC1" s="548"/>
    </row>
    <row r="2" spans="1:29" ht="14.25" customHeight="1" x14ac:dyDescent="0.3">
      <c r="A2" s="341">
        <f t="shared" ref="A2:A3" si="0">SUM(G2,E2,U2,I2,S2,O2,K2,M2,Q2,W2,Y2,AA2,AC2)</f>
        <v>803.95000000000164</v>
      </c>
      <c r="B2" s="339"/>
      <c r="C2" s="340"/>
      <c r="D2" s="342" t="s">
        <v>493</v>
      </c>
      <c r="E2" s="343">
        <f>E3-E115</f>
        <v>17179.989999999998</v>
      </c>
      <c r="F2" s="344" t="s">
        <v>493</v>
      </c>
      <c r="G2" s="345">
        <f>G3-G115</f>
        <v>1071.6299999999999</v>
      </c>
      <c r="H2" s="343" t="s">
        <v>493</v>
      </c>
      <c r="I2" s="343">
        <f>I3-I115</f>
        <v>833.35999999999967</v>
      </c>
      <c r="J2" s="344" t="s">
        <v>493</v>
      </c>
      <c r="K2" s="345">
        <f>K3-K115</f>
        <v>81</v>
      </c>
      <c r="L2" s="343" t="s">
        <v>493</v>
      </c>
      <c r="M2" s="343">
        <f>M3-M115</f>
        <v>-18.53</v>
      </c>
      <c r="N2" s="345" t="s">
        <v>493</v>
      </c>
      <c r="O2" s="345">
        <f>O3-O115</f>
        <v>-18.53</v>
      </c>
      <c r="P2" s="343" t="s">
        <v>493</v>
      </c>
      <c r="Q2" s="343">
        <f>Q3-Q115</f>
        <v>36.54000000000002</v>
      </c>
      <c r="R2" s="345" t="s">
        <v>493</v>
      </c>
      <c r="S2" s="345">
        <f>S3-S115</f>
        <v>-3728.84</v>
      </c>
      <c r="T2" s="346" t="s">
        <v>493</v>
      </c>
      <c r="U2" s="343">
        <f>U3-U115</f>
        <v>-14625.929999999997</v>
      </c>
      <c r="V2" s="345" t="s">
        <v>493</v>
      </c>
      <c r="W2" s="345">
        <f>W3-W115</f>
        <v>700</v>
      </c>
      <c r="X2" s="343" t="s">
        <v>493</v>
      </c>
      <c r="Y2" s="343">
        <f>Y3-Y115</f>
        <v>94.5</v>
      </c>
      <c r="Z2" s="345" t="s">
        <v>493</v>
      </c>
      <c r="AA2" s="345">
        <f>AA3-AA115</f>
        <v>-837.7800000000002</v>
      </c>
      <c r="AB2" s="343" t="s">
        <v>493</v>
      </c>
      <c r="AC2" s="343">
        <f>AC3-AC115</f>
        <v>36.54000000000002</v>
      </c>
    </row>
    <row r="3" spans="1:29" ht="14.25" customHeight="1" x14ac:dyDescent="0.3">
      <c r="A3" s="341">
        <f t="shared" si="0"/>
        <v>13044.440000000004</v>
      </c>
      <c r="B3" s="347"/>
      <c r="C3" s="340"/>
      <c r="D3" s="342" t="s">
        <v>494</v>
      </c>
      <c r="E3" s="343">
        <f>SUM(E6:E115)-SUM(D6:D115)</f>
        <v>18890.48</v>
      </c>
      <c r="F3" s="345" t="s">
        <v>494</v>
      </c>
      <c r="G3" s="345">
        <f>SUM(G6:G115)-SUM(F6:F115)</f>
        <v>1571.6299999999999</v>
      </c>
      <c r="H3" s="343" t="s">
        <v>494</v>
      </c>
      <c r="I3" s="343">
        <f>SUM(I6:I115)-SUM(H6:H115)</f>
        <v>2833.3599999999997</v>
      </c>
      <c r="J3" s="345" t="s">
        <v>494</v>
      </c>
      <c r="K3" s="345">
        <f>SUM(K6:K115)-SUM(J6:J115)</f>
        <v>1081</v>
      </c>
      <c r="L3" s="343" t="s">
        <v>494</v>
      </c>
      <c r="M3" s="343">
        <f>SUM(M6:M115)-SUM(L6:L115)</f>
        <v>46.47</v>
      </c>
      <c r="N3" s="345" t="s">
        <v>494</v>
      </c>
      <c r="O3" s="345">
        <f>SUM(O6:O115)-SUM(N6:N115)</f>
        <v>46.47</v>
      </c>
      <c r="P3" s="343" t="s">
        <v>494</v>
      </c>
      <c r="Q3" s="343">
        <f>SUM(Q6:Q115)-SUM(P6:P115)</f>
        <v>136.54000000000002</v>
      </c>
      <c r="R3" s="345" t="s">
        <v>494</v>
      </c>
      <c r="S3" s="345">
        <f>SUM(S6:S115)-SUM(R6:R115)</f>
        <v>-1728.8400000000001</v>
      </c>
      <c r="T3" s="343" t="s">
        <v>494</v>
      </c>
      <c r="U3" s="343">
        <f>SUM(U6:U115)-SUM(T6:T115)</f>
        <v>-12125.929999999997</v>
      </c>
      <c r="V3" s="345" t="s">
        <v>494</v>
      </c>
      <c r="W3" s="345">
        <f>SUM(W6:W115)-SUM(V6:V115)</f>
        <v>1200</v>
      </c>
      <c r="X3" s="343" t="s">
        <v>494</v>
      </c>
      <c r="Y3" s="343">
        <f>SUM(Y6:Y115)-SUM(X6:X115)</f>
        <v>294.5</v>
      </c>
      <c r="Z3" s="345" t="s">
        <v>494</v>
      </c>
      <c r="AA3" s="345">
        <f>SUM(AA6:AA115)-SUM(Z6:Z115)</f>
        <v>662.2199999999998</v>
      </c>
      <c r="AB3" s="343" t="s">
        <v>494</v>
      </c>
      <c r="AC3" s="343">
        <f>SUM(AC6:AC115)-SUM(AB6:AB115)</f>
        <v>136.54000000000002</v>
      </c>
    </row>
    <row r="4" spans="1:29" ht="14.25" customHeight="1" x14ac:dyDescent="0.3">
      <c r="A4" s="338" t="s">
        <v>495</v>
      </c>
      <c r="B4" s="347"/>
      <c r="C4" s="340"/>
      <c r="D4" s="564" t="s">
        <v>496</v>
      </c>
      <c r="E4" s="548"/>
      <c r="F4" s="565" t="s">
        <v>496</v>
      </c>
      <c r="G4" s="548"/>
      <c r="H4" s="564" t="s">
        <v>496</v>
      </c>
      <c r="I4" s="548"/>
      <c r="J4" s="565" t="s">
        <v>496</v>
      </c>
      <c r="K4" s="548"/>
      <c r="L4" s="564" t="s">
        <v>496</v>
      </c>
      <c r="M4" s="548"/>
      <c r="N4" s="565" t="s">
        <v>496</v>
      </c>
      <c r="O4" s="548"/>
      <c r="P4" s="564" t="s">
        <v>496</v>
      </c>
      <c r="Q4" s="548"/>
      <c r="R4" s="565" t="s">
        <v>497</v>
      </c>
      <c r="S4" s="548"/>
      <c r="T4" s="564" t="s">
        <v>498</v>
      </c>
      <c r="U4" s="548"/>
      <c r="V4" s="565" t="s">
        <v>496</v>
      </c>
      <c r="W4" s="548"/>
      <c r="X4" s="564" t="s">
        <v>496</v>
      </c>
      <c r="Y4" s="548"/>
      <c r="Z4" s="565" t="s">
        <v>496</v>
      </c>
      <c r="AA4" s="548"/>
      <c r="AB4" s="564" t="s">
        <v>496</v>
      </c>
      <c r="AC4" s="548"/>
    </row>
    <row r="5" spans="1:29" ht="14.25" customHeight="1" x14ac:dyDescent="0.3">
      <c r="A5" s="338" t="s">
        <v>499</v>
      </c>
      <c r="B5" s="347"/>
      <c r="C5" s="340"/>
      <c r="D5" s="342">
        <f t="shared" ref="D5:AC5" si="1">SUM(D6:D114)</f>
        <v>18995.250000000004</v>
      </c>
      <c r="E5" s="343">
        <f t="shared" si="1"/>
        <v>36175.240000000005</v>
      </c>
      <c r="F5" s="345">
        <f t="shared" si="1"/>
        <v>0</v>
      </c>
      <c r="G5" s="345">
        <f t="shared" si="1"/>
        <v>1071.6299999999999</v>
      </c>
      <c r="H5" s="343">
        <f t="shared" si="1"/>
        <v>1616.6400000000003</v>
      </c>
      <c r="I5" s="343">
        <f t="shared" si="1"/>
        <v>2450</v>
      </c>
      <c r="J5" s="345">
        <f t="shared" si="1"/>
        <v>2159</v>
      </c>
      <c r="K5" s="345">
        <f t="shared" si="1"/>
        <v>2240</v>
      </c>
      <c r="L5" s="343">
        <f t="shared" si="1"/>
        <v>193.53</v>
      </c>
      <c r="M5" s="343">
        <f t="shared" si="1"/>
        <v>175</v>
      </c>
      <c r="N5" s="345">
        <f t="shared" si="1"/>
        <v>193.53</v>
      </c>
      <c r="O5" s="345">
        <f t="shared" si="1"/>
        <v>175</v>
      </c>
      <c r="P5" s="343">
        <f t="shared" si="1"/>
        <v>278.45999999999998</v>
      </c>
      <c r="Q5" s="343">
        <f t="shared" si="1"/>
        <v>315</v>
      </c>
      <c r="R5" s="345">
        <f t="shared" si="1"/>
        <v>6528.84</v>
      </c>
      <c r="S5" s="345">
        <f t="shared" si="1"/>
        <v>2800</v>
      </c>
      <c r="T5" s="343">
        <f t="shared" si="1"/>
        <v>17250.929999999997</v>
      </c>
      <c r="U5" s="343">
        <f t="shared" si="1"/>
        <v>2625</v>
      </c>
      <c r="V5" s="345">
        <f t="shared" si="1"/>
        <v>0</v>
      </c>
      <c r="W5" s="345">
        <f t="shared" si="1"/>
        <v>700</v>
      </c>
      <c r="X5" s="343">
        <f t="shared" si="1"/>
        <v>500.5</v>
      </c>
      <c r="Y5" s="343">
        <f t="shared" si="1"/>
        <v>595</v>
      </c>
      <c r="Z5" s="345">
        <f t="shared" si="1"/>
        <v>2447.7800000000002</v>
      </c>
      <c r="AA5" s="345">
        <f t="shared" si="1"/>
        <v>1610</v>
      </c>
      <c r="AB5" s="343">
        <f t="shared" si="1"/>
        <v>278.45999999999998</v>
      </c>
      <c r="AC5" s="343">
        <f t="shared" si="1"/>
        <v>315</v>
      </c>
    </row>
    <row r="6" spans="1:29" ht="14.25" customHeight="1" x14ac:dyDescent="0.3">
      <c r="A6" s="338" t="s">
        <v>500</v>
      </c>
      <c r="B6" s="347" t="s">
        <v>501</v>
      </c>
      <c r="C6" s="284" t="s">
        <v>502</v>
      </c>
      <c r="D6" s="342" t="s">
        <v>281</v>
      </c>
      <c r="E6" s="343" t="s">
        <v>282</v>
      </c>
      <c r="F6" s="345" t="s">
        <v>281</v>
      </c>
      <c r="G6" s="345" t="s">
        <v>282</v>
      </c>
      <c r="H6" s="343" t="s">
        <v>281</v>
      </c>
      <c r="I6" s="343" t="s">
        <v>282</v>
      </c>
      <c r="J6" s="345" t="s">
        <v>281</v>
      </c>
      <c r="K6" s="345" t="s">
        <v>282</v>
      </c>
      <c r="L6" s="343" t="s">
        <v>281</v>
      </c>
      <c r="M6" s="343" t="s">
        <v>282</v>
      </c>
      <c r="N6" s="345" t="s">
        <v>281</v>
      </c>
      <c r="O6" s="345" t="s">
        <v>282</v>
      </c>
      <c r="P6" s="343" t="s">
        <v>281</v>
      </c>
      <c r="Q6" s="343" t="s">
        <v>282</v>
      </c>
      <c r="R6" s="345" t="s">
        <v>281</v>
      </c>
      <c r="S6" s="345" t="s">
        <v>282</v>
      </c>
      <c r="T6" s="343" t="s">
        <v>281</v>
      </c>
      <c r="U6" s="343" t="s">
        <v>282</v>
      </c>
      <c r="V6" s="345" t="s">
        <v>281</v>
      </c>
      <c r="W6" s="345" t="s">
        <v>282</v>
      </c>
      <c r="X6" s="343" t="s">
        <v>281</v>
      </c>
      <c r="Y6" s="343" t="s">
        <v>282</v>
      </c>
      <c r="Z6" s="345" t="s">
        <v>281</v>
      </c>
      <c r="AA6" s="345" t="s">
        <v>282</v>
      </c>
      <c r="AB6" s="343" t="s">
        <v>281</v>
      </c>
      <c r="AC6" s="343" t="s">
        <v>282</v>
      </c>
    </row>
    <row r="7" spans="1:29" ht="14.25" customHeight="1" x14ac:dyDescent="0.3">
      <c r="A7" s="338">
        <v>46240</v>
      </c>
      <c r="B7" s="347">
        <f t="shared" ref="B7:B43" si="2">SUM(E7,U7,K7,G7,I7,S7,O7,M7,Q7,W7,Y7,AA7,AC7)-SUM(D7,F7,T7,H7,R7,N7,J7,L7,P7,V7,X7,Z7,AB7)</f>
        <v>52.8</v>
      </c>
      <c r="C7" s="348" t="s">
        <v>509</v>
      </c>
      <c r="D7" s="342"/>
      <c r="E7" s="343"/>
      <c r="F7" s="345"/>
      <c r="G7" s="345">
        <v>52.8</v>
      </c>
      <c r="H7" s="343"/>
      <c r="I7" s="343"/>
      <c r="J7" s="345"/>
      <c r="K7" s="345"/>
      <c r="L7" s="343"/>
      <c r="M7" s="343"/>
      <c r="N7" s="345"/>
      <c r="O7" s="345"/>
      <c r="P7" s="343"/>
      <c r="Q7" s="343"/>
      <c r="R7" s="345"/>
      <c r="S7" s="345"/>
      <c r="T7" s="343"/>
      <c r="U7" s="343"/>
      <c r="V7" s="345"/>
      <c r="W7" s="345"/>
      <c r="X7" s="343"/>
      <c r="Y7" s="343"/>
      <c r="Z7" s="345"/>
      <c r="AA7" s="345"/>
      <c r="AB7" s="343"/>
      <c r="AC7" s="343"/>
    </row>
    <row r="8" spans="1:29" ht="14.25" customHeight="1" x14ac:dyDescent="0.3">
      <c r="A8" s="338">
        <v>46238</v>
      </c>
      <c r="B8" s="347">
        <f t="shared" si="2"/>
        <v>-500</v>
      </c>
      <c r="C8" s="348" t="s">
        <v>896</v>
      </c>
      <c r="D8" s="342">
        <v>500</v>
      </c>
      <c r="E8" s="343"/>
      <c r="F8" s="345"/>
      <c r="G8" s="345"/>
      <c r="H8" s="343"/>
      <c r="I8" s="343"/>
      <c r="J8" s="345"/>
      <c r="K8" s="345"/>
      <c r="L8" s="343"/>
      <c r="M8" s="343"/>
      <c r="N8" s="345"/>
      <c r="O8" s="345"/>
      <c r="P8" s="343"/>
      <c r="Q8" s="343"/>
      <c r="R8" s="345"/>
      <c r="S8" s="345"/>
      <c r="T8" s="343"/>
      <c r="U8" s="343"/>
      <c r="V8" s="345"/>
      <c r="W8" s="345"/>
      <c r="X8" s="343"/>
      <c r="Y8" s="343"/>
      <c r="Z8" s="345"/>
      <c r="AA8" s="345"/>
      <c r="AB8" s="343"/>
      <c r="AC8" s="343"/>
    </row>
    <row r="9" spans="1:29" ht="14.25" customHeight="1" x14ac:dyDescent="0.3">
      <c r="A9" s="338">
        <v>46238</v>
      </c>
      <c r="B9" s="347">
        <f t="shared" si="2"/>
        <v>-500</v>
      </c>
      <c r="C9" s="348" t="s">
        <v>897</v>
      </c>
      <c r="D9" s="342">
        <v>500</v>
      </c>
      <c r="E9" s="343"/>
      <c r="F9" s="345"/>
      <c r="G9" s="345"/>
      <c r="H9" s="343"/>
      <c r="I9" s="343"/>
      <c r="J9" s="345"/>
      <c r="K9" s="345"/>
      <c r="L9" s="343"/>
      <c r="M9" s="343"/>
      <c r="N9" s="345"/>
      <c r="O9" s="345"/>
      <c r="P9" s="343"/>
      <c r="Q9" s="343"/>
      <c r="R9" s="345"/>
      <c r="S9" s="345"/>
      <c r="T9" s="343"/>
      <c r="U9" s="343"/>
      <c r="V9" s="345"/>
      <c r="W9" s="345"/>
      <c r="X9" s="343"/>
      <c r="Y9" s="343"/>
      <c r="Z9" s="345"/>
      <c r="AA9" s="345"/>
      <c r="AB9" s="343"/>
      <c r="AC9" s="343"/>
    </row>
    <row r="10" spans="1:29" ht="14.25" customHeight="1" x14ac:dyDescent="0.3">
      <c r="A10" s="338">
        <v>46238</v>
      </c>
      <c r="B10" s="347">
        <f t="shared" si="2"/>
        <v>-121.4</v>
      </c>
      <c r="C10" s="348" t="s">
        <v>533</v>
      </c>
      <c r="D10" s="342"/>
      <c r="E10" s="343"/>
      <c r="F10" s="345"/>
      <c r="G10" s="345"/>
      <c r="H10" s="343">
        <v>121.4</v>
      </c>
      <c r="I10" s="343"/>
      <c r="J10" s="345"/>
      <c r="K10" s="345"/>
      <c r="L10" s="343"/>
      <c r="M10" s="343"/>
      <c r="N10" s="345"/>
      <c r="O10" s="345"/>
      <c r="P10" s="343"/>
      <c r="Q10" s="343"/>
      <c r="R10" s="345"/>
      <c r="S10" s="345"/>
      <c r="T10" s="343"/>
      <c r="U10" s="343"/>
      <c r="V10" s="345"/>
      <c r="W10" s="345"/>
      <c r="X10" s="343"/>
      <c r="Y10" s="343"/>
      <c r="Z10" s="345"/>
      <c r="AA10" s="345"/>
      <c r="AB10" s="343"/>
      <c r="AC10" s="343"/>
    </row>
    <row r="11" spans="1:29" ht="14.25" customHeight="1" x14ac:dyDescent="0.3">
      <c r="A11" s="338">
        <v>46234</v>
      </c>
      <c r="B11" s="347">
        <f t="shared" si="2"/>
        <v>8746.27</v>
      </c>
      <c r="C11" s="348" t="s">
        <v>1004</v>
      </c>
      <c r="D11" s="342"/>
      <c r="E11" s="343">
        <v>8746.27</v>
      </c>
      <c r="F11" s="345"/>
      <c r="G11" s="345"/>
      <c r="H11" s="343"/>
      <c r="I11" s="343"/>
      <c r="J11" s="345"/>
      <c r="K11" s="345"/>
      <c r="L11" s="343"/>
      <c r="M11" s="343"/>
      <c r="N11" s="345"/>
      <c r="O11" s="345"/>
      <c r="P11" s="343"/>
      <c r="Q11" s="343"/>
      <c r="R11" s="345"/>
      <c r="S11" s="345"/>
      <c r="T11" s="343"/>
      <c r="U11" s="343"/>
      <c r="V11" s="345"/>
      <c r="W11" s="345"/>
      <c r="X11" s="343"/>
      <c r="Y11" s="343"/>
      <c r="Z11" s="345"/>
      <c r="AA11" s="345"/>
      <c r="AB11" s="343"/>
      <c r="AC11" s="343"/>
    </row>
    <row r="12" spans="1:29" ht="14.25" customHeight="1" x14ac:dyDescent="0.3">
      <c r="A12" s="338">
        <v>46234</v>
      </c>
      <c r="B12" s="347">
        <f t="shared" si="2"/>
        <v>2000</v>
      </c>
      <c r="C12" s="348" t="s">
        <v>1005</v>
      </c>
      <c r="D12" s="342"/>
      <c r="E12" s="343"/>
      <c r="F12" s="345"/>
      <c r="G12" s="345"/>
      <c r="H12" s="343"/>
      <c r="I12" s="343">
        <v>350</v>
      </c>
      <c r="J12" s="345"/>
      <c r="K12" s="345">
        <v>320</v>
      </c>
      <c r="L12" s="343"/>
      <c r="M12" s="343">
        <v>25</v>
      </c>
      <c r="N12" s="345"/>
      <c r="O12" s="345">
        <v>25</v>
      </c>
      <c r="P12" s="343"/>
      <c r="Q12" s="343">
        <v>45</v>
      </c>
      <c r="R12" s="345"/>
      <c r="S12" s="345">
        <v>400</v>
      </c>
      <c r="T12" s="343"/>
      <c r="U12" s="343">
        <v>375</v>
      </c>
      <c r="V12" s="345"/>
      <c r="W12" s="345">
        <v>100</v>
      </c>
      <c r="X12" s="343"/>
      <c r="Y12" s="343">
        <v>85</v>
      </c>
      <c r="Z12" s="345"/>
      <c r="AA12" s="345">
        <v>230</v>
      </c>
      <c r="AB12" s="343"/>
      <c r="AC12" s="343">
        <v>45</v>
      </c>
    </row>
    <row r="13" spans="1:29" ht="14.25" customHeight="1" x14ac:dyDescent="0.3">
      <c r="A13" s="338">
        <v>46234</v>
      </c>
      <c r="B13" s="347">
        <f t="shared" si="2"/>
        <v>0.22</v>
      </c>
      <c r="C13" s="348" t="s">
        <v>505</v>
      </c>
      <c r="D13" s="342"/>
      <c r="E13" s="343"/>
      <c r="F13" s="345"/>
      <c r="G13" s="345">
        <v>0.22</v>
      </c>
      <c r="H13" s="343"/>
      <c r="I13" s="343"/>
      <c r="J13" s="345"/>
      <c r="K13" s="345"/>
      <c r="L13" s="343"/>
      <c r="M13" s="343"/>
      <c r="N13" s="345"/>
      <c r="O13" s="345"/>
      <c r="P13" s="343"/>
      <c r="Q13" s="343"/>
      <c r="R13" s="345"/>
      <c r="S13" s="345"/>
      <c r="T13" s="343"/>
      <c r="U13" s="343"/>
      <c r="V13" s="345"/>
      <c r="W13" s="345"/>
      <c r="X13" s="343"/>
      <c r="Y13" s="343"/>
      <c r="Z13" s="345"/>
      <c r="AA13" s="345"/>
      <c r="AB13" s="343"/>
      <c r="AC13" s="343"/>
    </row>
    <row r="14" spans="1:29" ht="14.25" customHeight="1" x14ac:dyDescent="0.3">
      <c r="A14" s="338">
        <v>46232</v>
      </c>
      <c r="B14" s="347">
        <f t="shared" si="2"/>
        <v>52.7</v>
      </c>
      <c r="C14" s="348" t="s">
        <v>504</v>
      </c>
      <c r="D14" s="342"/>
      <c r="E14" s="343"/>
      <c r="F14" s="345"/>
      <c r="G14" s="345">
        <v>52.7</v>
      </c>
      <c r="H14" s="343"/>
      <c r="I14" s="343"/>
      <c r="J14" s="345"/>
      <c r="K14" s="345"/>
      <c r="L14" s="343"/>
      <c r="M14" s="343"/>
      <c r="N14" s="345"/>
      <c r="O14" s="345"/>
      <c r="P14" s="343"/>
      <c r="Q14" s="343"/>
      <c r="R14" s="345"/>
      <c r="S14" s="345"/>
      <c r="T14" s="343"/>
      <c r="U14" s="343"/>
      <c r="V14" s="345"/>
      <c r="W14" s="345"/>
      <c r="X14" s="343"/>
      <c r="Y14" s="343"/>
      <c r="Z14" s="345"/>
      <c r="AA14" s="345"/>
      <c r="AB14" s="343"/>
      <c r="AC14" s="343"/>
    </row>
    <row r="15" spans="1:29" ht="14.25" customHeight="1" x14ac:dyDescent="0.3">
      <c r="A15" s="338">
        <v>46231</v>
      </c>
      <c r="B15" s="347">
        <f t="shared" si="2"/>
        <v>-1171.3800000000001</v>
      </c>
      <c r="C15" s="348" t="s">
        <v>525</v>
      </c>
      <c r="D15" s="342"/>
      <c r="E15" s="343"/>
      <c r="F15" s="345"/>
      <c r="G15" s="345"/>
      <c r="H15" s="343"/>
      <c r="I15" s="343"/>
      <c r="J15" s="345"/>
      <c r="K15" s="345"/>
      <c r="L15" s="343"/>
      <c r="M15" s="343"/>
      <c r="N15" s="345"/>
      <c r="O15" s="345"/>
      <c r="P15" s="343"/>
      <c r="Q15" s="343"/>
      <c r="R15" s="345"/>
      <c r="S15" s="345"/>
      <c r="T15" s="343"/>
      <c r="U15" s="343"/>
      <c r="V15" s="345"/>
      <c r="W15" s="345"/>
      <c r="X15" s="343"/>
      <c r="Y15" s="343"/>
      <c r="Z15" s="345">
        <v>1171.3800000000001</v>
      </c>
      <c r="AA15" s="345"/>
      <c r="AB15" s="343"/>
      <c r="AC15" s="343"/>
    </row>
    <row r="16" spans="1:29" ht="14.25" customHeight="1" x14ac:dyDescent="0.3">
      <c r="A16" s="338">
        <v>46226</v>
      </c>
      <c r="B16" s="347">
        <f t="shared" si="2"/>
        <v>-133.13999999999999</v>
      </c>
      <c r="C16" s="348" t="s">
        <v>315</v>
      </c>
      <c r="D16" s="342"/>
      <c r="E16" s="343"/>
      <c r="F16" s="345"/>
      <c r="G16" s="345"/>
      <c r="H16" s="343"/>
      <c r="I16" s="343"/>
      <c r="J16" s="345"/>
      <c r="K16" s="345"/>
      <c r="L16" s="343">
        <v>66.569999999999993</v>
      </c>
      <c r="M16" s="343"/>
      <c r="N16" s="345">
        <v>66.569999999999993</v>
      </c>
      <c r="O16" s="345"/>
      <c r="P16" s="343"/>
      <c r="Q16" s="343"/>
      <c r="R16" s="345"/>
      <c r="S16" s="345"/>
      <c r="T16" s="343"/>
      <c r="U16" s="343"/>
      <c r="V16" s="345"/>
      <c r="W16" s="345"/>
      <c r="X16" s="343"/>
      <c r="Y16" s="343"/>
      <c r="Z16" s="345"/>
      <c r="AA16" s="345"/>
      <c r="AB16" s="343"/>
      <c r="AC16" s="343"/>
    </row>
    <row r="17" spans="1:29" ht="14.25" customHeight="1" x14ac:dyDescent="0.3">
      <c r="A17" s="338">
        <v>46214</v>
      </c>
      <c r="B17" s="347">
        <f t="shared" si="2"/>
        <v>53.11</v>
      </c>
      <c r="C17" s="348" t="s">
        <v>509</v>
      </c>
      <c r="D17" s="342"/>
      <c r="E17" s="343"/>
      <c r="F17" s="345"/>
      <c r="G17" s="345">
        <v>53.11</v>
      </c>
      <c r="H17" s="343"/>
      <c r="I17" s="343"/>
      <c r="J17" s="345"/>
      <c r="K17" s="345"/>
      <c r="L17" s="343"/>
      <c r="M17" s="343"/>
      <c r="N17" s="345"/>
      <c r="O17" s="345"/>
      <c r="P17" s="343"/>
      <c r="Q17" s="343"/>
      <c r="R17" s="345"/>
      <c r="S17" s="345"/>
      <c r="T17" s="343"/>
      <c r="U17" s="343"/>
      <c r="V17" s="345"/>
      <c r="W17" s="345"/>
      <c r="X17" s="343"/>
      <c r="Y17" s="343"/>
      <c r="Z17" s="345"/>
      <c r="AA17" s="345"/>
      <c r="AB17" s="343"/>
      <c r="AC17" s="343"/>
    </row>
    <row r="18" spans="1:29" ht="14.25" customHeight="1" x14ac:dyDescent="0.3">
      <c r="A18" s="338">
        <v>46212</v>
      </c>
      <c r="B18" s="347">
        <f t="shared" si="2"/>
        <v>300</v>
      </c>
      <c r="C18" s="348" t="s">
        <v>973</v>
      </c>
      <c r="D18" s="342"/>
      <c r="E18" s="343">
        <v>300</v>
      </c>
      <c r="F18" s="345"/>
      <c r="G18" s="345"/>
      <c r="H18" s="343"/>
      <c r="I18" s="343"/>
      <c r="J18" s="345"/>
      <c r="K18" s="345"/>
      <c r="L18" s="343"/>
      <c r="M18" s="343"/>
      <c r="N18" s="345"/>
      <c r="O18" s="345"/>
      <c r="P18" s="343"/>
      <c r="Q18" s="343"/>
      <c r="R18" s="345"/>
      <c r="S18" s="345"/>
      <c r="T18" s="343"/>
      <c r="U18" s="343"/>
      <c r="V18" s="345"/>
      <c r="W18" s="345"/>
      <c r="X18" s="343"/>
      <c r="Y18" s="343"/>
      <c r="Z18" s="345"/>
      <c r="AA18" s="345"/>
      <c r="AB18" s="343"/>
      <c r="AC18" s="343"/>
    </row>
    <row r="19" spans="1:29" ht="14.25" customHeight="1" x14ac:dyDescent="0.3">
      <c r="A19" s="338">
        <v>46211</v>
      </c>
      <c r="B19" s="347">
        <f t="shared" si="2"/>
        <v>-960</v>
      </c>
      <c r="C19" s="348" t="s">
        <v>901</v>
      </c>
      <c r="D19" s="342"/>
      <c r="E19" s="343"/>
      <c r="F19" s="345"/>
      <c r="G19" s="345"/>
      <c r="H19" s="343"/>
      <c r="I19" s="343"/>
      <c r="J19" s="345"/>
      <c r="K19" s="345"/>
      <c r="L19" s="343"/>
      <c r="M19" s="343"/>
      <c r="N19" s="345"/>
      <c r="O19" s="345"/>
      <c r="P19" s="343"/>
      <c r="Q19" s="343"/>
      <c r="R19" s="345"/>
      <c r="S19" s="345"/>
      <c r="T19" s="343">
        <v>960</v>
      </c>
      <c r="U19" s="343"/>
      <c r="V19" s="345"/>
      <c r="W19" s="345"/>
      <c r="X19" s="343"/>
      <c r="Y19" s="343"/>
      <c r="Z19" s="345"/>
      <c r="AA19" s="345"/>
      <c r="AB19" s="343"/>
      <c r="AC19" s="343"/>
    </row>
    <row r="20" spans="1:29" ht="14.25" customHeight="1" x14ac:dyDescent="0.3">
      <c r="A20" s="338">
        <v>46209</v>
      </c>
      <c r="B20" s="347">
        <f t="shared" si="2"/>
        <v>-1182.68</v>
      </c>
      <c r="C20" s="348" t="s">
        <v>1002</v>
      </c>
      <c r="D20" s="342">
        <v>1182.68</v>
      </c>
      <c r="E20" s="343"/>
      <c r="F20" s="345"/>
      <c r="G20" s="345"/>
      <c r="H20" s="343"/>
      <c r="I20" s="343"/>
      <c r="J20" s="345"/>
      <c r="K20" s="345"/>
      <c r="L20" s="343"/>
      <c r="M20" s="343"/>
      <c r="N20" s="345"/>
      <c r="O20" s="345"/>
      <c r="P20" s="343"/>
      <c r="Q20" s="343"/>
      <c r="R20" s="345"/>
      <c r="S20" s="345"/>
      <c r="T20" s="343"/>
      <c r="U20" s="343"/>
      <c r="V20" s="345"/>
      <c r="W20" s="345"/>
      <c r="X20" s="343"/>
      <c r="Y20" s="343"/>
      <c r="Z20" s="345"/>
      <c r="AA20" s="345"/>
      <c r="AB20" s="343"/>
      <c r="AC20" s="343"/>
    </row>
    <row r="21" spans="1:29" ht="14.25" customHeight="1" x14ac:dyDescent="0.3">
      <c r="A21" s="338">
        <v>46209</v>
      </c>
      <c r="B21" s="347">
        <f t="shared" si="2"/>
        <v>350</v>
      </c>
      <c r="C21" s="348" t="s">
        <v>971</v>
      </c>
      <c r="D21" s="342"/>
      <c r="E21" s="343">
        <v>350</v>
      </c>
      <c r="F21" s="345"/>
      <c r="G21" s="345"/>
      <c r="H21" s="343"/>
      <c r="I21" s="343"/>
      <c r="J21" s="345"/>
      <c r="K21" s="345"/>
      <c r="L21" s="343"/>
      <c r="M21" s="343"/>
      <c r="N21" s="345"/>
      <c r="O21" s="345"/>
      <c r="P21" s="343"/>
      <c r="Q21" s="343"/>
      <c r="R21" s="345"/>
      <c r="S21" s="345"/>
      <c r="T21" s="343"/>
      <c r="U21" s="343"/>
      <c r="V21" s="345"/>
      <c r="W21" s="345"/>
      <c r="X21" s="343"/>
      <c r="Y21" s="343"/>
      <c r="Z21" s="345"/>
      <c r="AA21" s="345"/>
      <c r="AB21" s="343"/>
      <c r="AC21" s="343"/>
    </row>
    <row r="22" spans="1:29" ht="14.25" customHeight="1" x14ac:dyDescent="0.3">
      <c r="A22" s="338">
        <v>46209</v>
      </c>
      <c r="B22" s="347">
        <f t="shared" si="2"/>
        <v>-8500</v>
      </c>
      <c r="C22" s="348" t="s">
        <v>957</v>
      </c>
      <c r="D22" s="342">
        <v>8500</v>
      </c>
      <c r="E22" s="343"/>
      <c r="F22" s="345"/>
      <c r="G22" s="345"/>
      <c r="H22" s="343"/>
      <c r="I22" s="343"/>
      <c r="J22" s="345"/>
      <c r="K22" s="345"/>
      <c r="L22" s="343"/>
      <c r="M22" s="343"/>
      <c r="N22" s="345"/>
      <c r="O22" s="345"/>
      <c r="P22" s="343"/>
      <c r="Q22" s="343"/>
      <c r="R22" s="345"/>
      <c r="S22" s="345"/>
      <c r="T22" s="343"/>
      <c r="U22" s="343"/>
      <c r="V22" s="345"/>
      <c r="W22" s="345"/>
      <c r="X22" s="343"/>
      <c r="Y22" s="343"/>
      <c r="Z22" s="345"/>
      <c r="AA22" s="345"/>
      <c r="AB22" s="343"/>
      <c r="AC22" s="343"/>
    </row>
    <row r="23" spans="1:29" ht="14.25" customHeight="1" x14ac:dyDescent="0.3">
      <c r="A23" s="338">
        <v>46209</v>
      </c>
      <c r="B23" s="347">
        <f t="shared" si="2"/>
        <v>-150</v>
      </c>
      <c r="C23" s="348" t="s">
        <v>972</v>
      </c>
      <c r="D23" s="342"/>
      <c r="E23" s="343"/>
      <c r="F23" s="345"/>
      <c r="G23" s="345"/>
      <c r="H23" s="343">
        <v>150</v>
      </c>
      <c r="I23" s="343"/>
      <c r="J23" s="345"/>
      <c r="K23" s="345"/>
      <c r="L23" s="343"/>
      <c r="M23" s="343"/>
      <c r="N23" s="345"/>
      <c r="O23" s="345"/>
      <c r="P23" s="343"/>
      <c r="Q23" s="343"/>
      <c r="R23" s="345"/>
      <c r="S23" s="345"/>
      <c r="T23" s="343"/>
      <c r="U23" s="343"/>
      <c r="V23" s="345"/>
      <c r="W23" s="345"/>
      <c r="X23" s="343"/>
      <c r="Y23" s="343"/>
      <c r="Z23" s="345"/>
      <c r="AA23" s="345"/>
      <c r="AB23" s="343"/>
      <c r="AC23" s="343"/>
    </row>
    <row r="24" spans="1:29" ht="14.25" customHeight="1" x14ac:dyDescent="0.3">
      <c r="A24" s="338">
        <v>46205</v>
      </c>
      <c r="B24" s="347">
        <f t="shared" si="2"/>
        <v>-783</v>
      </c>
      <c r="C24" s="348" t="s">
        <v>1001</v>
      </c>
      <c r="D24" s="342"/>
      <c r="E24" s="343"/>
      <c r="F24" s="345"/>
      <c r="G24" s="345"/>
      <c r="H24" s="343"/>
      <c r="I24" s="343"/>
      <c r="J24" s="345"/>
      <c r="K24" s="345"/>
      <c r="L24" s="343"/>
      <c r="M24" s="343"/>
      <c r="N24" s="345"/>
      <c r="O24" s="345"/>
      <c r="P24" s="343"/>
      <c r="Q24" s="343"/>
      <c r="R24" s="345">
        <v>783</v>
      </c>
      <c r="S24" s="345"/>
      <c r="T24" s="343"/>
      <c r="U24" s="343"/>
      <c r="V24" s="345"/>
      <c r="W24" s="345"/>
      <c r="X24" s="343"/>
      <c r="Y24" s="343"/>
      <c r="Z24" s="345"/>
      <c r="AA24" s="345"/>
      <c r="AB24" s="343"/>
      <c r="AC24" s="343"/>
    </row>
    <row r="25" spans="1:29" ht="14.25" customHeight="1" x14ac:dyDescent="0.3">
      <c r="A25" s="338">
        <v>46203</v>
      </c>
      <c r="B25" s="347">
        <f t="shared" si="2"/>
        <v>6487.16</v>
      </c>
      <c r="C25" s="348" t="s">
        <v>970</v>
      </c>
      <c r="D25" s="342"/>
      <c r="E25" s="343">
        <v>6487.16</v>
      </c>
      <c r="F25" s="345"/>
      <c r="G25" s="345"/>
      <c r="H25" s="343"/>
      <c r="I25" s="343"/>
      <c r="J25" s="345"/>
      <c r="K25" s="345"/>
      <c r="L25" s="343"/>
      <c r="M25" s="343"/>
      <c r="N25" s="345"/>
      <c r="O25" s="345"/>
      <c r="P25" s="343"/>
      <c r="Q25" s="343"/>
      <c r="R25" s="345"/>
      <c r="S25" s="345"/>
      <c r="T25" s="343"/>
      <c r="U25" s="343"/>
      <c r="V25" s="345"/>
      <c r="W25" s="345"/>
      <c r="X25" s="343"/>
      <c r="Y25" s="343"/>
      <c r="Z25" s="345"/>
      <c r="AA25" s="345"/>
      <c r="AB25" s="343"/>
      <c r="AC25" s="343"/>
    </row>
    <row r="26" spans="1:29" ht="14.25" customHeight="1" x14ac:dyDescent="0.3">
      <c r="A26" s="338">
        <v>46203</v>
      </c>
      <c r="B26" s="347">
        <f t="shared" si="2"/>
        <v>2000</v>
      </c>
      <c r="C26" s="348" t="s">
        <v>944</v>
      </c>
      <c r="D26" s="342"/>
      <c r="E26" s="343"/>
      <c r="F26" s="345"/>
      <c r="G26" s="345"/>
      <c r="H26" s="343"/>
      <c r="I26" s="343">
        <v>350</v>
      </c>
      <c r="J26" s="345"/>
      <c r="K26" s="345">
        <v>320</v>
      </c>
      <c r="L26" s="343"/>
      <c r="M26" s="343">
        <v>25</v>
      </c>
      <c r="N26" s="345"/>
      <c r="O26" s="345">
        <v>25</v>
      </c>
      <c r="P26" s="343"/>
      <c r="Q26" s="343">
        <v>45</v>
      </c>
      <c r="R26" s="345"/>
      <c r="S26" s="345">
        <v>400</v>
      </c>
      <c r="T26" s="343"/>
      <c r="U26" s="343">
        <v>375</v>
      </c>
      <c r="V26" s="345"/>
      <c r="W26" s="345">
        <v>100</v>
      </c>
      <c r="X26" s="343"/>
      <c r="Y26" s="343">
        <v>85</v>
      </c>
      <c r="Z26" s="345"/>
      <c r="AA26" s="345">
        <v>230</v>
      </c>
      <c r="AB26" s="343"/>
      <c r="AC26" s="343">
        <v>45</v>
      </c>
    </row>
    <row r="27" spans="1:29" ht="14.25" customHeight="1" x14ac:dyDescent="0.3">
      <c r="A27" s="338">
        <v>46203</v>
      </c>
      <c r="B27" s="347">
        <f t="shared" si="2"/>
        <v>0.35</v>
      </c>
      <c r="C27" s="348" t="s">
        <v>505</v>
      </c>
      <c r="D27" s="342"/>
      <c r="E27" s="343"/>
      <c r="F27" s="345"/>
      <c r="G27" s="345">
        <v>0.35</v>
      </c>
      <c r="H27" s="343"/>
      <c r="I27" s="343"/>
      <c r="J27" s="345"/>
      <c r="K27" s="345"/>
      <c r="L27" s="343"/>
      <c r="M27" s="343"/>
      <c r="N27" s="345"/>
      <c r="O27" s="345"/>
      <c r="P27" s="343"/>
      <c r="Q27" s="343"/>
      <c r="R27" s="345"/>
      <c r="S27" s="345"/>
      <c r="T27" s="343"/>
      <c r="U27" s="343"/>
      <c r="V27" s="345"/>
      <c r="W27" s="345"/>
      <c r="X27" s="343"/>
      <c r="Y27" s="343"/>
      <c r="Z27" s="345"/>
      <c r="AA27" s="345"/>
      <c r="AB27" s="343"/>
      <c r="AC27" s="343"/>
    </row>
    <row r="28" spans="1:29" ht="14.25" customHeight="1" x14ac:dyDescent="0.3">
      <c r="A28" s="338">
        <v>46203</v>
      </c>
      <c r="B28" s="347">
        <f t="shared" si="2"/>
        <v>-580</v>
      </c>
      <c r="C28" s="348" t="s">
        <v>949</v>
      </c>
      <c r="D28" s="342">
        <v>580</v>
      </c>
      <c r="E28" s="343"/>
      <c r="F28" s="345"/>
      <c r="G28" s="345"/>
      <c r="H28" s="343"/>
      <c r="I28" s="343"/>
      <c r="J28" s="345"/>
      <c r="K28" s="345"/>
      <c r="L28" s="343"/>
      <c r="M28" s="343"/>
      <c r="N28" s="345"/>
      <c r="O28" s="345"/>
      <c r="P28" s="343"/>
      <c r="Q28" s="343"/>
      <c r="R28" s="345"/>
      <c r="S28" s="345"/>
      <c r="T28" s="343"/>
      <c r="U28" s="343"/>
      <c r="V28" s="345"/>
      <c r="W28" s="345"/>
      <c r="X28" s="343"/>
      <c r="Y28" s="343"/>
      <c r="Z28" s="345"/>
      <c r="AA28" s="345"/>
      <c r="AB28" s="343"/>
      <c r="AC28" s="343"/>
    </row>
    <row r="29" spans="1:29" ht="14.25" customHeight="1" x14ac:dyDescent="0.3">
      <c r="A29" s="338">
        <v>46203</v>
      </c>
      <c r="B29" s="347">
        <f t="shared" si="2"/>
        <v>-185.64</v>
      </c>
      <c r="C29" s="348" t="s">
        <v>423</v>
      </c>
      <c r="D29" s="342"/>
      <c r="E29" s="343"/>
      <c r="F29" s="345"/>
      <c r="G29" s="345"/>
      <c r="H29" s="343"/>
      <c r="I29" s="343"/>
      <c r="J29" s="345"/>
      <c r="K29" s="345"/>
      <c r="L29" s="343"/>
      <c r="M29" s="343"/>
      <c r="N29" s="345"/>
      <c r="O29" s="345"/>
      <c r="P29" s="343">
        <v>92.82</v>
      </c>
      <c r="Q29" s="343"/>
      <c r="R29" s="345"/>
      <c r="S29" s="345"/>
      <c r="T29" s="343"/>
      <c r="U29" s="343"/>
      <c r="V29" s="345"/>
      <c r="W29" s="345"/>
      <c r="X29" s="343"/>
      <c r="Y29" s="343"/>
      <c r="Z29" s="345"/>
      <c r="AA29" s="345"/>
      <c r="AB29" s="343">
        <v>92.82</v>
      </c>
      <c r="AC29" s="343"/>
    </row>
    <row r="30" spans="1:29" ht="14.25" customHeight="1" x14ac:dyDescent="0.3">
      <c r="A30" s="338">
        <v>46203</v>
      </c>
      <c r="B30" s="347">
        <f t="shared" si="2"/>
        <v>51.56</v>
      </c>
      <c r="C30" s="348" t="s">
        <v>509</v>
      </c>
      <c r="D30" s="342"/>
      <c r="E30" s="343"/>
      <c r="F30" s="345"/>
      <c r="G30" s="345">
        <v>51.56</v>
      </c>
      <c r="H30" s="343"/>
      <c r="I30" s="343"/>
      <c r="J30" s="345"/>
      <c r="K30" s="345"/>
      <c r="L30" s="343"/>
      <c r="M30" s="343"/>
      <c r="N30" s="345"/>
      <c r="O30" s="345"/>
      <c r="P30" s="343"/>
      <c r="Q30" s="343"/>
      <c r="R30" s="345"/>
      <c r="S30" s="345"/>
      <c r="T30" s="343"/>
      <c r="U30" s="343"/>
      <c r="V30" s="345"/>
      <c r="W30" s="345"/>
      <c r="X30" s="343"/>
      <c r="Y30" s="343"/>
      <c r="Z30" s="345"/>
      <c r="AA30" s="345"/>
      <c r="AB30" s="343"/>
      <c r="AC30" s="343"/>
    </row>
    <row r="31" spans="1:29" ht="14.25" customHeight="1" x14ac:dyDescent="0.3">
      <c r="A31" s="338">
        <v>46203</v>
      </c>
      <c r="B31" s="347">
        <f t="shared" si="2"/>
        <v>53.44</v>
      </c>
      <c r="C31" s="348" t="s">
        <v>504</v>
      </c>
      <c r="D31" s="342"/>
      <c r="E31" s="343"/>
      <c r="F31" s="345"/>
      <c r="G31" s="345">
        <v>53.44</v>
      </c>
      <c r="H31" s="343"/>
      <c r="I31" s="343"/>
      <c r="J31" s="345"/>
      <c r="K31" s="345"/>
      <c r="L31" s="343"/>
      <c r="M31" s="343"/>
      <c r="N31" s="345"/>
      <c r="O31" s="345"/>
      <c r="P31" s="343"/>
      <c r="Q31" s="343"/>
      <c r="R31" s="345"/>
      <c r="S31" s="345"/>
      <c r="T31" s="343"/>
      <c r="U31" s="343"/>
      <c r="V31" s="345"/>
      <c r="W31" s="345"/>
      <c r="X31" s="343"/>
      <c r="Y31" s="343"/>
      <c r="Z31" s="345"/>
      <c r="AA31" s="345"/>
      <c r="AB31" s="343"/>
      <c r="AC31" s="343"/>
    </row>
    <row r="32" spans="1:29" ht="14.25" customHeight="1" x14ac:dyDescent="0.3">
      <c r="A32" s="338">
        <v>46203</v>
      </c>
      <c r="B32" s="347">
        <f t="shared" si="2"/>
        <v>-207.96</v>
      </c>
      <c r="C32" s="348" t="s">
        <v>946</v>
      </c>
      <c r="D32" s="342"/>
      <c r="E32" s="343"/>
      <c r="F32" s="345"/>
      <c r="G32" s="345"/>
      <c r="H32" s="343"/>
      <c r="I32" s="343"/>
      <c r="J32" s="345"/>
      <c r="K32" s="345"/>
      <c r="L32" s="343"/>
      <c r="M32" s="343"/>
      <c r="N32" s="345"/>
      <c r="O32" s="345"/>
      <c r="P32" s="343"/>
      <c r="Q32" s="343"/>
      <c r="R32" s="345">
        <v>207.96</v>
      </c>
      <c r="S32" s="345"/>
      <c r="T32" s="343"/>
      <c r="U32" s="343"/>
      <c r="V32" s="345"/>
      <c r="W32" s="345"/>
      <c r="X32" s="343"/>
      <c r="Y32" s="343"/>
      <c r="Z32" s="345"/>
      <c r="AA32" s="345"/>
      <c r="AB32" s="343"/>
      <c r="AC32" s="343"/>
    </row>
    <row r="33" spans="1:29" ht="14.25" customHeight="1" x14ac:dyDescent="0.3">
      <c r="A33" s="338">
        <v>46203</v>
      </c>
      <c r="B33" s="347">
        <f t="shared" si="2"/>
        <v>-1713.1</v>
      </c>
      <c r="C33" s="348" t="s">
        <v>531</v>
      </c>
      <c r="D33" s="342"/>
      <c r="E33" s="343"/>
      <c r="F33" s="345"/>
      <c r="G33" s="345"/>
      <c r="H33" s="343"/>
      <c r="I33" s="343"/>
      <c r="J33" s="345"/>
      <c r="K33" s="345"/>
      <c r="L33" s="343"/>
      <c r="M33" s="343"/>
      <c r="N33" s="345"/>
      <c r="O33" s="345"/>
      <c r="P33" s="343"/>
      <c r="Q33" s="343"/>
      <c r="R33" s="345">
        <v>1713.1</v>
      </c>
      <c r="S33" s="345"/>
      <c r="T33" s="343"/>
      <c r="U33" s="343"/>
      <c r="V33" s="345"/>
      <c r="W33" s="345"/>
      <c r="X33" s="343"/>
      <c r="Y33" s="343"/>
      <c r="Z33" s="345"/>
      <c r="AA33" s="345"/>
      <c r="AB33" s="343"/>
      <c r="AC33" s="343"/>
    </row>
    <row r="34" spans="1:29" ht="14.25" customHeight="1" x14ac:dyDescent="0.3">
      <c r="A34" s="338">
        <v>46189</v>
      </c>
      <c r="B34" s="347">
        <f t="shared" si="2"/>
        <v>53.17</v>
      </c>
      <c r="C34" s="348" t="s">
        <v>509</v>
      </c>
      <c r="D34" s="342"/>
      <c r="E34" s="343"/>
      <c r="F34" s="345"/>
      <c r="G34" s="345">
        <v>53.17</v>
      </c>
      <c r="H34" s="343"/>
      <c r="I34" s="343"/>
      <c r="J34" s="345"/>
      <c r="K34" s="345"/>
      <c r="L34" s="343"/>
      <c r="M34" s="343"/>
      <c r="N34" s="345"/>
      <c r="O34" s="345"/>
      <c r="P34" s="343"/>
      <c r="Q34" s="343"/>
      <c r="R34" s="345"/>
      <c r="S34" s="345"/>
      <c r="T34" s="343"/>
      <c r="U34" s="343"/>
      <c r="V34" s="345"/>
      <c r="W34" s="345"/>
      <c r="X34" s="343"/>
      <c r="Y34" s="343"/>
      <c r="Z34" s="345"/>
      <c r="AA34" s="345"/>
      <c r="AB34" s="343"/>
      <c r="AC34" s="343"/>
    </row>
    <row r="35" spans="1:29" ht="14.25" customHeight="1" x14ac:dyDescent="0.3">
      <c r="A35" s="338">
        <v>46186</v>
      </c>
      <c r="B35" s="347">
        <f t="shared" si="2"/>
        <v>57.38</v>
      </c>
      <c r="C35" s="348" t="s">
        <v>509</v>
      </c>
      <c r="D35" s="342"/>
      <c r="E35" s="343"/>
      <c r="F35" s="345"/>
      <c r="G35" s="345">
        <v>57.38</v>
      </c>
      <c r="H35" s="343"/>
      <c r="I35" s="343"/>
      <c r="J35" s="345"/>
      <c r="K35" s="345"/>
      <c r="L35" s="343"/>
      <c r="M35" s="343"/>
      <c r="N35" s="345"/>
      <c r="O35" s="345"/>
      <c r="P35" s="343"/>
      <c r="Q35" s="343"/>
      <c r="R35" s="345"/>
      <c r="S35" s="345"/>
      <c r="T35" s="343"/>
      <c r="U35" s="343"/>
      <c r="V35" s="345"/>
      <c r="W35" s="345"/>
      <c r="X35" s="343"/>
      <c r="Y35" s="343"/>
      <c r="Z35" s="345"/>
      <c r="AA35" s="345"/>
      <c r="AB35" s="343"/>
      <c r="AC35" s="343"/>
    </row>
    <row r="36" spans="1:29" ht="14.25" customHeight="1" x14ac:dyDescent="0.3">
      <c r="A36" s="338">
        <v>46184</v>
      </c>
      <c r="B36" s="347">
        <f t="shared" si="2"/>
        <v>-2159</v>
      </c>
      <c r="C36" s="348" t="s">
        <v>911</v>
      </c>
      <c r="D36" s="342"/>
      <c r="E36" s="343"/>
      <c r="F36" s="345"/>
      <c r="G36" s="345"/>
      <c r="H36" s="343"/>
      <c r="I36" s="343"/>
      <c r="J36" s="345">
        <v>2159</v>
      </c>
      <c r="K36" s="345"/>
      <c r="L36" s="343"/>
      <c r="M36" s="343"/>
      <c r="N36" s="345"/>
      <c r="O36" s="345"/>
      <c r="P36" s="343"/>
      <c r="Q36" s="343"/>
      <c r="R36" s="345"/>
      <c r="S36" s="345"/>
      <c r="T36" s="343"/>
      <c r="U36" s="343"/>
      <c r="V36" s="345"/>
      <c r="W36" s="345"/>
      <c r="X36" s="343"/>
      <c r="Y36" s="343"/>
      <c r="Z36" s="345"/>
      <c r="AA36" s="345"/>
      <c r="AB36" s="343"/>
      <c r="AC36" s="343"/>
    </row>
    <row r="37" spans="1:29" ht="14.25" customHeight="1" x14ac:dyDescent="0.3">
      <c r="A37" s="338">
        <v>46183</v>
      </c>
      <c r="B37" s="347">
        <f t="shared" si="2"/>
        <v>-816.19</v>
      </c>
      <c r="C37" s="348" t="s">
        <v>912</v>
      </c>
      <c r="D37" s="342"/>
      <c r="E37" s="343"/>
      <c r="F37" s="345"/>
      <c r="G37" s="345"/>
      <c r="H37" s="343">
        <v>816.19</v>
      </c>
      <c r="I37" s="343"/>
      <c r="J37" s="345"/>
      <c r="K37" s="345"/>
      <c r="L37" s="343"/>
      <c r="M37" s="343"/>
      <c r="N37" s="345"/>
      <c r="O37" s="345"/>
      <c r="P37" s="343"/>
      <c r="Q37" s="343"/>
      <c r="R37" s="345"/>
      <c r="S37" s="345"/>
      <c r="T37" s="343"/>
      <c r="U37" s="343"/>
      <c r="V37" s="345"/>
      <c r="W37" s="345"/>
      <c r="X37" s="343"/>
      <c r="Y37" s="343"/>
      <c r="Z37" s="345"/>
      <c r="AA37" s="345"/>
      <c r="AB37" s="343"/>
      <c r="AC37" s="343"/>
    </row>
    <row r="38" spans="1:29" ht="14.25" customHeight="1" x14ac:dyDescent="0.3">
      <c r="A38" s="338">
        <v>46180</v>
      </c>
      <c r="B38" s="347">
        <f t="shared" si="2"/>
        <v>-313.77999999999997</v>
      </c>
      <c r="C38" s="348" t="s">
        <v>890</v>
      </c>
      <c r="D38" s="342"/>
      <c r="E38" s="343"/>
      <c r="F38" s="345"/>
      <c r="G38" s="345"/>
      <c r="H38" s="343"/>
      <c r="I38" s="343"/>
      <c r="J38" s="345"/>
      <c r="K38" s="345"/>
      <c r="L38" s="343"/>
      <c r="M38" s="343"/>
      <c r="N38" s="345"/>
      <c r="O38" s="345"/>
      <c r="P38" s="343"/>
      <c r="Q38" s="343"/>
      <c r="R38" s="345"/>
      <c r="S38" s="345"/>
      <c r="T38" s="343">
        <v>313.77999999999997</v>
      </c>
      <c r="U38" s="343"/>
      <c r="V38" s="345"/>
      <c r="W38" s="345"/>
      <c r="X38" s="343"/>
      <c r="Y38" s="343"/>
      <c r="Z38" s="345"/>
      <c r="AA38" s="345"/>
      <c r="AB38" s="343"/>
      <c r="AC38" s="343"/>
    </row>
    <row r="39" spans="1:29" ht="14.25" customHeight="1" x14ac:dyDescent="0.3">
      <c r="A39" s="338">
        <v>46176</v>
      </c>
      <c r="B39" s="347">
        <f t="shared" si="2"/>
        <v>-1000</v>
      </c>
      <c r="C39" s="348" t="s">
        <v>901</v>
      </c>
      <c r="D39" s="342"/>
      <c r="E39" s="343"/>
      <c r="F39" s="345"/>
      <c r="G39" s="345"/>
      <c r="H39" s="343"/>
      <c r="I39" s="343"/>
      <c r="J39" s="345"/>
      <c r="K39" s="345"/>
      <c r="L39" s="343"/>
      <c r="M39" s="343"/>
      <c r="N39" s="345"/>
      <c r="O39" s="345"/>
      <c r="P39" s="343"/>
      <c r="Q39" s="343"/>
      <c r="R39" s="345"/>
      <c r="S39" s="345"/>
      <c r="T39" s="343">
        <v>1000</v>
      </c>
      <c r="U39" s="343"/>
      <c r="V39" s="345"/>
      <c r="W39" s="345"/>
      <c r="X39" s="343"/>
      <c r="Y39" s="343"/>
      <c r="Z39" s="345"/>
      <c r="AA39" s="345"/>
      <c r="AB39" s="343"/>
      <c r="AC39" s="343"/>
    </row>
    <row r="40" spans="1:29" ht="14.25" customHeight="1" x14ac:dyDescent="0.3">
      <c r="A40" s="338">
        <v>46174</v>
      </c>
      <c r="B40" s="347">
        <f t="shared" si="2"/>
        <v>-320</v>
      </c>
      <c r="C40" s="348" t="s">
        <v>913</v>
      </c>
      <c r="D40" s="342">
        <v>320</v>
      </c>
      <c r="E40" s="343"/>
      <c r="F40" s="345"/>
      <c r="G40" s="345"/>
      <c r="H40" s="343"/>
      <c r="I40" s="343"/>
      <c r="J40" s="345"/>
      <c r="K40" s="345"/>
      <c r="L40" s="343"/>
      <c r="M40" s="343"/>
      <c r="N40" s="345"/>
      <c r="O40" s="345"/>
      <c r="P40" s="343"/>
      <c r="Q40" s="343"/>
      <c r="R40" s="345"/>
      <c r="S40" s="345"/>
      <c r="T40" s="343"/>
      <c r="U40" s="343"/>
      <c r="V40" s="345"/>
      <c r="W40" s="345"/>
      <c r="X40" s="343"/>
      <c r="Y40" s="343"/>
      <c r="Z40" s="345"/>
      <c r="AA40" s="345"/>
      <c r="AB40" s="343"/>
      <c r="AC40" s="343"/>
    </row>
    <row r="41" spans="1:29" ht="14.25" customHeight="1" x14ac:dyDescent="0.3">
      <c r="A41" s="338">
        <v>46173</v>
      </c>
      <c r="B41" s="347">
        <f t="shared" si="2"/>
        <v>-3000</v>
      </c>
      <c r="C41" s="348" t="s">
        <v>897</v>
      </c>
      <c r="D41" s="342">
        <v>3000</v>
      </c>
      <c r="E41" s="343"/>
      <c r="F41" s="345"/>
      <c r="G41" s="345"/>
      <c r="H41" s="343"/>
      <c r="I41" s="343"/>
      <c r="J41" s="345"/>
      <c r="K41" s="345"/>
      <c r="L41" s="343"/>
      <c r="M41" s="343"/>
      <c r="N41" s="345"/>
      <c r="O41" s="345"/>
      <c r="P41" s="343"/>
      <c r="Q41" s="343"/>
      <c r="R41" s="345"/>
      <c r="S41" s="345"/>
      <c r="T41" s="343"/>
      <c r="U41" s="343"/>
      <c r="V41" s="345"/>
      <c r="W41" s="345"/>
      <c r="X41" s="343"/>
      <c r="Y41" s="343"/>
      <c r="Z41" s="345"/>
      <c r="AA41" s="345"/>
      <c r="AB41" s="343"/>
      <c r="AC41" s="343"/>
    </row>
    <row r="42" spans="1:29" ht="14.25" customHeight="1" x14ac:dyDescent="0.3">
      <c r="A42" s="338">
        <v>46173</v>
      </c>
      <c r="B42" s="347">
        <f t="shared" si="2"/>
        <v>-1000</v>
      </c>
      <c r="C42" s="348" t="s">
        <v>896</v>
      </c>
      <c r="D42" s="342">
        <v>1000</v>
      </c>
      <c r="E42" s="343"/>
      <c r="F42" s="345"/>
      <c r="G42" s="345"/>
      <c r="H42" s="343"/>
      <c r="I42" s="343"/>
      <c r="J42" s="345"/>
      <c r="K42" s="345"/>
      <c r="L42" s="343"/>
      <c r="M42" s="343"/>
      <c r="N42" s="345"/>
      <c r="O42" s="345"/>
      <c r="P42" s="343"/>
      <c r="Q42" s="343"/>
      <c r="R42" s="345"/>
      <c r="S42" s="345"/>
      <c r="T42" s="343"/>
      <c r="U42" s="343"/>
      <c r="V42" s="345"/>
      <c r="W42" s="345"/>
      <c r="X42" s="343"/>
      <c r="Y42" s="343"/>
      <c r="Z42" s="345"/>
      <c r="AA42" s="345"/>
      <c r="AB42" s="343"/>
      <c r="AC42" s="343"/>
    </row>
    <row r="43" spans="1:29" ht="14.25" customHeight="1" x14ac:dyDescent="0.3">
      <c r="A43" s="338">
        <v>46173</v>
      </c>
      <c r="B43" s="347">
        <f t="shared" si="2"/>
        <v>1160.3599999999999</v>
      </c>
      <c r="C43" s="348" t="s">
        <v>895</v>
      </c>
      <c r="D43" s="342"/>
      <c r="E43" s="343">
        <v>1160.3599999999999</v>
      </c>
      <c r="F43" s="345"/>
      <c r="G43" s="345"/>
      <c r="H43" s="343"/>
      <c r="I43" s="343"/>
      <c r="J43" s="345"/>
      <c r="K43" s="345"/>
      <c r="L43" s="343"/>
      <c r="M43" s="343"/>
      <c r="N43" s="345"/>
      <c r="O43" s="345"/>
      <c r="P43" s="343"/>
      <c r="Q43" s="343"/>
      <c r="R43" s="345"/>
      <c r="S43" s="345"/>
      <c r="T43" s="343"/>
      <c r="U43" s="343"/>
      <c r="V43" s="345"/>
      <c r="W43" s="345"/>
      <c r="X43" s="343"/>
      <c r="Y43" s="343"/>
      <c r="Z43" s="345"/>
      <c r="AA43" s="345"/>
      <c r="AB43" s="343"/>
      <c r="AC43" s="343"/>
    </row>
    <row r="44" spans="1:29" ht="14.25" customHeight="1" x14ac:dyDescent="0.3">
      <c r="A44" s="338">
        <v>46173</v>
      </c>
      <c r="B44" s="347">
        <f t="shared" ref="B44:B115" si="3">SUM(E44,U44,K44,G44,I44,S44,O44,M44,Q44,W44,Y44,AA44,AC44)-SUM(D44,F44,T44,H44,R44,N44,J44,L44,P44,V44,X44,Z44,AB44)</f>
        <v>2000</v>
      </c>
      <c r="C44" s="348" t="s">
        <v>886</v>
      </c>
      <c r="D44" s="342"/>
      <c r="E44" s="343"/>
      <c r="F44" s="345"/>
      <c r="G44" s="345"/>
      <c r="H44" s="343"/>
      <c r="I44" s="343">
        <v>350</v>
      </c>
      <c r="J44" s="345"/>
      <c r="K44" s="345">
        <v>320</v>
      </c>
      <c r="L44" s="343"/>
      <c r="M44" s="343">
        <v>25</v>
      </c>
      <c r="N44" s="345"/>
      <c r="O44" s="345">
        <v>25</v>
      </c>
      <c r="P44" s="343"/>
      <c r="Q44" s="343">
        <v>45</v>
      </c>
      <c r="R44" s="345"/>
      <c r="S44" s="345">
        <v>400</v>
      </c>
      <c r="T44" s="343"/>
      <c r="U44" s="343">
        <v>375</v>
      </c>
      <c r="V44" s="345"/>
      <c r="W44" s="345">
        <v>100</v>
      </c>
      <c r="X44" s="343"/>
      <c r="Y44" s="343">
        <v>85</v>
      </c>
      <c r="Z44" s="345"/>
      <c r="AA44" s="345">
        <v>230</v>
      </c>
      <c r="AB44" s="343"/>
      <c r="AC44" s="343">
        <v>45</v>
      </c>
    </row>
    <row r="45" spans="1:29" ht="14.25" customHeight="1" x14ac:dyDescent="0.3">
      <c r="A45" s="338">
        <v>46173</v>
      </c>
      <c r="B45" s="347">
        <f t="shared" si="3"/>
        <v>0.63</v>
      </c>
      <c r="C45" s="348" t="s">
        <v>505</v>
      </c>
      <c r="D45" s="342"/>
      <c r="E45" s="343"/>
      <c r="F45" s="345"/>
      <c r="G45" s="345">
        <v>0.63</v>
      </c>
      <c r="H45" s="343"/>
      <c r="I45" s="343"/>
      <c r="J45" s="345"/>
      <c r="K45" s="345"/>
      <c r="L45" s="343"/>
      <c r="M45" s="343"/>
      <c r="N45" s="345"/>
      <c r="O45" s="345"/>
      <c r="P45" s="343"/>
      <c r="Q45" s="343"/>
      <c r="R45" s="345"/>
      <c r="S45" s="345"/>
      <c r="T45" s="343"/>
      <c r="U45" s="343"/>
      <c r="V45" s="345"/>
      <c r="W45" s="345"/>
      <c r="X45" s="343"/>
      <c r="Y45" s="343"/>
      <c r="Z45" s="345"/>
      <c r="AA45" s="345"/>
      <c r="AB45" s="343"/>
      <c r="AC45" s="343"/>
    </row>
    <row r="46" spans="1:29" ht="14.25" customHeight="1" x14ac:dyDescent="0.3">
      <c r="A46" s="338">
        <v>46172</v>
      </c>
      <c r="B46" s="347">
        <f t="shared" si="3"/>
        <v>-530.36</v>
      </c>
      <c r="C46" s="348" t="s">
        <v>890</v>
      </c>
      <c r="D46" s="342"/>
      <c r="E46" s="343"/>
      <c r="F46" s="345"/>
      <c r="G46" s="345"/>
      <c r="H46" s="343"/>
      <c r="I46" s="343"/>
      <c r="J46" s="345"/>
      <c r="K46" s="345"/>
      <c r="L46" s="343"/>
      <c r="M46" s="343"/>
      <c r="N46" s="345"/>
      <c r="O46" s="345"/>
      <c r="P46" s="343"/>
      <c r="Q46" s="343"/>
      <c r="R46" s="345"/>
      <c r="S46" s="345"/>
      <c r="T46" s="343">
        <v>530.36</v>
      </c>
      <c r="U46" s="343"/>
      <c r="V46" s="345"/>
      <c r="W46" s="345"/>
      <c r="X46" s="343"/>
      <c r="Y46" s="343"/>
      <c r="Z46" s="345"/>
      <c r="AA46" s="345"/>
      <c r="AB46" s="343"/>
      <c r="AC46" s="343"/>
    </row>
    <row r="47" spans="1:29" ht="14.25" customHeight="1" x14ac:dyDescent="0.3">
      <c r="A47" s="338">
        <v>46168</v>
      </c>
      <c r="B47" s="347">
        <f t="shared" si="3"/>
        <v>0</v>
      </c>
      <c r="C47" s="348" t="s">
        <v>887</v>
      </c>
      <c r="D47" s="342">
        <v>400</v>
      </c>
      <c r="E47" s="343">
        <v>400</v>
      </c>
      <c r="F47" s="345"/>
      <c r="G47" s="345"/>
      <c r="H47" s="343"/>
      <c r="I47" s="343"/>
      <c r="J47" s="345"/>
      <c r="K47" s="345"/>
      <c r="L47" s="343"/>
      <c r="M47" s="343"/>
      <c r="N47" s="345"/>
      <c r="O47" s="345"/>
      <c r="P47" s="343"/>
      <c r="Q47" s="343"/>
      <c r="R47" s="345"/>
      <c r="S47" s="345"/>
      <c r="T47" s="343"/>
      <c r="U47" s="343"/>
      <c r="V47" s="345"/>
      <c r="W47" s="345"/>
      <c r="X47" s="343"/>
      <c r="Y47" s="343"/>
      <c r="Z47" s="345"/>
      <c r="AA47" s="345"/>
      <c r="AB47" s="343"/>
      <c r="AC47" s="343"/>
    </row>
    <row r="48" spans="1:29" ht="14.25" customHeight="1" x14ac:dyDescent="0.3">
      <c r="A48" s="338">
        <v>46170</v>
      </c>
      <c r="B48" s="347">
        <f t="shared" si="3"/>
        <v>87.5</v>
      </c>
      <c r="C48" s="348" t="s">
        <v>509</v>
      </c>
      <c r="D48" s="342"/>
      <c r="E48" s="343"/>
      <c r="F48" s="345"/>
      <c r="G48" s="345">
        <v>87.5</v>
      </c>
      <c r="H48" s="343"/>
      <c r="I48" s="343"/>
      <c r="J48" s="345"/>
      <c r="K48" s="345"/>
      <c r="L48" s="343"/>
      <c r="M48" s="343"/>
      <c r="N48" s="345"/>
      <c r="O48" s="345"/>
      <c r="P48" s="343"/>
      <c r="Q48" s="343"/>
      <c r="R48" s="345"/>
      <c r="S48" s="345"/>
      <c r="T48" s="343"/>
      <c r="U48" s="343"/>
      <c r="V48" s="345"/>
      <c r="W48" s="345"/>
      <c r="X48" s="343"/>
      <c r="Y48" s="343"/>
      <c r="Z48" s="345"/>
      <c r="AA48" s="345"/>
      <c r="AB48" s="343"/>
      <c r="AC48" s="343"/>
    </row>
    <row r="49" spans="1:29" ht="14.25" customHeight="1" x14ac:dyDescent="0.3">
      <c r="A49" s="338">
        <v>46170</v>
      </c>
      <c r="B49" s="347">
        <f t="shared" si="3"/>
        <v>56.18</v>
      </c>
      <c r="C49" s="348" t="s">
        <v>504</v>
      </c>
      <c r="D49" s="342"/>
      <c r="E49" s="343"/>
      <c r="F49" s="345"/>
      <c r="G49" s="345">
        <v>56.18</v>
      </c>
      <c r="H49" s="343"/>
      <c r="I49" s="343"/>
      <c r="J49" s="345"/>
      <c r="K49" s="345"/>
      <c r="L49" s="343"/>
      <c r="M49" s="343"/>
      <c r="N49" s="345"/>
      <c r="O49" s="345"/>
      <c r="P49" s="343"/>
      <c r="Q49" s="343"/>
      <c r="R49" s="345"/>
      <c r="S49" s="345"/>
      <c r="T49" s="343"/>
      <c r="U49" s="343"/>
      <c r="V49" s="345"/>
      <c r="W49" s="345"/>
      <c r="X49" s="343"/>
      <c r="Y49" s="343"/>
      <c r="Z49" s="345"/>
      <c r="AA49" s="345"/>
      <c r="AB49" s="343"/>
      <c r="AC49" s="343"/>
    </row>
    <row r="50" spans="1:29" ht="14.25" customHeight="1" x14ac:dyDescent="0.3">
      <c r="A50" s="338">
        <v>46170</v>
      </c>
      <c r="B50" s="347">
        <f t="shared" si="3"/>
        <v>-4500</v>
      </c>
      <c r="C50" s="348" t="s">
        <v>512</v>
      </c>
      <c r="D50" s="342"/>
      <c r="E50" s="343"/>
      <c r="F50" s="345"/>
      <c r="G50" s="345"/>
      <c r="H50" s="343"/>
      <c r="I50" s="343"/>
      <c r="J50" s="345"/>
      <c r="K50" s="345"/>
      <c r="L50" s="343"/>
      <c r="M50" s="343"/>
      <c r="N50" s="345"/>
      <c r="O50" s="345"/>
      <c r="P50" s="343"/>
      <c r="Q50" s="343"/>
      <c r="R50" s="345"/>
      <c r="S50" s="345"/>
      <c r="T50" s="343">
        <v>4500</v>
      </c>
      <c r="U50" s="343"/>
      <c r="V50" s="345"/>
      <c r="W50" s="345"/>
      <c r="X50" s="343"/>
      <c r="Y50" s="343"/>
      <c r="Z50" s="345"/>
      <c r="AA50" s="345"/>
      <c r="AB50" s="343"/>
      <c r="AC50" s="343"/>
    </row>
    <row r="51" spans="1:29" ht="14.25" customHeight="1" x14ac:dyDescent="0.3">
      <c r="A51" s="338">
        <v>46166</v>
      </c>
      <c r="B51" s="347">
        <f t="shared" si="3"/>
        <v>-69.2</v>
      </c>
      <c r="C51" s="348" t="s">
        <v>858</v>
      </c>
      <c r="D51" s="342">
        <v>69.2</v>
      </c>
      <c r="E51" s="343"/>
      <c r="F51" s="345"/>
      <c r="G51" s="345"/>
      <c r="H51" s="343"/>
      <c r="I51" s="343"/>
      <c r="J51" s="345"/>
      <c r="K51" s="345"/>
      <c r="L51" s="343"/>
      <c r="M51" s="343"/>
      <c r="N51" s="345"/>
      <c r="O51" s="345"/>
      <c r="P51" s="343"/>
      <c r="Q51" s="343"/>
      <c r="R51" s="345"/>
      <c r="S51" s="345"/>
      <c r="T51" s="343"/>
      <c r="U51" s="343"/>
      <c r="V51" s="345"/>
      <c r="W51" s="345"/>
      <c r="X51" s="343"/>
      <c r="Y51" s="343"/>
      <c r="Z51" s="345"/>
      <c r="AA51" s="345"/>
      <c r="AB51" s="343"/>
      <c r="AC51" s="343"/>
    </row>
    <row r="52" spans="1:29" ht="14.25" customHeight="1" x14ac:dyDescent="0.3">
      <c r="A52" s="338">
        <v>46165</v>
      </c>
      <c r="B52" s="347">
        <f t="shared" si="3"/>
        <v>-138.44</v>
      </c>
      <c r="C52" s="348" t="s">
        <v>876</v>
      </c>
      <c r="D52" s="342">
        <v>138.44</v>
      </c>
      <c r="E52" s="343"/>
      <c r="F52" s="345"/>
      <c r="G52" s="345"/>
      <c r="H52" s="343"/>
      <c r="I52" s="343"/>
      <c r="J52" s="345"/>
      <c r="K52" s="345"/>
      <c r="L52" s="343"/>
      <c r="M52" s="343"/>
      <c r="N52" s="345"/>
      <c r="O52" s="345"/>
      <c r="P52" s="343"/>
      <c r="Q52" s="343"/>
      <c r="R52" s="345"/>
      <c r="S52" s="345"/>
      <c r="T52" s="343"/>
      <c r="U52" s="343"/>
      <c r="V52" s="345"/>
      <c r="W52" s="345"/>
      <c r="X52" s="343"/>
      <c r="Y52" s="343"/>
      <c r="Z52" s="345"/>
      <c r="AA52" s="345"/>
      <c r="AB52" s="343"/>
      <c r="AC52" s="343"/>
    </row>
    <row r="53" spans="1:29" ht="14.25" customHeight="1" x14ac:dyDescent="0.3">
      <c r="A53" s="338">
        <v>46158</v>
      </c>
      <c r="B53" s="347">
        <f t="shared" si="3"/>
        <v>-87.13</v>
      </c>
      <c r="C53" s="348" t="s">
        <v>847</v>
      </c>
      <c r="D53" s="342"/>
      <c r="E53" s="343"/>
      <c r="F53" s="345"/>
      <c r="G53" s="345"/>
      <c r="H53" s="343"/>
      <c r="I53" s="343"/>
      <c r="J53" s="345"/>
      <c r="K53" s="345"/>
      <c r="L53" s="343"/>
      <c r="M53" s="343"/>
      <c r="N53" s="345"/>
      <c r="O53" s="345"/>
      <c r="P53" s="343"/>
      <c r="Q53" s="343"/>
      <c r="R53" s="345"/>
      <c r="S53" s="345"/>
      <c r="T53" s="343">
        <v>87.13</v>
      </c>
      <c r="U53" s="343"/>
      <c r="V53" s="345"/>
      <c r="W53" s="345"/>
      <c r="X53" s="343"/>
      <c r="Y53" s="343"/>
      <c r="Z53" s="345"/>
      <c r="AA53" s="345"/>
      <c r="AB53" s="343"/>
      <c r="AC53" s="343"/>
    </row>
    <row r="54" spans="1:29" ht="14.25" customHeight="1" x14ac:dyDescent="0.3">
      <c r="A54" s="338">
        <v>46158</v>
      </c>
      <c r="B54" s="347">
        <f t="shared" si="3"/>
        <v>-95.85</v>
      </c>
      <c r="C54" s="348" t="s">
        <v>849</v>
      </c>
      <c r="D54" s="342"/>
      <c r="E54" s="343"/>
      <c r="F54" s="345"/>
      <c r="G54" s="345"/>
      <c r="H54" s="343"/>
      <c r="I54" s="343"/>
      <c r="J54" s="345"/>
      <c r="K54" s="345"/>
      <c r="L54" s="343"/>
      <c r="M54" s="343"/>
      <c r="N54" s="345"/>
      <c r="O54" s="345"/>
      <c r="P54" s="343"/>
      <c r="Q54" s="343"/>
      <c r="R54" s="345"/>
      <c r="S54" s="345"/>
      <c r="T54" s="343">
        <v>95.85</v>
      </c>
      <c r="U54" s="343"/>
      <c r="V54" s="345"/>
      <c r="W54" s="345"/>
      <c r="X54" s="343"/>
      <c r="Y54" s="343"/>
      <c r="Z54" s="345"/>
      <c r="AA54" s="345"/>
      <c r="AB54" s="343"/>
      <c r="AC54" s="343"/>
    </row>
    <row r="55" spans="1:29" ht="14.25" customHeight="1" x14ac:dyDescent="0.3">
      <c r="A55" s="338">
        <v>46157</v>
      </c>
      <c r="B55" s="347">
        <f t="shared" si="3"/>
        <v>-146.15</v>
      </c>
      <c r="C55" s="348" t="s">
        <v>506</v>
      </c>
      <c r="D55" s="342"/>
      <c r="E55" s="343"/>
      <c r="F55" s="345"/>
      <c r="G55" s="345"/>
      <c r="H55" s="343"/>
      <c r="I55" s="343"/>
      <c r="J55" s="345"/>
      <c r="K55" s="345"/>
      <c r="L55" s="343"/>
      <c r="M55" s="343"/>
      <c r="N55" s="345"/>
      <c r="O55" s="345"/>
      <c r="P55" s="343"/>
      <c r="Q55" s="343"/>
      <c r="R55" s="345"/>
      <c r="S55" s="345"/>
      <c r="T55" s="343">
        <v>146.15</v>
      </c>
      <c r="U55" s="343"/>
      <c r="V55" s="345"/>
      <c r="W55" s="345"/>
      <c r="X55" s="343"/>
      <c r="Y55" s="343"/>
      <c r="Z55" s="345"/>
      <c r="AA55" s="345"/>
      <c r="AB55" s="343"/>
      <c r="AC55" s="343"/>
    </row>
    <row r="56" spans="1:29" ht="14.25" customHeight="1" x14ac:dyDescent="0.3">
      <c r="A56" s="338">
        <v>46155</v>
      </c>
      <c r="B56" s="347">
        <f t="shared" si="3"/>
        <v>-221.4</v>
      </c>
      <c r="C56" s="348" t="s">
        <v>856</v>
      </c>
      <c r="D56" s="342"/>
      <c r="E56" s="343"/>
      <c r="F56" s="345"/>
      <c r="G56" s="345"/>
      <c r="H56" s="343">
        <v>221.4</v>
      </c>
      <c r="I56" s="343"/>
      <c r="J56" s="345"/>
      <c r="K56" s="345"/>
      <c r="L56" s="343"/>
      <c r="M56" s="343"/>
      <c r="N56" s="345"/>
      <c r="O56" s="345"/>
      <c r="P56" s="343"/>
      <c r="Q56" s="343"/>
      <c r="R56" s="345"/>
      <c r="S56" s="345"/>
      <c r="T56" s="343"/>
      <c r="U56" s="343"/>
      <c r="V56" s="345"/>
      <c r="W56" s="345"/>
      <c r="X56" s="343"/>
      <c r="Y56" s="343"/>
      <c r="Z56" s="345"/>
      <c r="AA56" s="345"/>
      <c r="AB56" s="343"/>
      <c r="AC56" s="343"/>
    </row>
    <row r="57" spans="1:29" ht="14.25" customHeight="1" x14ac:dyDescent="0.3">
      <c r="A57" s="338">
        <v>46155</v>
      </c>
      <c r="B57" s="347">
        <f t="shared" si="3"/>
        <v>444.44</v>
      </c>
      <c r="C57" s="348" t="s">
        <v>519</v>
      </c>
      <c r="D57" s="342"/>
      <c r="E57" s="343">
        <v>444.44</v>
      </c>
      <c r="F57" s="345"/>
      <c r="G57" s="345"/>
      <c r="H57" s="343"/>
      <c r="I57" s="343"/>
      <c r="J57" s="345"/>
      <c r="K57" s="345"/>
      <c r="L57" s="343"/>
      <c r="M57" s="343"/>
      <c r="N57" s="345"/>
      <c r="O57" s="345"/>
      <c r="P57" s="343"/>
      <c r="Q57" s="343"/>
      <c r="R57" s="345"/>
      <c r="S57" s="345"/>
      <c r="T57" s="343"/>
      <c r="U57" s="343"/>
      <c r="V57" s="345"/>
      <c r="W57" s="345"/>
      <c r="X57" s="343"/>
      <c r="Y57" s="343"/>
      <c r="Z57" s="345"/>
      <c r="AA57" s="345"/>
      <c r="AB57" s="343"/>
      <c r="AC57" s="343"/>
    </row>
    <row r="58" spans="1:29" ht="14.25" customHeight="1" x14ac:dyDescent="0.3">
      <c r="A58" s="338">
        <v>46155</v>
      </c>
      <c r="B58" s="347">
        <f t="shared" si="3"/>
        <v>351.69</v>
      </c>
      <c r="C58" s="348" t="s">
        <v>859</v>
      </c>
      <c r="D58" s="342"/>
      <c r="E58" s="343">
        <v>351.69</v>
      </c>
      <c r="F58" s="345"/>
      <c r="G58" s="345"/>
      <c r="H58" s="343"/>
      <c r="I58" s="343"/>
      <c r="J58" s="345"/>
      <c r="K58" s="345"/>
      <c r="L58" s="343"/>
      <c r="M58" s="343"/>
      <c r="N58" s="345"/>
      <c r="O58" s="345"/>
      <c r="P58" s="343"/>
      <c r="Q58" s="343"/>
      <c r="R58" s="345"/>
      <c r="S58" s="345"/>
      <c r="T58" s="343"/>
      <c r="U58" s="343"/>
      <c r="V58" s="345"/>
      <c r="W58" s="345"/>
      <c r="X58" s="343"/>
      <c r="Y58" s="343"/>
      <c r="Z58" s="345"/>
      <c r="AA58" s="345"/>
      <c r="AB58" s="343"/>
      <c r="AC58" s="343"/>
    </row>
    <row r="59" spans="1:29" ht="14.25" customHeight="1" x14ac:dyDescent="0.3">
      <c r="A59" s="338">
        <v>46153</v>
      </c>
      <c r="B59" s="347">
        <f t="shared" si="3"/>
        <v>-1045.8699999999999</v>
      </c>
      <c r="C59" s="348" t="s">
        <v>843</v>
      </c>
      <c r="D59" s="342"/>
      <c r="E59" s="343"/>
      <c r="F59" s="345"/>
      <c r="G59" s="345"/>
      <c r="H59" s="343"/>
      <c r="I59" s="343"/>
      <c r="J59" s="345"/>
      <c r="K59" s="345"/>
      <c r="L59" s="343"/>
      <c r="M59" s="343"/>
      <c r="N59" s="345"/>
      <c r="O59" s="345"/>
      <c r="P59" s="343"/>
      <c r="Q59" s="343"/>
      <c r="R59" s="345"/>
      <c r="S59" s="345"/>
      <c r="T59" s="343">
        <v>1045.8699999999999</v>
      </c>
      <c r="U59" s="343"/>
      <c r="V59" s="345"/>
      <c r="W59" s="345"/>
      <c r="X59" s="343"/>
      <c r="Y59" s="343"/>
      <c r="Z59" s="345"/>
      <c r="AA59" s="345"/>
      <c r="AB59" s="343"/>
      <c r="AC59" s="343"/>
    </row>
    <row r="60" spans="1:29" ht="14.25" customHeight="1" x14ac:dyDescent="0.3">
      <c r="A60" s="338">
        <v>46151</v>
      </c>
      <c r="B60" s="347">
        <f t="shared" si="3"/>
        <v>-903.88</v>
      </c>
      <c r="C60" s="348" t="s">
        <v>857</v>
      </c>
      <c r="D60" s="342"/>
      <c r="E60" s="343"/>
      <c r="F60" s="345"/>
      <c r="G60" s="345"/>
      <c r="H60" s="343"/>
      <c r="I60" s="343"/>
      <c r="J60" s="345"/>
      <c r="K60" s="345"/>
      <c r="L60" s="343"/>
      <c r="M60" s="343"/>
      <c r="N60" s="345"/>
      <c r="O60" s="345"/>
      <c r="P60" s="343"/>
      <c r="Q60" s="343"/>
      <c r="R60" s="345"/>
      <c r="S60" s="345"/>
      <c r="T60" s="343">
        <v>903.88</v>
      </c>
      <c r="U60" s="343"/>
      <c r="V60" s="345"/>
      <c r="W60" s="345"/>
      <c r="X60" s="343"/>
      <c r="Y60" s="343"/>
      <c r="Z60" s="345"/>
      <c r="AA60" s="345"/>
      <c r="AB60" s="343"/>
      <c r="AC60" s="343"/>
    </row>
    <row r="61" spans="1:29" ht="14.25" customHeight="1" x14ac:dyDescent="0.3">
      <c r="A61" s="338">
        <v>46149</v>
      </c>
      <c r="B61" s="347">
        <f t="shared" si="3"/>
        <v>69.400000000000006</v>
      </c>
      <c r="C61" s="348" t="s">
        <v>509</v>
      </c>
      <c r="D61" s="342"/>
      <c r="E61" s="343"/>
      <c r="F61" s="345"/>
      <c r="G61" s="345">
        <v>69.400000000000006</v>
      </c>
      <c r="H61" s="343"/>
      <c r="I61" s="343"/>
      <c r="J61" s="345"/>
      <c r="K61" s="345"/>
      <c r="L61" s="343"/>
      <c r="M61" s="343"/>
      <c r="N61" s="345"/>
      <c r="O61" s="345"/>
      <c r="P61" s="343"/>
      <c r="Q61" s="343"/>
      <c r="R61" s="345"/>
      <c r="S61" s="345"/>
      <c r="T61" s="343"/>
      <c r="U61" s="343"/>
      <c r="V61" s="345"/>
      <c r="W61" s="345"/>
      <c r="X61" s="343"/>
      <c r="Y61" s="343"/>
      <c r="Z61" s="345"/>
      <c r="AA61" s="345"/>
      <c r="AB61" s="343"/>
      <c r="AC61" s="343"/>
    </row>
    <row r="62" spans="1:29" ht="14.25" customHeight="1" x14ac:dyDescent="0.3">
      <c r="A62" s="338">
        <v>46148</v>
      </c>
      <c r="B62" s="347">
        <f t="shared" si="3"/>
        <v>-500.5</v>
      </c>
      <c r="C62" s="348" t="s">
        <v>212</v>
      </c>
      <c r="D62" s="342"/>
      <c r="E62" s="343"/>
      <c r="F62" s="345"/>
      <c r="G62" s="345"/>
      <c r="H62" s="343"/>
      <c r="I62" s="343"/>
      <c r="J62" s="345"/>
      <c r="K62" s="345"/>
      <c r="L62" s="343"/>
      <c r="M62" s="343"/>
      <c r="N62" s="345"/>
      <c r="O62" s="345"/>
      <c r="P62" s="343"/>
      <c r="Q62" s="343"/>
      <c r="R62" s="345"/>
      <c r="S62" s="345"/>
      <c r="T62" s="343"/>
      <c r="U62" s="343"/>
      <c r="V62" s="345"/>
      <c r="W62" s="345"/>
      <c r="X62" s="343">
        <v>500.5</v>
      </c>
      <c r="Y62" s="343"/>
      <c r="Z62" s="345"/>
      <c r="AA62" s="345"/>
      <c r="AB62" s="343"/>
      <c r="AC62" s="343"/>
    </row>
    <row r="63" spans="1:29" ht="14.25" customHeight="1" x14ac:dyDescent="0.3">
      <c r="A63" s="338">
        <v>46148</v>
      </c>
      <c r="B63" s="347">
        <f t="shared" si="3"/>
        <v>-457.94</v>
      </c>
      <c r="C63" s="348" t="s">
        <v>858</v>
      </c>
      <c r="D63" s="342">
        <v>457.94</v>
      </c>
      <c r="E63" s="343"/>
      <c r="F63" s="345"/>
      <c r="G63" s="345"/>
      <c r="H63" s="343"/>
      <c r="I63" s="343"/>
      <c r="J63" s="345"/>
      <c r="K63" s="345"/>
      <c r="L63" s="343"/>
      <c r="M63" s="343"/>
      <c r="N63" s="345"/>
      <c r="O63" s="345"/>
      <c r="P63" s="343"/>
      <c r="Q63" s="343"/>
      <c r="R63" s="345"/>
      <c r="S63" s="345"/>
      <c r="T63" s="343"/>
      <c r="U63" s="343"/>
      <c r="V63" s="345"/>
      <c r="W63" s="345"/>
      <c r="X63" s="343"/>
      <c r="Y63" s="343"/>
      <c r="Z63" s="345"/>
      <c r="AA63" s="345"/>
      <c r="AB63" s="343"/>
      <c r="AC63" s="343"/>
    </row>
    <row r="64" spans="1:29" ht="14.25" customHeight="1" x14ac:dyDescent="0.3">
      <c r="A64" s="338">
        <v>46142</v>
      </c>
      <c r="B64" s="347">
        <f t="shared" si="3"/>
        <v>5616.82</v>
      </c>
      <c r="C64" s="348" t="s">
        <v>285</v>
      </c>
      <c r="D64" s="342"/>
      <c r="E64" s="343">
        <v>5616.82</v>
      </c>
      <c r="F64" s="345"/>
      <c r="G64" s="345"/>
      <c r="H64" s="343"/>
      <c r="I64" s="343"/>
      <c r="J64" s="345"/>
      <c r="K64" s="345"/>
      <c r="L64" s="343"/>
      <c r="M64" s="343"/>
      <c r="N64" s="345"/>
      <c r="O64" s="345"/>
      <c r="P64" s="343"/>
      <c r="Q64" s="343"/>
      <c r="R64" s="345"/>
      <c r="S64" s="345"/>
      <c r="T64" s="343"/>
      <c r="U64" s="343"/>
      <c r="V64" s="345"/>
      <c r="W64" s="345"/>
      <c r="X64" s="343"/>
      <c r="Y64" s="343"/>
      <c r="Z64" s="345"/>
      <c r="AA64" s="345"/>
      <c r="AB64" s="343"/>
      <c r="AC64" s="343"/>
    </row>
    <row r="65" spans="1:29" ht="14.25" customHeight="1" x14ac:dyDescent="0.3">
      <c r="A65" s="338">
        <v>46142</v>
      </c>
      <c r="B65" s="347">
        <f t="shared" si="3"/>
        <v>2000</v>
      </c>
      <c r="C65" s="348" t="s">
        <v>503</v>
      </c>
      <c r="D65" s="342"/>
      <c r="E65" s="343"/>
      <c r="F65" s="345"/>
      <c r="G65" s="345"/>
      <c r="H65" s="343"/>
      <c r="I65" s="343">
        <v>350</v>
      </c>
      <c r="J65" s="345"/>
      <c r="K65" s="345">
        <v>320</v>
      </c>
      <c r="L65" s="343"/>
      <c r="M65" s="343">
        <v>25</v>
      </c>
      <c r="N65" s="345"/>
      <c r="O65" s="345">
        <v>25</v>
      </c>
      <c r="P65" s="343"/>
      <c r="Q65" s="343">
        <v>45</v>
      </c>
      <c r="R65" s="345"/>
      <c r="S65" s="345">
        <v>400</v>
      </c>
      <c r="T65" s="343"/>
      <c r="U65" s="343">
        <v>375</v>
      </c>
      <c r="V65" s="345"/>
      <c r="W65" s="345">
        <v>100</v>
      </c>
      <c r="X65" s="343"/>
      <c r="Y65" s="343">
        <v>85</v>
      </c>
      <c r="Z65" s="345"/>
      <c r="AA65" s="345">
        <v>230</v>
      </c>
      <c r="AB65" s="343"/>
      <c r="AC65" s="343">
        <v>45</v>
      </c>
    </row>
    <row r="66" spans="1:29" ht="14.25" customHeight="1" x14ac:dyDescent="0.3">
      <c r="A66" s="338">
        <v>46142</v>
      </c>
      <c r="B66" s="347">
        <f t="shared" si="3"/>
        <v>62.26</v>
      </c>
      <c r="C66" s="348" t="s">
        <v>504</v>
      </c>
      <c r="D66" s="342"/>
      <c r="E66" s="343"/>
      <c r="F66" s="345"/>
      <c r="G66" s="345">
        <v>62.26</v>
      </c>
      <c r="H66" s="343"/>
      <c r="I66" s="343"/>
      <c r="J66" s="345"/>
      <c r="K66" s="345"/>
      <c r="L66" s="343"/>
      <c r="M66" s="343"/>
      <c r="N66" s="345"/>
      <c r="O66" s="345"/>
      <c r="P66" s="343"/>
      <c r="Q66" s="343"/>
      <c r="R66" s="345"/>
      <c r="S66" s="345"/>
      <c r="T66" s="343"/>
      <c r="U66" s="343"/>
      <c r="V66" s="345"/>
      <c r="W66" s="345"/>
      <c r="X66" s="343"/>
      <c r="Y66" s="343"/>
      <c r="Z66" s="345"/>
      <c r="AA66" s="345"/>
      <c r="AB66" s="343"/>
      <c r="AC66" s="343"/>
    </row>
    <row r="67" spans="1:29" ht="14.25" customHeight="1" x14ac:dyDescent="0.3">
      <c r="A67" s="338">
        <v>46142</v>
      </c>
      <c r="B67" s="347">
        <f t="shared" si="3"/>
        <v>-185.64</v>
      </c>
      <c r="C67" s="348" t="s">
        <v>423</v>
      </c>
      <c r="D67" s="342"/>
      <c r="E67" s="343"/>
      <c r="F67" s="345"/>
      <c r="G67" s="345"/>
      <c r="H67" s="343"/>
      <c r="I67" s="343"/>
      <c r="J67" s="345"/>
      <c r="K67" s="345"/>
      <c r="L67" s="343"/>
      <c r="M67" s="343"/>
      <c r="N67" s="345"/>
      <c r="O67" s="345"/>
      <c r="P67" s="343">
        <v>92.82</v>
      </c>
      <c r="Q67" s="343"/>
      <c r="R67" s="345"/>
      <c r="S67" s="345"/>
      <c r="T67" s="343"/>
      <c r="U67" s="343"/>
      <c r="V67" s="345"/>
      <c r="W67" s="345"/>
      <c r="X67" s="343"/>
      <c r="Y67" s="343"/>
      <c r="Z67" s="345"/>
      <c r="AA67" s="345"/>
      <c r="AB67" s="343">
        <v>92.82</v>
      </c>
      <c r="AC67" s="343"/>
    </row>
    <row r="68" spans="1:29" ht="14.25" customHeight="1" x14ac:dyDescent="0.3">
      <c r="A68" s="338">
        <v>46142</v>
      </c>
      <c r="B68" s="347">
        <f t="shared" si="3"/>
        <v>-127.68</v>
      </c>
      <c r="C68" s="348" t="s">
        <v>315</v>
      </c>
      <c r="D68" s="342"/>
      <c r="E68" s="343"/>
      <c r="F68" s="345"/>
      <c r="G68" s="345"/>
      <c r="H68" s="343"/>
      <c r="I68" s="343"/>
      <c r="J68" s="345"/>
      <c r="K68" s="345"/>
      <c r="L68" s="343">
        <v>63.84</v>
      </c>
      <c r="M68" s="343"/>
      <c r="N68" s="345">
        <v>63.84</v>
      </c>
      <c r="O68" s="345"/>
      <c r="P68" s="343"/>
      <c r="Q68" s="343"/>
      <c r="R68" s="345"/>
      <c r="S68" s="345"/>
      <c r="T68" s="343"/>
      <c r="U68" s="343"/>
      <c r="V68" s="345"/>
      <c r="W68" s="345"/>
      <c r="X68" s="343"/>
      <c r="Y68" s="343"/>
      <c r="Z68" s="345"/>
      <c r="AA68" s="345"/>
      <c r="AB68" s="343"/>
      <c r="AC68" s="343"/>
    </row>
    <row r="69" spans="1:29" ht="14.25" customHeight="1" x14ac:dyDescent="0.3">
      <c r="A69" s="338">
        <v>46142</v>
      </c>
      <c r="B69" s="347">
        <f t="shared" si="3"/>
        <v>0.52</v>
      </c>
      <c r="C69" s="348" t="s">
        <v>505</v>
      </c>
      <c r="D69" s="342"/>
      <c r="E69" s="343"/>
      <c r="F69" s="345"/>
      <c r="G69" s="345">
        <v>0.52</v>
      </c>
      <c r="H69" s="343"/>
      <c r="I69" s="343"/>
      <c r="J69" s="345"/>
      <c r="K69" s="345"/>
      <c r="L69" s="343"/>
      <c r="M69" s="343"/>
      <c r="N69" s="345"/>
      <c r="O69" s="345"/>
      <c r="P69" s="343"/>
      <c r="Q69" s="343"/>
      <c r="R69" s="345"/>
      <c r="S69" s="345"/>
      <c r="T69" s="343"/>
      <c r="U69" s="343"/>
      <c r="V69" s="345"/>
      <c r="W69" s="345"/>
      <c r="X69" s="343"/>
      <c r="Y69" s="343"/>
      <c r="Z69" s="345"/>
      <c r="AA69" s="345"/>
      <c r="AB69" s="343"/>
      <c r="AC69" s="343"/>
    </row>
    <row r="70" spans="1:29" ht="14.25" customHeight="1" x14ac:dyDescent="0.3">
      <c r="A70" s="338">
        <v>46130</v>
      </c>
      <c r="B70" s="347">
        <f t="shared" si="3"/>
        <v>-578.57000000000005</v>
      </c>
      <c r="C70" s="348" t="s">
        <v>506</v>
      </c>
      <c r="D70" s="342"/>
      <c r="E70" s="343"/>
      <c r="F70" s="345"/>
      <c r="G70" s="345"/>
      <c r="H70" s="343"/>
      <c r="I70" s="343"/>
      <c r="J70" s="345"/>
      <c r="K70" s="345"/>
      <c r="L70" s="343"/>
      <c r="M70" s="343"/>
      <c r="N70" s="345"/>
      <c r="O70" s="345"/>
      <c r="P70" s="343"/>
      <c r="Q70" s="343"/>
      <c r="R70" s="345"/>
      <c r="S70" s="345"/>
      <c r="T70" s="343">
        <v>578.57000000000005</v>
      </c>
      <c r="U70" s="343"/>
      <c r="V70" s="345"/>
      <c r="W70" s="345"/>
      <c r="X70" s="343"/>
      <c r="Y70" s="343"/>
      <c r="Z70" s="345"/>
      <c r="AA70" s="345"/>
      <c r="AB70" s="343"/>
      <c r="AC70" s="343"/>
    </row>
    <row r="71" spans="1:29" ht="14.25" customHeight="1" x14ac:dyDescent="0.3">
      <c r="A71" s="338">
        <v>46130</v>
      </c>
      <c r="B71" s="347">
        <f t="shared" si="3"/>
        <v>-93.71</v>
      </c>
      <c r="C71" s="348" t="s">
        <v>507</v>
      </c>
      <c r="D71" s="342"/>
      <c r="E71" s="343"/>
      <c r="F71" s="345"/>
      <c r="G71" s="345"/>
      <c r="H71" s="343">
        <v>93.71</v>
      </c>
      <c r="I71" s="343"/>
      <c r="J71" s="345"/>
      <c r="K71" s="345"/>
      <c r="L71" s="343"/>
      <c r="M71" s="343"/>
      <c r="N71" s="345"/>
      <c r="O71" s="345"/>
      <c r="P71" s="343"/>
      <c r="Q71" s="343"/>
      <c r="R71" s="345"/>
      <c r="S71" s="345"/>
      <c r="T71" s="343"/>
      <c r="U71" s="343"/>
      <c r="V71" s="345"/>
      <c r="W71" s="345"/>
      <c r="X71" s="343"/>
      <c r="Y71" s="343"/>
      <c r="Z71" s="345"/>
      <c r="AA71" s="345"/>
      <c r="AB71" s="343"/>
      <c r="AC71" s="343"/>
    </row>
    <row r="72" spans="1:29" ht="14.25" customHeight="1" x14ac:dyDescent="0.3">
      <c r="A72" s="338">
        <v>46130</v>
      </c>
      <c r="B72" s="347">
        <f t="shared" si="3"/>
        <v>-318.36</v>
      </c>
      <c r="C72" s="348" t="s">
        <v>508</v>
      </c>
      <c r="D72" s="342"/>
      <c r="E72" s="343"/>
      <c r="F72" s="345"/>
      <c r="G72" s="345"/>
      <c r="H72" s="343"/>
      <c r="I72" s="343"/>
      <c r="J72" s="345"/>
      <c r="K72" s="345"/>
      <c r="L72" s="343"/>
      <c r="M72" s="343"/>
      <c r="N72" s="345"/>
      <c r="O72" s="345"/>
      <c r="P72" s="343"/>
      <c r="Q72" s="343"/>
      <c r="R72" s="345">
        <v>318.36</v>
      </c>
      <c r="S72" s="345"/>
      <c r="T72" s="343"/>
      <c r="U72" s="343"/>
      <c r="V72" s="345"/>
      <c r="W72" s="345"/>
      <c r="X72" s="343"/>
      <c r="Y72" s="343"/>
      <c r="Z72" s="345"/>
      <c r="AA72" s="345"/>
      <c r="AB72" s="343"/>
      <c r="AC72" s="343"/>
    </row>
    <row r="73" spans="1:29" ht="14.25" customHeight="1" x14ac:dyDescent="0.3">
      <c r="A73" s="338">
        <v>46129</v>
      </c>
      <c r="B73" s="347">
        <f t="shared" si="3"/>
        <v>62.19</v>
      </c>
      <c r="C73" s="348" t="s">
        <v>509</v>
      </c>
      <c r="D73" s="342"/>
      <c r="E73" s="343"/>
      <c r="F73" s="345"/>
      <c r="G73" s="345">
        <v>62.19</v>
      </c>
      <c r="H73" s="343"/>
      <c r="I73" s="343"/>
      <c r="J73" s="345"/>
      <c r="K73" s="345"/>
      <c r="L73" s="343"/>
      <c r="M73" s="343"/>
      <c r="N73" s="345"/>
      <c r="O73" s="345"/>
      <c r="P73" s="343"/>
      <c r="Q73" s="343"/>
      <c r="R73" s="345"/>
      <c r="S73" s="345"/>
      <c r="T73" s="343"/>
      <c r="U73" s="343"/>
      <c r="V73" s="345"/>
      <c r="W73" s="345"/>
      <c r="X73" s="343"/>
      <c r="Y73" s="343"/>
      <c r="Z73" s="345"/>
      <c r="AA73" s="345"/>
      <c r="AB73" s="343"/>
      <c r="AC73" s="343"/>
    </row>
    <row r="74" spans="1:29" ht="14.25" customHeight="1" x14ac:dyDescent="0.3">
      <c r="A74" s="338">
        <v>46112</v>
      </c>
      <c r="B74" s="347">
        <f t="shared" si="3"/>
        <v>4309.58</v>
      </c>
      <c r="C74" s="348" t="s">
        <v>510</v>
      </c>
      <c r="D74" s="342"/>
      <c r="E74" s="343">
        <v>4309.58</v>
      </c>
      <c r="F74" s="345"/>
      <c r="G74" s="345"/>
      <c r="H74" s="343"/>
      <c r="I74" s="343"/>
      <c r="J74" s="345"/>
      <c r="K74" s="345"/>
      <c r="L74" s="343"/>
      <c r="M74" s="343"/>
      <c r="N74" s="345"/>
      <c r="O74" s="345"/>
      <c r="P74" s="343"/>
      <c r="Q74" s="343"/>
      <c r="R74" s="345"/>
      <c r="S74" s="345"/>
      <c r="T74" s="343"/>
      <c r="U74" s="343"/>
      <c r="V74" s="345"/>
      <c r="W74" s="345"/>
      <c r="X74" s="343"/>
      <c r="Y74" s="343"/>
      <c r="Z74" s="345"/>
      <c r="AA74" s="345"/>
      <c r="AB74" s="343"/>
      <c r="AC74" s="343"/>
    </row>
    <row r="75" spans="1:29" ht="14.25" customHeight="1" x14ac:dyDescent="0.3">
      <c r="A75" s="338">
        <v>46112</v>
      </c>
      <c r="B75" s="347">
        <f t="shared" si="3"/>
        <v>2000</v>
      </c>
      <c r="C75" s="348" t="s">
        <v>511</v>
      </c>
      <c r="D75" s="342"/>
      <c r="E75" s="343"/>
      <c r="F75" s="345"/>
      <c r="G75" s="345"/>
      <c r="H75" s="343"/>
      <c r="I75" s="343">
        <v>350</v>
      </c>
      <c r="J75" s="345"/>
      <c r="K75" s="345">
        <v>320</v>
      </c>
      <c r="L75" s="343"/>
      <c r="M75" s="343">
        <v>25</v>
      </c>
      <c r="N75" s="345"/>
      <c r="O75" s="345">
        <v>25</v>
      </c>
      <c r="P75" s="343"/>
      <c r="Q75" s="343">
        <v>45</v>
      </c>
      <c r="R75" s="345"/>
      <c r="S75" s="345">
        <v>400</v>
      </c>
      <c r="T75" s="343"/>
      <c r="U75" s="343">
        <v>375</v>
      </c>
      <c r="V75" s="345"/>
      <c r="W75" s="345">
        <v>100</v>
      </c>
      <c r="X75" s="343"/>
      <c r="Y75" s="343">
        <v>85</v>
      </c>
      <c r="Z75" s="345"/>
      <c r="AA75" s="345">
        <v>230</v>
      </c>
      <c r="AB75" s="343"/>
      <c r="AC75" s="343">
        <v>45</v>
      </c>
    </row>
    <row r="76" spans="1:29" ht="14.25" customHeight="1" x14ac:dyDescent="0.3">
      <c r="A76" s="338">
        <v>46112</v>
      </c>
      <c r="B76" s="347">
        <f t="shared" si="3"/>
        <v>0.34</v>
      </c>
      <c r="C76" s="348" t="s">
        <v>505</v>
      </c>
      <c r="D76" s="342"/>
      <c r="E76" s="343"/>
      <c r="F76" s="345"/>
      <c r="G76" s="345">
        <v>0.34</v>
      </c>
      <c r="H76" s="343"/>
      <c r="I76" s="343"/>
      <c r="J76" s="345"/>
      <c r="K76" s="345"/>
      <c r="L76" s="343"/>
      <c r="M76" s="343"/>
      <c r="N76" s="345"/>
      <c r="O76" s="345"/>
      <c r="P76" s="343"/>
      <c r="Q76" s="343"/>
      <c r="R76" s="345"/>
      <c r="S76" s="345"/>
      <c r="T76" s="343"/>
      <c r="U76" s="343"/>
      <c r="V76" s="345"/>
      <c r="W76" s="345"/>
      <c r="X76" s="343"/>
      <c r="Y76" s="343"/>
      <c r="Z76" s="345"/>
      <c r="AA76" s="345"/>
      <c r="AB76" s="343"/>
      <c r="AC76" s="343"/>
    </row>
    <row r="77" spans="1:29" ht="14.25" customHeight="1" x14ac:dyDescent="0.3">
      <c r="A77" s="338">
        <v>46112</v>
      </c>
      <c r="B77" s="347">
        <f t="shared" si="3"/>
        <v>-1200</v>
      </c>
      <c r="C77" s="348" t="s">
        <v>512</v>
      </c>
      <c r="D77" s="342"/>
      <c r="E77" s="343"/>
      <c r="F77" s="345"/>
      <c r="G77" s="345"/>
      <c r="H77" s="343"/>
      <c r="I77" s="343"/>
      <c r="J77" s="345"/>
      <c r="K77" s="345"/>
      <c r="L77" s="343"/>
      <c r="M77" s="343"/>
      <c r="N77" s="345"/>
      <c r="O77" s="345"/>
      <c r="P77" s="343"/>
      <c r="Q77" s="343"/>
      <c r="R77" s="345"/>
      <c r="S77" s="345"/>
      <c r="T77" s="343">
        <v>1200</v>
      </c>
      <c r="U77" s="343"/>
      <c r="V77" s="345"/>
      <c r="W77" s="345"/>
      <c r="X77" s="343"/>
      <c r="Y77" s="343"/>
      <c r="Z77" s="345"/>
      <c r="AA77" s="345"/>
      <c r="AB77" s="343"/>
      <c r="AC77" s="343"/>
    </row>
    <row r="78" spans="1:29" ht="14.25" customHeight="1" x14ac:dyDescent="0.3">
      <c r="A78" s="338">
        <v>46108</v>
      </c>
      <c r="B78" s="347">
        <f t="shared" si="3"/>
        <v>68.72</v>
      </c>
      <c r="C78" s="348" t="s">
        <v>504</v>
      </c>
      <c r="D78" s="342"/>
      <c r="E78" s="343"/>
      <c r="F78" s="345"/>
      <c r="G78" s="345">
        <v>68.72</v>
      </c>
      <c r="H78" s="343"/>
      <c r="I78" s="343"/>
      <c r="J78" s="345"/>
      <c r="K78" s="345"/>
      <c r="L78" s="343"/>
      <c r="M78" s="343"/>
      <c r="N78" s="345"/>
      <c r="O78" s="345"/>
      <c r="P78" s="343"/>
      <c r="Q78" s="343"/>
      <c r="R78" s="345"/>
      <c r="S78" s="345"/>
      <c r="T78" s="343"/>
      <c r="U78" s="343"/>
      <c r="V78" s="345"/>
      <c r="W78" s="345"/>
      <c r="X78" s="343"/>
      <c r="Y78" s="343"/>
      <c r="Z78" s="345"/>
      <c r="AA78" s="345"/>
      <c r="AB78" s="343"/>
      <c r="AC78" s="343"/>
    </row>
    <row r="79" spans="1:29" ht="14.25" customHeight="1" x14ac:dyDescent="0.3">
      <c r="A79" s="338">
        <v>46104</v>
      </c>
      <c r="B79" s="347">
        <f t="shared" si="3"/>
        <v>-6</v>
      </c>
      <c r="C79" s="348" t="s">
        <v>513</v>
      </c>
      <c r="D79" s="342">
        <v>6</v>
      </c>
      <c r="E79" s="343"/>
      <c r="F79" s="345"/>
      <c r="G79" s="345"/>
      <c r="H79" s="343"/>
      <c r="I79" s="343"/>
      <c r="J79" s="345"/>
      <c r="K79" s="345"/>
      <c r="L79" s="343"/>
      <c r="M79" s="343"/>
      <c r="N79" s="345"/>
      <c r="O79" s="345"/>
      <c r="P79" s="343"/>
      <c r="Q79" s="343"/>
      <c r="R79" s="345"/>
      <c r="S79" s="345"/>
      <c r="T79" s="343"/>
      <c r="U79" s="343"/>
      <c r="V79" s="345"/>
      <c r="W79" s="345"/>
      <c r="X79" s="343"/>
      <c r="Y79" s="343"/>
      <c r="Z79" s="345"/>
      <c r="AA79" s="345"/>
      <c r="AB79" s="343"/>
      <c r="AC79" s="343"/>
    </row>
    <row r="80" spans="1:29" ht="14.25" customHeight="1" x14ac:dyDescent="0.3">
      <c r="A80" s="338">
        <v>46103</v>
      </c>
      <c r="B80" s="347">
        <f t="shared" si="3"/>
        <v>-100</v>
      </c>
      <c r="C80" s="348" t="s">
        <v>514</v>
      </c>
      <c r="D80" s="342">
        <v>100</v>
      </c>
      <c r="E80" s="343"/>
      <c r="F80" s="345"/>
      <c r="G80" s="345"/>
      <c r="H80" s="343"/>
      <c r="I80" s="343"/>
      <c r="J80" s="345"/>
      <c r="K80" s="345"/>
      <c r="L80" s="343"/>
      <c r="M80" s="343"/>
      <c r="N80" s="345"/>
      <c r="O80" s="345"/>
      <c r="P80" s="343"/>
      <c r="Q80" s="343"/>
      <c r="R80" s="345"/>
      <c r="S80" s="345"/>
      <c r="T80" s="343"/>
      <c r="U80" s="343"/>
      <c r="V80" s="345"/>
      <c r="W80" s="345"/>
      <c r="X80" s="343"/>
      <c r="Y80" s="343"/>
      <c r="Z80" s="345"/>
      <c r="AA80" s="345"/>
      <c r="AB80" s="343"/>
      <c r="AC80" s="343"/>
    </row>
    <row r="81" spans="1:29" ht="14.25" customHeight="1" x14ac:dyDescent="0.3">
      <c r="A81" s="338">
        <v>46103</v>
      </c>
      <c r="B81" s="347">
        <f t="shared" si="3"/>
        <v>-100</v>
      </c>
      <c r="C81" s="348" t="s">
        <v>515</v>
      </c>
      <c r="D81" s="342">
        <v>100</v>
      </c>
      <c r="E81" s="343"/>
      <c r="F81" s="345"/>
      <c r="G81" s="345"/>
      <c r="H81" s="343"/>
      <c r="I81" s="343"/>
      <c r="J81" s="345"/>
      <c r="K81" s="345"/>
      <c r="L81" s="343"/>
      <c r="M81" s="343"/>
      <c r="N81" s="345"/>
      <c r="O81" s="345"/>
      <c r="P81" s="343"/>
      <c r="Q81" s="343"/>
      <c r="R81" s="345"/>
      <c r="S81" s="345"/>
      <c r="T81" s="343"/>
      <c r="U81" s="343"/>
      <c r="V81" s="345"/>
      <c r="W81" s="345"/>
      <c r="X81" s="343"/>
      <c r="Y81" s="343"/>
      <c r="Z81" s="345"/>
      <c r="AA81" s="345"/>
      <c r="AB81" s="343"/>
      <c r="AC81" s="343"/>
    </row>
    <row r="82" spans="1:29" ht="14.25" customHeight="1" x14ac:dyDescent="0.3">
      <c r="A82" s="338">
        <v>46103</v>
      </c>
      <c r="B82" s="347">
        <f t="shared" si="3"/>
        <v>-50</v>
      </c>
      <c r="C82" s="348" t="s">
        <v>516</v>
      </c>
      <c r="D82" s="342">
        <v>50</v>
      </c>
      <c r="E82" s="343"/>
      <c r="F82" s="345"/>
      <c r="G82" s="345"/>
      <c r="H82" s="343"/>
      <c r="I82" s="343"/>
      <c r="J82" s="345"/>
      <c r="K82" s="345"/>
      <c r="L82" s="343"/>
      <c r="M82" s="343"/>
      <c r="N82" s="345"/>
      <c r="O82" s="345"/>
      <c r="P82" s="343"/>
      <c r="Q82" s="343"/>
      <c r="R82" s="345"/>
      <c r="S82" s="345"/>
      <c r="T82" s="343"/>
      <c r="U82" s="343"/>
      <c r="V82" s="345"/>
      <c r="W82" s="345"/>
      <c r="X82" s="343"/>
      <c r="Y82" s="343"/>
      <c r="Z82" s="345"/>
      <c r="AA82" s="345"/>
      <c r="AB82" s="343"/>
      <c r="AC82" s="343"/>
    </row>
    <row r="83" spans="1:29" ht="14.25" customHeight="1" x14ac:dyDescent="0.3">
      <c r="A83" s="338">
        <v>46103</v>
      </c>
      <c r="B83" s="347">
        <f t="shared" si="3"/>
        <v>-100</v>
      </c>
      <c r="C83" s="348" t="s">
        <v>517</v>
      </c>
      <c r="D83" s="342">
        <v>100</v>
      </c>
      <c r="E83" s="343"/>
      <c r="F83" s="345"/>
      <c r="G83" s="345"/>
      <c r="H83" s="343"/>
      <c r="I83" s="343"/>
      <c r="J83" s="345"/>
      <c r="K83" s="345"/>
      <c r="L83" s="343"/>
      <c r="M83" s="343"/>
      <c r="N83" s="345"/>
      <c r="O83" s="345"/>
      <c r="P83" s="343"/>
      <c r="Q83" s="343"/>
      <c r="R83" s="345"/>
      <c r="S83" s="345"/>
      <c r="T83" s="343"/>
      <c r="U83" s="343"/>
      <c r="V83" s="345"/>
      <c r="W83" s="345"/>
      <c r="X83" s="343"/>
      <c r="Y83" s="343"/>
      <c r="Z83" s="345"/>
      <c r="AA83" s="345"/>
      <c r="AB83" s="343"/>
      <c r="AC83" s="343"/>
    </row>
    <row r="84" spans="1:29" ht="14.25" customHeight="1" x14ac:dyDescent="0.3">
      <c r="A84" s="338">
        <v>46103</v>
      </c>
      <c r="B84" s="347">
        <f t="shared" si="3"/>
        <v>-100</v>
      </c>
      <c r="C84" s="348" t="s">
        <v>518</v>
      </c>
      <c r="D84" s="342">
        <v>100</v>
      </c>
      <c r="E84" s="343"/>
      <c r="F84" s="345"/>
      <c r="G84" s="345"/>
      <c r="H84" s="343"/>
      <c r="I84" s="343"/>
      <c r="J84" s="345"/>
      <c r="K84" s="345"/>
      <c r="L84" s="343"/>
      <c r="M84" s="343"/>
      <c r="N84" s="345"/>
      <c r="O84" s="345"/>
      <c r="P84" s="343"/>
      <c r="Q84" s="343"/>
      <c r="R84" s="345"/>
      <c r="S84" s="345"/>
      <c r="T84" s="343"/>
      <c r="U84" s="343"/>
      <c r="V84" s="345"/>
      <c r="W84" s="345"/>
      <c r="X84" s="343"/>
      <c r="Y84" s="343"/>
      <c r="Z84" s="345"/>
      <c r="AA84" s="345"/>
      <c r="AB84" s="343"/>
      <c r="AC84" s="343"/>
    </row>
    <row r="85" spans="1:29" ht="14.25" customHeight="1" x14ac:dyDescent="0.3">
      <c r="A85" s="338">
        <v>46102</v>
      </c>
      <c r="B85" s="347">
        <f t="shared" si="3"/>
        <v>-300</v>
      </c>
      <c r="C85" s="348" t="s">
        <v>519</v>
      </c>
      <c r="D85" s="342">
        <v>300</v>
      </c>
      <c r="E85" s="343"/>
      <c r="F85" s="345"/>
      <c r="G85" s="345"/>
      <c r="H85" s="343"/>
      <c r="I85" s="343"/>
      <c r="J85" s="345"/>
      <c r="K85" s="345"/>
      <c r="L85" s="343"/>
      <c r="M85" s="343"/>
      <c r="N85" s="345"/>
      <c r="O85" s="345"/>
      <c r="P85" s="343"/>
      <c r="Q85" s="343"/>
      <c r="R85" s="345"/>
      <c r="S85" s="345"/>
      <c r="T85" s="343"/>
      <c r="U85" s="343"/>
      <c r="V85" s="345"/>
      <c r="W85" s="345"/>
      <c r="X85" s="343"/>
      <c r="Y85" s="343"/>
      <c r="Z85" s="345"/>
      <c r="AA85" s="345"/>
      <c r="AB85" s="343"/>
      <c r="AC85" s="343"/>
    </row>
    <row r="86" spans="1:29" ht="14.25" customHeight="1" x14ac:dyDescent="0.3">
      <c r="A86" s="338">
        <v>46102</v>
      </c>
      <c r="B86" s="347">
        <f t="shared" si="3"/>
        <v>1384.5</v>
      </c>
      <c r="C86" s="348" t="s">
        <v>520</v>
      </c>
      <c r="D86" s="342"/>
      <c r="E86" s="343"/>
      <c r="F86" s="345"/>
      <c r="G86" s="345"/>
      <c r="H86" s="343"/>
      <c r="I86" s="343"/>
      <c r="J86" s="345"/>
      <c r="K86" s="345"/>
      <c r="L86" s="343"/>
      <c r="M86" s="343"/>
      <c r="N86" s="345"/>
      <c r="O86" s="345"/>
      <c r="P86" s="343"/>
      <c r="Q86" s="343"/>
      <c r="R86" s="345">
        <v>-1384.5</v>
      </c>
      <c r="S86" s="345"/>
      <c r="T86" s="343"/>
      <c r="U86" s="343"/>
      <c r="V86" s="345"/>
      <c r="W86" s="345"/>
      <c r="X86" s="343"/>
      <c r="Y86" s="343"/>
      <c r="Z86" s="345"/>
      <c r="AA86" s="345"/>
      <c r="AB86" s="343"/>
      <c r="AC86" s="343"/>
    </row>
    <row r="87" spans="1:29" ht="14.25" customHeight="1" x14ac:dyDescent="0.3">
      <c r="A87" s="338">
        <v>46094</v>
      </c>
      <c r="B87" s="347">
        <f t="shared" si="3"/>
        <v>55.66</v>
      </c>
      <c r="C87" s="348" t="s">
        <v>509</v>
      </c>
      <c r="D87" s="342"/>
      <c r="E87" s="343"/>
      <c r="F87" s="345"/>
      <c r="G87" s="345">
        <v>55.66</v>
      </c>
      <c r="H87" s="343"/>
      <c r="I87" s="343"/>
      <c r="J87" s="345"/>
      <c r="K87" s="345"/>
      <c r="L87" s="343"/>
      <c r="M87" s="343"/>
      <c r="N87" s="345"/>
      <c r="O87" s="345"/>
      <c r="P87" s="343"/>
      <c r="Q87" s="343"/>
      <c r="R87" s="345"/>
      <c r="S87" s="345"/>
      <c r="T87" s="343"/>
      <c r="U87" s="343"/>
      <c r="V87" s="345"/>
      <c r="W87" s="345"/>
      <c r="X87" s="343"/>
      <c r="Y87" s="343"/>
      <c r="Z87" s="345"/>
      <c r="AA87" s="345"/>
      <c r="AB87" s="343"/>
      <c r="AC87" s="343"/>
    </row>
    <row r="88" spans="1:29" ht="14.25" customHeight="1" x14ac:dyDescent="0.3">
      <c r="A88" s="338">
        <v>46090</v>
      </c>
      <c r="B88" s="347">
        <f t="shared" si="3"/>
        <v>-380</v>
      </c>
      <c r="C88" s="348" t="s">
        <v>521</v>
      </c>
      <c r="D88" s="342"/>
      <c r="E88" s="343"/>
      <c r="F88" s="345"/>
      <c r="G88" s="345"/>
      <c r="H88" s="343"/>
      <c r="I88" s="343"/>
      <c r="J88" s="345"/>
      <c r="K88" s="345"/>
      <c r="L88" s="343"/>
      <c r="M88" s="343"/>
      <c r="N88" s="345"/>
      <c r="O88" s="345"/>
      <c r="P88" s="343"/>
      <c r="Q88" s="343"/>
      <c r="R88" s="345">
        <v>380</v>
      </c>
      <c r="S88" s="345"/>
      <c r="T88" s="343"/>
      <c r="U88" s="343"/>
      <c r="V88" s="345"/>
      <c r="W88" s="345"/>
      <c r="X88" s="343"/>
      <c r="Y88" s="343"/>
      <c r="Z88" s="345"/>
      <c r="AA88" s="345"/>
      <c r="AB88" s="343"/>
      <c r="AC88" s="343"/>
    </row>
    <row r="89" spans="1:29" ht="14.25" customHeight="1" x14ac:dyDescent="0.3">
      <c r="A89" s="338">
        <v>46083</v>
      </c>
      <c r="B89" s="347">
        <f t="shared" si="3"/>
        <v>-185.64</v>
      </c>
      <c r="C89" s="348" t="s">
        <v>423</v>
      </c>
      <c r="D89" s="342"/>
      <c r="E89" s="343"/>
      <c r="F89" s="345"/>
      <c r="G89" s="345"/>
      <c r="H89" s="343"/>
      <c r="I89" s="343"/>
      <c r="J89" s="345"/>
      <c r="K89" s="345"/>
      <c r="L89" s="343"/>
      <c r="M89" s="343"/>
      <c r="N89" s="345"/>
      <c r="O89" s="345"/>
      <c r="P89" s="343">
        <v>92.82</v>
      </c>
      <c r="Q89" s="343"/>
      <c r="R89" s="345"/>
      <c r="S89" s="345"/>
      <c r="T89" s="343"/>
      <c r="U89" s="343"/>
      <c r="V89" s="345"/>
      <c r="W89" s="345"/>
      <c r="X89" s="343"/>
      <c r="Y89" s="343"/>
      <c r="Z89" s="345"/>
      <c r="AA89" s="345"/>
      <c r="AB89" s="343">
        <v>92.82</v>
      </c>
      <c r="AC89" s="343"/>
    </row>
    <row r="90" spans="1:29" ht="14.25" customHeight="1" x14ac:dyDescent="0.3">
      <c r="A90" s="338">
        <v>46081</v>
      </c>
      <c r="B90" s="347">
        <f t="shared" si="3"/>
        <v>3764.91</v>
      </c>
      <c r="C90" s="348" t="s">
        <v>425</v>
      </c>
      <c r="D90" s="342"/>
      <c r="E90" s="343">
        <v>3764.91</v>
      </c>
      <c r="F90" s="345"/>
      <c r="G90" s="345"/>
      <c r="H90" s="343"/>
      <c r="I90" s="343"/>
      <c r="J90" s="345"/>
      <c r="K90" s="345"/>
      <c r="L90" s="343"/>
      <c r="M90" s="343"/>
      <c r="N90" s="345"/>
      <c r="O90" s="345"/>
      <c r="P90" s="343"/>
      <c r="Q90" s="343"/>
      <c r="R90" s="345"/>
      <c r="S90" s="345"/>
      <c r="T90" s="343"/>
      <c r="U90" s="343"/>
      <c r="V90" s="345"/>
      <c r="W90" s="345"/>
      <c r="X90" s="343"/>
      <c r="Y90" s="343"/>
      <c r="Z90" s="345"/>
      <c r="AA90" s="345"/>
      <c r="AB90" s="343"/>
      <c r="AC90" s="343"/>
    </row>
    <row r="91" spans="1:29" ht="14.25" customHeight="1" x14ac:dyDescent="0.3">
      <c r="A91" s="338">
        <v>46081</v>
      </c>
      <c r="B91" s="347">
        <f t="shared" si="3"/>
        <v>2000</v>
      </c>
      <c r="C91" s="348" t="s">
        <v>522</v>
      </c>
      <c r="D91" s="342"/>
      <c r="E91" s="343"/>
      <c r="F91" s="345"/>
      <c r="G91" s="345"/>
      <c r="H91" s="343"/>
      <c r="I91" s="343">
        <v>350</v>
      </c>
      <c r="J91" s="345"/>
      <c r="K91" s="345">
        <v>320</v>
      </c>
      <c r="L91" s="343"/>
      <c r="M91" s="343">
        <v>25</v>
      </c>
      <c r="N91" s="345"/>
      <c r="O91" s="345">
        <v>25</v>
      </c>
      <c r="P91" s="343"/>
      <c r="Q91" s="343">
        <v>45</v>
      </c>
      <c r="R91" s="345"/>
      <c r="S91" s="345">
        <v>400</v>
      </c>
      <c r="T91" s="343"/>
      <c r="U91" s="343">
        <v>375</v>
      </c>
      <c r="V91" s="345"/>
      <c r="W91" s="345">
        <v>100</v>
      </c>
      <c r="X91" s="343"/>
      <c r="Y91" s="343">
        <v>85</v>
      </c>
      <c r="Z91" s="345"/>
      <c r="AA91" s="345">
        <v>230</v>
      </c>
      <c r="AB91" s="343"/>
      <c r="AC91" s="343">
        <v>45</v>
      </c>
    </row>
    <row r="92" spans="1:29" ht="14.25" customHeight="1" x14ac:dyDescent="0.3">
      <c r="A92" s="338">
        <v>46081</v>
      </c>
      <c r="B92" s="347">
        <f t="shared" si="3"/>
        <v>0.23</v>
      </c>
      <c r="C92" s="348" t="s">
        <v>505</v>
      </c>
      <c r="D92" s="342"/>
      <c r="E92" s="343"/>
      <c r="F92" s="345"/>
      <c r="G92" s="345">
        <v>0.23</v>
      </c>
      <c r="H92" s="343"/>
      <c r="I92" s="343"/>
      <c r="J92" s="345"/>
      <c r="K92" s="345"/>
      <c r="L92" s="343"/>
      <c r="M92" s="343"/>
      <c r="N92" s="345"/>
      <c r="O92" s="345"/>
      <c r="P92" s="343"/>
      <c r="Q92" s="343"/>
      <c r="R92" s="345"/>
      <c r="S92" s="345"/>
      <c r="T92" s="343"/>
      <c r="U92" s="343"/>
      <c r="V92" s="345"/>
      <c r="W92" s="345"/>
      <c r="X92" s="343"/>
      <c r="Y92" s="343"/>
      <c r="Z92" s="345"/>
      <c r="AA92" s="345"/>
      <c r="AB92" s="343"/>
      <c r="AC92" s="343"/>
    </row>
    <row r="93" spans="1:29" ht="14.25" customHeight="1" x14ac:dyDescent="0.3">
      <c r="A93" s="338">
        <v>46070</v>
      </c>
      <c r="B93" s="347">
        <f t="shared" si="3"/>
        <v>-1920</v>
      </c>
      <c r="C93" s="348" t="s">
        <v>523</v>
      </c>
      <c r="D93" s="342"/>
      <c r="E93" s="343"/>
      <c r="F93" s="345"/>
      <c r="G93" s="345"/>
      <c r="H93" s="343"/>
      <c r="I93" s="343"/>
      <c r="J93" s="345"/>
      <c r="K93" s="345"/>
      <c r="L93" s="343"/>
      <c r="M93" s="343"/>
      <c r="N93" s="345"/>
      <c r="O93" s="345"/>
      <c r="P93" s="343"/>
      <c r="Q93" s="343"/>
      <c r="R93" s="345"/>
      <c r="S93" s="345"/>
      <c r="T93" s="343">
        <v>1920</v>
      </c>
      <c r="U93" s="343"/>
      <c r="V93" s="345"/>
      <c r="W93" s="345"/>
      <c r="X93" s="343"/>
      <c r="Y93" s="343"/>
      <c r="Z93" s="345"/>
      <c r="AA93" s="345"/>
      <c r="AB93" s="343"/>
      <c r="AC93" s="343"/>
    </row>
    <row r="94" spans="1:29" ht="14.25" customHeight="1" x14ac:dyDescent="0.3">
      <c r="A94" s="338">
        <v>46069</v>
      </c>
      <c r="B94" s="347">
        <f t="shared" si="3"/>
        <v>-243.8</v>
      </c>
      <c r="C94" s="348" t="s">
        <v>523</v>
      </c>
      <c r="D94" s="342"/>
      <c r="E94" s="343"/>
      <c r="F94" s="345"/>
      <c r="G94" s="345"/>
      <c r="H94" s="343"/>
      <c r="I94" s="343"/>
      <c r="J94" s="345"/>
      <c r="K94" s="345"/>
      <c r="L94" s="343"/>
      <c r="M94" s="343"/>
      <c r="N94" s="345"/>
      <c r="O94" s="345"/>
      <c r="P94" s="343"/>
      <c r="Q94" s="343"/>
      <c r="R94" s="345"/>
      <c r="S94" s="345"/>
      <c r="T94" s="343">
        <v>243.8</v>
      </c>
      <c r="U94" s="343"/>
      <c r="V94" s="345"/>
      <c r="W94" s="345"/>
      <c r="X94" s="343"/>
      <c r="Y94" s="343"/>
      <c r="Z94" s="345"/>
      <c r="AA94" s="345"/>
      <c r="AB94" s="343"/>
      <c r="AC94" s="343"/>
    </row>
    <row r="95" spans="1:29" ht="14.25" customHeight="1" x14ac:dyDescent="0.3">
      <c r="A95" s="338">
        <v>46068</v>
      </c>
      <c r="B95" s="347">
        <f t="shared" si="3"/>
        <v>63.46</v>
      </c>
      <c r="C95" s="348" t="s">
        <v>509</v>
      </c>
      <c r="D95" s="342"/>
      <c r="E95" s="343"/>
      <c r="F95" s="345"/>
      <c r="G95" s="345">
        <v>63.46</v>
      </c>
      <c r="H95" s="343"/>
      <c r="I95" s="343"/>
      <c r="J95" s="345"/>
      <c r="K95" s="345"/>
      <c r="L95" s="343"/>
      <c r="M95" s="343"/>
      <c r="N95" s="345"/>
      <c r="O95" s="345"/>
      <c r="P95" s="343"/>
      <c r="Q95" s="343"/>
      <c r="R95" s="345"/>
      <c r="S95" s="345"/>
      <c r="T95" s="343"/>
      <c r="U95" s="343"/>
      <c r="V95" s="345"/>
      <c r="W95" s="345"/>
      <c r="X95" s="343"/>
      <c r="Y95" s="343"/>
      <c r="Z95" s="345"/>
      <c r="AA95" s="345"/>
      <c r="AB95" s="343"/>
      <c r="AC95" s="343"/>
    </row>
    <row r="96" spans="1:29" ht="14.25" customHeight="1" x14ac:dyDescent="0.3">
      <c r="A96" s="338">
        <v>46067</v>
      </c>
      <c r="B96" s="347">
        <f t="shared" si="3"/>
        <v>-1007.99</v>
      </c>
      <c r="C96" s="348" t="s">
        <v>524</v>
      </c>
      <c r="D96" s="342">
        <v>1007.99</v>
      </c>
      <c r="E96" s="343"/>
      <c r="F96" s="345"/>
      <c r="G96" s="345"/>
      <c r="H96" s="343"/>
      <c r="I96" s="343"/>
      <c r="J96" s="345"/>
      <c r="K96" s="345"/>
      <c r="L96" s="343"/>
      <c r="M96" s="343"/>
      <c r="N96" s="345"/>
      <c r="O96" s="345"/>
      <c r="P96" s="343"/>
      <c r="Q96" s="343"/>
      <c r="R96" s="345"/>
      <c r="S96" s="345"/>
      <c r="T96" s="343"/>
      <c r="U96" s="343"/>
      <c r="V96" s="345"/>
      <c r="W96" s="345"/>
      <c r="X96" s="343"/>
      <c r="Y96" s="343"/>
      <c r="Z96" s="345"/>
      <c r="AA96" s="345"/>
      <c r="AB96" s="343"/>
      <c r="AC96" s="343"/>
    </row>
    <row r="97" spans="1:29" ht="14.25" customHeight="1" x14ac:dyDescent="0.3">
      <c r="A97" s="338">
        <v>46063</v>
      </c>
      <c r="B97" s="347">
        <f t="shared" si="3"/>
        <v>-1276.4000000000001</v>
      </c>
      <c r="C97" s="348" t="s">
        <v>525</v>
      </c>
      <c r="D97" s="342"/>
      <c r="E97" s="343"/>
      <c r="F97" s="345"/>
      <c r="G97" s="345"/>
      <c r="H97" s="343"/>
      <c r="I97" s="343"/>
      <c r="J97" s="345"/>
      <c r="K97" s="345"/>
      <c r="L97" s="343"/>
      <c r="M97" s="343"/>
      <c r="N97" s="345"/>
      <c r="O97" s="345"/>
      <c r="P97" s="343"/>
      <c r="Q97" s="343"/>
      <c r="R97" s="345"/>
      <c r="S97" s="345"/>
      <c r="T97" s="343"/>
      <c r="U97" s="343"/>
      <c r="V97" s="345"/>
      <c r="W97" s="345"/>
      <c r="X97" s="343"/>
      <c r="Y97" s="343"/>
      <c r="Z97" s="345">
        <v>1276.4000000000001</v>
      </c>
      <c r="AA97" s="345"/>
      <c r="AB97" s="343"/>
      <c r="AC97" s="343"/>
    </row>
    <row r="98" spans="1:29" ht="14.25" customHeight="1" x14ac:dyDescent="0.3">
      <c r="A98" s="338">
        <v>46063</v>
      </c>
      <c r="B98" s="347">
        <f t="shared" si="3"/>
        <v>-955</v>
      </c>
      <c r="C98" s="348" t="s">
        <v>526</v>
      </c>
      <c r="D98" s="342"/>
      <c r="E98" s="343"/>
      <c r="F98" s="345"/>
      <c r="G98" s="345"/>
      <c r="H98" s="343"/>
      <c r="I98" s="343"/>
      <c r="J98" s="345"/>
      <c r="K98" s="345"/>
      <c r="L98" s="343"/>
      <c r="M98" s="343"/>
      <c r="N98" s="345"/>
      <c r="O98" s="345"/>
      <c r="P98" s="343"/>
      <c r="Q98" s="343"/>
      <c r="R98" s="345">
        <v>955</v>
      </c>
      <c r="S98" s="345"/>
      <c r="T98" s="343"/>
      <c r="U98" s="343"/>
      <c r="V98" s="345"/>
      <c r="W98" s="345"/>
      <c r="X98" s="343"/>
      <c r="Y98" s="343"/>
      <c r="Z98" s="345"/>
      <c r="AA98" s="345"/>
      <c r="AB98" s="343"/>
      <c r="AC98" s="343"/>
    </row>
    <row r="99" spans="1:29" ht="14.25" customHeight="1" x14ac:dyDescent="0.3">
      <c r="A99" s="338">
        <v>46063</v>
      </c>
      <c r="B99" s="347">
        <f t="shared" si="3"/>
        <v>59.19</v>
      </c>
      <c r="C99" s="348" t="s">
        <v>504</v>
      </c>
      <c r="D99" s="342"/>
      <c r="E99" s="343"/>
      <c r="F99" s="345"/>
      <c r="G99" s="345">
        <v>59.19</v>
      </c>
      <c r="H99" s="343"/>
      <c r="I99" s="343"/>
      <c r="J99" s="345"/>
      <c r="K99" s="345"/>
      <c r="L99" s="343"/>
      <c r="M99" s="343"/>
      <c r="N99" s="345"/>
      <c r="O99" s="345"/>
      <c r="P99" s="343"/>
      <c r="Q99" s="343"/>
      <c r="R99" s="345"/>
      <c r="S99" s="345"/>
      <c r="T99" s="343"/>
      <c r="U99" s="343"/>
      <c r="V99" s="345"/>
      <c r="W99" s="345"/>
      <c r="X99" s="343"/>
      <c r="Y99" s="343"/>
      <c r="Z99" s="345"/>
      <c r="AA99" s="345"/>
      <c r="AB99" s="343"/>
      <c r="AC99" s="343"/>
    </row>
    <row r="100" spans="1:29" ht="14.25" customHeight="1" x14ac:dyDescent="0.3">
      <c r="A100" s="338">
        <v>46061</v>
      </c>
      <c r="B100" s="347">
        <f t="shared" si="3"/>
        <v>-2203.44</v>
      </c>
      <c r="C100" s="348" t="s">
        <v>523</v>
      </c>
      <c r="D100" s="342"/>
      <c r="E100" s="343"/>
      <c r="F100" s="345"/>
      <c r="G100" s="345"/>
      <c r="H100" s="343"/>
      <c r="I100" s="343"/>
      <c r="J100" s="345"/>
      <c r="K100" s="345"/>
      <c r="L100" s="343"/>
      <c r="M100" s="343"/>
      <c r="N100" s="345"/>
      <c r="O100" s="345"/>
      <c r="P100" s="343"/>
      <c r="Q100" s="343"/>
      <c r="R100" s="345"/>
      <c r="S100" s="345"/>
      <c r="T100" s="343">
        <v>2203.44</v>
      </c>
      <c r="U100" s="343"/>
      <c r="V100" s="345"/>
      <c r="W100" s="345"/>
      <c r="X100" s="343"/>
      <c r="Y100" s="343"/>
      <c r="Z100" s="345"/>
      <c r="AA100" s="345"/>
      <c r="AB100" s="343"/>
      <c r="AC100" s="343"/>
    </row>
    <row r="101" spans="1:29" ht="14.25" customHeight="1" x14ac:dyDescent="0.3">
      <c r="A101" s="338">
        <v>46061</v>
      </c>
      <c r="B101" s="347">
        <f t="shared" si="3"/>
        <v>-831.92</v>
      </c>
      <c r="C101" s="348" t="s">
        <v>527</v>
      </c>
      <c r="D101" s="342"/>
      <c r="E101" s="343"/>
      <c r="F101" s="345"/>
      <c r="G101" s="345"/>
      <c r="H101" s="343"/>
      <c r="I101" s="343"/>
      <c r="J101" s="345"/>
      <c r="K101" s="345"/>
      <c r="L101" s="343"/>
      <c r="M101" s="343"/>
      <c r="N101" s="345"/>
      <c r="O101" s="345"/>
      <c r="P101" s="343"/>
      <c r="Q101" s="343"/>
      <c r="R101" s="345">
        <v>831.92</v>
      </c>
      <c r="S101" s="345"/>
      <c r="T101" s="343"/>
      <c r="U101" s="343"/>
      <c r="V101" s="345"/>
      <c r="W101" s="345"/>
      <c r="X101" s="343"/>
      <c r="Y101" s="343"/>
      <c r="Z101" s="345"/>
      <c r="AA101" s="345"/>
      <c r="AB101" s="343"/>
      <c r="AC101" s="343"/>
    </row>
    <row r="102" spans="1:29" ht="14.25" customHeight="1" x14ac:dyDescent="0.3">
      <c r="A102" s="338">
        <v>46055</v>
      </c>
      <c r="B102" s="347">
        <f t="shared" si="3"/>
        <v>-900</v>
      </c>
      <c r="C102" s="348" t="s">
        <v>512</v>
      </c>
      <c r="D102" s="342"/>
      <c r="E102" s="343"/>
      <c r="F102" s="345"/>
      <c r="G102" s="345"/>
      <c r="H102" s="343"/>
      <c r="I102" s="343"/>
      <c r="J102" s="345"/>
      <c r="K102" s="345"/>
      <c r="L102" s="343"/>
      <c r="M102" s="343"/>
      <c r="N102" s="345"/>
      <c r="O102" s="345"/>
      <c r="P102" s="343"/>
      <c r="Q102" s="343"/>
      <c r="R102" s="345"/>
      <c r="S102" s="345"/>
      <c r="T102" s="343">
        <v>900</v>
      </c>
      <c r="U102" s="343"/>
      <c r="V102" s="345"/>
      <c r="W102" s="345"/>
      <c r="X102" s="343"/>
      <c r="Y102" s="343"/>
      <c r="Z102" s="345"/>
      <c r="AA102" s="345"/>
      <c r="AB102" s="343"/>
      <c r="AC102" s="343"/>
    </row>
    <row r="103" spans="1:29" ht="14.25" customHeight="1" x14ac:dyDescent="0.3">
      <c r="A103" s="338">
        <v>46053</v>
      </c>
      <c r="B103" s="347">
        <f t="shared" si="3"/>
        <v>3194.64</v>
      </c>
      <c r="C103" s="348" t="s">
        <v>459</v>
      </c>
      <c r="D103" s="342"/>
      <c r="E103" s="343">
        <v>3194.64</v>
      </c>
      <c r="F103" s="345"/>
      <c r="G103" s="345"/>
      <c r="H103" s="343"/>
      <c r="I103" s="343"/>
      <c r="J103" s="345"/>
      <c r="K103" s="345"/>
      <c r="L103" s="343"/>
      <c r="M103" s="343"/>
      <c r="N103" s="345"/>
      <c r="O103" s="345"/>
      <c r="P103" s="343"/>
      <c r="Q103" s="343"/>
      <c r="R103" s="345"/>
      <c r="S103" s="345"/>
      <c r="T103" s="343"/>
      <c r="U103" s="343"/>
      <c r="V103" s="345"/>
      <c r="W103" s="345"/>
      <c r="X103" s="343"/>
      <c r="Y103" s="343"/>
      <c r="Z103" s="345"/>
      <c r="AA103" s="345"/>
      <c r="AB103" s="343"/>
      <c r="AC103" s="343"/>
    </row>
    <row r="104" spans="1:29" ht="14.25" customHeight="1" x14ac:dyDescent="0.3">
      <c r="A104" s="338">
        <v>46053</v>
      </c>
      <c r="B104" s="347">
        <f t="shared" si="3"/>
        <v>2000</v>
      </c>
      <c r="C104" s="348" t="s">
        <v>528</v>
      </c>
      <c r="D104" s="342"/>
      <c r="E104" s="343"/>
      <c r="F104" s="345"/>
      <c r="G104" s="345"/>
      <c r="H104" s="343"/>
      <c r="I104" s="343">
        <v>350</v>
      </c>
      <c r="J104" s="345"/>
      <c r="K104" s="345">
        <v>320</v>
      </c>
      <c r="L104" s="343"/>
      <c r="M104" s="343">
        <v>25</v>
      </c>
      <c r="N104" s="345"/>
      <c r="O104" s="345">
        <v>25</v>
      </c>
      <c r="P104" s="343"/>
      <c r="Q104" s="343">
        <v>45</v>
      </c>
      <c r="R104" s="345"/>
      <c r="S104" s="345">
        <v>400</v>
      </c>
      <c r="T104" s="343"/>
      <c r="U104" s="343">
        <v>375</v>
      </c>
      <c r="V104" s="345"/>
      <c r="W104" s="345">
        <v>100</v>
      </c>
      <c r="X104" s="343"/>
      <c r="Y104" s="343">
        <v>85</v>
      </c>
      <c r="Z104" s="345"/>
      <c r="AA104" s="345">
        <v>230</v>
      </c>
      <c r="AB104" s="343"/>
      <c r="AC104" s="343">
        <v>45</v>
      </c>
    </row>
    <row r="105" spans="1:29" ht="14.25" customHeight="1" x14ac:dyDescent="0.3">
      <c r="A105" s="338">
        <v>46053</v>
      </c>
      <c r="B105" s="347">
        <f t="shared" si="3"/>
        <v>0.38</v>
      </c>
      <c r="C105" s="348" t="s">
        <v>505</v>
      </c>
      <c r="D105" s="342"/>
      <c r="E105" s="343"/>
      <c r="F105" s="345"/>
      <c r="G105" s="345">
        <v>0.38</v>
      </c>
      <c r="H105" s="343"/>
      <c r="I105" s="343"/>
      <c r="J105" s="345"/>
      <c r="K105" s="345"/>
      <c r="L105" s="343"/>
      <c r="M105" s="343"/>
      <c r="N105" s="345"/>
      <c r="O105" s="345"/>
      <c r="P105" s="343"/>
      <c r="Q105" s="343"/>
      <c r="R105" s="345"/>
      <c r="S105" s="345"/>
      <c r="T105" s="343"/>
      <c r="U105" s="343"/>
      <c r="V105" s="345"/>
      <c r="W105" s="345"/>
      <c r="X105" s="343"/>
      <c r="Y105" s="343"/>
      <c r="Z105" s="345"/>
      <c r="AA105" s="345"/>
      <c r="AB105" s="343"/>
      <c r="AC105" s="343"/>
    </row>
    <row r="106" spans="1:29" ht="14.25" customHeight="1" x14ac:dyDescent="0.3">
      <c r="A106" s="338">
        <v>46053</v>
      </c>
      <c r="B106" s="347">
        <f t="shared" si="3"/>
        <v>54.55</v>
      </c>
      <c r="C106" s="348" t="s">
        <v>509</v>
      </c>
      <c r="D106" s="342"/>
      <c r="E106" s="343"/>
      <c r="F106" s="345"/>
      <c r="G106" s="345">
        <v>54.55</v>
      </c>
      <c r="H106" s="343"/>
      <c r="I106" s="343"/>
      <c r="J106" s="345"/>
      <c r="K106" s="345"/>
      <c r="L106" s="343"/>
      <c r="M106" s="343"/>
      <c r="N106" s="345"/>
      <c r="O106" s="345"/>
      <c r="P106" s="343"/>
      <c r="Q106" s="343"/>
      <c r="R106" s="345"/>
      <c r="S106" s="345"/>
      <c r="T106" s="343"/>
      <c r="U106" s="343"/>
      <c r="V106" s="345"/>
      <c r="W106" s="345"/>
      <c r="X106" s="343"/>
      <c r="Y106" s="343"/>
      <c r="Z106" s="345"/>
      <c r="AA106" s="345"/>
      <c r="AB106" s="343"/>
      <c r="AC106" s="343"/>
    </row>
    <row r="107" spans="1:29" ht="14.25" customHeight="1" x14ac:dyDescent="0.3">
      <c r="A107" s="338">
        <v>46048</v>
      </c>
      <c r="B107" s="347">
        <f t="shared" si="3"/>
        <v>-583</v>
      </c>
      <c r="C107" s="348" t="s">
        <v>529</v>
      </c>
      <c r="D107" s="342">
        <v>583</v>
      </c>
      <c r="E107" s="343"/>
      <c r="F107" s="345"/>
      <c r="G107" s="345"/>
      <c r="H107" s="343"/>
      <c r="I107" s="343"/>
      <c r="J107" s="345"/>
      <c r="K107" s="345"/>
      <c r="L107" s="343"/>
      <c r="M107" s="343"/>
      <c r="N107" s="345"/>
      <c r="O107" s="345"/>
      <c r="P107" s="343"/>
      <c r="Q107" s="343"/>
      <c r="R107" s="345"/>
      <c r="S107" s="345"/>
      <c r="T107" s="343"/>
      <c r="U107" s="343"/>
      <c r="V107" s="345"/>
      <c r="W107" s="345"/>
      <c r="X107" s="343"/>
      <c r="Y107" s="343"/>
      <c r="Z107" s="345"/>
      <c r="AA107" s="345"/>
      <c r="AB107" s="343"/>
      <c r="AC107" s="343"/>
    </row>
    <row r="108" spans="1:29" ht="14.25" customHeight="1" x14ac:dyDescent="0.3">
      <c r="A108" s="338">
        <v>46044</v>
      </c>
      <c r="B108" s="347">
        <f t="shared" si="3"/>
        <v>-126.24</v>
      </c>
      <c r="C108" s="348" t="s">
        <v>315</v>
      </c>
      <c r="D108" s="342"/>
      <c r="E108" s="343"/>
      <c r="F108" s="345"/>
      <c r="G108" s="345"/>
      <c r="H108" s="343"/>
      <c r="I108" s="343"/>
      <c r="J108" s="345"/>
      <c r="K108" s="345"/>
      <c r="L108" s="343">
        <v>63.12</v>
      </c>
      <c r="M108" s="343"/>
      <c r="N108" s="345">
        <v>63.12</v>
      </c>
      <c r="O108" s="345"/>
      <c r="P108" s="343"/>
      <c r="Q108" s="343"/>
      <c r="R108" s="345"/>
      <c r="S108" s="345"/>
      <c r="T108" s="343"/>
      <c r="U108" s="343"/>
      <c r="V108" s="345"/>
      <c r="W108" s="345"/>
      <c r="X108" s="343"/>
      <c r="Y108" s="343"/>
      <c r="Z108" s="345"/>
      <c r="AA108" s="345"/>
      <c r="AB108" s="343"/>
      <c r="AC108" s="343"/>
    </row>
    <row r="109" spans="1:29" ht="14.25" customHeight="1" x14ac:dyDescent="0.3">
      <c r="A109" s="338">
        <v>46043</v>
      </c>
      <c r="B109" s="347">
        <f t="shared" si="3"/>
        <v>-100</v>
      </c>
      <c r="C109" s="348" t="s">
        <v>530</v>
      </c>
      <c r="D109" s="342"/>
      <c r="E109" s="343"/>
      <c r="F109" s="345"/>
      <c r="G109" s="345"/>
      <c r="H109" s="343">
        <v>100</v>
      </c>
      <c r="I109" s="343"/>
      <c r="J109" s="345"/>
      <c r="K109" s="345"/>
      <c r="L109" s="343"/>
      <c r="M109" s="343"/>
      <c r="N109" s="345"/>
      <c r="O109" s="345"/>
      <c r="P109" s="343"/>
      <c r="Q109" s="343"/>
      <c r="R109" s="345"/>
      <c r="S109" s="345"/>
      <c r="T109" s="343"/>
      <c r="U109" s="343"/>
      <c r="V109" s="345"/>
      <c r="W109" s="345"/>
      <c r="X109" s="343"/>
      <c r="Y109" s="343"/>
      <c r="Z109" s="345"/>
      <c r="AA109" s="345"/>
      <c r="AB109" s="343"/>
      <c r="AC109" s="343"/>
    </row>
    <row r="110" spans="1:29" ht="14.25" customHeight="1" x14ac:dyDescent="0.3">
      <c r="A110" s="338">
        <v>46043</v>
      </c>
      <c r="B110" s="347">
        <f t="shared" si="3"/>
        <v>-2724</v>
      </c>
      <c r="C110" s="348" t="s">
        <v>531</v>
      </c>
      <c r="D110" s="342"/>
      <c r="E110" s="343"/>
      <c r="F110" s="345"/>
      <c r="G110" s="345"/>
      <c r="H110" s="343"/>
      <c r="I110" s="343"/>
      <c r="J110" s="345"/>
      <c r="K110" s="345"/>
      <c r="L110" s="343"/>
      <c r="M110" s="343"/>
      <c r="N110" s="345"/>
      <c r="O110" s="345"/>
      <c r="P110" s="343"/>
      <c r="Q110" s="343"/>
      <c r="R110" s="345">
        <v>2724</v>
      </c>
      <c r="S110" s="345"/>
      <c r="T110" s="343"/>
      <c r="U110" s="343"/>
      <c r="V110" s="345"/>
      <c r="W110" s="345"/>
      <c r="X110" s="343"/>
      <c r="Y110" s="343"/>
      <c r="Z110" s="345"/>
      <c r="AA110" s="345"/>
      <c r="AB110" s="343"/>
      <c r="AC110" s="343"/>
    </row>
    <row r="111" spans="1:29" ht="14.25" customHeight="1" x14ac:dyDescent="0.3">
      <c r="A111" s="338">
        <v>46038</v>
      </c>
      <c r="B111" s="347">
        <f t="shared" si="3"/>
        <v>55.69</v>
      </c>
      <c r="C111" s="348" t="s">
        <v>509</v>
      </c>
      <c r="D111" s="342"/>
      <c r="E111" s="343"/>
      <c r="F111" s="345"/>
      <c r="G111" s="345">
        <v>55.69</v>
      </c>
      <c r="H111" s="343"/>
      <c r="I111" s="343"/>
      <c r="J111" s="345"/>
      <c r="K111" s="345"/>
      <c r="L111" s="343"/>
      <c r="M111" s="343"/>
      <c r="N111" s="345"/>
      <c r="O111" s="345"/>
      <c r="P111" s="343"/>
      <c r="Q111" s="343"/>
      <c r="R111" s="345"/>
      <c r="S111" s="345"/>
      <c r="T111" s="343"/>
      <c r="U111" s="343"/>
      <c r="V111" s="345"/>
      <c r="W111" s="345"/>
      <c r="X111" s="343"/>
      <c r="Y111" s="343"/>
      <c r="Z111" s="345"/>
      <c r="AA111" s="345"/>
      <c r="AB111" s="343"/>
      <c r="AC111" s="343"/>
    </row>
    <row r="112" spans="1:29" ht="14.25" customHeight="1" x14ac:dyDescent="0.3">
      <c r="A112" s="338">
        <v>46030</v>
      </c>
      <c r="B112" s="347">
        <f t="shared" si="3"/>
        <v>1049.3699999999999</v>
      </c>
      <c r="C112" s="340" t="s">
        <v>532</v>
      </c>
      <c r="D112" s="342"/>
      <c r="E112" s="343">
        <v>1049.3699999999999</v>
      </c>
      <c r="F112" s="345"/>
      <c r="G112" s="345"/>
      <c r="H112" s="343"/>
      <c r="I112" s="343"/>
      <c r="J112" s="345"/>
      <c r="K112" s="345"/>
      <c r="L112" s="343"/>
      <c r="M112" s="343"/>
      <c r="N112" s="345"/>
      <c r="O112" s="345"/>
      <c r="P112" s="343"/>
      <c r="Q112" s="343"/>
      <c r="R112" s="345"/>
      <c r="S112" s="345"/>
      <c r="T112" s="343"/>
      <c r="U112" s="343"/>
      <c r="V112" s="345"/>
      <c r="W112" s="345"/>
      <c r="X112" s="343"/>
      <c r="Y112" s="343"/>
      <c r="Z112" s="345"/>
      <c r="AA112" s="345"/>
      <c r="AB112" s="343"/>
      <c r="AC112" s="343"/>
    </row>
    <row r="113" spans="1:29" ht="14.25" customHeight="1" x14ac:dyDescent="0.3">
      <c r="A113" s="338">
        <v>46027</v>
      </c>
      <c r="B113" s="347">
        <f t="shared" si="3"/>
        <v>-113.94</v>
      </c>
      <c r="C113" s="348" t="s">
        <v>533</v>
      </c>
      <c r="D113" s="342"/>
      <c r="E113" s="343"/>
      <c r="F113" s="345"/>
      <c r="G113" s="345"/>
      <c r="H113" s="343">
        <v>113.94</v>
      </c>
      <c r="I113" s="343"/>
      <c r="J113" s="345"/>
      <c r="K113" s="345"/>
      <c r="L113" s="343"/>
      <c r="M113" s="343"/>
      <c r="N113" s="345"/>
      <c r="O113" s="345"/>
      <c r="P113" s="343"/>
      <c r="Q113" s="343"/>
      <c r="R113" s="345"/>
      <c r="S113" s="345"/>
      <c r="T113" s="343"/>
      <c r="U113" s="343"/>
      <c r="V113" s="345"/>
      <c r="W113" s="345"/>
      <c r="X113" s="343"/>
      <c r="Y113" s="343"/>
      <c r="Z113" s="345"/>
      <c r="AA113" s="345"/>
      <c r="AB113" s="343"/>
      <c r="AC113" s="343"/>
    </row>
    <row r="114" spans="1:29" ht="14.25" customHeight="1" x14ac:dyDescent="0.3">
      <c r="A114" s="338">
        <v>46027</v>
      </c>
      <c r="B114" s="347">
        <f t="shared" si="3"/>
        <v>-622.1</v>
      </c>
      <c r="C114" s="348" t="s">
        <v>523</v>
      </c>
      <c r="D114" s="342"/>
      <c r="E114" s="343"/>
      <c r="F114" s="345"/>
      <c r="G114" s="345"/>
      <c r="H114" s="343"/>
      <c r="I114" s="343"/>
      <c r="J114" s="345"/>
      <c r="K114" s="345"/>
      <c r="L114" s="343"/>
      <c r="M114" s="343"/>
      <c r="N114" s="345"/>
      <c r="O114" s="345"/>
      <c r="P114" s="343"/>
      <c r="Q114" s="343"/>
      <c r="R114" s="345"/>
      <c r="S114" s="345"/>
      <c r="T114" s="343">
        <v>622.1</v>
      </c>
      <c r="U114" s="343"/>
      <c r="V114" s="345"/>
      <c r="W114" s="345"/>
      <c r="X114" s="343"/>
      <c r="Y114" s="343"/>
      <c r="Z114" s="345"/>
      <c r="AA114" s="345"/>
      <c r="AB114" s="343"/>
      <c r="AC114" s="343"/>
    </row>
    <row r="115" spans="1:29" ht="14.25" customHeight="1" x14ac:dyDescent="0.3">
      <c r="A115" s="338">
        <v>44562</v>
      </c>
      <c r="B115" s="347">
        <f t="shared" si="3"/>
        <v>12240.49</v>
      </c>
      <c r="C115" s="348" t="s">
        <v>534</v>
      </c>
      <c r="D115" s="342"/>
      <c r="E115" s="343">
        <v>1710.49</v>
      </c>
      <c r="F115" s="345"/>
      <c r="G115" s="345">
        <v>500</v>
      </c>
      <c r="H115" s="343"/>
      <c r="I115" s="343">
        <v>2000</v>
      </c>
      <c r="J115" s="345"/>
      <c r="K115" s="345">
        <v>1000</v>
      </c>
      <c r="L115" s="343"/>
      <c r="M115" s="343">
        <v>65</v>
      </c>
      <c r="N115" s="345"/>
      <c r="O115" s="345">
        <v>65</v>
      </c>
      <c r="P115" s="343"/>
      <c r="Q115" s="343">
        <v>100</v>
      </c>
      <c r="R115" s="345"/>
      <c r="S115" s="345">
        <v>2000</v>
      </c>
      <c r="T115" s="343"/>
      <c r="U115" s="343">
        <v>2500</v>
      </c>
      <c r="V115" s="345"/>
      <c r="W115" s="345">
        <v>500</v>
      </c>
      <c r="X115" s="343"/>
      <c r="Y115" s="343">
        <v>200</v>
      </c>
      <c r="Z115" s="345"/>
      <c r="AA115" s="345">
        <v>1500</v>
      </c>
      <c r="AB115" s="343"/>
      <c r="AC115" s="343">
        <v>100</v>
      </c>
    </row>
    <row r="116" spans="1:29" ht="14.25" customHeight="1" x14ac:dyDescent="0.3"/>
    <row r="117" spans="1:29" ht="14.25" customHeight="1" x14ac:dyDescent="0.3"/>
    <row r="118" spans="1:29" ht="14.25" customHeight="1" x14ac:dyDescent="0.3"/>
    <row r="119" spans="1:29" ht="14.25" customHeight="1" x14ac:dyDescent="0.3"/>
    <row r="120" spans="1:29" ht="14.25" customHeight="1" x14ac:dyDescent="0.3"/>
    <row r="121" spans="1:29" ht="14.25" customHeight="1" x14ac:dyDescent="0.3"/>
    <row r="122" spans="1:29" ht="14.25" customHeight="1" x14ac:dyDescent="0.3"/>
    <row r="123" spans="1:29" ht="14.25" customHeight="1" x14ac:dyDescent="0.3"/>
    <row r="124" spans="1:29" ht="14.25" customHeight="1" x14ac:dyDescent="0.3"/>
    <row r="125" spans="1:29" ht="14.25" customHeight="1" x14ac:dyDescent="0.3"/>
    <row r="126" spans="1:29" ht="14.25" customHeight="1" x14ac:dyDescent="0.3"/>
    <row r="127" spans="1:29" ht="14.25" customHeight="1" x14ac:dyDescent="0.3"/>
    <row r="128" spans="1:29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  <row r="1011" ht="14.25" customHeight="1" x14ac:dyDescent="0.3"/>
    <row r="1012" ht="14.25" customHeight="1" x14ac:dyDescent="0.3"/>
    <row r="1013" ht="14.25" customHeight="1" x14ac:dyDescent="0.3"/>
    <row r="1014" ht="14.25" customHeight="1" x14ac:dyDescent="0.3"/>
    <row r="1015" ht="14.25" customHeight="1" x14ac:dyDescent="0.3"/>
    <row r="1016" ht="14.25" customHeight="1" x14ac:dyDescent="0.3"/>
    <row r="1017" ht="14.25" customHeight="1" x14ac:dyDescent="0.3"/>
    <row r="1018" ht="14.25" customHeight="1" x14ac:dyDescent="0.3"/>
    <row r="1019" ht="14.25" customHeight="1" x14ac:dyDescent="0.3"/>
    <row r="1020" ht="14.25" customHeight="1" x14ac:dyDescent="0.3"/>
    <row r="1021" ht="14.25" customHeight="1" x14ac:dyDescent="0.3"/>
    <row r="1022" ht="14.25" customHeight="1" x14ac:dyDescent="0.3"/>
    <row r="1023" ht="14.25" customHeight="1" x14ac:dyDescent="0.3"/>
    <row r="1024" ht="14.25" customHeight="1" x14ac:dyDescent="0.3"/>
    <row r="1025" ht="14.25" customHeight="1" x14ac:dyDescent="0.3"/>
    <row r="1026" ht="14.25" customHeight="1" x14ac:dyDescent="0.3"/>
    <row r="1027" ht="14.25" customHeight="1" x14ac:dyDescent="0.3"/>
    <row r="1028" ht="14.25" customHeight="1" x14ac:dyDescent="0.3"/>
    <row r="1029" ht="14.25" customHeight="1" x14ac:dyDescent="0.3"/>
    <row r="1030" ht="14.25" customHeight="1" x14ac:dyDescent="0.3"/>
    <row r="1031" ht="14.25" customHeight="1" x14ac:dyDescent="0.3"/>
    <row r="1032" ht="14.25" customHeight="1" x14ac:dyDescent="0.3"/>
    <row r="1033" ht="14.25" customHeight="1" x14ac:dyDescent="0.3"/>
    <row r="1034" ht="14.25" customHeight="1" x14ac:dyDescent="0.3"/>
    <row r="1035" ht="14.25" customHeight="1" x14ac:dyDescent="0.3"/>
    <row r="1036" ht="14.25" customHeight="1" x14ac:dyDescent="0.3"/>
    <row r="1037" ht="14.25" customHeight="1" x14ac:dyDescent="0.3"/>
    <row r="1038" ht="14.25" customHeight="1" x14ac:dyDescent="0.3"/>
    <row r="1039" ht="14.25" customHeight="1" x14ac:dyDescent="0.3"/>
    <row r="1040" ht="14.25" customHeight="1" x14ac:dyDescent="0.3"/>
    <row r="1041" ht="14.25" customHeight="1" x14ac:dyDescent="0.3"/>
    <row r="1042" ht="14.25" customHeight="1" x14ac:dyDescent="0.3"/>
    <row r="1043" ht="14.25" customHeight="1" x14ac:dyDescent="0.3"/>
    <row r="1044" ht="14.25" customHeight="1" x14ac:dyDescent="0.3"/>
    <row r="1045" ht="14.25" customHeight="1" x14ac:dyDescent="0.3"/>
    <row r="1046" ht="14.25" customHeight="1" x14ac:dyDescent="0.3"/>
    <row r="1047" ht="14.25" customHeight="1" x14ac:dyDescent="0.3"/>
    <row r="1048" ht="14.25" customHeight="1" x14ac:dyDescent="0.3"/>
    <row r="1049" ht="14.25" customHeight="1" x14ac:dyDescent="0.3"/>
    <row r="1050" ht="14.25" customHeight="1" x14ac:dyDescent="0.3"/>
    <row r="1051" ht="14.25" customHeight="1" x14ac:dyDescent="0.3"/>
    <row r="1052" ht="14.25" customHeight="1" x14ac:dyDescent="0.3"/>
    <row r="1053" ht="14.25" customHeight="1" x14ac:dyDescent="0.3"/>
    <row r="1054" ht="14.25" customHeight="1" x14ac:dyDescent="0.3"/>
    <row r="1055" ht="14.25" customHeight="1" x14ac:dyDescent="0.3"/>
    <row r="1056" ht="14.25" customHeight="1" x14ac:dyDescent="0.3"/>
    <row r="1057" ht="14.25" customHeight="1" x14ac:dyDescent="0.3"/>
  </sheetData>
  <mergeCells count="26">
    <mergeCell ref="AB4:A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  <mergeCell ref="AB1:AC1"/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000"/>
  <sheetViews>
    <sheetView workbookViewId="0"/>
  </sheetViews>
  <sheetFormatPr defaultColWidth="14.44140625" defaultRowHeight="15" customHeight="1" x14ac:dyDescent="0.3"/>
  <cols>
    <col min="1" max="1" width="13.88671875" customWidth="1"/>
    <col min="2" max="5" width="11.33203125" customWidth="1"/>
    <col min="6" max="26" width="8.6640625" customWidth="1"/>
  </cols>
  <sheetData>
    <row r="1" spans="1:17" ht="14.25" customHeight="1" x14ac:dyDescent="0.3">
      <c r="B1" s="23"/>
      <c r="D1" s="25"/>
      <c r="E1" s="25"/>
      <c r="M1" s="12"/>
      <c r="N1" s="118"/>
      <c r="O1" s="118"/>
      <c r="P1" s="118"/>
      <c r="Q1" s="118"/>
    </row>
    <row r="2" spans="1:17" ht="14.25" customHeight="1" x14ac:dyDescent="0.3">
      <c r="B2" s="23"/>
      <c r="D2" s="25" t="s">
        <v>535</v>
      </c>
      <c r="E2" s="25" t="s">
        <v>536</v>
      </c>
      <c r="M2" s="12"/>
      <c r="N2" s="118"/>
      <c r="O2" s="118"/>
      <c r="P2" s="118"/>
      <c r="Q2" s="118"/>
    </row>
    <row r="3" spans="1:17" ht="14.25" customHeight="1" x14ac:dyDescent="0.3">
      <c r="A3" s="92" t="s">
        <v>525</v>
      </c>
      <c r="B3" s="23">
        <v>2700</v>
      </c>
      <c r="C3" s="92" t="s">
        <v>537</v>
      </c>
      <c r="D3" s="25">
        <f t="shared" ref="D3:D4" si="0">B3/12</f>
        <v>225</v>
      </c>
      <c r="E3" s="25">
        <f t="shared" ref="E3:E7" si="1">D3*12</f>
        <v>2700</v>
      </c>
      <c r="M3" s="12"/>
      <c r="N3" s="118"/>
      <c r="O3" s="118"/>
      <c r="P3" s="118"/>
      <c r="Q3" s="118"/>
    </row>
    <row r="4" spans="1:17" ht="14.25" customHeight="1" x14ac:dyDescent="0.3">
      <c r="A4" s="92" t="s">
        <v>538</v>
      </c>
      <c r="B4" s="23">
        <v>780</v>
      </c>
      <c r="C4" s="92" t="s">
        <v>537</v>
      </c>
      <c r="D4" s="25">
        <f t="shared" si="0"/>
        <v>65</v>
      </c>
      <c r="E4" s="25">
        <f t="shared" si="1"/>
        <v>780</v>
      </c>
      <c r="M4" s="12"/>
      <c r="N4" s="118"/>
      <c r="O4" s="118"/>
      <c r="P4" s="118"/>
      <c r="Q4" s="118"/>
    </row>
    <row r="5" spans="1:17" ht="14.25" customHeight="1" x14ac:dyDescent="0.3">
      <c r="A5" s="92" t="s">
        <v>207</v>
      </c>
      <c r="B5" s="23">
        <v>75</v>
      </c>
      <c r="C5" s="92" t="s">
        <v>539</v>
      </c>
      <c r="D5" s="25">
        <f>B5/3</f>
        <v>25</v>
      </c>
      <c r="E5" s="25">
        <f t="shared" si="1"/>
        <v>300</v>
      </c>
      <c r="M5" s="12"/>
      <c r="N5" s="118"/>
      <c r="O5" s="118"/>
      <c r="P5" s="118"/>
      <c r="Q5" s="118"/>
    </row>
    <row r="6" spans="1:17" ht="14.25" customHeight="1" x14ac:dyDescent="0.3">
      <c r="A6" s="92" t="s">
        <v>423</v>
      </c>
      <c r="B6" s="23">
        <v>90</v>
      </c>
      <c r="C6" s="92" t="s">
        <v>540</v>
      </c>
      <c r="D6" s="25">
        <f>B6/2</f>
        <v>45</v>
      </c>
      <c r="E6" s="25">
        <f t="shared" si="1"/>
        <v>540</v>
      </c>
      <c r="M6" s="12"/>
      <c r="N6" s="118"/>
      <c r="O6" s="118"/>
      <c r="P6" s="118"/>
      <c r="Q6" s="118"/>
    </row>
    <row r="7" spans="1:17" ht="14.25" customHeight="1" x14ac:dyDescent="0.3">
      <c r="A7" s="92" t="s">
        <v>541</v>
      </c>
      <c r="B7" s="23">
        <v>60</v>
      </c>
      <c r="C7" s="92" t="s">
        <v>542</v>
      </c>
      <c r="D7" s="25">
        <f>B7</f>
        <v>60</v>
      </c>
      <c r="E7" s="25">
        <f t="shared" si="1"/>
        <v>720</v>
      </c>
      <c r="M7" s="12"/>
      <c r="N7" s="118"/>
      <c r="O7" s="118"/>
      <c r="P7" s="118"/>
      <c r="Q7" s="118"/>
    </row>
    <row r="8" spans="1:17" ht="14.25" customHeight="1" x14ac:dyDescent="0.3">
      <c r="B8" s="23"/>
      <c r="D8" s="25"/>
      <c r="E8" s="25"/>
      <c r="M8" s="12"/>
      <c r="N8" s="118"/>
      <c r="O8" s="118"/>
      <c r="P8" s="118"/>
      <c r="Q8" s="118"/>
    </row>
    <row r="9" spans="1:17" ht="14.25" customHeight="1" x14ac:dyDescent="0.3">
      <c r="A9" s="92" t="s">
        <v>68</v>
      </c>
      <c r="B9" s="23"/>
      <c r="D9" s="25">
        <f>SUM(D3:D7)</f>
        <v>420</v>
      </c>
      <c r="E9" s="25">
        <f>D9*12</f>
        <v>5040</v>
      </c>
      <c r="M9" s="12"/>
      <c r="N9" s="118"/>
      <c r="O9" s="118"/>
      <c r="P9" s="118"/>
      <c r="Q9" s="118"/>
    </row>
    <row r="10" spans="1:17" ht="14.25" customHeight="1" x14ac:dyDescent="0.3">
      <c r="B10" s="23"/>
      <c r="D10" s="25"/>
      <c r="E10" s="25"/>
      <c r="M10" s="12"/>
      <c r="N10" s="118"/>
      <c r="O10" s="118"/>
      <c r="P10" s="118"/>
      <c r="Q10" s="118"/>
    </row>
    <row r="11" spans="1:17" ht="14.25" customHeight="1" x14ac:dyDescent="0.3">
      <c r="A11" s="92" t="s">
        <v>543</v>
      </c>
      <c r="B11" s="23">
        <v>100</v>
      </c>
      <c r="C11" s="92" t="s">
        <v>542</v>
      </c>
      <c r="D11" s="25">
        <f>B11</f>
        <v>100</v>
      </c>
      <c r="E11" s="25">
        <f>D11*12</f>
        <v>1200</v>
      </c>
      <c r="M11" s="12"/>
      <c r="N11" s="118"/>
      <c r="O11" s="118"/>
      <c r="P11" s="118"/>
      <c r="Q11" s="118"/>
    </row>
    <row r="12" spans="1:17" ht="14.25" customHeight="1" x14ac:dyDescent="0.3">
      <c r="B12" s="23"/>
      <c r="D12" s="25"/>
      <c r="E12" s="25"/>
      <c r="M12" s="12"/>
      <c r="N12" s="118"/>
      <c r="O12" s="118"/>
      <c r="P12" s="118"/>
      <c r="Q12" s="118"/>
    </row>
    <row r="13" spans="1:17" ht="14.25" customHeight="1" x14ac:dyDescent="0.3">
      <c r="A13" s="92" t="s">
        <v>544</v>
      </c>
      <c r="B13" s="23"/>
      <c r="D13" s="25">
        <f>SUM(D9+D11)</f>
        <v>520</v>
      </c>
      <c r="E13" s="25">
        <f>D13*12</f>
        <v>6240</v>
      </c>
      <c r="M13" s="12"/>
      <c r="N13" s="118"/>
      <c r="O13" s="118"/>
      <c r="P13" s="118"/>
      <c r="Q13" s="118"/>
    </row>
    <row r="14" spans="1:17" ht="14.25" customHeight="1" x14ac:dyDescent="0.3">
      <c r="B14" s="23"/>
      <c r="D14" s="25"/>
      <c r="E14" s="25"/>
      <c r="M14" s="12"/>
      <c r="N14" s="118"/>
      <c r="O14" s="118"/>
      <c r="P14" s="118"/>
      <c r="Q14" s="118"/>
    </row>
    <row r="15" spans="1:17" ht="14.25" customHeight="1" x14ac:dyDescent="0.3">
      <c r="B15" s="23"/>
      <c r="D15" s="25"/>
      <c r="E15" s="25"/>
      <c r="M15" s="12"/>
      <c r="N15" s="118"/>
      <c r="O15" s="118"/>
      <c r="P15" s="118"/>
      <c r="Q15" s="118"/>
    </row>
    <row r="16" spans="1:17" ht="14.25" customHeight="1" x14ac:dyDescent="0.3">
      <c r="A16" s="92" t="s">
        <v>545</v>
      </c>
      <c r="B16" s="23">
        <v>800</v>
      </c>
      <c r="C16" s="92" t="s">
        <v>542</v>
      </c>
      <c r="D16" s="25">
        <f>B16</f>
        <v>800</v>
      </c>
      <c r="E16" s="25">
        <f>D16*12</f>
        <v>9600</v>
      </c>
      <c r="M16" s="12"/>
      <c r="N16" s="118"/>
      <c r="O16" s="118"/>
      <c r="P16" s="118"/>
      <c r="Q16" s="118"/>
    </row>
    <row r="17" spans="1:17" ht="14.25" customHeight="1" x14ac:dyDescent="0.3">
      <c r="B17" s="23"/>
      <c r="D17" s="25"/>
      <c r="E17" s="25"/>
      <c r="M17" s="12"/>
      <c r="N17" s="118"/>
      <c r="O17" s="118"/>
      <c r="P17" s="118"/>
      <c r="Q17" s="118"/>
    </row>
    <row r="18" spans="1:17" ht="14.25" customHeight="1" x14ac:dyDescent="0.3">
      <c r="A18" s="92" t="s">
        <v>546</v>
      </c>
      <c r="B18" s="23"/>
      <c r="D18" s="25">
        <f>D16-D13</f>
        <v>280</v>
      </c>
      <c r="E18" s="25">
        <f>D18*12</f>
        <v>3360</v>
      </c>
      <c r="M18" s="12"/>
      <c r="N18" s="118"/>
      <c r="O18" s="118"/>
      <c r="P18" s="118"/>
      <c r="Q18" s="118"/>
    </row>
    <row r="19" spans="1:17" ht="14.25" customHeight="1" x14ac:dyDescent="0.3">
      <c r="A19" s="92" t="s">
        <v>547</v>
      </c>
      <c r="B19" s="23"/>
      <c r="D19" s="25"/>
      <c r="E19" s="50">
        <f>(E16-E13)/E13</f>
        <v>0.53846153846153844</v>
      </c>
      <c r="M19" s="12"/>
      <c r="N19" s="118"/>
      <c r="O19" s="118"/>
      <c r="P19" s="118"/>
      <c r="Q19" s="118"/>
    </row>
    <row r="20" spans="1:17" ht="14.25" customHeight="1" x14ac:dyDescent="0.3">
      <c r="B20" s="23"/>
      <c r="D20" s="25"/>
      <c r="E20" s="25"/>
      <c r="M20" s="12"/>
      <c r="N20" s="118"/>
      <c r="O20" s="118"/>
      <c r="P20" s="118"/>
      <c r="Q20" s="118"/>
    </row>
    <row r="21" spans="1:17" ht="14.25" customHeight="1" x14ac:dyDescent="0.3">
      <c r="B21" s="23"/>
      <c r="D21" s="25"/>
      <c r="E21" s="25"/>
      <c r="M21" s="12"/>
      <c r="N21" s="118"/>
      <c r="O21" s="118"/>
      <c r="P21" s="118"/>
      <c r="Q21" s="118"/>
    </row>
    <row r="22" spans="1:17" ht="14.25" customHeight="1" x14ac:dyDescent="0.3">
      <c r="B22" s="23"/>
      <c r="D22" s="25"/>
      <c r="E22" s="25"/>
      <c r="M22" s="12"/>
      <c r="N22" s="118"/>
      <c r="O22" s="118"/>
      <c r="P22" s="118"/>
      <c r="Q22" s="118"/>
    </row>
    <row r="23" spans="1:17" ht="14.25" customHeight="1" x14ac:dyDescent="0.3">
      <c r="B23" s="23"/>
      <c r="D23" s="25"/>
      <c r="E23" s="25"/>
      <c r="M23" s="12"/>
      <c r="N23" s="118"/>
      <c r="O23" s="118"/>
      <c r="P23" s="118"/>
      <c r="Q23" s="118"/>
    </row>
    <row r="24" spans="1:17" ht="14.25" customHeight="1" x14ac:dyDescent="0.3">
      <c r="B24" s="23"/>
      <c r="D24" s="25"/>
      <c r="E24" s="25"/>
      <c r="M24" s="12"/>
      <c r="N24" s="118"/>
      <c r="O24" s="118"/>
      <c r="P24" s="118"/>
      <c r="Q24" s="118"/>
    </row>
    <row r="25" spans="1:17" ht="14.25" customHeight="1" x14ac:dyDescent="0.3">
      <c r="B25" s="23"/>
      <c r="D25" s="25"/>
      <c r="E25" s="25"/>
      <c r="M25" s="12"/>
      <c r="N25" s="118"/>
      <c r="O25" s="118"/>
      <c r="P25" s="118"/>
      <c r="Q25" s="118"/>
    </row>
    <row r="26" spans="1:17" ht="14.25" customHeight="1" x14ac:dyDescent="0.3">
      <c r="B26" s="23"/>
      <c r="D26" s="25"/>
      <c r="E26" s="25"/>
      <c r="M26" s="12"/>
      <c r="N26" s="118"/>
      <c r="O26" s="118"/>
      <c r="P26" s="118"/>
      <c r="Q26" s="118"/>
    </row>
    <row r="27" spans="1:17" ht="14.25" customHeight="1" x14ac:dyDescent="0.3">
      <c r="B27" s="23"/>
      <c r="D27" s="25"/>
      <c r="E27" s="25"/>
      <c r="M27" s="12"/>
      <c r="N27" s="118"/>
      <c r="O27" s="118"/>
      <c r="P27" s="118"/>
      <c r="Q27" s="118"/>
    </row>
    <row r="28" spans="1:17" ht="14.25" customHeight="1" x14ac:dyDescent="0.3">
      <c r="B28" s="23"/>
      <c r="D28" s="25"/>
      <c r="E28" s="25"/>
      <c r="M28" s="12"/>
      <c r="N28" s="118"/>
      <c r="O28" s="118"/>
      <c r="P28" s="118"/>
      <c r="Q28" s="118"/>
    </row>
    <row r="29" spans="1:17" ht="14.25" customHeight="1" x14ac:dyDescent="0.3">
      <c r="B29" s="23"/>
      <c r="D29" s="25"/>
      <c r="E29" s="25"/>
      <c r="M29" s="12"/>
      <c r="N29" s="118"/>
      <c r="O29" s="118"/>
      <c r="P29" s="118"/>
      <c r="Q29" s="118"/>
    </row>
    <row r="30" spans="1:17" ht="14.25" customHeight="1" x14ac:dyDescent="0.3">
      <c r="B30" s="23"/>
      <c r="D30" s="25"/>
      <c r="E30" s="25"/>
      <c r="M30" s="12"/>
      <c r="N30" s="118"/>
      <c r="O30" s="118"/>
      <c r="P30" s="118"/>
      <c r="Q30" s="118"/>
    </row>
    <row r="31" spans="1:17" ht="14.25" customHeight="1" x14ac:dyDescent="0.3">
      <c r="B31" s="23"/>
      <c r="D31" s="25"/>
      <c r="E31" s="25"/>
      <c r="M31" s="12"/>
      <c r="N31" s="118"/>
      <c r="O31" s="118"/>
      <c r="P31" s="118"/>
      <c r="Q31" s="118"/>
    </row>
    <row r="32" spans="1:17" ht="14.25" customHeight="1" x14ac:dyDescent="0.3">
      <c r="B32" s="23"/>
      <c r="D32" s="25"/>
      <c r="E32" s="25"/>
      <c r="M32" s="12"/>
      <c r="N32" s="118"/>
      <c r="O32" s="118"/>
      <c r="P32" s="118"/>
      <c r="Q32" s="118"/>
    </row>
    <row r="33" spans="2:17" ht="14.25" customHeight="1" x14ac:dyDescent="0.3">
      <c r="B33" s="23"/>
      <c r="D33" s="25"/>
      <c r="E33" s="25"/>
      <c r="M33" s="12"/>
      <c r="N33" s="118"/>
      <c r="O33" s="118"/>
      <c r="P33" s="118"/>
      <c r="Q33" s="118"/>
    </row>
    <row r="34" spans="2:17" ht="14.25" customHeight="1" x14ac:dyDescent="0.3">
      <c r="B34" s="23"/>
      <c r="D34" s="25"/>
      <c r="E34" s="25"/>
      <c r="M34" s="12"/>
      <c r="N34" s="118"/>
      <c r="O34" s="118"/>
      <c r="P34" s="118"/>
      <c r="Q34" s="118"/>
    </row>
    <row r="35" spans="2:17" ht="14.25" customHeight="1" x14ac:dyDescent="0.3">
      <c r="B35" s="23"/>
      <c r="D35" s="25"/>
      <c r="E35" s="25"/>
      <c r="M35" s="12"/>
      <c r="N35" s="118"/>
      <c r="O35" s="118"/>
      <c r="P35" s="118"/>
      <c r="Q35" s="118"/>
    </row>
    <row r="36" spans="2:17" ht="14.25" customHeight="1" x14ac:dyDescent="0.3">
      <c r="B36" s="23"/>
      <c r="D36" s="25"/>
      <c r="E36" s="25"/>
      <c r="M36" s="12"/>
      <c r="N36" s="118"/>
      <c r="O36" s="118"/>
      <c r="P36" s="118"/>
      <c r="Q36" s="118"/>
    </row>
    <row r="37" spans="2:17" ht="14.25" customHeight="1" x14ac:dyDescent="0.3">
      <c r="B37" s="23"/>
      <c r="D37" s="25"/>
      <c r="E37" s="25"/>
      <c r="M37" s="12"/>
      <c r="N37" s="118"/>
      <c r="O37" s="118"/>
      <c r="P37" s="118"/>
      <c r="Q37" s="118"/>
    </row>
    <row r="38" spans="2:17" ht="14.25" customHeight="1" x14ac:dyDescent="0.3">
      <c r="B38" s="23"/>
      <c r="D38" s="25"/>
      <c r="E38" s="25"/>
      <c r="M38" s="12"/>
      <c r="N38" s="118"/>
      <c r="O38" s="118"/>
      <c r="P38" s="118"/>
      <c r="Q38" s="118"/>
    </row>
    <row r="39" spans="2:17" ht="14.25" customHeight="1" x14ac:dyDescent="0.3">
      <c r="B39" s="23"/>
      <c r="D39" s="25"/>
      <c r="E39" s="25"/>
      <c r="M39" s="12"/>
      <c r="N39" s="118"/>
      <c r="O39" s="118"/>
      <c r="P39" s="118"/>
      <c r="Q39" s="118"/>
    </row>
    <row r="40" spans="2:17" ht="14.25" customHeight="1" x14ac:dyDescent="0.3">
      <c r="B40" s="23"/>
      <c r="D40" s="25"/>
      <c r="E40" s="25"/>
      <c r="M40" s="12"/>
      <c r="N40" s="118"/>
      <c r="O40" s="118"/>
      <c r="P40" s="118"/>
      <c r="Q40" s="118"/>
    </row>
    <row r="41" spans="2:17" ht="14.25" customHeight="1" x14ac:dyDescent="0.3">
      <c r="B41" s="23"/>
      <c r="D41" s="25"/>
      <c r="E41" s="25"/>
      <c r="M41" s="12"/>
      <c r="N41" s="118"/>
      <c r="O41" s="118"/>
      <c r="P41" s="118"/>
      <c r="Q41" s="118"/>
    </row>
    <row r="42" spans="2:17" ht="14.25" customHeight="1" x14ac:dyDescent="0.3">
      <c r="B42" s="23"/>
      <c r="D42" s="25"/>
      <c r="E42" s="25"/>
      <c r="M42" s="12"/>
      <c r="N42" s="118"/>
      <c r="O42" s="118"/>
      <c r="P42" s="118"/>
      <c r="Q42" s="118"/>
    </row>
    <row r="43" spans="2:17" ht="14.25" customHeight="1" x14ac:dyDescent="0.3">
      <c r="B43" s="23"/>
      <c r="D43" s="25"/>
      <c r="E43" s="25"/>
      <c r="M43" s="12"/>
      <c r="N43" s="118"/>
      <c r="O43" s="118"/>
      <c r="P43" s="118"/>
      <c r="Q43" s="118"/>
    </row>
    <row r="44" spans="2:17" ht="14.25" customHeight="1" x14ac:dyDescent="0.3">
      <c r="B44" s="23"/>
      <c r="D44" s="25"/>
      <c r="E44" s="25"/>
      <c r="M44" s="12"/>
      <c r="N44" s="118"/>
      <c r="O44" s="118"/>
      <c r="P44" s="118"/>
      <c r="Q44" s="118"/>
    </row>
    <row r="45" spans="2:17" ht="14.25" customHeight="1" x14ac:dyDescent="0.3">
      <c r="B45" s="23"/>
      <c r="D45" s="25"/>
      <c r="E45" s="25"/>
      <c r="M45" s="12"/>
      <c r="N45" s="118"/>
      <c r="O45" s="118"/>
      <c r="P45" s="118"/>
      <c r="Q45" s="118"/>
    </row>
    <row r="46" spans="2:17" ht="14.25" customHeight="1" x14ac:dyDescent="0.3">
      <c r="B46" s="23"/>
      <c r="D46" s="25"/>
      <c r="E46" s="25"/>
      <c r="M46" s="12"/>
      <c r="N46" s="118"/>
      <c r="O46" s="118"/>
      <c r="P46" s="118"/>
      <c r="Q46" s="118"/>
    </row>
    <row r="47" spans="2:17" ht="14.25" customHeight="1" x14ac:dyDescent="0.3">
      <c r="B47" s="23"/>
      <c r="D47" s="25"/>
      <c r="E47" s="25"/>
      <c r="M47" s="12"/>
      <c r="N47" s="118"/>
      <c r="O47" s="118"/>
      <c r="P47" s="118"/>
      <c r="Q47" s="118"/>
    </row>
    <row r="48" spans="2:17" ht="14.25" customHeight="1" x14ac:dyDescent="0.3">
      <c r="B48" s="23"/>
      <c r="D48" s="25"/>
      <c r="E48" s="25"/>
      <c r="M48" s="12"/>
      <c r="N48" s="118"/>
      <c r="O48" s="118"/>
      <c r="P48" s="118"/>
      <c r="Q48" s="118"/>
    </row>
    <row r="49" spans="2:17" ht="14.25" customHeight="1" x14ac:dyDescent="0.3">
      <c r="B49" s="23"/>
      <c r="D49" s="25"/>
      <c r="E49" s="25"/>
      <c r="M49" s="12"/>
      <c r="N49" s="118"/>
      <c r="O49" s="118"/>
      <c r="P49" s="118"/>
      <c r="Q49" s="118"/>
    </row>
    <row r="50" spans="2:17" ht="14.25" customHeight="1" x14ac:dyDescent="0.3">
      <c r="B50" s="23"/>
      <c r="D50" s="25"/>
      <c r="E50" s="25"/>
      <c r="M50" s="12"/>
      <c r="N50" s="118"/>
      <c r="O50" s="118"/>
      <c r="P50" s="118"/>
      <c r="Q50" s="118"/>
    </row>
    <row r="51" spans="2:17" ht="14.25" customHeight="1" x14ac:dyDescent="0.3">
      <c r="B51" s="23"/>
      <c r="D51" s="25"/>
      <c r="E51" s="25"/>
      <c r="M51" s="12"/>
      <c r="N51" s="118"/>
      <c r="O51" s="118"/>
      <c r="P51" s="118"/>
      <c r="Q51" s="118"/>
    </row>
    <row r="52" spans="2:17" ht="14.25" customHeight="1" x14ac:dyDescent="0.3">
      <c r="B52" s="23"/>
      <c r="D52" s="25"/>
      <c r="E52" s="25"/>
      <c r="M52" s="12"/>
      <c r="N52" s="118"/>
      <c r="O52" s="118"/>
      <c r="P52" s="118"/>
      <c r="Q52" s="118"/>
    </row>
    <row r="53" spans="2:17" ht="14.25" customHeight="1" x14ac:dyDescent="0.3">
      <c r="B53" s="23"/>
      <c r="D53" s="25"/>
      <c r="E53" s="25"/>
      <c r="M53" s="12"/>
      <c r="N53" s="118"/>
      <c r="O53" s="118"/>
      <c r="P53" s="118"/>
      <c r="Q53" s="118"/>
    </row>
    <row r="54" spans="2:17" ht="14.25" customHeight="1" x14ac:dyDescent="0.3">
      <c r="B54" s="23"/>
      <c r="D54" s="25"/>
      <c r="E54" s="25"/>
      <c r="M54" s="12"/>
      <c r="N54" s="118"/>
      <c r="O54" s="118"/>
      <c r="P54" s="118"/>
      <c r="Q54" s="118"/>
    </row>
    <row r="55" spans="2:17" ht="14.25" customHeight="1" x14ac:dyDescent="0.3">
      <c r="B55" s="23"/>
      <c r="D55" s="25"/>
      <c r="E55" s="25"/>
      <c r="M55" s="12"/>
      <c r="N55" s="118"/>
      <c r="O55" s="118"/>
      <c r="P55" s="118"/>
      <c r="Q55" s="118"/>
    </row>
    <row r="56" spans="2:17" ht="14.25" customHeight="1" x14ac:dyDescent="0.3">
      <c r="B56" s="23"/>
      <c r="D56" s="25"/>
      <c r="E56" s="25"/>
      <c r="M56" s="12"/>
      <c r="N56" s="118"/>
      <c r="O56" s="118"/>
      <c r="P56" s="118"/>
      <c r="Q56" s="118"/>
    </row>
    <row r="57" spans="2:17" ht="14.25" customHeight="1" x14ac:dyDescent="0.3">
      <c r="B57" s="23"/>
      <c r="D57" s="25"/>
      <c r="E57" s="25"/>
      <c r="M57" s="12"/>
      <c r="N57" s="118"/>
      <c r="O57" s="118"/>
      <c r="P57" s="118"/>
      <c r="Q57" s="118"/>
    </row>
    <row r="58" spans="2:17" ht="14.25" customHeight="1" x14ac:dyDescent="0.3">
      <c r="B58" s="23"/>
      <c r="D58" s="25"/>
      <c r="E58" s="25"/>
      <c r="M58" s="12"/>
      <c r="N58" s="118"/>
      <c r="O58" s="118"/>
      <c r="P58" s="118"/>
      <c r="Q58" s="118"/>
    </row>
    <row r="59" spans="2:17" ht="14.25" customHeight="1" x14ac:dyDescent="0.3">
      <c r="B59" s="23"/>
      <c r="D59" s="25"/>
      <c r="E59" s="25"/>
      <c r="M59" s="12"/>
      <c r="N59" s="118"/>
      <c r="O59" s="118"/>
      <c r="P59" s="118"/>
      <c r="Q59" s="118"/>
    </row>
    <row r="60" spans="2:17" ht="14.25" customHeight="1" x14ac:dyDescent="0.3">
      <c r="B60" s="23"/>
      <c r="D60" s="25"/>
      <c r="E60" s="25"/>
      <c r="M60" s="12"/>
      <c r="N60" s="118"/>
      <c r="O60" s="118"/>
      <c r="P60" s="118"/>
      <c r="Q60" s="118"/>
    </row>
    <row r="61" spans="2:17" ht="14.25" customHeight="1" x14ac:dyDescent="0.3">
      <c r="B61" s="23"/>
      <c r="D61" s="25"/>
      <c r="E61" s="25"/>
      <c r="M61" s="12"/>
      <c r="N61" s="118"/>
      <c r="O61" s="118"/>
      <c r="P61" s="118"/>
      <c r="Q61" s="118"/>
    </row>
    <row r="62" spans="2:17" ht="14.25" customHeight="1" x14ac:dyDescent="0.3">
      <c r="B62" s="23"/>
      <c r="D62" s="25"/>
      <c r="E62" s="25"/>
      <c r="M62" s="12"/>
      <c r="N62" s="118"/>
      <c r="O62" s="118"/>
      <c r="P62" s="118"/>
      <c r="Q62" s="118"/>
    </row>
    <row r="63" spans="2:17" ht="14.25" customHeight="1" x14ac:dyDescent="0.3">
      <c r="B63" s="23"/>
      <c r="D63" s="25"/>
      <c r="E63" s="25"/>
      <c r="M63" s="12"/>
      <c r="N63" s="118"/>
      <c r="O63" s="118"/>
      <c r="P63" s="118"/>
      <c r="Q63" s="118"/>
    </row>
    <row r="64" spans="2:17" ht="14.25" customHeight="1" x14ac:dyDescent="0.3">
      <c r="B64" s="23"/>
      <c r="D64" s="25"/>
      <c r="E64" s="25"/>
      <c r="M64" s="12"/>
      <c r="N64" s="118"/>
      <c r="O64" s="118"/>
      <c r="P64" s="118"/>
      <c r="Q64" s="118"/>
    </row>
    <row r="65" spans="2:17" ht="14.25" customHeight="1" x14ac:dyDescent="0.3">
      <c r="B65" s="23"/>
      <c r="D65" s="25"/>
      <c r="E65" s="25"/>
      <c r="M65" s="12"/>
      <c r="N65" s="118"/>
      <c r="O65" s="118"/>
      <c r="P65" s="118"/>
      <c r="Q65" s="118"/>
    </row>
    <row r="66" spans="2:17" ht="14.25" customHeight="1" x14ac:dyDescent="0.3">
      <c r="B66" s="23"/>
      <c r="D66" s="25"/>
      <c r="E66" s="25"/>
      <c r="M66" s="12"/>
      <c r="N66" s="118"/>
      <c r="O66" s="118"/>
      <c r="P66" s="118"/>
      <c r="Q66" s="118"/>
    </row>
    <row r="67" spans="2:17" ht="14.25" customHeight="1" x14ac:dyDescent="0.3">
      <c r="B67" s="23"/>
      <c r="D67" s="25"/>
      <c r="E67" s="25"/>
      <c r="M67" s="12"/>
      <c r="N67" s="118"/>
      <c r="O67" s="118"/>
      <c r="P67" s="118"/>
      <c r="Q67" s="118"/>
    </row>
    <row r="68" spans="2:17" ht="14.25" customHeight="1" x14ac:dyDescent="0.3">
      <c r="B68" s="23"/>
      <c r="D68" s="25"/>
      <c r="E68" s="25"/>
      <c r="M68" s="12"/>
      <c r="N68" s="118"/>
      <c r="O68" s="118"/>
      <c r="P68" s="118"/>
      <c r="Q68" s="118"/>
    </row>
    <row r="69" spans="2:17" ht="14.25" customHeight="1" x14ac:dyDescent="0.3">
      <c r="B69" s="23"/>
      <c r="D69" s="25"/>
      <c r="E69" s="25"/>
      <c r="M69" s="12"/>
      <c r="N69" s="118"/>
      <c r="O69" s="118"/>
      <c r="P69" s="118"/>
      <c r="Q69" s="118"/>
    </row>
    <row r="70" spans="2:17" ht="14.25" customHeight="1" x14ac:dyDescent="0.3">
      <c r="B70" s="23"/>
      <c r="D70" s="25"/>
      <c r="E70" s="25"/>
      <c r="M70" s="12"/>
      <c r="N70" s="118"/>
      <c r="O70" s="118"/>
      <c r="P70" s="118"/>
      <c r="Q70" s="118"/>
    </row>
    <row r="71" spans="2:17" ht="14.25" customHeight="1" x14ac:dyDescent="0.3">
      <c r="B71" s="23"/>
      <c r="D71" s="25"/>
      <c r="E71" s="25"/>
      <c r="M71" s="12"/>
      <c r="N71" s="118"/>
      <c r="O71" s="118"/>
      <c r="P71" s="118"/>
      <c r="Q71" s="118"/>
    </row>
    <row r="72" spans="2:17" ht="14.25" customHeight="1" x14ac:dyDescent="0.3">
      <c r="B72" s="23"/>
      <c r="D72" s="25"/>
      <c r="E72" s="25"/>
      <c r="M72" s="12"/>
      <c r="N72" s="118"/>
      <c r="O72" s="118"/>
      <c r="P72" s="118"/>
      <c r="Q72" s="118"/>
    </row>
    <row r="73" spans="2:17" ht="14.25" customHeight="1" x14ac:dyDescent="0.3">
      <c r="B73" s="23"/>
      <c r="D73" s="25"/>
      <c r="E73" s="25"/>
      <c r="M73" s="12"/>
      <c r="N73" s="118"/>
      <c r="O73" s="118"/>
      <c r="P73" s="118"/>
      <c r="Q73" s="118"/>
    </row>
    <row r="74" spans="2:17" ht="14.25" customHeight="1" x14ac:dyDescent="0.3">
      <c r="B74" s="23"/>
      <c r="D74" s="25"/>
      <c r="E74" s="25"/>
      <c r="M74" s="12"/>
      <c r="N74" s="118"/>
      <c r="O74" s="118"/>
      <c r="P74" s="118"/>
      <c r="Q74" s="118"/>
    </row>
    <row r="75" spans="2:17" ht="14.25" customHeight="1" x14ac:dyDescent="0.3">
      <c r="B75" s="23"/>
      <c r="D75" s="25"/>
      <c r="E75" s="25"/>
      <c r="M75" s="12"/>
      <c r="N75" s="118"/>
      <c r="O75" s="118"/>
      <c r="P75" s="118"/>
      <c r="Q75" s="118"/>
    </row>
    <row r="76" spans="2:17" ht="14.25" customHeight="1" x14ac:dyDescent="0.3">
      <c r="B76" s="23"/>
      <c r="D76" s="25"/>
      <c r="E76" s="25"/>
      <c r="M76" s="12"/>
      <c r="N76" s="118"/>
      <c r="O76" s="118"/>
      <c r="P76" s="118"/>
      <c r="Q76" s="118"/>
    </row>
    <row r="77" spans="2:17" ht="14.25" customHeight="1" x14ac:dyDescent="0.3">
      <c r="B77" s="23"/>
      <c r="D77" s="25"/>
      <c r="E77" s="25"/>
      <c r="M77" s="12"/>
      <c r="N77" s="118"/>
      <c r="O77" s="118"/>
      <c r="P77" s="118"/>
      <c r="Q77" s="118"/>
    </row>
    <row r="78" spans="2:17" ht="14.25" customHeight="1" x14ac:dyDescent="0.3">
      <c r="B78" s="23"/>
      <c r="D78" s="25"/>
      <c r="E78" s="25"/>
      <c r="M78" s="12"/>
      <c r="N78" s="118"/>
      <c r="O78" s="118"/>
      <c r="P78" s="118"/>
      <c r="Q78" s="118"/>
    </row>
    <row r="79" spans="2:17" ht="14.25" customHeight="1" x14ac:dyDescent="0.3">
      <c r="B79" s="23"/>
      <c r="D79" s="25"/>
      <c r="E79" s="25"/>
      <c r="M79" s="12"/>
      <c r="N79" s="118"/>
      <c r="O79" s="118"/>
      <c r="P79" s="118"/>
      <c r="Q79" s="118"/>
    </row>
    <row r="80" spans="2:17" ht="14.25" customHeight="1" x14ac:dyDescent="0.3">
      <c r="B80" s="23"/>
      <c r="D80" s="25"/>
      <c r="E80" s="25"/>
      <c r="M80" s="12"/>
      <c r="N80" s="118"/>
      <c r="O80" s="118"/>
      <c r="P80" s="118"/>
      <c r="Q80" s="118"/>
    </row>
    <row r="81" spans="2:17" ht="14.25" customHeight="1" x14ac:dyDescent="0.3">
      <c r="B81" s="23"/>
      <c r="D81" s="25"/>
      <c r="E81" s="25"/>
      <c r="M81" s="12"/>
      <c r="N81" s="118"/>
      <c r="O81" s="118"/>
      <c r="P81" s="118"/>
      <c r="Q81" s="118"/>
    </row>
    <row r="82" spans="2:17" ht="14.25" customHeight="1" x14ac:dyDescent="0.3">
      <c r="B82" s="23"/>
      <c r="D82" s="25"/>
      <c r="E82" s="25"/>
      <c r="M82" s="12"/>
      <c r="N82" s="118"/>
      <c r="O82" s="118"/>
      <c r="P82" s="118"/>
      <c r="Q82" s="118"/>
    </row>
    <row r="83" spans="2:17" ht="14.25" customHeight="1" x14ac:dyDescent="0.3">
      <c r="B83" s="23"/>
      <c r="D83" s="25"/>
      <c r="E83" s="25"/>
      <c r="M83" s="12"/>
      <c r="N83" s="118"/>
      <c r="O83" s="118"/>
      <c r="P83" s="118"/>
      <c r="Q83" s="118"/>
    </row>
    <row r="84" spans="2:17" ht="14.25" customHeight="1" x14ac:dyDescent="0.3">
      <c r="B84" s="23"/>
      <c r="D84" s="25"/>
      <c r="E84" s="25"/>
      <c r="M84" s="12"/>
      <c r="N84" s="118"/>
      <c r="O84" s="118"/>
      <c r="P84" s="118"/>
      <c r="Q84" s="118"/>
    </row>
    <row r="85" spans="2:17" ht="14.25" customHeight="1" x14ac:dyDescent="0.3">
      <c r="B85" s="23"/>
      <c r="D85" s="25"/>
      <c r="E85" s="25"/>
      <c r="M85" s="12"/>
      <c r="N85" s="118"/>
      <c r="O85" s="118"/>
      <c r="P85" s="118"/>
      <c r="Q85" s="118"/>
    </row>
    <row r="86" spans="2:17" ht="14.25" customHeight="1" x14ac:dyDescent="0.3">
      <c r="B86" s="23"/>
      <c r="D86" s="25"/>
      <c r="E86" s="25"/>
      <c r="M86" s="12"/>
      <c r="N86" s="118"/>
      <c r="O86" s="118"/>
      <c r="P86" s="118"/>
      <c r="Q86" s="118"/>
    </row>
    <row r="87" spans="2:17" ht="14.25" customHeight="1" x14ac:dyDescent="0.3">
      <c r="B87" s="23"/>
      <c r="D87" s="25"/>
      <c r="E87" s="25"/>
      <c r="M87" s="12"/>
      <c r="N87" s="118"/>
      <c r="O87" s="118"/>
      <c r="P87" s="118"/>
      <c r="Q87" s="118"/>
    </row>
    <row r="88" spans="2:17" ht="14.25" customHeight="1" x14ac:dyDescent="0.3">
      <c r="B88" s="23"/>
      <c r="D88" s="25"/>
      <c r="E88" s="25"/>
      <c r="M88" s="12"/>
      <c r="N88" s="118"/>
      <c r="O88" s="118"/>
      <c r="P88" s="118"/>
      <c r="Q88" s="118"/>
    </row>
    <row r="89" spans="2:17" ht="14.25" customHeight="1" x14ac:dyDescent="0.3">
      <c r="B89" s="23"/>
      <c r="D89" s="25"/>
      <c r="E89" s="25"/>
      <c r="M89" s="12"/>
      <c r="N89" s="118"/>
      <c r="O89" s="118"/>
      <c r="P89" s="118"/>
      <c r="Q89" s="118"/>
    </row>
    <row r="90" spans="2:17" ht="14.25" customHeight="1" x14ac:dyDescent="0.3">
      <c r="B90" s="23"/>
      <c r="D90" s="25"/>
      <c r="E90" s="25"/>
      <c r="M90" s="12"/>
      <c r="N90" s="118"/>
      <c r="O90" s="118"/>
      <c r="P90" s="118"/>
      <c r="Q90" s="118"/>
    </row>
    <row r="91" spans="2:17" ht="14.25" customHeight="1" x14ac:dyDescent="0.3">
      <c r="B91" s="23"/>
      <c r="D91" s="25"/>
      <c r="E91" s="25"/>
      <c r="M91" s="12"/>
      <c r="N91" s="118"/>
      <c r="O91" s="118"/>
      <c r="P91" s="118"/>
      <c r="Q91" s="118"/>
    </row>
    <row r="92" spans="2:17" ht="14.25" customHeight="1" x14ac:dyDescent="0.3">
      <c r="B92" s="23"/>
      <c r="D92" s="25"/>
      <c r="E92" s="25"/>
      <c r="M92" s="12"/>
      <c r="N92" s="118"/>
      <c r="O92" s="118"/>
      <c r="P92" s="118"/>
      <c r="Q92" s="118"/>
    </row>
    <row r="93" spans="2:17" ht="14.25" customHeight="1" x14ac:dyDescent="0.3">
      <c r="B93" s="23"/>
      <c r="D93" s="25"/>
      <c r="E93" s="25"/>
      <c r="M93" s="12"/>
      <c r="N93" s="118"/>
      <c r="O93" s="118"/>
      <c r="P93" s="118"/>
      <c r="Q93" s="118"/>
    </row>
    <row r="94" spans="2:17" ht="14.25" customHeight="1" x14ac:dyDescent="0.3">
      <c r="B94" s="23"/>
      <c r="D94" s="25"/>
      <c r="E94" s="25"/>
      <c r="M94" s="12"/>
      <c r="N94" s="118"/>
      <c r="O94" s="118"/>
      <c r="P94" s="118"/>
      <c r="Q94" s="118"/>
    </row>
    <row r="95" spans="2:17" ht="14.25" customHeight="1" x14ac:dyDescent="0.3">
      <c r="B95" s="23"/>
      <c r="D95" s="25"/>
      <c r="E95" s="25"/>
      <c r="M95" s="12"/>
      <c r="N95" s="118"/>
      <c r="O95" s="118"/>
      <c r="P95" s="118"/>
      <c r="Q95" s="118"/>
    </row>
    <row r="96" spans="2:17" ht="14.25" customHeight="1" x14ac:dyDescent="0.3">
      <c r="B96" s="23"/>
      <c r="D96" s="25"/>
      <c r="E96" s="25"/>
      <c r="M96" s="12"/>
      <c r="N96" s="118"/>
      <c r="O96" s="118"/>
      <c r="P96" s="118"/>
      <c r="Q96" s="118"/>
    </row>
    <row r="97" spans="2:17" ht="14.25" customHeight="1" x14ac:dyDescent="0.3">
      <c r="B97" s="23"/>
      <c r="D97" s="25"/>
      <c r="E97" s="25"/>
      <c r="M97" s="12"/>
      <c r="N97" s="118"/>
      <c r="O97" s="118"/>
      <c r="P97" s="118"/>
      <c r="Q97" s="118"/>
    </row>
    <row r="98" spans="2:17" ht="14.25" customHeight="1" x14ac:dyDescent="0.3">
      <c r="B98" s="23"/>
      <c r="D98" s="25"/>
      <c r="E98" s="25"/>
      <c r="M98" s="12"/>
      <c r="N98" s="118"/>
      <c r="O98" s="118"/>
      <c r="P98" s="118"/>
      <c r="Q98" s="118"/>
    </row>
    <row r="99" spans="2:17" ht="14.25" customHeight="1" x14ac:dyDescent="0.3">
      <c r="B99" s="23"/>
      <c r="D99" s="25"/>
      <c r="E99" s="25"/>
      <c r="M99" s="12"/>
      <c r="N99" s="118"/>
      <c r="O99" s="118"/>
      <c r="P99" s="118"/>
      <c r="Q99" s="118"/>
    </row>
    <row r="100" spans="2:17" ht="14.25" customHeight="1" x14ac:dyDescent="0.3">
      <c r="B100" s="23"/>
      <c r="D100" s="25"/>
      <c r="E100" s="25"/>
      <c r="M100" s="12"/>
      <c r="N100" s="118"/>
      <c r="O100" s="118"/>
      <c r="P100" s="118"/>
      <c r="Q100" s="118"/>
    </row>
    <row r="101" spans="2:17" ht="14.25" customHeight="1" x14ac:dyDescent="0.3">
      <c r="B101" s="23"/>
      <c r="D101" s="25"/>
      <c r="E101" s="25"/>
      <c r="M101" s="12"/>
      <c r="N101" s="118"/>
      <c r="O101" s="118"/>
      <c r="P101" s="118"/>
      <c r="Q101" s="118"/>
    </row>
    <row r="102" spans="2:17" ht="14.25" customHeight="1" x14ac:dyDescent="0.3">
      <c r="B102" s="23"/>
      <c r="D102" s="25"/>
      <c r="E102" s="25"/>
      <c r="M102" s="12"/>
      <c r="N102" s="118"/>
      <c r="O102" s="118"/>
      <c r="P102" s="118"/>
      <c r="Q102" s="118"/>
    </row>
    <row r="103" spans="2:17" ht="14.25" customHeight="1" x14ac:dyDescent="0.3">
      <c r="B103" s="23"/>
      <c r="D103" s="25"/>
      <c r="E103" s="25"/>
      <c r="M103" s="12"/>
      <c r="N103" s="118"/>
      <c r="O103" s="118"/>
      <c r="P103" s="118"/>
      <c r="Q103" s="118"/>
    </row>
    <row r="104" spans="2:17" ht="14.25" customHeight="1" x14ac:dyDescent="0.3">
      <c r="B104" s="23"/>
      <c r="D104" s="25"/>
      <c r="E104" s="25"/>
      <c r="M104" s="12"/>
      <c r="N104" s="118"/>
      <c r="O104" s="118"/>
      <c r="P104" s="118"/>
      <c r="Q104" s="118"/>
    </row>
    <row r="105" spans="2:17" ht="14.25" customHeight="1" x14ac:dyDescent="0.3">
      <c r="B105" s="23"/>
      <c r="D105" s="25"/>
      <c r="E105" s="25"/>
      <c r="M105" s="12"/>
      <c r="N105" s="118"/>
      <c r="O105" s="118"/>
      <c r="P105" s="118"/>
      <c r="Q105" s="118"/>
    </row>
    <row r="106" spans="2:17" ht="14.25" customHeight="1" x14ac:dyDescent="0.3">
      <c r="B106" s="23"/>
      <c r="D106" s="25"/>
      <c r="E106" s="25"/>
      <c r="M106" s="12"/>
      <c r="N106" s="118"/>
      <c r="O106" s="118"/>
      <c r="P106" s="118"/>
      <c r="Q106" s="118"/>
    </row>
    <row r="107" spans="2:17" ht="14.25" customHeight="1" x14ac:dyDescent="0.3">
      <c r="B107" s="23"/>
      <c r="D107" s="25"/>
      <c r="E107" s="25"/>
      <c r="M107" s="12"/>
      <c r="N107" s="118"/>
      <c r="O107" s="118"/>
      <c r="P107" s="118"/>
      <c r="Q107" s="118"/>
    </row>
    <row r="108" spans="2:17" ht="14.25" customHeight="1" x14ac:dyDescent="0.3">
      <c r="B108" s="23"/>
      <c r="D108" s="25"/>
      <c r="E108" s="25"/>
      <c r="M108" s="12"/>
      <c r="N108" s="118"/>
      <c r="O108" s="118"/>
      <c r="P108" s="118"/>
      <c r="Q108" s="118"/>
    </row>
    <row r="109" spans="2:17" ht="14.25" customHeight="1" x14ac:dyDescent="0.3">
      <c r="B109" s="23"/>
      <c r="D109" s="25"/>
      <c r="E109" s="25"/>
      <c r="M109" s="12"/>
      <c r="N109" s="118"/>
      <c r="O109" s="118"/>
      <c r="P109" s="118"/>
      <c r="Q109" s="118"/>
    </row>
    <row r="110" spans="2:17" ht="14.25" customHeight="1" x14ac:dyDescent="0.3">
      <c r="B110" s="23"/>
      <c r="D110" s="25"/>
      <c r="E110" s="25"/>
      <c r="M110" s="12"/>
      <c r="N110" s="118"/>
      <c r="O110" s="118"/>
      <c r="P110" s="118"/>
      <c r="Q110" s="118"/>
    </row>
    <row r="111" spans="2:17" ht="14.25" customHeight="1" x14ac:dyDescent="0.3">
      <c r="B111" s="23"/>
      <c r="D111" s="25"/>
      <c r="E111" s="25"/>
      <c r="M111" s="12"/>
      <c r="N111" s="118"/>
      <c r="O111" s="118"/>
      <c r="P111" s="118"/>
      <c r="Q111" s="118"/>
    </row>
    <row r="112" spans="2:17" ht="14.25" customHeight="1" x14ac:dyDescent="0.3">
      <c r="B112" s="23"/>
      <c r="D112" s="25"/>
      <c r="E112" s="25"/>
      <c r="M112" s="12"/>
      <c r="N112" s="118"/>
      <c r="O112" s="118"/>
      <c r="P112" s="118"/>
      <c r="Q112" s="118"/>
    </row>
    <row r="113" spans="2:17" ht="14.25" customHeight="1" x14ac:dyDescent="0.3">
      <c r="B113" s="23"/>
      <c r="D113" s="25"/>
      <c r="E113" s="25"/>
      <c r="M113" s="12"/>
      <c r="N113" s="118"/>
      <c r="O113" s="118"/>
      <c r="P113" s="118"/>
      <c r="Q113" s="118"/>
    </row>
    <row r="114" spans="2:17" ht="14.25" customHeight="1" x14ac:dyDescent="0.3">
      <c r="B114" s="23"/>
      <c r="D114" s="25"/>
      <c r="E114" s="25"/>
      <c r="M114" s="12"/>
      <c r="N114" s="118"/>
      <c r="O114" s="118"/>
      <c r="P114" s="118"/>
      <c r="Q114" s="118"/>
    </row>
    <row r="115" spans="2:17" ht="14.25" customHeight="1" x14ac:dyDescent="0.3">
      <c r="B115" s="23"/>
      <c r="D115" s="25"/>
      <c r="E115" s="25"/>
      <c r="M115" s="12"/>
      <c r="N115" s="118"/>
      <c r="O115" s="118"/>
      <c r="P115" s="118"/>
      <c r="Q115" s="118"/>
    </row>
    <row r="116" spans="2:17" ht="14.25" customHeight="1" x14ac:dyDescent="0.3">
      <c r="B116" s="23"/>
      <c r="D116" s="25"/>
      <c r="E116" s="25"/>
      <c r="M116" s="12"/>
      <c r="N116" s="118"/>
      <c r="O116" s="118"/>
      <c r="P116" s="118"/>
      <c r="Q116" s="118"/>
    </row>
    <row r="117" spans="2:17" ht="14.25" customHeight="1" x14ac:dyDescent="0.3">
      <c r="B117" s="23"/>
      <c r="D117" s="25"/>
      <c r="E117" s="25"/>
      <c r="M117" s="12"/>
      <c r="N117" s="118"/>
      <c r="O117" s="118"/>
      <c r="P117" s="118"/>
      <c r="Q117" s="118"/>
    </row>
    <row r="118" spans="2:17" ht="14.25" customHeight="1" x14ac:dyDescent="0.3">
      <c r="B118" s="23"/>
      <c r="D118" s="25"/>
      <c r="E118" s="25"/>
      <c r="M118" s="12"/>
      <c r="N118" s="118"/>
      <c r="O118" s="118"/>
      <c r="P118" s="118"/>
      <c r="Q118" s="118"/>
    </row>
    <row r="119" spans="2:17" ht="14.25" customHeight="1" x14ac:dyDescent="0.3">
      <c r="B119" s="23"/>
      <c r="D119" s="25"/>
      <c r="E119" s="25"/>
      <c r="M119" s="12"/>
      <c r="N119" s="118"/>
      <c r="O119" s="118"/>
      <c r="P119" s="118"/>
      <c r="Q119" s="118"/>
    </row>
    <row r="120" spans="2:17" ht="14.25" customHeight="1" x14ac:dyDescent="0.3">
      <c r="B120" s="23"/>
      <c r="D120" s="25"/>
      <c r="E120" s="25"/>
      <c r="M120" s="12"/>
      <c r="N120" s="118"/>
      <c r="O120" s="118"/>
      <c r="P120" s="118"/>
      <c r="Q120" s="118"/>
    </row>
    <row r="121" spans="2:17" ht="14.25" customHeight="1" x14ac:dyDescent="0.3">
      <c r="B121" s="23"/>
      <c r="D121" s="25"/>
      <c r="E121" s="25"/>
      <c r="M121" s="12"/>
      <c r="N121" s="118"/>
      <c r="O121" s="118"/>
      <c r="P121" s="118"/>
      <c r="Q121" s="118"/>
    </row>
    <row r="122" spans="2:17" ht="14.25" customHeight="1" x14ac:dyDescent="0.3">
      <c r="B122" s="23"/>
      <c r="D122" s="25"/>
      <c r="E122" s="25"/>
      <c r="M122" s="12"/>
      <c r="N122" s="118"/>
      <c r="O122" s="118"/>
      <c r="P122" s="118"/>
      <c r="Q122" s="118"/>
    </row>
    <row r="123" spans="2:17" ht="14.25" customHeight="1" x14ac:dyDescent="0.3">
      <c r="B123" s="23"/>
      <c r="D123" s="25"/>
      <c r="E123" s="25"/>
      <c r="M123" s="12"/>
      <c r="N123" s="118"/>
      <c r="O123" s="118"/>
      <c r="P123" s="118"/>
      <c r="Q123" s="118"/>
    </row>
    <row r="124" spans="2:17" ht="14.25" customHeight="1" x14ac:dyDescent="0.3">
      <c r="B124" s="23"/>
      <c r="D124" s="25"/>
      <c r="E124" s="25"/>
      <c r="M124" s="12"/>
      <c r="N124" s="118"/>
      <c r="O124" s="118"/>
      <c r="P124" s="118"/>
      <c r="Q124" s="118"/>
    </row>
    <row r="125" spans="2:17" ht="14.25" customHeight="1" x14ac:dyDescent="0.3">
      <c r="B125" s="23"/>
      <c r="D125" s="25"/>
      <c r="E125" s="25"/>
      <c r="M125" s="12"/>
      <c r="N125" s="118"/>
      <c r="O125" s="118"/>
      <c r="P125" s="118"/>
      <c r="Q125" s="118"/>
    </row>
    <row r="126" spans="2:17" ht="14.25" customHeight="1" x14ac:dyDescent="0.3">
      <c r="B126" s="23"/>
      <c r="D126" s="25"/>
      <c r="E126" s="25"/>
      <c r="M126" s="12"/>
      <c r="N126" s="118"/>
      <c r="O126" s="118"/>
      <c r="P126" s="118"/>
      <c r="Q126" s="118"/>
    </row>
    <row r="127" spans="2:17" ht="14.25" customHeight="1" x14ac:dyDescent="0.3">
      <c r="B127" s="23"/>
      <c r="D127" s="25"/>
      <c r="E127" s="25"/>
      <c r="M127" s="12"/>
      <c r="N127" s="118"/>
      <c r="O127" s="118"/>
      <c r="P127" s="118"/>
      <c r="Q127" s="118"/>
    </row>
    <row r="128" spans="2:17" ht="14.25" customHeight="1" x14ac:dyDescent="0.3">
      <c r="B128" s="23"/>
      <c r="D128" s="25"/>
      <c r="E128" s="25"/>
      <c r="M128" s="12"/>
      <c r="N128" s="118"/>
      <c r="O128" s="118"/>
      <c r="P128" s="118"/>
      <c r="Q128" s="118"/>
    </row>
    <row r="129" spans="2:17" ht="14.25" customHeight="1" x14ac:dyDescent="0.3">
      <c r="B129" s="23"/>
      <c r="D129" s="25"/>
      <c r="E129" s="25"/>
      <c r="M129" s="12"/>
      <c r="N129" s="118"/>
      <c r="O129" s="118"/>
      <c r="P129" s="118"/>
      <c r="Q129" s="118"/>
    </row>
    <row r="130" spans="2:17" ht="14.25" customHeight="1" x14ac:dyDescent="0.3">
      <c r="B130" s="23"/>
      <c r="D130" s="25"/>
      <c r="E130" s="25"/>
      <c r="M130" s="12"/>
      <c r="N130" s="118"/>
      <c r="O130" s="118"/>
      <c r="P130" s="118"/>
      <c r="Q130" s="118"/>
    </row>
    <row r="131" spans="2:17" ht="14.25" customHeight="1" x14ac:dyDescent="0.3">
      <c r="B131" s="23"/>
      <c r="D131" s="25"/>
      <c r="E131" s="25"/>
      <c r="M131" s="12"/>
      <c r="N131" s="118"/>
      <c r="O131" s="118"/>
      <c r="P131" s="118"/>
      <c r="Q131" s="118"/>
    </row>
    <row r="132" spans="2:17" ht="14.25" customHeight="1" x14ac:dyDescent="0.3">
      <c r="B132" s="23"/>
      <c r="D132" s="25"/>
      <c r="E132" s="25"/>
      <c r="M132" s="12"/>
      <c r="N132" s="118"/>
      <c r="O132" s="118"/>
      <c r="P132" s="118"/>
      <c r="Q132" s="118"/>
    </row>
    <row r="133" spans="2:17" ht="14.25" customHeight="1" x14ac:dyDescent="0.3">
      <c r="B133" s="23"/>
      <c r="D133" s="25"/>
      <c r="E133" s="25"/>
      <c r="M133" s="12"/>
      <c r="N133" s="118"/>
      <c r="O133" s="118"/>
      <c r="P133" s="118"/>
      <c r="Q133" s="118"/>
    </row>
    <row r="134" spans="2:17" ht="14.25" customHeight="1" x14ac:dyDescent="0.3">
      <c r="B134" s="23"/>
      <c r="D134" s="25"/>
      <c r="E134" s="25"/>
      <c r="M134" s="12"/>
      <c r="N134" s="118"/>
      <c r="O134" s="118"/>
      <c r="P134" s="118"/>
      <c r="Q134" s="118"/>
    </row>
    <row r="135" spans="2:17" ht="14.25" customHeight="1" x14ac:dyDescent="0.3">
      <c r="B135" s="23"/>
      <c r="D135" s="25"/>
      <c r="E135" s="25"/>
      <c r="M135" s="12"/>
      <c r="N135" s="118"/>
      <c r="O135" s="118"/>
      <c r="P135" s="118"/>
      <c r="Q135" s="118"/>
    </row>
    <row r="136" spans="2:17" ht="14.25" customHeight="1" x14ac:dyDescent="0.3">
      <c r="B136" s="23"/>
      <c r="D136" s="25"/>
      <c r="E136" s="25"/>
      <c r="M136" s="12"/>
      <c r="N136" s="118"/>
      <c r="O136" s="118"/>
      <c r="P136" s="118"/>
      <c r="Q136" s="118"/>
    </row>
    <row r="137" spans="2:17" ht="14.25" customHeight="1" x14ac:dyDescent="0.3">
      <c r="B137" s="23"/>
      <c r="D137" s="25"/>
      <c r="E137" s="25"/>
      <c r="M137" s="12"/>
      <c r="N137" s="118"/>
      <c r="O137" s="118"/>
      <c r="P137" s="118"/>
      <c r="Q137" s="118"/>
    </row>
    <row r="138" spans="2:17" ht="14.25" customHeight="1" x14ac:dyDescent="0.3">
      <c r="B138" s="23"/>
      <c r="D138" s="25"/>
      <c r="E138" s="25"/>
      <c r="M138" s="12"/>
      <c r="N138" s="118"/>
      <c r="O138" s="118"/>
      <c r="P138" s="118"/>
      <c r="Q138" s="118"/>
    </row>
    <row r="139" spans="2:17" ht="14.25" customHeight="1" x14ac:dyDescent="0.3">
      <c r="B139" s="23"/>
      <c r="D139" s="25"/>
      <c r="E139" s="25"/>
      <c r="M139" s="12"/>
      <c r="N139" s="118"/>
      <c r="O139" s="118"/>
      <c r="P139" s="118"/>
      <c r="Q139" s="118"/>
    </row>
    <row r="140" spans="2:17" ht="14.25" customHeight="1" x14ac:dyDescent="0.3">
      <c r="B140" s="23"/>
      <c r="D140" s="25"/>
      <c r="E140" s="25"/>
      <c r="M140" s="12"/>
      <c r="N140" s="118"/>
      <c r="O140" s="118"/>
      <c r="P140" s="118"/>
      <c r="Q140" s="118"/>
    </row>
    <row r="141" spans="2:17" ht="14.25" customHeight="1" x14ac:dyDescent="0.3">
      <c r="B141" s="23"/>
      <c r="D141" s="25"/>
      <c r="E141" s="25"/>
      <c r="M141" s="12"/>
      <c r="N141" s="118"/>
      <c r="O141" s="118"/>
      <c r="P141" s="118"/>
      <c r="Q141" s="118"/>
    </row>
    <row r="142" spans="2:17" ht="14.25" customHeight="1" x14ac:dyDescent="0.3">
      <c r="B142" s="23"/>
      <c r="D142" s="25"/>
      <c r="E142" s="25"/>
      <c r="M142" s="12"/>
      <c r="N142" s="118"/>
      <c r="O142" s="118"/>
      <c r="P142" s="118"/>
      <c r="Q142" s="118"/>
    </row>
    <row r="143" spans="2:17" ht="14.25" customHeight="1" x14ac:dyDescent="0.3">
      <c r="B143" s="23"/>
      <c r="D143" s="25"/>
      <c r="E143" s="25"/>
      <c r="M143" s="12"/>
      <c r="N143" s="118"/>
      <c r="O143" s="118"/>
      <c r="P143" s="118"/>
      <c r="Q143" s="118"/>
    </row>
    <row r="144" spans="2:17" ht="14.25" customHeight="1" x14ac:dyDescent="0.3">
      <c r="B144" s="23"/>
      <c r="D144" s="25"/>
      <c r="E144" s="25"/>
      <c r="M144" s="12"/>
      <c r="N144" s="118"/>
      <c r="O144" s="118"/>
      <c r="P144" s="118"/>
      <c r="Q144" s="118"/>
    </row>
    <row r="145" spans="2:17" ht="14.25" customHeight="1" x14ac:dyDescent="0.3">
      <c r="B145" s="23"/>
      <c r="D145" s="25"/>
      <c r="E145" s="25"/>
      <c r="M145" s="12"/>
      <c r="N145" s="118"/>
      <c r="O145" s="118"/>
      <c r="P145" s="118"/>
      <c r="Q145" s="118"/>
    </row>
    <row r="146" spans="2:17" ht="14.25" customHeight="1" x14ac:dyDescent="0.3">
      <c r="B146" s="23"/>
      <c r="D146" s="25"/>
      <c r="E146" s="25"/>
      <c r="M146" s="12"/>
      <c r="N146" s="118"/>
      <c r="O146" s="118"/>
      <c r="P146" s="118"/>
      <c r="Q146" s="118"/>
    </row>
    <row r="147" spans="2:17" ht="14.25" customHeight="1" x14ac:dyDescent="0.3">
      <c r="B147" s="23"/>
      <c r="D147" s="25"/>
      <c r="E147" s="25"/>
      <c r="M147" s="12"/>
      <c r="N147" s="118"/>
      <c r="O147" s="118"/>
      <c r="P147" s="118"/>
      <c r="Q147" s="118"/>
    </row>
    <row r="148" spans="2:17" ht="14.25" customHeight="1" x14ac:dyDescent="0.3">
      <c r="B148" s="23"/>
      <c r="D148" s="25"/>
      <c r="E148" s="25"/>
      <c r="M148" s="12"/>
      <c r="N148" s="118"/>
      <c r="O148" s="118"/>
      <c r="P148" s="118"/>
      <c r="Q148" s="118"/>
    </row>
    <row r="149" spans="2:17" ht="14.25" customHeight="1" x14ac:dyDescent="0.3">
      <c r="B149" s="23"/>
      <c r="D149" s="25"/>
      <c r="E149" s="25"/>
      <c r="M149" s="12"/>
      <c r="N149" s="118"/>
      <c r="O149" s="118"/>
      <c r="P149" s="118"/>
      <c r="Q149" s="118"/>
    </row>
    <row r="150" spans="2:17" ht="14.25" customHeight="1" x14ac:dyDescent="0.3">
      <c r="B150" s="23"/>
      <c r="D150" s="25"/>
      <c r="E150" s="25"/>
      <c r="M150" s="12"/>
      <c r="N150" s="118"/>
      <c r="O150" s="118"/>
      <c r="P150" s="118"/>
      <c r="Q150" s="118"/>
    </row>
    <row r="151" spans="2:17" ht="14.25" customHeight="1" x14ac:dyDescent="0.3">
      <c r="B151" s="23"/>
      <c r="D151" s="25"/>
      <c r="E151" s="25"/>
      <c r="M151" s="12"/>
      <c r="N151" s="118"/>
      <c r="O151" s="118"/>
      <c r="P151" s="118"/>
      <c r="Q151" s="118"/>
    </row>
    <row r="152" spans="2:17" ht="14.25" customHeight="1" x14ac:dyDescent="0.3">
      <c r="B152" s="23"/>
      <c r="D152" s="25"/>
      <c r="E152" s="25"/>
      <c r="M152" s="12"/>
      <c r="N152" s="118"/>
      <c r="O152" s="118"/>
      <c r="P152" s="118"/>
      <c r="Q152" s="118"/>
    </row>
    <row r="153" spans="2:17" ht="14.25" customHeight="1" x14ac:dyDescent="0.3">
      <c r="B153" s="23"/>
      <c r="D153" s="25"/>
      <c r="E153" s="25"/>
      <c r="M153" s="12"/>
      <c r="N153" s="118"/>
      <c r="O153" s="118"/>
      <c r="P153" s="118"/>
      <c r="Q153" s="118"/>
    </row>
    <row r="154" spans="2:17" ht="14.25" customHeight="1" x14ac:dyDescent="0.3">
      <c r="B154" s="23"/>
      <c r="D154" s="25"/>
      <c r="E154" s="25"/>
      <c r="M154" s="12"/>
      <c r="N154" s="118"/>
      <c r="O154" s="118"/>
      <c r="P154" s="118"/>
      <c r="Q154" s="118"/>
    </row>
    <row r="155" spans="2:17" ht="14.25" customHeight="1" x14ac:dyDescent="0.3">
      <c r="B155" s="23"/>
      <c r="D155" s="25"/>
      <c r="E155" s="25"/>
      <c r="M155" s="12"/>
      <c r="N155" s="118"/>
      <c r="O155" s="118"/>
      <c r="P155" s="118"/>
      <c r="Q155" s="118"/>
    </row>
    <row r="156" spans="2:17" ht="14.25" customHeight="1" x14ac:dyDescent="0.3">
      <c r="B156" s="23"/>
      <c r="D156" s="25"/>
      <c r="E156" s="25"/>
      <c r="M156" s="12"/>
      <c r="N156" s="118"/>
      <c r="O156" s="118"/>
      <c r="P156" s="118"/>
      <c r="Q156" s="118"/>
    </row>
    <row r="157" spans="2:17" ht="14.25" customHeight="1" x14ac:dyDescent="0.3">
      <c r="B157" s="23"/>
      <c r="D157" s="25"/>
      <c r="E157" s="25"/>
      <c r="M157" s="12"/>
      <c r="N157" s="118"/>
      <c r="O157" s="118"/>
      <c r="P157" s="118"/>
      <c r="Q157" s="118"/>
    </row>
    <row r="158" spans="2:17" ht="14.25" customHeight="1" x14ac:dyDescent="0.3">
      <c r="B158" s="23"/>
      <c r="D158" s="25"/>
      <c r="E158" s="25"/>
      <c r="M158" s="12"/>
      <c r="N158" s="118"/>
      <c r="O158" s="118"/>
      <c r="P158" s="118"/>
      <c r="Q158" s="118"/>
    </row>
    <row r="159" spans="2:17" ht="14.25" customHeight="1" x14ac:dyDescent="0.3">
      <c r="B159" s="23"/>
      <c r="D159" s="25"/>
      <c r="E159" s="25"/>
      <c r="M159" s="12"/>
      <c r="N159" s="118"/>
      <c r="O159" s="118"/>
      <c r="P159" s="118"/>
      <c r="Q159" s="118"/>
    </row>
    <row r="160" spans="2:17" ht="14.25" customHeight="1" x14ac:dyDescent="0.3">
      <c r="B160" s="23"/>
      <c r="D160" s="25"/>
      <c r="E160" s="25"/>
      <c r="M160" s="12"/>
      <c r="N160" s="118"/>
      <c r="O160" s="118"/>
      <c r="P160" s="118"/>
      <c r="Q160" s="118"/>
    </row>
    <row r="161" spans="2:17" ht="14.25" customHeight="1" x14ac:dyDescent="0.3">
      <c r="B161" s="23"/>
      <c r="D161" s="25"/>
      <c r="E161" s="25"/>
      <c r="M161" s="12"/>
      <c r="N161" s="118"/>
      <c r="O161" s="118"/>
      <c r="P161" s="118"/>
      <c r="Q161" s="118"/>
    </row>
    <row r="162" spans="2:17" ht="14.25" customHeight="1" x14ac:dyDescent="0.3">
      <c r="B162" s="23"/>
      <c r="D162" s="25"/>
      <c r="E162" s="25"/>
      <c r="M162" s="12"/>
      <c r="N162" s="118"/>
      <c r="O162" s="118"/>
      <c r="P162" s="118"/>
      <c r="Q162" s="118"/>
    </row>
    <row r="163" spans="2:17" ht="14.25" customHeight="1" x14ac:dyDescent="0.3">
      <c r="B163" s="23"/>
      <c r="D163" s="25"/>
      <c r="E163" s="25"/>
      <c r="M163" s="12"/>
      <c r="N163" s="118"/>
      <c r="O163" s="118"/>
      <c r="P163" s="118"/>
      <c r="Q163" s="118"/>
    </row>
    <row r="164" spans="2:17" ht="14.25" customHeight="1" x14ac:dyDescent="0.3">
      <c r="B164" s="23"/>
      <c r="D164" s="25"/>
      <c r="E164" s="25"/>
      <c r="M164" s="12"/>
      <c r="N164" s="118"/>
      <c r="O164" s="118"/>
      <c r="P164" s="118"/>
      <c r="Q164" s="118"/>
    </row>
    <row r="165" spans="2:17" ht="14.25" customHeight="1" x14ac:dyDescent="0.3">
      <c r="B165" s="23"/>
      <c r="D165" s="25"/>
      <c r="E165" s="25"/>
      <c r="M165" s="12"/>
      <c r="N165" s="118"/>
      <c r="O165" s="118"/>
      <c r="P165" s="118"/>
      <c r="Q165" s="118"/>
    </row>
    <row r="166" spans="2:17" ht="14.25" customHeight="1" x14ac:dyDescent="0.3">
      <c r="B166" s="23"/>
      <c r="D166" s="25"/>
      <c r="E166" s="25"/>
      <c r="M166" s="12"/>
      <c r="N166" s="118"/>
      <c r="O166" s="118"/>
      <c r="P166" s="118"/>
      <c r="Q166" s="118"/>
    </row>
    <row r="167" spans="2:17" ht="14.25" customHeight="1" x14ac:dyDescent="0.3">
      <c r="B167" s="23"/>
      <c r="D167" s="25"/>
      <c r="E167" s="25"/>
      <c r="M167" s="12"/>
      <c r="N167" s="118"/>
      <c r="O167" s="118"/>
      <c r="P167" s="118"/>
      <c r="Q167" s="118"/>
    </row>
    <row r="168" spans="2:17" ht="14.25" customHeight="1" x14ac:dyDescent="0.3">
      <c r="B168" s="23"/>
      <c r="D168" s="25"/>
      <c r="E168" s="25"/>
      <c r="M168" s="12"/>
      <c r="N168" s="118"/>
      <c r="O168" s="118"/>
      <c r="P168" s="118"/>
      <c r="Q168" s="118"/>
    </row>
    <row r="169" spans="2:17" ht="14.25" customHeight="1" x14ac:dyDescent="0.3">
      <c r="B169" s="23"/>
      <c r="D169" s="25"/>
      <c r="E169" s="25"/>
      <c r="M169" s="12"/>
      <c r="N169" s="118"/>
      <c r="O169" s="118"/>
      <c r="P169" s="118"/>
      <c r="Q169" s="118"/>
    </row>
    <row r="170" spans="2:17" ht="14.25" customHeight="1" x14ac:dyDescent="0.3">
      <c r="B170" s="23"/>
      <c r="D170" s="25"/>
      <c r="E170" s="25"/>
      <c r="M170" s="12"/>
      <c r="N170" s="118"/>
      <c r="O170" s="118"/>
      <c r="P170" s="118"/>
      <c r="Q170" s="118"/>
    </row>
    <row r="171" spans="2:17" ht="14.25" customHeight="1" x14ac:dyDescent="0.3">
      <c r="B171" s="23"/>
      <c r="D171" s="25"/>
      <c r="E171" s="25"/>
      <c r="M171" s="12"/>
      <c r="N171" s="118"/>
      <c r="O171" s="118"/>
      <c r="P171" s="118"/>
      <c r="Q171" s="118"/>
    </row>
    <row r="172" spans="2:17" ht="14.25" customHeight="1" x14ac:dyDescent="0.3">
      <c r="B172" s="23"/>
      <c r="D172" s="25"/>
      <c r="E172" s="25"/>
      <c r="M172" s="12"/>
      <c r="N172" s="118"/>
      <c r="O172" s="118"/>
      <c r="P172" s="118"/>
      <c r="Q172" s="118"/>
    </row>
    <row r="173" spans="2:17" ht="14.25" customHeight="1" x14ac:dyDescent="0.3">
      <c r="B173" s="23"/>
      <c r="D173" s="25"/>
      <c r="E173" s="25"/>
      <c r="M173" s="12"/>
      <c r="N173" s="118"/>
      <c r="O173" s="118"/>
      <c r="P173" s="118"/>
      <c r="Q173" s="118"/>
    </row>
    <row r="174" spans="2:17" ht="14.25" customHeight="1" x14ac:dyDescent="0.3">
      <c r="B174" s="23"/>
      <c r="D174" s="25"/>
      <c r="E174" s="25"/>
      <c r="M174" s="12"/>
      <c r="N174" s="118"/>
      <c r="O174" s="118"/>
      <c r="P174" s="118"/>
      <c r="Q174" s="118"/>
    </row>
    <row r="175" spans="2:17" ht="14.25" customHeight="1" x14ac:dyDescent="0.3">
      <c r="B175" s="23"/>
      <c r="D175" s="25"/>
      <c r="E175" s="25"/>
      <c r="M175" s="12"/>
      <c r="N175" s="118"/>
      <c r="O175" s="118"/>
      <c r="P175" s="118"/>
      <c r="Q175" s="118"/>
    </row>
    <row r="176" spans="2:17" ht="14.25" customHeight="1" x14ac:dyDescent="0.3">
      <c r="B176" s="23"/>
      <c r="D176" s="25"/>
      <c r="E176" s="25"/>
      <c r="M176" s="12"/>
      <c r="N176" s="118"/>
      <c r="O176" s="118"/>
      <c r="P176" s="118"/>
      <c r="Q176" s="118"/>
    </row>
    <row r="177" spans="2:17" ht="14.25" customHeight="1" x14ac:dyDescent="0.3">
      <c r="B177" s="23"/>
      <c r="D177" s="25"/>
      <c r="E177" s="25"/>
      <c r="M177" s="12"/>
      <c r="N177" s="118"/>
      <c r="O177" s="118"/>
      <c r="P177" s="118"/>
      <c r="Q177" s="118"/>
    </row>
    <row r="178" spans="2:17" ht="14.25" customHeight="1" x14ac:dyDescent="0.3">
      <c r="B178" s="23"/>
      <c r="D178" s="25"/>
      <c r="E178" s="25"/>
      <c r="M178" s="12"/>
      <c r="N178" s="118"/>
      <c r="O178" s="118"/>
      <c r="P178" s="118"/>
      <c r="Q178" s="118"/>
    </row>
    <row r="179" spans="2:17" ht="14.25" customHeight="1" x14ac:dyDescent="0.3">
      <c r="B179" s="23"/>
      <c r="D179" s="25"/>
      <c r="E179" s="25"/>
      <c r="M179" s="12"/>
      <c r="N179" s="118"/>
      <c r="O179" s="118"/>
      <c r="P179" s="118"/>
      <c r="Q179" s="118"/>
    </row>
    <row r="180" spans="2:17" ht="14.25" customHeight="1" x14ac:dyDescent="0.3">
      <c r="B180" s="23"/>
      <c r="D180" s="25"/>
      <c r="E180" s="25"/>
      <c r="M180" s="12"/>
      <c r="N180" s="118"/>
      <c r="O180" s="118"/>
      <c r="P180" s="118"/>
      <c r="Q180" s="118"/>
    </row>
    <row r="181" spans="2:17" ht="14.25" customHeight="1" x14ac:dyDescent="0.3">
      <c r="B181" s="23"/>
      <c r="D181" s="25"/>
      <c r="E181" s="25"/>
      <c r="M181" s="12"/>
      <c r="N181" s="118"/>
      <c r="O181" s="118"/>
      <c r="P181" s="118"/>
      <c r="Q181" s="118"/>
    </row>
    <row r="182" spans="2:17" ht="14.25" customHeight="1" x14ac:dyDescent="0.3">
      <c r="B182" s="23"/>
      <c r="D182" s="25"/>
      <c r="E182" s="25"/>
      <c r="M182" s="12"/>
      <c r="N182" s="118"/>
      <c r="O182" s="118"/>
      <c r="P182" s="118"/>
      <c r="Q182" s="118"/>
    </row>
    <row r="183" spans="2:17" ht="14.25" customHeight="1" x14ac:dyDescent="0.3">
      <c r="B183" s="23"/>
      <c r="D183" s="25"/>
      <c r="E183" s="25"/>
      <c r="M183" s="12"/>
      <c r="N183" s="118"/>
      <c r="O183" s="118"/>
      <c r="P183" s="118"/>
      <c r="Q183" s="118"/>
    </row>
    <row r="184" spans="2:17" ht="14.25" customHeight="1" x14ac:dyDescent="0.3">
      <c r="B184" s="23"/>
      <c r="D184" s="25"/>
      <c r="E184" s="25"/>
      <c r="M184" s="12"/>
      <c r="N184" s="118"/>
      <c r="O184" s="118"/>
      <c r="P184" s="118"/>
      <c r="Q184" s="118"/>
    </row>
    <row r="185" spans="2:17" ht="14.25" customHeight="1" x14ac:dyDescent="0.3">
      <c r="B185" s="23"/>
      <c r="D185" s="25"/>
      <c r="E185" s="25"/>
      <c r="M185" s="12"/>
      <c r="N185" s="118"/>
      <c r="O185" s="118"/>
      <c r="P185" s="118"/>
      <c r="Q185" s="118"/>
    </row>
    <row r="186" spans="2:17" ht="14.25" customHeight="1" x14ac:dyDescent="0.3">
      <c r="B186" s="23"/>
      <c r="D186" s="25"/>
      <c r="E186" s="25"/>
      <c r="M186" s="12"/>
      <c r="N186" s="118"/>
      <c r="O186" s="118"/>
      <c r="P186" s="118"/>
      <c r="Q186" s="118"/>
    </row>
    <row r="187" spans="2:17" ht="14.25" customHeight="1" x14ac:dyDescent="0.3">
      <c r="B187" s="23"/>
      <c r="D187" s="25"/>
      <c r="E187" s="25"/>
      <c r="M187" s="12"/>
      <c r="N187" s="118"/>
      <c r="O187" s="118"/>
      <c r="P187" s="118"/>
      <c r="Q187" s="118"/>
    </row>
    <row r="188" spans="2:17" ht="14.25" customHeight="1" x14ac:dyDescent="0.3">
      <c r="B188" s="23"/>
      <c r="D188" s="25"/>
      <c r="E188" s="25"/>
      <c r="M188" s="12"/>
      <c r="N188" s="118"/>
      <c r="O188" s="118"/>
      <c r="P188" s="118"/>
      <c r="Q188" s="118"/>
    </row>
    <row r="189" spans="2:17" ht="14.25" customHeight="1" x14ac:dyDescent="0.3">
      <c r="B189" s="23"/>
      <c r="D189" s="25"/>
      <c r="E189" s="25"/>
      <c r="M189" s="12"/>
      <c r="N189" s="118"/>
      <c r="O189" s="118"/>
      <c r="P189" s="118"/>
      <c r="Q189" s="118"/>
    </row>
    <row r="190" spans="2:17" ht="14.25" customHeight="1" x14ac:dyDescent="0.3">
      <c r="B190" s="23"/>
      <c r="D190" s="25"/>
      <c r="E190" s="25"/>
      <c r="M190" s="12"/>
      <c r="N190" s="118"/>
      <c r="O190" s="118"/>
      <c r="P190" s="118"/>
      <c r="Q190" s="118"/>
    </row>
    <row r="191" spans="2:17" ht="14.25" customHeight="1" x14ac:dyDescent="0.3">
      <c r="B191" s="23"/>
      <c r="D191" s="25"/>
      <c r="E191" s="25"/>
      <c r="M191" s="12"/>
      <c r="N191" s="118"/>
      <c r="O191" s="118"/>
      <c r="P191" s="118"/>
      <c r="Q191" s="118"/>
    </row>
    <row r="192" spans="2:17" ht="14.25" customHeight="1" x14ac:dyDescent="0.3">
      <c r="B192" s="23"/>
      <c r="D192" s="25"/>
      <c r="E192" s="25"/>
      <c r="M192" s="12"/>
      <c r="N192" s="118"/>
      <c r="O192" s="118"/>
      <c r="P192" s="118"/>
      <c r="Q192" s="118"/>
    </row>
    <row r="193" spans="2:17" ht="14.25" customHeight="1" x14ac:dyDescent="0.3">
      <c r="B193" s="23"/>
      <c r="D193" s="25"/>
      <c r="E193" s="25"/>
      <c r="M193" s="12"/>
      <c r="N193" s="118"/>
      <c r="O193" s="118"/>
      <c r="P193" s="118"/>
      <c r="Q193" s="118"/>
    </row>
    <row r="194" spans="2:17" ht="14.25" customHeight="1" x14ac:dyDescent="0.3">
      <c r="B194" s="23"/>
      <c r="D194" s="25"/>
      <c r="E194" s="25"/>
      <c r="M194" s="12"/>
      <c r="N194" s="118"/>
      <c r="O194" s="118"/>
      <c r="P194" s="118"/>
      <c r="Q194" s="118"/>
    </row>
    <row r="195" spans="2:17" ht="14.25" customHeight="1" x14ac:dyDescent="0.3">
      <c r="B195" s="23"/>
      <c r="D195" s="25"/>
      <c r="E195" s="25"/>
      <c r="M195" s="12"/>
      <c r="N195" s="118"/>
      <c r="O195" s="118"/>
      <c r="P195" s="118"/>
      <c r="Q195" s="118"/>
    </row>
    <row r="196" spans="2:17" ht="14.25" customHeight="1" x14ac:dyDescent="0.3">
      <c r="B196" s="23"/>
      <c r="D196" s="25"/>
      <c r="E196" s="25"/>
      <c r="M196" s="12"/>
      <c r="N196" s="118"/>
      <c r="O196" s="118"/>
      <c r="P196" s="118"/>
      <c r="Q196" s="118"/>
    </row>
    <row r="197" spans="2:17" ht="14.25" customHeight="1" x14ac:dyDescent="0.3">
      <c r="B197" s="23"/>
      <c r="D197" s="25"/>
      <c r="E197" s="25"/>
      <c r="M197" s="12"/>
      <c r="N197" s="118"/>
      <c r="O197" s="118"/>
      <c r="P197" s="118"/>
      <c r="Q197" s="118"/>
    </row>
    <row r="198" spans="2:17" ht="14.25" customHeight="1" x14ac:dyDescent="0.3">
      <c r="B198" s="23"/>
      <c r="D198" s="25"/>
      <c r="E198" s="25"/>
      <c r="M198" s="12"/>
      <c r="N198" s="118"/>
      <c r="O198" s="118"/>
      <c r="P198" s="118"/>
      <c r="Q198" s="118"/>
    </row>
    <row r="199" spans="2:17" ht="14.25" customHeight="1" x14ac:dyDescent="0.3">
      <c r="B199" s="23"/>
      <c r="D199" s="25"/>
      <c r="E199" s="25"/>
      <c r="M199" s="12"/>
      <c r="N199" s="118"/>
      <c r="O199" s="118"/>
      <c r="P199" s="118"/>
      <c r="Q199" s="118"/>
    </row>
    <row r="200" spans="2:17" ht="14.25" customHeight="1" x14ac:dyDescent="0.3">
      <c r="B200" s="23"/>
      <c r="D200" s="25"/>
      <c r="E200" s="25"/>
      <c r="M200" s="12"/>
      <c r="N200" s="118"/>
      <c r="O200" s="118"/>
      <c r="P200" s="118"/>
      <c r="Q200" s="118"/>
    </row>
    <row r="201" spans="2:17" ht="14.25" customHeight="1" x14ac:dyDescent="0.3">
      <c r="B201" s="23"/>
      <c r="D201" s="25"/>
      <c r="E201" s="25"/>
      <c r="M201" s="12"/>
      <c r="N201" s="118"/>
      <c r="O201" s="118"/>
      <c r="P201" s="118"/>
      <c r="Q201" s="118"/>
    </row>
    <row r="202" spans="2:17" ht="14.25" customHeight="1" x14ac:dyDescent="0.3">
      <c r="B202" s="23"/>
      <c r="D202" s="25"/>
      <c r="E202" s="25"/>
      <c r="M202" s="12"/>
      <c r="N202" s="118"/>
      <c r="O202" s="118"/>
      <c r="P202" s="118"/>
      <c r="Q202" s="118"/>
    </row>
    <row r="203" spans="2:17" ht="14.25" customHeight="1" x14ac:dyDescent="0.3">
      <c r="B203" s="23"/>
      <c r="D203" s="25"/>
      <c r="E203" s="25"/>
      <c r="M203" s="12"/>
      <c r="N203" s="118"/>
      <c r="O203" s="118"/>
      <c r="P203" s="118"/>
      <c r="Q203" s="118"/>
    </row>
    <row r="204" spans="2:17" ht="14.25" customHeight="1" x14ac:dyDescent="0.3">
      <c r="B204" s="23"/>
      <c r="D204" s="25"/>
      <c r="E204" s="25"/>
      <c r="M204" s="12"/>
      <c r="N204" s="118"/>
      <c r="O204" s="118"/>
      <c r="P204" s="118"/>
      <c r="Q204" s="118"/>
    </row>
    <row r="205" spans="2:17" ht="14.25" customHeight="1" x14ac:dyDescent="0.3">
      <c r="B205" s="23"/>
      <c r="D205" s="25"/>
      <c r="E205" s="25"/>
      <c r="M205" s="12"/>
      <c r="N205" s="118"/>
      <c r="O205" s="118"/>
      <c r="P205" s="118"/>
      <c r="Q205" s="118"/>
    </row>
    <row r="206" spans="2:17" ht="14.25" customHeight="1" x14ac:dyDescent="0.3">
      <c r="B206" s="23"/>
      <c r="D206" s="25"/>
      <c r="E206" s="25"/>
      <c r="M206" s="12"/>
      <c r="N206" s="118"/>
      <c r="O206" s="118"/>
      <c r="P206" s="118"/>
      <c r="Q206" s="118"/>
    </row>
    <row r="207" spans="2:17" ht="14.25" customHeight="1" x14ac:dyDescent="0.3">
      <c r="B207" s="23"/>
      <c r="D207" s="25"/>
      <c r="E207" s="25"/>
      <c r="M207" s="12"/>
      <c r="N207" s="118"/>
      <c r="O207" s="118"/>
      <c r="P207" s="118"/>
      <c r="Q207" s="118"/>
    </row>
    <row r="208" spans="2:17" ht="14.25" customHeight="1" x14ac:dyDescent="0.3">
      <c r="B208" s="23"/>
      <c r="D208" s="25"/>
      <c r="E208" s="25"/>
      <c r="M208" s="12"/>
      <c r="N208" s="118"/>
      <c r="O208" s="118"/>
      <c r="P208" s="118"/>
      <c r="Q208" s="118"/>
    </row>
    <row r="209" spans="2:17" ht="14.25" customHeight="1" x14ac:dyDescent="0.3">
      <c r="B209" s="23"/>
      <c r="D209" s="25"/>
      <c r="E209" s="25"/>
      <c r="M209" s="12"/>
      <c r="N209" s="118"/>
      <c r="O209" s="118"/>
      <c r="P209" s="118"/>
      <c r="Q209" s="118"/>
    </row>
    <row r="210" spans="2:17" ht="14.25" customHeight="1" x14ac:dyDescent="0.3">
      <c r="B210" s="23"/>
      <c r="D210" s="25"/>
      <c r="E210" s="25"/>
      <c r="M210" s="12"/>
      <c r="N210" s="118"/>
      <c r="O210" s="118"/>
      <c r="P210" s="118"/>
      <c r="Q210" s="118"/>
    </row>
    <row r="211" spans="2:17" ht="14.25" customHeight="1" x14ac:dyDescent="0.3">
      <c r="B211" s="23"/>
      <c r="D211" s="25"/>
      <c r="E211" s="25"/>
      <c r="M211" s="12"/>
      <c r="N211" s="118"/>
      <c r="O211" s="118"/>
      <c r="P211" s="118"/>
      <c r="Q211" s="118"/>
    </row>
    <row r="212" spans="2:17" ht="14.25" customHeight="1" x14ac:dyDescent="0.3">
      <c r="B212" s="23"/>
      <c r="D212" s="25"/>
      <c r="E212" s="25"/>
      <c r="M212" s="12"/>
      <c r="N212" s="118"/>
      <c r="O212" s="118"/>
      <c r="P212" s="118"/>
      <c r="Q212" s="118"/>
    </row>
    <row r="213" spans="2:17" ht="14.25" customHeight="1" x14ac:dyDescent="0.3">
      <c r="B213" s="23"/>
      <c r="D213" s="25"/>
      <c r="E213" s="25"/>
      <c r="M213" s="12"/>
      <c r="N213" s="118"/>
      <c r="O213" s="118"/>
      <c r="P213" s="118"/>
      <c r="Q213" s="118"/>
    </row>
    <row r="214" spans="2:17" ht="14.25" customHeight="1" x14ac:dyDescent="0.3">
      <c r="B214" s="23"/>
      <c r="D214" s="25"/>
      <c r="E214" s="25"/>
      <c r="M214" s="12"/>
      <c r="N214" s="118"/>
      <c r="O214" s="118"/>
      <c r="P214" s="118"/>
      <c r="Q214" s="118"/>
    </row>
    <row r="215" spans="2:17" ht="14.25" customHeight="1" x14ac:dyDescent="0.3">
      <c r="B215" s="23"/>
      <c r="D215" s="25"/>
      <c r="E215" s="25"/>
      <c r="M215" s="12"/>
      <c r="N215" s="118"/>
      <c r="O215" s="118"/>
      <c r="P215" s="118"/>
      <c r="Q215" s="118"/>
    </row>
    <row r="216" spans="2:17" ht="14.25" customHeight="1" x14ac:dyDescent="0.3">
      <c r="B216" s="23"/>
      <c r="D216" s="25"/>
      <c r="E216" s="25"/>
      <c r="M216" s="12"/>
      <c r="N216" s="118"/>
      <c r="O216" s="118"/>
      <c r="P216" s="118"/>
      <c r="Q216" s="118"/>
    </row>
    <row r="217" spans="2:17" ht="14.25" customHeight="1" x14ac:dyDescent="0.3">
      <c r="B217" s="23"/>
      <c r="D217" s="25"/>
      <c r="E217" s="25"/>
      <c r="M217" s="12"/>
      <c r="N217" s="118"/>
      <c r="O217" s="118"/>
      <c r="P217" s="118"/>
      <c r="Q217" s="118"/>
    </row>
    <row r="218" spans="2:17" ht="14.25" customHeight="1" x14ac:dyDescent="0.3">
      <c r="B218" s="23"/>
      <c r="D218" s="25"/>
      <c r="E218" s="25"/>
      <c r="M218" s="12"/>
      <c r="N218" s="118"/>
      <c r="O218" s="118"/>
      <c r="P218" s="118"/>
      <c r="Q218" s="118"/>
    </row>
    <row r="219" spans="2:17" ht="14.25" customHeight="1" x14ac:dyDescent="0.3">
      <c r="B219" s="23"/>
      <c r="D219" s="25"/>
      <c r="E219" s="25"/>
      <c r="M219" s="12"/>
      <c r="N219" s="118"/>
      <c r="O219" s="118"/>
      <c r="P219" s="118"/>
      <c r="Q219" s="118"/>
    </row>
    <row r="220" spans="2:17" ht="14.25" customHeight="1" x14ac:dyDescent="0.3">
      <c r="B220" s="23"/>
      <c r="D220" s="25"/>
      <c r="E220" s="25"/>
      <c r="M220" s="12"/>
      <c r="N220" s="118"/>
      <c r="O220" s="118"/>
      <c r="P220" s="118"/>
      <c r="Q220" s="118"/>
    </row>
    <row r="221" spans="2:17" ht="14.25" customHeight="1" x14ac:dyDescent="0.3">
      <c r="B221" s="23"/>
      <c r="D221" s="25"/>
      <c r="E221" s="25"/>
      <c r="M221" s="12"/>
      <c r="N221" s="118"/>
      <c r="O221" s="118"/>
      <c r="P221" s="118"/>
      <c r="Q221" s="118"/>
    </row>
    <row r="222" spans="2:17" ht="14.25" customHeight="1" x14ac:dyDescent="0.3">
      <c r="B222" s="23"/>
      <c r="D222" s="25"/>
      <c r="E222" s="25"/>
      <c r="M222" s="12"/>
      <c r="N222" s="118"/>
      <c r="O222" s="118"/>
      <c r="P222" s="118"/>
      <c r="Q222" s="118"/>
    </row>
    <row r="223" spans="2:17" ht="14.25" customHeight="1" x14ac:dyDescent="0.3">
      <c r="B223" s="23"/>
      <c r="D223" s="25"/>
      <c r="E223" s="25"/>
      <c r="M223" s="12"/>
      <c r="N223" s="118"/>
      <c r="O223" s="118"/>
      <c r="P223" s="118"/>
      <c r="Q223" s="118"/>
    </row>
    <row r="224" spans="2:17" ht="14.25" customHeight="1" x14ac:dyDescent="0.3">
      <c r="B224" s="23"/>
      <c r="D224" s="25"/>
      <c r="E224" s="25"/>
      <c r="M224" s="12"/>
      <c r="N224" s="118"/>
      <c r="O224" s="118"/>
      <c r="P224" s="118"/>
      <c r="Q224" s="118"/>
    </row>
    <row r="225" spans="2:17" ht="14.25" customHeight="1" x14ac:dyDescent="0.3">
      <c r="B225" s="23"/>
      <c r="D225" s="25"/>
      <c r="E225" s="25"/>
      <c r="M225" s="12"/>
      <c r="N225" s="118"/>
      <c r="O225" s="118"/>
      <c r="P225" s="118"/>
      <c r="Q225" s="118"/>
    </row>
    <row r="226" spans="2:17" ht="14.25" customHeight="1" x14ac:dyDescent="0.3">
      <c r="B226" s="23"/>
      <c r="D226" s="25"/>
      <c r="E226" s="25"/>
      <c r="M226" s="12"/>
      <c r="N226" s="118"/>
      <c r="O226" s="118"/>
      <c r="P226" s="118"/>
      <c r="Q226" s="118"/>
    </row>
    <row r="227" spans="2:17" ht="14.25" customHeight="1" x14ac:dyDescent="0.3">
      <c r="B227" s="23"/>
      <c r="D227" s="25"/>
      <c r="E227" s="25"/>
      <c r="M227" s="12"/>
      <c r="N227" s="118"/>
      <c r="O227" s="118"/>
      <c r="P227" s="118"/>
      <c r="Q227" s="118"/>
    </row>
    <row r="228" spans="2:17" ht="14.25" customHeight="1" x14ac:dyDescent="0.3">
      <c r="B228" s="23"/>
      <c r="D228" s="25"/>
      <c r="E228" s="25"/>
      <c r="M228" s="12"/>
      <c r="N228" s="118"/>
      <c r="O228" s="118"/>
      <c r="P228" s="118"/>
      <c r="Q228" s="118"/>
    </row>
    <row r="229" spans="2:17" ht="14.25" customHeight="1" x14ac:dyDescent="0.3">
      <c r="B229" s="23"/>
      <c r="D229" s="25"/>
      <c r="E229" s="25"/>
      <c r="M229" s="12"/>
      <c r="N229" s="118"/>
      <c r="O229" s="118"/>
      <c r="P229" s="118"/>
      <c r="Q229" s="118"/>
    </row>
    <row r="230" spans="2:17" ht="14.25" customHeight="1" x14ac:dyDescent="0.3">
      <c r="B230" s="23"/>
      <c r="D230" s="25"/>
      <c r="E230" s="25"/>
      <c r="M230" s="12"/>
      <c r="N230" s="118"/>
      <c r="O230" s="118"/>
      <c r="P230" s="118"/>
      <c r="Q230" s="118"/>
    </row>
    <row r="231" spans="2:17" ht="14.25" customHeight="1" x14ac:dyDescent="0.3">
      <c r="B231" s="23"/>
      <c r="D231" s="25"/>
      <c r="E231" s="25"/>
      <c r="M231" s="12"/>
      <c r="N231" s="118"/>
      <c r="O231" s="118"/>
      <c r="P231" s="118"/>
      <c r="Q231" s="118"/>
    </row>
    <row r="232" spans="2:17" ht="14.25" customHeight="1" x14ac:dyDescent="0.3">
      <c r="B232" s="23"/>
      <c r="D232" s="25"/>
      <c r="E232" s="25"/>
      <c r="M232" s="12"/>
      <c r="N232" s="118"/>
      <c r="O232" s="118"/>
      <c r="P232" s="118"/>
      <c r="Q232" s="118"/>
    </row>
    <row r="233" spans="2:17" ht="14.25" customHeight="1" x14ac:dyDescent="0.3">
      <c r="B233" s="23"/>
      <c r="D233" s="25"/>
      <c r="E233" s="25"/>
      <c r="M233" s="12"/>
      <c r="N233" s="118"/>
      <c r="O233" s="118"/>
      <c r="P233" s="118"/>
      <c r="Q233" s="118"/>
    </row>
    <row r="234" spans="2:17" ht="14.25" customHeight="1" x14ac:dyDescent="0.3">
      <c r="B234" s="23"/>
      <c r="D234" s="25"/>
      <c r="E234" s="25"/>
      <c r="M234" s="12"/>
      <c r="N234" s="118"/>
      <c r="O234" s="118"/>
      <c r="P234" s="118"/>
      <c r="Q234" s="118"/>
    </row>
    <row r="235" spans="2:17" ht="14.25" customHeight="1" x14ac:dyDescent="0.3">
      <c r="B235" s="23"/>
      <c r="D235" s="25"/>
      <c r="E235" s="25"/>
      <c r="M235" s="12"/>
      <c r="N235" s="118"/>
      <c r="O235" s="118"/>
      <c r="P235" s="118"/>
      <c r="Q235" s="118"/>
    </row>
    <row r="236" spans="2:17" ht="14.25" customHeight="1" x14ac:dyDescent="0.3">
      <c r="B236" s="23"/>
      <c r="D236" s="25"/>
      <c r="E236" s="25"/>
      <c r="M236" s="12"/>
      <c r="N236" s="118"/>
      <c r="O236" s="118"/>
      <c r="P236" s="118"/>
      <c r="Q236" s="118"/>
    </row>
    <row r="237" spans="2:17" ht="14.25" customHeight="1" x14ac:dyDescent="0.3">
      <c r="B237" s="23"/>
      <c r="D237" s="25"/>
      <c r="E237" s="25"/>
      <c r="M237" s="12"/>
      <c r="N237" s="118"/>
      <c r="O237" s="118"/>
      <c r="P237" s="118"/>
      <c r="Q237" s="118"/>
    </row>
    <row r="238" spans="2:17" ht="14.25" customHeight="1" x14ac:dyDescent="0.3">
      <c r="B238" s="23"/>
      <c r="D238" s="25"/>
      <c r="E238" s="25"/>
      <c r="M238" s="12"/>
      <c r="N238" s="118"/>
      <c r="O238" s="118"/>
      <c r="P238" s="118"/>
      <c r="Q238" s="118"/>
    </row>
    <row r="239" spans="2:17" ht="14.25" customHeight="1" x14ac:dyDescent="0.3">
      <c r="B239" s="23"/>
      <c r="D239" s="25"/>
      <c r="E239" s="25"/>
      <c r="M239" s="12"/>
      <c r="N239" s="118"/>
      <c r="O239" s="118"/>
      <c r="P239" s="118"/>
      <c r="Q239" s="118"/>
    </row>
    <row r="240" spans="2:17" ht="14.25" customHeight="1" x14ac:dyDescent="0.3">
      <c r="B240" s="23"/>
      <c r="D240" s="25"/>
      <c r="E240" s="25"/>
      <c r="M240" s="12"/>
      <c r="N240" s="118"/>
      <c r="O240" s="118"/>
      <c r="P240" s="118"/>
      <c r="Q240" s="118"/>
    </row>
    <row r="241" spans="2:17" ht="14.25" customHeight="1" x14ac:dyDescent="0.3">
      <c r="B241" s="23"/>
      <c r="D241" s="25"/>
      <c r="E241" s="25"/>
      <c r="M241" s="12"/>
      <c r="N241" s="118"/>
      <c r="O241" s="118"/>
      <c r="P241" s="118"/>
      <c r="Q241" s="118"/>
    </row>
    <row r="242" spans="2:17" ht="14.25" customHeight="1" x14ac:dyDescent="0.3">
      <c r="B242" s="23"/>
      <c r="D242" s="25"/>
      <c r="E242" s="25"/>
      <c r="M242" s="12"/>
      <c r="N242" s="118"/>
      <c r="O242" s="118"/>
      <c r="P242" s="118"/>
      <c r="Q242" s="118"/>
    </row>
    <row r="243" spans="2:17" ht="14.25" customHeight="1" x14ac:dyDescent="0.3">
      <c r="B243" s="23"/>
      <c r="D243" s="25"/>
      <c r="E243" s="25"/>
      <c r="M243" s="12"/>
      <c r="N243" s="118"/>
      <c r="O243" s="118"/>
      <c r="P243" s="118"/>
      <c r="Q243" s="118"/>
    </row>
    <row r="244" spans="2:17" ht="14.25" customHeight="1" x14ac:dyDescent="0.3">
      <c r="B244" s="23"/>
      <c r="D244" s="25"/>
      <c r="E244" s="25"/>
      <c r="M244" s="12"/>
      <c r="N244" s="118"/>
      <c r="O244" s="118"/>
      <c r="P244" s="118"/>
      <c r="Q244" s="118"/>
    </row>
    <row r="245" spans="2:17" ht="14.25" customHeight="1" x14ac:dyDescent="0.3">
      <c r="B245" s="23"/>
      <c r="D245" s="25"/>
      <c r="E245" s="25"/>
      <c r="M245" s="12"/>
      <c r="N245" s="118"/>
      <c r="O245" s="118"/>
      <c r="P245" s="118"/>
      <c r="Q245" s="118"/>
    </row>
    <row r="246" spans="2:17" ht="14.25" customHeight="1" x14ac:dyDescent="0.3">
      <c r="B246" s="23"/>
      <c r="D246" s="25"/>
      <c r="E246" s="25"/>
      <c r="M246" s="12"/>
      <c r="N246" s="118"/>
      <c r="O246" s="118"/>
      <c r="P246" s="118"/>
      <c r="Q246" s="118"/>
    </row>
    <row r="247" spans="2:17" ht="14.25" customHeight="1" x14ac:dyDescent="0.3">
      <c r="B247" s="23"/>
      <c r="D247" s="25"/>
      <c r="E247" s="25"/>
      <c r="M247" s="12"/>
      <c r="N247" s="118"/>
      <c r="O247" s="118"/>
      <c r="P247" s="118"/>
      <c r="Q247" s="118"/>
    </row>
    <row r="248" spans="2:17" ht="14.25" customHeight="1" x14ac:dyDescent="0.3">
      <c r="B248" s="23"/>
      <c r="D248" s="25"/>
      <c r="E248" s="25"/>
      <c r="M248" s="12"/>
      <c r="N248" s="118"/>
      <c r="O248" s="118"/>
      <c r="P248" s="118"/>
      <c r="Q248" s="118"/>
    </row>
    <row r="249" spans="2:17" ht="14.25" customHeight="1" x14ac:dyDescent="0.3">
      <c r="B249" s="23"/>
      <c r="D249" s="25"/>
      <c r="E249" s="25"/>
      <c r="M249" s="12"/>
      <c r="N249" s="118"/>
      <c r="O249" s="118"/>
      <c r="P249" s="118"/>
      <c r="Q249" s="118"/>
    </row>
    <row r="250" spans="2:17" ht="14.25" customHeight="1" x14ac:dyDescent="0.3">
      <c r="B250" s="23"/>
      <c r="D250" s="25"/>
      <c r="E250" s="25"/>
      <c r="M250" s="12"/>
      <c r="N250" s="118"/>
      <c r="O250" s="118"/>
      <c r="P250" s="118"/>
      <c r="Q250" s="118"/>
    </row>
    <row r="251" spans="2:17" ht="14.25" customHeight="1" x14ac:dyDescent="0.3">
      <c r="B251" s="23"/>
      <c r="D251" s="25"/>
      <c r="E251" s="25"/>
      <c r="M251" s="12"/>
      <c r="N251" s="118"/>
      <c r="O251" s="118"/>
      <c r="P251" s="118"/>
      <c r="Q251" s="118"/>
    </row>
    <row r="252" spans="2:17" ht="14.25" customHeight="1" x14ac:dyDescent="0.3">
      <c r="B252" s="23"/>
      <c r="D252" s="25"/>
      <c r="E252" s="25"/>
      <c r="M252" s="12"/>
      <c r="N252" s="118"/>
      <c r="O252" s="118"/>
      <c r="P252" s="118"/>
      <c r="Q252" s="118"/>
    </row>
    <row r="253" spans="2:17" ht="14.25" customHeight="1" x14ac:dyDescent="0.3">
      <c r="B253" s="23"/>
      <c r="D253" s="25"/>
      <c r="E253" s="25"/>
      <c r="M253" s="12"/>
      <c r="N253" s="118"/>
      <c r="O253" s="118"/>
      <c r="P253" s="118"/>
      <c r="Q253" s="118"/>
    </row>
    <row r="254" spans="2:17" ht="14.25" customHeight="1" x14ac:dyDescent="0.3">
      <c r="B254" s="23"/>
      <c r="D254" s="25"/>
      <c r="E254" s="25"/>
      <c r="M254" s="12"/>
      <c r="N254" s="118"/>
      <c r="O254" s="118"/>
      <c r="P254" s="118"/>
      <c r="Q254" s="118"/>
    </row>
    <row r="255" spans="2:17" ht="14.25" customHeight="1" x14ac:dyDescent="0.3">
      <c r="B255" s="23"/>
      <c r="D255" s="25"/>
      <c r="E255" s="25"/>
      <c r="M255" s="12"/>
      <c r="N255" s="118"/>
      <c r="O255" s="118"/>
      <c r="P255" s="118"/>
      <c r="Q255" s="118"/>
    </row>
    <row r="256" spans="2:17" ht="14.25" customHeight="1" x14ac:dyDescent="0.3">
      <c r="B256" s="23"/>
      <c r="D256" s="25"/>
      <c r="E256" s="25"/>
      <c r="M256" s="12"/>
      <c r="N256" s="118"/>
      <c r="O256" s="118"/>
      <c r="P256" s="118"/>
      <c r="Q256" s="118"/>
    </row>
    <row r="257" spans="2:17" ht="14.25" customHeight="1" x14ac:dyDescent="0.3">
      <c r="B257" s="23"/>
      <c r="D257" s="25"/>
      <c r="E257" s="25"/>
      <c r="M257" s="12"/>
      <c r="N257" s="118"/>
      <c r="O257" s="118"/>
      <c r="P257" s="118"/>
      <c r="Q257" s="118"/>
    </row>
    <row r="258" spans="2:17" ht="14.25" customHeight="1" x14ac:dyDescent="0.3">
      <c r="B258" s="23"/>
      <c r="D258" s="25"/>
      <c r="E258" s="25"/>
      <c r="M258" s="12"/>
      <c r="N258" s="118"/>
      <c r="O258" s="118"/>
      <c r="P258" s="118"/>
      <c r="Q258" s="118"/>
    </row>
    <row r="259" spans="2:17" ht="14.25" customHeight="1" x14ac:dyDescent="0.3">
      <c r="B259" s="23"/>
      <c r="D259" s="25"/>
      <c r="E259" s="25"/>
      <c r="M259" s="12"/>
      <c r="N259" s="118"/>
      <c r="O259" s="118"/>
      <c r="P259" s="118"/>
      <c r="Q259" s="118"/>
    </row>
    <row r="260" spans="2:17" ht="14.25" customHeight="1" x14ac:dyDescent="0.3">
      <c r="B260" s="23"/>
      <c r="D260" s="25"/>
      <c r="E260" s="25"/>
      <c r="M260" s="12"/>
      <c r="N260" s="118"/>
      <c r="O260" s="118"/>
      <c r="P260" s="118"/>
      <c r="Q260" s="118"/>
    </row>
    <row r="261" spans="2:17" ht="14.25" customHeight="1" x14ac:dyDescent="0.3">
      <c r="B261" s="23"/>
      <c r="D261" s="25"/>
      <c r="E261" s="25"/>
      <c r="M261" s="12"/>
      <c r="N261" s="118"/>
      <c r="O261" s="118"/>
      <c r="P261" s="118"/>
      <c r="Q261" s="118"/>
    </row>
    <row r="262" spans="2:17" ht="14.25" customHeight="1" x14ac:dyDescent="0.3">
      <c r="B262" s="23"/>
      <c r="D262" s="25"/>
      <c r="E262" s="25"/>
      <c r="M262" s="12"/>
      <c r="N262" s="118"/>
      <c r="O262" s="118"/>
      <c r="P262" s="118"/>
      <c r="Q262" s="118"/>
    </row>
    <row r="263" spans="2:17" ht="14.25" customHeight="1" x14ac:dyDescent="0.3">
      <c r="B263" s="23"/>
      <c r="D263" s="25"/>
      <c r="E263" s="25"/>
      <c r="M263" s="12"/>
      <c r="N263" s="118"/>
      <c r="O263" s="118"/>
      <c r="P263" s="118"/>
      <c r="Q263" s="118"/>
    </row>
    <row r="264" spans="2:17" ht="14.25" customHeight="1" x14ac:dyDescent="0.3">
      <c r="B264" s="23"/>
      <c r="D264" s="25"/>
      <c r="E264" s="25"/>
      <c r="M264" s="12"/>
      <c r="N264" s="118"/>
      <c r="O264" s="118"/>
      <c r="P264" s="118"/>
      <c r="Q264" s="118"/>
    </row>
    <row r="265" spans="2:17" ht="14.25" customHeight="1" x14ac:dyDescent="0.3">
      <c r="B265" s="23"/>
      <c r="D265" s="25"/>
      <c r="E265" s="25"/>
      <c r="M265" s="12"/>
      <c r="N265" s="118"/>
      <c r="O265" s="118"/>
      <c r="P265" s="118"/>
      <c r="Q265" s="118"/>
    </row>
    <row r="266" spans="2:17" ht="14.25" customHeight="1" x14ac:dyDescent="0.3">
      <c r="B266" s="23"/>
      <c r="D266" s="25"/>
      <c r="E266" s="25"/>
      <c r="M266" s="12"/>
      <c r="N266" s="118"/>
      <c r="O266" s="118"/>
      <c r="P266" s="118"/>
      <c r="Q266" s="118"/>
    </row>
    <row r="267" spans="2:17" ht="14.25" customHeight="1" x14ac:dyDescent="0.3">
      <c r="B267" s="23"/>
      <c r="D267" s="25"/>
      <c r="E267" s="25"/>
      <c r="M267" s="12"/>
      <c r="N267" s="118"/>
      <c r="O267" s="118"/>
      <c r="P267" s="118"/>
      <c r="Q267" s="118"/>
    </row>
    <row r="268" spans="2:17" ht="14.25" customHeight="1" x14ac:dyDescent="0.3">
      <c r="B268" s="23"/>
      <c r="D268" s="25"/>
      <c r="E268" s="25"/>
      <c r="M268" s="12"/>
      <c r="N268" s="118"/>
      <c r="O268" s="118"/>
      <c r="P268" s="118"/>
      <c r="Q268" s="118"/>
    </row>
    <row r="269" spans="2:17" ht="14.25" customHeight="1" x14ac:dyDescent="0.3">
      <c r="B269" s="23"/>
      <c r="D269" s="25"/>
      <c r="E269" s="25"/>
      <c r="M269" s="12"/>
      <c r="N269" s="118"/>
      <c r="O269" s="118"/>
      <c r="P269" s="118"/>
      <c r="Q269" s="118"/>
    </row>
    <row r="270" spans="2:17" ht="14.25" customHeight="1" x14ac:dyDescent="0.3">
      <c r="B270" s="23"/>
      <c r="D270" s="25"/>
      <c r="E270" s="25"/>
      <c r="M270" s="12"/>
      <c r="N270" s="118"/>
      <c r="O270" s="118"/>
      <c r="P270" s="118"/>
      <c r="Q270" s="118"/>
    </row>
    <row r="271" spans="2:17" ht="14.25" customHeight="1" x14ac:dyDescent="0.3">
      <c r="B271" s="23"/>
      <c r="D271" s="25"/>
      <c r="E271" s="25"/>
      <c r="M271" s="12"/>
      <c r="N271" s="118"/>
      <c r="O271" s="118"/>
      <c r="P271" s="118"/>
      <c r="Q271" s="118"/>
    </row>
    <row r="272" spans="2:17" ht="14.25" customHeight="1" x14ac:dyDescent="0.3">
      <c r="B272" s="23"/>
      <c r="D272" s="25"/>
      <c r="E272" s="25"/>
      <c r="M272" s="12"/>
      <c r="N272" s="118"/>
      <c r="O272" s="118"/>
      <c r="P272" s="118"/>
      <c r="Q272" s="118"/>
    </row>
    <row r="273" spans="2:17" ht="14.25" customHeight="1" x14ac:dyDescent="0.3">
      <c r="B273" s="23"/>
      <c r="D273" s="25"/>
      <c r="E273" s="25"/>
      <c r="M273" s="12"/>
      <c r="N273" s="118"/>
      <c r="O273" s="118"/>
      <c r="P273" s="118"/>
      <c r="Q273" s="118"/>
    </row>
    <row r="274" spans="2:17" ht="14.25" customHeight="1" x14ac:dyDescent="0.3">
      <c r="B274" s="23"/>
      <c r="D274" s="25"/>
      <c r="E274" s="25"/>
      <c r="M274" s="12"/>
      <c r="N274" s="118"/>
      <c r="O274" s="118"/>
      <c r="P274" s="118"/>
      <c r="Q274" s="118"/>
    </row>
    <row r="275" spans="2:17" ht="14.25" customHeight="1" x14ac:dyDescent="0.3">
      <c r="B275" s="23"/>
      <c r="D275" s="25"/>
      <c r="E275" s="25"/>
      <c r="M275" s="12"/>
      <c r="N275" s="118"/>
      <c r="O275" s="118"/>
      <c r="P275" s="118"/>
      <c r="Q275" s="118"/>
    </row>
    <row r="276" spans="2:17" ht="14.25" customHeight="1" x14ac:dyDescent="0.3">
      <c r="B276" s="23"/>
      <c r="D276" s="25"/>
      <c r="E276" s="25"/>
      <c r="M276" s="12"/>
      <c r="N276" s="118"/>
      <c r="O276" s="118"/>
      <c r="P276" s="118"/>
      <c r="Q276" s="118"/>
    </row>
    <row r="277" spans="2:17" ht="14.25" customHeight="1" x14ac:dyDescent="0.3">
      <c r="B277" s="23"/>
      <c r="D277" s="25"/>
      <c r="E277" s="25"/>
      <c r="M277" s="12"/>
      <c r="N277" s="118"/>
      <c r="O277" s="118"/>
      <c r="P277" s="118"/>
      <c r="Q277" s="118"/>
    </row>
    <row r="278" spans="2:17" ht="14.25" customHeight="1" x14ac:dyDescent="0.3">
      <c r="B278" s="23"/>
      <c r="D278" s="25"/>
      <c r="E278" s="25"/>
      <c r="M278" s="12"/>
      <c r="N278" s="118"/>
      <c r="O278" s="118"/>
      <c r="P278" s="118"/>
      <c r="Q278" s="118"/>
    </row>
    <row r="279" spans="2:17" ht="14.25" customHeight="1" x14ac:dyDescent="0.3">
      <c r="B279" s="23"/>
      <c r="D279" s="25"/>
      <c r="E279" s="25"/>
      <c r="M279" s="12"/>
      <c r="N279" s="118"/>
      <c r="O279" s="118"/>
      <c r="P279" s="118"/>
      <c r="Q279" s="118"/>
    </row>
    <row r="280" spans="2:17" ht="14.25" customHeight="1" x14ac:dyDescent="0.3">
      <c r="B280" s="23"/>
      <c r="D280" s="25"/>
      <c r="E280" s="25"/>
      <c r="M280" s="12"/>
      <c r="N280" s="118"/>
      <c r="O280" s="118"/>
      <c r="P280" s="118"/>
      <c r="Q280" s="118"/>
    </row>
    <row r="281" spans="2:17" ht="14.25" customHeight="1" x14ac:dyDescent="0.3">
      <c r="B281" s="23"/>
      <c r="D281" s="25"/>
      <c r="E281" s="25"/>
      <c r="M281" s="12"/>
      <c r="N281" s="118"/>
      <c r="O281" s="118"/>
      <c r="P281" s="118"/>
      <c r="Q281" s="118"/>
    </row>
    <row r="282" spans="2:17" ht="14.25" customHeight="1" x14ac:dyDescent="0.3">
      <c r="B282" s="23"/>
      <c r="D282" s="25"/>
      <c r="E282" s="25"/>
      <c r="M282" s="12"/>
      <c r="N282" s="118"/>
      <c r="O282" s="118"/>
      <c r="P282" s="118"/>
      <c r="Q282" s="118"/>
    </row>
    <row r="283" spans="2:17" ht="14.25" customHeight="1" x14ac:dyDescent="0.3">
      <c r="B283" s="23"/>
      <c r="D283" s="25"/>
      <c r="E283" s="25"/>
      <c r="M283" s="12"/>
      <c r="N283" s="118"/>
      <c r="O283" s="118"/>
      <c r="P283" s="118"/>
      <c r="Q283" s="118"/>
    </row>
    <row r="284" spans="2:17" ht="14.25" customHeight="1" x14ac:dyDescent="0.3">
      <c r="B284" s="23"/>
      <c r="D284" s="25"/>
      <c r="E284" s="25"/>
      <c r="M284" s="12"/>
      <c r="N284" s="118"/>
      <c r="O284" s="118"/>
      <c r="P284" s="118"/>
      <c r="Q284" s="118"/>
    </row>
    <row r="285" spans="2:17" ht="14.25" customHeight="1" x14ac:dyDescent="0.3">
      <c r="B285" s="23"/>
      <c r="D285" s="25"/>
      <c r="E285" s="25"/>
      <c r="M285" s="12"/>
      <c r="N285" s="118"/>
      <c r="O285" s="118"/>
      <c r="P285" s="118"/>
      <c r="Q285" s="118"/>
    </row>
    <row r="286" spans="2:17" ht="14.25" customHeight="1" x14ac:dyDescent="0.3">
      <c r="B286" s="23"/>
      <c r="D286" s="25"/>
      <c r="E286" s="25"/>
      <c r="M286" s="12"/>
      <c r="N286" s="118"/>
      <c r="O286" s="118"/>
      <c r="P286" s="118"/>
      <c r="Q286" s="118"/>
    </row>
    <row r="287" spans="2:17" ht="14.25" customHeight="1" x14ac:dyDescent="0.3">
      <c r="B287" s="23"/>
      <c r="D287" s="25"/>
      <c r="E287" s="25"/>
      <c r="M287" s="12"/>
      <c r="N287" s="118"/>
      <c r="O287" s="118"/>
      <c r="P287" s="118"/>
      <c r="Q287" s="118"/>
    </row>
    <row r="288" spans="2:17" ht="14.25" customHeight="1" x14ac:dyDescent="0.3">
      <c r="B288" s="23"/>
      <c r="D288" s="25"/>
      <c r="E288" s="25"/>
      <c r="M288" s="12"/>
      <c r="N288" s="118"/>
      <c r="O288" s="118"/>
      <c r="P288" s="118"/>
      <c r="Q288" s="118"/>
    </row>
    <row r="289" spans="2:17" ht="14.25" customHeight="1" x14ac:dyDescent="0.3">
      <c r="B289" s="23"/>
      <c r="D289" s="25"/>
      <c r="E289" s="25"/>
      <c r="M289" s="12"/>
      <c r="N289" s="118"/>
      <c r="O289" s="118"/>
      <c r="P289" s="118"/>
      <c r="Q289" s="118"/>
    </row>
    <row r="290" spans="2:17" ht="14.25" customHeight="1" x14ac:dyDescent="0.3">
      <c r="B290" s="23"/>
      <c r="D290" s="25"/>
      <c r="E290" s="25"/>
      <c r="M290" s="12"/>
      <c r="N290" s="118"/>
      <c r="O290" s="118"/>
      <c r="P290" s="118"/>
      <c r="Q290" s="118"/>
    </row>
    <row r="291" spans="2:17" ht="14.25" customHeight="1" x14ac:dyDescent="0.3">
      <c r="B291" s="23"/>
      <c r="D291" s="25"/>
      <c r="E291" s="25"/>
      <c r="M291" s="12"/>
      <c r="N291" s="118"/>
      <c r="O291" s="118"/>
      <c r="P291" s="118"/>
      <c r="Q291" s="118"/>
    </row>
    <row r="292" spans="2:17" ht="14.25" customHeight="1" x14ac:dyDescent="0.3">
      <c r="B292" s="23"/>
      <c r="D292" s="25"/>
      <c r="E292" s="25"/>
      <c r="M292" s="12"/>
      <c r="N292" s="118"/>
      <c r="O292" s="118"/>
      <c r="P292" s="118"/>
      <c r="Q292" s="118"/>
    </row>
    <row r="293" spans="2:17" ht="14.25" customHeight="1" x14ac:dyDescent="0.3">
      <c r="B293" s="23"/>
      <c r="D293" s="25"/>
      <c r="E293" s="25"/>
      <c r="M293" s="12"/>
      <c r="N293" s="118"/>
      <c r="O293" s="118"/>
      <c r="P293" s="118"/>
      <c r="Q293" s="118"/>
    </row>
    <row r="294" spans="2:17" ht="14.25" customHeight="1" x14ac:dyDescent="0.3">
      <c r="B294" s="23"/>
      <c r="D294" s="25"/>
      <c r="E294" s="25"/>
      <c r="M294" s="12"/>
      <c r="N294" s="118"/>
      <c r="O294" s="118"/>
      <c r="P294" s="118"/>
      <c r="Q294" s="118"/>
    </row>
    <row r="295" spans="2:17" ht="14.25" customHeight="1" x14ac:dyDescent="0.3">
      <c r="B295" s="23"/>
      <c r="D295" s="25"/>
      <c r="E295" s="25"/>
      <c r="M295" s="12"/>
      <c r="N295" s="118"/>
      <c r="O295" s="118"/>
      <c r="P295" s="118"/>
      <c r="Q295" s="118"/>
    </row>
    <row r="296" spans="2:17" ht="14.25" customHeight="1" x14ac:dyDescent="0.3">
      <c r="B296" s="23"/>
      <c r="D296" s="25"/>
      <c r="E296" s="25"/>
      <c r="M296" s="12"/>
      <c r="N296" s="118"/>
      <c r="O296" s="118"/>
      <c r="P296" s="118"/>
      <c r="Q296" s="118"/>
    </row>
    <row r="297" spans="2:17" ht="14.25" customHeight="1" x14ac:dyDescent="0.3">
      <c r="B297" s="23"/>
      <c r="D297" s="25"/>
      <c r="E297" s="25"/>
      <c r="M297" s="12"/>
      <c r="N297" s="118"/>
      <c r="O297" s="118"/>
      <c r="P297" s="118"/>
      <c r="Q297" s="118"/>
    </row>
    <row r="298" spans="2:17" ht="14.25" customHeight="1" x14ac:dyDescent="0.3">
      <c r="B298" s="23"/>
      <c r="D298" s="25"/>
      <c r="E298" s="25"/>
      <c r="M298" s="12"/>
      <c r="N298" s="118"/>
      <c r="O298" s="118"/>
      <c r="P298" s="118"/>
      <c r="Q298" s="118"/>
    </row>
    <row r="299" spans="2:17" ht="14.25" customHeight="1" x14ac:dyDescent="0.3">
      <c r="B299" s="23"/>
      <c r="D299" s="25"/>
      <c r="E299" s="25"/>
      <c r="M299" s="12"/>
      <c r="N299" s="118"/>
      <c r="O299" s="118"/>
      <c r="P299" s="118"/>
      <c r="Q299" s="118"/>
    </row>
    <row r="300" spans="2:17" ht="14.25" customHeight="1" x14ac:dyDescent="0.3">
      <c r="B300" s="23"/>
      <c r="D300" s="25"/>
      <c r="E300" s="25"/>
      <c r="M300" s="12"/>
      <c r="N300" s="118"/>
      <c r="O300" s="118"/>
      <c r="P300" s="118"/>
      <c r="Q300" s="118"/>
    </row>
    <row r="301" spans="2:17" ht="14.25" customHeight="1" x14ac:dyDescent="0.3">
      <c r="B301" s="23"/>
      <c r="D301" s="25"/>
      <c r="E301" s="25"/>
      <c r="M301" s="12"/>
      <c r="N301" s="118"/>
      <c r="O301" s="118"/>
      <c r="P301" s="118"/>
      <c r="Q301" s="118"/>
    </row>
    <row r="302" spans="2:17" ht="14.25" customHeight="1" x14ac:dyDescent="0.3">
      <c r="B302" s="23"/>
      <c r="D302" s="25"/>
      <c r="E302" s="25"/>
      <c r="M302" s="12"/>
      <c r="N302" s="118"/>
      <c r="O302" s="118"/>
      <c r="P302" s="118"/>
      <c r="Q302" s="118"/>
    </row>
    <row r="303" spans="2:17" ht="14.25" customHeight="1" x14ac:dyDescent="0.3">
      <c r="B303" s="23"/>
      <c r="D303" s="25"/>
      <c r="E303" s="25"/>
      <c r="M303" s="12"/>
      <c r="N303" s="118"/>
      <c r="O303" s="118"/>
      <c r="P303" s="118"/>
      <c r="Q303" s="118"/>
    </row>
    <row r="304" spans="2:17" ht="14.25" customHeight="1" x14ac:dyDescent="0.3">
      <c r="B304" s="23"/>
      <c r="D304" s="25"/>
      <c r="E304" s="25"/>
      <c r="M304" s="12"/>
      <c r="N304" s="118"/>
      <c r="O304" s="118"/>
      <c r="P304" s="118"/>
      <c r="Q304" s="118"/>
    </row>
    <row r="305" spans="2:17" ht="14.25" customHeight="1" x14ac:dyDescent="0.3">
      <c r="B305" s="23"/>
      <c r="D305" s="25"/>
      <c r="E305" s="25"/>
      <c r="M305" s="12"/>
      <c r="N305" s="118"/>
      <c r="O305" s="118"/>
      <c r="P305" s="118"/>
      <c r="Q305" s="118"/>
    </row>
    <row r="306" spans="2:17" ht="14.25" customHeight="1" x14ac:dyDescent="0.3">
      <c r="B306" s="23"/>
      <c r="D306" s="25"/>
      <c r="E306" s="25"/>
      <c r="M306" s="12"/>
      <c r="N306" s="118"/>
      <c r="O306" s="118"/>
      <c r="P306" s="118"/>
      <c r="Q306" s="118"/>
    </row>
    <row r="307" spans="2:17" ht="14.25" customHeight="1" x14ac:dyDescent="0.3">
      <c r="B307" s="23"/>
      <c r="D307" s="25"/>
      <c r="E307" s="25"/>
      <c r="M307" s="12"/>
      <c r="N307" s="118"/>
      <c r="O307" s="118"/>
      <c r="P307" s="118"/>
      <c r="Q307" s="118"/>
    </row>
    <row r="308" spans="2:17" ht="14.25" customHeight="1" x14ac:dyDescent="0.3">
      <c r="B308" s="23"/>
      <c r="D308" s="25"/>
      <c r="E308" s="25"/>
      <c r="M308" s="12"/>
      <c r="N308" s="118"/>
      <c r="O308" s="118"/>
      <c r="P308" s="118"/>
      <c r="Q308" s="118"/>
    </row>
    <row r="309" spans="2:17" ht="14.25" customHeight="1" x14ac:dyDescent="0.3">
      <c r="B309" s="23"/>
      <c r="D309" s="25"/>
      <c r="E309" s="25"/>
      <c r="M309" s="12"/>
      <c r="N309" s="118"/>
      <c r="O309" s="118"/>
      <c r="P309" s="118"/>
      <c r="Q309" s="118"/>
    </row>
    <row r="310" spans="2:17" ht="14.25" customHeight="1" x14ac:dyDescent="0.3">
      <c r="B310" s="23"/>
      <c r="D310" s="25"/>
      <c r="E310" s="25"/>
      <c r="M310" s="12"/>
      <c r="N310" s="118"/>
      <c r="O310" s="118"/>
      <c r="P310" s="118"/>
      <c r="Q310" s="118"/>
    </row>
    <row r="311" spans="2:17" ht="14.25" customHeight="1" x14ac:dyDescent="0.3">
      <c r="B311" s="23"/>
      <c r="D311" s="25"/>
      <c r="E311" s="25"/>
      <c r="M311" s="12"/>
      <c r="N311" s="118"/>
      <c r="O311" s="118"/>
      <c r="P311" s="118"/>
      <c r="Q311" s="118"/>
    </row>
    <row r="312" spans="2:17" ht="14.25" customHeight="1" x14ac:dyDescent="0.3">
      <c r="B312" s="23"/>
      <c r="D312" s="25"/>
      <c r="E312" s="25"/>
      <c r="M312" s="12"/>
      <c r="N312" s="118"/>
      <c r="O312" s="118"/>
      <c r="P312" s="118"/>
      <c r="Q312" s="118"/>
    </row>
    <row r="313" spans="2:17" ht="14.25" customHeight="1" x14ac:dyDescent="0.3">
      <c r="B313" s="23"/>
      <c r="D313" s="25"/>
      <c r="E313" s="25"/>
      <c r="M313" s="12"/>
      <c r="N313" s="118"/>
      <c r="O313" s="118"/>
      <c r="P313" s="118"/>
      <c r="Q313" s="118"/>
    </row>
    <row r="314" spans="2:17" ht="14.25" customHeight="1" x14ac:dyDescent="0.3">
      <c r="B314" s="23"/>
      <c r="D314" s="25"/>
      <c r="E314" s="25"/>
      <c r="M314" s="12"/>
      <c r="N314" s="118"/>
      <c r="O314" s="118"/>
      <c r="P314" s="118"/>
      <c r="Q314" s="118"/>
    </row>
    <row r="315" spans="2:17" ht="14.25" customHeight="1" x14ac:dyDescent="0.3">
      <c r="B315" s="23"/>
      <c r="D315" s="25"/>
      <c r="E315" s="25"/>
      <c r="M315" s="12"/>
      <c r="N315" s="118"/>
      <c r="O315" s="118"/>
      <c r="P315" s="118"/>
      <c r="Q315" s="118"/>
    </row>
    <row r="316" spans="2:17" ht="14.25" customHeight="1" x14ac:dyDescent="0.3">
      <c r="B316" s="23"/>
      <c r="D316" s="25"/>
      <c r="E316" s="25"/>
      <c r="M316" s="12"/>
      <c r="N316" s="118"/>
      <c r="O316" s="118"/>
      <c r="P316" s="118"/>
      <c r="Q316" s="118"/>
    </row>
    <row r="317" spans="2:17" ht="14.25" customHeight="1" x14ac:dyDescent="0.3">
      <c r="B317" s="23"/>
      <c r="D317" s="25"/>
      <c r="E317" s="25"/>
      <c r="M317" s="12"/>
      <c r="N317" s="118"/>
      <c r="O317" s="118"/>
      <c r="P317" s="118"/>
      <c r="Q317" s="118"/>
    </row>
    <row r="318" spans="2:17" ht="14.25" customHeight="1" x14ac:dyDescent="0.3">
      <c r="B318" s="23"/>
      <c r="D318" s="25"/>
      <c r="E318" s="25"/>
      <c r="M318" s="12"/>
      <c r="N318" s="118"/>
      <c r="O318" s="118"/>
      <c r="P318" s="118"/>
      <c r="Q318" s="118"/>
    </row>
    <row r="319" spans="2:17" ht="14.25" customHeight="1" x14ac:dyDescent="0.3">
      <c r="B319" s="23"/>
      <c r="D319" s="25"/>
      <c r="E319" s="25"/>
      <c r="M319" s="12"/>
      <c r="N319" s="118"/>
      <c r="O319" s="118"/>
      <c r="P319" s="118"/>
      <c r="Q319" s="118"/>
    </row>
    <row r="320" spans="2:17" ht="14.25" customHeight="1" x14ac:dyDescent="0.3">
      <c r="B320" s="23"/>
      <c r="D320" s="25"/>
      <c r="E320" s="25"/>
      <c r="M320" s="12"/>
      <c r="N320" s="118"/>
      <c r="O320" s="118"/>
      <c r="P320" s="118"/>
      <c r="Q320" s="118"/>
    </row>
    <row r="321" spans="2:17" ht="14.25" customHeight="1" x14ac:dyDescent="0.3">
      <c r="B321" s="23"/>
      <c r="D321" s="25"/>
      <c r="E321" s="25"/>
      <c r="M321" s="12"/>
      <c r="N321" s="118"/>
      <c r="O321" s="118"/>
      <c r="P321" s="118"/>
      <c r="Q321" s="118"/>
    </row>
    <row r="322" spans="2:17" ht="14.25" customHeight="1" x14ac:dyDescent="0.3">
      <c r="B322" s="23"/>
      <c r="D322" s="25"/>
      <c r="E322" s="25"/>
      <c r="M322" s="12"/>
      <c r="N322" s="118"/>
      <c r="O322" s="118"/>
      <c r="P322" s="118"/>
      <c r="Q322" s="118"/>
    </row>
    <row r="323" spans="2:17" ht="14.25" customHeight="1" x14ac:dyDescent="0.3">
      <c r="B323" s="23"/>
      <c r="D323" s="25"/>
      <c r="E323" s="25"/>
      <c r="M323" s="12"/>
      <c r="N323" s="118"/>
      <c r="O323" s="118"/>
      <c r="P323" s="118"/>
      <c r="Q323" s="118"/>
    </row>
    <row r="324" spans="2:17" ht="14.25" customHeight="1" x14ac:dyDescent="0.3">
      <c r="B324" s="23"/>
      <c r="D324" s="25"/>
      <c r="E324" s="25"/>
      <c r="M324" s="12"/>
      <c r="N324" s="118"/>
      <c r="O324" s="118"/>
      <c r="P324" s="118"/>
      <c r="Q324" s="118"/>
    </row>
    <row r="325" spans="2:17" ht="14.25" customHeight="1" x14ac:dyDescent="0.3">
      <c r="B325" s="23"/>
      <c r="D325" s="25"/>
      <c r="E325" s="25"/>
      <c r="M325" s="12"/>
      <c r="N325" s="118"/>
      <c r="O325" s="118"/>
      <c r="P325" s="118"/>
      <c r="Q325" s="118"/>
    </row>
    <row r="326" spans="2:17" ht="14.25" customHeight="1" x14ac:dyDescent="0.3">
      <c r="B326" s="23"/>
      <c r="D326" s="25"/>
      <c r="E326" s="25"/>
      <c r="M326" s="12"/>
      <c r="N326" s="118"/>
      <c r="O326" s="118"/>
      <c r="P326" s="118"/>
      <c r="Q326" s="118"/>
    </row>
    <row r="327" spans="2:17" ht="14.25" customHeight="1" x14ac:dyDescent="0.3">
      <c r="B327" s="23"/>
      <c r="D327" s="25"/>
      <c r="E327" s="25"/>
      <c r="M327" s="12"/>
      <c r="N327" s="118"/>
      <c r="O327" s="118"/>
      <c r="P327" s="118"/>
      <c r="Q327" s="118"/>
    </row>
    <row r="328" spans="2:17" ht="14.25" customHeight="1" x14ac:dyDescent="0.3">
      <c r="B328" s="23"/>
      <c r="D328" s="25"/>
      <c r="E328" s="25"/>
      <c r="M328" s="12"/>
      <c r="N328" s="118"/>
      <c r="O328" s="118"/>
      <c r="P328" s="118"/>
      <c r="Q328" s="118"/>
    </row>
    <row r="329" spans="2:17" ht="14.25" customHeight="1" x14ac:dyDescent="0.3">
      <c r="B329" s="23"/>
      <c r="D329" s="25"/>
      <c r="E329" s="25"/>
      <c r="M329" s="12"/>
      <c r="N329" s="118"/>
      <c r="O329" s="118"/>
      <c r="P329" s="118"/>
      <c r="Q329" s="118"/>
    </row>
    <row r="330" spans="2:17" ht="14.25" customHeight="1" x14ac:dyDescent="0.3">
      <c r="B330" s="23"/>
      <c r="D330" s="25"/>
      <c r="E330" s="25"/>
      <c r="M330" s="12"/>
      <c r="N330" s="118"/>
      <c r="O330" s="118"/>
      <c r="P330" s="118"/>
      <c r="Q330" s="118"/>
    </row>
    <row r="331" spans="2:17" ht="14.25" customHeight="1" x14ac:dyDescent="0.3">
      <c r="B331" s="23"/>
      <c r="D331" s="25"/>
      <c r="E331" s="25"/>
      <c r="M331" s="12"/>
      <c r="N331" s="118"/>
      <c r="O331" s="118"/>
      <c r="P331" s="118"/>
      <c r="Q331" s="118"/>
    </row>
    <row r="332" spans="2:17" ht="14.25" customHeight="1" x14ac:dyDescent="0.3">
      <c r="B332" s="23"/>
      <c r="D332" s="25"/>
      <c r="E332" s="25"/>
      <c r="M332" s="12"/>
      <c r="N332" s="118"/>
      <c r="O332" s="118"/>
      <c r="P332" s="118"/>
      <c r="Q332" s="118"/>
    </row>
    <row r="333" spans="2:17" ht="14.25" customHeight="1" x14ac:dyDescent="0.3">
      <c r="B333" s="23"/>
      <c r="D333" s="25"/>
      <c r="E333" s="25"/>
      <c r="M333" s="12"/>
      <c r="N333" s="118"/>
      <c r="O333" s="118"/>
      <c r="P333" s="118"/>
      <c r="Q333" s="118"/>
    </row>
    <row r="334" spans="2:17" ht="14.25" customHeight="1" x14ac:dyDescent="0.3">
      <c r="B334" s="23"/>
      <c r="D334" s="25"/>
      <c r="E334" s="25"/>
      <c r="M334" s="12"/>
      <c r="N334" s="118"/>
      <c r="O334" s="118"/>
      <c r="P334" s="118"/>
      <c r="Q334" s="118"/>
    </row>
    <row r="335" spans="2:17" ht="14.25" customHeight="1" x14ac:dyDescent="0.3">
      <c r="B335" s="23"/>
      <c r="D335" s="25"/>
      <c r="E335" s="25"/>
      <c r="M335" s="12"/>
      <c r="N335" s="118"/>
      <c r="O335" s="118"/>
      <c r="P335" s="118"/>
      <c r="Q335" s="118"/>
    </row>
    <row r="336" spans="2:17" ht="14.25" customHeight="1" x14ac:dyDescent="0.3">
      <c r="B336" s="23"/>
      <c r="D336" s="25"/>
      <c r="E336" s="25"/>
      <c r="M336" s="12"/>
      <c r="N336" s="118"/>
      <c r="O336" s="118"/>
      <c r="P336" s="118"/>
      <c r="Q336" s="118"/>
    </row>
    <row r="337" spans="2:17" ht="14.25" customHeight="1" x14ac:dyDescent="0.3">
      <c r="B337" s="23"/>
      <c r="D337" s="25"/>
      <c r="E337" s="25"/>
      <c r="M337" s="12"/>
      <c r="N337" s="118"/>
      <c r="O337" s="118"/>
      <c r="P337" s="118"/>
      <c r="Q337" s="118"/>
    </row>
    <row r="338" spans="2:17" ht="14.25" customHeight="1" x14ac:dyDescent="0.3">
      <c r="B338" s="23"/>
      <c r="D338" s="25"/>
      <c r="E338" s="25"/>
      <c r="M338" s="12"/>
      <c r="N338" s="118"/>
      <c r="O338" s="118"/>
      <c r="P338" s="118"/>
      <c r="Q338" s="118"/>
    </row>
    <row r="339" spans="2:17" ht="14.25" customHeight="1" x14ac:dyDescent="0.3">
      <c r="B339" s="23"/>
      <c r="D339" s="25"/>
      <c r="E339" s="25"/>
      <c r="M339" s="12"/>
      <c r="N339" s="118"/>
      <c r="O339" s="118"/>
      <c r="P339" s="118"/>
      <c r="Q339" s="118"/>
    </row>
    <row r="340" spans="2:17" ht="14.25" customHeight="1" x14ac:dyDescent="0.3">
      <c r="B340" s="23"/>
      <c r="D340" s="25"/>
      <c r="E340" s="25"/>
      <c r="M340" s="12"/>
      <c r="N340" s="118"/>
      <c r="O340" s="118"/>
      <c r="P340" s="118"/>
      <c r="Q340" s="118"/>
    </row>
    <row r="341" spans="2:17" ht="14.25" customHeight="1" x14ac:dyDescent="0.3">
      <c r="B341" s="23"/>
      <c r="D341" s="25"/>
      <c r="E341" s="25"/>
      <c r="M341" s="12"/>
      <c r="N341" s="118"/>
      <c r="O341" s="118"/>
      <c r="P341" s="118"/>
      <c r="Q341" s="118"/>
    </row>
    <row r="342" spans="2:17" ht="14.25" customHeight="1" x14ac:dyDescent="0.3">
      <c r="B342" s="23"/>
      <c r="D342" s="25"/>
      <c r="E342" s="25"/>
      <c r="M342" s="12"/>
      <c r="N342" s="118"/>
      <c r="O342" s="118"/>
      <c r="P342" s="118"/>
      <c r="Q342" s="118"/>
    </row>
    <row r="343" spans="2:17" ht="14.25" customHeight="1" x14ac:dyDescent="0.3">
      <c r="B343" s="23"/>
      <c r="D343" s="25"/>
      <c r="E343" s="25"/>
      <c r="M343" s="12"/>
      <c r="N343" s="118"/>
      <c r="O343" s="118"/>
      <c r="P343" s="118"/>
      <c r="Q343" s="118"/>
    </row>
    <row r="344" spans="2:17" ht="14.25" customHeight="1" x14ac:dyDescent="0.3">
      <c r="B344" s="23"/>
      <c r="D344" s="25"/>
      <c r="E344" s="25"/>
      <c r="M344" s="12"/>
      <c r="N344" s="118"/>
      <c r="O344" s="118"/>
      <c r="P344" s="118"/>
      <c r="Q344" s="118"/>
    </row>
    <row r="345" spans="2:17" ht="14.25" customHeight="1" x14ac:dyDescent="0.3">
      <c r="B345" s="23"/>
      <c r="D345" s="25"/>
      <c r="E345" s="25"/>
      <c r="M345" s="12"/>
      <c r="N345" s="118"/>
      <c r="O345" s="118"/>
      <c r="P345" s="118"/>
      <c r="Q345" s="118"/>
    </row>
    <row r="346" spans="2:17" ht="14.25" customHeight="1" x14ac:dyDescent="0.3">
      <c r="B346" s="23"/>
      <c r="D346" s="25"/>
      <c r="E346" s="25"/>
      <c r="M346" s="12"/>
      <c r="N346" s="118"/>
      <c r="O346" s="118"/>
      <c r="P346" s="118"/>
      <c r="Q346" s="118"/>
    </row>
    <row r="347" spans="2:17" ht="14.25" customHeight="1" x14ac:dyDescent="0.3">
      <c r="B347" s="23"/>
      <c r="D347" s="25"/>
      <c r="E347" s="25"/>
      <c r="M347" s="12"/>
      <c r="N347" s="118"/>
      <c r="O347" s="118"/>
      <c r="P347" s="118"/>
      <c r="Q347" s="118"/>
    </row>
    <row r="348" spans="2:17" ht="14.25" customHeight="1" x14ac:dyDescent="0.3">
      <c r="B348" s="23"/>
      <c r="D348" s="25"/>
      <c r="E348" s="25"/>
      <c r="M348" s="12"/>
      <c r="N348" s="118"/>
      <c r="O348" s="118"/>
      <c r="P348" s="118"/>
      <c r="Q348" s="118"/>
    </row>
    <row r="349" spans="2:17" ht="14.25" customHeight="1" x14ac:dyDescent="0.3">
      <c r="B349" s="23"/>
      <c r="D349" s="25"/>
      <c r="E349" s="25"/>
      <c r="M349" s="12"/>
      <c r="N349" s="118"/>
      <c r="O349" s="118"/>
      <c r="P349" s="118"/>
      <c r="Q349" s="118"/>
    </row>
    <row r="350" spans="2:17" ht="14.25" customHeight="1" x14ac:dyDescent="0.3">
      <c r="B350" s="23"/>
      <c r="D350" s="25"/>
      <c r="E350" s="25"/>
      <c r="M350" s="12"/>
      <c r="N350" s="118"/>
      <c r="O350" s="118"/>
      <c r="P350" s="118"/>
      <c r="Q350" s="118"/>
    </row>
    <row r="351" spans="2:17" ht="14.25" customHeight="1" x14ac:dyDescent="0.3">
      <c r="B351" s="23"/>
      <c r="D351" s="25"/>
      <c r="E351" s="25"/>
      <c r="M351" s="12"/>
      <c r="N351" s="118"/>
      <c r="O351" s="118"/>
      <c r="P351" s="118"/>
      <c r="Q351" s="118"/>
    </row>
    <row r="352" spans="2:17" ht="14.25" customHeight="1" x14ac:dyDescent="0.3">
      <c r="B352" s="23"/>
      <c r="D352" s="25"/>
      <c r="E352" s="25"/>
      <c r="M352" s="12"/>
      <c r="N352" s="118"/>
      <c r="O352" s="118"/>
      <c r="P352" s="118"/>
      <c r="Q352" s="118"/>
    </row>
    <row r="353" spans="2:17" ht="14.25" customHeight="1" x14ac:dyDescent="0.3">
      <c r="B353" s="23"/>
      <c r="D353" s="25"/>
      <c r="E353" s="25"/>
      <c r="M353" s="12"/>
      <c r="N353" s="118"/>
      <c r="O353" s="118"/>
      <c r="P353" s="118"/>
      <c r="Q353" s="118"/>
    </row>
    <row r="354" spans="2:17" ht="14.25" customHeight="1" x14ac:dyDescent="0.3">
      <c r="B354" s="23"/>
      <c r="D354" s="25"/>
      <c r="E354" s="25"/>
      <c r="M354" s="12"/>
      <c r="N354" s="118"/>
      <c r="O354" s="118"/>
      <c r="P354" s="118"/>
      <c r="Q354" s="118"/>
    </row>
    <row r="355" spans="2:17" ht="14.25" customHeight="1" x14ac:dyDescent="0.3">
      <c r="B355" s="23"/>
      <c r="D355" s="25"/>
      <c r="E355" s="25"/>
      <c r="M355" s="12"/>
      <c r="N355" s="118"/>
      <c r="O355" s="118"/>
      <c r="P355" s="118"/>
      <c r="Q355" s="118"/>
    </row>
    <row r="356" spans="2:17" ht="14.25" customHeight="1" x14ac:dyDescent="0.3">
      <c r="B356" s="23"/>
      <c r="D356" s="25"/>
      <c r="E356" s="25"/>
      <c r="M356" s="12"/>
      <c r="N356" s="118"/>
      <c r="O356" s="118"/>
      <c r="P356" s="118"/>
      <c r="Q356" s="118"/>
    </row>
    <row r="357" spans="2:17" ht="14.25" customHeight="1" x14ac:dyDescent="0.3">
      <c r="B357" s="23"/>
      <c r="D357" s="25"/>
      <c r="E357" s="25"/>
      <c r="M357" s="12"/>
      <c r="N357" s="118"/>
      <c r="O357" s="118"/>
      <c r="P357" s="118"/>
      <c r="Q357" s="118"/>
    </row>
    <row r="358" spans="2:17" ht="14.25" customHeight="1" x14ac:dyDescent="0.3">
      <c r="B358" s="23"/>
      <c r="D358" s="25"/>
      <c r="E358" s="25"/>
      <c r="M358" s="12"/>
      <c r="N358" s="118"/>
      <c r="O358" s="118"/>
      <c r="P358" s="118"/>
      <c r="Q358" s="118"/>
    </row>
    <row r="359" spans="2:17" ht="14.25" customHeight="1" x14ac:dyDescent="0.3">
      <c r="B359" s="23"/>
      <c r="D359" s="25"/>
      <c r="E359" s="25"/>
      <c r="M359" s="12"/>
      <c r="N359" s="118"/>
      <c r="O359" s="118"/>
      <c r="P359" s="118"/>
      <c r="Q359" s="118"/>
    </row>
    <row r="360" spans="2:17" ht="14.25" customHeight="1" x14ac:dyDescent="0.3">
      <c r="B360" s="23"/>
      <c r="D360" s="25"/>
      <c r="E360" s="25"/>
      <c r="M360" s="12"/>
      <c r="N360" s="118"/>
      <c r="O360" s="118"/>
      <c r="P360" s="118"/>
      <c r="Q360" s="118"/>
    </row>
    <row r="361" spans="2:17" ht="14.25" customHeight="1" x14ac:dyDescent="0.3">
      <c r="B361" s="23"/>
      <c r="D361" s="25"/>
      <c r="E361" s="25"/>
      <c r="M361" s="12"/>
      <c r="N361" s="118"/>
      <c r="O361" s="118"/>
      <c r="P361" s="118"/>
      <c r="Q361" s="118"/>
    </row>
    <row r="362" spans="2:17" ht="14.25" customHeight="1" x14ac:dyDescent="0.3">
      <c r="B362" s="23"/>
      <c r="D362" s="25"/>
      <c r="E362" s="25"/>
      <c r="M362" s="12"/>
      <c r="N362" s="118"/>
      <c r="O362" s="118"/>
      <c r="P362" s="118"/>
      <c r="Q362" s="118"/>
    </row>
    <row r="363" spans="2:17" ht="14.25" customHeight="1" x14ac:dyDescent="0.3">
      <c r="B363" s="23"/>
      <c r="D363" s="25"/>
      <c r="E363" s="25"/>
      <c r="M363" s="12"/>
      <c r="N363" s="118"/>
      <c r="O363" s="118"/>
      <c r="P363" s="118"/>
      <c r="Q363" s="118"/>
    </row>
    <row r="364" spans="2:17" ht="14.25" customHeight="1" x14ac:dyDescent="0.3">
      <c r="B364" s="23"/>
      <c r="D364" s="25"/>
      <c r="E364" s="25"/>
      <c r="M364" s="12"/>
      <c r="N364" s="118"/>
      <c r="O364" s="118"/>
      <c r="P364" s="118"/>
      <c r="Q364" s="118"/>
    </row>
    <row r="365" spans="2:17" ht="14.25" customHeight="1" x14ac:dyDescent="0.3">
      <c r="B365" s="23"/>
      <c r="D365" s="25"/>
      <c r="E365" s="25"/>
      <c r="M365" s="12"/>
      <c r="N365" s="118"/>
      <c r="O365" s="118"/>
      <c r="P365" s="118"/>
      <c r="Q365" s="118"/>
    </row>
    <row r="366" spans="2:17" ht="14.25" customHeight="1" x14ac:dyDescent="0.3">
      <c r="B366" s="23"/>
      <c r="D366" s="25"/>
      <c r="E366" s="25"/>
      <c r="M366" s="12"/>
      <c r="N366" s="118"/>
      <c r="O366" s="118"/>
      <c r="P366" s="118"/>
      <c r="Q366" s="118"/>
    </row>
    <row r="367" spans="2:17" ht="14.25" customHeight="1" x14ac:dyDescent="0.3">
      <c r="B367" s="23"/>
      <c r="D367" s="25"/>
      <c r="E367" s="25"/>
      <c r="M367" s="12"/>
      <c r="N367" s="118"/>
      <c r="O367" s="118"/>
      <c r="P367" s="118"/>
      <c r="Q367" s="118"/>
    </row>
    <row r="368" spans="2:17" ht="14.25" customHeight="1" x14ac:dyDescent="0.3">
      <c r="B368" s="23"/>
      <c r="D368" s="25"/>
      <c r="E368" s="25"/>
      <c r="M368" s="12"/>
      <c r="N368" s="118"/>
      <c r="O368" s="118"/>
      <c r="P368" s="118"/>
      <c r="Q368" s="118"/>
    </row>
    <row r="369" spans="2:17" ht="14.25" customHeight="1" x14ac:dyDescent="0.3">
      <c r="B369" s="23"/>
      <c r="D369" s="25"/>
      <c r="E369" s="25"/>
      <c r="M369" s="12"/>
      <c r="N369" s="118"/>
      <c r="O369" s="118"/>
      <c r="P369" s="118"/>
      <c r="Q369" s="118"/>
    </row>
    <row r="370" spans="2:17" ht="14.25" customHeight="1" x14ac:dyDescent="0.3">
      <c r="B370" s="23"/>
      <c r="D370" s="25"/>
      <c r="E370" s="25"/>
      <c r="M370" s="12"/>
      <c r="N370" s="118"/>
      <c r="O370" s="118"/>
      <c r="P370" s="118"/>
      <c r="Q370" s="118"/>
    </row>
    <row r="371" spans="2:17" ht="14.25" customHeight="1" x14ac:dyDescent="0.3">
      <c r="B371" s="23"/>
      <c r="D371" s="25"/>
      <c r="E371" s="25"/>
      <c r="M371" s="12"/>
      <c r="N371" s="118"/>
      <c r="O371" s="118"/>
      <c r="P371" s="118"/>
      <c r="Q371" s="118"/>
    </row>
    <row r="372" spans="2:17" ht="14.25" customHeight="1" x14ac:dyDescent="0.3">
      <c r="B372" s="23"/>
      <c r="D372" s="25"/>
      <c r="E372" s="25"/>
      <c r="M372" s="12"/>
      <c r="N372" s="118"/>
      <c r="O372" s="118"/>
      <c r="P372" s="118"/>
      <c r="Q372" s="118"/>
    </row>
    <row r="373" spans="2:17" ht="14.25" customHeight="1" x14ac:dyDescent="0.3">
      <c r="B373" s="23"/>
      <c r="D373" s="25"/>
      <c r="E373" s="25"/>
      <c r="M373" s="12"/>
      <c r="N373" s="118"/>
      <c r="O373" s="118"/>
      <c r="P373" s="118"/>
      <c r="Q373" s="118"/>
    </row>
    <row r="374" spans="2:17" ht="14.25" customHeight="1" x14ac:dyDescent="0.3">
      <c r="B374" s="23"/>
      <c r="D374" s="25"/>
      <c r="E374" s="25"/>
      <c r="M374" s="12"/>
      <c r="N374" s="118"/>
      <c r="O374" s="118"/>
      <c r="P374" s="118"/>
      <c r="Q374" s="118"/>
    </row>
    <row r="375" spans="2:17" ht="14.25" customHeight="1" x14ac:dyDescent="0.3">
      <c r="B375" s="23"/>
      <c r="D375" s="25"/>
      <c r="E375" s="25"/>
      <c r="M375" s="12"/>
      <c r="N375" s="118"/>
      <c r="O375" s="118"/>
      <c r="P375" s="118"/>
      <c r="Q375" s="118"/>
    </row>
    <row r="376" spans="2:17" ht="14.25" customHeight="1" x14ac:dyDescent="0.3">
      <c r="B376" s="23"/>
      <c r="D376" s="25"/>
      <c r="E376" s="25"/>
      <c r="M376" s="12"/>
      <c r="N376" s="118"/>
      <c r="O376" s="118"/>
      <c r="P376" s="118"/>
      <c r="Q376" s="118"/>
    </row>
    <row r="377" spans="2:17" ht="14.25" customHeight="1" x14ac:dyDescent="0.3">
      <c r="B377" s="23"/>
      <c r="D377" s="25"/>
      <c r="E377" s="25"/>
      <c r="M377" s="12"/>
      <c r="N377" s="118"/>
      <c r="O377" s="118"/>
      <c r="P377" s="118"/>
      <c r="Q377" s="118"/>
    </row>
    <row r="378" spans="2:17" ht="14.25" customHeight="1" x14ac:dyDescent="0.3">
      <c r="B378" s="23"/>
      <c r="D378" s="25"/>
      <c r="E378" s="25"/>
      <c r="M378" s="12"/>
      <c r="N378" s="118"/>
      <c r="O378" s="118"/>
      <c r="P378" s="118"/>
      <c r="Q378" s="118"/>
    </row>
    <row r="379" spans="2:17" ht="14.25" customHeight="1" x14ac:dyDescent="0.3">
      <c r="B379" s="23"/>
      <c r="D379" s="25"/>
      <c r="E379" s="25"/>
      <c r="M379" s="12"/>
      <c r="N379" s="118"/>
      <c r="O379" s="118"/>
      <c r="P379" s="118"/>
      <c r="Q379" s="118"/>
    </row>
    <row r="380" spans="2:17" ht="14.25" customHeight="1" x14ac:dyDescent="0.3">
      <c r="B380" s="23"/>
      <c r="D380" s="25"/>
      <c r="E380" s="25"/>
      <c r="M380" s="12"/>
      <c r="N380" s="118"/>
      <c r="O380" s="118"/>
      <c r="P380" s="118"/>
      <c r="Q380" s="118"/>
    </row>
    <row r="381" spans="2:17" ht="14.25" customHeight="1" x14ac:dyDescent="0.3">
      <c r="B381" s="23"/>
      <c r="D381" s="25"/>
      <c r="E381" s="25"/>
      <c r="M381" s="12"/>
      <c r="N381" s="118"/>
      <c r="O381" s="118"/>
      <c r="P381" s="118"/>
      <c r="Q381" s="118"/>
    </row>
    <row r="382" spans="2:17" ht="14.25" customHeight="1" x14ac:dyDescent="0.3">
      <c r="B382" s="23"/>
      <c r="D382" s="25"/>
      <c r="E382" s="25"/>
      <c r="M382" s="12"/>
      <c r="N382" s="118"/>
      <c r="O382" s="118"/>
      <c r="P382" s="118"/>
      <c r="Q382" s="118"/>
    </row>
    <row r="383" spans="2:17" ht="14.25" customHeight="1" x14ac:dyDescent="0.3">
      <c r="B383" s="23"/>
      <c r="D383" s="25"/>
      <c r="E383" s="25"/>
      <c r="M383" s="12"/>
      <c r="N383" s="118"/>
      <c r="O383" s="118"/>
      <c r="P383" s="118"/>
      <c r="Q383" s="118"/>
    </row>
    <row r="384" spans="2:17" ht="14.25" customHeight="1" x14ac:dyDescent="0.3">
      <c r="B384" s="23"/>
      <c r="D384" s="25"/>
      <c r="E384" s="25"/>
      <c r="M384" s="12"/>
      <c r="N384" s="118"/>
      <c r="O384" s="118"/>
      <c r="P384" s="118"/>
      <c r="Q384" s="118"/>
    </row>
    <row r="385" spans="2:17" ht="14.25" customHeight="1" x14ac:dyDescent="0.3">
      <c r="B385" s="23"/>
      <c r="D385" s="25"/>
      <c r="E385" s="25"/>
      <c r="M385" s="12"/>
      <c r="N385" s="118"/>
      <c r="O385" s="118"/>
      <c r="P385" s="118"/>
      <c r="Q385" s="118"/>
    </row>
    <row r="386" spans="2:17" ht="14.25" customHeight="1" x14ac:dyDescent="0.3">
      <c r="B386" s="23"/>
      <c r="D386" s="25"/>
      <c r="E386" s="25"/>
      <c r="M386" s="12"/>
      <c r="N386" s="118"/>
      <c r="O386" s="118"/>
      <c r="P386" s="118"/>
      <c r="Q386" s="118"/>
    </row>
    <row r="387" spans="2:17" ht="14.25" customHeight="1" x14ac:dyDescent="0.3">
      <c r="B387" s="23"/>
      <c r="D387" s="25"/>
      <c r="E387" s="25"/>
      <c r="M387" s="12"/>
      <c r="N387" s="118"/>
      <c r="O387" s="118"/>
      <c r="P387" s="118"/>
      <c r="Q387" s="118"/>
    </row>
    <row r="388" spans="2:17" ht="14.25" customHeight="1" x14ac:dyDescent="0.3">
      <c r="B388" s="23"/>
      <c r="D388" s="25"/>
      <c r="E388" s="25"/>
      <c r="M388" s="12"/>
      <c r="N388" s="118"/>
      <c r="O388" s="118"/>
      <c r="P388" s="118"/>
      <c r="Q388" s="118"/>
    </row>
    <row r="389" spans="2:17" ht="14.25" customHeight="1" x14ac:dyDescent="0.3">
      <c r="B389" s="23"/>
      <c r="D389" s="25"/>
      <c r="E389" s="25"/>
      <c r="M389" s="12"/>
      <c r="N389" s="118"/>
      <c r="O389" s="118"/>
      <c r="P389" s="118"/>
      <c r="Q389" s="118"/>
    </row>
    <row r="390" spans="2:17" ht="14.25" customHeight="1" x14ac:dyDescent="0.3">
      <c r="B390" s="23"/>
      <c r="D390" s="25"/>
      <c r="E390" s="25"/>
      <c r="M390" s="12"/>
      <c r="N390" s="118"/>
      <c r="O390" s="118"/>
      <c r="P390" s="118"/>
      <c r="Q390" s="118"/>
    </row>
    <row r="391" spans="2:17" ht="14.25" customHeight="1" x14ac:dyDescent="0.3">
      <c r="B391" s="23"/>
      <c r="D391" s="25"/>
      <c r="E391" s="25"/>
      <c r="M391" s="12"/>
      <c r="N391" s="118"/>
      <c r="O391" s="118"/>
      <c r="P391" s="118"/>
      <c r="Q391" s="118"/>
    </row>
    <row r="392" spans="2:17" ht="14.25" customHeight="1" x14ac:dyDescent="0.3">
      <c r="B392" s="23"/>
      <c r="D392" s="25"/>
      <c r="E392" s="25"/>
      <c r="M392" s="12"/>
      <c r="N392" s="118"/>
      <c r="O392" s="118"/>
      <c r="P392" s="118"/>
      <c r="Q392" s="118"/>
    </row>
    <row r="393" spans="2:17" ht="14.25" customHeight="1" x14ac:dyDescent="0.3">
      <c r="B393" s="23"/>
      <c r="D393" s="25"/>
      <c r="E393" s="25"/>
      <c r="M393" s="12"/>
      <c r="N393" s="118"/>
      <c r="O393" s="118"/>
      <c r="P393" s="118"/>
      <c r="Q393" s="118"/>
    </row>
    <row r="394" spans="2:17" ht="14.25" customHeight="1" x14ac:dyDescent="0.3">
      <c r="B394" s="23"/>
      <c r="D394" s="25"/>
      <c r="E394" s="25"/>
      <c r="M394" s="12"/>
      <c r="N394" s="118"/>
      <c r="O394" s="118"/>
      <c r="P394" s="118"/>
      <c r="Q394" s="118"/>
    </row>
    <row r="395" spans="2:17" ht="14.25" customHeight="1" x14ac:dyDescent="0.3">
      <c r="B395" s="23"/>
      <c r="D395" s="25"/>
      <c r="E395" s="25"/>
      <c r="M395" s="12"/>
      <c r="N395" s="118"/>
      <c r="O395" s="118"/>
      <c r="P395" s="118"/>
      <c r="Q395" s="118"/>
    </row>
    <row r="396" spans="2:17" ht="14.25" customHeight="1" x14ac:dyDescent="0.3">
      <c r="B396" s="23"/>
      <c r="D396" s="25"/>
      <c r="E396" s="25"/>
      <c r="M396" s="12"/>
      <c r="N396" s="118"/>
      <c r="O396" s="118"/>
      <c r="P396" s="118"/>
      <c r="Q396" s="118"/>
    </row>
    <row r="397" spans="2:17" ht="14.25" customHeight="1" x14ac:dyDescent="0.3">
      <c r="B397" s="23"/>
      <c r="D397" s="25"/>
      <c r="E397" s="25"/>
      <c r="M397" s="12"/>
      <c r="N397" s="118"/>
      <c r="O397" s="118"/>
      <c r="P397" s="118"/>
      <c r="Q397" s="118"/>
    </row>
    <row r="398" spans="2:17" ht="14.25" customHeight="1" x14ac:dyDescent="0.3">
      <c r="B398" s="23"/>
      <c r="D398" s="25"/>
      <c r="E398" s="25"/>
      <c r="M398" s="12"/>
      <c r="N398" s="118"/>
      <c r="O398" s="118"/>
      <c r="P398" s="118"/>
      <c r="Q398" s="118"/>
    </row>
    <row r="399" spans="2:17" ht="14.25" customHeight="1" x14ac:dyDescent="0.3">
      <c r="B399" s="23"/>
      <c r="D399" s="25"/>
      <c r="E399" s="25"/>
      <c r="M399" s="12"/>
      <c r="N399" s="118"/>
      <c r="O399" s="118"/>
      <c r="P399" s="118"/>
      <c r="Q399" s="118"/>
    </row>
    <row r="400" spans="2:17" ht="14.25" customHeight="1" x14ac:dyDescent="0.3">
      <c r="B400" s="23"/>
      <c r="D400" s="25"/>
      <c r="E400" s="25"/>
      <c r="M400" s="12"/>
      <c r="N400" s="118"/>
      <c r="O400" s="118"/>
      <c r="P400" s="118"/>
      <c r="Q400" s="118"/>
    </row>
    <row r="401" spans="2:17" ht="14.25" customHeight="1" x14ac:dyDescent="0.3">
      <c r="B401" s="23"/>
      <c r="D401" s="25"/>
      <c r="E401" s="25"/>
      <c r="M401" s="12"/>
      <c r="N401" s="118"/>
      <c r="O401" s="118"/>
      <c r="P401" s="118"/>
      <c r="Q401" s="118"/>
    </row>
    <row r="402" spans="2:17" ht="14.25" customHeight="1" x14ac:dyDescent="0.3">
      <c r="B402" s="23"/>
      <c r="D402" s="25"/>
      <c r="E402" s="25"/>
      <c r="M402" s="12"/>
      <c r="N402" s="118"/>
      <c r="O402" s="118"/>
      <c r="P402" s="118"/>
      <c r="Q402" s="118"/>
    </row>
    <row r="403" spans="2:17" ht="14.25" customHeight="1" x14ac:dyDescent="0.3">
      <c r="B403" s="23"/>
      <c r="D403" s="25"/>
      <c r="E403" s="25"/>
      <c r="M403" s="12"/>
      <c r="N403" s="118"/>
      <c r="O403" s="118"/>
      <c r="P403" s="118"/>
      <c r="Q403" s="118"/>
    </row>
    <row r="404" spans="2:17" ht="14.25" customHeight="1" x14ac:dyDescent="0.3">
      <c r="B404" s="23"/>
      <c r="D404" s="25"/>
      <c r="E404" s="25"/>
      <c r="M404" s="12"/>
      <c r="N404" s="118"/>
      <c r="O404" s="118"/>
      <c r="P404" s="118"/>
      <c r="Q404" s="118"/>
    </row>
    <row r="405" spans="2:17" ht="14.25" customHeight="1" x14ac:dyDescent="0.3">
      <c r="B405" s="23"/>
      <c r="D405" s="25"/>
      <c r="E405" s="25"/>
      <c r="M405" s="12"/>
      <c r="N405" s="118"/>
      <c r="O405" s="118"/>
      <c r="P405" s="118"/>
      <c r="Q405" s="118"/>
    </row>
    <row r="406" spans="2:17" ht="14.25" customHeight="1" x14ac:dyDescent="0.3">
      <c r="B406" s="23"/>
      <c r="D406" s="25"/>
      <c r="E406" s="25"/>
      <c r="M406" s="12"/>
      <c r="N406" s="118"/>
      <c r="O406" s="118"/>
      <c r="P406" s="118"/>
      <c r="Q406" s="118"/>
    </row>
    <row r="407" spans="2:17" ht="14.25" customHeight="1" x14ac:dyDescent="0.3">
      <c r="B407" s="23"/>
      <c r="D407" s="25"/>
      <c r="E407" s="25"/>
      <c r="M407" s="12"/>
      <c r="N407" s="118"/>
      <c r="O407" s="118"/>
      <c r="P407" s="118"/>
      <c r="Q407" s="118"/>
    </row>
    <row r="408" spans="2:17" ht="14.25" customHeight="1" x14ac:dyDescent="0.3">
      <c r="B408" s="23"/>
      <c r="D408" s="25"/>
      <c r="E408" s="25"/>
      <c r="M408" s="12"/>
      <c r="N408" s="118"/>
      <c r="O408" s="118"/>
      <c r="P408" s="118"/>
      <c r="Q408" s="118"/>
    </row>
    <row r="409" spans="2:17" ht="14.25" customHeight="1" x14ac:dyDescent="0.3">
      <c r="B409" s="23"/>
      <c r="D409" s="25"/>
      <c r="E409" s="25"/>
      <c r="M409" s="12"/>
      <c r="N409" s="118"/>
      <c r="O409" s="118"/>
      <c r="P409" s="118"/>
      <c r="Q409" s="118"/>
    </row>
    <row r="410" spans="2:17" ht="14.25" customHeight="1" x14ac:dyDescent="0.3">
      <c r="B410" s="23"/>
      <c r="D410" s="25"/>
      <c r="E410" s="25"/>
      <c r="M410" s="12"/>
      <c r="N410" s="118"/>
      <c r="O410" s="118"/>
      <c r="P410" s="118"/>
      <c r="Q410" s="118"/>
    </row>
    <row r="411" spans="2:17" ht="14.25" customHeight="1" x14ac:dyDescent="0.3">
      <c r="B411" s="23"/>
      <c r="D411" s="25"/>
      <c r="E411" s="25"/>
      <c r="M411" s="12"/>
      <c r="N411" s="118"/>
      <c r="O411" s="118"/>
      <c r="P411" s="118"/>
      <c r="Q411" s="118"/>
    </row>
    <row r="412" spans="2:17" ht="14.25" customHeight="1" x14ac:dyDescent="0.3">
      <c r="B412" s="23"/>
      <c r="D412" s="25"/>
      <c r="E412" s="25"/>
      <c r="M412" s="12"/>
      <c r="N412" s="118"/>
      <c r="O412" s="118"/>
      <c r="P412" s="118"/>
      <c r="Q412" s="118"/>
    </row>
    <row r="413" spans="2:17" ht="14.25" customHeight="1" x14ac:dyDescent="0.3">
      <c r="B413" s="23"/>
      <c r="D413" s="25"/>
      <c r="E413" s="25"/>
      <c r="M413" s="12"/>
      <c r="N413" s="118"/>
      <c r="O413" s="118"/>
      <c r="P413" s="118"/>
      <c r="Q413" s="118"/>
    </row>
    <row r="414" spans="2:17" ht="14.25" customHeight="1" x14ac:dyDescent="0.3">
      <c r="B414" s="23"/>
      <c r="D414" s="25"/>
      <c r="E414" s="25"/>
      <c r="M414" s="12"/>
      <c r="N414" s="118"/>
      <c r="O414" s="118"/>
      <c r="P414" s="118"/>
      <c r="Q414" s="118"/>
    </row>
    <row r="415" spans="2:17" ht="14.25" customHeight="1" x14ac:dyDescent="0.3">
      <c r="B415" s="23"/>
      <c r="D415" s="25"/>
      <c r="E415" s="25"/>
      <c r="M415" s="12"/>
      <c r="N415" s="118"/>
      <c r="O415" s="118"/>
      <c r="P415" s="118"/>
      <c r="Q415" s="118"/>
    </row>
    <row r="416" spans="2:17" ht="14.25" customHeight="1" x14ac:dyDescent="0.3">
      <c r="B416" s="23"/>
      <c r="D416" s="25"/>
      <c r="E416" s="25"/>
      <c r="M416" s="12"/>
      <c r="N416" s="118"/>
      <c r="O416" s="118"/>
      <c r="P416" s="118"/>
      <c r="Q416" s="118"/>
    </row>
    <row r="417" spans="2:17" ht="14.25" customHeight="1" x14ac:dyDescent="0.3">
      <c r="B417" s="23"/>
      <c r="D417" s="25"/>
      <c r="E417" s="25"/>
      <c r="M417" s="12"/>
      <c r="N417" s="118"/>
      <c r="O417" s="118"/>
      <c r="P417" s="118"/>
      <c r="Q417" s="118"/>
    </row>
    <row r="418" spans="2:17" ht="14.25" customHeight="1" x14ac:dyDescent="0.3">
      <c r="B418" s="23"/>
      <c r="D418" s="25"/>
      <c r="E418" s="25"/>
      <c r="M418" s="12"/>
      <c r="N418" s="118"/>
      <c r="O418" s="118"/>
      <c r="P418" s="118"/>
      <c r="Q418" s="118"/>
    </row>
    <row r="419" spans="2:17" ht="14.25" customHeight="1" x14ac:dyDescent="0.3">
      <c r="B419" s="23"/>
      <c r="D419" s="25"/>
      <c r="E419" s="25"/>
      <c r="M419" s="12"/>
      <c r="N419" s="118"/>
      <c r="O419" s="118"/>
      <c r="P419" s="118"/>
      <c r="Q419" s="118"/>
    </row>
    <row r="420" spans="2:17" ht="14.25" customHeight="1" x14ac:dyDescent="0.3">
      <c r="B420" s="23"/>
      <c r="D420" s="25"/>
      <c r="E420" s="25"/>
      <c r="M420" s="12"/>
      <c r="N420" s="118"/>
      <c r="O420" s="118"/>
      <c r="P420" s="118"/>
      <c r="Q420" s="118"/>
    </row>
    <row r="421" spans="2:17" ht="14.25" customHeight="1" x14ac:dyDescent="0.3">
      <c r="B421" s="23"/>
      <c r="D421" s="25"/>
      <c r="E421" s="25"/>
      <c r="M421" s="12"/>
      <c r="N421" s="118"/>
      <c r="O421" s="118"/>
      <c r="P421" s="118"/>
      <c r="Q421" s="118"/>
    </row>
    <row r="422" spans="2:17" ht="14.25" customHeight="1" x14ac:dyDescent="0.3">
      <c r="B422" s="23"/>
      <c r="D422" s="25"/>
      <c r="E422" s="25"/>
      <c r="M422" s="12"/>
      <c r="N422" s="118"/>
      <c r="O422" s="118"/>
      <c r="P422" s="118"/>
      <c r="Q422" s="118"/>
    </row>
    <row r="423" spans="2:17" ht="14.25" customHeight="1" x14ac:dyDescent="0.3">
      <c r="B423" s="23"/>
      <c r="D423" s="25"/>
      <c r="E423" s="25"/>
      <c r="M423" s="12"/>
      <c r="N423" s="118"/>
      <c r="O423" s="118"/>
      <c r="P423" s="118"/>
      <c r="Q423" s="118"/>
    </row>
    <row r="424" spans="2:17" ht="14.25" customHeight="1" x14ac:dyDescent="0.3">
      <c r="B424" s="23"/>
      <c r="D424" s="25"/>
      <c r="E424" s="25"/>
      <c r="M424" s="12"/>
      <c r="N424" s="118"/>
      <c r="O424" s="118"/>
      <c r="P424" s="118"/>
      <c r="Q424" s="118"/>
    </row>
    <row r="425" spans="2:17" ht="14.25" customHeight="1" x14ac:dyDescent="0.3">
      <c r="B425" s="23"/>
      <c r="D425" s="25"/>
      <c r="E425" s="25"/>
      <c r="M425" s="12"/>
      <c r="N425" s="118"/>
      <c r="O425" s="118"/>
      <c r="P425" s="118"/>
      <c r="Q425" s="118"/>
    </row>
    <row r="426" spans="2:17" ht="14.25" customHeight="1" x14ac:dyDescent="0.3">
      <c r="B426" s="23"/>
      <c r="D426" s="25"/>
      <c r="E426" s="25"/>
      <c r="M426" s="12"/>
      <c r="N426" s="118"/>
      <c r="O426" s="118"/>
      <c r="P426" s="118"/>
      <c r="Q426" s="118"/>
    </row>
    <row r="427" spans="2:17" ht="14.25" customHeight="1" x14ac:dyDescent="0.3">
      <c r="B427" s="23"/>
      <c r="D427" s="25"/>
      <c r="E427" s="25"/>
      <c r="M427" s="12"/>
      <c r="N427" s="118"/>
      <c r="O427" s="118"/>
      <c r="P427" s="118"/>
      <c r="Q427" s="118"/>
    </row>
    <row r="428" spans="2:17" ht="14.25" customHeight="1" x14ac:dyDescent="0.3">
      <c r="B428" s="23"/>
      <c r="D428" s="25"/>
      <c r="E428" s="25"/>
      <c r="M428" s="12"/>
      <c r="N428" s="118"/>
      <c r="O428" s="118"/>
      <c r="P428" s="118"/>
      <c r="Q428" s="118"/>
    </row>
    <row r="429" spans="2:17" ht="14.25" customHeight="1" x14ac:dyDescent="0.3">
      <c r="B429" s="23"/>
      <c r="D429" s="25"/>
      <c r="E429" s="25"/>
      <c r="M429" s="12"/>
      <c r="N429" s="118"/>
      <c r="O429" s="118"/>
      <c r="P429" s="118"/>
      <c r="Q429" s="118"/>
    </row>
    <row r="430" spans="2:17" ht="14.25" customHeight="1" x14ac:dyDescent="0.3">
      <c r="B430" s="23"/>
      <c r="D430" s="25"/>
      <c r="E430" s="25"/>
      <c r="M430" s="12"/>
      <c r="N430" s="118"/>
      <c r="O430" s="118"/>
      <c r="P430" s="118"/>
      <c r="Q430" s="118"/>
    </row>
    <row r="431" spans="2:17" ht="14.25" customHeight="1" x14ac:dyDescent="0.3">
      <c r="B431" s="23"/>
      <c r="D431" s="25"/>
      <c r="E431" s="25"/>
      <c r="M431" s="12"/>
      <c r="N431" s="118"/>
      <c r="O431" s="118"/>
      <c r="P431" s="118"/>
      <c r="Q431" s="118"/>
    </row>
    <row r="432" spans="2:17" ht="14.25" customHeight="1" x14ac:dyDescent="0.3">
      <c r="B432" s="23"/>
      <c r="D432" s="25"/>
      <c r="E432" s="25"/>
      <c r="M432" s="12"/>
      <c r="N432" s="118"/>
      <c r="O432" s="118"/>
      <c r="P432" s="118"/>
      <c r="Q432" s="118"/>
    </row>
    <row r="433" spans="2:17" ht="14.25" customHeight="1" x14ac:dyDescent="0.3">
      <c r="B433" s="23"/>
      <c r="D433" s="25"/>
      <c r="E433" s="25"/>
      <c r="M433" s="12"/>
      <c r="N433" s="118"/>
      <c r="O433" s="118"/>
      <c r="P433" s="118"/>
      <c r="Q433" s="118"/>
    </row>
    <row r="434" spans="2:17" ht="14.25" customHeight="1" x14ac:dyDescent="0.3">
      <c r="B434" s="23"/>
      <c r="D434" s="25"/>
      <c r="E434" s="25"/>
      <c r="M434" s="12"/>
      <c r="N434" s="118"/>
      <c r="O434" s="118"/>
      <c r="P434" s="118"/>
      <c r="Q434" s="118"/>
    </row>
    <row r="435" spans="2:17" ht="14.25" customHeight="1" x14ac:dyDescent="0.3">
      <c r="B435" s="23"/>
      <c r="D435" s="25"/>
      <c r="E435" s="25"/>
      <c r="M435" s="12"/>
      <c r="N435" s="118"/>
      <c r="O435" s="118"/>
      <c r="P435" s="118"/>
      <c r="Q435" s="118"/>
    </row>
    <row r="436" spans="2:17" ht="14.25" customHeight="1" x14ac:dyDescent="0.3">
      <c r="B436" s="23"/>
      <c r="D436" s="25"/>
      <c r="E436" s="25"/>
      <c r="M436" s="12"/>
      <c r="N436" s="118"/>
      <c r="O436" s="118"/>
      <c r="P436" s="118"/>
      <c r="Q436" s="118"/>
    </row>
    <row r="437" spans="2:17" ht="14.25" customHeight="1" x14ac:dyDescent="0.3">
      <c r="B437" s="23"/>
      <c r="D437" s="25"/>
      <c r="E437" s="25"/>
      <c r="M437" s="12"/>
      <c r="N437" s="118"/>
      <c r="O437" s="118"/>
      <c r="P437" s="118"/>
      <c r="Q437" s="118"/>
    </row>
    <row r="438" spans="2:17" ht="14.25" customHeight="1" x14ac:dyDescent="0.3">
      <c r="B438" s="23"/>
      <c r="D438" s="25"/>
      <c r="E438" s="25"/>
      <c r="M438" s="12"/>
      <c r="N438" s="118"/>
      <c r="O438" s="118"/>
      <c r="P438" s="118"/>
      <c r="Q438" s="118"/>
    </row>
    <row r="439" spans="2:17" ht="14.25" customHeight="1" x14ac:dyDescent="0.3">
      <c r="B439" s="23"/>
      <c r="D439" s="25"/>
      <c r="E439" s="25"/>
      <c r="M439" s="12"/>
      <c r="N439" s="118"/>
      <c r="O439" s="118"/>
      <c r="P439" s="118"/>
      <c r="Q439" s="118"/>
    </row>
    <row r="440" spans="2:17" ht="14.25" customHeight="1" x14ac:dyDescent="0.3">
      <c r="B440" s="23"/>
      <c r="D440" s="25"/>
      <c r="E440" s="25"/>
      <c r="M440" s="12"/>
      <c r="N440" s="118"/>
      <c r="O440" s="118"/>
      <c r="P440" s="118"/>
      <c r="Q440" s="118"/>
    </row>
    <row r="441" spans="2:17" ht="14.25" customHeight="1" x14ac:dyDescent="0.3">
      <c r="B441" s="23"/>
      <c r="D441" s="25"/>
      <c r="E441" s="25"/>
      <c r="M441" s="12"/>
      <c r="N441" s="118"/>
      <c r="O441" s="118"/>
      <c r="P441" s="118"/>
      <c r="Q441" s="118"/>
    </row>
    <row r="442" spans="2:17" ht="14.25" customHeight="1" x14ac:dyDescent="0.3">
      <c r="B442" s="23"/>
      <c r="D442" s="25"/>
      <c r="E442" s="25"/>
      <c r="M442" s="12"/>
      <c r="N442" s="118"/>
      <c r="O442" s="118"/>
      <c r="P442" s="118"/>
      <c r="Q442" s="118"/>
    </row>
    <row r="443" spans="2:17" ht="14.25" customHeight="1" x14ac:dyDescent="0.3">
      <c r="B443" s="23"/>
      <c r="D443" s="25"/>
      <c r="E443" s="25"/>
      <c r="M443" s="12"/>
      <c r="N443" s="118"/>
      <c r="O443" s="118"/>
      <c r="P443" s="118"/>
      <c r="Q443" s="118"/>
    </row>
    <row r="444" spans="2:17" ht="14.25" customHeight="1" x14ac:dyDescent="0.3">
      <c r="B444" s="23"/>
      <c r="D444" s="25"/>
      <c r="E444" s="25"/>
      <c r="M444" s="12"/>
      <c r="N444" s="118"/>
      <c r="O444" s="118"/>
      <c r="P444" s="118"/>
      <c r="Q444" s="118"/>
    </row>
    <row r="445" spans="2:17" ht="14.25" customHeight="1" x14ac:dyDescent="0.3">
      <c r="B445" s="23"/>
      <c r="D445" s="25"/>
      <c r="E445" s="25"/>
      <c r="M445" s="12"/>
      <c r="N445" s="118"/>
      <c r="O445" s="118"/>
      <c r="P445" s="118"/>
      <c r="Q445" s="118"/>
    </row>
    <row r="446" spans="2:17" ht="14.25" customHeight="1" x14ac:dyDescent="0.3">
      <c r="B446" s="23"/>
      <c r="D446" s="25"/>
      <c r="E446" s="25"/>
      <c r="M446" s="12"/>
      <c r="N446" s="118"/>
      <c r="O446" s="118"/>
      <c r="P446" s="118"/>
      <c r="Q446" s="118"/>
    </row>
    <row r="447" spans="2:17" ht="14.25" customHeight="1" x14ac:dyDescent="0.3">
      <c r="B447" s="23"/>
      <c r="D447" s="25"/>
      <c r="E447" s="25"/>
      <c r="M447" s="12"/>
      <c r="N447" s="118"/>
      <c r="O447" s="118"/>
      <c r="P447" s="118"/>
      <c r="Q447" s="118"/>
    </row>
    <row r="448" spans="2:17" ht="14.25" customHeight="1" x14ac:dyDescent="0.3">
      <c r="B448" s="23"/>
      <c r="D448" s="25"/>
      <c r="E448" s="25"/>
      <c r="M448" s="12"/>
      <c r="N448" s="118"/>
      <c r="O448" s="118"/>
      <c r="P448" s="118"/>
      <c r="Q448" s="118"/>
    </row>
    <row r="449" spans="2:17" ht="14.25" customHeight="1" x14ac:dyDescent="0.3">
      <c r="B449" s="23"/>
      <c r="D449" s="25"/>
      <c r="E449" s="25"/>
      <c r="M449" s="12"/>
      <c r="N449" s="118"/>
      <c r="O449" s="118"/>
      <c r="P449" s="118"/>
      <c r="Q449" s="118"/>
    </row>
    <row r="450" spans="2:17" ht="14.25" customHeight="1" x14ac:dyDescent="0.3">
      <c r="B450" s="23"/>
      <c r="D450" s="25"/>
      <c r="E450" s="25"/>
      <c r="M450" s="12"/>
      <c r="N450" s="118"/>
      <c r="O450" s="118"/>
      <c r="P450" s="118"/>
      <c r="Q450" s="118"/>
    </row>
    <row r="451" spans="2:17" ht="14.25" customHeight="1" x14ac:dyDescent="0.3">
      <c r="B451" s="23"/>
      <c r="D451" s="25"/>
      <c r="E451" s="25"/>
      <c r="M451" s="12"/>
      <c r="N451" s="118"/>
      <c r="O451" s="118"/>
      <c r="P451" s="118"/>
      <c r="Q451" s="118"/>
    </row>
    <row r="452" spans="2:17" ht="14.25" customHeight="1" x14ac:dyDescent="0.3">
      <c r="B452" s="23"/>
      <c r="D452" s="25"/>
      <c r="E452" s="25"/>
      <c r="M452" s="12"/>
      <c r="N452" s="118"/>
      <c r="O452" s="118"/>
      <c r="P452" s="118"/>
      <c r="Q452" s="118"/>
    </row>
    <row r="453" spans="2:17" ht="14.25" customHeight="1" x14ac:dyDescent="0.3">
      <c r="B453" s="23"/>
      <c r="D453" s="25"/>
      <c r="E453" s="25"/>
      <c r="M453" s="12"/>
      <c r="N453" s="118"/>
      <c r="O453" s="118"/>
      <c r="P453" s="118"/>
      <c r="Q453" s="118"/>
    </row>
    <row r="454" spans="2:17" ht="14.25" customHeight="1" x14ac:dyDescent="0.3">
      <c r="B454" s="23"/>
      <c r="D454" s="25"/>
      <c r="E454" s="25"/>
      <c r="M454" s="12"/>
      <c r="N454" s="118"/>
      <c r="O454" s="118"/>
      <c r="P454" s="118"/>
      <c r="Q454" s="118"/>
    </row>
    <row r="455" spans="2:17" ht="14.25" customHeight="1" x14ac:dyDescent="0.3">
      <c r="B455" s="23"/>
      <c r="D455" s="25"/>
      <c r="E455" s="25"/>
      <c r="M455" s="12"/>
      <c r="N455" s="118"/>
      <c r="O455" s="118"/>
      <c r="P455" s="118"/>
      <c r="Q455" s="118"/>
    </row>
    <row r="456" spans="2:17" ht="14.25" customHeight="1" x14ac:dyDescent="0.3">
      <c r="B456" s="23"/>
      <c r="D456" s="25"/>
      <c r="E456" s="25"/>
      <c r="M456" s="12"/>
      <c r="N456" s="118"/>
      <c r="O456" s="118"/>
      <c r="P456" s="118"/>
      <c r="Q456" s="118"/>
    </row>
    <row r="457" spans="2:17" ht="14.25" customHeight="1" x14ac:dyDescent="0.3">
      <c r="B457" s="23"/>
      <c r="D457" s="25"/>
      <c r="E457" s="25"/>
      <c r="M457" s="12"/>
      <c r="N457" s="118"/>
      <c r="O457" s="118"/>
      <c r="P457" s="118"/>
      <c r="Q457" s="118"/>
    </row>
    <row r="458" spans="2:17" ht="14.25" customHeight="1" x14ac:dyDescent="0.3">
      <c r="B458" s="23"/>
      <c r="D458" s="25"/>
      <c r="E458" s="25"/>
      <c r="M458" s="12"/>
      <c r="N458" s="118"/>
      <c r="O458" s="118"/>
      <c r="P458" s="118"/>
      <c r="Q458" s="118"/>
    </row>
    <row r="459" spans="2:17" ht="14.25" customHeight="1" x14ac:dyDescent="0.3">
      <c r="B459" s="23"/>
      <c r="D459" s="25"/>
      <c r="E459" s="25"/>
      <c r="M459" s="12"/>
      <c r="N459" s="118"/>
      <c r="O459" s="118"/>
      <c r="P459" s="118"/>
      <c r="Q459" s="118"/>
    </row>
    <row r="460" spans="2:17" ht="14.25" customHeight="1" x14ac:dyDescent="0.3">
      <c r="B460" s="23"/>
      <c r="D460" s="25"/>
      <c r="E460" s="25"/>
      <c r="M460" s="12"/>
      <c r="N460" s="118"/>
      <c r="O460" s="118"/>
      <c r="P460" s="118"/>
      <c r="Q460" s="118"/>
    </row>
    <row r="461" spans="2:17" ht="14.25" customHeight="1" x14ac:dyDescent="0.3">
      <c r="B461" s="23"/>
      <c r="D461" s="25"/>
      <c r="E461" s="25"/>
      <c r="M461" s="12"/>
      <c r="N461" s="118"/>
      <c r="O461" s="118"/>
      <c r="P461" s="118"/>
      <c r="Q461" s="118"/>
    </row>
    <row r="462" spans="2:17" ht="14.25" customHeight="1" x14ac:dyDescent="0.3">
      <c r="B462" s="23"/>
      <c r="D462" s="25"/>
      <c r="E462" s="25"/>
      <c r="M462" s="12"/>
      <c r="N462" s="118"/>
      <c r="O462" s="118"/>
      <c r="P462" s="118"/>
      <c r="Q462" s="118"/>
    </row>
    <row r="463" spans="2:17" ht="14.25" customHeight="1" x14ac:dyDescent="0.3">
      <c r="B463" s="23"/>
      <c r="D463" s="25"/>
      <c r="E463" s="25"/>
      <c r="M463" s="12"/>
      <c r="N463" s="118"/>
      <c r="O463" s="118"/>
      <c r="P463" s="118"/>
      <c r="Q463" s="118"/>
    </row>
    <row r="464" spans="2:17" ht="14.25" customHeight="1" x14ac:dyDescent="0.3">
      <c r="B464" s="23"/>
      <c r="D464" s="25"/>
      <c r="E464" s="25"/>
      <c r="M464" s="12"/>
      <c r="N464" s="118"/>
      <c r="O464" s="118"/>
      <c r="P464" s="118"/>
      <c r="Q464" s="118"/>
    </row>
    <row r="465" spans="2:17" ht="14.25" customHeight="1" x14ac:dyDescent="0.3">
      <c r="B465" s="23"/>
      <c r="D465" s="25"/>
      <c r="E465" s="25"/>
      <c r="M465" s="12"/>
      <c r="N465" s="118"/>
      <c r="O465" s="118"/>
      <c r="P465" s="118"/>
      <c r="Q465" s="118"/>
    </row>
    <row r="466" spans="2:17" ht="14.25" customHeight="1" x14ac:dyDescent="0.3">
      <c r="B466" s="23"/>
      <c r="D466" s="25"/>
      <c r="E466" s="25"/>
      <c r="M466" s="12"/>
      <c r="N466" s="118"/>
      <c r="O466" s="118"/>
      <c r="P466" s="118"/>
      <c r="Q466" s="118"/>
    </row>
    <row r="467" spans="2:17" ht="14.25" customHeight="1" x14ac:dyDescent="0.3">
      <c r="B467" s="23"/>
      <c r="D467" s="25"/>
      <c r="E467" s="25"/>
      <c r="M467" s="12"/>
      <c r="N467" s="118"/>
      <c r="O467" s="118"/>
      <c r="P467" s="118"/>
      <c r="Q467" s="118"/>
    </row>
    <row r="468" spans="2:17" ht="14.25" customHeight="1" x14ac:dyDescent="0.3">
      <c r="B468" s="23"/>
      <c r="D468" s="25"/>
      <c r="E468" s="25"/>
      <c r="M468" s="12"/>
      <c r="N468" s="118"/>
      <c r="O468" s="118"/>
      <c r="P468" s="118"/>
      <c r="Q468" s="118"/>
    </row>
    <row r="469" spans="2:17" ht="14.25" customHeight="1" x14ac:dyDescent="0.3">
      <c r="B469" s="23"/>
      <c r="D469" s="25"/>
      <c r="E469" s="25"/>
      <c r="M469" s="12"/>
      <c r="N469" s="118"/>
      <c r="O469" s="118"/>
      <c r="P469" s="118"/>
      <c r="Q469" s="118"/>
    </row>
    <row r="470" spans="2:17" ht="14.25" customHeight="1" x14ac:dyDescent="0.3">
      <c r="B470" s="23"/>
      <c r="D470" s="25"/>
      <c r="E470" s="25"/>
      <c r="M470" s="12"/>
      <c r="N470" s="118"/>
      <c r="O470" s="118"/>
      <c r="P470" s="118"/>
      <c r="Q470" s="118"/>
    </row>
    <row r="471" spans="2:17" ht="14.25" customHeight="1" x14ac:dyDescent="0.3">
      <c r="B471" s="23"/>
      <c r="D471" s="25"/>
      <c r="E471" s="25"/>
      <c r="M471" s="12"/>
      <c r="N471" s="118"/>
      <c r="O471" s="118"/>
      <c r="P471" s="118"/>
      <c r="Q471" s="118"/>
    </row>
    <row r="472" spans="2:17" ht="14.25" customHeight="1" x14ac:dyDescent="0.3">
      <c r="B472" s="23"/>
      <c r="D472" s="25"/>
      <c r="E472" s="25"/>
      <c r="M472" s="12"/>
      <c r="N472" s="118"/>
      <c r="O472" s="118"/>
      <c r="P472" s="118"/>
      <c r="Q472" s="118"/>
    </row>
    <row r="473" spans="2:17" ht="14.25" customHeight="1" x14ac:dyDescent="0.3">
      <c r="B473" s="23"/>
      <c r="D473" s="25"/>
      <c r="E473" s="25"/>
      <c r="M473" s="12"/>
      <c r="N473" s="118"/>
      <c r="O473" s="118"/>
      <c r="P473" s="118"/>
      <c r="Q473" s="118"/>
    </row>
    <row r="474" spans="2:17" ht="14.25" customHeight="1" x14ac:dyDescent="0.3">
      <c r="B474" s="23"/>
      <c r="D474" s="25"/>
      <c r="E474" s="25"/>
      <c r="M474" s="12"/>
      <c r="N474" s="118"/>
      <c r="O474" s="118"/>
      <c r="P474" s="118"/>
      <c r="Q474" s="118"/>
    </row>
    <row r="475" spans="2:17" ht="14.25" customHeight="1" x14ac:dyDescent="0.3">
      <c r="B475" s="23"/>
      <c r="D475" s="25"/>
      <c r="E475" s="25"/>
      <c r="M475" s="12"/>
      <c r="N475" s="118"/>
      <c r="O475" s="118"/>
      <c r="P475" s="118"/>
      <c r="Q475" s="118"/>
    </row>
    <row r="476" spans="2:17" ht="14.25" customHeight="1" x14ac:dyDescent="0.3">
      <c r="B476" s="23"/>
      <c r="D476" s="25"/>
      <c r="E476" s="25"/>
      <c r="M476" s="12"/>
      <c r="N476" s="118"/>
      <c r="O476" s="118"/>
      <c r="P476" s="118"/>
      <c r="Q476" s="118"/>
    </row>
    <row r="477" spans="2:17" ht="14.25" customHeight="1" x14ac:dyDescent="0.3">
      <c r="B477" s="23"/>
      <c r="D477" s="25"/>
      <c r="E477" s="25"/>
      <c r="M477" s="12"/>
      <c r="N477" s="118"/>
      <c r="O477" s="118"/>
      <c r="P477" s="118"/>
      <c r="Q477" s="118"/>
    </row>
    <row r="478" spans="2:17" ht="14.25" customHeight="1" x14ac:dyDescent="0.3">
      <c r="B478" s="23"/>
      <c r="D478" s="25"/>
      <c r="E478" s="25"/>
      <c r="M478" s="12"/>
      <c r="N478" s="118"/>
      <c r="O478" s="118"/>
      <c r="P478" s="118"/>
      <c r="Q478" s="118"/>
    </row>
    <row r="479" spans="2:17" ht="14.25" customHeight="1" x14ac:dyDescent="0.3">
      <c r="B479" s="23"/>
      <c r="D479" s="25"/>
      <c r="E479" s="25"/>
      <c r="M479" s="12"/>
      <c r="N479" s="118"/>
      <c r="O479" s="118"/>
      <c r="P479" s="118"/>
      <c r="Q479" s="118"/>
    </row>
    <row r="480" spans="2:17" ht="14.25" customHeight="1" x14ac:dyDescent="0.3">
      <c r="B480" s="23"/>
      <c r="D480" s="25"/>
      <c r="E480" s="25"/>
      <c r="M480" s="12"/>
      <c r="N480" s="118"/>
      <c r="O480" s="118"/>
      <c r="P480" s="118"/>
      <c r="Q480" s="118"/>
    </row>
    <row r="481" spans="2:17" ht="14.25" customHeight="1" x14ac:dyDescent="0.3">
      <c r="B481" s="23"/>
      <c r="D481" s="25"/>
      <c r="E481" s="25"/>
      <c r="M481" s="12"/>
      <c r="N481" s="118"/>
      <c r="O481" s="118"/>
      <c r="P481" s="118"/>
      <c r="Q481" s="118"/>
    </row>
    <row r="482" spans="2:17" ht="14.25" customHeight="1" x14ac:dyDescent="0.3">
      <c r="B482" s="23"/>
      <c r="D482" s="25"/>
      <c r="E482" s="25"/>
      <c r="M482" s="12"/>
      <c r="N482" s="118"/>
      <c r="O482" s="118"/>
      <c r="P482" s="118"/>
      <c r="Q482" s="118"/>
    </row>
    <row r="483" spans="2:17" ht="14.25" customHeight="1" x14ac:dyDescent="0.3">
      <c r="B483" s="23"/>
      <c r="D483" s="25"/>
      <c r="E483" s="25"/>
      <c r="M483" s="12"/>
      <c r="N483" s="118"/>
      <c r="O483" s="118"/>
      <c r="P483" s="118"/>
      <c r="Q483" s="118"/>
    </row>
    <row r="484" spans="2:17" ht="14.25" customHeight="1" x14ac:dyDescent="0.3">
      <c r="B484" s="23"/>
      <c r="D484" s="25"/>
      <c r="E484" s="25"/>
      <c r="M484" s="12"/>
      <c r="N484" s="118"/>
      <c r="O484" s="118"/>
      <c r="P484" s="118"/>
      <c r="Q484" s="118"/>
    </row>
    <row r="485" spans="2:17" ht="14.25" customHeight="1" x14ac:dyDescent="0.3">
      <c r="B485" s="23"/>
      <c r="D485" s="25"/>
      <c r="E485" s="25"/>
      <c r="M485" s="12"/>
      <c r="N485" s="118"/>
      <c r="O485" s="118"/>
      <c r="P485" s="118"/>
      <c r="Q485" s="118"/>
    </row>
    <row r="486" spans="2:17" ht="14.25" customHeight="1" x14ac:dyDescent="0.3">
      <c r="B486" s="23"/>
      <c r="D486" s="25"/>
      <c r="E486" s="25"/>
      <c r="M486" s="12"/>
      <c r="N486" s="118"/>
      <c r="O486" s="118"/>
      <c r="P486" s="118"/>
      <c r="Q486" s="118"/>
    </row>
    <row r="487" spans="2:17" ht="14.25" customHeight="1" x14ac:dyDescent="0.3">
      <c r="B487" s="23"/>
      <c r="D487" s="25"/>
      <c r="E487" s="25"/>
      <c r="M487" s="12"/>
      <c r="N487" s="118"/>
      <c r="O487" s="118"/>
      <c r="P487" s="118"/>
      <c r="Q487" s="118"/>
    </row>
    <row r="488" spans="2:17" ht="14.25" customHeight="1" x14ac:dyDescent="0.3">
      <c r="B488" s="23"/>
      <c r="D488" s="25"/>
      <c r="E488" s="25"/>
      <c r="M488" s="12"/>
      <c r="N488" s="118"/>
      <c r="O488" s="118"/>
      <c r="P488" s="118"/>
      <c r="Q488" s="118"/>
    </row>
    <row r="489" spans="2:17" ht="14.25" customHeight="1" x14ac:dyDescent="0.3">
      <c r="B489" s="23"/>
      <c r="D489" s="25"/>
      <c r="E489" s="25"/>
      <c r="M489" s="12"/>
      <c r="N489" s="118"/>
      <c r="O489" s="118"/>
      <c r="P489" s="118"/>
      <c r="Q489" s="118"/>
    </row>
    <row r="490" spans="2:17" ht="14.25" customHeight="1" x14ac:dyDescent="0.3">
      <c r="B490" s="23"/>
      <c r="D490" s="25"/>
      <c r="E490" s="25"/>
      <c r="M490" s="12"/>
      <c r="N490" s="118"/>
      <c r="O490" s="118"/>
      <c r="P490" s="118"/>
      <c r="Q490" s="118"/>
    </row>
    <row r="491" spans="2:17" ht="14.25" customHeight="1" x14ac:dyDescent="0.3">
      <c r="B491" s="23"/>
      <c r="D491" s="25"/>
      <c r="E491" s="25"/>
      <c r="M491" s="12"/>
      <c r="N491" s="118"/>
      <c r="O491" s="118"/>
      <c r="P491" s="118"/>
      <c r="Q491" s="118"/>
    </row>
    <row r="492" spans="2:17" ht="14.25" customHeight="1" x14ac:dyDescent="0.3">
      <c r="B492" s="23"/>
      <c r="D492" s="25"/>
      <c r="E492" s="25"/>
      <c r="M492" s="12"/>
      <c r="N492" s="118"/>
      <c r="O492" s="118"/>
      <c r="P492" s="118"/>
      <c r="Q492" s="118"/>
    </row>
    <row r="493" spans="2:17" ht="14.25" customHeight="1" x14ac:dyDescent="0.3">
      <c r="B493" s="23"/>
      <c r="D493" s="25"/>
      <c r="E493" s="25"/>
      <c r="M493" s="12"/>
      <c r="N493" s="118"/>
      <c r="O493" s="118"/>
      <c r="P493" s="118"/>
      <c r="Q493" s="118"/>
    </row>
    <row r="494" spans="2:17" ht="14.25" customHeight="1" x14ac:dyDescent="0.3">
      <c r="B494" s="23"/>
      <c r="D494" s="25"/>
      <c r="E494" s="25"/>
      <c r="M494" s="12"/>
      <c r="N494" s="118"/>
      <c r="O494" s="118"/>
      <c r="P494" s="118"/>
      <c r="Q494" s="118"/>
    </row>
    <row r="495" spans="2:17" ht="14.25" customHeight="1" x14ac:dyDescent="0.3">
      <c r="B495" s="23"/>
      <c r="D495" s="25"/>
      <c r="E495" s="25"/>
      <c r="M495" s="12"/>
      <c r="N495" s="118"/>
      <c r="O495" s="118"/>
      <c r="P495" s="118"/>
      <c r="Q495" s="118"/>
    </row>
    <row r="496" spans="2:17" ht="14.25" customHeight="1" x14ac:dyDescent="0.3">
      <c r="B496" s="23"/>
      <c r="D496" s="25"/>
      <c r="E496" s="25"/>
      <c r="M496" s="12"/>
      <c r="N496" s="118"/>
      <c r="O496" s="118"/>
      <c r="P496" s="118"/>
      <c r="Q496" s="118"/>
    </row>
    <row r="497" spans="2:17" ht="14.25" customHeight="1" x14ac:dyDescent="0.3">
      <c r="B497" s="23"/>
      <c r="D497" s="25"/>
      <c r="E497" s="25"/>
      <c r="M497" s="12"/>
      <c r="N497" s="118"/>
      <c r="O497" s="118"/>
      <c r="P497" s="118"/>
      <c r="Q497" s="118"/>
    </row>
    <row r="498" spans="2:17" ht="14.25" customHeight="1" x14ac:dyDescent="0.3">
      <c r="B498" s="23"/>
      <c r="D498" s="25"/>
      <c r="E498" s="25"/>
      <c r="M498" s="12"/>
      <c r="N498" s="118"/>
      <c r="O498" s="118"/>
      <c r="P498" s="118"/>
      <c r="Q498" s="118"/>
    </row>
    <row r="499" spans="2:17" ht="14.25" customHeight="1" x14ac:dyDescent="0.3">
      <c r="B499" s="23"/>
      <c r="D499" s="25"/>
      <c r="E499" s="25"/>
      <c r="M499" s="12"/>
      <c r="N499" s="118"/>
      <c r="O499" s="118"/>
      <c r="P499" s="118"/>
      <c r="Q499" s="118"/>
    </row>
    <row r="500" spans="2:17" ht="14.25" customHeight="1" x14ac:dyDescent="0.3">
      <c r="B500" s="23"/>
      <c r="D500" s="25"/>
      <c r="E500" s="25"/>
      <c r="M500" s="12"/>
      <c r="N500" s="118"/>
      <c r="O500" s="118"/>
      <c r="P500" s="118"/>
      <c r="Q500" s="118"/>
    </row>
    <row r="501" spans="2:17" ht="14.25" customHeight="1" x14ac:dyDescent="0.3">
      <c r="B501" s="23"/>
      <c r="D501" s="25"/>
      <c r="E501" s="25"/>
      <c r="M501" s="12"/>
      <c r="N501" s="118"/>
      <c r="O501" s="118"/>
      <c r="P501" s="118"/>
      <c r="Q501" s="118"/>
    </row>
    <row r="502" spans="2:17" ht="14.25" customHeight="1" x14ac:dyDescent="0.3">
      <c r="B502" s="23"/>
      <c r="D502" s="25"/>
      <c r="E502" s="25"/>
      <c r="M502" s="12"/>
      <c r="N502" s="118"/>
      <c r="O502" s="118"/>
      <c r="P502" s="118"/>
      <c r="Q502" s="118"/>
    </row>
    <row r="503" spans="2:17" ht="14.25" customHeight="1" x14ac:dyDescent="0.3">
      <c r="B503" s="23"/>
      <c r="D503" s="25"/>
      <c r="E503" s="25"/>
      <c r="M503" s="12"/>
      <c r="N503" s="118"/>
      <c r="O503" s="118"/>
      <c r="P503" s="118"/>
      <c r="Q503" s="118"/>
    </row>
    <row r="504" spans="2:17" ht="14.25" customHeight="1" x14ac:dyDescent="0.3">
      <c r="B504" s="23"/>
      <c r="D504" s="25"/>
      <c r="E504" s="25"/>
      <c r="M504" s="12"/>
      <c r="N504" s="118"/>
      <c r="O504" s="118"/>
      <c r="P504" s="118"/>
      <c r="Q504" s="118"/>
    </row>
    <row r="505" spans="2:17" ht="14.25" customHeight="1" x14ac:dyDescent="0.3">
      <c r="B505" s="23"/>
      <c r="D505" s="25"/>
      <c r="E505" s="25"/>
      <c r="M505" s="12"/>
      <c r="N505" s="118"/>
      <c r="O505" s="118"/>
      <c r="P505" s="118"/>
      <c r="Q505" s="118"/>
    </row>
    <row r="506" spans="2:17" ht="14.25" customHeight="1" x14ac:dyDescent="0.3">
      <c r="B506" s="23"/>
      <c r="D506" s="25"/>
      <c r="E506" s="25"/>
      <c r="M506" s="12"/>
      <c r="N506" s="118"/>
      <c r="O506" s="118"/>
      <c r="P506" s="118"/>
      <c r="Q506" s="118"/>
    </row>
    <row r="507" spans="2:17" ht="14.25" customHeight="1" x14ac:dyDescent="0.3">
      <c r="B507" s="23"/>
      <c r="D507" s="25"/>
      <c r="E507" s="25"/>
      <c r="M507" s="12"/>
      <c r="N507" s="118"/>
      <c r="O507" s="118"/>
      <c r="P507" s="118"/>
      <c r="Q507" s="118"/>
    </row>
    <row r="508" spans="2:17" ht="14.25" customHeight="1" x14ac:dyDescent="0.3">
      <c r="B508" s="23"/>
      <c r="D508" s="25"/>
      <c r="E508" s="25"/>
      <c r="M508" s="12"/>
      <c r="N508" s="118"/>
      <c r="O508" s="118"/>
      <c r="P508" s="118"/>
      <c r="Q508" s="118"/>
    </row>
    <row r="509" spans="2:17" ht="14.25" customHeight="1" x14ac:dyDescent="0.3">
      <c r="B509" s="23"/>
      <c r="D509" s="25"/>
      <c r="E509" s="25"/>
      <c r="M509" s="12"/>
      <c r="N509" s="118"/>
      <c r="O509" s="118"/>
      <c r="P509" s="118"/>
      <c r="Q509" s="118"/>
    </row>
    <row r="510" spans="2:17" ht="14.25" customHeight="1" x14ac:dyDescent="0.3">
      <c r="B510" s="23"/>
      <c r="D510" s="25"/>
      <c r="E510" s="25"/>
      <c r="M510" s="12"/>
      <c r="N510" s="118"/>
      <c r="O510" s="118"/>
      <c r="P510" s="118"/>
      <c r="Q510" s="118"/>
    </row>
    <row r="511" spans="2:17" ht="14.25" customHeight="1" x14ac:dyDescent="0.3">
      <c r="B511" s="23"/>
      <c r="D511" s="25"/>
      <c r="E511" s="25"/>
      <c r="M511" s="12"/>
      <c r="N511" s="118"/>
      <c r="O511" s="118"/>
      <c r="P511" s="118"/>
      <c r="Q511" s="118"/>
    </row>
    <row r="512" spans="2:17" ht="14.25" customHeight="1" x14ac:dyDescent="0.3">
      <c r="B512" s="23"/>
      <c r="D512" s="25"/>
      <c r="E512" s="25"/>
      <c r="M512" s="12"/>
      <c r="N512" s="118"/>
      <c r="O512" s="118"/>
      <c r="P512" s="118"/>
      <c r="Q512" s="118"/>
    </row>
    <row r="513" spans="2:17" ht="14.25" customHeight="1" x14ac:dyDescent="0.3">
      <c r="B513" s="23"/>
      <c r="D513" s="25"/>
      <c r="E513" s="25"/>
      <c r="M513" s="12"/>
      <c r="N513" s="118"/>
      <c r="O513" s="118"/>
      <c r="P513" s="118"/>
      <c r="Q513" s="118"/>
    </row>
    <row r="514" spans="2:17" ht="14.25" customHeight="1" x14ac:dyDescent="0.3">
      <c r="B514" s="23"/>
      <c r="D514" s="25"/>
      <c r="E514" s="25"/>
      <c r="M514" s="12"/>
      <c r="N514" s="118"/>
      <c r="O514" s="118"/>
      <c r="P514" s="118"/>
      <c r="Q514" s="118"/>
    </row>
    <row r="515" spans="2:17" ht="14.25" customHeight="1" x14ac:dyDescent="0.3">
      <c r="B515" s="23"/>
      <c r="D515" s="25"/>
      <c r="E515" s="25"/>
      <c r="M515" s="12"/>
      <c r="N515" s="118"/>
      <c r="O515" s="118"/>
      <c r="P515" s="118"/>
      <c r="Q515" s="118"/>
    </row>
    <row r="516" spans="2:17" ht="14.25" customHeight="1" x14ac:dyDescent="0.3">
      <c r="B516" s="23"/>
      <c r="D516" s="25"/>
      <c r="E516" s="25"/>
      <c r="M516" s="12"/>
      <c r="N516" s="118"/>
      <c r="O516" s="118"/>
      <c r="P516" s="118"/>
      <c r="Q516" s="118"/>
    </row>
    <row r="517" spans="2:17" ht="14.25" customHeight="1" x14ac:dyDescent="0.3">
      <c r="B517" s="23"/>
      <c r="D517" s="25"/>
      <c r="E517" s="25"/>
      <c r="M517" s="12"/>
      <c r="N517" s="118"/>
      <c r="O517" s="118"/>
      <c r="P517" s="118"/>
      <c r="Q517" s="118"/>
    </row>
    <row r="518" spans="2:17" ht="14.25" customHeight="1" x14ac:dyDescent="0.3">
      <c r="B518" s="23"/>
      <c r="D518" s="25"/>
      <c r="E518" s="25"/>
      <c r="M518" s="12"/>
      <c r="N518" s="118"/>
      <c r="O518" s="118"/>
      <c r="P518" s="118"/>
      <c r="Q518" s="118"/>
    </row>
    <row r="519" spans="2:17" ht="14.25" customHeight="1" x14ac:dyDescent="0.3">
      <c r="B519" s="23"/>
      <c r="D519" s="25"/>
      <c r="E519" s="25"/>
      <c r="M519" s="12"/>
      <c r="N519" s="118"/>
      <c r="O519" s="118"/>
      <c r="P519" s="118"/>
      <c r="Q519" s="118"/>
    </row>
    <row r="520" spans="2:17" ht="14.25" customHeight="1" x14ac:dyDescent="0.3">
      <c r="B520" s="23"/>
      <c r="D520" s="25"/>
      <c r="E520" s="25"/>
      <c r="M520" s="12"/>
      <c r="N520" s="118"/>
      <c r="O520" s="118"/>
      <c r="P520" s="118"/>
      <c r="Q520" s="118"/>
    </row>
    <row r="521" spans="2:17" ht="14.25" customHeight="1" x14ac:dyDescent="0.3">
      <c r="B521" s="23"/>
      <c r="D521" s="25"/>
      <c r="E521" s="25"/>
      <c r="M521" s="12"/>
      <c r="N521" s="118"/>
      <c r="O521" s="118"/>
      <c r="P521" s="118"/>
      <c r="Q521" s="118"/>
    </row>
    <row r="522" spans="2:17" ht="14.25" customHeight="1" x14ac:dyDescent="0.3">
      <c r="B522" s="23"/>
      <c r="D522" s="25"/>
      <c r="E522" s="25"/>
      <c r="M522" s="12"/>
      <c r="N522" s="118"/>
      <c r="O522" s="118"/>
      <c r="P522" s="118"/>
      <c r="Q522" s="118"/>
    </row>
    <row r="523" spans="2:17" ht="14.25" customHeight="1" x14ac:dyDescent="0.3">
      <c r="B523" s="23"/>
      <c r="D523" s="25"/>
      <c r="E523" s="25"/>
      <c r="M523" s="12"/>
      <c r="N523" s="118"/>
      <c r="O523" s="118"/>
      <c r="P523" s="118"/>
      <c r="Q523" s="118"/>
    </row>
    <row r="524" spans="2:17" ht="14.25" customHeight="1" x14ac:dyDescent="0.3">
      <c r="B524" s="23"/>
      <c r="D524" s="25"/>
      <c r="E524" s="25"/>
      <c r="M524" s="12"/>
      <c r="N524" s="118"/>
      <c r="O524" s="118"/>
      <c r="P524" s="118"/>
      <c r="Q524" s="118"/>
    </row>
    <row r="525" spans="2:17" ht="14.25" customHeight="1" x14ac:dyDescent="0.3">
      <c r="B525" s="23"/>
      <c r="D525" s="25"/>
      <c r="E525" s="25"/>
      <c r="M525" s="12"/>
      <c r="N525" s="118"/>
      <c r="O525" s="118"/>
      <c r="P525" s="118"/>
      <c r="Q525" s="118"/>
    </row>
    <row r="526" spans="2:17" ht="14.25" customHeight="1" x14ac:dyDescent="0.3">
      <c r="B526" s="23"/>
      <c r="D526" s="25"/>
      <c r="E526" s="25"/>
      <c r="M526" s="12"/>
      <c r="N526" s="118"/>
      <c r="O526" s="118"/>
      <c r="P526" s="118"/>
      <c r="Q526" s="118"/>
    </row>
    <row r="527" spans="2:17" ht="14.25" customHeight="1" x14ac:dyDescent="0.3">
      <c r="B527" s="23"/>
      <c r="D527" s="25"/>
      <c r="E527" s="25"/>
      <c r="M527" s="12"/>
      <c r="N527" s="118"/>
      <c r="O527" s="118"/>
      <c r="P527" s="118"/>
      <c r="Q527" s="118"/>
    </row>
    <row r="528" spans="2:17" ht="14.25" customHeight="1" x14ac:dyDescent="0.3">
      <c r="B528" s="23"/>
      <c r="D528" s="25"/>
      <c r="E528" s="25"/>
      <c r="M528" s="12"/>
      <c r="N528" s="118"/>
      <c r="O528" s="118"/>
      <c r="P528" s="118"/>
      <c r="Q528" s="118"/>
    </row>
    <row r="529" spans="2:17" ht="14.25" customHeight="1" x14ac:dyDescent="0.3">
      <c r="B529" s="23"/>
      <c r="D529" s="25"/>
      <c r="E529" s="25"/>
      <c r="M529" s="12"/>
      <c r="N529" s="118"/>
      <c r="O529" s="118"/>
      <c r="P529" s="118"/>
      <c r="Q529" s="118"/>
    </row>
    <row r="530" spans="2:17" ht="14.25" customHeight="1" x14ac:dyDescent="0.3">
      <c r="B530" s="23"/>
      <c r="D530" s="25"/>
      <c r="E530" s="25"/>
      <c r="M530" s="12"/>
      <c r="N530" s="118"/>
      <c r="O530" s="118"/>
      <c r="P530" s="118"/>
      <c r="Q530" s="118"/>
    </row>
    <row r="531" spans="2:17" ht="14.25" customHeight="1" x14ac:dyDescent="0.3">
      <c r="B531" s="23"/>
      <c r="D531" s="25"/>
      <c r="E531" s="25"/>
      <c r="M531" s="12"/>
      <c r="N531" s="118"/>
      <c r="O531" s="118"/>
      <c r="P531" s="118"/>
      <c r="Q531" s="118"/>
    </row>
    <row r="532" spans="2:17" ht="14.25" customHeight="1" x14ac:dyDescent="0.3">
      <c r="B532" s="23"/>
      <c r="D532" s="25"/>
      <c r="E532" s="25"/>
      <c r="M532" s="12"/>
      <c r="N532" s="118"/>
      <c r="O532" s="118"/>
      <c r="P532" s="118"/>
      <c r="Q532" s="118"/>
    </row>
    <row r="533" spans="2:17" ht="14.25" customHeight="1" x14ac:dyDescent="0.3">
      <c r="B533" s="23"/>
      <c r="D533" s="25"/>
      <c r="E533" s="25"/>
      <c r="M533" s="12"/>
      <c r="N533" s="118"/>
      <c r="O533" s="118"/>
      <c r="P533" s="118"/>
      <c r="Q533" s="118"/>
    </row>
    <row r="534" spans="2:17" ht="14.25" customHeight="1" x14ac:dyDescent="0.3">
      <c r="B534" s="23"/>
      <c r="D534" s="25"/>
      <c r="E534" s="25"/>
      <c r="M534" s="12"/>
      <c r="N534" s="118"/>
      <c r="O534" s="118"/>
      <c r="P534" s="118"/>
      <c r="Q534" s="118"/>
    </row>
    <row r="535" spans="2:17" ht="14.25" customHeight="1" x14ac:dyDescent="0.3">
      <c r="B535" s="23"/>
      <c r="D535" s="25"/>
      <c r="E535" s="25"/>
      <c r="M535" s="12"/>
      <c r="N535" s="118"/>
      <c r="O535" s="118"/>
      <c r="P535" s="118"/>
      <c r="Q535" s="118"/>
    </row>
    <row r="536" spans="2:17" ht="14.25" customHeight="1" x14ac:dyDescent="0.3">
      <c r="B536" s="23"/>
      <c r="D536" s="25"/>
      <c r="E536" s="25"/>
      <c r="M536" s="12"/>
      <c r="N536" s="118"/>
      <c r="O536" s="118"/>
      <c r="P536" s="118"/>
      <c r="Q536" s="118"/>
    </row>
    <row r="537" spans="2:17" ht="14.25" customHeight="1" x14ac:dyDescent="0.3">
      <c r="B537" s="23"/>
      <c r="D537" s="25"/>
      <c r="E537" s="25"/>
      <c r="M537" s="12"/>
      <c r="N537" s="118"/>
      <c r="O537" s="118"/>
      <c r="P537" s="118"/>
      <c r="Q537" s="118"/>
    </row>
    <row r="538" spans="2:17" ht="14.25" customHeight="1" x14ac:dyDescent="0.3">
      <c r="B538" s="23"/>
      <c r="D538" s="25"/>
      <c r="E538" s="25"/>
      <c r="M538" s="12"/>
      <c r="N538" s="118"/>
      <c r="O538" s="118"/>
      <c r="P538" s="118"/>
      <c r="Q538" s="118"/>
    </row>
    <row r="539" spans="2:17" ht="14.25" customHeight="1" x14ac:dyDescent="0.3">
      <c r="B539" s="23"/>
      <c r="D539" s="25"/>
      <c r="E539" s="25"/>
      <c r="M539" s="12"/>
      <c r="N539" s="118"/>
      <c r="O539" s="118"/>
      <c r="P539" s="118"/>
      <c r="Q539" s="118"/>
    </row>
    <row r="540" spans="2:17" ht="14.25" customHeight="1" x14ac:dyDescent="0.3">
      <c r="B540" s="23"/>
      <c r="D540" s="25"/>
      <c r="E540" s="25"/>
      <c r="M540" s="12"/>
      <c r="N540" s="118"/>
      <c r="O540" s="118"/>
      <c r="P540" s="118"/>
      <c r="Q540" s="118"/>
    </row>
    <row r="541" spans="2:17" ht="14.25" customHeight="1" x14ac:dyDescent="0.3">
      <c r="B541" s="23"/>
      <c r="D541" s="25"/>
      <c r="E541" s="25"/>
      <c r="M541" s="12"/>
      <c r="N541" s="118"/>
      <c r="O541" s="118"/>
      <c r="P541" s="118"/>
      <c r="Q541" s="118"/>
    </row>
    <row r="542" spans="2:17" ht="14.25" customHeight="1" x14ac:dyDescent="0.3">
      <c r="B542" s="23"/>
      <c r="D542" s="25"/>
      <c r="E542" s="25"/>
      <c r="M542" s="12"/>
      <c r="N542" s="118"/>
      <c r="O542" s="118"/>
      <c r="P542" s="118"/>
      <c r="Q542" s="118"/>
    </row>
    <row r="543" spans="2:17" ht="14.25" customHeight="1" x14ac:dyDescent="0.3">
      <c r="B543" s="23"/>
      <c r="D543" s="25"/>
      <c r="E543" s="25"/>
      <c r="M543" s="12"/>
      <c r="N543" s="118"/>
      <c r="O543" s="118"/>
      <c r="P543" s="118"/>
      <c r="Q543" s="118"/>
    </row>
    <row r="544" spans="2:17" ht="14.25" customHeight="1" x14ac:dyDescent="0.3">
      <c r="B544" s="23"/>
      <c r="D544" s="25"/>
      <c r="E544" s="25"/>
      <c r="M544" s="12"/>
      <c r="N544" s="118"/>
      <c r="O544" s="118"/>
      <c r="P544" s="118"/>
      <c r="Q544" s="118"/>
    </row>
    <row r="545" spans="2:17" ht="14.25" customHeight="1" x14ac:dyDescent="0.3">
      <c r="B545" s="23"/>
      <c r="D545" s="25"/>
      <c r="E545" s="25"/>
      <c r="M545" s="12"/>
      <c r="N545" s="118"/>
      <c r="O545" s="118"/>
      <c r="P545" s="118"/>
      <c r="Q545" s="118"/>
    </row>
    <row r="546" spans="2:17" ht="14.25" customHeight="1" x14ac:dyDescent="0.3">
      <c r="B546" s="23"/>
      <c r="D546" s="25"/>
      <c r="E546" s="25"/>
      <c r="M546" s="12"/>
      <c r="N546" s="118"/>
      <c r="O546" s="118"/>
      <c r="P546" s="118"/>
      <c r="Q546" s="118"/>
    </row>
    <row r="547" spans="2:17" ht="14.25" customHeight="1" x14ac:dyDescent="0.3">
      <c r="B547" s="23"/>
      <c r="D547" s="25"/>
      <c r="E547" s="25"/>
      <c r="M547" s="12"/>
      <c r="N547" s="118"/>
      <c r="O547" s="118"/>
      <c r="P547" s="118"/>
      <c r="Q547" s="118"/>
    </row>
    <row r="548" spans="2:17" ht="14.25" customHeight="1" x14ac:dyDescent="0.3">
      <c r="B548" s="23"/>
      <c r="D548" s="25"/>
      <c r="E548" s="25"/>
      <c r="M548" s="12"/>
      <c r="N548" s="118"/>
      <c r="O548" s="118"/>
      <c r="P548" s="118"/>
      <c r="Q548" s="118"/>
    </row>
    <row r="549" spans="2:17" ht="14.25" customHeight="1" x14ac:dyDescent="0.3">
      <c r="B549" s="23"/>
      <c r="D549" s="25"/>
      <c r="E549" s="25"/>
      <c r="M549" s="12"/>
      <c r="N549" s="118"/>
      <c r="O549" s="118"/>
      <c r="P549" s="118"/>
      <c r="Q549" s="118"/>
    </row>
    <row r="550" spans="2:17" ht="14.25" customHeight="1" x14ac:dyDescent="0.3">
      <c r="B550" s="23"/>
      <c r="D550" s="25"/>
      <c r="E550" s="25"/>
      <c r="M550" s="12"/>
      <c r="N550" s="118"/>
      <c r="O550" s="118"/>
      <c r="P550" s="118"/>
      <c r="Q550" s="118"/>
    </row>
    <row r="551" spans="2:17" ht="14.25" customHeight="1" x14ac:dyDescent="0.3">
      <c r="B551" s="23"/>
      <c r="D551" s="25"/>
      <c r="E551" s="25"/>
      <c r="M551" s="12"/>
      <c r="N551" s="118"/>
      <c r="O551" s="118"/>
      <c r="P551" s="118"/>
      <c r="Q551" s="118"/>
    </row>
    <row r="552" spans="2:17" ht="14.25" customHeight="1" x14ac:dyDescent="0.3">
      <c r="B552" s="23"/>
      <c r="D552" s="25"/>
      <c r="E552" s="25"/>
      <c r="M552" s="12"/>
      <c r="N552" s="118"/>
      <c r="O552" s="118"/>
      <c r="P552" s="118"/>
      <c r="Q552" s="118"/>
    </row>
    <row r="553" spans="2:17" ht="14.25" customHeight="1" x14ac:dyDescent="0.3">
      <c r="B553" s="23"/>
      <c r="D553" s="25"/>
      <c r="E553" s="25"/>
      <c r="M553" s="12"/>
      <c r="N553" s="118"/>
      <c r="O553" s="118"/>
      <c r="P553" s="118"/>
      <c r="Q553" s="118"/>
    </row>
    <row r="554" spans="2:17" ht="14.25" customHeight="1" x14ac:dyDescent="0.3">
      <c r="B554" s="23"/>
      <c r="D554" s="25"/>
      <c r="E554" s="25"/>
      <c r="M554" s="12"/>
      <c r="N554" s="118"/>
      <c r="O554" s="118"/>
      <c r="P554" s="118"/>
      <c r="Q554" s="118"/>
    </row>
    <row r="555" spans="2:17" ht="14.25" customHeight="1" x14ac:dyDescent="0.3">
      <c r="B555" s="23"/>
      <c r="D555" s="25"/>
      <c r="E555" s="25"/>
      <c r="M555" s="12"/>
      <c r="N555" s="118"/>
      <c r="O555" s="118"/>
      <c r="P555" s="118"/>
      <c r="Q555" s="118"/>
    </row>
    <row r="556" spans="2:17" ht="14.25" customHeight="1" x14ac:dyDescent="0.3">
      <c r="B556" s="23"/>
      <c r="D556" s="25"/>
      <c r="E556" s="25"/>
      <c r="M556" s="12"/>
      <c r="N556" s="118"/>
      <c r="O556" s="118"/>
      <c r="P556" s="118"/>
      <c r="Q556" s="118"/>
    </row>
    <row r="557" spans="2:17" ht="14.25" customHeight="1" x14ac:dyDescent="0.3">
      <c r="B557" s="23"/>
      <c r="D557" s="25"/>
      <c r="E557" s="25"/>
      <c r="M557" s="12"/>
      <c r="N557" s="118"/>
      <c r="O557" s="118"/>
      <c r="P557" s="118"/>
      <c r="Q557" s="118"/>
    </row>
    <row r="558" spans="2:17" ht="14.25" customHeight="1" x14ac:dyDescent="0.3">
      <c r="B558" s="23"/>
      <c r="D558" s="25"/>
      <c r="E558" s="25"/>
      <c r="M558" s="12"/>
      <c r="N558" s="118"/>
      <c r="O558" s="118"/>
      <c r="P558" s="118"/>
      <c r="Q558" s="118"/>
    </row>
    <row r="559" spans="2:17" ht="14.25" customHeight="1" x14ac:dyDescent="0.3">
      <c r="B559" s="23"/>
      <c r="D559" s="25"/>
      <c r="E559" s="25"/>
      <c r="M559" s="12"/>
      <c r="N559" s="118"/>
      <c r="O559" s="118"/>
      <c r="P559" s="118"/>
      <c r="Q559" s="118"/>
    </row>
    <row r="560" spans="2:17" ht="14.25" customHeight="1" x14ac:dyDescent="0.3">
      <c r="B560" s="23"/>
      <c r="D560" s="25"/>
      <c r="E560" s="25"/>
      <c r="M560" s="12"/>
      <c r="N560" s="118"/>
      <c r="O560" s="118"/>
      <c r="P560" s="118"/>
      <c r="Q560" s="118"/>
    </row>
    <row r="561" spans="2:17" ht="14.25" customHeight="1" x14ac:dyDescent="0.3">
      <c r="B561" s="23"/>
      <c r="D561" s="25"/>
      <c r="E561" s="25"/>
      <c r="M561" s="12"/>
      <c r="N561" s="118"/>
      <c r="O561" s="118"/>
      <c r="P561" s="118"/>
      <c r="Q561" s="118"/>
    </row>
    <row r="562" spans="2:17" ht="14.25" customHeight="1" x14ac:dyDescent="0.3">
      <c r="B562" s="23"/>
      <c r="D562" s="25"/>
      <c r="E562" s="25"/>
      <c r="M562" s="12"/>
      <c r="N562" s="118"/>
      <c r="O562" s="118"/>
      <c r="P562" s="118"/>
      <c r="Q562" s="118"/>
    </row>
    <row r="563" spans="2:17" ht="14.25" customHeight="1" x14ac:dyDescent="0.3">
      <c r="B563" s="23"/>
      <c r="D563" s="25"/>
      <c r="E563" s="25"/>
      <c r="M563" s="12"/>
      <c r="N563" s="118"/>
      <c r="O563" s="118"/>
      <c r="P563" s="118"/>
      <c r="Q563" s="118"/>
    </row>
    <row r="564" spans="2:17" ht="14.25" customHeight="1" x14ac:dyDescent="0.3">
      <c r="B564" s="23"/>
      <c r="D564" s="25"/>
      <c r="E564" s="25"/>
      <c r="M564" s="12"/>
      <c r="N564" s="118"/>
      <c r="O564" s="118"/>
      <c r="P564" s="118"/>
      <c r="Q564" s="118"/>
    </row>
    <row r="565" spans="2:17" ht="14.25" customHeight="1" x14ac:dyDescent="0.3">
      <c r="B565" s="23"/>
      <c r="D565" s="25"/>
      <c r="E565" s="25"/>
      <c r="M565" s="12"/>
      <c r="N565" s="118"/>
      <c r="O565" s="118"/>
      <c r="P565" s="118"/>
      <c r="Q565" s="118"/>
    </row>
    <row r="566" spans="2:17" ht="14.25" customHeight="1" x14ac:dyDescent="0.3">
      <c r="B566" s="23"/>
      <c r="D566" s="25"/>
      <c r="E566" s="25"/>
      <c r="M566" s="12"/>
      <c r="N566" s="118"/>
      <c r="O566" s="118"/>
      <c r="P566" s="118"/>
      <c r="Q566" s="118"/>
    </row>
    <row r="567" spans="2:17" ht="14.25" customHeight="1" x14ac:dyDescent="0.3">
      <c r="B567" s="23"/>
      <c r="D567" s="25"/>
      <c r="E567" s="25"/>
      <c r="M567" s="12"/>
      <c r="N567" s="118"/>
      <c r="O567" s="118"/>
      <c r="P567" s="118"/>
      <c r="Q567" s="118"/>
    </row>
    <row r="568" spans="2:17" ht="14.25" customHeight="1" x14ac:dyDescent="0.3">
      <c r="B568" s="23"/>
      <c r="D568" s="25"/>
      <c r="E568" s="25"/>
      <c r="M568" s="12"/>
      <c r="N568" s="118"/>
      <c r="O568" s="118"/>
      <c r="P568" s="118"/>
      <c r="Q568" s="118"/>
    </row>
    <row r="569" spans="2:17" ht="14.25" customHeight="1" x14ac:dyDescent="0.3">
      <c r="B569" s="23"/>
      <c r="D569" s="25"/>
      <c r="E569" s="25"/>
      <c r="M569" s="12"/>
      <c r="N569" s="118"/>
      <c r="O569" s="118"/>
      <c r="P569" s="118"/>
      <c r="Q569" s="118"/>
    </row>
    <row r="570" spans="2:17" ht="14.25" customHeight="1" x14ac:dyDescent="0.3">
      <c r="B570" s="23"/>
      <c r="D570" s="25"/>
      <c r="E570" s="25"/>
      <c r="M570" s="12"/>
      <c r="N570" s="118"/>
      <c r="O570" s="118"/>
      <c r="P570" s="118"/>
      <c r="Q570" s="118"/>
    </row>
    <row r="571" spans="2:17" ht="14.25" customHeight="1" x14ac:dyDescent="0.3">
      <c r="B571" s="23"/>
      <c r="D571" s="25"/>
      <c r="E571" s="25"/>
      <c r="M571" s="12"/>
      <c r="N571" s="118"/>
      <c r="O571" s="118"/>
      <c r="P571" s="118"/>
      <c r="Q571" s="118"/>
    </row>
    <row r="572" spans="2:17" ht="14.25" customHeight="1" x14ac:dyDescent="0.3">
      <c r="B572" s="23"/>
      <c r="D572" s="25"/>
      <c r="E572" s="25"/>
      <c r="M572" s="12"/>
      <c r="N572" s="118"/>
      <c r="O572" s="118"/>
      <c r="P572" s="118"/>
      <c r="Q572" s="118"/>
    </row>
    <row r="573" spans="2:17" ht="14.25" customHeight="1" x14ac:dyDescent="0.3">
      <c r="B573" s="23"/>
      <c r="D573" s="25"/>
      <c r="E573" s="25"/>
      <c r="M573" s="12"/>
      <c r="N573" s="118"/>
      <c r="O573" s="118"/>
      <c r="P573" s="118"/>
      <c r="Q573" s="118"/>
    </row>
    <row r="574" spans="2:17" ht="14.25" customHeight="1" x14ac:dyDescent="0.3">
      <c r="B574" s="23"/>
      <c r="D574" s="25"/>
      <c r="E574" s="25"/>
      <c r="M574" s="12"/>
      <c r="N574" s="118"/>
      <c r="O574" s="118"/>
      <c r="P574" s="118"/>
      <c r="Q574" s="118"/>
    </row>
    <row r="575" spans="2:17" ht="14.25" customHeight="1" x14ac:dyDescent="0.3">
      <c r="B575" s="23"/>
      <c r="D575" s="25"/>
      <c r="E575" s="25"/>
      <c r="M575" s="12"/>
      <c r="N575" s="118"/>
      <c r="O575" s="118"/>
      <c r="P575" s="118"/>
      <c r="Q575" s="118"/>
    </row>
    <row r="576" spans="2:17" ht="14.25" customHeight="1" x14ac:dyDescent="0.3">
      <c r="B576" s="23"/>
      <c r="D576" s="25"/>
      <c r="E576" s="25"/>
      <c r="M576" s="12"/>
      <c r="N576" s="118"/>
      <c r="O576" s="118"/>
      <c r="P576" s="118"/>
      <c r="Q576" s="118"/>
    </row>
    <row r="577" spans="2:17" ht="14.25" customHeight="1" x14ac:dyDescent="0.3">
      <c r="B577" s="23"/>
      <c r="D577" s="25"/>
      <c r="E577" s="25"/>
      <c r="M577" s="12"/>
      <c r="N577" s="118"/>
      <c r="O577" s="118"/>
      <c r="P577" s="118"/>
      <c r="Q577" s="118"/>
    </row>
    <row r="578" spans="2:17" ht="14.25" customHeight="1" x14ac:dyDescent="0.3">
      <c r="B578" s="23"/>
      <c r="D578" s="25"/>
      <c r="E578" s="25"/>
      <c r="M578" s="12"/>
      <c r="N578" s="118"/>
      <c r="O578" s="118"/>
      <c r="P578" s="118"/>
      <c r="Q578" s="118"/>
    </row>
    <row r="579" spans="2:17" ht="14.25" customHeight="1" x14ac:dyDescent="0.3">
      <c r="B579" s="23"/>
      <c r="D579" s="25"/>
      <c r="E579" s="25"/>
      <c r="M579" s="12"/>
      <c r="N579" s="118"/>
      <c r="O579" s="118"/>
      <c r="P579" s="118"/>
      <c r="Q579" s="118"/>
    </row>
    <row r="580" spans="2:17" ht="14.25" customHeight="1" x14ac:dyDescent="0.3">
      <c r="B580" s="23"/>
      <c r="D580" s="25"/>
      <c r="E580" s="25"/>
      <c r="M580" s="12"/>
      <c r="N580" s="118"/>
      <c r="O580" s="118"/>
      <c r="P580" s="118"/>
      <c r="Q580" s="118"/>
    </row>
    <row r="581" spans="2:17" ht="14.25" customHeight="1" x14ac:dyDescent="0.3">
      <c r="B581" s="23"/>
      <c r="D581" s="25"/>
      <c r="E581" s="25"/>
      <c r="M581" s="12"/>
      <c r="N581" s="118"/>
      <c r="O581" s="118"/>
      <c r="P581" s="118"/>
      <c r="Q581" s="118"/>
    </row>
    <row r="582" spans="2:17" ht="14.25" customHeight="1" x14ac:dyDescent="0.3">
      <c r="B582" s="23"/>
      <c r="D582" s="25"/>
      <c r="E582" s="25"/>
      <c r="M582" s="12"/>
      <c r="N582" s="118"/>
      <c r="O582" s="118"/>
      <c r="P582" s="118"/>
      <c r="Q582" s="118"/>
    </row>
    <row r="583" spans="2:17" ht="14.25" customHeight="1" x14ac:dyDescent="0.3">
      <c r="B583" s="23"/>
      <c r="D583" s="25"/>
      <c r="E583" s="25"/>
      <c r="M583" s="12"/>
      <c r="N583" s="118"/>
      <c r="O583" s="118"/>
      <c r="P583" s="118"/>
      <c r="Q583" s="118"/>
    </row>
    <row r="584" spans="2:17" ht="14.25" customHeight="1" x14ac:dyDescent="0.3">
      <c r="B584" s="23"/>
      <c r="D584" s="25"/>
      <c r="E584" s="25"/>
      <c r="M584" s="12"/>
      <c r="N584" s="118"/>
      <c r="O584" s="118"/>
      <c r="P584" s="118"/>
      <c r="Q584" s="118"/>
    </row>
    <row r="585" spans="2:17" ht="14.25" customHeight="1" x14ac:dyDescent="0.3">
      <c r="B585" s="23"/>
      <c r="D585" s="25"/>
      <c r="E585" s="25"/>
      <c r="M585" s="12"/>
      <c r="N585" s="118"/>
      <c r="O585" s="118"/>
      <c r="P585" s="118"/>
      <c r="Q585" s="118"/>
    </row>
    <row r="586" spans="2:17" ht="14.25" customHeight="1" x14ac:dyDescent="0.3">
      <c r="B586" s="23"/>
      <c r="D586" s="25"/>
      <c r="E586" s="25"/>
      <c r="M586" s="12"/>
      <c r="N586" s="118"/>
      <c r="O586" s="118"/>
      <c r="P586" s="118"/>
      <c r="Q586" s="118"/>
    </row>
    <row r="587" spans="2:17" ht="14.25" customHeight="1" x14ac:dyDescent="0.3">
      <c r="B587" s="23"/>
      <c r="D587" s="25"/>
      <c r="E587" s="25"/>
      <c r="M587" s="12"/>
      <c r="N587" s="118"/>
      <c r="O587" s="118"/>
      <c r="P587" s="118"/>
      <c r="Q587" s="118"/>
    </row>
    <row r="588" spans="2:17" ht="14.25" customHeight="1" x14ac:dyDescent="0.3">
      <c r="B588" s="23"/>
      <c r="D588" s="25"/>
      <c r="E588" s="25"/>
      <c r="M588" s="12"/>
      <c r="N588" s="118"/>
      <c r="O588" s="118"/>
      <c r="P588" s="118"/>
      <c r="Q588" s="118"/>
    </row>
    <row r="589" spans="2:17" ht="14.25" customHeight="1" x14ac:dyDescent="0.3">
      <c r="B589" s="23"/>
      <c r="D589" s="25"/>
      <c r="E589" s="25"/>
      <c r="M589" s="12"/>
      <c r="N589" s="118"/>
      <c r="O589" s="118"/>
      <c r="P589" s="118"/>
      <c r="Q589" s="118"/>
    </row>
    <row r="590" spans="2:17" ht="14.25" customHeight="1" x14ac:dyDescent="0.3">
      <c r="B590" s="23"/>
      <c r="D590" s="25"/>
      <c r="E590" s="25"/>
      <c r="M590" s="12"/>
      <c r="N590" s="118"/>
      <c r="O590" s="118"/>
      <c r="P590" s="118"/>
      <c r="Q590" s="118"/>
    </row>
    <row r="591" spans="2:17" ht="14.25" customHeight="1" x14ac:dyDescent="0.3">
      <c r="B591" s="23"/>
      <c r="D591" s="25"/>
      <c r="E591" s="25"/>
      <c r="M591" s="12"/>
      <c r="N591" s="118"/>
      <c r="O591" s="118"/>
      <c r="P591" s="118"/>
      <c r="Q591" s="118"/>
    </row>
    <row r="592" spans="2:17" ht="14.25" customHeight="1" x14ac:dyDescent="0.3">
      <c r="B592" s="23"/>
      <c r="D592" s="25"/>
      <c r="E592" s="25"/>
      <c r="M592" s="12"/>
      <c r="N592" s="118"/>
      <c r="O592" s="118"/>
      <c r="P592" s="118"/>
      <c r="Q592" s="118"/>
    </row>
    <row r="593" spans="2:17" ht="14.25" customHeight="1" x14ac:dyDescent="0.3">
      <c r="B593" s="23"/>
      <c r="D593" s="25"/>
      <c r="E593" s="25"/>
      <c r="M593" s="12"/>
      <c r="N593" s="118"/>
      <c r="O593" s="118"/>
      <c r="P593" s="118"/>
      <c r="Q593" s="118"/>
    </row>
    <row r="594" spans="2:17" ht="14.25" customHeight="1" x14ac:dyDescent="0.3">
      <c r="B594" s="23"/>
      <c r="D594" s="25"/>
      <c r="E594" s="25"/>
      <c r="M594" s="12"/>
      <c r="N594" s="118"/>
      <c r="O594" s="118"/>
      <c r="P594" s="118"/>
      <c r="Q594" s="118"/>
    </row>
    <row r="595" spans="2:17" ht="14.25" customHeight="1" x14ac:dyDescent="0.3">
      <c r="B595" s="23"/>
      <c r="D595" s="25"/>
      <c r="E595" s="25"/>
      <c r="M595" s="12"/>
      <c r="N595" s="118"/>
      <c r="O595" s="118"/>
      <c r="P595" s="118"/>
      <c r="Q595" s="118"/>
    </row>
    <row r="596" spans="2:17" ht="14.25" customHeight="1" x14ac:dyDescent="0.3">
      <c r="B596" s="23"/>
      <c r="D596" s="25"/>
      <c r="E596" s="25"/>
      <c r="M596" s="12"/>
      <c r="N596" s="118"/>
      <c r="O596" s="118"/>
      <c r="P596" s="118"/>
      <c r="Q596" s="118"/>
    </row>
    <row r="597" spans="2:17" ht="14.25" customHeight="1" x14ac:dyDescent="0.3">
      <c r="B597" s="23"/>
      <c r="D597" s="25"/>
      <c r="E597" s="25"/>
      <c r="M597" s="12"/>
      <c r="N597" s="118"/>
      <c r="O597" s="118"/>
      <c r="P597" s="118"/>
      <c r="Q597" s="118"/>
    </row>
    <row r="598" spans="2:17" ht="14.25" customHeight="1" x14ac:dyDescent="0.3">
      <c r="B598" s="23"/>
      <c r="D598" s="25"/>
      <c r="E598" s="25"/>
      <c r="M598" s="12"/>
      <c r="N598" s="118"/>
      <c r="O598" s="118"/>
      <c r="P598" s="118"/>
      <c r="Q598" s="118"/>
    </row>
    <row r="599" spans="2:17" ht="14.25" customHeight="1" x14ac:dyDescent="0.3">
      <c r="B599" s="23"/>
      <c r="D599" s="25"/>
      <c r="E599" s="25"/>
      <c r="M599" s="12"/>
      <c r="N599" s="118"/>
      <c r="O599" s="118"/>
      <c r="P599" s="118"/>
      <c r="Q599" s="118"/>
    </row>
    <row r="600" spans="2:17" ht="14.25" customHeight="1" x14ac:dyDescent="0.3">
      <c r="B600" s="23"/>
      <c r="D600" s="25"/>
      <c r="E600" s="25"/>
      <c r="M600" s="12"/>
      <c r="N600" s="118"/>
      <c r="O600" s="118"/>
      <c r="P600" s="118"/>
      <c r="Q600" s="118"/>
    </row>
    <row r="601" spans="2:17" ht="14.25" customHeight="1" x14ac:dyDescent="0.3">
      <c r="B601" s="23"/>
      <c r="D601" s="25"/>
      <c r="E601" s="25"/>
      <c r="M601" s="12"/>
      <c r="N601" s="118"/>
      <c r="O601" s="118"/>
      <c r="P601" s="118"/>
      <c r="Q601" s="118"/>
    </row>
    <row r="602" spans="2:17" ht="14.25" customHeight="1" x14ac:dyDescent="0.3">
      <c r="B602" s="23"/>
      <c r="D602" s="25"/>
      <c r="E602" s="25"/>
      <c r="M602" s="12"/>
      <c r="N602" s="118"/>
      <c r="O602" s="118"/>
      <c r="P602" s="118"/>
      <c r="Q602" s="118"/>
    </row>
    <row r="603" spans="2:17" ht="14.25" customHeight="1" x14ac:dyDescent="0.3">
      <c r="B603" s="23"/>
      <c r="D603" s="25"/>
      <c r="E603" s="25"/>
      <c r="M603" s="12"/>
      <c r="N603" s="118"/>
      <c r="O603" s="118"/>
      <c r="P603" s="118"/>
      <c r="Q603" s="118"/>
    </row>
    <row r="604" spans="2:17" ht="14.25" customHeight="1" x14ac:dyDescent="0.3">
      <c r="B604" s="23"/>
      <c r="D604" s="25"/>
      <c r="E604" s="25"/>
      <c r="M604" s="12"/>
      <c r="N604" s="118"/>
      <c r="O604" s="118"/>
      <c r="P604" s="118"/>
      <c r="Q604" s="118"/>
    </row>
    <row r="605" spans="2:17" ht="14.25" customHeight="1" x14ac:dyDescent="0.3">
      <c r="B605" s="23"/>
      <c r="D605" s="25"/>
      <c r="E605" s="25"/>
      <c r="M605" s="12"/>
      <c r="N605" s="118"/>
      <c r="O605" s="118"/>
      <c r="P605" s="118"/>
      <c r="Q605" s="118"/>
    </row>
    <row r="606" spans="2:17" ht="14.25" customHeight="1" x14ac:dyDescent="0.3">
      <c r="B606" s="23"/>
      <c r="D606" s="25"/>
      <c r="E606" s="25"/>
      <c r="M606" s="12"/>
      <c r="N606" s="118"/>
      <c r="O606" s="118"/>
      <c r="P606" s="118"/>
      <c r="Q606" s="118"/>
    </row>
    <row r="607" spans="2:17" ht="14.25" customHeight="1" x14ac:dyDescent="0.3">
      <c r="B607" s="23"/>
      <c r="D607" s="25"/>
      <c r="E607" s="25"/>
      <c r="M607" s="12"/>
      <c r="N607" s="118"/>
      <c r="O607" s="118"/>
      <c r="P607" s="118"/>
      <c r="Q607" s="118"/>
    </row>
    <row r="608" spans="2:17" ht="14.25" customHeight="1" x14ac:dyDescent="0.3">
      <c r="B608" s="23"/>
      <c r="D608" s="25"/>
      <c r="E608" s="25"/>
      <c r="M608" s="12"/>
      <c r="N608" s="118"/>
      <c r="O608" s="118"/>
      <c r="P608" s="118"/>
      <c r="Q608" s="118"/>
    </row>
    <row r="609" spans="2:17" ht="14.25" customHeight="1" x14ac:dyDescent="0.3">
      <c r="B609" s="23"/>
      <c r="D609" s="25"/>
      <c r="E609" s="25"/>
      <c r="M609" s="12"/>
      <c r="N609" s="118"/>
      <c r="O609" s="118"/>
      <c r="P609" s="118"/>
      <c r="Q609" s="118"/>
    </row>
    <row r="610" spans="2:17" ht="14.25" customHeight="1" x14ac:dyDescent="0.3">
      <c r="B610" s="23"/>
      <c r="D610" s="25"/>
      <c r="E610" s="25"/>
      <c r="M610" s="12"/>
      <c r="N610" s="118"/>
      <c r="O610" s="118"/>
      <c r="P610" s="118"/>
      <c r="Q610" s="118"/>
    </row>
    <row r="611" spans="2:17" ht="14.25" customHeight="1" x14ac:dyDescent="0.3">
      <c r="B611" s="23"/>
      <c r="D611" s="25"/>
      <c r="E611" s="25"/>
      <c r="M611" s="12"/>
      <c r="N611" s="118"/>
      <c r="O611" s="118"/>
      <c r="P611" s="118"/>
      <c r="Q611" s="118"/>
    </row>
    <row r="612" spans="2:17" ht="14.25" customHeight="1" x14ac:dyDescent="0.3">
      <c r="B612" s="23"/>
      <c r="D612" s="25"/>
      <c r="E612" s="25"/>
      <c r="M612" s="12"/>
      <c r="N612" s="118"/>
      <c r="O612" s="118"/>
      <c r="P612" s="118"/>
      <c r="Q612" s="118"/>
    </row>
    <row r="613" spans="2:17" ht="14.25" customHeight="1" x14ac:dyDescent="0.3">
      <c r="B613" s="23"/>
      <c r="D613" s="25"/>
      <c r="E613" s="25"/>
      <c r="M613" s="12"/>
      <c r="N613" s="118"/>
      <c r="O613" s="118"/>
      <c r="P613" s="118"/>
      <c r="Q613" s="118"/>
    </row>
    <row r="614" spans="2:17" ht="14.25" customHeight="1" x14ac:dyDescent="0.3">
      <c r="B614" s="23"/>
      <c r="D614" s="25"/>
      <c r="E614" s="25"/>
      <c r="M614" s="12"/>
      <c r="N614" s="118"/>
      <c r="O614" s="118"/>
      <c r="P614" s="118"/>
      <c r="Q614" s="118"/>
    </row>
    <row r="615" spans="2:17" ht="14.25" customHeight="1" x14ac:dyDescent="0.3">
      <c r="B615" s="23"/>
      <c r="D615" s="25"/>
      <c r="E615" s="25"/>
      <c r="M615" s="12"/>
      <c r="N615" s="118"/>
      <c r="O615" s="118"/>
      <c r="P615" s="118"/>
      <c r="Q615" s="118"/>
    </row>
    <row r="616" spans="2:17" ht="14.25" customHeight="1" x14ac:dyDescent="0.3">
      <c r="B616" s="23"/>
      <c r="D616" s="25"/>
      <c r="E616" s="25"/>
      <c r="M616" s="12"/>
      <c r="N616" s="118"/>
      <c r="O616" s="118"/>
      <c r="P616" s="118"/>
      <c r="Q616" s="118"/>
    </row>
    <row r="617" spans="2:17" ht="14.25" customHeight="1" x14ac:dyDescent="0.3">
      <c r="B617" s="23"/>
      <c r="D617" s="25"/>
      <c r="E617" s="25"/>
      <c r="M617" s="12"/>
      <c r="N617" s="118"/>
      <c r="O617" s="118"/>
      <c r="P617" s="118"/>
      <c r="Q617" s="118"/>
    </row>
    <row r="618" spans="2:17" ht="14.25" customHeight="1" x14ac:dyDescent="0.3">
      <c r="B618" s="23"/>
      <c r="D618" s="25"/>
      <c r="E618" s="25"/>
      <c r="M618" s="12"/>
      <c r="N618" s="118"/>
      <c r="O618" s="118"/>
      <c r="P618" s="118"/>
      <c r="Q618" s="118"/>
    </row>
    <row r="619" spans="2:17" ht="14.25" customHeight="1" x14ac:dyDescent="0.3">
      <c r="B619" s="23"/>
      <c r="D619" s="25"/>
      <c r="E619" s="25"/>
      <c r="M619" s="12"/>
      <c r="N619" s="118"/>
      <c r="O619" s="118"/>
      <c r="P619" s="118"/>
      <c r="Q619" s="118"/>
    </row>
    <row r="620" spans="2:17" ht="14.25" customHeight="1" x14ac:dyDescent="0.3">
      <c r="B620" s="23"/>
      <c r="D620" s="25"/>
      <c r="E620" s="25"/>
      <c r="M620" s="12"/>
      <c r="N620" s="118"/>
      <c r="O620" s="118"/>
      <c r="P620" s="118"/>
      <c r="Q620" s="118"/>
    </row>
    <row r="621" spans="2:17" ht="14.25" customHeight="1" x14ac:dyDescent="0.3">
      <c r="B621" s="23"/>
      <c r="D621" s="25"/>
      <c r="E621" s="25"/>
      <c r="M621" s="12"/>
      <c r="N621" s="118"/>
      <c r="O621" s="118"/>
      <c r="P621" s="118"/>
      <c r="Q621" s="118"/>
    </row>
    <row r="622" spans="2:17" ht="14.25" customHeight="1" x14ac:dyDescent="0.3">
      <c r="B622" s="23"/>
      <c r="D622" s="25"/>
      <c r="E622" s="25"/>
      <c r="M622" s="12"/>
      <c r="N622" s="118"/>
      <c r="O622" s="118"/>
      <c r="P622" s="118"/>
      <c r="Q622" s="118"/>
    </row>
    <row r="623" spans="2:17" ht="14.25" customHeight="1" x14ac:dyDescent="0.3">
      <c r="B623" s="23"/>
      <c r="D623" s="25"/>
      <c r="E623" s="25"/>
      <c r="M623" s="12"/>
      <c r="N623" s="118"/>
      <c r="O623" s="118"/>
      <c r="P623" s="118"/>
      <c r="Q623" s="118"/>
    </row>
    <row r="624" spans="2:17" ht="14.25" customHeight="1" x14ac:dyDescent="0.3">
      <c r="B624" s="23"/>
      <c r="D624" s="25"/>
      <c r="E624" s="25"/>
      <c r="M624" s="12"/>
      <c r="N624" s="118"/>
      <c r="O624" s="118"/>
      <c r="P624" s="118"/>
      <c r="Q624" s="118"/>
    </row>
    <row r="625" spans="2:17" ht="14.25" customHeight="1" x14ac:dyDescent="0.3">
      <c r="B625" s="23"/>
      <c r="D625" s="25"/>
      <c r="E625" s="25"/>
      <c r="M625" s="12"/>
      <c r="N625" s="118"/>
      <c r="O625" s="118"/>
      <c r="P625" s="118"/>
      <c r="Q625" s="118"/>
    </row>
    <row r="626" spans="2:17" ht="14.25" customHeight="1" x14ac:dyDescent="0.3">
      <c r="B626" s="23"/>
      <c r="D626" s="25"/>
      <c r="E626" s="25"/>
      <c r="M626" s="12"/>
      <c r="N626" s="118"/>
      <c r="O626" s="118"/>
      <c r="P626" s="118"/>
      <c r="Q626" s="118"/>
    </row>
    <row r="627" spans="2:17" ht="14.25" customHeight="1" x14ac:dyDescent="0.3">
      <c r="B627" s="23"/>
      <c r="D627" s="25"/>
      <c r="E627" s="25"/>
      <c r="M627" s="12"/>
      <c r="N627" s="118"/>
      <c r="O627" s="118"/>
      <c r="P627" s="118"/>
      <c r="Q627" s="118"/>
    </row>
    <row r="628" spans="2:17" ht="14.25" customHeight="1" x14ac:dyDescent="0.3">
      <c r="B628" s="23"/>
      <c r="D628" s="25"/>
      <c r="E628" s="25"/>
      <c r="M628" s="12"/>
      <c r="N628" s="118"/>
      <c r="O628" s="118"/>
      <c r="P628" s="118"/>
      <c r="Q628" s="118"/>
    </row>
    <row r="629" spans="2:17" ht="14.25" customHeight="1" x14ac:dyDescent="0.3">
      <c r="B629" s="23"/>
      <c r="D629" s="25"/>
      <c r="E629" s="25"/>
      <c r="M629" s="12"/>
      <c r="N629" s="118"/>
      <c r="O629" s="118"/>
      <c r="P629" s="118"/>
      <c r="Q629" s="118"/>
    </row>
    <row r="630" spans="2:17" ht="14.25" customHeight="1" x14ac:dyDescent="0.3">
      <c r="B630" s="23"/>
      <c r="D630" s="25"/>
      <c r="E630" s="25"/>
      <c r="M630" s="12"/>
      <c r="N630" s="118"/>
      <c r="O630" s="118"/>
      <c r="P630" s="118"/>
      <c r="Q630" s="118"/>
    </row>
    <row r="631" spans="2:17" ht="14.25" customHeight="1" x14ac:dyDescent="0.3">
      <c r="B631" s="23"/>
      <c r="D631" s="25"/>
      <c r="E631" s="25"/>
      <c r="M631" s="12"/>
      <c r="N631" s="118"/>
      <c r="O631" s="118"/>
      <c r="P631" s="118"/>
      <c r="Q631" s="118"/>
    </row>
    <row r="632" spans="2:17" ht="14.25" customHeight="1" x14ac:dyDescent="0.3">
      <c r="B632" s="23"/>
      <c r="D632" s="25"/>
      <c r="E632" s="25"/>
      <c r="M632" s="12"/>
      <c r="N632" s="118"/>
      <c r="O632" s="118"/>
      <c r="P632" s="118"/>
      <c r="Q632" s="118"/>
    </row>
    <row r="633" spans="2:17" ht="14.25" customHeight="1" x14ac:dyDescent="0.3">
      <c r="B633" s="23"/>
      <c r="D633" s="25"/>
      <c r="E633" s="25"/>
      <c r="M633" s="12"/>
      <c r="N633" s="118"/>
      <c r="O633" s="118"/>
      <c r="P633" s="118"/>
      <c r="Q633" s="118"/>
    </row>
    <row r="634" spans="2:17" ht="14.25" customHeight="1" x14ac:dyDescent="0.3">
      <c r="B634" s="23"/>
      <c r="D634" s="25"/>
      <c r="E634" s="25"/>
      <c r="M634" s="12"/>
      <c r="N634" s="118"/>
      <c r="O634" s="118"/>
      <c r="P634" s="118"/>
      <c r="Q634" s="118"/>
    </row>
    <row r="635" spans="2:17" ht="14.25" customHeight="1" x14ac:dyDescent="0.3">
      <c r="B635" s="23"/>
      <c r="D635" s="25"/>
      <c r="E635" s="25"/>
      <c r="M635" s="12"/>
      <c r="N635" s="118"/>
      <c r="O635" s="118"/>
      <c r="P635" s="118"/>
      <c r="Q635" s="118"/>
    </row>
    <row r="636" spans="2:17" ht="14.25" customHeight="1" x14ac:dyDescent="0.3">
      <c r="B636" s="23"/>
      <c r="D636" s="25"/>
      <c r="E636" s="25"/>
      <c r="M636" s="12"/>
      <c r="N636" s="118"/>
      <c r="O636" s="118"/>
      <c r="P636" s="118"/>
      <c r="Q636" s="118"/>
    </row>
    <row r="637" spans="2:17" ht="14.25" customHeight="1" x14ac:dyDescent="0.3">
      <c r="B637" s="23"/>
      <c r="D637" s="25"/>
      <c r="E637" s="25"/>
      <c r="M637" s="12"/>
      <c r="N637" s="118"/>
      <c r="O637" s="118"/>
      <c r="P637" s="118"/>
      <c r="Q637" s="118"/>
    </row>
    <row r="638" spans="2:17" ht="14.25" customHeight="1" x14ac:dyDescent="0.3">
      <c r="B638" s="23"/>
      <c r="D638" s="25"/>
      <c r="E638" s="25"/>
      <c r="M638" s="12"/>
      <c r="N638" s="118"/>
      <c r="O638" s="118"/>
      <c r="P638" s="118"/>
      <c r="Q638" s="118"/>
    </row>
    <row r="639" spans="2:17" ht="14.25" customHeight="1" x14ac:dyDescent="0.3">
      <c r="B639" s="23"/>
      <c r="D639" s="25"/>
      <c r="E639" s="25"/>
      <c r="M639" s="12"/>
      <c r="N639" s="118"/>
      <c r="O639" s="118"/>
      <c r="P639" s="118"/>
      <c r="Q639" s="118"/>
    </row>
    <row r="640" spans="2:17" ht="14.25" customHeight="1" x14ac:dyDescent="0.3">
      <c r="B640" s="23"/>
      <c r="D640" s="25"/>
      <c r="E640" s="25"/>
      <c r="M640" s="12"/>
      <c r="N640" s="118"/>
      <c r="O640" s="118"/>
      <c r="P640" s="118"/>
      <c r="Q640" s="118"/>
    </row>
    <row r="641" spans="2:17" ht="14.25" customHeight="1" x14ac:dyDescent="0.3">
      <c r="B641" s="23"/>
      <c r="D641" s="25"/>
      <c r="E641" s="25"/>
      <c r="M641" s="12"/>
      <c r="N641" s="118"/>
      <c r="O641" s="118"/>
      <c r="P641" s="118"/>
      <c r="Q641" s="118"/>
    </row>
    <row r="642" spans="2:17" ht="14.25" customHeight="1" x14ac:dyDescent="0.3">
      <c r="B642" s="23"/>
      <c r="D642" s="25"/>
      <c r="E642" s="25"/>
      <c r="M642" s="12"/>
      <c r="N642" s="118"/>
      <c r="O642" s="118"/>
      <c r="P642" s="118"/>
      <c r="Q642" s="118"/>
    </row>
    <row r="643" spans="2:17" ht="14.25" customHeight="1" x14ac:dyDescent="0.3">
      <c r="B643" s="23"/>
      <c r="D643" s="25"/>
      <c r="E643" s="25"/>
      <c r="M643" s="12"/>
      <c r="N643" s="118"/>
      <c r="O643" s="118"/>
      <c r="P643" s="118"/>
      <c r="Q643" s="118"/>
    </row>
    <row r="644" spans="2:17" ht="14.25" customHeight="1" x14ac:dyDescent="0.3">
      <c r="B644" s="23"/>
      <c r="D644" s="25"/>
      <c r="E644" s="25"/>
      <c r="M644" s="12"/>
      <c r="N644" s="118"/>
      <c r="O644" s="118"/>
      <c r="P644" s="118"/>
      <c r="Q644" s="118"/>
    </row>
    <row r="645" spans="2:17" ht="14.25" customHeight="1" x14ac:dyDescent="0.3">
      <c r="B645" s="23"/>
      <c r="D645" s="25"/>
      <c r="E645" s="25"/>
      <c r="M645" s="12"/>
      <c r="N645" s="118"/>
      <c r="O645" s="118"/>
      <c r="P645" s="118"/>
      <c r="Q645" s="118"/>
    </row>
    <row r="646" spans="2:17" ht="14.25" customHeight="1" x14ac:dyDescent="0.3">
      <c r="B646" s="23"/>
      <c r="D646" s="25"/>
      <c r="E646" s="25"/>
      <c r="M646" s="12"/>
      <c r="N646" s="118"/>
      <c r="O646" s="118"/>
      <c r="P646" s="118"/>
      <c r="Q646" s="118"/>
    </row>
    <row r="647" spans="2:17" ht="14.25" customHeight="1" x14ac:dyDescent="0.3">
      <c r="B647" s="23"/>
      <c r="D647" s="25"/>
      <c r="E647" s="25"/>
      <c r="M647" s="12"/>
      <c r="N647" s="118"/>
      <c r="O647" s="118"/>
      <c r="P647" s="118"/>
      <c r="Q647" s="118"/>
    </row>
    <row r="648" spans="2:17" ht="14.25" customHeight="1" x14ac:dyDescent="0.3">
      <c r="B648" s="23"/>
      <c r="D648" s="25"/>
      <c r="E648" s="25"/>
      <c r="M648" s="12"/>
      <c r="N648" s="118"/>
      <c r="O648" s="118"/>
      <c r="P648" s="118"/>
      <c r="Q648" s="118"/>
    </row>
    <row r="649" spans="2:17" ht="14.25" customHeight="1" x14ac:dyDescent="0.3">
      <c r="B649" s="23"/>
      <c r="D649" s="25"/>
      <c r="E649" s="25"/>
      <c r="M649" s="12"/>
      <c r="N649" s="118"/>
      <c r="O649" s="118"/>
      <c r="P649" s="118"/>
      <c r="Q649" s="118"/>
    </row>
    <row r="650" spans="2:17" ht="14.25" customHeight="1" x14ac:dyDescent="0.3">
      <c r="B650" s="23"/>
      <c r="D650" s="25"/>
      <c r="E650" s="25"/>
      <c r="M650" s="12"/>
      <c r="N650" s="118"/>
      <c r="O650" s="118"/>
      <c r="P650" s="118"/>
      <c r="Q650" s="118"/>
    </row>
    <row r="651" spans="2:17" ht="14.25" customHeight="1" x14ac:dyDescent="0.3">
      <c r="B651" s="23"/>
      <c r="D651" s="25"/>
      <c r="E651" s="25"/>
      <c r="M651" s="12"/>
      <c r="N651" s="118"/>
      <c r="O651" s="118"/>
      <c r="P651" s="118"/>
      <c r="Q651" s="118"/>
    </row>
    <row r="652" spans="2:17" ht="14.25" customHeight="1" x14ac:dyDescent="0.3">
      <c r="B652" s="23"/>
      <c r="D652" s="25"/>
      <c r="E652" s="25"/>
      <c r="M652" s="12"/>
      <c r="N652" s="118"/>
      <c r="O652" s="118"/>
      <c r="P652" s="118"/>
      <c r="Q652" s="118"/>
    </row>
    <row r="653" spans="2:17" ht="14.25" customHeight="1" x14ac:dyDescent="0.3">
      <c r="B653" s="23"/>
      <c r="D653" s="25"/>
      <c r="E653" s="25"/>
      <c r="M653" s="12"/>
      <c r="N653" s="118"/>
      <c r="O653" s="118"/>
      <c r="P653" s="118"/>
      <c r="Q653" s="118"/>
    </row>
    <row r="654" spans="2:17" ht="14.25" customHeight="1" x14ac:dyDescent="0.3">
      <c r="B654" s="23"/>
      <c r="D654" s="25"/>
      <c r="E654" s="25"/>
      <c r="M654" s="12"/>
      <c r="N654" s="118"/>
      <c r="O654" s="118"/>
      <c r="P654" s="118"/>
      <c r="Q654" s="118"/>
    </row>
    <row r="655" spans="2:17" ht="14.25" customHeight="1" x14ac:dyDescent="0.3">
      <c r="B655" s="23"/>
      <c r="D655" s="25"/>
      <c r="E655" s="25"/>
      <c r="M655" s="12"/>
      <c r="N655" s="118"/>
      <c r="O655" s="118"/>
      <c r="P655" s="118"/>
      <c r="Q655" s="118"/>
    </row>
    <row r="656" spans="2:17" ht="14.25" customHeight="1" x14ac:dyDescent="0.3">
      <c r="B656" s="23"/>
      <c r="D656" s="25"/>
      <c r="E656" s="25"/>
      <c r="M656" s="12"/>
      <c r="N656" s="118"/>
      <c r="O656" s="118"/>
      <c r="P656" s="118"/>
      <c r="Q656" s="118"/>
    </row>
    <row r="657" spans="2:17" ht="14.25" customHeight="1" x14ac:dyDescent="0.3">
      <c r="B657" s="23"/>
      <c r="D657" s="25"/>
      <c r="E657" s="25"/>
      <c r="M657" s="12"/>
      <c r="N657" s="118"/>
      <c r="O657" s="118"/>
      <c r="P657" s="118"/>
      <c r="Q657" s="118"/>
    </row>
    <row r="658" spans="2:17" ht="14.25" customHeight="1" x14ac:dyDescent="0.3">
      <c r="B658" s="23"/>
      <c r="D658" s="25"/>
      <c r="E658" s="25"/>
      <c r="M658" s="12"/>
      <c r="N658" s="118"/>
      <c r="O658" s="118"/>
      <c r="P658" s="118"/>
      <c r="Q658" s="118"/>
    </row>
    <row r="659" spans="2:17" ht="14.25" customHeight="1" x14ac:dyDescent="0.3">
      <c r="B659" s="23"/>
      <c r="D659" s="25"/>
      <c r="E659" s="25"/>
      <c r="M659" s="12"/>
      <c r="N659" s="118"/>
      <c r="O659" s="118"/>
      <c r="P659" s="118"/>
      <c r="Q659" s="118"/>
    </row>
    <row r="660" spans="2:17" ht="14.25" customHeight="1" x14ac:dyDescent="0.3">
      <c r="B660" s="23"/>
      <c r="D660" s="25"/>
      <c r="E660" s="25"/>
      <c r="M660" s="12"/>
      <c r="N660" s="118"/>
      <c r="O660" s="118"/>
      <c r="P660" s="118"/>
      <c r="Q660" s="118"/>
    </row>
    <row r="661" spans="2:17" ht="14.25" customHeight="1" x14ac:dyDescent="0.3">
      <c r="B661" s="23"/>
      <c r="D661" s="25"/>
      <c r="E661" s="25"/>
      <c r="M661" s="12"/>
      <c r="N661" s="118"/>
      <c r="O661" s="118"/>
      <c r="P661" s="118"/>
      <c r="Q661" s="118"/>
    </row>
    <row r="662" spans="2:17" ht="14.25" customHeight="1" x14ac:dyDescent="0.3">
      <c r="B662" s="23"/>
      <c r="D662" s="25"/>
      <c r="E662" s="25"/>
      <c r="M662" s="12"/>
      <c r="N662" s="118"/>
      <c r="O662" s="118"/>
      <c r="P662" s="118"/>
      <c r="Q662" s="118"/>
    </row>
    <row r="663" spans="2:17" ht="14.25" customHeight="1" x14ac:dyDescent="0.3">
      <c r="B663" s="23"/>
      <c r="D663" s="25"/>
      <c r="E663" s="25"/>
      <c r="M663" s="12"/>
      <c r="N663" s="118"/>
      <c r="O663" s="118"/>
      <c r="P663" s="118"/>
      <c r="Q663" s="118"/>
    </row>
    <row r="664" spans="2:17" ht="14.25" customHeight="1" x14ac:dyDescent="0.3">
      <c r="B664" s="23"/>
      <c r="D664" s="25"/>
      <c r="E664" s="25"/>
      <c r="M664" s="12"/>
      <c r="N664" s="118"/>
      <c r="O664" s="118"/>
      <c r="P664" s="118"/>
      <c r="Q664" s="118"/>
    </row>
    <row r="665" spans="2:17" ht="14.25" customHeight="1" x14ac:dyDescent="0.3">
      <c r="B665" s="23"/>
      <c r="D665" s="25"/>
      <c r="E665" s="25"/>
      <c r="M665" s="12"/>
      <c r="N665" s="118"/>
      <c r="O665" s="118"/>
      <c r="P665" s="118"/>
      <c r="Q665" s="118"/>
    </row>
    <row r="666" spans="2:17" ht="14.25" customHeight="1" x14ac:dyDescent="0.3">
      <c r="B666" s="23"/>
      <c r="D666" s="25"/>
      <c r="E666" s="25"/>
      <c r="M666" s="12"/>
      <c r="N666" s="118"/>
      <c r="O666" s="118"/>
      <c r="P666" s="118"/>
      <c r="Q666" s="118"/>
    </row>
    <row r="667" spans="2:17" ht="14.25" customHeight="1" x14ac:dyDescent="0.3">
      <c r="B667" s="23"/>
      <c r="D667" s="25"/>
      <c r="E667" s="25"/>
      <c r="M667" s="12"/>
      <c r="N667" s="118"/>
      <c r="O667" s="118"/>
      <c r="P667" s="118"/>
      <c r="Q667" s="118"/>
    </row>
    <row r="668" spans="2:17" ht="14.25" customHeight="1" x14ac:dyDescent="0.3">
      <c r="B668" s="23"/>
      <c r="D668" s="25"/>
      <c r="E668" s="25"/>
      <c r="M668" s="12"/>
      <c r="N668" s="118"/>
      <c r="O668" s="118"/>
      <c r="P668" s="118"/>
      <c r="Q668" s="118"/>
    </row>
    <row r="669" spans="2:17" ht="14.25" customHeight="1" x14ac:dyDescent="0.3">
      <c r="B669" s="23"/>
      <c r="D669" s="25"/>
      <c r="E669" s="25"/>
      <c r="M669" s="12"/>
      <c r="N669" s="118"/>
      <c r="O669" s="118"/>
      <c r="P669" s="118"/>
      <c r="Q669" s="118"/>
    </row>
    <row r="670" spans="2:17" ht="14.25" customHeight="1" x14ac:dyDescent="0.3">
      <c r="B670" s="23"/>
      <c r="D670" s="25"/>
      <c r="E670" s="25"/>
      <c r="M670" s="12"/>
      <c r="N670" s="118"/>
      <c r="O670" s="118"/>
      <c r="P670" s="118"/>
      <c r="Q670" s="118"/>
    </row>
    <row r="671" spans="2:17" ht="14.25" customHeight="1" x14ac:dyDescent="0.3">
      <c r="B671" s="23"/>
      <c r="D671" s="25"/>
      <c r="E671" s="25"/>
      <c r="M671" s="12"/>
      <c r="N671" s="118"/>
      <c r="O671" s="118"/>
      <c r="P671" s="118"/>
      <c r="Q671" s="118"/>
    </row>
    <row r="672" spans="2:17" ht="14.25" customHeight="1" x14ac:dyDescent="0.3">
      <c r="B672" s="23"/>
      <c r="D672" s="25"/>
      <c r="E672" s="25"/>
      <c r="M672" s="12"/>
      <c r="N672" s="118"/>
      <c r="O672" s="118"/>
      <c r="P672" s="118"/>
      <c r="Q672" s="118"/>
    </row>
    <row r="673" spans="2:17" ht="14.25" customHeight="1" x14ac:dyDescent="0.3">
      <c r="B673" s="23"/>
      <c r="D673" s="25"/>
      <c r="E673" s="25"/>
      <c r="M673" s="12"/>
      <c r="N673" s="118"/>
      <c r="O673" s="118"/>
      <c r="P673" s="118"/>
      <c r="Q673" s="118"/>
    </row>
    <row r="674" spans="2:17" ht="14.25" customHeight="1" x14ac:dyDescent="0.3">
      <c r="B674" s="23"/>
      <c r="D674" s="25"/>
      <c r="E674" s="25"/>
      <c r="M674" s="12"/>
      <c r="N674" s="118"/>
      <c r="O674" s="118"/>
      <c r="P674" s="118"/>
      <c r="Q674" s="118"/>
    </row>
    <row r="675" spans="2:17" ht="14.25" customHeight="1" x14ac:dyDescent="0.3">
      <c r="B675" s="23"/>
      <c r="D675" s="25"/>
      <c r="E675" s="25"/>
      <c r="M675" s="12"/>
      <c r="N675" s="118"/>
      <c r="O675" s="118"/>
      <c r="P675" s="118"/>
      <c r="Q675" s="118"/>
    </row>
    <row r="676" spans="2:17" ht="14.25" customHeight="1" x14ac:dyDescent="0.3">
      <c r="B676" s="23"/>
      <c r="D676" s="25"/>
      <c r="E676" s="25"/>
      <c r="M676" s="12"/>
      <c r="N676" s="118"/>
      <c r="O676" s="118"/>
      <c r="P676" s="118"/>
      <c r="Q676" s="118"/>
    </row>
    <row r="677" spans="2:17" ht="14.25" customHeight="1" x14ac:dyDescent="0.3">
      <c r="B677" s="23"/>
      <c r="D677" s="25"/>
      <c r="E677" s="25"/>
      <c r="M677" s="12"/>
      <c r="N677" s="118"/>
      <c r="O677" s="118"/>
      <c r="P677" s="118"/>
      <c r="Q677" s="118"/>
    </row>
    <row r="678" spans="2:17" ht="14.25" customHeight="1" x14ac:dyDescent="0.3">
      <c r="B678" s="23"/>
      <c r="D678" s="25"/>
      <c r="E678" s="25"/>
      <c r="M678" s="12"/>
      <c r="N678" s="118"/>
      <c r="O678" s="118"/>
      <c r="P678" s="118"/>
      <c r="Q678" s="118"/>
    </row>
    <row r="679" spans="2:17" ht="14.25" customHeight="1" x14ac:dyDescent="0.3">
      <c r="B679" s="23"/>
      <c r="D679" s="25"/>
      <c r="E679" s="25"/>
      <c r="M679" s="12"/>
      <c r="N679" s="118"/>
      <c r="O679" s="118"/>
      <c r="P679" s="118"/>
      <c r="Q679" s="118"/>
    </row>
    <row r="680" spans="2:17" ht="14.25" customHeight="1" x14ac:dyDescent="0.3">
      <c r="B680" s="23"/>
      <c r="D680" s="25"/>
      <c r="E680" s="25"/>
      <c r="M680" s="12"/>
      <c r="N680" s="118"/>
      <c r="O680" s="118"/>
      <c r="P680" s="118"/>
      <c r="Q680" s="118"/>
    </row>
    <row r="681" spans="2:17" ht="14.25" customHeight="1" x14ac:dyDescent="0.3">
      <c r="B681" s="23"/>
      <c r="D681" s="25"/>
      <c r="E681" s="25"/>
      <c r="M681" s="12"/>
      <c r="N681" s="118"/>
      <c r="O681" s="118"/>
      <c r="P681" s="118"/>
      <c r="Q681" s="118"/>
    </row>
    <row r="682" spans="2:17" ht="14.25" customHeight="1" x14ac:dyDescent="0.3">
      <c r="B682" s="23"/>
      <c r="D682" s="25"/>
      <c r="E682" s="25"/>
      <c r="M682" s="12"/>
      <c r="N682" s="118"/>
      <c r="O682" s="118"/>
      <c r="P682" s="118"/>
      <c r="Q682" s="118"/>
    </row>
    <row r="683" spans="2:17" ht="14.25" customHeight="1" x14ac:dyDescent="0.3">
      <c r="B683" s="23"/>
      <c r="D683" s="25"/>
      <c r="E683" s="25"/>
      <c r="M683" s="12"/>
      <c r="N683" s="118"/>
      <c r="O683" s="118"/>
      <c r="P683" s="118"/>
      <c r="Q683" s="118"/>
    </row>
    <row r="684" spans="2:17" ht="14.25" customHeight="1" x14ac:dyDescent="0.3">
      <c r="B684" s="23"/>
      <c r="D684" s="25"/>
      <c r="E684" s="25"/>
      <c r="M684" s="12"/>
      <c r="N684" s="118"/>
      <c r="O684" s="118"/>
      <c r="P684" s="118"/>
      <c r="Q684" s="118"/>
    </row>
    <row r="685" spans="2:17" ht="14.25" customHeight="1" x14ac:dyDescent="0.3">
      <c r="B685" s="23"/>
      <c r="D685" s="25"/>
      <c r="E685" s="25"/>
      <c r="M685" s="12"/>
      <c r="N685" s="118"/>
      <c r="O685" s="118"/>
      <c r="P685" s="118"/>
      <c r="Q685" s="118"/>
    </row>
    <row r="686" spans="2:17" ht="14.25" customHeight="1" x14ac:dyDescent="0.3">
      <c r="B686" s="23"/>
      <c r="D686" s="25"/>
      <c r="E686" s="25"/>
      <c r="M686" s="12"/>
      <c r="N686" s="118"/>
      <c r="O686" s="118"/>
      <c r="P686" s="118"/>
      <c r="Q686" s="118"/>
    </row>
    <row r="687" spans="2:17" ht="14.25" customHeight="1" x14ac:dyDescent="0.3">
      <c r="B687" s="23"/>
      <c r="D687" s="25"/>
      <c r="E687" s="25"/>
      <c r="M687" s="12"/>
      <c r="N687" s="118"/>
      <c r="O687" s="118"/>
      <c r="P687" s="118"/>
      <c r="Q687" s="118"/>
    </row>
    <row r="688" spans="2:17" ht="14.25" customHeight="1" x14ac:dyDescent="0.3">
      <c r="B688" s="23"/>
      <c r="D688" s="25"/>
      <c r="E688" s="25"/>
      <c r="M688" s="12"/>
      <c r="N688" s="118"/>
      <c r="O688" s="118"/>
      <c r="P688" s="118"/>
      <c r="Q688" s="118"/>
    </row>
    <row r="689" spans="2:17" ht="14.25" customHeight="1" x14ac:dyDescent="0.3">
      <c r="B689" s="23"/>
      <c r="D689" s="25"/>
      <c r="E689" s="25"/>
      <c r="M689" s="12"/>
      <c r="N689" s="118"/>
      <c r="O689" s="118"/>
      <c r="P689" s="118"/>
      <c r="Q689" s="118"/>
    </row>
    <row r="690" spans="2:17" ht="14.25" customHeight="1" x14ac:dyDescent="0.3">
      <c r="B690" s="23"/>
      <c r="D690" s="25"/>
      <c r="E690" s="25"/>
      <c r="M690" s="12"/>
      <c r="N690" s="118"/>
      <c r="O690" s="118"/>
      <c r="P690" s="118"/>
      <c r="Q690" s="118"/>
    </row>
    <row r="691" spans="2:17" ht="14.25" customHeight="1" x14ac:dyDescent="0.3">
      <c r="B691" s="23"/>
      <c r="D691" s="25"/>
      <c r="E691" s="25"/>
      <c r="M691" s="12"/>
      <c r="N691" s="118"/>
      <c r="O691" s="118"/>
      <c r="P691" s="118"/>
      <c r="Q691" s="118"/>
    </row>
    <row r="692" spans="2:17" ht="14.25" customHeight="1" x14ac:dyDescent="0.3">
      <c r="B692" s="23"/>
      <c r="D692" s="25"/>
      <c r="E692" s="25"/>
      <c r="M692" s="12"/>
      <c r="N692" s="118"/>
      <c r="O692" s="118"/>
      <c r="P692" s="118"/>
      <c r="Q692" s="118"/>
    </row>
    <row r="693" spans="2:17" ht="14.25" customHeight="1" x14ac:dyDescent="0.3">
      <c r="B693" s="23"/>
      <c r="D693" s="25"/>
      <c r="E693" s="25"/>
      <c r="M693" s="12"/>
      <c r="N693" s="118"/>
      <c r="O693" s="118"/>
      <c r="P693" s="118"/>
      <c r="Q693" s="118"/>
    </row>
    <row r="694" spans="2:17" ht="14.25" customHeight="1" x14ac:dyDescent="0.3">
      <c r="B694" s="23"/>
      <c r="D694" s="25"/>
      <c r="E694" s="25"/>
      <c r="M694" s="12"/>
      <c r="N694" s="118"/>
      <c r="O694" s="118"/>
      <c r="P694" s="118"/>
      <c r="Q694" s="118"/>
    </row>
    <row r="695" spans="2:17" ht="14.25" customHeight="1" x14ac:dyDescent="0.3">
      <c r="B695" s="23"/>
      <c r="D695" s="25"/>
      <c r="E695" s="25"/>
      <c r="M695" s="12"/>
      <c r="N695" s="118"/>
      <c r="O695" s="118"/>
      <c r="P695" s="118"/>
      <c r="Q695" s="118"/>
    </row>
    <row r="696" spans="2:17" ht="14.25" customHeight="1" x14ac:dyDescent="0.3">
      <c r="B696" s="23"/>
      <c r="D696" s="25"/>
      <c r="E696" s="25"/>
      <c r="M696" s="12"/>
      <c r="N696" s="118"/>
      <c r="O696" s="118"/>
      <c r="P696" s="118"/>
      <c r="Q696" s="118"/>
    </row>
    <row r="697" spans="2:17" ht="14.25" customHeight="1" x14ac:dyDescent="0.3">
      <c r="B697" s="23"/>
      <c r="D697" s="25"/>
      <c r="E697" s="25"/>
      <c r="M697" s="12"/>
      <c r="N697" s="118"/>
      <c r="O697" s="118"/>
      <c r="P697" s="118"/>
      <c r="Q697" s="118"/>
    </row>
    <row r="698" spans="2:17" ht="14.25" customHeight="1" x14ac:dyDescent="0.3">
      <c r="B698" s="23"/>
      <c r="D698" s="25"/>
      <c r="E698" s="25"/>
      <c r="M698" s="12"/>
      <c r="N698" s="118"/>
      <c r="O698" s="118"/>
      <c r="P698" s="118"/>
      <c r="Q698" s="118"/>
    </row>
    <row r="699" spans="2:17" ht="14.25" customHeight="1" x14ac:dyDescent="0.3">
      <c r="B699" s="23"/>
      <c r="D699" s="25"/>
      <c r="E699" s="25"/>
      <c r="M699" s="12"/>
      <c r="N699" s="118"/>
      <c r="O699" s="118"/>
      <c r="P699" s="118"/>
      <c r="Q699" s="118"/>
    </row>
    <row r="700" spans="2:17" ht="14.25" customHeight="1" x14ac:dyDescent="0.3">
      <c r="B700" s="23"/>
      <c r="D700" s="25"/>
      <c r="E700" s="25"/>
      <c r="M700" s="12"/>
      <c r="N700" s="118"/>
      <c r="O700" s="118"/>
      <c r="P700" s="118"/>
      <c r="Q700" s="118"/>
    </row>
    <row r="701" spans="2:17" ht="14.25" customHeight="1" x14ac:dyDescent="0.3">
      <c r="B701" s="23"/>
      <c r="D701" s="25"/>
      <c r="E701" s="25"/>
      <c r="M701" s="12"/>
      <c r="N701" s="118"/>
      <c r="O701" s="118"/>
      <c r="P701" s="118"/>
      <c r="Q701" s="118"/>
    </row>
    <row r="702" spans="2:17" ht="14.25" customHeight="1" x14ac:dyDescent="0.3">
      <c r="B702" s="23"/>
      <c r="D702" s="25"/>
      <c r="E702" s="25"/>
      <c r="M702" s="12"/>
      <c r="N702" s="118"/>
      <c r="O702" s="118"/>
      <c r="P702" s="118"/>
      <c r="Q702" s="118"/>
    </row>
    <row r="703" spans="2:17" ht="14.25" customHeight="1" x14ac:dyDescent="0.3">
      <c r="B703" s="23"/>
      <c r="D703" s="25"/>
      <c r="E703" s="25"/>
      <c r="M703" s="12"/>
      <c r="N703" s="118"/>
      <c r="O703" s="118"/>
      <c r="P703" s="118"/>
      <c r="Q703" s="118"/>
    </row>
    <row r="704" spans="2:17" ht="14.25" customHeight="1" x14ac:dyDescent="0.3">
      <c r="B704" s="23"/>
      <c r="D704" s="25"/>
      <c r="E704" s="25"/>
      <c r="M704" s="12"/>
      <c r="N704" s="118"/>
      <c r="O704" s="118"/>
      <c r="P704" s="118"/>
      <c r="Q704" s="118"/>
    </row>
    <row r="705" spans="2:17" ht="14.25" customHeight="1" x14ac:dyDescent="0.3">
      <c r="B705" s="23"/>
      <c r="D705" s="25"/>
      <c r="E705" s="25"/>
      <c r="M705" s="12"/>
      <c r="N705" s="118"/>
      <c r="O705" s="118"/>
      <c r="P705" s="118"/>
      <c r="Q705" s="118"/>
    </row>
    <row r="706" spans="2:17" ht="14.25" customHeight="1" x14ac:dyDescent="0.3">
      <c r="B706" s="23"/>
      <c r="D706" s="25"/>
      <c r="E706" s="25"/>
      <c r="M706" s="12"/>
      <c r="N706" s="118"/>
      <c r="O706" s="118"/>
      <c r="P706" s="118"/>
      <c r="Q706" s="118"/>
    </row>
    <row r="707" spans="2:17" ht="14.25" customHeight="1" x14ac:dyDescent="0.3">
      <c r="B707" s="23"/>
      <c r="D707" s="25"/>
      <c r="E707" s="25"/>
      <c r="M707" s="12"/>
      <c r="N707" s="118"/>
      <c r="O707" s="118"/>
      <c r="P707" s="118"/>
      <c r="Q707" s="118"/>
    </row>
    <row r="708" spans="2:17" ht="14.25" customHeight="1" x14ac:dyDescent="0.3">
      <c r="B708" s="23"/>
      <c r="D708" s="25"/>
      <c r="E708" s="25"/>
      <c r="M708" s="12"/>
      <c r="N708" s="118"/>
      <c r="O708" s="118"/>
      <c r="P708" s="118"/>
      <c r="Q708" s="118"/>
    </row>
    <row r="709" spans="2:17" ht="14.25" customHeight="1" x14ac:dyDescent="0.3">
      <c r="B709" s="23"/>
      <c r="D709" s="25"/>
      <c r="E709" s="25"/>
      <c r="M709" s="12"/>
      <c r="N709" s="118"/>
      <c r="O709" s="118"/>
      <c r="P709" s="118"/>
      <c r="Q709" s="118"/>
    </row>
    <row r="710" spans="2:17" ht="14.25" customHeight="1" x14ac:dyDescent="0.3">
      <c r="B710" s="23"/>
      <c r="D710" s="25"/>
      <c r="E710" s="25"/>
      <c r="M710" s="12"/>
      <c r="N710" s="118"/>
      <c r="O710" s="118"/>
      <c r="P710" s="118"/>
      <c r="Q710" s="118"/>
    </row>
    <row r="711" spans="2:17" ht="14.25" customHeight="1" x14ac:dyDescent="0.3">
      <c r="B711" s="23"/>
      <c r="D711" s="25"/>
      <c r="E711" s="25"/>
      <c r="M711" s="12"/>
      <c r="N711" s="118"/>
      <c r="O711" s="118"/>
      <c r="P711" s="118"/>
      <c r="Q711" s="118"/>
    </row>
    <row r="712" spans="2:17" ht="14.25" customHeight="1" x14ac:dyDescent="0.3">
      <c r="B712" s="23"/>
      <c r="D712" s="25"/>
      <c r="E712" s="25"/>
      <c r="M712" s="12"/>
      <c r="N712" s="118"/>
      <c r="O712" s="118"/>
      <c r="P712" s="118"/>
      <c r="Q712" s="118"/>
    </row>
    <row r="713" spans="2:17" ht="14.25" customHeight="1" x14ac:dyDescent="0.3">
      <c r="B713" s="23"/>
      <c r="D713" s="25"/>
      <c r="E713" s="25"/>
      <c r="M713" s="12"/>
      <c r="N713" s="118"/>
      <c r="O713" s="118"/>
      <c r="P713" s="118"/>
      <c r="Q713" s="118"/>
    </row>
    <row r="714" spans="2:17" ht="14.25" customHeight="1" x14ac:dyDescent="0.3">
      <c r="B714" s="23"/>
      <c r="D714" s="25"/>
      <c r="E714" s="25"/>
      <c r="M714" s="12"/>
      <c r="N714" s="118"/>
      <c r="O714" s="118"/>
      <c r="P714" s="118"/>
      <c r="Q714" s="118"/>
    </row>
    <row r="715" spans="2:17" ht="14.25" customHeight="1" x14ac:dyDescent="0.3">
      <c r="B715" s="23"/>
      <c r="D715" s="25"/>
      <c r="E715" s="25"/>
      <c r="M715" s="12"/>
      <c r="N715" s="118"/>
      <c r="O715" s="118"/>
      <c r="P715" s="118"/>
      <c r="Q715" s="118"/>
    </row>
    <row r="716" spans="2:17" ht="14.25" customHeight="1" x14ac:dyDescent="0.3">
      <c r="B716" s="23"/>
      <c r="D716" s="25"/>
      <c r="E716" s="25"/>
      <c r="M716" s="12"/>
      <c r="N716" s="118"/>
      <c r="O716" s="118"/>
      <c r="P716" s="118"/>
      <c r="Q716" s="118"/>
    </row>
    <row r="717" spans="2:17" ht="14.25" customHeight="1" x14ac:dyDescent="0.3">
      <c r="B717" s="23"/>
      <c r="D717" s="25"/>
      <c r="E717" s="25"/>
      <c r="M717" s="12"/>
      <c r="N717" s="118"/>
      <c r="O717" s="118"/>
      <c r="P717" s="118"/>
      <c r="Q717" s="118"/>
    </row>
    <row r="718" spans="2:17" ht="14.25" customHeight="1" x14ac:dyDescent="0.3">
      <c r="B718" s="23"/>
      <c r="D718" s="25"/>
      <c r="E718" s="25"/>
      <c r="M718" s="12"/>
      <c r="N718" s="118"/>
      <c r="O718" s="118"/>
      <c r="P718" s="118"/>
      <c r="Q718" s="118"/>
    </row>
    <row r="719" spans="2:17" ht="14.25" customHeight="1" x14ac:dyDescent="0.3">
      <c r="B719" s="23"/>
      <c r="D719" s="25"/>
      <c r="E719" s="25"/>
      <c r="M719" s="12"/>
      <c r="N719" s="118"/>
      <c r="O719" s="118"/>
      <c r="P719" s="118"/>
      <c r="Q719" s="118"/>
    </row>
    <row r="720" spans="2:17" ht="14.25" customHeight="1" x14ac:dyDescent="0.3">
      <c r="B720" s="23"/>
      <c r="D720" s="25"/>
      <c r="E720" s="25"/>
      <c r="M720" s="12"/>
      <c r="N720" s="118"/>
      <c r="O720" s="118"/>
      <c r="P720" s="118"/>
      <c r="Q720" s="118"/>
    </row>
    <row r="721" spans="2:17" ht="14.25" customHeight="1" x14ac:dyDescent="0.3">
      <c r="B721" s="23"/>
      <c r="D721" s="25"/>
      <c r="E721" s="25"/>
      <c r="M721" s="12"/>
      <c r="N721" s="118"/>
      <c r="O721" s="118"/>
      <c r="P721" s="118"/>
      <c r="Q721" s="118"/>
    </row>
    <row r="722" spans="2:17" ht="14.25" customHeight="1" x14ac:dyDescent="0.3">
      <c r="B722" s="23"/>
      <c r="D722" s="25"/>
      <c r="E722" s="25"/>
      <c r="M722" s="12"/>
      <c r="N722" s="118"/>
      <c r="O722" s="118"/>
      <c r="P722" s="118"/>
      <c r="Q722" s="118"/>
    </row>
    <row r="723" spans="2:17" ht="14.25" customHeight="1" x14ac:dyDescent="0.3">
      <c r="B723" s="23"/>
      <c r="D723" s="25"/>
      <c r="E723" s="25"/>
      <c r="M723" s="12"/>
      <c r="N723" s="118"/>
      <c r="O723" s="118"/>
      <c r="P723" s="118"/>
      <c r="Q723" s="118"/>
    </row>
    <row r="724" spans="2:17" ht="14.25" customHeight="1" x14ac:dyDescent="0.3">
      <c r="B724" s="23"/>
      <c r="D724" s="25"/>
      <c r="E724" s="25"/>
      <c r="M724" s="12"/>
      <c r="N724" s="118"/>
      <c r="O724" s="118"/>
      <c r="P724" s="118"/>
      <c r="Q724" s="118"/>
    </row>
    <row r="725" spans="2:17" ht="14.25" customHeight="1" x14ac:dyDescent="0.3">
      <c r="B725" s="23"/>
      <c r="D725" s="25"/>
      <c r="E725" s="25"/>
      <c r="M725" s="12"/>
      <c r="N725" s="118"/>
      <c r="O725" s="118"/>
      <c r="P725" s="118"/>
      <c r="Q725" s="118"/>
    </row>
    <row r="726" spans="2:17" ht="14.25" customHeight="1" x14ac:dyDescent="0.3">
      <c r="B726" s="23"/>
      <c r="D726" s="25"/>
      <c r="E726" s="25"/>
      <c r="M726" s="12"/>
      <c r="N726" s="118"/>
      <c r="O726" s="118"/>
      <c r="P726" s="118"/>
      <c r="Q726" s="118"/>
    </row>
    <row r="727" spans="2:17" ht="14.25" customHeight="1" x14ac:dyDescent="0.3">
      <c r="B727" s="23"/>
      <c r="D727" s="25"/>
      <c r="E727" s="25"/>
      <c r="M727" s="12"/>
      <c r="N727" s="118"/>
      <c r="O727" s="118"/>
      <c r="P727" s="118"/>
      <c r="Q727" s="118"/>
    </row>
    <row r="728" spans="2:17" ht="14.25" customHeight="1" x14ac:dyDescent="0.3">
      <c r="B728" s="23"/>
      <c r="D728" s="25"/>
      <c r="E728" s="25"/>
      <c r="M728" s="12"/>
      <c r="N728" s="118"/>
      <c r="O728" s="118"/>
      <c r="P728" s="118"/>
      <c r="Q728" s="118"/>
    </row>
    <row r="729" spans="2:17" ht="14.25" customHeight="1" x14ac:dyDescent="0.3">
      <c r="B729" s="23"/>
      <c r="D729" s="25"/>
      <c r="E729" s="25"/>
      <c r="M729" s="12"/>
      <c r="N729" s="118"/>
      <c r="O729" s="118"/>
      <c r="P729" s="118"/>
      <c r="Q729" s="118"/>
    </row>
    <row r="730" spans="2:17" ht="14.25" customHeight="1" x14ac:dyDescent="0.3">
      <c r="B730" s="23"/>
      <c r="D730" s="25"/>
      <c r="E730" s="25"/>
      <c r="M730" s="12"/>
      <c r="N730" s="118"/>
      <c r="O730" s="118"/>
      <c r="P730" s="118"/>
      <c r="Q730" s="118"/>
    </row>
    <row r="731" spans="2:17" ht="14.25" customHeight="1" x14ac:dyDescent="0.3">
      <c r="B731" s="23"/>
      <c r="D731" s="25"/>
      <c r="E731" s="25"/>
      <c r="M731" s="12"/>
      <c r="N731" s="118"/>
      <c r="O731" s="118"/>
      <c r="P731" s="118"/>
      <c r="Q731" s="118"/>
    </row>
    <row r="732" spans="2:17" ht="14.25" customHeight="1" x14ac:dyDescent="0.3">
      <c r="B732" s="23"/>
      <c r="D732" s="25"/>
      <c r="E732" s="25"/>
      <c r="M732" s="12"/>
      <c r="N732" s="118"/>
      <c r="O732" s="118"/>
      <c r="P732" s="118"/>
      <c r="Q732" s="118"/>
    </row>
    <row r="733" spans="2:17" ht="14.25" customHeight="1" x14ac:dyDescent="0.3">
      <c r="B733" s="23"/>
      <c r="D733" s="25"/>
      <c r="E733" s="25"/>
      <c r="M733" s="12"/>
      <c r="N733" s="118"/>
      <c r="O733" s="118"/>
      <c r="P733" s="118"/>
      <c r="Q733" s="118"/>
    </row>
    <row r="734" spans="2:17" ht="14.25" customHeight="1" x14ac:dyDescent="0.3">
      <c r="B734" s="23"/>
      <c r="D734" s="25"/>
      <c r="E734" s="25"/>
      <c r="M734" s="12"/>
      <c r="N734" s="118"/>
      <c r="O734" s="118"/>
      <c r="P734" s="118"/>
      <c r="Q734" s="118"/>
    </row>
    <row r="735" spans="2:17" ht="14.25" customHeight="1" x14ac:dyDescent="0.3">
      <c r="B735" s="23"/>
      <c r="D735" s="25"/>
      <c r="E735" s="25"/>
      <c r="M735" s="12"/>
      <c r="N735" s="118"/>
      <c r="O735" s="118"/>
      <c r="P735" s="118"/>
      <c r="Q735" s="118"/>
    </row>
    <row r="736" spans="2:17" ht="14.25" customHeight="1" x14ac:dyDescent="0.3">
      <c r="B736" s="23"/>
      <c r="D736" s="25"/>
      <c r="E736" s="25"/>
      <c r="M736" s="12"/>
      <c r="N736" s="118"/>
      <c r="O736" s="118"/>
      <c r="P736" s="118"/>
      <c r="Q736" s="118"/>
    </row>
    <row r="737" spans="2:17" ht="14.25" customHeight="1" x14ac:dyDescent="0.3">
      <c r="B737" s="23"/>
      <c r="D737" s="25"/>
      <c r="E737" s="25"/>
      <c r="M737" s="12"/>
      <c r="N737" s="118"/>
      <c r="O737" s="118"/>
      <c r="P737" s="118"/>
      <c r="Q737" s="118"/>
    </row>
    <row r="738" spans="2:17" ht="14.25" customHeight="1" x14ac:dyDescent="0.3">
      <c r="B738" s="23"/>
      <c r="D738" s="25"/>
      <c r="E738" s="25"/>
      <c r="M738" s="12"/>
      <c r="N738" s="118"/>
      <c r="O738" s="118"/>
      <c r="P738" s="118"/>
      <c r="Q738" s="118"/>
    </row>
    <row r="739" spans="2:17" ht="14.25" customHeight="1" x14ac:dyDescent="0.3">
      <c r="B739" s="23"/>
      <c r="D739" s="25"/>
      <c r="E739" s="25"/>
      <c r="M739" s="12"/>
      <c r="N739" s="118"/>
      <c r="O739" s="118"/>
      <c r="P739" s="118"/>
      <c r="Q739" s="118"/>
    </row>
    <row r="740" spans="2:17" ht="14.25" customHeight="1" x14ac:dyDescent="0.3">
      <c r="B740" s="23"/>
      <c r="D740" s="25"/>
      <c r="E740" s="25"/>
      <c r="M740" s="12"/>
      <c r="N740" s="118"/>
      <c r="O740" s="118"/>
      <c r="P740" s="118"/>
      <c r="Q740" s="118"/>
    </row>
    <row r="741" spans="2:17" ht="14.25" customHeight="1" x14ac:dyDescent="0.3">
      <c r="B741" s="23"/>
      <c r="D741" s="25"/>
      <c r="E741" s="25"/>
      <c r="M741" s="12"/>
      <c r="N741" s="118"/>
      <c r="O741" s="118"/>
      <c r="P741" s="118"/>
      <c r="Q741" s="118"/>
    </row>
    <row r="742" spans="2:17" ht="14.25" customHeight="1" x14ac:dyDescent="0.3">
      <c r="B742" s="23"/>
      <c r="D742" s="25"/>
      <c r="E742" s="25"/>
      <c r="M742" s="12"/>
      <c r="N742" s="118"/>
      <c r="O742" s="118"/>
      <c r="P742" s="118"/>
      <c r="Q742" s="118"/>
    </row>
    <row r="743" spans="2:17" ht="14.25" customHeight="1" x14ac:dyDescent="0.3">
      <c r="B743" s="23"/>
      <c r="D743" s="25"/>
      <c r="E743" s="25"/>
      <c r="M743" s="12"/>
      <c r="N743" s="118"/>
      <c r="O743" s="118"/>
      <c r="P743" s="118"/>
      <c r="Q743" s="118"/>
    </row>
    <row r="744" spans="2:17" ht="14.25" customHeight="1" x14ac:dyDescent="0.3">
      <c r="B744" s="23"/>
      <c r="D744" s="25"/>
      <c r="E744" s="25"/>
      <c r="M744" s="12"/>
      <c r="N744" s="118"/>
      <c r="O744" s="118"/>
      <c r="P744" s="118"/>
      <c r="Q744" s="118"/>
    </row>
    <row r="745" spans="2:17" ht="14.25" customHeight="1" x14ac:dyDescent="0.3">
      <c r="B745" s="23"/>
      <c r="D745" s="25"/>
      <c r="E745" s="25"/>
      <c r="M745" s="12"/>
      <c r="N745" s="118"/>
      <c r="O745" s="118"/>
      <c r="P745" s="118"/>
      <c r="Q745" s="118"/>
    </row>
    <row r="746" spans="2:17" ht="14.25" customHeight="1" x14ac:dyDescent="0.3">
      <c r="B746" s="23"/>
      <c r="D746" s="25"/>
      <c r="E746" s="25"/>
      <c r="M746" s="12"/>
      <c r="N746" s="118"/>
      <c r="O746" s="118"/>
      <c r="P746" s="118"/>
      <c r="Q746" s="118"/>
    </row>
    <row r="747" spans="2:17" ht="14.25" customHeight="1" x14ac:dyDescent="0.3">
      <c r="B747" s="23"/>
      <c r="D747" s="25"/>
      <c r="E747" s="25"/>
      <c r="M747" s="12"/>
      <c r="N747" s="118"/>
      <c r="O747" s="118"/>
      <c r="P747" s="118"/>
      <c r="Q747" s="118"/>
    </row>
    <row r="748" spans="2:17" ht="14.25" customHeight="1" x14ac:dyDescent="0.3">
      <c r="B748" s="23"/>
      <c r="D748" s="25"/>
      <c r="E748" s="25"/>
      <c r="M748" s="12"/>
      <c r="N748" s="118"/>
      <c r="O748" s="118"/>
      <c r="P748" s="118"/>
      <c r="Q748" s="118"/>
    </row>
    <row r="749" spans="2:17" ht="14.25" customHeight="1" x14ac:dyDescent="0.3">
      <c r="B749" s="23"/>
      <c r="D749" s="25"/>
      <c r="E749" s="25"/>
      <c r="M749" s="12"/>
      <c r="N749" s="118"/>
      <c r="O749" s="118"/>
      <c r="P749" s="118"/>
      <c r="Q749" s="118"/>
    </row>
    <row r="750" spans="2:17" ht="14.25" customHeight="1" x14ac:dyDescent="0.3">
      <c r="B750" s="23"/>
      <c r="D750" s="25"/>
      <c r="E750" s="25"/>
      <c r="M750" s="12"/>
      <c r="N750" s="118"/>
      <c r="O750" s="118"/>
      <c r="P750" s="118"/>
      <c r="Q750" s="118"/>
    </row>
    <row r="751" spans="2:17" ht="14.25" customHeight="1" x14ac:dyDescent="0.3">
      <c r="B751" s="23"/>
      <c r="D751" s="25"/>
      <c r="E751" s="25"/>
      <c r="M751" s="12"/>
      <c r="N751" s="118"/>
      <c r="O751" s="118"/>
      <c r="P751" s="118"/>
      <c r="Q751" s="118"/>
    </row>
    <row r="752" spans="2:17" ht="14.25" customHeight="1" x14ac:dyDescent="0.3">
      <c r="B752" s="23"/>
      <c r="D752" s="25"/>
      <c r="E752" s="25"/>
      <c r="M752" s="12"/>
      <c r="N752" s="118"/>
      <c r="O752" s="118"/>
      <c r="P752" s="118"/>
      <c r="Q752" s="118"/>
    </row>
    <row r="753" spans="2:17" ht="14.25" customHeight="1" x14ac:dyDescent="0.3">
      <c r="B753" s="23"/>
      <c r="D753" s="25"/>
      <c r="E753" s="25"/>
      <c r="M753" s="12"/>
      <c r="N753" s="118"/>
      <c r="O753" s="118"/>
      <c r="P753" s="118"/>
      <c r="Q753" s="118"/>
    </row>
    <row r="754" spans="2:17" ht="14.25" customHeight="1" x14ac:dyDescent="0.3">
      <c r="B754" s="23"/>
      <c r="D754" s="25"/>
      <c r="E754" s="25"/>
      <c r="M754" s="12"/>
      <c r="N754" s="118"/>
      <c r="O754" s="118"/>
      <c r="P754" s="118"/>
      <c r="Q754" s="118"/>
    </row>
    <row r="755" spans="2:17" ht="14.25" customHeight="1" x14ac:dyDescent="0.3">
      <c r="B755" s="23"/>
      <c r="D755" s="25"/>
      <c r="E755" s="25"/>
      <c r="M755" s="12"/>
      <c r="N755" s="118"/>
      <c r="O755" s="118"/>
      <c r="P755" s="118"/>
      <c r="Q755" s="118"/>
    </row>
    <row r="756" spans="2:17" ht="14.25" customHeight="1" x14ac:dyDescent="0.3">
      <c r="B756" s="23"/>
      <c r="D756" s="25"/>
      <c r="E756" s="25"/>
      <c r="M756" s="12"/>
      <c r="N756" s="118"/>
      <c r="O756" s="118"/>
      <c r="P756" s="118"/>
      <c r="Q756" s="118"/>
    </row>
    <row r="757" spans="2:17" ht="14.25" customHeight="1" x14ac:dyDescent="0.3">
      <c r="B757" s="23"/>
      <c r="D757" s="25"/>
      <c r="E757" s="25"/>
      <c r="M757" s="12"/>
      <c r="N757" s="118"/>
      <c r="O757" s="118"/>
      <c r="P757" s="118"/>
      <c r="Q757" s="118"/>
    </row>
    <row r="758" spans="2:17" ht="14.25" customHeight="1" x14ac:dyDescent="0.3">
      <c r="B758" s="23"/>
      <c r="D758" s="25"/>
      <c r="E758" s="25"/>
      <c r="M758" s="12"/>
      <c r="N758" s="118"/>
      <c r="O758" s="118"/>
      <c r="P758" s="118"/>
      <c r="Q758" s="118"/>
    </row>
    <row r="759" spans="2:17" ht="14.25" customHeight="1" x14ac:dyDescent="0.3">
      <c r="B759" s="23"/>
      <c r="D759" s="25"/>
      <c r="E759" s="25"/>
      <c r="M759" s="12"/>
      <c r="N759" s="118"/>
      <c r="O759" s="118"/>
      <c r="P759" s="118"/>
      <c r="Q759" s="118"/>
    </row>
    <row r="760" spans="2:17" ht="14.25" customHeight="1" x14ac:dyDescent="0.3">
      <c r="B760" s="23"/>
      <c r="D760" s="25"/>
      <c r="E760" s="25"/>
      <c r="M760" s="12"/>
      <c r="N760" s="118"/>
      <c r="O760" s="118"/>
      <c r="P760" s="118"/>
      <c r="Q760" s="118"/>
    </row>
    <row r="761" spans="2:17" ht="14.25" customHeight="1" x14ac:dyDescent="0.3">
      <c r="B761" s="23"/>
      <c r="D761" s="25"/>
      <c r="E761" s="25"/>
      <c r="M761" s="12"/>
      <c r="N761" s="118"/>
      <c r="O761" s="118"/>
      <c r="P761" s="118"/>
      <c r="Q761" s="118"/>
    </row>
    <row r="762" spans="2:17" ht="14.25" customHeight="1" x14ac:dyDescent="0.3">
      <c r="B762" s="23"/>
      <c r="D762" s="25"/>
      <c r="E762" s="25"/>
      <c r="M762" s="12"/>
      <c r="N762" s="118"/>
      <c r="O762" s="118"/>
      <c r="P762" s="118"/>
      <c r="Q762" s="118"/>
    </row>
    <row r="763" spans="2:17" ht="14.25" customHeight="1" x14ac:dyDescent="0.3">
      <c r="B763" s="23"/>
      <c r="D763" s="25"/>
      <c r="E763" s="25"/>
      <c r="M763" s="12"/>
      <c r="N763" s="118"/>
      <c r="O763" s="118"/>
      <c r="P763" s="118"/>
      <c r="Q763" s="118"/>
    </row>
    <row r="764" spans="2:17" ht="14.25" customHeight="1" x14ac:dyDescent="0.3">
      <c r="B764" s="23"/>
      <c r="D764" s="25"/>
      <c r="E764" s="25"/>
      <c r="M764" s="12"/>
      <c r="N764" s="118"/>
      <c r="O764" s="118"/>
      <c r="P764" s="118"/>
      <c r="Q764" s="118"/>
    </row>
    <row r="765" spans="2:17" ht="14.25" customHeight="1" x14ac:dyDescent="0.3">
      <c r="B765" s="23"/>
      <c r="D765" s="25"/>
      <c r="E765" s="25"/>
      <c r="M765" s="12"/>
      <c r="N765" s="118"/>
      <c r="O765" s="118"/>
      <c r="P765" s="118"/>
      <c r="Q765" s="118"/>
    </row>
    <row r="766" spans="2:17" ht="14.25" customHeight="1" x14ac:dyDescent="0.3">
      <c r="B766" s="23"/>
      <c r="D766" s="25"/>
      <c r="E766" s="25"/>
      <c r="M766" s="12"/>
      <c r="N766" s="118"/>
      <c r="O766" s="118"/>
      <c r="P766" s="118"/>
      <c r="Q766" s="118"/>
    </row>
    <row r="767" spans="2:17" ht="14.25" customHeight="1" x14ac:dyDescent="0.3">
      <c r="B767" s="23"/>
      <c r="D767" s="25"/>
      <c r="E767" s="25"/>
      <c r="M767" s="12"/>
      <c r="N767" s="118"/>
      <c r="O767" s="118"/>
      <c r="P767" s="118"/>
      <c r="Q767" s="118"/>
    </row>
    <row r="768" spans="2:17" ht="14.25" customHeight="1" x14ac:dyDescent="0.3">
      <c r="B768" s="23"/>
      <c r="D768" s="25"/>
      <c r="E768" s="25"/>
      <c r="M768" s="12"/>
      <c r="N768" s="118"/>
      <c r="O768" s="118"/>
      <c r="P768" s="118"/>
      <c r="Q768" s="118"/>
    </row>
    <row r="769" spans="2:17" ht="14.25" customHeight="1" x14ac:dyDescent="0.3">
      <c r="B769" s="23"/>
      <c r="D769" s="25"/>
      <c r="E769" s="25"/>
      <c r="M769" s="12"/>
      <c r="N769" s="118"/>
      <c r="O769" s="118"/>
      <c r="P769" s="118"/>
      <c r="Q769" s="118"/>
    </row>
    <row r="770" spans="2:17" ht="14.25" customHeight="1" x14ac:dyDescent="0.3">
      <c r="B770" s="23"/>
      <c r="D770" s="25"/>
      <c r="E770" s="25"/>
      <c r="M770" s="12"/>
      <c r="N770" s="118"/>
      <c r="O770" s="118"/>
      <c r="P770" s="118"/>
      <c r="Q770" s="118"/>
    </row>
    <row r="771" spans="2:17" ht="14.25" customHeight="1" x14ac:dyDescent="0.3">
      <c r="B771" s="23"/>
      <c r="D771" s="25"/>
      <c r="E771" s="25"/>
      <c r="M771" s="12"/>
      <c r="N771" s="118"/>
      <c r="O771" s="118"/>
      <c r="P771" s="118"/>
      <c r="Q771" s="118"/>
    </row>
    <row r="772" spans="2:17" ht="14.25" customHeight="1" x14ac:dyDescent="0.3">
      <c r="B772" s="23"/>
      <c r="D772" s="25"/>
      <c r="E772" s="25"/>
      <c r="M772" s="12"/>
      <c r="N772" s="118"/>
      <c r="O772" s="118"/>
      <c r="P772" s="118"/>
      <c r="Q772" s="118"/>
    </row>
    <row r="773" spans="2:17" ht="14.25" customHeight="1" x14ac:dyDescent="0.3">
      <c r="B773" s="23"/>
      <c r="D773" s="25"/>
      <c r="E773" s="25"/>
      <c r="M773" s="12"/>
      <c r="N773" s="118"/>
      <c r="O773" s="118"/>
      <c r="P773" s="118"/>
      <c r="Q773" s="118"/>
    </row>
    <row r="774" spans="2:17" ht="14.25" customHeight="1" x14ac:dyDescent="0.3">
      <c r="B774" s="23"/>
      <c r="D774" s="25"/>
      <c r="E774" s="25"/>
      <c r="M774" s="12"/>
      <c r="N774" s="118"/>
      <c r="O774" s="118"/>
      <c r="P774" s="118"/>
      <c r="Q774" s="118"/>
    </row>
    <row r="775" spans="2:17" ht="14.25" customHeight="1" x14ac:dyDescent="0.3">
      <c r="B775" s="23"/>
      <c r="D775" s="25"/>
      <c r="E775" s="25"/>
      <c r="M775" s="12"/>
      <c r="N775" s="118"/>
      <c r="O775" s="118"/>
      <c r="P775" s="118"/>
      <c r="Q775" s="118"/>
    </row>
    <row r="776" spans="2:17" ht="14.25" customHeight="1" x14ac:dyDescent="0.3">
      <c r="B776" s="23"/>
      <c r="D776" s="25"/>
      <c r="E776" s="25"/>
      <c r="M776" s="12"/>
      <c r="N776" s="118"/>
      <c r="O776" s="118"/>
      <c r="P776" s="118"/>
      <c r="Q776" s="118"/>
    </row>
    <row r="777" spans="2:17" ht="14.25" customHeight="1" x14ac:dyDescent="0.3">
      <c r="B777" s="23"/>
      <c r="D777" s="25"/>
      <c r="E777" s="25"/>
      <c r="M777" s="12"/>
      <c r="N777" s="118"/>
      <c r="O777" s="118"/>
      <c r="P777" s="118"/>
      <c r="Q777" s="118"/>
    </row>
    <row r="778" spans="2:17" ht="14.25" customHeight="1" x14ac:dyDescent="0.3">
      <c r="B778" s="23"/>
      <c r="D778" s="25"/>
      <c r="E778" s="25"/>
      <c r="M778" s="12"/>
      <c r="N778" s="118"/>
      <c r="O778" s="118"/>
      <c r="P778" s="118"/>
      <c r="Q778" s="118"/>
    </row>
    <row r="779" spans="2:17" ht="14.25" customHeight="1" x14ac:dyDescent="0.3">
      <c r="B779" s="23"/>
      <c r="D779" s="25"/>
      <c r="E779" s="25"/>
      <c r="M779" s="12"/>
      <c r="N779" s="118"/>
      <c r="O779" s="118"/>
      <c r="P779" s="118"/>
      <c r="Q779" s="118"/>
    </row>
    <row r="780" spans="2:17" ht="14.25" customHeight="1" x14ac:dyDescent="0.3">
      <c r="B780" s="23"/>
      <c r="D780" s="25"/>
      <c r="E780" s="25"/>
      <c r="M780" s="12"/>
      <c r="N780" s="118"/>
      <c r="O780" s="118"/>
      <c r="P780" s="118"/>
      <c r="Q780" s="118"/>
    </row>
    <row r="781" spans="2:17" ht="14.25" customHeight="1" x14ac:dyDescent="0.3">
      <c r="B781" s="23"/>
      <c r="D781" s="25"/>
      <c r="E781" s="25"/>
      <c r="M781" s="12"/>
      <c r="N781" s="118"/>
      <c r="O781" s="118"/>
      <c r="P781" s="118"/>
      <c r="Q781" s="118"/>
    </row>
    <row r="782" spans="2:17" ht="14.25" customHeight="1" x14ac:dyDescent="0.3">
      <c r="B782" s="23"/>
      <c r="D782" s="25"/>
      <c r="E782" s="25"/>
      <c r="M782" s="12"/>
      <c r="N782" s="118"/>
      <c r="O782" s="118"/>
      <c r="P782" s="118"/>
      <c r="Q782" s="118"/>
    </row>
    <row r="783" spans="2:17" ht="14.25" customHeight="1" x14ac:dyDescent="0.3">
      <c r="B783" s="23"/>
      <c r="D783" s="25"/>
      <c r="E783" s="25"/>
      <c r="M783" s="12"/>
      <c r="N783" s="118"/>
      <c r="O783" s="118"/>
      <c r="P783" s="118"/>
      <c r="Q783" s="118"/>
    </row>
    <row r="784" spans="2:17" ht="14.25" customHeight="1" x14ac:dyDescent="0.3">
      <c r="B784" s="23"/>
      <c r="D784" s="25"/>
      <c r="E784" s="25"/>
      <c r="M784" s="12"/>
      <c r="N784" s="118"/>
      <c r="O784" s="118"/>
      <c r="P784" s="118"/>
      <c r="Q784" s="118"/>
    </row>
    <row r="785" spans="2:17" ht="14.25" customHeight="1" x14ac:dyDescent="0.3">
      <c r="B785" s="23"/>
      <c r="D785" s="25"/>
      <c r="E785" s="25"/>
      <c r="M785" s="12"/>
      <c r="N785" s="118"/>
      <c r="O785" s="118"/>
      <c r="P785" s="118"/>
      <c r="Q785" s="118"/>
    </row>
    <row r="786" spans="2:17" ht="14.25" customHeight="1" x14ac:dyDescent="0.3">
      <c r="B786" s="23"/>
      <c r="D786" s="25"/>
      <c r="E786" s="25"/>
      <c r="M786" s="12"/>
      <c r="N786" s="118"/>
      <c r="O786" s="118"/>
      <c r="P786" s="118"/>
      <c r="Q786" s="118"/>
    </row>
    <row r="787" spans="2:17" ht="14.25" customHeight="1" x14ac:dyDescent="0.3">
      <c r="B787" s="23"/>
      <c r="D787" s="25"/>
      <c r="E787" s="25"/>
      <c r="M787" s="12"/>
      <c r="N787" s="118"/>
      <c r="O787" s="118"/>
      <c r="P787" s="118"/>
      <c r="Q787" s="118"/>
    </row>
    <row r="788" spans="2:17" ht="14.25" customHeight="1" x14ac:dyDescent="0.3">
      <c r="B788" s="23"/>
      <c r="D788" s="25"/>
      <c r="E788" s="25"/>
      <c r="M788" s="12"/>
      <c r="N788" s="118"/>
      <c r="O788" s="118"/>
      <c r="P788" s="118"/>
      <c r="Q788" s="118"/>
    </row>
    <row r="789" spans="2:17" ht="14.25" customHeight="1" x14ac:dyDescent="0.3">
      <c r="B789" s="23"/>
      <c r="D789" s="25"/>
      <c r="E789" s="25"/>
      <c r="M789" s="12"/>
      <c r="N789" s="118"/>
      <c r="O789" s="118"/>
      <c r="P789" s="118"/>
      <c r="Q789" s="118"/>
    </row>
    <row r="790" spans="2:17" ht="14.25" customHeight="1" x14ac:dyDescent="0.3">
      <c r="B790" s="23"/>
      <c r="D790" s="25"/>
      <c r="E790" s="25"/>
      <c r="M790" s="12"/>
      <c r="N790" s="118"/>
      <c r="O790" s="118"/>
      <c r="P790" s="118"/>
      <c r="Q790" s="118"/>
    </row>
    <row r="791" spans="2:17" ht="14.25" customHeight="1" x14ac:dyDescent="0.3">
      <c r="B791" s="23"/>
      <c r="D791" s="25"/>
      <c r="E791" s="25"/>
      <c r="M791" s="12"/>
      <c r="N791" s="118"/>
      <c r="O791" s="118"/>
      <c r="P791" s="118"/>
      <c r="Q791" s="118"/>
    </row>
    <row r="792" spans="2:17" ht="14.25" customHeight="1" x14ac:dyDescent="0.3">
      <c r="B792" s="23"/>
      <c r="D792" s="25"/>
      <c r="E792" s="25"/>
      <c r="M792" s="12"/>
      <c r="N792" s="118"/>
      <c r="O792" s="118"/>
      <c r="P792" s="118"/>
      <c r="Q792" s="118"/>
    </row>
    <row r="793" spans="2:17" ht="14.25" customHeight="1" x14ac:dyDescent="0.3">
      <c r="B793" s="23"/>
      <c r="D793" s="25"/>
      <c r="E793" s="25"/>
      <c r="M793" s="12"/>
      <c r="N793" s="118"/>
      <c r="O793" s="118"/>
      <c r="P793" s="118"/>
      <c r="Q793" s="118"/>
    </row>
    <row r="794" spans="2:17" ht="14.25" customHeight="1" x14ac:dyDescent="0.3">
      <c r="B794" s="23"/>
      <c r="D794" s="25"/>
      <c r="E794" s="25"/>
      <c r="M794" s="12"/>
      <c r="N794" s="118"/>
      <c r="O794" s="118"/>
      <c r="P794" s="118"/>
      <c r="Q794" s="118"/>
    </row>
    <row r="795" spans="2:17" ht="14.25" customHeight="1" x14ac:dyDescent="0.3">
      <c r="B795" s="23"/>
      <c r="D795" s="25"/>
      <c r="E795" s="25"/>
      <c r="M795" s="12"/>
      <c r="N795" s="118"/>
      <c r="O795" s="118"/>
      <c r="P795" s="118"/>
      <c r="Q795" s="118"/>
    </row>
    <row r="796" spans="2:17" ht="14.25" customHeight="1" x14ac:dyDescent="0.3">
      <c r="B796" s="23"/>
      <c r="D796" s="25"/>
      <c r="E796" s="25"/>
      <c r="M796" s="12"/>
      <c r="N796" s="118"/>
      <c r="O796" s="118"/>
      <c r="P796" s="118"/>
      <c r="Q796" s="118"/>
    </row>
    <row r="797" spans="2:17" ht="14.25" customHeight="1" x14ac:dyDescent="0.3">
      <c r="B797" s="23"/>
      <c r="D797" s="25"/>
      <c r="E797" s="25"/>
      <c r="M797" s="12"/>
      <c r="N797" s="118"/>
      <c r="O797" s="118"/>
      <c r="P797" s="118"/>
      <c r="Q797" s="118"/>
    </row>
    <row r="798" spans="2:17" ht="14.25" customHeight="1" x14ac:dyDescent="0.3">
      <c r="B798" s="23"/>
      <c r="D798" s="25"/>
      <c r="E798" s="25"/>
      <c r="M798" s="12"/>
      <c r="N798" s="118"/>
      <c r="O798" s="118"/>
      <c r="P798" s="118"/>
      <c r="Q798" s="118"/>
    </row>
    <row r="799" spans="2:17" ht="14.25" customHeight="1" x14ac:dyDescent="0.3">
      <c r="B799" s="23"/>
      <c r="D799" s="25"/>
      <c r="E799" s="25"/>
      <c r="M799" s="12"/>
      <c r="N799" s="118"/>
      <c r="O799" s="118"/>
      <c r="P799" s="118"/>
      <c r="Q799" s="118"/>
    </row>
    <row r="800" spans="2:17" ht="14.25" customHeight="1" x14ac:dyDescent="0.3">
      <c r="B800" s="23"/>
      <c r="D800" s="25"/>
      <c r="E800" s="25"/>
      <c r="M800" s="12"/>
      <c r="N800" s="118"/>
      <c r="O800" s="118"/>
      <c r="P800" s="118"/>
      <c r="Q800" s="118"/>
    </row>
    <row r="801" spans="2:17" ht="14.25" customHeight="1" x14ac:dyDescent="0.3">
      <c r="B801" s="23"/>
      <c r="D801" s="25"/>
      <c r="E801" s="25"/>
      <c r="M801" s="12"/>
      <c r="N801" s="118"/>
      <c r="O801" s="118"/>
      <c r="P801" s="118"/>
      <c r="Q801" s="118"/>
    </row>
    <row r="802" spans="2:17" ht="14.25" customHeight="1" x14ac:dyDescent="0.3">
      <c r="B802" s="23"/>
      <c r="D802" s="25"/>
      <c r="E802" s="25"/>
      <c r="M802" s="12"/>
      <c r="N802" s="118"/>
      <c r="O802" s="118"/>
      <c r="P802" s="118"/>
      <c r="Q802" s="118"/>
    </row>
    <row r="803" spans="2:17" ht="14.25" customHeight="1" x14ac:dyDescent="0.3">
      <c r="B803" s="23"/>
      <c r="D803" s="25"/>
      <c r="E803" s="25"/>
      <c r="M803" s="12"/>
      <c r="N803" s="118"/>
      <c r="O803" s="118"/>
      <c r="P803" s="118"/>
      <c r="Q803" s="118"/>
    </row>
    <row r="804" spans="2:17" ht="14.25" customHeight="1" x14ac:dyDescent="0.3">
      <c r="B804" s="23"/>
      <c r="D804" s="25"/>
      <c r="E804" s="25"/>
      <c r="M804" s="12"/>
      <c r="N804" s="118"/>
      <c r="O804" s="118"/>
      <c r="P804" s="118"/>
      <c r="Q804" s="118"/>
    </row>
    <row r="805" spans="2:17" ht="14.25" customHeight="1" x14ac:dyDescent="0.3">
      <c r="B805" s="23"/>
      <c r="D805" s="25"/>
      <c r="E805" s="25"/>
      <c r="M805" s="12"/>
      <c r="N805" s="118"/>
      <c r="O805" s="118"/>
      <c r="P805" s="118"/>
      <c r="Q805" s="118"/>
    </row>
    <row r="806" spans="2:17" ht="14.25" customHeight="1" x14ac:dyDescent="0.3">
      <c r="B806" s="23"/>
      <c r="D806" s="25"/>
      <c r="E806" s="25"/>
      <c r="M806" s="12"/>
      <c r="N806" s="118"/>
      <c r="O806" s="118"/>
      <c r="P806" s="118"/>
      <c r="Q806" s="118"/>
    </row>
    <row r="807" spans="2:17" ht="14.25" customHeight="1" x14ac:dyDescent="0.3">
      <c r="B807" s="23"/>
      <c r="D807" s="25"/>
      <c r="E807" s="25"/>
      <c r="M807" s="12"/>
      <c r="N807" s="118"/>
      <c r="O807" s="118"/>
      <c r="P807" s="118"/>
      <c r="Q807" s="118"/>
    </row>
    <row r="808" spans="2:17" ht="14.25" customHeight="1" x14ac:dyDescent="0.3">
      <c r="B808" s="23"/>
      <c r="D808" s="25"/>
      <c r="E808" s="25"/>
      <c r="M808" s="12"/>
      <c r="N808" s="118"/>
      <c r="O808" s="118"/>
      <c r="P808" s="118"/>
      <c r="Q808" s="118"/>
    </row>
    <row r="809" spans="2:17" ht="14.25" customHeight="1" x14ac:dyDescent="0.3">
      <c r="B809" s="23"/>
      <c r="D809" s="25"/>
      <c r="E809" s="25"/>
      <c r="M809" s="12"/>
      <c r="N809" s="118"/>
      <c r="O809" s="118"/>
      <c r="P809" s="118"/>
      <c r="Q809" s="118"/>
    </row>
    <row r="810" spans="2:17" ht="14.25" customHeight="1" x14ac:dyDescent="0.3">
      <c r="B810" s="23"/>
      <c r="D810" s="25"/>
      <c r="E810" s="25"/>
      <c r="M810" s="12"/>
      <c r="N810" s="118"/>
      <c r="O810" s="118"/>
      <c r="P810" s="118"/>
      <c r="Q810" s="118"/>
    </row>
    <row r="811" spans="2:17" ht="14.25" customHeight="1" x14ac:dyDescent="0.3">
      <c r="B811" s="23"/>
      <c r="D811" s="25"/>
      <c r="E811" s="25"/>
      <c r="M811" s="12"/>
      <c r="N811" s="118"/>
      <c r="O811" s="118"/>
      <c r="P811" s="118"/>
      <c r="Q811" s="118"/>
    </row>
    <row r="812" spans="2:17" ht="14.25" customHeight="1" x14ac:dyDescent="0.3">
      <c r="B812" s="23"/>
      <c r="D812" s="25"/>
      <c r="E812" s="25"/>
      <c r="M812" s="12"/>
      <c r="N812" s="118"/>
      <c r="O812" s="118"/>
      <c r="P812" s="118"/>
      <c r="Q812" s="118"/>
    </row>
    <row r="813" spans="2:17" ht="14.25" customHeight="1" x14ac:dyDescent="0.3">
      <c r="B813" s="23"/>
      <c r="D813" s="25"/>
      <c r="E813" s="25"/>
      <c r="M813" s="12"/>
      <c r="N813" s="118"/>
      <c r="O813" s="118"/>
      <c r="P813" s="118"/>
      <c r="Q813" s="118"/>
    </row>
    <row r="814" spans="2:17" ht="14.25" customHeight="1" x14ac:dyDescent="0.3">
      <c r="B814" s="23"/>
      <c r="D814" s="25"/>
      <c r="E814" s="25"/>
      <c r="M814" s="12"/>
      <c r="N814" s="118"/>
      <c r="O814" s="118"/>
      <c r="P814" s="118"/>
      <c r="Q814" s="118"/>
    </row>
    <row r="815" spans="2:17" ht="14.25" customHeight="1" x14ac:dyDescent="0.3">
      <c r="B815" s="23"/>
      <c r="D815" s="25"/>
      <c r="E815" s="25"/>
      <c r="M815" s="12"/>
      <c r="N815" s="118"/>
      <c r="O815" s="118"/>
      <c r="P815" s="118"/>
      <c r="Q815" s="118"/>
    </row>
    <row r="816" spans="2:17" ht="14.25" customHeight="1" x14ac:dyDescent="0.3">
      <c r="B816" s="23"/>
      <c r="D816" s="25"/>
      <c r="E816" s="25"/>
      <c r="M816" s="12"/>
      <c r="N816" s="118"/>
      <c r="O816" s="118"/>
      <c r="P816" s="118"/>
      <c r="Q816" s="118"/>
    </row>
    <row r="817" spans="2:17" ht="14.25" customHeight="1" x14ac:dyDescent="0.3">
      <c r="B817" s="23"/>
      <c r="D817" s="25"/>
      <c r="E817" s="25"/>
      <c r="M817" s="12"/>
      <c r="N817" s="118"/>
      <c r="O817" s="118"/>
      <c r="P817" s="118"/>
      <c r="Q817" s="118"/>
    </row>
    <row r="818" spans="2:17" ht="14.25" customHeight="1" x14ac:dyDescent="0.3">
      <c r="B818" s="23"/>
      <c r="D818" s="25"/>
      <c r="E818" s="25"/>
      <c r="M818" s="12"/>
      <c r="N818" s="118"/>
      <c r="O818" s="118"/>
      <c r="P818" s="118"/>
      <c r="Q818" s="118"/>
    </row>
    <row r="819" spans="2:17" ht="14.25" customHeight="1" x14ac:dyDescent="0.3">
      <c r="B819" s="23"/>
      <c r="D819" s="25"/>
      <c r="E819" s="25"/>
      <c r="M819" s="12"/>
      <c r="N819" s="118"/>
      <c r="O819" s="118"/>
      <c r="P819" s="118"/>
      <c r="Q819" s="118"/>
    </row>
    <row r="820" spans="2:17" ht="14.25" customHeight="1" x14ac:dyDescent="0.3">
      <c r="B820" s="23"/>
      <c r="D820" s="25"/>
      <c r="E820" s="25"/>
      <c r="M820" s="12"/>
      <c r="N820" s="118"/>
      <c r="O820" s="118"/>
      <c r="P820" s="118"/>
      <c r="Q820" s="118"/>
    </row>
    <row r="821" spans="2:17" ht="14.25" customHeight="1" x14ac:dyDescent="0.3">
      <c r="B821" s="23"/>
      <c r="D821" s="25"/>
      <c r="E821" s="25"/>
      <c r="M821" s="12"/>
      <c r="N821" s="118"/>
      <c r="O821" s="118"/>
      <c r="P821" s="118"/>
      <c r="Q821" s="118"/>
    </row>
    <row r="822" spans="2:17" ht="14.25" customHeight="1" x14ac:dyDescent="0.3">
      <c r="B822" s="23"/>
      <c r="D822" s="25"/>
      <c r="E822" s="25"/>
      <c r="M822" s="12"/>
      <c r="N822" s="118"/>
      <c r="O822" s="118"/>
      <c r="P822" s="118"/>
      <c r="Q822" s="118"/>
    </row>
    <row r="823" spans="2:17" ht="14.25" customHeight="1" x14ac:dyDescent="0.3">
      <c r="B823" s="23"/>
      <c r="D823" s="25"/>
      <c r="E823" s="25"/>
      <c r="M823" s="12"/>
      <c r="N823" s="118"/>
      <c r="O823" s="118"/>
      <c r="P823" s="118"/>
      <c r="Q823" s="118"/>
    </row>
    <row r="824" spans="2:17" ht="14.25" customHeight="1" x14ac:dyDescent="0.3">
      <c r="B824" s="23"/>
      <c r="D824" s="25"/>
      <c r="E824" s="25"/>
      <c r="M824" s="12"/>
      <c r="N824" s="118"/>
      <c r="O824" s="118"/>
      <c r="P824" s="118"/>
      <c r="Q824" s="118"/>
    </row>
    <row r="825" spans="2:17" ht="14.25" customHeight="1" x14ac:dyDescent="0.3">
      <c r="B825" s="23"/>
      <c r="D825" s="25"/>
      <c r="E825" s="25"/>
      <c r="M825" s="12"/>
      <c r="N825" s="118"/>
      <c r="O825" s="118"/>
      <c r="P825" s="118"/>
      <c r="Q825" s="118"/>
    </row>
    <row r="826" spans="2:17" ht="14.25" customHeight="1" x14ac:dyDescent="0.3">
      <c r="B826" s="23"/>
      <c r="D826" s="25"/>
      <c r="E826" s="25"/>
      <c r="M826" s="12"/>
      <c r="N826" s="118"/>
      <c r="O826" s="118"/>
      <c r="P826" s="118"/>
      <c r="Q826" s="118"/>
    </row>
    <row r="827" spans="2:17" ht="14.25" customHeight="1" x14ac:dyDescent="0.3">
      <c r="B827" s="23"/>
      <c r="D827" s="25"/>
      <c r="E827" s="25"/>
      <c r="M827" s="12"/>
      <c r="N827" s="118"/>
      <c r="O827" s="118"/>
      <c r="P827" s="118"/>
      <c r="Q827" s="118"/>
    </row>
    <row r="828" spans="2:17" ht="14.25" customHeight="1" x14ac:dyDescent="0.3">
      <c r="B828" s="23"/>
      <c r="D828" s="25"/>
      <c r="E828" s="25"/>
      <c r="M828" s="12"/>
      <c r="N828" s="118"/>
      <c r="O828" s="118"/>
      <c r="P828" s="118"/>
      <c r="Q828" s="118"/>
    </row>
    <row r="829" spans="2:17" ht="14.25" customHeight="1" x14ac:dyDescent="0.3">
      <c r="B829" s="23"/>
      <c r="D829" s="25"/>
      <c r="E829" s="25"/>
      <c r="M829" s="12"/>
      <c r="N829" s="118"/>
      <c r="O829" s="118"/>
      <c r="P829" s="118"/>
      <c r="Q829" s="118"/>
    </row>
    <row r="830" spans="2:17" ht="14.25" customHeight="1" x14ac:dyDescent="0.3">
      <c r="B830" s="23"/>
      <c r="D830" s="25"/>
      <c r="E830" s="25"/>
      <c r="M830" s="12"/>
      <c r="N830" s="118"/>
      <c r="O830" s="118"/>
      <c r="P830" s="118"/>
      <c r="Q830" s="118"/>
    </row>
    <row r="831" spans="2:17" ht="14.25" customHeight="1" x14ac:dyDescent="0.3">
      <c r="B831" s="23"/>
      <c r="D831" s="25"/>
      <c r="E831" s="25"/>
      <c r="M831" s="12"/>
      <c r="N831" s="118"/>
      <c r="O831" s="118"/>
      <c r="P831" s="118"/>
      <c r="Q831" s="118"/>
    </row>
    <row r="832" spans="2:17" ht="14.25" customHeight="1" x14ac:dyDescent="0.3">
      <c r="B832" s="23"/>
      <c r="D832" s="25"/>
      <c r="E832" s="25"/>
      <c r="M832" s="12"/>
      <c r="N832" s="118"/>
      <c r="O832" s="118"/>
      <c r="P832" s="118"/>
      <c r="Q832" s="118"/>
    </row>
    <row r="833" spans="2:17" ht="14.25" customHeight="1" x14ac:dyDescent="0.3">
      <c r="B833" s="23"/>
      <c r="D833" s="25"/>
      <c r="E833" s="25"/>
      <c r="M833" s="12"/>
      <c r="N833" s="118"/>
      <c r="O833" s="118"/>
      <c r="P833" s="118"/>
      <c r="Q833" s="118"/>
    </row>
    <row r="834" spans="2:17" ht="14.25" customHeight="1" x14ac:dyDescent="0.3">
      <c r="B834" s="23"/>
      <c r="D834" s="25"/>
      <c r="E834" s="25"/>
      <c r="M834" s="12"/>
      <c r="N834" s="118"/>
      <c r="O834" s="118"/>
      <c r="P834" s="118"/>
      <c r="Q834" s="118"/>
    </row>
    <row r="835" spans="2:17" ht="14.25" customHeight="1" x14ac:dyDescent="0.3">
      <c r="B835" s="23"/>
      <c r="D835" s="25"/>
      <c r="E835" s="25"/>
      <c r="M835" s="12"/>
      <c r="N835" s="118"/>
      <c r="O835" s="118"/>
      <c r="P835" s="118"/>
      <c r="Q835" s="118"/>
    </row>
    <row r="836" spans="2:17" ht="14.25" customHeight="1" x14ac:dyDescent="0.3">
      <c r="B836" s="23"/>
      <c r="D836" s="25"/>
      <c r="E836" s="25"/>
      <c r="M836" s="12"/>
      <c r="N836" s="118"/>
      <c r="O836" s="118"/>
      <c r="P836" s="118"/>
      <c r="Q836" s="118"/>
    </row>
    <row r="837" spans="2:17" ht="14.25" customHeight="1" x14ac:dyDescent="0.3">
      <c r="B837" s="23"/>
      <c r="D837" s="25"/>
      <c r="E837" s="25"/>
      <c r="M837" s="12"/>
      <c r="N837" s="118"/>
      <c r="O837" s="118"/>
      <c r="P837" s="118"/>
      <c r="Q837" s="118"/>
    </row>
    <row r="838" spans="2:17" ht="14.25" customHeight="1" x14ac:dyDescent="0.3">
      <c r="B838" s="23"/>
      <c r="D838" s="25"/>
      <c r="E838" s="25"/>
      <c r="M838" s="12"/>
      <c r="N838" s="118"/>
      <c r="O838" s="118"/>
      <c r="P838" s="118"/>
      <c r="Q838" s="118"/>
    </row>
    <row r="839" spans="2:17" ht="14.25" customHeight="1" x14ac:dyDescent="0.3">
      <c r="B839" s="23"/>
      <c r="D839" s="25"/>
      <c r="E839" s="25"/>
      <c r="M839" s="12"/>
      <c r="N839" s="118"/>
      <c r="O839" s="118"/>
      <c r="P839" s="118"/>
      <c r="Q839" s="118"/>
    </row>
    <row r="840" spans="2:17" ht="14.25" customHeight="1" x14ac:dyDescent="0.3">
      <c r="B840" s="23"/>
      <c r="D840" s="25"/>
      <c r="E840" s="25"/>
      <c r="M840" s="12"/>
      <c r="N840" s="118"/>
      <c r="O840" s="118"/>
      <c r="P840" s="118"/>
      <c r="Q840" s="118"/>
    </row>
    <row r="841" spans="2:17" ht="14.25" customHeight="1" x14ac:dyDescent="0.3">
      <c r="B841" s="23"/>
      <c r="D841" s="25"/>
      <c r="E841" s="25"/>
      <c r="M841" s="12"/>
      <c r="N841" s="118"/>
      <c r="O841" s="118"/>
      <c r="P841" s="118"/>
      <c r="Q841" s="118"/>
    </row>
    <row r="842" spans="2:17" ht="14.25" customHeight="1" x14ac:dyDescent="0.3">
      <c r="B842" s="23"/>
      <c r="D842" s="25"/>
      <c r="E842" s="25"/>
      <c r="M842" s="12"/>
      <c r="N842" s="118"/>
      <c r="O842" s="118"/>
      <c r="P842" s="118"/>
      <c r="Q842" s="118"/>
    </row>
    <row r="843" spans="2:17" ht="14.25" customHeight="1" x14ac:dyDescent="0.3">
      <c r="B843" s="23"/>
      <c r="D843" s="25"/>
      <c r="E843" s="25"/>
      <c r="M843" s="12"/>
      <c r="N843" s="118"/>
      <c r="O843" s="118"/>
      <c r="P843" s="118"/>
      <c r="Q843" s="118"/>
    </row>
    <row r="844" spans="2:17" ht="14.25" customHeight="1" x14ac:dyDescent="0.3">
      <c r="B844" s="23"/>
      <c r="D844" s="25"/>
      <c r="E844" s="25"/>
      <c r="M844" s="12"/>
      <c r="N844" s="118"/>
      <c r="O844" s="118"/>
      <c r="P844" s="118"/>
      <c r="Q844" s="118"/>
    </row>
    <row r="845" spans="2:17" ht="14.25" customHeight="1" x14ac:dyDescent="0.3">
      <c r="B845" s="23"/>
      <c r="D845" s="25"/>
      <c r="E845" s="25"/>
      <c r="M845" s="12"/>
      <c r="N845" s="118"/>
      <c r="O845" s="118"/>
      <c r="P845" s="118"/>
      <c r="Q845" s="118"/>
    </row>
    <row r="846" spans="2:17" ht="14.25" customHeight="1" x14ac:dyDescent="0.3">
      <c r="B846" s="23"/>
      <c r="D846" s="25"/>
      <c r="E846" s="25"/>
      <c r="M846" s="12"/>
      <c r="N846" s="118"/>
      <c r="O846" s="118"/>
      <c r="P846" s="118"/>
      <c r="Q846" s="118"/>
    </row>
    <row r="847" spans="2:17" ht="14.25" customHeight="1" x14ac:dyDescent="0.3">
      <c r="B847" s="23"/>
      <c r="D847" s="25"/>
      <c r="E847" s="25"/>
      <c r="M847" s="12"/>
      <c r="N847" s="118"/>
      <c r="O847" s="118"/>
      <c r="P847" s="118"/>
      <c r="Q847" s="118"/>
    </row>
    <row r="848" spans="2:17" ht="14.25" customHeight="1" x14ac:dyDescent="0.3">
      <c r="B848" s="23"/>
      <c r="D848" s="25"/>
      <c r="E848" s="25"/>
      <c r="M848" s="12"/>
      <c r="N848" s="118"/>
      <c r="O848" s="118"/>
      <c r="P848" s="118"/>
      <c r="Q848" s="118"/>
    </row>
    <row r="849" spans="2:17" ht="14.25" customHeight="1" x14ac:dyDescent="0.3">
      <c r="B849" s="23"/>
      <c r="D849" s="25"/>
      <c r="E849" s="25"/>
      <c r="M849" s="12"/>
      <c r="N849" s="118"/>
      <c r="O849" s="118"/>
      <c r="P849" s="118"/>
      <c r="Q849" s="118"/>
    </row>
    <row r="850" spans="2:17" ht="14.25" customHeight="1" x14ac:dyDescent="0.3">
      <c r="B850" s="23"/>
      <c r="D850" s="25"/>
      <c r="E850" s="25"/>
      <c r="M850" s="12"/>
      <c r="N850" s="118"/>
      <c r="O850" s="118"/>
      <c r="P850" s="118"/>
      <c r="Q850" s="118"/>
    </row>
    <row r="851" spans="2:17" ht="14.25" customHeight="1" x14ac:dyDescent="0.3">
      <c r="B851" s="23"/>
      <c r="D851" s="25"/>
      <c r="E851" s="25"/>
      <c r="M851" s="12"/>
      <c r="N851" s="118"/>
      <c r="O851" s="118"/>
      <c r="P851" s="118"/>
      <c r="Q851" s="118"/>
    </row>
    <row r="852" spans="2:17" ht="14.25" customHeight="1" x14ac:dyDescent="0.3">
      <c r="B852" s="23"/>
      <c r="D852" s="25"/>
      <c r="E852" s="25"/>
      <c r="M852" s="12"/>
      <c r="N852" s="118"/>
      <c r="O852" s="118"/>
      <c r="P852" s="118"/>
      <c r="Q852" s="118"/>
    </row>
    <row r="853" spans="2:17" ht="14.25" customHeight="1" x14ac:dyDescent="0.3">
      <c r="B853" s="23"/>
      <c r="D853" s="25"/>
      <c r="E853" s="25"/>
      <c r="M853" s="12"/>
      <c r="N853" s="118"/>
      <c r="O853" s="118"/>
      <c r="P853" s="118"/>
      <c r="Q853" s="118"/>
    </row>
    <row r="854" spans="2:17" ht="14.25" customHeight="1" x14ac:dyDescent="0.3">
      <c r="B854" s="23"/>
      <c r="D854" s="25"/>
      <c r="E854" s="25"/>
      <c r="M854" s="12"/>
      <c r="N854" s="118"/>
      <c r="O854" s="118"/>
      <c r="P854" s="118"/>
      <c r="Q854" s="118"/>
    </row>
    <row r="855" spans="2:17" ht="14.25" customHeight="1" x14ac:dyDescent="0.3">
      <c r="B855" s="23"/>
      <c r="D855" s="25"/>
      <c r="E855" s="25"/>
      <c r="M855" s="12"/>
      <c r="N855" s="118"/>
      <c r="O855" s="118"/>
      <c r="P855" s="118"/>
      <c r="Q855" s="118"/>
    </row>
    <row r="856" spans="2:17" ht="14.25" customHeight="1" x14ac:dyDescent="0.3">
      <c r="B856" s="23"/>
      <c r="D856" s="25"/>
      <c r="E856" s="25"/>
      <c r="M856" s="12"/>
      <c r="N856" s="118"/>
      <c r="O856" s="118"/>
      <c r="P856" s="118"/>
      <c r="Q856" s="118"/>
    </row>
    <row r="857" spans="2:17" ht="14.25" customHeight="1" x14ac:dyDescent="0.3">
      <c r="B857" s="23"/>
      <c r="D857" s="25"/>
      <c r="E857" s="25"/>
      <c r="M857" s="12"/>
      <c r="N857" s="118"/>
      <c r="O857" s="118"/>
      <c r="P857" s="118"/>
      <c r="Q857" s="118"/>
    </row>
    <row r="858" spans="2:17" ht="14.25" customHeight="1" x14ac:dyDescent="0.3">
      <c r="B858" s="23"/>
      <c r="D858" s="25"/>
      <c r="E858" s="25"/>
      <c r="M858" s="12"/>
      <c r="N858" s="118"/>
      <c r="O858" s="118"/>
      <c r="P858" s="118"/>
      <c r="Q858" s="118"/>
    </row>
    <row r="859" spans="2:17" ht="14.25" customHeight="1" x14ac:dyDescent="0.3">
      <c r="B859" s="23"/>
      <c r="D859" s="25"/>
      <c r="E859" s="25"/>
      <c r="M859" s="12"/>
      <c r="N859" s="118"/>
      <c r="O859" s="118"/>
      <c r="P859" s="118"/>
      <c r="Q859" s="118"/>
    </row>
    <row r="860" spans="2:17" ht="14.25" customHeight="1" x14ac:dyDescent="0.3">
      <c r="B860" s="23"/>
      <c r="D860" s="25"/>
      <c r="E860" s="25"/>
      <c r="M860" s="12"/>
      <c r="N860" s="118"/>
      <c r="O860" s="118"/>
      <c r="P860" s="118"/>
      <c r="Q860" s="118"/>
    </row>
    <row r="861" spans="2:17" ht="14.25" customHeight="1" x14ac:dyDescent="0.3">
      <c r="B861" s="23"/>
      <c r="D861" s="25"/>
      <c r="E861" s="25"/>
      <c r="M861" s="12"/>
      <c r="N861" s="118"/>
      <c r="O861" s="118"/>
      <c r="P861" s="118"/>
      <c r="Q861" s="118"/>
    </row>
    <row r="862" spans="2:17" ht="14.25" customHeight="1" x14ac:dyDescent="0.3">
      <c r="B862" s="23"/>
      <c r="D862" s="25"/>
      <c r="E862" s="25"/>
      <c r="M862" s="12"/>
      <c r="N862" s="118"/>
      <c r="O862" s="118"/>
      <c r="P862" s="118"/>
      <c r="Q862" s="118"/>
    </row>
    <row r="863" spans="2:17" ht="14.25" customHeight="1" x14ac:dyDescent="0.3">
      <c r="B863" s="23"/>
      <c r="D863" s="25"/>
      <c r="E863" s="25"/>
      <c r="M863" s="12"/>
      <c r="N863" s="118"/>
      <c r="O863" s="118"/>
      <c r="P863" s="118"/>
      <c r="Q863" s="118"/>
    </row>
    <row r="864" spans="2:17" ht="14.25" customHeight="1" x14ac:dyDescent="0.3">
      <c r="B864" s="23"/>
      <c r="D864" s="25"/>
      <c r="E864" s="25"/>
      <c r="M864" s="12"/>
      <c r="N864" s="118"/>
      <c r="O864" s="118"/>
      <c r="P864" s="118"/>
      <c r="Q864" s="118"/>
    </row>
    <row r="865" spans="2:17" ht="14.25" customHeight="1" x14ac:dyDescent="0.3">
      <c r="B865" s="23"/>
      <c r="D865" s="25"/>
      <c r="E865" s="25"/>
      <c r="M865" s="12"/>
      <c r="N865" s="118"/>
      <c r="O865" s="118"/>
      <c r="P865" s="118"/>
      <c r="Q865" s="118"/>
    </row>
    <row r="866" spans="2:17" ht="14.25" customHeight="1" x14ac:dyDescent="0.3">
      <c r="B866" s="23"/>
      <c r="D866" s="25"/>
      <c r="E866" s="25"/>
      <c r="M866" s="12"/>
      <c r="N866" s="118"/>
      <c r="O866" s="118"/>
      <c r="P866" s="118"/>
      <c r="Q866" s="118"/>
    </row>
    <row r="867" spans="2:17" ht="14.25" customHeight="1" x14ac:dyDescent="0.3">
      <c r="B867" s="23"/>
      <c r="D867" s="25"/>
      <c r="E867" s="25"/>
      <c r="M867" s="12"/>
      <c r="N867" s="118"/>
      <c r="O867" s="118"/>
      <c r="P867" s="118"/>
      <c r="Q867" s="118"/>
    </row>
    <row r="868" spans="2:17" ht="14.25" customHeight="1" x14ac:dyDescent="0.3">
      <c r="B868" s="23"/>
      <c r="D868" s="25"/>
      <c r="E868" s="25"/>
      <c r="M868" s="12"/>
      <c r="N868" s="118"/>
      <c r="O868" s="118"/>
      <c r="P868" s="118"/>
      <c r="Q868" s="118"/>
    </row>
    <row r="869" spans="2:17" ht="14.25" customHeight="1" x14ac:dyDescent="0.3">
      <c r="B869" s="23"/>
      <c r="D869" s="25"/>
      <c r="E869" s="25"/>
      <c r="M869" s="12"/>
      <c r="N869" s="118"/>
      <c r="O869" s="118"/>
      <c r="P869" s="118"/>
      <c r="Q869" s="118"/>
    </row>
    <row r="870" spans="2:17" ht="14.25" customHeight="1" x14ac:dyDescent="0.3">
      <c r="B870" s="23"/>
      <c r="D870" s="25"/>
      <c r="E870" s="25"/>
      <c r="M870" s="12"/>
      <c r="N870" s="118"/>
      <c r="O870" s="118"/>
      <c r="P870" s="118"/>
      <c r="Q870" s="118"/>
    </row>
    <row r="871" spans="2:17" ht="14.25" customHeight="1" x14ac:dyDescent="0.3">
      <c r="B871" s="23"/>
      <c r="D871" s="25"/>
      <c r="E871" s="25"/>
      <c r="M871" s="12"/>
      <c r="N871" s="118"/>
      <c r="O871" s="118"/>
      <c r="P871" s="118"/>
      <c r="Q871" s="118"/>
    </row>
    <row r="872" spans="2:17" ht="14.25" customHeight="1" x14ac:dyDescent="0.3">
      <c r="B872" s="23"/>
      <c r="D872" s="25"/>
      <c r="E872" s="25"/>
      <c r="M872" s="12"/>
      <c r="N872" s="118"/>
      <c r="O872" s="118"/>
      <c r="P872" s="118"/>
      <c r="Q872" s="118"/>
    </row>
    <row r="873" spans="2:17" ht="14.25" customHeight="1" x14ac:dyDescent="0.3">
      <c r="B873" s="23"/>
      <c r="D873" s="25"/>
      <c r="E873" s="25"/>
      <c r="M873" s="12"/>
      <c r="N873" s="118"/>
      <c r="O873" s="118"/>
      <c r="P873" s="118"/>
      <c r="Q873" s="118"/>
    </row>
    <row r="874" spans="2:17" ht="14.25" customHeight="1" x14ac:dyDescent="0.3">
      <c r="B874" s="23"/>
      <c r="D874" s="25"/>
      <c r="E874" s="25"/>
      <c r="M874" s="12"/>
      <c r="N874" s="118"/>
      <c r="O874" s="118"/>
      <c r="P874" s="118"/>
      <c r="Q874" s="118"/>
    </row>
    <row r="875" spans="2:17" ht="14.25" customHeight="1" x14ac:dyDescent="0.3">
      <c r="B875" s="23"/>
      <c r="D875" s="25"/>
      <c r="E875" s="25"/>
      <c r="M875" s="12"/>
      <c r="N875" s="118"/>
      <c r="O875" s="118"/>
      <c r="P875" s="118"/>
      <c r="Q875" s="118"/>
    </row>
    <row r="876" spans="2:17" ht="14.25" customHeight="1" x14ac:dyDescent="0.3">
      <c r="B876" s="23"/>
      <c r="D876" s="25"/>
      <c r="E876" s="25"/>
      <c r="M876" s="12"/>
      <c r="N876" s="118"/>
      <c r="O876" s="118"/>
      <c r="P876" s="118"/>
      <c r="Q876" s="118"/>
    </row>
    <row r="877" spans="2:17" ht="14.25" customHeight="1" x14ac:dyDescent="0.3">
      <c r="B877" s="23"/>
      <c r="D877" s="25"/>
      <c r="E877" s="25"/>
      <c r="M877" s="12"/>
      <c r="N877" s="118"/>
      <c r="O877" s="118"/>
      <c r="P877" s="118"/>
      <c r="Q877" s="118"/>
    </row>
    <row r="878" spans="2:17" ht="14.25" customHeight="1" x14ac:dyDescent="0.3">
      <c r="B878" s="23"/>
      <c r="D878" s="25"/>
      <c r="E878" s="25"/>
      <c r="M878" s="12"/>
      <c r="N878" s="118"/>
      <c r="O878" s="118"/>
      <c r="P878" s="118"/>
      <c r="Q878" s="118"/>
    </row>
    <row r="879" spans="2:17" ht="14.25" customHeight="1" x14ac:dyDescent="0.3">
      <c r="B879" s="23"/>
      <c r="D879" s="25"/>
      <c r="E879" s="25"/>
      <c r="M879" s="12"/>
      <c r="N879" s="118"/>
      <c r="O879" s="118"/>
      <c r="P879" s="118"/>
      <c r="Q879" s="118"/>
    </row>
    <row r="880" spans="2:17" ht="14.25" customHeight="1" x14ac:dyDescent="0.3">
      <c r="B880" s="23"/>
      <c r="D880" s="25"/>
      <c r="E880" s="25"/>
      <c r="M880" s="12"/>
      <c r="N880" s="118"/>
      <c r="O880" s="118"/>
      <c r="P880" s="118"/>
      <c r="Q880" s="118"/>
    </row>
    <row r="881" spans="2:17" ht="14.25" customHeight="1" x14ac:dyDescent="0.3">
      <c r="B881" s="23"/>
      <c r="D881" s="25"/>
      <c r="E881" s="25"/>
      <c r="M881" s="12"/>
      <c r="N881" s="118"/>
      <c r="O881" s="118"/>
      <c r="P881" s="118"/>
      <c r="Q881" s="118"/>
    </row>
    <row r="882" spans="2:17" ht="14.25" customHeight="1" x14ac:dyDescent="0.3">
      <c r="B882" s="23"/>
      <c r="D882" s="25"/>
      <c r="E882" s="25"/>
      <c r="M882" s="12"/>
      <c r="N882" s="118"/>
      <c r="O882" s="118"/>
      <c r="P882" s="118"/>
      <c r="Q882" s="118"/>
    </row>
    <row r="883" spans="2:17" ht="14.25" customHeight="1" x14ac:dyDescent="0.3">
      <c r="B883" s="23"/>
      <c r="D883" s="25"/>
      <c r="E883" s="25"/>
      <c r="M883" s="12"/>
      <c r="N883" s="118"/>
      <c r="O883" s="118"/>
      <c r="P883" s="118"/>
      <c r="Q883" s="118"/>
    </row>
    <row r="884" spans="2:17" ht="14.25" customHeight="1" x14ac:dyDescent="0.3">
      <c r="B884" s="23"/>
      <c r="D884" s="25"/>
      <c r="E884" s="25"/>
      <c r="M884" s="12"/>
      <c r="N884" s="118"/>
      <c r="O884" s="118"/>
      <c r="P884" s="118"/>
      <c r="Q884" s="118"/>
    </row>
    <row r="885" spans="2:17" ht="14.25" customHeight="1" x14ac:dyDescent="0.3">
      <c r="B885" s="23"/>
      <c r="D885" s="25"/>
      <c r="E885" s="25"/>
      <c r="M885" s="12"/>
      <c r="N885" s="118"/>
      <c r="O885" s="118"/>
      <c r="P885" s="118"/>
      <c r="Q885" s="118"/>
    </row>
    <row r="886" spans="2:17" ht="14.25" customHeight="1" x14ac:dyDescent="0.3">
      <c r="B886" s="23"/>
      <c r="D886" s="25"/>
      <c r="E886" s="25"/>
      <c r="M886" s="12"/>
      <c r="N886" s="118"/>
      <c r="O886" s="118"/>
      <c r="P886" s="118"/>
      <c r="Q886" s="118"/>
    </row>
    <row r="887" spans="2:17" ht="14.25" customHeight="1" x14ac:dyDescent="0.3">
      <c r="B887" s="23"/>
      <c r="D887" s="25"/>
      <c r="E887" s="25"/>
      <c r="M887" s="12"/>
      <c r="N887" s="118"/>
      <c r="O887" s="118"/>
      <c r="P887" s="118"/>
      <c r="Q887" s="118"/>
    </row>
    <row r="888" spans="2:17" ht="14.25" customHeight="1" x14ac:dyDescent="0.3">
      <c r="B888" s="23"/>
      <c r="D888" s="25"/>
      <c r="E888" s="25"/>
      <c r="M888" s="12"/>
      <c r="N888" s="118"/>
      <c r="O888" s="118"/>
      <c r="P888" s="118"/>
      <c r="Q888" s="118"/>
    </row>
    <row r="889" spans="2:17" ht="14.25" customHeight="1" x14ac:dyDescent="0.3">
      <c r="B889" s="23"/>
      <c r="D889" s="25"/>
      <c r="E889" s="25"/>
      <c r="M889" s="12"/>
      <c r="N889" s="118"/>
      <c r="O889" s="118"/>
      <c r="P889" s="118"/>
      <c r="Q889" s="118"/>
    </row>
    <row r="890" spans="2:17" ht="14.25" customHeight="1" x14ac:dyDescent="0.3">
      <c r="B890" s="23"/>
      <c r="D890" s="25"/>
      <c r="E890" s="25"/>
      <c r="M890" s="12"/>
      <c r="N890" s="118"/>
      <c r="O890" s="118"/>
      <c r="P890" s="118"/>
      <c r="Q890" s="118"/>
    </row>
    <row r="891" spans="2:17" ht="14.25" customHeight="1" x14ac:dyDescent="0.3">
      <c r="B891" s="23"/>
      <c r="D891" s="25"/>
      <c r="E891" s="25"/>
      <c r="M891" s="12"/>
      <c r="N891" s="118"/>
      <c r="O891" s="118"/>
      <c r="P891" s="118"/>
      <c r="Q891" s="118"/>
    </row>
    <row r="892" spans="2:17" ht="14.25" customHeight="1" x14ac:dyDescent="0.3">
      <c r="B892" s="23"/>
      <c r="D892" s="25"/>
      <c r="E892" s="25"/>
      <c r="M892" s="12"/>
      <c r="N892" s="118"/>
      <c r="O892" s="118"/>
      <c r="P892" s="118"/>
      <c r="Q892" s="118"/>
    </row>
    <row r="893" spans="2:17" ht="14.25" customHeight="1" x14ac:dyDescent="0.3">
      <c r="B893" s="23"/>
      <c r="D893" s="25"/>
      <c r="E893" s="25"/>
      <c r="M893" s="12"/>
      <c r="N893" s="118"/>
      <c r="O893" s="118"/>
      <c r="P893" s="118"/>
      <c r="Q893" s="118"/>
    </row>
    <row r="894" spans="2:17" ht="14.25" customHeight="1" x14ac:dyDescent="0.3">
      <c r="B894" s="23"/>
      <c r="D894" s="25"/>
      <c r="E894" s="25"/>
      <c r="M894" s="12"/>
      <c r="N894" s="118"/>
      <c r="O894" s="118"/>
      <c r="P894" s="118"/>
      <c r="Q894" s="118"/>
    </row>
    <row r="895" spans="2:17" ht="14.25" customHeight="1" x14ac:dyDescent="0.3">
      <c r="B895" s="23"/>
      <c r="D895" s="25"/>
      <c r="E895" s="25"/>
      <c r="M895" s="12"/>
      <c r="N895" s="118"/>
      <c r="O895" s="118"/>
      <c r="P895" s="118"/>
      <c r="Q895" s="118"/>
    </row>
    <row r="896" spans="2:17" ht="14.25" customHeight="1" x14ac:dyDescent="0.3">
      <c r="B896" s="23"/>
      <c r="D896" s="25"/>
      <c r="E896" s="25"/>
      <c r="M896" s="12"/>
      <c r="N896" s="118"/>
      <c r="O896" s="118"/>
      <c r="P896" s="118"/>
      <c r="Q896" s="118"/>
    </row>
    <row r="897" spans="2:17" ht="14.25" customHeight="1" x14ac:dyDescent="0.3">
      <c r="B897" s="23"/>
      <c r="D897" s="25"/>
      <c r="E897" s="25"/>
      <c r="M897" s="12"/>
      <c r="N897" s="118"/>
      <c r="O897" s="118"/>
      <c r="P897" s="118"/>
      <c r="Q897" s="118"/>
    </row>
    <row r="898" spans="2:17" ht="14.25" customHeight="1" x14ac:dyDescent="0.3">
      <c r="B898" s="23"/>
      <c r="D898" s="25"/>
      <c r="E898" s="25"/>
      <c r="M898" s="12"/>
      <c r="N898" s="118"/>
      <c r="O898" s="118"/>
      <c r="P898" s="118"/>
      <c r="Q898" s="118"/>
    </row>
    <row r="899" spans="2:17" ht="14.25" customHeight="1" x14ac:dyDescent="0.3">
      <c r="B899" s="23"/>
      <c r="D899" s="25"/>
      <c r="E899" s="25"/>
      <c r="M899" s="12"/>
      <c r="N899" s="118"/>
      <c r="O899" s="118"/>
      <c r="P899" s="118"/>
      <c r="Q899" s="118"/>
    </row>
    <row r="900" spans="2:17" ht="14.25" customHeight="1" x14ac:dyDescent="0.3">
      <c r="B900" s="23"/>
      <c r="D900" s="25"/>
      <c r="E900" s="25"/>
      <c r="M900" s="12"/>
      <c r="N900" s="118"/>
      <c r="O900" s="118"/>
      <c r="P900" s="118"/>
      <c r="Q900" s="118"/>
    </row>
    <row r="901" spans="2:17" ht="14.25" customHeight="1" x14ac:dyDescent="0.3">
      <c r="B901" s="23"/>
      <c r="D901" s="25"/>
      <c r="E901" s="25"/>
      <c r="M901" s="12"/>
      <c r="N901" s="118"/>
      <c r="O901" s="118"/>
      <c r="P901" s="118"/>
      <c r="Q901" s="118"/>
    </row>
    <row r="902" spans="2:17" ht="14.25" customHeight="1" x14ac:dyDescent="0.3">
      <c r="B902" s="23"/>
      <c r="D902" s="25"/>
      <c r="E902" s="25"/>
      <c r="M902" s="12"/>
      <c r="N902" s="118"/>
      <c r="O902" s="118"/>
      <c r="P902" s="118"/>
      <c r="Q902" s="118"/>
    </row>
    <row r="903" spans="2:17" ht="14.25" customHeight="1" x14ac:dyDescent="0.3">
      <c r="B903" s="23"/>
      <c r="D903" s="25"/>
      <c r="E903" s="25"/>
      <c r="M903" s="12"/>
      <c r="N903" s="118"/>
      <c r="O903" s="118"/>
      <c r="P903" s="118"/>
      <c r="Q903" s="118"/>
    </row>
    <row r="904" spans="2:17" ht="14.25" customHeight="1" x14ac:dyDescent="0.3">
      <c r="B904" s="23"/>
      <c r="D904" s="25"/>
      <c r="E904" s="25"/>
      <c r="M904" s="12"/>
      <c r="N904" s="118"/>
      <c r="O904" s="118"/>
      <c r="P904" s="118"/>
      <c r="Q904" s="118"/>
    </row>
    <row r="905" spans="2:17" ht="14.25" customHeight="1" x14ac:dyDescent="0.3">
      <c r="B905" s="23"/>
      <c r="D905" s="25"/>
      <c r="E905" s="25"/>
      <c r="M905" s="12"/>
      <c r="N905" s="118"/>
      <c r="O905" s="118"/>
      <c r="P905" s="118"/>
      <c r="Q905" s="118"/>
    </row>
    <row r="906" spans="2:17" ht="14.25" customHeight="1" x14ac:dyDescent="0.3">
      <c r="B906" s="23"/>
      <c r="D906" s="25"/>
      <c r="E906" s="25"/>
      <c r="M906" s="12"/>
      <c r="N906" s="118"/>
      <c r="O906" s="118"/>
      <c r="P906" s="118"/>
      <c r="Q906" s="118"/>
    </row>
    <row r="907" spans="2:17" ht="14.25" customHeight="1" x14ac:dyDescent="0.3">
      <c r="B907" s="23"/>
      <c r="D907" s="25"/>
      <c r="E907" s="25"/>
      <c r="M907" s="12"/>
      <c r="N907" s="118"/>
      <c r="O907" s="118"/>
      <c r="P907" s="118"/>
      <c r="Q907" s="118"/>
    </row>
    <row r="908" spans="2:17" ht="14.25" customHeight="1" x14ac:dyDescent="0.3">
      <c r="B908" s="23"/>
      <c r="D908" s="25"/>
      <c r="E908" s="25"/>
      <c r="M908" s="12"/>
      <c r="N908" s="118"/>
      <c r="O908" s="118"/>
      <c r="P908" s="118"/>
      <c r="Q908" s="118"/>
    </row>
    <row r="909" spans="2:17" ht="14.25" customHeight="1" x14ac:dyDescent="0.3">
      <c r="B909" s="23"/>
      <c r="D909" s="25"/>
      <c r="E909" s="25"/>
      <c r="M909" s="12"/>
      <c r="N909" s="118"/>
      <c r="O909" s="118"/>
      <c r="P909" s="118"/>
      <c r="Q909" s="118"/>
    </row>
    <row r="910" spans="2:17" ht="14.25" customHeight="1" x14ac:dyDescent="0.3">
      <c r="B910" s="23"/>
      <c r="D910" s="25"/>
      <c r="E910" s="25"/>
      <c r="M910" s="12"/>
      <c r="N910" s="118"/>
      <c r="O910" s="118"/>
      <c r="P910" s="118"/>
      <c r="Q910" s="118"/>
    </row>
    <row r="911" spans="2:17" ht="14.25" customHeight="1" x14ac:dyDescent="0.3">
      <c r="B911" s="23"/>
      <c r="D911" s="25"/>
      <c r="E911" s="25"/>
      <c r="M911" s="12"/>
      <c r="N911" s="118"/>
      <c r="O911" s="118"/>
      <c r="P911" s="118"/>
      <c r="Q911" s="118"/>
    </row>
    <row r="912" spans="2:17" ht="14.25" customHeight="1" x14ac:dyDescent="0.3">
      <c r="B912" s="23"/>
      <c r="D912" s="25"/>
      <c r="E912" s="25"/>
      <c r="M912" s="12"/>
      <c r="N912" s="118"/>
      <c r="O912" s="118"/>
      <c r="P912" s="118"/>
      <c r="Q912" s="118"/>
    </row>
    <row r="913" spans="2:17" ht="14.25" customHeight="1" x14ac:dyDescent="0.3">
      <c r="B913" s="23"/>
      <c r="D913" s="25"/>
      <c r="E913" s="25"/>
      <c r="M913" s="12"/>
      <c r="N913" s="118"/>
      <c r="O913" s="118"/>
      <c r="P913" s="118"/>
      <c r="Q913" s="118"/>
    </row>
    <row r="914" spans="2:17" ht="14.25" customHeight="1" x14ac:dyDescent="0.3">
      <c r="B914" s="23"/>
      <c r="D914" s="25"/>
      <c r="E914" s="25"/>
      <c r="M914" s="12"/>
      <c r="N914" s="118"/>
      <c r="O914" s="118"/>
      <c r="P914" s="118"/>
      <c r="Q914" s="118"/>
    </row>
    <row r="915" spans="2:17" ht="14.25" customHeight="1" x14ac:dyDescent="0.3">
      <c r="B915" s="23"/>
      <c r="D915" s="25"/>
      <c r="E915" s="25"/>
      <c r="M915" s="12"/>
      <c r="N915" s="118"/>
      <c r="O915" s="118"/>
      <c r="P915" s="118"/>
      <c r="Q915" s="118"/>
    </row>
    <row r="916" spans="2:17" ht="14.25" customHeight="1" x14ac:dyDescent="0.3">
      <c r="B916" s="23"/>
      <c r="D916" s="25"/>
      <c r="E916" s="25"/>
      <c r="M916" s="12"/>
      <c r="N916" s="118"/>
      <c r="O916" s="118"/>
      <c r="P916" s="118"/>
      <c r="Q916" s="118"/>
    </row>
    <row r="917" spans="2:17" ht="14.25" customHeight="1" x14ac:dyDescent="0.3">
      <c r="B917" s="23"/>
      <c r="D917" s="25"/>
      <c r="E917" s="25"/>
      <c r="M917" s="12"/>
      <c r="N917" s="118"/>
      <c r="O917" s="118"/>
      <c r="P917" s="118"/>
      <c r="Q917" s="118"/>
    </row>
    <row r="918" spans="2:17" ht="14.25" customHeight="1" x14ac:dyDescent="0.3">
      <c r="B918" s="23"/>
      <c r="D918" s="25"/>
      <c r="E918" s="25"/>
      <c r="M918" s="12"/>
      <c r="N918" s="118"/>
      <c r="O918" s="118"/>
      <c r="P918" s="118"/>
      <c r="Q918" s="118"/>
    </row>
    <row r="919" spans="2:17" ht="14.25" customHeight="1" x14ac:dyDescent="0.3">
      <c r="B919" s="23"/>
      <c r="D919" s="25"/>
      <c r="E919" s="25"/>
      <c r="M919" s="12"/>
      <c r="N919" s="118"/>
      <c r="O919" s="118"/>
      <c r="P919" s="118"/>
      <c r="Q919" s="118"/>
    </row>
    <row r="920" spans="2:17" ht="14.25" customHeight="1" x14ac:dyDescent="0.3">
      <c r="B920" s="23"/>
      <c r="D920" s="25"/>
      <c r="E920" s="25"/>
      <c r="M920" s="12"/>
      <c r="N920" s="118"/>
      <c r="O920" s="118"/>
      <c r="P920" s="118"/>
      <c r="Q920" s="118"/>
    </row>
    <row r="921" spans="2:17" ht="14.25" customHeight="1" x14ac:dyDescent="0.3">
      <c r="B921" s="23"/>
      <c r="D921" s="25"/>
      <c r="E921" s="25"/>
      <c r="M921" s="12"/>
      <c r="N921" s="118"/>
      <c r="O921" s="118"/>
      <c r="P921" s="118"/>
      <c r="Q921" s="118"/>
    </row>
    <row r="922" spans="2:17" ht="14.25" customHeight="1" x14ac:dyDescent="0.3">
      <c r="B922" s="23"/>
      <c r="D922" s="25"/>
      <c r="E922" s="25"/>
      <c r="M922" s="12"/>
      <c r="N922" s="118"/>
      <c r="O922" s="118"/>
      <c r="P922" s="118"/>
      <c r="Q922" s="118"/>
    </row>
    <row r="923" spans="2:17" ht="14.25" customHeight="1" x14ac:dyDescent="0.3">
      <c r="B923" s="23"/>
      <c r="D923" s="25"/>
      <c r="E923" s="25"/>
      <c r="M923" s="12"/>
      <c r="N923" s="118"/>
      <c r="O923" s="118"/>
      <c r="P923" s="118"/>
      <c r="Q923" s="118"/>
    </row>
    <row r="924" spans="2:17" ht="14.25" customHeight="1" x14ac:dyDescent="0.3">
      <c r="B924" s="23"/>
      <c r="D924" s="25"/>
      <c r="E924" s="25"/>
      <c r="M924" s="12"/>
      <c r="N924" s="118"/>
      <c r="O924" s="118"/>
      <c r="P924" s="118"/>
      <c r="Q924" s="118"/>
    </row>
    <row r="925" spans="2:17" ht="14.25" customHeight="1" x14ac:dyDescent="0.3">
      <c r="B925" s="23"/>
      <c r="D925" s="25"/>
      <c r="E925" s="25"/>
      <c r="M925" s="12"/>
      <c r="N925" s="118"/>
      <c r="O925" s="118"/>
      <c r="P925" s="118"/>
      <c r="Q925" s="118"/>
    </row>
    <row r="926" spans="2:17" ht="14.25" customHeight="1" x14ac:dyDescent="0.3">
      <c r="B926" s="23"/>
      <c r="D926" s="25"/>
      <c r="E926" s="25"/>
      <c r="M926" s="12"/>
      <c r="N926" s="118"/>
      <c r="O926" s="118"/>
      <c r="P926" s="118"/>
      <c r="Q926" s="118"/>
    </row>
    <row r="927" spans="2:17" ht="14.25" customHeight="1" x14ac:dyDescent="0.3">
      <c r="B927" s="23"/>
      <c r="D927" s="25"/>
      <c r="E927" s="25"/>
      <c r="M927" s="12"/>
      <c r="N927" s="118"/>
      <c r="O927" s="118"/>
      <c r="P927" s="118"/>
      <c r="Q927" s="118"/>
    </row>
    <row r="928" spans="2:17" ht="14.25" customHeight="1" x14ac:dyDescent="0.3">
      <c r="B928" s="23"/>
      <c r="D928" s="25"/>
      <c r="E928" s="25"/>
      <c r="M928" s="12"/>
      <c r="N928" s="118"/>
      <c r="O928" s="118"/>
      <c r="P928" s="118"/>
      <c r="Q928" s="118"/>
    </row>
    <row r="929" spans="2:17" ht="14.25" customHeight="1" x14ac:dyDescent="0.3">
      <c r="B929" s="23"/>
      <c r="D929" s="25"/>
      <c r="E929" s="25"/>
      <c r="M929" s="12"/>
      <c r="N929" s="118"/>
      <c r="O929" s="118"/>
      <c r="P929" s="118"/>
      <c r="Q929" s="118"/>
    </row>
    <row r="930" spans="2:17" ht="14.25" customHeight="1" x14ac:dyDescent="0.3">
      <c r="B930" s="23"/>
      <c r="D930" s="25"/>
      <c r="E930" s="25"/>
      <c r="M930" s="12"/>
      <c r="N930" s="118"/>
      <c r="O930" s="118"/>
      <c r="P930" s="118"/>
      <c r="Q930" s="118"/>
    </row>
    <row r="931" spans="2:17" ht="14.25" customHeight="1" x14ac:dyDescent="0.3">
      <c r="B931" s="23"/>
      <c r="D931" s="25"/>
      <c r="E931" s="25"/>
      <c r="M931" s="12"/>
      <c r="N931" s="118"/>
      <c r="O931" s="118"/>
      <c r="P931" s="118"/>
      <c r="Q931" s="118"/>
    </row>
    <row r="932" spans="2:17" ht="14.25" customHeight="1" x14ac:dyDescent="0.3">
      <c r="B932" s="23"/>
      <c r="D932" s="25"/>
      <c r="E932" s="25"/>
      <c r="M932" s="12"/>
      <c r="N932" s="118"/>
      <c r="O932" s="118"/>
      <c r="P932" s="118"/>
      <c r="Q932" s="118"/>
    </row>
    <row r="933" spans="2:17" ht="14.25" customHeight="1" x14ac:dyDescent="0.3">
      <c r="B933" s="23"/>
      <c r="D933" s="25"/>
      <c r="E933" s="25"/>
      <c r="M933" s="12"/>
      <c r="N933" s="118"/>
      <c r="O933" s="118"/>
      <c r="P933" s="118"/>
      <c r="Q933" s="118"/>
    </row>
    <row r="934" spans="2:17" ht="14.25" customHeight="1" x14ac:dyDescent="0.3">
      <c r="B934" s="23"/>
      <c r="D934" s="25"/>
      <c r="E934" s="25"/>
      <c r="M934" s="12"/>
      <c r="N934" s="118"/>
      <c r="O934" s="118"/>
      <c r="P934" s="118"/>
      <c r="Q934" s="118"/>
    </row>
    <row r="935" spans="2:17" ht="14.25" customHeight="1" x14ac:dyDescent="0.3">
      <c r="B935" s="23"/>
      <c r="D935" s="25"/>
      <c r="E935" s="25"/>
      <c r="M935" s="12"/>
      <c r="N935" s="118"/>
      <c r="O935" s="118"/>
      <c r="P935" s="118"/>
      <c r="Q935" s="118"/>
    </row>
    <row r="936" spans="2:17" ht="14.25" customHeight="1" x14ac:dyDescent="0.3">
      <c r="B936" s="23"/>
      <c r="D936" s="25"/>
      <c r="E936" s="25"/>
      <c r="M936" s="12"/>
      <c r="N936" s="118"/>
      <c r="O936" s="118"/>
      <c r="P936" s="118"/>
      <c r="Q936" s="118"/>
    </row>
    <row r="937" spans="2:17" ht="14.25" customHeight="1" x14ac:dyDescent="0.3">
      <c r="B937" s="23"/>
      <c r="D937" s="25"/>
      <c r="E937" s="25"/>
      <c r="M937" s="12"/>
      <c r="N937" s="118"/>
      <c r="O937" s="118"/>
      <c r="P937" s="118"/>
      <c r="Q937" s="118"/>
    </row>
    <row r="938" spans="2:17" ht="14.25" customHeight="1" x14ac:dyDescent="0.3">
      <c r="B938" s="23"/>
      <c r="D938" s="25"/>
      <c r="E938" s="25"/>
      <c r="M938" s="12"/>
      <c r="N938" s="118"/>
      <c r="O938" s="118"/>
      <c r="P938" s="118"/>
      <c r="Q938" s="118"/>
    </row>
    <row r="939" spans="2:17" ht="14.25" customHeight="1" x14ac:dyDescent="0.3">
      <c r="B939" s="23"/>
      <c r="D939" s="25"/>
      <c r="E939" s="25"/>
      <c r="M939" s="12"/>
      <c r="N939" s="118"/>
      <c r="O939" s="118"/>
      <c r="P939" s="118"/>
      <c r="Q939" s="118"/>
    </row>
    <row r="940" spans="2:17" ht="14.25" customHeight="1" x14ac:dyDescent="0.3">
      <c r="B940" s="23"/>
      <c r="D940" s="25"/>
      <c r="E940" s="25"/>
      <c r="M940" s="12"/>
      <c r="N940" s="118"/>
      <c r="O940" s="118"/>
      <c r="P940" s="118"/>
      <c r="Q940" s="118"/>
    </row>
    <row r="941" spans="2:17" ht="14.25" customHeight="1" x14ac:dyDescent="0.3">
      <c r="B941" s="23"/>
      <c r="D941" s="25"/>
      <c r="E941" s="25"/>
      <c r="M941" s="12"/>
      <c r="N941" s="118"/>
      <c r="O941" s="118"/>
      <c r="P941" s="118"/>
      <c r="Q941" s="118"/>
    </row>
    <row r="942" spans="2:17" ht="14.25" customHeight="1" x14ac:dyDescent="0.3">
      <c r="B942" s="23"/>
      <c r="D942" s="25"/>
      <c r="E942" s="25"/>
      <c r="M942" s="12"/>
      <c r="N942" s="118"/>
      <c r="O942" s="118"/>
      <c r="P942" s="118"/>
      <c r="Q942" s="118"/>
    </row>
    <row r="943" spans="2:17" ht="14.25" customHeight="1" x14ac:dyDescent="0.3">
      <c r="B943" s="23"/>
      <c r="D943" s="25"/>
      <c r="E943" s="25"/>
      <c r="M943" s="12"/>
      <c r="N943" s="118"/>
      <c r="O943" s="118"/>
      <c r="P943" s="118"/>
      <c r="Q943" s="118"/>
    </row>
    <row r="944" spans="2:17" ht="14.25" customHeight="1" x14ac:dyDescent="0.3">
      <c r="B944" s="23"/>
      <c r="D944" s="25"/>
      <c r="E944" s="25"/>
      <c r="M944" s="12"/>
      <c r="N944" s="118"/>
      <c r="O944" s="118"/>
      <c r="P944" s="118"/>
      <c r="Q944" s="118"/>
    </row>
    <row r="945" spans="2:17" ht="14.25" customHeight="1" x14ac:dyDescent="0.3">
      <c r="B945" s="23"/>
      <c r="D945" s="25"/>
      <c r="E945" s="25"/>
      <c r="M945" s="12"/>
      <c r="N945" s="118"/>
      <c r="O945" s="118"/>
      <c r="P945" s="118"/>
      <c r="Q945" s="118"/>
    </row>
    <row r="946" spans="2:17" ht="14.25" customHeight="1" x14ac:dyDescent="0.3">
      <c r="B946" s="23"/>
      <c r="D946" s="25"/>
      <c r="E946" s="25"/>
      <c r="M946" s="12"/>
      <c r="N946" s="118"/>
      <c r="O946" s="118"/>
      <c r="P946" s="118"/>
      <c r="Q946" s="118"/>
    </row>
    <row r="947" spans="2:17" ht="14.25" customHeight="1" x14ac:dyDescent="0.3">
      <c r="B947" s="23"/>
      <c r="D947" s="25"/>
      <c r="E947" s="25"/>
      <c r="M947" s="12"/>
      <c r="N947" s="118"/>
      <c r="O947" s="118"/>
      <c r="P947" s="118"/>
      <c r="Q947" s="118"/>
    </row>
    <row r="948" spans="2:17" ht="14.25" customHeight="1" x14ac:dyDescent="0.3">
      <c r="B948" s="23"/>
      <c r="D948" s="25"/>
      <c r="E948" s="25"/>
      <c r="M948" s="12"/>
      <c r="N948" s="118"/>
      <c r="O948" s="118"/>
      <c r="P948" s="118"/>
      <c r="Q948" s="118"/>
    </row>
    <row r="949" spans="2:17" ht="14.25" customHeight="1" x14ac:dyDescent="0.3">
      <c r="B949" s="23"/>
      <c r="D949" s="25"/>
      <c r="E949" s="25"/>
      <c r="M949" s="12"/>
      <c r="N949" s="118"/>
      <c r="O949" s="118"/>
      <c r="P949" s="118"/>
      <c r="Q949" s="118"/>
    </row>
    <row r="950" spans="2:17" ht="14.25" customHeight="1" x14ac:dyDescent="0.3">
      <c r="B950" s="23"/>
      <c r="D950" s="25"/>
      <c r="E950" s="25"/>
      <c r="M950" s="12"/>
      <c r="N950" s="118"/>
      <c r="O950" s="118"/>
      <c r="P950" s="118"/>
      <c r="Q950" s="118"/>
    </row>
    <row r="951" spans="2:17" ht="14.25" customHeight="1" x14ac:dyDescent="0.3">
      <c r="B951" s="23"/>
      <c r="D951" s="25"/>
      <c r="E951" s="25"/>
      <c r="M951" s="12"/>
      <c r="N951" s="118"/>
      <c r="O951" s="118"/>
      <c r="P951" s="118"/>
      <c r="Q951" s="118"/>
    </row>
    <row r="952" spans="2:17" ht="14.25" customHeight="1" x14ac:dyDescent="0.3">
      <c r="B952" s="23"/>
      <c r="D952" s="25"/>
      <c r="E952" s="25"/>
      <c r="M952" s="12"/>
      <c r="N952" s="118"/>
      <c r="O952" s="118"/>
      <c r="P952" s="118"/>
      <c r="Q952" s="118"/>
    </row>
    <row r="953" spans="2:17" ht="14.25" customHeight="1" x14ac:dyDescent="0.3">
      <c r="B953" s="23"/>
      <c r="D953" s="25"/>
      <c r="E953" s="25"/>
      <c r="M953" s="12"/>
      <c r="N953" s="118"/>
      <c r="O953" s="118"/>
      <c r="P953" s="118"/>
      <c r="Q953" s="118"/>
    </row>
    <row r="954" spans="2:17" ht="14.25" customHeight="1" x14ac:dyDescent="0.3">
      <c r="B954" s="23"/>
      <c r="D954" s="25"/>
      <c r="E954" s="25"/>
      <c r="M954" s="12"/>
      <c r="N954" s="118"/>
      <c r="O954" s="118"/>
      <c r="P954" s="118"/>
      <c r="Q954" s="118"/>
    </row>
    <row r="955" spans="2:17" ht="14.25" customHeight="1" x14ac:dyDescent="0.3">
      <c r="B955" s="23"/>
      <c r="D955" s="25"/>
      <c r="E955" s="25"/>
      <c r="M955" s="12"/>
      <c r="N955" s="118"/>
      <c r="O955" s="118"/>
      <c r="P955" s="118"/>
      <c r="Q955" s="118"/>
    </row>
    <row r="956" spans="2:17" ht="14.25" customHeight="1" x14ac:dyDescent="0.3">
      <c r="B956" s="23"/>
      <c r="D956" s="25"/>
      <c r="E956" s="25"/>
      <c r="M956" s="12"/>
      <c r="N956" s="118"/>
      <c r="O956" s="118"/>
      <c r="P956" s="118"/>
      <c r="Q956" s="118"/>
    </row>
    <row r="957" spans="2:17" ht="14.25" customHeight="1" x14ac:dyDescent="0.3">
      <c r="B957" s="23"/>
      <c r="D957" s="25"/>
      <c r="E957" s="25"/>
      <c r="M957" s="12"/>
      <c r="N957" s="118"/>
      <c r="O957" s="118"/>
      <c r="P957" s="118"/>
      <c r="Q957" s="118"/>
    </row>
    <row r="958" spans="2:17" ht="14.25" customHeight="1" x14ac:dyDescent="0.3">
      <c r="B958" s="23"/>
      <c r="D958" s="25"/>
      <c r="E958" s="25"/>
      <c r="M958" s="12"/>
      <c r="N958" s="118"/>
      <c r="O958" s="118"/>
      <c r="P958" s="118"/>
      <c r="Q958" s="118"/>
    </row>
    <row r="959" spans="2:17" ht="14.25" customHeight="1" x14ac:dyDescent="0.3">
      <c r="B959" s="23"/>
      <c r="D959" s="25"/>
      <c r="E959" s="25"/>
      <c r="M959" s="12"/>
      <c r="N959" s="118"/>
      <c r="O959" s="118"/>
      <c r="P959" s="118"/>
      <c r="Q959" s="118"/>
    </row>
    <row r="960" spans="2:17" ht="14.25" customHeight="1" x14ac:dyDescent="0.3">
      <c r="B960" s="23"/>
      <c r="D960" s="25"/>
      <c r="E960" s="25"/>
      <c r="M960" s="12"/>
      <c r="N960" s="118"/>
      <c r="O960" s="118"/>
      <c r="P960" s="118"/>
      <c r="Q960" s="118"/>
    </row>
    <row r="961" spans="2:17" ht="14.25" customHeight="1" x14ac:dyDescent="0.3">
      <c r="B961" s="23"/>
      <c r="D961" s="25"/>
      <c r="E961" s="25"/>
      <c r="M961" s="12"/>
      <c r="N961" s="118"/>
      <c r="O961" s="118"/>
      <c r="P961" s="118"/>
      <c r="Q961" s="118"/>
    </row>
    <row r="962" spans="2:17" ht="14.25" customHeight="1" x14ac:dyDescent="0.3">
      <c r="B962" s="23"/>
      <c r="D962" s="25"/>
      <c r="E962" s="25"/>
      <c r="M962" s="12"/>
      <c r="N962" s="118"/>
      <c r="O962" s="118"/>
      <c r="P962" s="118"/>
      <c r="Q962" s="118"/>
    </row>
    <row r="963" spans="2:17" ht="14.25" customHeight="1" x14ac:dyDescent="0.3">
      <c r="B963" s="23"/>
      <c r="D963" s="25"/>
      <c r="E963" s="25"/>
      <c r="M963" s="12"/>
      <c r="N963" s="118"/>
      <c r="O963" s="118"/>
      <c r="P963" s="118"/>
      <c r="Q963" s="118"/>
    </row>
    <row r="964" spans="2:17" ht="14.25" customHeight="1" x14ac:dyDescent="0.3">
      <c r="B964" s="23"/>
      <c r="D964" s="25"/>
      <c r="E964" s="25"/>
      <c r="M964" s="12"/>
      <c r="N964" s="118"/>
      <c r="O964" s="118"/>
      <c r="P964" s="118"/>
      <c r="Q964" s="118"/>
    </row>
    <row r="965" spans="2:17" ht="14.25" customHeight="1" x14ac:dyDescent="0.3">
      <c r="B965" s="23"/>
      <c r="D965" s="25"/>
      <c r="E965" s="25"/>
      <c r="M965" s="12"/>
      <c r="N965" s="118"/>
      <c r="O965" s="118"/>
      <c r="P965" s="118"/>
      <c r="Q965" s="118"/>
    </row>
    <row r="966" spans="2:17" ht="14.25" customHeight="1" x14ac:dyDescent="0.3">
      <c r="B966" s="23"/>
      <c r="D966" s="25"/>
      <c r="E966" s="25"/>
      <c r="M966" s="12"/>
      <c r="N966" s="118"/>
      <c r="O966" s="118"/>
      <c r="P966" s="118"/>
      <c r="Q966" s="118"/>
    </row>
    <row r="967" spans="2:17" ht="14.25" customHeight="1" x14ac:dyDescent="0.3">
      <c r="B967" s="23"/>
      <c r="D967" s="25"/>
      <c r="E967" s="25"/>
      <c r="M967" s="12"/>
      <c r="N967" s="118"/>
      <c r="O967" s="118"/>
      <c r="P967" s="118"/>
      <c r="Q967" s="118"/>
    </row>
    <row r="968" spans="2:17" ht="14.25" customHeight="1" x14ac:dyDescent="0.3">
      <c r="B968" s="23"/>
      <c r="D968" s="25"/>
      <c r="E968" s="25"/>
      <c r="M968" s="12"/>
      <c r="N968" s="118"/>
      <c r="O968" s="118"/>
      <c r="P968" s="118"/>
      <c r="Q968" s="118"/>
    </row>
    <row r="969" spans="2:17" ht="14.25" customHeight="1" x14ac:dyDescent="0.3">
      <c r="B969" s="23"/>
      <c r="D969" s="25"/>
      <c r="E969" s="25"/>
      <c r="M969" s="12"/>
      <c r="N969" s="118"/>
      <c r="O969" s="118"/>
      <c r="P969" s="118"/>
      <c r="Q969" s="118"/>
    </row>
    <row r="970" spans="2:17" ht="14.25" customHeight="1" x14ac:dyDescent="0.3">
      <c r="B970" s="23"/>
      <c r="D970" s="25"/>
      <c r="E970" s="25"/>
      <c r="M970" s="12"/>
      <c r="N970" s="118"/>
      <c r="O970" s="118"/>
      <c r="P970" s="118"/>
      <c r="Q970" s="118"/>
    </row>
    <row r="971" spans="2:17" ht="14.25" customHeight="1" x14ac:dyDescent="0.3">
      <c r="B971" s="23"/>
      <c r="D971" s="25"/>
      <c r="E971" s="25"/>
      <c r="M971" s="12"/>
      <c r="N971" s="118"/>
      <c r="O971" s="118"/>
      <c r="P971" s="118"/>
      <c r="Q971" s="118"/>
    </row>
    <row r="972" spans="2:17" ht="14.25" customHeight="1" x14ac:dyDescent="0.3">
      <c r="B972" s="23"/>
      <c r="D972" s="25"/>
      <c r="E972" s="25"/>
      <c r="M972" s="12"/>
      <c r="N972" s="118"/>
      <c r="O972" s="118"/>
      <c r="P972" s="118"/>
      <c r="Q972" s="118"/>
    </row>
    <row r="973" spans="2:17" ht="14.25" customHeight="1" x14ac:dyDescent="0.3">
      <c r="B973" s="23"/>
      <c r="D973" s="25"/>
      <c r="E973" s="25"/>
      <c r="M973" s="12"/>
      <c r="N973" s="118"/>
      <c r="O973" s="118"/>
      <c r="P973" s="118"/>
      <c r="Q973" s="118"/>
    </row>
    <row r="974" spans="2:17" ht="14.25" customHeight="1" x14ac:dyDescent="0.3">
      <c r="B974" s="23"/>
      <c r="D974" s="25"/>
      <c r="E974" s="25"/>
      <c r="M974" s="12"/>
      <c r="N974" s="118"/>
      <c r="O974" s="118"/>
      <c r="P974" s="118"/>
      <c r="Q974" s="118"/>
    </row>
    <row r="975" spans="2:17" ht="14.25" customHeight="1" x14ac:dyDescent="0.3">
      <c r="B975" s="23"/>
      <c r="D975" s="25"/>
      <c r="E975" s="25"/>
      <c r="M975" s="12"/>
      <c r="N975" s="118"/>
      <c r="O975" s="118"/>
      <c r="P975" s="118"/>
      <c r="Q975" s="118"/>
    </row>
    <row r="976" spans="2:17" ht="14.25" customHeight="1" x14ac:dyDescent="0.3">
      <c r="B976" s="23"/>
      <c r="D976" s="25"/>
      <c r="E976" s="25"/>
      <c r="M976" s="12"/>
      <c r="N976" s="118"/>
      <c r="O976" s="118"/>
      <c r="P976" s="118"/>
      <c r="Q976" s="118"/>
    </row>
    <row r="977" spans="2:17" ht="14.25" customHeight="1" x14ac:dyDescent="0.3">
      <c r="B977" s="23"/>
      <c r="D977" s="25"/>
      <c r="E977" s="25"/>
      <c r="M977" s="12"/>
      <c r="N977" s="118"/>
      <c r="O977" s="118"/>
      <c r="P977" s="118"/>
      <c r="Q977" s="118"/>
    </row>
    <row r="978" spans="2:17" ht="14.25" customHeight="1" x14ac:dyDescent="0.3">
      <c r="B978" s="23"/>
      <c r="D978" s="25"/>
      <c r="E978" s="25"/>
      <c r="M978" s="12"/>
      <c r="N978" s="118"/>
      <c r="O978" s="118"/>
      <c r="P978" s="118"/>
      <c r="Q978" s="118"/>
    </row>
    <row r="979" spans="2:17" ht="14.25" customHeight="1" x14ac:dyDescent="0.3">
      <c r="B979" s="23"/>
      <c r="D979" s="25"/>
      <c r="E979" s="25"/>
      <c r="M979" s="12"/>
      <c r="N979" s="118"/>
      <c r="O979" s="118"/>
      <c r="P979" s="118"/>
      <c r="Q979" s="118"/>
    </row>
    <row r="980" spans="2:17" ht="14.25" customHeight="1" x14ac:dyDescent="0.3">
      <c r="B980" s="23"/>
      <c r="D980" s="25"/>
      <c r="E980" s="25"/>
      <c r="M980" s="12"/>
      <c r="N980" s="118"/>
      <c r="O980" s="118"/>
      <c r="P980" s="118"/>
      <c r="Q980" s="118"/>
    </row>
    <row r="981" spans="2:17" ht="14.25" customHeight="1" x14ac:dyDescent="0.3">
      <c r="B981" s="23"/>
      <c r="D981" s="25"/>
      <c r="E981" s="25"/>
      <c r="M981" s="12"/>
      <c r="N981" s="118"/>
      <c r="O981" s="118"/>
      <c r="P981" s="118"/>
      <c r="Q981" s="118"/>
    </row>
    <row r="982" spans="2:17" ht="14.25" customHeight="1" x14ac:dyDescent="0.3">
      <c r="B982" s="23"/>
      <c r="D982" s="25"/>
      <c r="E982" s="25"/>
      <c r="M982" s="12"/>
      <c r="N982" s="118"/>
      <c r="O982" s="118"/>
      <c r="P982" s="118"/>
      <c r="Q982" s="118"/>
    </row>
    <row r="983" spans="2:17" ht="14.25" customHeight="1" x14ac:dyDescent="0.3">
      <c r="B983" s="23"/>
      <c r="D983" s="25"/>
      <c r="E983" s="25"/>
      <c r="M983" s="12"/>
      <c r="N983" s="118"/>
      <c r="O983" s="118"/>
      <c r="P983" s="118"/>
      <c r="Q983" s="118"/>
    </row>
    <row r="984" spans="2:17" ht="14.25" customHeight="1" x14ac:dyDescent="0.3">
      <c r="B984" s="23"/>
      <c r="D984" s="25"/>
      <c r="E984" s="25"/>
      <c r="M984" s="12"/>
      <c r="N984" s="118"/>
      <c r="O984" s="118"/>
      <c r="P984" s="118"/>
      <c r="Q984" s="118"/>
    </row>
    <row r="985" spans="2:17" ht="14.25" customHeight="1" x14ac:dyDescent="0.3">
      <c r="B985" s="23"/>
      <c r="D985" s="25"/>
      <c r="E985" s="25"/>
      <c r="M985" s="12"/>
      <c r="N985" s="118"/>
      <c r="O985" s="118"/>
      <c r="P985" s="118"/>
      <c r="Q985" s="118"/>
    </row>
    <row r="986" spans="2:17" ht="14.25" customHeight="1" x14ac:dyDescent="0.3">
      <c r="B986" s="23"/>
      <c r="D986" s="25"/>
      <c r="E986" s="25"/>
      <c r="M986" s="12"/>
      <c r="N986" s="118"/>
      <c r="O986" s="118"/>
      <c r="P986" s="118"/>
      <c r="Q986" s="118"/>
    </row>
    <row r="987" spans="2:17" ht="14.25" customHeight="1" x14ac:dyDescent="0.3">
      <c r="B987" s="23"/>
      <c r="D987" s="25"/>
      <c r="E987" s="25"/>
      <c r="M987" s="12"/>
      <c r="N987" s="118"/>
      <c r="O987" s="118"/>
      <c r="P987" s="118"/>
      <c r="Q987" s="118"/>
    </row>
    <row r="988" spans="2:17" ht="14.25" customHeight="1" x14ac:dyDescent="0.3">
      <c r="B988" s="23"/>
      <c r="D988" s="25"/>
      <c r="E988" s="25"/>
      <c r="M988" s="12"/>
      <c r="N988" s="118"/>
      <c r="O988" s="118"/>
      <c r="P988" s="118"/>
      <c r="Q988" s="118"/>
    </row>
    <row r="989" spans="2:17" ht="14.25" customHeight="1" x14ac:dyDescent="0.3">
      <c r="B989" s="23"/>
      <c r="D989" s="25"/>
      <c r="E989" s="25"/>
      <c r="M989" s="12"/>
      <c r="N989" s="118"/>
      <c r="O989" s="118"/>
      <c r="P989" s="118"/>
      <c r="Q989" s="118"/>
    </row>
    <row r="990" spans="2:17" ht="14.25" customHeight="1" x14ac:dyDescent="0.3">
      <c r="B990" s="23"/>
      <c r="D990" s="25"/>
      <c r="E990" s="25"/>
      <c r="M990" s="12"/>
      <c r="N990" s="118"/>
      <c r="O990" s="118"/>
      <c r="P990" s="118"/>
      <c r="Q990" s="118"/>
    </row>
    <row r="991" spans="2:17" ht="14.25" customHeight="1" x14ac:dyDescent="0.3">
      <c r="B991" s="23"/>
      <c r="D991" s="25"/>
      <c r="E991" s="25"/>
      <c r="M991" s="12"/>
      <c r="N991" s="118"/>
      <c r="O991" s="118"/>
      <c r="P991" s="118"/>
      <c r="Q991" s="118"/>
    </row>
    <row r="992" spans="2:17" ht="14.25" customHeight="1" x14ac:dyDescent="0.3">
      <c r="B992" s="23"/>
      <c r="D992" s="25"/>
      <c r="E992" s="25"/>
      <c r="M992" s="12"/>
      <c r="N992" s="118"/>
      <c r="O992" s="118"/>
      <c r="P992" s="118"/>
      <c r="Q992" s="118"/>
    </row>
    <row r="993" spans="2:17" ht="14.25" customHeight="1" x14ac:dyDescent="0.3">
      <c r="B993" s="23"/>
      <c r="D993" s="25"/>
      <c r="E993" s="25"/>
      <c r="M993" s="12"/>
      <c r="N993" s="118"/>
      <c r="O993" s="118"/>
      <c r="P993" s="118"/>
      <c r="Q993" s="118"/>
    </row>
    <row r="994" spans="2:17" ht="14.25" customHeight="1" x14ac:dyDescent="0.3">
      <c r="B994" s="23"/>
      <c r="D994" s="25"/>
      <c r="E994" s="25"/>
      <c r="M994" s="12"/>
      <c r="N994" s="118"/>
      <c r="O994" s="118"/>
      <c r="P994" s="118"/>
      <c r="Q994" s="118"/>
    </row>
    <row r="995" spans="2:17" ht="14.25" customHeight="1" x14ac:dyDescent="0.3">
      <c r="B995" s="23"/>
      <c r="D995" s="25"/>
      <c r="E995" s="25"/>
      <c r="M995" s="12"/>
      <c r="N995" s="118"/>
      <c r="O995" s="118"/>
      <c r="P995" s="118"/>
      <c r="Q995" s="118"/>
    </row>
    <row r="996" spans="2:17" ht="14.25" customHeight="1" x14ac:dyDescent="0.3">
      <c r="B996" s="23"/>
      <c r="D996" s="25"/>
      <c r="E996" s="25"/>
      <c r="M996" s="12"/>
      <c r="N996" s="118"/>
      <c r="O996" s="118"/>
      <c r="P996" s="118"/>
      <c r="Q996" s="118"/>
    </row>
    <row r="997" spans="2:17" ht="14.25" customHeight="1" x14ac:dyDescent="0.3">
      <c r="B997" s="23"/>
      <c r="D997" s="25"/>
      <c r="E997" s="25"/>
      <c r="M997" s="12"/>
      <c r="N997" s="118"/>
      <c r="O997" s="118"/>
      <c r="P997" s="118"/>
      <c r="Q997" s="118"/>
    </row>
    <row r="998" spans="2:17" ht="14.25" customHeight="1" x14ac:dyDescent="0.3">
      <c r="B998" s="23"/>
      <c r="D998" s="25"/>
      <c r="E998" s="25"/>
      <c r="M998" s="12"/>
      <c r="N998" s="118"/>
      <c r="O998" s="118"/>
      <c r="P998" s="118"/>
      <c r="Q998" s="118"/>
    </row>
    <row r="999" spans="2:17" ht="14.25" customHeight="1" x14ac:dyDescent="0.3">
      <c r="B999" s="23"/>
      <c r="D999" s="25"/>
      <c r="E999" s="25"/>
      <c r="M999" s="12"/>
      <c r="N999" s="118"/>
      <c r="O999" s="118"/>
      <c r="P999" s="118"/>
      <c r="Q999" s="118"/>
    </row>
    <row r="1000" spans="2:17" ht="14.25" customHeight="1" x14ac:dyDescent="0.3">
      <c r="B1000" s="23"/>
      <c r="D1000" s="25"/>
      <c r="E1000" s="25"/>
      <c r="M1000" s="12"/>
      <c r="N1000" s="118"/>
      <c r="O1000" s="118"/>
      <c r="P1000" s="118"/>
      <c r="Q1000" s="118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171"/>
  <sheetViews>
    <sheetView zoomScale="80" zoomScaleNormal="80" workbookViewId="0">
      <pane ySplit="10" topLeftCell="A11" activePane="bottomLeft" state="frozen"/>
      <selection pane="bottomLeft" activeCell="N11" sqref="N11:N22"/>
    </sheetView>
  </sheetViews>
  <sheetFormatPr defaultColWidth="14.44140625" defaultRowHeight="15" customHeight="1" x14ac:dyDescent="0.3"/>
  <cols>
    <col min="1" max="1" width="22.88671875" customWidth="1"/>
    <col min="2" max="2" width="16.33203125" customWidth="1"/>
    <col min="3" max="3" width="15.33203125" customWidth="1"/>
    <col min="4" max="4" width="12" customWidth="1"/>
    <col min="5" max="5" width="17.6640625" customWidth="1"/>
    <col min="6" max="6" width="13.88671875" customWidth="1"/>
    <col min="7" max="7" width="13.44140625" customWidth="1"/>
    <col min="8" max="8" width="14.88671875" customWidth="1"/>
    <col min="9" max="9" width="13.88671875" customWidth="1"/>
    <col min="10" max="10" width="21.6640625" customWidth="1"/>
    <col min="11" max="11" width="23.88671875" customWidth="1"/>
    <col min="12" max="12" width="9.88671875" customWidth="1"/>
    <col min="13" max="13" width="15.33203125" customWidth="1"/>
    <col min="14" max="14" width="21.5546875" customWidth="1"/>
    <col min="15" max="15" width="20.6640625" customWidth="1"/>
    <col min="16" max="16" width="23.44140625" customWidth="1"/>
    <col min="17" max="17" width="15.5546875" customWidth="1"/>
    <col min="18" max="18" width="16.5546875" customWidth="1"/>
    <col min="19" max="19" width="17.88671875" customWidth="1"/>
  </cols>
  <sheetData>
    <row r="1" spans="1:19" ht="14.4" x14ac:dyDescent="0.3">
      <c r="A1" s="349" t="s">
        <v>548</v>
      </c>
      <c r="B1" s="350">
        <f>SUM(D1:D3)</f>
        <v>297749.59999999998</v>
      </c>
      <c r="C1" s="351" t="s">
        <v>549</v>
      </c>
      <c r="D1" s="352">
        <v>175500</v>
      </c>
      <c r="E1" s="353" t="s">
        <v>550</v>
      </c>
      <c r="F1" s="354" t="s">
        <v>551</v>
      </c>
      <c r="G1" s="354" t="s">
        <v>552</v>
      </c>
      <c r="H1" s="354" t="s">
        <v>553</v>
      </c>
      <c r="I1" s="350" t="s">
        <v>554</v>
      </c>
      <c r="J1" s="353" t="s">
        <v>555</v>
      </c>
      <c r="K1" s="354" t="s">
        <v>556</v>
      </c>
      <c r="L1" s="350" t="s">
        <v>254</v>
      </c>
      <c r="M1" s="566" t="s">
        <v>557</v>
      </c>
      <c r="N1" s="553"/>
      <c r="Q1" s="25"/>
      <c r="R1" s="25"/>
      <c r="S1" s="25"/>
    </row>
    <row r="2" spans="1:19" ht="14.4" x14ac:dyDescent="0.3">
      <c r="A2" s="355" t="s">
        <v>558</v>
      </c>
      <c r="B2" s="356">
        <v>0.65</v>
      </c>
      <c r="C2" s="357" t="s">
        <v>559</v>
      </c>
      <c r="D2" s="358">
        <v>104249.60000000001</v>
      </c>
      <c r="E2" s="359" t="s">
        <v>560</v>
      </c>
      <c r="F2" s="360">
        <v>2420</v>
      </c>
      <c r="G2" s="360">
        <v>3519</v>
      </c>
      <c r="H2" s="360">
        <v>4397</v>
      </c>
      <c r="I2" s="358">
        <v>0</v>
      </c>
      <c r="J2" s="361" t="s">
        <v>561</v>
      </c>
      <c r="K2" s="362">
        <f>'Combined Retirement'!B22</f>
        <v>34444.46742778919</v>
      </c>
      <c r="L2" s="363">
        <f>'Combined Retirement'!B24</f>
        <v>2870.372285649099</v>
      </c>
      <c r="M2" s="359" t="s">
        <v>562</v>
      </c>
      <c r="N2" s="364">
        <f>'Combined Retirement'!N1</f>
        <v>0.22415375262239876</v>
      </c>
      <c r="Q2" s="25"/>
      <c r="R2" s="25"/>
      <c r="S2" s="25"/>
    </row>
    <row r="3" spans="1:19" ht="14.4" x14ac:dyDescent="0.3">
      <c r="A3" s="365" t="s">
        <v>563</v>
      </c>
      <c r="B3" s="366">
        <f>B1*(1+B2)</f>
        <v>491286.83999999991</v>
      </c>
      <c r="C3" s="367" t="s">
        <v>564</v>
      </c>
      <c r="D3" s="368">
        <v>18000</v>
      </c>
      <c r="E3" s="369" t="s">
        <v>565</v>
      </c>
      <c r="F3" s="370">
        <v>2345</v>
      </c>
      <c r="G3" s="370">
        <v>3401</v>
      </c>
      <c r="H3" s="370">
        <v>4262</v>
      </c>
      <c r="I3" s="368">
        <v>0</v>
      </c>
      <c r="J3" s="371" t="s">
        <v>566</v>
      </c>
      <c r="K3" s="372">
        <f>'Combined Retirement'!C22</f>
        <v>39051.173639423083</v>
      </c>
      <c r="L3" s="366">
        <f>'Combined Retirement'!C24</f>
        <v>3254.2644699519233</v>
      </c>
      <c r="M3" s="369" t="s">
        <v>567</v>
      </c>
      <c r="N3" s="373">
        <f>'Combined Retirement'!R1</f>
        <v>110123.78879999998</v>
      </c>
      <c r="Q3" s="25"/>
      <c r="R3" s="25"/>
      <c r="S3" s="25"/>
    </row>
    <row r="4" spans="1:19" ht="14.4" x14ac:dyDescent="0.3">
      <c r="A4" s="374"/>
      <c r="B4" s="25"/>
      <c r="C4" s="11"/>
      <c r="D4" s="86"/>
      <c r="E4" s="23"/>
      <c r="F4" s="23"/>
      <c r="G4" s="23"/>
      <c r="H4" s="23"/>
      <c r="I4" s="23"/>
      <c r="J4" s="23"/>
      <c r="K4" s="23"/>
      <c r="L4" s="23"/>
      <c r="M4" s="86"/>
      <c r="N4" s="25"/>
      <c r="O4" s="25"/>
      <c r="P4" s="25"/>
      <c r="Q4" s="25"/>
      <c r="R4" s="25"/>
      <c r="S4" s="25"/>
    </row>
    <row r="5" spans="1:19" ht="14.4" x14ac:dyDescent="0.3">
      <c r="A5" s="349"/>
      <c r="B5" s="375" t="s">
        <v>568</v>
      </c>
      <c r="C5" s="375" t="s">
        <v>569</v>
      </c>
      <c r="D5" s="375" t="s">
        <v>570</v>
      </c>
      <c r="E5" s="350" t="s">
        <v>571</v>
      </c>
      <c r="F5" s="376" t="s">
        <v>572</v>
      </c>
      <c r="G5" s="377" t="s">
        <v>573</v>
      </c>
      <c r="H5" s="23"/>
      <c r="I5" s="23"/>
      <c r="J5" s="23"/>
      <c r="K5" s="23"/>
      <c r="L5" s="23"/>
      <c r="M5" s="378" t="s">
        <v>574</v>
      </c>
      <c r="N5" s="354">
        <f>N11</f>
        <v>40940.569999999992</v>
      </c>
      <c r="O5" s="379">
        <f t="shared" ref="O5:O7" si="0">N5*12</f>
        <v>491286.83999999991</v>
      </c>
      <c r="P5" s="25"/>
      <c r="Q5" s="25"/>
      <c r="R5" s="25"/>
      <c r="S5" s="25"/>
    </row>
    <row r="6" spans="1:19" ht="14.4" x14ac:dyDescent="0.3">
      <c r="A6" s="355" t="s">
        <v>575</v>
      </c>
      <c r="B6" s="380">
        <v>57</v>
      </c>
      <c r="C6" s="381">
        <f t="array" ref="C6">INDEX(B11:B1171,MATCH(MIN(ABS(B11:B1171-B6)),ABS(B11:B1171-B6),0))</f>
        <v>58.540725530458587</v>
      </c>
      <c r="D6" s="382">
        <f t="array" ref="D6">INDEX(A11:A1171,MATCH(C6,B11:B1171,0),0)</f>
        <v>51288</v>
      </c>
      <c r="E6" s="383">
        <f ca="1">'Isaac 401k'!B4</f>
        <v>38.083333333333336</v>
      </c>
      <c r="F6" s="384">
        <f ca="1">'Isaac 401k'!D4</f>
        <v>65167</v>
      </c>
      <c r="G6" s="385">
        <f ca="1">(F6-B9)/365.25</f>
        <v>96.539356605065024</v>
      </c>
      <c r="H6" s="23"/>
      <c r="I6" s="23"/>
      <c r="J6" s="566" t="s">
        <v>576</v>
      </c>
      <c r="K6" s="553"/>
      <c r="L6" s="23"/>
      <c r="M6" s="386" t="s">
        <v>577</v>
      </c>
      <c r="N6" s="362">
        <f>N3/12</f>
        <v>9176.982399999999</v>
      </c>
      <c r="O6" s="387">
        <f t="shared" si="0"/>
        <v>110123.78879999998</v>
      </c>
      <c r="P6" s="25"/>
      <c r="Q6" s="25"/>
      <c r="R6" s="25"/>
      <c r="S6" s="25"/>
    </row>
    <row r="7" spans="1:19" ht="14.4" x14ac:dyDescent="0.3">
      <c r="A7" s="365" t="s">
        <v>578</v>
      </c>
      <c r="B7" s="388">
        <v>53.9</v>
      </c>
      <c r="C7" s="389">
        <f t="array" ref="C7">INDEX(C11:C1171,MATCH(MIN(ABS(C11:C1171-B7)),ABS(C11:C1171-B7),0))</f>
        <v>53.930184804928132</v>
      </c>
      <c r="D7" s="390">
        <f t="array" ref="D7">INDEX(A11:A1171,MATCH(C7,C11:C1171,0),0)</f>
        <v>51288</v>
      </c>
      <c r="E7" s="391">
        <f ca="1">'Lorri 401b'!B4</f>
        <v>43.416666666666664</v>
      </c>
      <c r="F7" s="392">
        <f ca="1">'Lorri 401b'!D4</f>
        <v>67115</v>
      </c>
      <c r="G7" s="393">
        <f ca="1">(F7-C9)/365.25</f>
        <v>97.262149212867897</v>
      </c>
      <c r="H7" s="23"/>
      <c r="I7" s="23"/>
      <c r="J7" s="394">
        <v>0.27938000000000002</v>
      </c>
      <c r="K7" s="395">
        <f>1-J7</f>
        <v>0.72062000000000004</v>
      </c>
      <c r="L7" s="23"/>
      <c r="M7" s="396" t="s">
        <v>579</v>
      </c>
      <c r="N7" s="372">
        <f>N5-N6</f>
        <v>31763.587599999992</v>
      </c>
      <c r="O7" s="397">
        <f t="shared" si="0"/>
        <v>381163.05119999987</v>
      </c>
      <c r="P7" s="25"/>
      <c r="Q7" s="25"/>
      <c r="R7" s="25"/>
      <c r="S7" s="25"/>
    </row>
    <row r="8" spans="1:19" ht="14.4" x14ac:dyDescent="0.3">
      <c r="A8" s="37"/>
      <c r="B8" s="11"/>
      <c r="C8" s="11"/>
      <c r="E8" s="23"/>
      <c r="F8" s="23"/>
      <c r="G8" s="23"/>
      <c r="H8" s="23"/>
      <c r="I8" s="23"/>
      <c r="J8" s="23"/>
      <c r="K8" s="23"/>
      <c r="L8" s="23"/>
      <c r="N8" s="25"/>
      <c r="O8" s="25"/>
      <c r="P8" s="25"/>
      <c r="Q8" s="25"/>
      <c r="R8" s="25"/>
      <c r="S8" s="25"/>
    </row>
    <row r="9" spans="1:19" ht="14.4" x14ac:dyDescent="0.3">
      <c r="A9" s="37"/>
      <c r="B9" s="37">
        <v>29906</v>
      </c>
      <c r="C9" s="37">
        <v>31590</v>
      </c>
      <c r="E9" s="23"/>
      <c r="F9" s="23"/>
      <c r="G9" s="23"/>
      <c r="H9" s="23"/>
      <c r="I9" s="23"/>
      <c r="J9" s="25">
        <f t="shared" ref="J9:K9" si="1">SUM(J11:J607)</f>
        <v>6678111.2721795486</v>
      </c>
      <c r="K9" s="25">
        <f t="shared" si="1"/>
        <v>11529627.874726763</v>
      </c>
      <c r="L9" s="23"/>
      <c r="N9" s="25"/>
      <c r="O9" s="25"/>
      <c r="P9" s="25"/>
      <c r="Q9" s="25"/>
      <c r="R9" s="25"/>
      <c r="S9" s="25"/>
    </row>
    <row r="10" spans="1:19" ht="14.4" x14ac:dyDescent="0.3">
      <c r="A10" s="37" t="s">
        <v>268</v>
      </c>
      <c r="B10" s="11" t="s">
        <v>580</v>
      </c>
      <c r="C10" s="11" t="s">
        <v>581</v>
      </c>
      <c r="E10" s="25" t="s">
        <v>549</v>
      </c>
      <c r="F10" s="25" t="s">
        <v>561</v>
      </c>
      <c r="G10" s="25" t="s">
        <v>566</v>
      </c>
      <c r="H10" s="25" t="s">
        <v>582</v>
      </c>
      <c r="I10" s="25" t="s">
        <v>583</v>
      </c>
      <c r="J10" s="25" t="s">
        <v>584</v>
      </c>
      <c r="K10" s="25" t="s">
        <v>585</v>
      </c>
      <c r="L10" s="25"/>
      <c r="N10" s="25" t="s">
        <v>586</v>
      </c>
      <c r="O10" s="25" t="s">
        <v>587</v>
      </c>
      <c r="P10" s="25" t="s">
        <v>588</v>
      </c>
      <c r="Q10" s="25" t="s">
        <v>589</v>
      </c>
      <c r="R10" s="25" t="s">
        <v>590</v>
      </c>
      <c r="S10" s="25" t="s">
        <v>591</v>
      </c>
    </row>
    <row r="11" spans="1:19" ht="14.4" x14ac:dyDescent="0.3">
      <c r="A11" s="37">
        <v>51288</v>
      </c>
      <c r="B11" s="398">
        <f t="shared" ref="B11:C11" si="2">($A11-B$9)/365.25</f>
        <v>58.540725530458587</v>
      </c>
      <c r="C11" s="398">
        <f t="shared" si="2"/>
        <v>53.930184804928132</v>
      </c>
      <c r="E11" s="25">
        <f>IF(C11&gt;$B$7,0,'Combined Retirement'!$D$13/12)</f>
        <v>0</v>
      </c>
      <c r="F11" s="25">
        <f>IF(H11=0,'Combined Retirement'!$D$32,0)+'Combined Retirement'!$B$24</f>
        <v>4439.3722856490986</v>
      </c>
      <c r="G11" s="25">
        <f>'Combined Retirement'!$C$24</f>
        <v>3254.2644699519233</v>
      </c>
      <c r="H11" s="25">
        <f>IF(B11&lt;62,0,'Combined Retirement'!$I$14)</f>
        <v>0</v>
      </c>
      <c r="I11" s="25">
        <f>IF(C11&lt;62,0,'Combined Retirement'!$I$13)</f>
        <v>0</v>
      </c>
      <c r="J11" s="25">
        <f t="shared" ref="J11:J265" si="3">IF(C11&lt;59.5,P11,P11*$J$7)</f>
        <v>33246.93324439897</v>
      </c>
      <c r="K11" s="25">
        <f t="shared" ref="K11:K265" si="4">IF(C11&lt;59.5,0,IF(C11&lt;$B$7,0,P11*$K$7))</f>
        <v>0</v>
      </c>
      <c r="L11" s="25"/>
      <c r="N11" s="25">
        <f>'Combined Retirement'!$C$18/12</f>
        <v>40940.569999999992</v>
      </c>
      <c r="O11" s="25">
        <f t="shared" ref="O11:O265" si="5">SUM(E11:I11)</f>
        <v>7693.6367556010218</v>
      </c>
      <c r="P11" s="25">
        <f t="shared" ref="P11:P265" si="6">N11-O11</f>
        <v>33246.93324439897</v>
      </c>
      <c r="Q11" s="25">
        <f t="array" aca="1" ref="Q11" ca="1">INDEX('Isaac 401k'!L:L,MATCH('Retirement Calculator'!A11,'Isaac 401k'!N:N,0),0)</f>
        <v>3155493.7024809476</v>
      </c>
      <c r="R11" s="25">
        <f t="array" aca="1" ref="R11" ca="1">INDEX('Lorri 401b'!L:L,MATCH('Retirement Calculator'!A11,'Lorri 401b'!N:N,0),0)</f>
        <v>3401648.8304256583</v>
      </c>
      <c r="S11" s="25">
        <f t="shared" ref="S11:S265" ca="1" si="7">SUM(Q11:R11)</f>
        <v>6557142.5329066059</v>
      </c>
    </row>
    <row r="12" spans="1:19" ht="14.4" x14ac:dyDescent="0.3">
      <c r="A12" s="37">
        <v>51318</v>
      </c>
      <c r="B12" s="398">
        <f t="shared" ref="B12:C12" si="8">($A12-B$9)/365.25</f>
        <v>58.622861054072551</v>
      </c>
      <c r="C12" s="398">
        <f t="shared" si="8"/>
        <v>54.012320328542096</v>
      </c>
      <c r="E12" s="25">
        <f>IF(C12&gt;$B$7,0,'Combined Retirement'!$D$13/12)</f>
        <v>0</v>
      </c>
      <c r="F12" s="25">
        <f>IF(H12=0,'Combined Retirement'!$D$32,0)+'Combined Retirement'!$B$24</f>
        <v>4439.3722856490986</v>
      </c>
      <c r="G12" s="25">
        <f>'Combined Retirement'!$C$24</f>
        <v>3254.2644699519233</v>
      </c>
      <c r="H12" s="25">
        <f>IF(B12&lt;62,0,'Combined Retirement'!$I$14)</f>
        <v>0</v>
      </c>
      <c r="I12" s="25">
        <f>IF(C12&lt;62,0,'Combined Retirement'!$I$13)</f>
        <v>0</v>
      </c>
      <c r="J12" s="25">
        <f t="shared" si="3"/>
        <v>33246.93324439897</v>
      </c>
      <c r="K12" s="25">
        <f t="shared" si="4"/>
        <v>0</v>
      </c>
      <c r="L12" s="25"/>
      <c r="N12" s="25">
        <f>'Combined Retirement'!$C$18/12</f>
        <v>40940.569999999992</v>
      </c>
      <c r="O12" s="25">
        <f t="shared" si="5"/>
        <v>7693.6367556010218</v>
      </c>
      <c r="P12" s="25">
        <f t="shared" si="6"/>
        <v>33246.93324439897</v>
      </c>
      <c r="Q12" s="25">
        <f t="array" aca="1" ref="Q12" ca="1">INDEX('Isaac 401k'!L:L,MATCH('Retirement Calculator'!A12,'Isaac 401k'!N:N,0),0)</f>
        <v>3135256.1307750344</v>
      </c>
      <c r="R12" s="25">
        <f t="array" aca="1" ref="R12" ca="1">INDEX('Lorri 401b'!L:L,MATCH('Retirement Calculator'!A12,'Lorri 401b'!N:N,0),0)</f>
        <v>3415822.3672190984</v>
      </c>
      <c r="S12" s="25">
        <f t="shared" ca="1" si="7"/>
        <v>6551078.4979941323</v>
      </c>
    </row>
    <row r="13" spans="1:19" ht="14.4" x14ac:dyDescent="0.3">
      <c r="A13" s="37">
        <v>51349</v>
      </c>
      <c r="B13" s="398">
        <f t="shared" ref="B13:C13" si="9">($A13-B$9)/365.25</f>
        <v>58.70773442847365</v>
      </c>
      <c r="C13" s="398">
        <f t="shared" si="9"/>
        <v>54.097193702943187</v>
      </c>
      <c r="E13" s="25">
        <f>IF(C13&gt;$B$7,0,'Combined Retirement'!$D$13/12)</f>
        <v>0</v>
      </c>
      <c r="F13" s="25">
        <f>IF(H13=0,'Combined Retirement'!$D$32,0)+'Combined Retirement'!$B$24</f>
        <v>4439.3722856490986</v>
      </c>
      <c r="G13" s="25">
        <f>'Combined Retirement'!$C$24</f>
        <v>3254.2644699519233</v>
      </c>
      <c r="H13" s="25">
        <f>IF(B13&lt;62,0,'Combined Retirement'!$I$14)</f>
        <v>0</v>
      </c>
      <c r="I13" s="25">
        <f>IF(C13&lt;62,0,'Combined Retirement'!$I$13)</f>
        <v>0</v>
      </c>
      <c r="J13" s="25">
        <f t="shared" si="3"/>
        <v>33246.93324439897</v>
      </c>
      <c r="K13" s="25">
        <f t="shared" si="4"/>
        <v>0</v>
      </c>
      <c r="L13" s="25"/>
      <c r="N13" s="25">
        <f>'Combined Retirement'!$C$18/12</f>
        <v>40940.569999999992</v>
      </c>
      <c r="O13" s="25">
        <f t="shared" si="5"/>
        <v>7693.6367556010218</v>
      </c>
      <c r="P13" s="25">
        <f t="shared" si="6"/>
        <v>33246.93324439897</v>
      </c>
      <c r="Q13" s="25">
        <f t="array" aca="1" ref="Q13" ca="1">INDEX('Isaac 401k'!L:L,MATCH('Retirement Calculator'!A13,'Isaac 401k'!N:N,0),0)</f>
        <v>3114934.2358536799</v>
      </c>
      <c r="R13" s="25">
        <f t="array" aca="1" ref="R13" ca="1">INDEX('Lorri 401b'!L:L,MATCH('Retirement Calculator'!A13,'Lorri 401b'!N:N,0),0)</f>
        <v>3430054.9604158448</v>
      </c>
      <c r="S13" s="25">
        <f t="shared" ca="1" si="7"/>
        <v>6544989.1962695252</v>
      </c>
    </row>
    <row r="14" spans="1:19" ht="14.4" x14ac:dyDescent="0.3">
      <c r="A14" s="37">
        <v>51380</v>
      </c>
      <c r="B14" s="398">
        <f t="shared" ref="B14:C14" si="10">($A14-B$9)/365.25</f>
        <v>58.792607802874741</v>
      </c>
      <c r="C14" s="398">
        <f t="shared" si="10"/>
        <v>54.182067077344286</v>
      </c>
      <c r="E14" s="25">
        <f>IF(C14&gt;$B$7,0,'Combined Retirement'!$D$13/12)</f>
        <v>0</v>
      </c>
      <c r="F14" s="25">
        <f>IF(H14=0,'Combined Retirement'!$D$32,0)+'Combined Retirement'!$B$24</f>
        <v>4439.3722856490986</v>
      </c>
      <c r="G14" s="25">
        <f>'Combined Retirement'!$C$24</f>
        <v>3254.2644699519233</v>
      </c>
      <c r="H14" s="25">
        <f>IF(B14&lt;62,0,'Combined Retirement'!$I$14)</f>
        <v>0</v>
      </c>
      <c r="I14" s="25">
        <f>IF(C14&lt;62,0,'Combined Retirement'!$I$13)</f>
        <v>0</v>
      </c>
      <c r="J14" s="25">
        <f t="shared" si="3"/>
        <v>33246.93324439897</v>
      </c>
      <c r="K14" s="25">
        <f t="shared" si="4"/>
        <v>0</v>
      </c>
      <c r="L14" s="25"/>
      <c r="N14" s="25">
        <f>'Combined Retirement'!$C$18/12</f>
        <v>40940.569999999992</v>
      </c>
      <c r="O14" s="25">
        <f t="shared" si="5"/>
        <v>7693.6367556010218</v>
      </c>
      <c r="P14" s="25">
        <f t="shared" si="6"/>
        <v>33246.93324439897</v>
      </c>
      <c r="Q14" s="25">
        <f t="array" aca="1" ref="Q14" ca="1">INDEX('Isaac 401k'!L:L,MATCH('Retirement Calculator'!A14,'Isaac 401k'!N:N,0),0)</f>
        <v>3094527.666370153</v>
      </c>
      <c r="R14" s="25">
        <f t="array" aca="1" ref="R14" ca="1">INDEX('Lorri 401b'!L:L,MATCH('Retirement Calculator'!A14,'Lorri 401b'!N:N,0),0)</f>
        <v>3444346.8560842443</v>
      </c>
      <c r="S14" s="25">
        <f t="shared" ca="1" si="7"/>
        <v>6538874.5224543978</v>
      </c>
    </row>
    <row r="15" spans="1:19" ht="14.4" x14ac:dyDescent="0.3">
      <c r="A15" s="37">
        <v>51410</v>
      </c>
      <c r="B15" s="398">
        <f t="shared" ref="B15:C15" si="11">($A15-B$9)/365.25</f>
        <v>58.874743326488705</v>
      </c>
      <c r="C15" s="398">
        <f t="shared" si="11"/>
        <v>54.264202600958249</v>
      </c>
      <c r="E15" s="25">
        <f>IF(C15&gt;$B$7,0,'Combined Retirement'!$D$13/12)</f>
        <v>0</v>
      </c>
      <c r="F15" s="25">
        <f>IF(H15=0,'Combined Retirement'!$D$32,0)+'Combined Retirement'!$B$24</f>
        <v>4439.3722856490986</v>
      </c>
      <c r="G15" s="25">
        <f>'Combined Retirement'!$C$24</f>
        <v>3254.2644699519233</v>
      </c>
      <c r="H15" s="25">
        <f>IF(B15&lt;62,0,'Combined Retirement'!$I$14)</f>
        <v>0</v>
      </c>
      <c r="I15" s="25">
        <f>IF(C15&lt;62,0,'Combined Retirement'!$I$13)</f>
        <v>0</v>
      </c>
      <c r="J15" s="25">
        <f t="shared" si="3"/>
        <v>33246.93324439897</v>
      </c>
      <c r="K15" s="25">
        <f t="shared" si="4"/>
        <v>0</v>
      </c>
      <c r="L15" s="25"/>
      <c r="N15" s="25">
        <f>'Combined Retirement'!$C$18/12</f>
        <v>40940.569999999992</v>
      </c>
      <c r="O15" s="25">
        <f t="shared" si="5"/>
        <v>7693.6367556010218</v>
      </c>
      <c r="P15" s="25">
        <f t="shared" si="6"/>
        <v>33246.93324439897</v>
      </c>
      <c r="Q15" s="25">
        <f t="array" aca="1" ref="Q15" ca="1">INDEX('Isaac 401k'!L:L,MATCH('Retirement Calculator'!A15,'Isaac 401k'!N:N,0),0)</f>
        <v>3074036.0695137782</v>
      </c>
      <c r="R15" s="25">
        <f t="array" aca="1" ref="R15" ca="1">INDEX('Lorri 401b'!L:L,MATCH('Retirement Calculator'!A15,'Lorri 401b'!N:N,0),0)</f>
        <v>3458698.3013179288</v>
      </c>
      <c r="S15" s="25">
        <f t="shared" ca="1" si="7"/>
        <v>6532734.3708317075</v>
      </c>
    </row>
    <row r="16" spans="1:19" ht="14.4" x14ac:dyDescent="0.3">
      <c r="A16" s="37">
        <v>51441</v>
      </c>
      <c r="B16" s="398">
        <f t="shared" ref="B16:C16" si="12">($A16-B$9)/365.25</f>
        <v>58.959616700889804</v>
      </c>
      <c r="C16" s="398">
        <f t="shared" si="12"/>
        <v>54.349075975359341</v>
      </c>
      <c r="E16" s="25">
        <f>IF(C16&gt;$B$7,0,'Combined Retirement'!$D$13/12)</f>
        <v>0</v>
      </c>
      <c r="F16" s="25">
        <f>IF(H16=0,'Combined Retirement'!$D$32,0)+'Combined Retirement'!$B$24</f>
        <v>4439.3722856490986</v>
      </c>
      <c r="G16" s="25">
        <f>'Combined Retirement'!$C$24</f>
        <v>3254.2644699519233</v>
      </c>
      <c r="H16" s="25">
        <f>IF(B16&lt;62,0,'Combined Retirement'!$I$14)</f>
        <v>0</v>
      </c>
      <c r="I16" s="25">
        <f>IF(C16&lt;62,0,'Combined Retirement'!$I$13)</f>
        <v>0</v>
      </c>
      <c r="J16" s="25">
        <f t="shared" si="3"/>
        <v>33246.93324439897</v>
      </c>
      <c r="K16" s="25">
        <f t="shared" si="4"/>
        <v>0</v>
      </c>
      <c r="L16" s="25"/>
      <c r="N16" s="25">
        <f>'Combined Retirement'!$C$18/12</f>
        <v>40940.569999999992</v>
      </c>
      <c r="O16" s="25">
        <f t="shared" si="5"/>
        <v>7693.6367556010218</v>
      </c>
      <c r="P16" s="25">
        <f t="shared" si="6"/>
        <v>33246.93324439897</v>
      </c>
      <c r="Q16" s="25">
        <f t="array" aca="1" ref="Q16" ca="1">INDEX('Isaac 401k'!L:L,MATCH('Retirement Calculator'!A16,'Isaac 401k'!N:N,0),0)</f>
        <v>3053459.0910038352</v>
      </c>
      <c r="R16" s="25">
        <f t="array" aca="1" ref="R16" ca="1">INDEX('Lorri 401b'!L:L,MATCH('Retirement Calculator'!A16,'Lorri 401b'!N:N,0),0)</f>
        <v>3473109.5442400868</v>
      </c>
      <c r="S16" s="25">
        <f t="shared" ca="1" si="7"/>
        <v>6526568.6352439225</v>
      </c>
    </row>
    <row r="17" spans="1:19" ht="14.4" x14ac:dyDescent="0.3">
      <c r="A17" s="37">
        <v>51471</v>
      </c>
      <c r="B17" s="398">
        <f t="shared" ref="B17:C17" si="13">($A17-B$9)/365.25</f>
        <v>59.041752224503767</v>
      </c>
      <c r="C17" s="398">
        <f t="shared" si="13"/>
        <v>54.431211498973305</v>
      </c>
      <c r="E17" s="25">
        <f>IF(C17&gt;$B$7,0,'Combined Retirement'!$D$13/12)</f>
        <v>0</v>
      </c>
      <c r="F17" s="25">
        <f>IF(H17=0,'Combined Retirement'!$D$32,0)+'Combined Retirement'!$B$24</f>
        <v>4439.3722856490986</v>
      </c>
      <c r="G17" s="25">
        <f>'Combined Retirement'!$C$24</f>
        <v>3254.2644699519233</v>
      </c>
      <c r="H17" s="25">
        <f>IF(B17&lt;62,0,'Combined Retirement'!$I$14)</f>
        <v>0</v>
      </c>
      <c r="I17" s="25">
        <f>IF(C17&lt;62,0,'Combined Retirement'!$I$13)</f>
        <v>0</v>
      </c>
      <c r="J17" s="25">
        <f t="shared" si="3"/>
        <v>33246.93324439897</v>
      </c>
      <c r="K17" s="25">
        <f t="shared" si="4"/>
        <v>0</v>
      </c>
      <c r="L17" s="25"/>
      <c r="N17" s="25">
        <f>'Combined Retirement'!$C$18/12</f>
        <v>40940.569999999992</v>
      </c>
      <c r="O17" s="25">
        <f t="shared" si="5"/>
        <v>7693.6367556010218</v>
      </c>
      <c r="P17" s="25">
        <f t="shared" si="6"/>
        <v>33246.93324439897</v>
      </c>
      <c r="Q17" s="25">
        <f t="array" aca="1" ref="Q17" ca="1">INDEX('Isaac 401k'!L:L,MATCH('Retirement Calculator'!A17,'Isaac 401k'!N:N,0),0)</f>
        <v>3032796.3750834339</v>
      </c>
      <c r="R17" s="25">
        <f t="array" aca="1" ref="R17" ca="1">INDEX('Lorri 401b'!L:L,MATCH('Retirement Calculator'!A17,'Lorri 401b'!N:N,0),0)</f>
        <v>3487580.834007754</v>
      </c>
      <c r="S17" s="25">
        <f t="shared" ca="1" si="7"/>
        <v>6520377.2090911884</v>
      </c>
    </row>
    <row r="18" spans="1:19" ht="14.4" x14ac:dyDescent="0.3">
      <c r="A18" s="37">
        <v>51502</v>
      </c>
      <c r="B18" s="398">
        <f t="shared" ref="B18:C18" si="14">($A18-B$9)/365.25</f>
        <v>59.126625598904859</v>
      </c>
      <c r="C18" s="398">
        <f t="shared" si="14"/>
        <v>54.516084873374403</v>
      </c>
      <c r="E18" s="25">
        <f>IF(C18&gt;$B$7,0,'Combined Retirement'!$D$13/12)</f>
        <v>0</v>
      </c>
      <c r="F18" s="25">
        <f>IF(H18=0,'Combined Retirement'!$D$32,0)+'Combined Retirement'!$B$24</f>
        <v>4439.3722856490986</v>
      </c>
      <c r="G18" s="25">
        <f>'Combined Retirement'!$C$24</f>
        <v>3254.2644699519233</v>
      </c>
      <c r="H18" s="25">
        <f>IF(B18&lt;62,0,'Combined Retirement'!$I$14)</f>
        <v>0</v>
      </c>
      <c r="I18" s="25">
        <f>IF(C18&lt;62,0,'Combined Retirement'!$I$13)</f>
        <v>0</v>
      </c>
      <c r="J18" s="25">
        <f t="shared" si="3"/>
        <v>33246.93324439897</v>
      </c>
      <c r="K18" s="25">
        <f t="shared" si="4"/>
        <v>0</v>
      </c>
      <c r="L18" s="25"/>
      <c r="N18" s="25">
        <f>'Combined Retirement'!$C$18/12</f>
        <v>40940.569999999992</v>
      </c>
      <c r="O18" s="25">
        <f t="shared" si="5"/>
        <v>7693.6367556010218</v>
      </c>
      <c r="P18" s="25">
        <f t="shared" si="6"/>
        <v>33246.93324439897</v>
      </c>
      <c r="Q18" s="25">
        <f t="array" aca="1" ref="Q18" ca="1">INDEX('Isaac 401k'!L:L,MATCH('Retirement Calculator'!A18,'Isaac 401k'!N:N,0),0)</f>
        <v>3012047.5645133643</v>
      </c>
      <c r="R18" s="25">
        <f t="array" aca="1" ref="R18" ca="1">INDEX('Lorri 401b'!L:L,MATCH('Retirement Calculator'!A18,'Lorri 401b'!N:N,0),0)</f>
        <v>3502112.4208161198</v>
      </c>
      <c r="S18" s="25">
        <f t="shared" ca="1" si="7"/>
        <v>6514159.9853294846</v>
      </c>
    </row>
    <row r="19" spans="1:19" ht="14.4" x14ac:dyDescent="0.3">
      <c r="A19" s="37">
        <v>51533</v>
      </c>
      <c r="B19" s="398">
        <f t="shared" ref="B19:C19" si="15">($A19-B$9)/365.25</f>
        <v>59.211498973305957</v>
      </c>
      <c r="C19" s="398">
        <f t="shared" si="15"/>
        <v>54.600958247775495</v>
      </c>
      <c r="E19" s="25">
        <f>IF(C19&gt;$B$7,0,'Combined Retirement'!$D$13/12)</f>
        <v>0</v>
      </c>
      <c r="F19" s="25">
        <f>IF(H19=0,'Combined Retirement'!$D$32,0)+'Combined Retirement'!$B$24</f>
        <v>4439.3722856490986</v>
      </c>
      <c r="G19" s="25">
        <f>'Combined Retirement'!$C$24</f>
        <v>3254.2644699519233</v>
      </c>
      <c r="H19" s="25">
        <f>IF(B19&lt;62,0,'Combined Retirement'!$I$14)</f>
        <v>0</v>
      </c>
      <c r="I19" s="25">
        <f>IF(C19&lt;62,0,'Combined Retirement'!$I$13)</f>
        <v>0</v>
      </c>
      <c r="J19" s="25">
        <f t="shared" si="3"/>
        <v>33246.93324439897</v>
      </c>
      <c r="K19" s="25">
        <f t="shared" si="4"/>
        <v>0</v>
      </c>
      <c r="L19" s="25"/>
      <c r="N19" s="25">
        <f>'Combined Retirement'!$C$18/12</f>
        <v>40940.569999999992</v>
      </c>
      <c r="O19" s="25">
        <f t="shared" si="5"/>
        <v>7693.6367556010218</v>
      </c>
      <c r="P19" s="25">
        <f t="shared" si="6"/>
        <v>33246.93324439897</v>
      </c>
      <c r="Q19" s="25">
        <f t="array" aca="1" ref="Q19" ca="1">INDEX('Isaac 401k'!L:L,MATCH('Retirement Calculator'!A19,'Isaac 401k'!N:N,0),0)</f>
        <v>2991212.3005659194</v>
      </c>
      <c r="R19" s="25">
        <f t="array" aca="1" ref="R19" ca="1">INDEX('Lorri 401b'!L:L,MATCH('Retirement Calculator'!A19,'Lorri 401b'!N:N,0),0)</f>
        <v>3516704.5559028536</v>
      </c>
      <c r="S19" s="25">
        <f t="shared" ca="1" si="7"/>
        <v>6507916.8564687725</v>
      </c>
    </row>
    <row r="20" spans="1:19" ht="14.4" x14ac:dyDescent="0.3">
      <c r="A20" s="37">
        <v>51561</v>
      </c>
      <c r="B20" s="398">
        <f t="shared" ref="B20:C20" si="16">($A20-B$9)/365.25</f>
        <v>59.288158795345652</v>
      </c>
      <c r="C20" s="398">
        <f t="shared" si="16"/>
        <v>54.677618069815196</v>
      </c>
      <c r="E20" s="25">
        <f>IF(C20&gt;$B$7,0,'Combined Retirement'!$D$13/12)</f>
        <v>0</v>
      </c>
      <c r="F20" s="25">
        <f>IF(H20=0,'Combined Retirement'!$D$32,0)+'Combined Retirement'!$B$24</f>
        <v>4439.3722856490986</v>
      </c>
      <c r="G20" s="25">
        <f>'Combined Retirement'!$C$24</f>
        <v>3254.2644699519233</v>
      </c>
      <c r="H20" s="25">
        <f>IF(B20&lt;62,0,'Combined Retirement'!$I$14)</f>
        <v>0</v>
      </c>
      <c r="I20" s="25">
        <f>IF(C20&lt;62,0,'Combined Retirement'!$I$13)</f>
        <v>0</v>
      </c>
      <c r="J20" s="25">
        <f t="shared" si="3"/>
        <v>33246.93324439897</v>
      </c>
      <c r="K20" s="25">
        <f t="shared" si="4"/>
        <v>0</v>
      </c>
      <c r="L20" s="25"/>
      <c r="N20" s="25">
        <f>'Combined Retirement'!$C$18/12</f>
        <v>40940.569999999992</v>
      </c>
      <c r="O20" s="25">
        <f t="shared" si="5"/>
        <v>7693.6367556010218</v>
      </c>
      <c r="P20" s="25">
        <f t="shared" si="6"/>
        <v>33246.93324439897</v>
      </c>
      <c r="Q20" s="25">
        <f t="array" aca="1" ref="Q20" ca="1">INDEX('Isaac 401k'!L:L,MATCH('Retirement Calculator'!A20,'Isaac 401k'!N:N,0),0)</f>
        <v>2970290.2230186937</v>
      </c>
      <c r="R20" s="25">
        <f t="array" aca="1" ref="R20" ca="1">INDEX('Lorri 401b'!L:L,MATCH('Retirement Calculator'!A20,'Lorri 401b'!N:N,0),0)</f>
        <v>3531357.4915524488</v>
      </c>
      <c r="S20" s="25">
        <f t="shared" ca="1" si="7"/>
        <v>6501647.7145711426</v>
      </c>
    </row>
    <row r="21" spans="1:19" ht="15.75" customHeight="1" x14ac:dyDescent="0.3">
      <c r="A21" s="37">
        <v>51592</v>
      </c>
      <c r="B21" s="398">
        <f t="shared" ref="B21:C21" si="17">($A21-B$9)/365.25</f>
        <v>59.37303216974675</v>
      </c>
      <c r="C21" s="398">
        <f t="shared" si="17"/>
        <v>54.762491444216288</v>
      </c>
      <c r="E21" s="25">
        <f>IF(C21&gt;$B$7,0,'Combined Retirement'!$D$13/12)</f>
        <v>0</v>
      </c>
      <c r="F21" s="25">
        <f>IF(H21=0,'Combined Retirement'!$D$32,0)+'Combined Retirement'!$B$24</f>
        <v>4439.3722856490986</v>
      </c>
      <c r="G21" s="25">
        <f>'Combined Retirement'!$C$24</f>
        <v>3254.2644699519233</v>
      </c>
      <c r="H21" s="25">
        <f>IF(B21&lt;62,0,'Combined Retirement'!$I$14)</f>
        <v>0</v>
      </c>
      <c r="I21" s="25">
        <f>IF(C21&lt;62,0,'Combined Retirement'!$I$13)</f>
        <v>0</v>
      </c>
      <c r="J21" s="25">
        <f t="shared" si="3"/>
        <v>33246.93324439897</v>
      </c>
      <c r="K21" s="25">
        <f t="shared" si="4"/>
        <v>0</v>
      </c>
      <c r="L21" s="25"/>
      <c r="N21" s="25">
        <f>'Combined Retirement'!$C$18/12</f>
        <v>40940.569999999992</v>
      </c>
      <c r="O21" s="25">
        <f t="shared" si="5"/>
        <v>7693.6367556010218</v>
      </c>
      <c r="P21" s="25">
        <f t="shared" si="6"/>
        <v>33246.93324439897</v>
      </c>
      <c r="Q21" s="25">
        <f t="array" aca="1" ref="Q21" ca="1">INDEX('Isaac 401k'!L:L,MATCH('Retirement Calculator'!A21,'Isaac 401k'!N:N,0),0)</f>
        <v>2949280.9701483543</v>
      </c>
      <c r="R21" s="25">
        <f t="array" aca="1" ref="R21" ca="1">INDEX('Lorri 401b'!L:L,MATCH('Retirement Calculator'!A21,'Lorri 401b'!N:N,0),0)</f>
        <v>3546071.4811005839</v>
      </c>
      <c r="S21" s="25">
        <f t="shared" ca="1" si="7"/>
        <v>6495352.4512489382</v>
      </c>
    </row>
    <row r="22" spans="1:19" ht="15.75" customHeight="1" x14ac:dyDescent="0.3">
      <c r="A22" s="37">
        <v>51622</v>
      </c>
      <c r="B22" s="398">
        <f t="shared" ref="B22:C22" si="18">($A22-B$9)/365.25</f>
        <v>59.455167693360714</v>
      </c>
      <c r="C22" s="398">
        <f t="shared" si="18"/>
        <v>54.844626967830251</v>
      </c>
      <c r="E22" s="25">
        <f>IF(C22&gt;$B$7,0,'Combined Retirement'!$D$13/12)</f>
        <v>0</v>
      </c>
      <c r="F22" s="25">
        <f>IF(H22=0,'Combined Retirement'!$D$32,0)+'Combined Retirement'!$B$24</f>
        <v>4439.3722856490986</v>
      </c>
      <c r="G22" s="25">
        <f>'Combined Retirement'!$C$24</f>
        <v>3254.2644699519233</v>
      </c>
      <c r="H22" s="25">
        <f>IF(B22&lt;62,0,'Combined Retirement'!$I$14)</f>
        <v>0</v>
      </c>
      <c r="I22" s="25">
        <f>IF(C22&lt;62,0,'Combined Retirement'!$I$13)</f>
        <v>0</v>
      </c>
      <c r="J22" s="25">
        <f t="shared" si="3"/>
        <v>33246.93324439897</v>
      </c>
      <c r="K22" s="25">
        <f t="shared" si="4"/>
        <v>0</v>
      </c>
      <c r="L22" s="25"/>
      <c r="N22" s="25">
        <f>'Combined Retirement'!$C$18/12</f>
        <v>40940.569999999992</v>
      </c>
      <c r="O22" s="25">
        <f t="shared" si="5"/>
        <v>7693.6367556010218</v>
      </c>
      <c r="P22" s="25">
        <f t="shared" si="6"/>
        <v>33246.93324439897</v>
      </c>
      <c r="Q22" s="25">
        <f t="array" aca="1" ref="Q22" ca="1">INDEX('Isaac 401k'!L:L,MATCH('Retirement Calculator'!A22,'Isaac 401k'!N:N,0),0)</f>
        <v>2928184.1787243886</v>
      </c>
      <c r="R22" s="25">
        <f t="array" aca="1" ref="R22" ca="1">INDEX('Lorri 401b'!L:L,MATCH('Retirement Calculator'!A22,'Lorri 401b'!N:N,0),0)</f>
        <v>3560846.778938503</v>
      </c>
      <c r="S22" s="25">
        <f t="shared" ca="1" si="7"/>
        <v>6489030.9576628916</v>
      </c>
    </row>
    <row r="23" spans="1:19" ht="15.75" customHeight="1" x14ac:dyDescent="0.3">
      <c r="A23" s="37">
        <v>51653</v>
      </c>
      <c r="B23" s="398">
        <f t="shared" ref="B23:C23" si="19">($A23-B$9)/365.25</f>
        <v>59.540041067761805</v>
      </c>
      <c r="C23" s="398">
        <f t="shared" si="19"/>
        <v>54.92950034223135</v>
      </c>
      <c r="E23" s="25">
        <f>IF(C23&gt;$B$7,0,'Combined Retirement'!$D$13/12)</f>
        <v>0</v>
      </c>
      <c r="F23" s="25">
        <f>IF(H23=0,'Combined Retirement'!$D$32,0)+'Combined Retirement'!$B$24</f>
        <v>4439.3722856490986</v>
      </c>
      <c r="G23" s="25">
        <f>'Combined Retirement'!$C$24</f>
        <v>3254.2644699519233</v>
      </c>
      <c r="H23" s="25">
        <f>IF(B23&lt;62,0,'Combined Retirement'!$I$14)</f>
        <v>0</v>
      </c>
      <c r="I23" s="25">
        <f>IF(C23&lt;62,0,'Combined Retirement'!$I$13)</f>
        <v>0</v>
      </c>
      <c r="J23" s="25">
        <f t="shared" si="3"/>
        <v>33246.93324439897</v>
      </c>
      <c r="K23" s="25">
        <f t="shared" si="4"/>
        <v>0</v>
      </c>
      <c r="L23" s="25"/>
      <c r="N23" s="25">
        <f>'Combined Retirement'!$C$18/12</f>
        <v>40940.569999999992</v>
      </c>
      <c r="O23" s="25">
        <f t="shared" si="5"/>
        <v>7693.6367556010218</v>
      </c>
      <c r="P23" s="25">
        <f t="shared" si="6"/>
        <v>33246.93324439897</v>
      </c>
      <c r="Q23" s="25">
        <f t="array" aca="1" ref="Q23" ca="1">INDEX('Isaac 401k'!L:L,MATCH('Retirement Calculator'!A23,'Isaac 401k'!N:N,0),0)</f>
        <v>2906999.484002823</v>
      </c>
      <c r="R23" s="25">
        <f t="array" aca="1" ref="R23" ca="1">INDEX('Lorri 401b'!L:L,MATCH('Retirement Calculator'!A23,'Lorri 401b'!N:N,0),0)</f>
        <v>3575683.6405174136</v>
      </c>
      <c r="S23" s="25">
        <f t="shared" ca="1" si="7"/>
        <v>6482683.1245202366</v>
      </c>
    </row>
    <row r="24" spans="1:19" ht="15.75" customHeight="1" x14ac:dyDescent="0.3">
      <c r="A24" s="37">
        <v>51683</v>
      </c>
      <c r="B24" s="398">
        <f t="shared" ref="B24:C24" si="20">($A24-B$9)/365.25</f>
        <v>59.622176591375769</v>
      </c>
      <c r="C24" s="398">
        <f t="shared" si="20"/>
        <v>55.011635865845314</v>
      </c>
      <c r="E24" s="25">
        <f>IF(C24&gt;$B$7,0,'Combined Retirement'!$D$13/12)</f>
        <v>0</v>
      </c>
      <c r="F24" s="25">
        <f>IF(H24=0,'Combined Retirement'!$D$32,0)+'Combined Retirement'!$B$24</f>
        <v>4439.3722856490986</v>
      </c>
      <c r="G24" s="25">
        <f>'Combined Retirement'!$C$24</f>
        <v>3254.2644699519233</v>
      </c>
      <c r="H24" s="25">
        <f>IF(B24&lt;62,0,'Combined Retirement'!$I$14)</f>
        <v>0</v>
      </c>
      <c r="I24" s="25">
        <f>IF(C24&lt;62,0,'Combined Retirement'!$I$13)</f>
        <v>0</v>
      </c>
      <c r="J24" s="25">
        <f t="shared" si="3"/>
        <v>33246.93324439897</v>
      </c>
      <c r="K24" s="25">
        <f t="shared" si="4"/>
        <v>0</v>
      </c>
      <c r="L24" s="25"/>
      <c r="N24" s="25">
        <f>'Combined Retirement'!$C$18/12</f>
        <v>40940.569999999992</v>
      </c>
      <c r="O24" s="25">
        <f t="shared" si="5"/>
        <v>7693.6367556010218</v>
      </c>
      <c r="P24" s="25">
        <f t="shared" si="6"/>
        <v>33246.93324439897</v>
      </c>
      <c r="Q24" s="25">
        <f t="array" aca="1" ref="Q24" ca="1">INDEX('Isaac 401k'!L:L,MATCH('Retirement Calculator'!A24,'Isaac 401k'!N:N,0),0)</f>
        <v>2885726.5197199178</v>
      </c>
      <c r="R24" s="25">
        <f t="array" aca="1" ref="R24" ca="1">INDEX('Lorri 401b'!L:L,MATCH('Retirement Calculator'!A24,'Lorri 401b'!N:N,0),0)</f>
        <v>3590582.322352903</v>
      </c>
      <c r="S24" s="25">
        <f t="shared" ca="1" si="7"/>
        <v>6476308.8420728203</v>
      </c>
    </row>
    <row r="25" spans="1:19" ht="15.75" customHeight="1" x14ac:dyDescent="0.3">
      <c r="A25" s="37">
        <v>51714</v>
      </c>
      <c r="B25" s="398">
        <f t="shared" ref="B25:C25" si="21">($A25-B$9)/365.25</f>
        <v>59.707049965776868</v>
      </c>
      <c r="C25" s="398">
        <f t="shared" si="21"/>
        <v>55.096509240246405</v>
      </c>
      <c r="E25" s="25">
        <f>IF(C25&gt;$B$7,0,'Combined Retirement'!$D$13/12)</f>
        <v>0</v>
      </c>
      <c r="F25" s="25">
        <f>IF(H25=0,'Combined Retirement'!$D$32,0)+'Combined Retirement'!$B$24</f>
        <v>4439.3722856490986</v>
      </c>
      <c r="G25" s="25">
        <f>'Combined Retirement'!$C$24</f>
        <v>3254.2644699519233</v>
      </c>
      <c r="H25" s="25">
        <f>IF(B25&lt;62,0,'Combined Retirement'!$I$14)</f>
        <v>0</v>
      </c>
      <c r="I25" s="25">
        <f>IF(C25&lt;62,0,'Combined Retirement'!$I$13)</f>
        <v>0</v>
      </c>
      <c r="J25" s="25">
        <f t="shared" si="3"/>
        <v>33246.93324439897</v>
      </c>
      <c r="K25" s="25">
        <f t="shared" si="4"/>
        <v>0</v>
      </c>
      <c r="L25" s="25"/>
      <c r="N25" s="25">
        <f>'Combined Retirement'!$C$18/12</f>
        <v>40940.569999999992</v>
      </c>
      <c r="O25" s="25">
        <f t="shared" si="5"/>
        <v>7693.6367556010218</v>
      </c>
      <c r="P25" s="25">
        <f t="shared" si="6"/>
        <v>33246.93324439897</v>
      </c>
      <c r="Q25" s="25">
        <f t="array" aca="1" ref="Q25" ca="1">INDEX('Isaac 401k'!L:L,MATCH('Retirement Calculator'!A25,'Isaac 401k'!N:N,0),0)</f>
        <v>2864364.9180858335</v>
      </c>
      <c r="R25" s="25">
        <f t="array" aca="1" ref="R25" ca="1">INDEX('Lorri 401b'!L:L,MATCH('Retirement Calculator'!A25,'Lorri 401b'!N:N,0),0)</f>
        <v>3605543.0820293734</v>
      </c>
      <c r="S25" s="25">
        <f t="shared" ca="1" si="7"/>
        <v>6469908.0001152065</v>
      </c>
    </row>
    <row r="26" spans="1:19" ht="15.75" customHeight="1" x14ac:dyDescent="0.3">
      <c r="A26" s="37">
        <v>51745</v>
      </c>
      <c r="B26" s="398">
        <f t="shared" ref="B26:C26" si="22">($A26-B$9)/365.25</f>
        <v>59.791923340177959</v>
      </c>
      <c r="C26" s="398">
        <f t="shared" si="22"/>
        <v>55.181382614647504</v>
      </c>
      <c r="E26" s="25">
        <f>IF(C26&gt;$B$7,0,'Combined Retirement'!$D$13/12)</f>
        <v>0</v>
      </c>
      <c r="F26" s="25">
        <f>IF(H26=0,'Combined Retirement'!$D$32,0)+'Combined Retirement'!$B$24</f>
        <v>4439.3722856490986</v>
      </c>
      <c r="G26" s="25">
        <f>'Combined Retirement'!$C$24</f>
        <v>3254.2644699519233</v>
      </c>
      <c r="H26" s="25">
        <f>IF(B26&lt;62,0,'Combined Retirement'!$I$14)</f>
        <v>0</v>
      </c>
      <c r="I26" s="25">
        <f>IF(C26&lt;62,0,'Combined Retirement'!$I$13)</f>
        <v>0</v>
      </c>
      <c r="J26" s="25">
        <f t="shared" si="3"/>
        <v>33246.93324439897</v>
      </c>
      <c r="K26" s="25">
        <f t="shared" si="4"/>
        <v>0</v>
      </c>
      <c r="L26" s="25"/>
      <c r="N26" s="25">
        <f>'Combined Retirement'!$C$18/12</f>
        <v>40940.569999999992</v>
      </c>
      <c r="O26" s="25">
        <f t="shared" si="5"/>
        <v>7693.6367556010218</v>
      </c>
      <c r="P26" s="25">
        <f t="shared" si="6"/>
        <v>33246.93324439897</v>
      </c>
      <c r="Q26" s="25">
        <f t="array" aca="1" ref="Q26" ca="1">INDEX('Isaac 401k'!L:L,MATCH('Retirement Calculator'!A26,'Isaac 401k'!N:N,0),0)</f>
        <v>2842914.309778274</v>
      </c>
      <c r="R26" s="25">
        <f t="array" aca="1" ref="R26" ca="1">INDEX('Lorri 401b'!L:L,MATCH('Retirement Calculator'!A26,'Lorri 401b'!N:N,0),0)</f>
        <v>3620566.1782044959</v>
      </c>
      <c r="S26" s="25">
        <f t="shared" ca="1" si="7"/>
        <v>6463480.4879827704</v>
      </c>
    </row>
    <row r="27" spans="1:19" ht="15.75" customHeight="1" x14ac:dyDescent="0.3">
      <c r="A27" s="37">
        <v>51775</v>
      </c>
      <c r="B27" s="398">
        <f t="shared" ref="B27:C27" si="23">($A27-B$9)/365.25</f>
        <v>59.874058863791923</v>
      </c>
      <c r="C27" s="398">
        <f t="shared" si="23"/>
        <v>55.263518138261468</v>
      </c>
      <c r="E27" s="25">
        <f>IF(C27&gt;$B$7,0,'Combined Retirement'!$D$13/12)</f>
        <v>0</v>
      </c>
      <c r="F27" s="25">
        <f>IF(H27=0,'Combined Retirement'!$D$32,0)+'Combined Retirement'!$B$24</f>
        <v>4439.3722856490986</v>
      </c>
      <c r="G27" s="25">
        <f>'Combined Retirement'!$C$24</f>
        <v>3254.2644699519233</v>
      </c>
      <c r="H27" s="25">
        <f>IF(B27&lt;62,0,'Combined Retirement'!$I$14)</f>
        <v>0</v>
      </c>
      <c r="I27" s="25">
        <f>IF(C27&lt;62,0,'Combined Retirement'!$I$13)</f>
        <v>0</v>
      </c>
      <c r="J27" s="25">
        <f t="shared" si="3"/>
        <v>33246.93324439897</v>
      </c>
      <c r="K27" s="25">
        <f t="shared" si="4"/>
        <v>0</v>
      </c>
      <c r="L27" s="25"/>
      <c r="N27" s="25">
        <f>'Combined Retirement'!$C$18/12</f>
        <v>40940.569999999992</v>
      </c>
      <c r="O27" s="25">
        <f t="shared" si="5"/>
        <v>7693.6367556010218</v>
      </c>
      <c r="P27" s="25">
        <f t="shared" si="6"/>
        <v>33246.93324439897</v>
      </c>
      <c r="Q27" s="25">
        <f t="array" aca="1" ref="Q27" ca="1">INDEX('Isaac 401k'!L:L,MATCH('Retirement Calculator'!A27,'Isaac 401k'!N:N,0),0)</f>
        <v>2821374.3239360997</v>
      </c>
      <c r="R27" s="25">
        <f t="array" aca="1" ref="R27" ca="1">INDEX('Lorri 401b'!L:L,MATCH('Retirement Calculator'!A27,'Lorri 401b'!N:N,0),0)</f>
        <v>3635651.8706136812</v>
      </c>
      <c r="S27" s="25">
        <f t="shared" ca="1" si="7"/>
        <v>6457026.1945497803</v>
      </c>
    </row>
    <row r="28" spans="1:19" ht="15.75" customHeight="1" x14ac:dyDescent="0.3">
      <c r="A28" s="37">
        <v>51806</v>
      </c>
      <c r="B28" s="398">
        <f t="shared" ref="B28:C28" si="24">($A28-B$9)/365.25</f>
        <v>59.958932238193022</v>
      </c>
      <c r="C28" s="398">
        <f t="shared" si="24"/>
        <v>55.348391512662559</v>
      </c>
      <c r="E28" s="25">
        <f>IF(C28&gt;$B$7,0,'Combined Retirement'!$D$13/12)</f>
        <v>0</v>
      </c>
      <c r="F28" s="25">
        <f>IF(H28=0,'Combined Retirement'!$D$32,0)+'Combined Retirement'!$B$24</f>
        <v>4439.3722856490986</v>
      </c>
      <c r="G28" s="25">
        <f>'Combined Retirement'!$C$24</f>
        <v>3254.2644699519233</v>
      </c>
      <c r="H28" s="25">
        <f>IF(B28&lt;62,0,'Combined Retirement'!$I$14)</f>
        <v>0</v>
      </c>
      <c r="I28" s="25">
        <f>IF(C28&lt;62,0,'Combined Retirement'!$I$13)</f>
        <v>0</v>
      </c>
      <c r="J28" s="25">
        <f t="shared" si="3"/>
        <v>33246.93324439897</v>
      </c>
      <c r="K28" s="25">
        <f t="shared" si="4"/>
        <v>0</v>
      </c>
      <c r="L28" s="25"/>
      <c r="N28" s="25">
        <f>'Combined Retirement'!$C$18/12</f>
        <v>40940.569999999992</v>
      </c>
      <c r="O28" s="25">
        <f t="shared" si="5"/>
        <v>7693.6367556010218</v>
      </c>
      <c r="P28" s="25">
        <f t="shared" si="6"/>
        <v>33246.93324439897</v>
      </c>
      <c r="Q28" s="25">
        <f t="array" aca="1" ref="Q28" ca="1">INDEX('Isaac 401k'!L:L,MATCH('Retirement Calculator'!A28,'Isaac 401k'!N:N,0),0)</f>
        <v>2799744.5881529162</v>
      </c>
      <c r="R28" s="25">
        <f t="array" aca="1" ref="R28" ca="1">INDEX('Lorri 401b'!L:L,MATCH('Retirement Calculator'!A28,'Lorri 401b'!N:N,0),0)</f>
        <v>3650800.4200745714</v>
      </c>
      <c r="S28" s="25">
        <f t="shared" ca="1" si="7"/>
        <v>6450545.008227488</v>
      </c>
    </row>
    <row r="29" spans="1:19" ht="15.75" customHeight="1" x14ac:dyDescent="0.3">
      <c r="A29" s="37">
        <v>51836</v>
      </c>
      <c r="B29" s="398">
        <f t="shared" ref="B29:C29" si="25">($A29-B$9)/365.25</f>
        <v>60.041067761806978</v>
      </c>
      <c r="C29" s="398">
        <f t="shared" si="25"/>
        <v>55.430527036276523</v>
      </c>
      <c r="E29" s="25">
        <f>IF(C29&gt;$B$7,0,'Combined Retirement'!$D$13/12)</f>
        <v>0</v>
      </c>
      <c r="F29" s="25">
        <f>IF(H29=0,'Combined Retirement'!$D$32,0)+'Combined Retirement'!$B$24</f>
        <v>4439.3722856490986</v>
      </c>
      <c r="G29" s="25">
        <f>'Combined Retirement'!$C$24</f>
        <v>3254.2644699519233</v>
      </c>
      <c r="H29" s="25">
        <f>IF(B29&lt;62,0,'Combined Retirement'!$I$14)</f>
        <v>0</v>
      </c>
      <c r="I29" s="25">
        <f>IF(C29&lt;62,0,'Combined Retirement'!$I$13)</f>
        <v>0</v>
      </c>
      <c r="J29" s="25">
        <f t="shared" si="3"/>
        <v>33246.93324439897</v>
      </c>
      <c r="K29" s="25">
        <f t="shared" si="4"/>
        <v>0</v>
      </c>
      <c r="L29" s="25"/>
      <c r="N29" s="25">
        <f>'Combined Retirement'!$C$18/12</f>
        <v>40940.569999999992</v>
      </c>
      <c r="O29" s="25">
        <f t="shared" si="5"/>
        <v>7693.6367556010218</v>
      </c>
      <c r="P29" s="25">
        <f t="shared" si="6"/>
        <v>33246.93324439897</v>
      </c>
      <c r="Q29" s="25">
        <f t="array" aca="1" ref="Q29" ca="1">INDEX('Isaac 401k'!L:L,MATCH('Retirement Calculator'!A29,'Isaac 401k'!N:N,0),0)</f>
        <v>2778024.7284706361</v>
      </c>
      <c r="R29" s="25">
        <f t="array" aca="1" ref="R29" ca="1">INDEX('Lorri 401b'!L:L,MATCH('Retirement Calculator'!A29,'Lorri 401b'!N:N,0),0)</f>
        <v>3666012.0884915488</v>
      </c>
      <c r="S29" s="25">
        <f t="shared" ca="1" si="7"/>
        <v>6444036.8169621844</v>
      </c>
    </row>
    <row r="30" spans="1:19" ht="15.75" customHeight="1" x14ac:dyDescent="0.3">
      <c r="A30" s="37">
        <v>51867</v>
      </c>
      <c r="B30" s="398">
        <f t="shared" ref="B30:C30" si="26">($A30-B$9)/365.25</f>
        <v>60.125941136208077</v>
      </c>
      <c r="C30" s="398">
        <f t="shared" si="26"/>
        <v>55.515400410677621</v>
      </c>
      <c r="E30" s="25">
        <f>IF(C30&gt;$B$7,0,'Combined Retirement'!$D$13/12)</f>
        <v>0</v>
      </c>
      <c r="F30" s="25">
        <f>IF(H30=0,'Combined Retirement'!$D$32,0)+'Combined Retirement'!$B$24</f>
        <v>4439.3722856490986</v>
      </c>
      <c r="G30" s="25">
        <f>'Combined Retirement'!$C$24</f>
        <v>3254.2644699519233</v>
      </c>
      <c r="H30" s="25">
        <f>IF(B30&lt;62,0,'Combined Retirement'!$I$14)</f>
        <v>0</v>
      </c>
      <c r="I30" s="25">
        <f>IF(C30&lt;62,0,'Combined Retirement'!$I$13)</f>
        <v>0</v>
      </c>
      <c r="J30" s="25">
        <f t="shared" si="3"/>
        <v>33246.93324439897</v>
      </c>
      <c r="K30" s="25">
        <f t="shared" si="4"/>
        <v>0</v>
      </c>
      <c r="L30" s="25"/>
      <c r="N30" s="25">
        <f>'Combined Retirement'!$C$18/12</f>
        <v>40940.569999999992</v>
      </c>
      <c r="O30" s="25">
        <f t="shared" si="5"/>
        <v>7693.6367556010218</v>
      </c>
      <c r="P30" s="25">
        <f t="shared" si="6"/>
        <v>33246.93324439897</v>
      </c>
      <c r="Q30" s="25">
        <f t="array" aca="1" ref="Q30" ca="1">INDEX('Isaac 401k'!L:L,MATCH('Retirement Calculator'!A30,'Isaac 401k'!N:N,0),0)</f>
        <v>2756214.3693730133</v>
      </c>
      <c r="R30" s="25">
        <f t="array" aca="1" ref="R30" ca="1">INDEX('Lorri 401b'!L:L,MATCH('Retirement Calculator'!A30,'Lorri 401b'!N:N,0),0)</f>
        <v>3681287.1388602634</v>
      </c>
      <c r="S30" s="25">
        <f t="shared" ca="1" si="7"/>
        <v>6437501.5082332771</v>
      </c>
    </row>
    <row r="31" spans="1:19" ht="15.75" customHeight="1" x14ac:dyDescent="0.3">
      <c r="A31" s="37">
        <v>51898</v>
      </c>
      <c r="B31" s="398">
        <f t="shared" ref="B31:C31" si="27">($A31-B$9)/365.25</f>
        <v>60.210814510609168</v>
      </c>
      <c r="C31" s="398">
        <f t="shared" si="27"/>
        <v>55.600273785078713</v>
      </c>
      <c r="E31" s="25">
        <f>IF(C31&gt;$B$7,0,'Combined Retirement'!$D$13/12)</f>
        <v>0</v>
      </c>
      <c r="F31" s="25">
        <f>IF(H31=0,'Combined Retirement'!$D$32,0)+'Combined Retirement'!$B$24</f>
        <v>4439.3722856490986</v>
      </c>
      <c r="G31" s="25">
        <f>'Combined Retirement'!$C$24</f>
        <v>3254.2644699519233</v>
      </c>
      <c r="H31" s="25">
        <f>IF(B31&lt;62,0,'Combined Retirement'!$I$14)</f>
        <v>0</v>
      </c>
      <c r="I31" s="25">
        <f>IF(C31&lt;62,0,'Combined Retirement'!$I$13)</f>
        <v>0</v>
      </c>
      <c r="J31" s="25">
        <f t="shared" si="3"/>
        <v>33246.93324439897</v>
      </c>
      <c r="K31" s="25">
        <f t="shared" si="4"/>
        <v>0</v>
      </c>
      <c r="L31" s="25"/>
      <c r="N31" s="25">
        <f>'Combined Retirement'!$C$18/12</f>
        <v>40940.569999999992</v>
      </c>
      <c r="O31" s="25">
        <f t="shared" si="5"/>
        <v>7693.6367556010218</v>
      </c>
      <c r="P31" s="25">
        <f t="shared" si="6"/>
        <v>33246.93324439897</v>
      </c>
      <c r="Q31" s="25">
        <f t="array" aca="1" ref="Q31" ca="1">INDEX('Isaac 401k'!L:L,MATCH('Retirement Calculator'!A31,'Isaac 401k'!N:N,0),0)</f>
        <v>2734313.1337791504</v>
      </c>
      <c r="R31" s="25">
        <f t="array" aca="1" ref="R31" ca="1">INDEX('Lorri 401b'!L:L,MATCH('Retirement Calculator'!A31,'Lorri 401b'!N:N,0),0)</f>
        <v>3696625.8352721813</v>
      </c>
      <c r="S31" s="25">
        <f t="shared" ca="1" si="7"/>
        <v>6430938.9690513313</v>
      </c>
    </row>
    <row r="32" spans="1:19" ht="15.75" customHeight="1" x14ac:dyDescent="0.3">
      <c r="A32" s="37">
        <v>51926</v>
      </c>
      <c r="B32" s="398">
        <f t="shared" ref="B32:C32" si="28">($A32-B$9)/365.25</f>
        <v>60.28747433264887</v>
      </c>
      <c r="C32" s="398">
        <f t="shared" si="28"/>
        <v>55.676933607118414</v>
      </c>
      <c r="E32" s="25">
        <f>IF(C32&gt;$B$7,0,'Combined Retirement'!$D$13/12)</f>
        <v>0</v>
      </c>
      <c r="F32" s="25">
        <f>IF(H32=0,'Combined Retirement'!$D$32,0)+'Combined Retirement'!$B$24</f>
        <v>4439.3722856490986</v>
      </c>
      <c r="G32" s="25">
        <f>'Combined Retirement'!$C$24</f>
        <v>3254.2644699519233</v>
      </c>
      <c r="H32" s="25">
        <f>IF(B32&lt;62,0,'Combined Retirement'!$I$14)</f>
        <v>0</v>
      </c>
      <c r="I32" s="25">
        <f>IF(C32&lt;62,0,'Combined Retirement'!$I$13)</f>
        <v>0</v>
      </c>
      <c r="J32" s="25">
        <f t="shared" si="3"/>
        <v>33246.93324439897</v>
      </c>
      <c r="K32" s="25">
        <f t="shared" si="4"/>
        <v>0</v>
      </c>
      <c r="L32" s="25"/>
      <c r="N32" s="25">
        <f>'Combined Retirement'!$C$18/12</f>
        <v>40940.569999999992</v>
      </c>
      <c r="O32" s="25">
        <f t="shared" si="5"/>
        <v>7693.6367556010218</v>
      </c>
      <c r="P32" s="25">
        <f t="shared" si="6"/>
        <v>33246.93324439897</v>
      </c>
      <c r="Q32" s="25">
        <f t="array" aca="1" ref="Q32" ca="1">INDEX('Isaac 401k'!L:L,MATCH('Retirement Calculator'!A32,'Isaac 401k'!N:N,0),0)</f>
        <v>2712320.6430369797</v>
      </c>
      <c r="R32" s="25">
        <f t="array" aca="1" ref="R32" ca="1">INDEX('Lorri 401b'!L:L,MATCH('Retirement Calculator'!A32,'Lorri 401b'!N:N,0),0)</f>
        <v>3712028.4429191486</v>
      </c>
      <c r="S32" s="25">
        <f t="shared" ca="1" si="7"/>
        <v>6424349.0859561283</v>
      </c>
    </row>
    <row r="33" spans="1:19" ht="15.75" customHeight="1" x14ac:dyDescent="0.3">
      <c r="A33" s="37">
        <v>51957</v>
      </c>
      <c r="B33" s="398">
        <f t="shared" ref="B33:C33" si="29">($A33-B$9)/365.25</f>
        <v>60.372347707049968</v>
      </c>
      <c r="C33" s="398">
        <f t="shared" si="29"/>
        <v>55.761806981519506</v>
      </c>
      <c r="E33" s="25">
        <f>IF(C33&gt;$B$7,0,'Combined Retirement'!$D$13/12)</f>
        <v>0</v>
      </c>
      <c r="F33" s="25">
        <f>IF(H33=0,'Combined Retirement'!$D$32,0)+'Combined Retirement'!$B$24</f>
        <v>4439.3722856490986</v>
      </c>
      <c r="G33" s="25">
        <f>'Combined Retirement'!$C$24</f>
        <v>3254.2644699519233</v>
      </c>
      <c r="H33" s="25">
        <f>IF(B33&lt;62,0,'Combined Retirement'!$I$14)</f>
        <v>0</v>
      </c>
      <c r="I33" s="25">
        <f>IF(C33&lt;62,0,'Combined Retirement'!$I$13)</f>
        <v>0</v>
      </c>
      <c r="J33" s="25">
        <f t="shared" si="3"/>
        <v>33246.93324439897</v>
      </c>
      <c r="K33" s="25">
        <f t="shared" si="4"/>
        <v>0</v>
      </c>
      <c r="L33" s="25"/>
      <c r="N33" s="25">
        <f>'Combined Retirement'!$C$18/12</f>
        <v>40940.569999999992</v>
      </c>
      <c r="O33" s="25">
        <f t="shared" si="5"/>
        <v>7693.6367556010218</v>
      </c>
      <c r="P33" s="25">
        <f t="shared" si="6"/>
        <v>33246.93324439897</v>
      </c>
      <c r="Q33" s="25">
        <f t="array" aca="1" ref="Q33" ca="1">INDEX('Isaac 401k'!L:L,MATCH('Retirement Calculator'!A33,'Isaac 401k'!N:N,0),0)</f>
        <v>2690236.5169167165</v>
      </c>
      <c r="R33" s="25">
        <f t="array" aca="1" ref="R33" ca="1">INDEX('Lorri 401b'!L:L,MATCH('Retirement Calculator'!A33,'Lorri 401b'!N:N,0),0)</f>
        <v>3727495.2280979785</v>
      </c>
      <c r="S33" s="25">
        <f t="shared" ca="1" si="7"/>
        <v>6417731.7450146955</v>
      </c>
    </row>
    <row r="34" spans="1:19" ht="15.75" customHeight="1" x14ac:dyDescent="0.3">
      <c r="A34" s="37">
        <v>51987</v>
      </c>
      <c r="B34" s="398">
        <f t="shared" ref="B34:C34" si="30">($A34-B$9)/365.25</f>
        <v>60.454483230663932</v>
      </c>
      <c r="C34" s="398">
        <f t="shared" si="30"/>
        <v>55.843942505133469</v>
      </c>
      <c r="E34" s="25">
        <f>IF(C34&gt;$B$7,0,'Combined Retirement'!$D$13/12)</f>
        <v>0</v>
      </c>
      <c r="F34" s="25">
        <f>IF(H34=0,'Combined Retirement'!$D$32,0)+'Combined Retirement'!$B$24</f>
        <v>4439.3722856490986</v>
      </c>
      <c r="G34" s="25">
        <f>'Combined Retirement'!$C$24</f>
        <v>3254.2644699519233</v>
      </c>
      <c r="H34" s="25">
        <f>IF(B34&lt;62,0,'Combined Retirement'!$I$14)</f>
        <v>0</v>
      </c>
      <c r="I34" s="25">
        <f>IF(C34&lt;62,0,'Combined Retirement'!$I$13)</f>
        <v>0</v>
      </c>
      <c r="J34" s="25">
        <f t="shared" si="3"/>
        <v>33246.93324439897</v>
      </c>
      <c r="K34" s="25">
        <f t="shared" si="4"/>
        <v>0</v>
      </c>
      <c r="L34" s="25"/>
      <c r="N34" s="25">
        <f>'Combined Retirement'!$C$18/12</f>
        <v>40940.569999999992</v>
      </c>
      <c r="O34" s="25">
        <f t="shared" si="5"/>
        <v>7693.6367556010218</v>
      </c>
      <c r="P34" s="25">
        <f t="shared" si="6"/>
        <v>33246.93324439897</v>
      </c>
      <c r="Q34" s="25">
        <f t="array" aca="1" ref="Q34" ca="1">INDEX('Isaac 401k'!L:L,MATCH('Retirement Calculator'!A34,'Isaac 401k'!N:N,0),0)</f>
        <v>2668060.3736042855</v>
      </c>
      <c r="R34" s="25">
        <f t="array" aca="1" ref="R34" ca="1">INDEX('Lorri 401b'!L:L,MATCH('Retirement Calculator'!A34,'Lorri 401b'!N:N,0),0)</f>
        <v>3743026.4582150532</v>
      </c>
      <c r="S34" s="25">
        <f t="shared" ca="1" si="7"/>
        <v>6411086.8318193387</v>
      </c>
    </row>
    <row r="35" spans="1:19" ht="15.75" customHeight="1" x14ac:dyDescent="0.3">
      <c r="A35" s="37">
        <v>52018</v>
      </c>
      <c r="B35" s="398">
        <f t="shared" ref="B35:C35" si="31">($A35-B$9)/365.25</f>
        <v>60.539356605065024</v>
      </c>
      <c r="C35" s="398">
        <f t="shared" si="31"/>
        <v>55.928815879534568</v>
      </c>
      <c r="E35" s="25">
        <f>IF(C35&gt;$B$7,0,'Combined Retirement'!$D$13/12)</f>
        <v>0</v>
      </c>
      <c r="F35" s="25">
        <f>IF(H35=0,'Combined Retirement'!$D$32,0)+'Combined Retirement'!$B$24</f>
        <v>4439.3722856490986</v>
      </c>
      <c r="G35" s="25">
        <f>'Combined Retirement'!$C$24</f>
        <v>3254.2644699519233</v>
      </c>
      <c r="H35" s="25">
        <f>IF(B35&lt;62,0,'Combined Retirement'!$I$14)</f>
        <v>0</v>
      </c>
      <c r="I35" s="25">
        <f>IF(C35&lt;62,0,'Combined Retirement'!$I$13)</f>
        <v>0</v>
      </c>
      <c r="J35" s="25">
        <f t="shared" si="3"/>
        <v>33246.93324439897</v>
      </c>
      <c r="K35" s="25">
        <f t="shared" si="4"/>
        <v>0</v>
      </c>
      <c r="L35" s="25"/>
      <c r="N35" s="25">
        <f>'Combined Retirement'!$C$18/12</f>
        <v>40940.569999999992</v>
      </c>
      <c r="O35" s="25">
        <f t="shared" si="5"/>
        <v>7693.6367556010218</v>
      </c>
      <c r="P35" s="25">
        <f t="shared" si="6"/>
        <v>33246.93324439897</v>
      </c>
      <c r="Q35" s="25">
        <f t="array" aca="1" ref="Q35" ca="1">INDEX('Isaac 401k'!L:L,MATCH('Retirement Calculator'!A35,'Isaac 401k'!N:N,0),0)</f>
        <v>2645791.8296947195</v>
      </c>
      <c r="R35" s="25">
        <f t="array" aca="1" ref="R35" ca="1">INDEX('Lorri 401b'!L:L,MATCH('Retirement Calculator'!A35,'Lorri 401b'!N:N,0),0)</f>
        <v>3758622.4017909491</v>
      </c>
      <c r="S35" s="25">
        <f t="shared" ca="1" si="7"/>
        <v>6404414.2314856686</v>
      </c>
    </row>
    <row r="36" spans="1:19" ht="15.75" customHeight="1" x14ac:dyDescent="0.3">
      <c r="A36" s="37">
        <v>52048</v>
      </c>
      <c r="B36" s="398">
        <f t="shared" ref="B36:C36" si="32">($A36-B$9)/365.25</f>
        <v>60.621492128678987</v>
      </c>
      <c r="C36" s="398">
        <f t="shared" si="32"/>
        <v>56.010951403148532</v>
      </c>
      <c r="E36" s="25">
        <f>IF(C36&gt;$B$7,0,'Combined Retirement'!$D$13/12)</f>
        <v>0</v>
      </c>
      <c r="F36" s="25">
        <f>IF(H36=0,'Combined Retirement'!$D$32,0)+'Combined Retirement'!$B$24</f>
        <v>4439.3722856490986</v>
      </c>
      <c r="G36" s="25">
        <f>'Combined Retirement'!$C$24</f>
        <v>3254.2644699519233</v>
      </c>
      <c r="H36" s="25">
        <f>IF(B36&lt;62,0,'Combined Retirement'!$I$14)</f>
        <v>0</v>
      </c>
      <c r="I36" s="25">
        <f>IF(C36&lt;62,0,'Combined Retirement'!$I$13)</f>
        <v>0</v>
      </c>
      <c r="J36" s="25">
        <f t="shared" si="3"/>
        <v>33246.93324439897</v>
      </c>
      <c r="K36" s="25">
        <f t="shared" si="4"/>
        <v>0</v>
      </c>
      <c r="L36" s="25"/>
      <c r="N36" s="25">
        <f>'Combined Retirement'!$C$18/12</f>
        <v>40940.569999999992</v>
      </c>
      <c r="O36" s="25">
        <f t="shared" si="5"/>
        <v>7693.6367556010218</v>
      </c>
      <c r="P36" s="25">
        <f t="shared" si="6"/>
        <v>33246.93324439897</v>
      </c>
      <c r="Q36" s="25">
        <f t="array" aca="1" ref="Q36" ca="1">INDEX('Isaac 401k'!L:L,MATCH('Retirement Calculator'!A36,'Isaac 401k'!N:N,0),0)</f>
        <v>2623430.5001855302</v>
      </c>
      <c r="R36" s="25">
        <f t="array" aca="1" ref="R36" ca="1">INDEX('Lorri 401b'!L:L,MATCH('Retirement Calculator'!A36,'Lorri 401b'!N:N,0),0)</f>
        <v>3774283.328465078</v>
      </c>
      <c r="S36" s="25">
        <f t="shared" ca="1" si="7"/>
        <v>6397713.8286506087</v>
      </c>
    </row>
    <row r="37" spans="1:19" ht="15.75" customHeight="1" x14ac:dyDescent="0.3">
      <c r="A37" s="37">
        <v>52079</v>
      </c>
      <c r="B37" s="398">
        <f t="shared" ref="B37:C37" si="33">($A37-B$9)/365.25</f>
        <v>60.706365503080079</v>
      </c>
      <c r="C37" s="398">
        <f t="shared" si="33"/>
        <v>56.095824777549623</v>
      </c>
      <c r="E37" s="25">
        <f>IF(C37&gt;$B$7,0,'Combined Retirement'!$D$13/12)</f>
        <v>0</v>
      </c>
      <c r="F37" s="25">
        <f>IF(H37=0,'Combined Retirement'!$D$32,0)+'Combined Retirement'!$B$24</f>
        <v>4439.3722856490986</v>
      </c>
      <c r="G37" s="25">
        <f>'Combined Retirement'!$C$24</f>
        <v>3254.2644699519233</v>
      </c>
      <c r="H37" s="25">
        <f>IF(B37&lt;62,0,'Combined Retirement'!$I$14)</f>
        <v>0</v>
      </c>
      <c r="I37" s="25">
        <f>IF(C37&lt;62,0,'Combined Retirement'!$I$13)</f>
        <v>0</v>
      </c>
      <c r="J37" s="25">
        <f t="shared" si="3"/>
        <v>33246.93324439897</v>
      </c>
      <c r="K37" s="25">
        <f t="shared" si="4"/>
        <v>0</v>
      </c>
      <c r="L37" s="25"/>
      <c r="N37" s="25">
        <f>'Combined Retirement'!$C$18/12</f>
        <v>40940.569999999992</v>
      </c>
      <c r="O37" s="25">
        <f t="shared" si="5"/>
        <v>7693.6367556010218</v>
      </c>
      <c r="P37" s="25">
        <f t="shared" si="6"/>
        <v>33246.93324439897</v>
      </c>
      <c r="Q37" s="25">
        <f t="array" aca="1" ref="Q37" ca="1">INDEX('Isaac 401k'!L:L,MATCH('Retirement Calculator'!A37,'Isaac 401k'!N:N,0),0)</f>
        <v>2600975.9984700526</v>
      </c>
      <c r="R37" s="25">
        <f t="array" aca="1" ref="R37" ca="1">INDEX('Lorri 401b'!L:L,MATCH('Retirement Calculator'!A37,'Lorri 401b'!N:N,0),0)</f>
        <v>3790009.5090003493</v>
      </c>
      <c r="S37" s="25">
        <f t="shared" ca="1" si="7"/>
        <v>6390985.5074704019</v>
      </c>
    </row>
    <row r="38" spans="1:19" ht="15.75" customHeight="1" x14ac:dyDescent="0.3">
      <c r="A38" s="37">
        <v>52110</v>
      </c>
      <c r="B38" s="398">
        <f t="shared" ref="B38:C38" si="34">($A38-B$9)/365.25</f>
        <v>60.791238877481177</v>
      </c>
      <c r="C38" s="398">
        <f t="shared" si="34"/>
        <v>56.180698151950722</v>
      </c>
      <c r="E38" s="25">
        <f>IF(C38&gt;$B$7,0,'Combined Retirement'!$D$13/12)</f>
        <v>0</v>
      </c>
      <c r="F38" s="25">
        <f>IF(H38=0,'Combined Retirement'!$D$32,0)+'Combined Retirement'!$B$24</f>
        <v>4439.3722856490986</v>
      </c>
      <c r="G38" s="25">
        <f>'Combined Retirement'!$C$24</f>
        <v>3254.2644699519233</v>
      </c>
      <c r="H38" s="25">
        <f>IF(B38&lt;62,0,'Combined Retirement'!$I$14)</f>
        <v>0</v>
      </c>
      <c r="I38" s="25">
        <f>IF(C38&lt;62,0,'Combined Retirement'!$I$13)</f>
        <v>0</v>
      </c>
      <c r="J38" s="25">
        <f t="shared" si="3"/>
        <v>33246.93324439897</v>
      </c>
      <c r="K38" s="25">
        <f t="shared" si="4"/>
        <v>0</v>
      </c>
      <c r="L38" s="25"/>
      <c r="N38" s="25">
        <f>'Combined Retirement'!$C$18/12</f>
        <v>40940.569999999992</v>
      </c>
      <c r="O38" s="25">
        <f t="shared" si="5"/>
        <v>7693.6367556010218</v>
      </c>
      <c r="P38" s="25">
        <f t="shared" si="6"/>
        <v>33246.93324439897</v>
      </c>
      <c r="Q38" s="25">
        <f t="array" aca="1" ref="Q38" ca="1">INDEX('Isaac 401k'!L:L,MATCH('Retirement Calculator'!A38,'Isaac 401k'!N:N,0),0)</f>
        <v>2578427.9363307608</v>
      </c>
      <c r="R38" s="25">
        <f t="array" aca="1" ref="R38" ca="1">INDEX('Lorri 401b'!L:L,MATCH('Retirement Calculator'!A38,'Lorri 401b'!N:N,0),0)</f>
        <v>3805801.2152878507</v>
      </c>
      <c r="S38" s="25">
        <f t="shared" ca="1" si="7"/>
        <v>6384229.1516186111</v>
      </c>
    </row>
    <row r="39" spans="1:19" ht="15.75" customHeight="1" x14ac:dyDescent="0.3">
      <c r="A39" s="37">
        <v>52140</v>
      </c>
      <c r="B39" s="398">
        <f t="shared" ref="B39:C39" si="35">($A39-B$9)/365.25</f>
        <v>60.873374401095141</v>
      </c>
      <c r="C39" s="398">
        <f t="shared" si="35"/>
        <v>56.262833675564679</v>
      </c>
      <c r="E39" s="25">
        <f>IF(C39&gt;$B$7,0,'Combined Retirement'!$D$13/12)</f>
        <v>0</v>
      </c>
      <c r="F39" s="25">
        <f>IF(H39=0,'Combined Retirement'!$D$32,0)+'Combined Retirement'!$B$24</f>
        <v>4439.3722856490986</v>
      </c>
      <c r="G39" s="25">
        <f>'Combined Retirement'!$C$24</f>
        <v>3254.2644699519233</v>
      </c>
      <c r="H39" s="25">
        <f>IF(B39&lt;62,0,'Combined Retirement'!$I$14)</f>
        <v>0</v>
      </c>
      <c r="I39" s="25">
        <f>IF(C39&lt;62,0,'Combined Retirement'!$I$13)</f>
        <v>0</v>
      </c>
      <c r="J39" s="25">
        <f t="shared" si="3"/>
        <v>33246.93324439897</v>
      </c>
      <c r="K39" s="25">
        <f t="shared" si="4"/>
        <v>0</v>
      </c>
      <c r="L39" s="25"/>
      <c r="N39" s="25">
        <f>'Combined Retirement'!$C$18/12</f>
        <v>40940.569999999992</v>
      </c>
      <c r="O39" s="25">
        <f t="shared" si="5"/>
        <v>7693.6367556010218</v>
      </c>
      <c r="P39" s="25">
        <f t="shared" si="6"/>
        <v>33246.93324439897</v>
      </c>
      <c r="Q39" s="25">
        <f t="array" aca="1" ref="Q39" ca="1">INDEX('Isaac 401k'!L:L,MATCH('Retirement Calculator'!A39,'Isaac 401k'!N:N,0),0)</f>
        <v>2555785.9239325551</v>
      </c>
      <c r="R39" s="25">
        <f t="array" aca="1" ref="R39" ca="1">INDEX('Lorri 401b'!L:L,MATCH('Retirement Calculator'!A39,'Lorri 401b'!N:N,0),0)</f>
        <v>3821658.7203515503</v>
      </c>
      <c r="S39" s="25">
        <f t="shared" ca="1" si="7"/>
        <v>6377444.6442841049</v>
      </c>
    </row>
    <row r="40" spans="1:19" ht="15.75" customHeight="1" x14ac:dyDescent="0.3">
      <c r="A40" s="37">
        <v>52171</v>
      </c>
      <c r="B40" s="398">
        <f t="shared" ref="B40:C40" si="36">($A40-B$9)/365.25</f>
        <v>60.958247775496233</v>
      </c>
      <c r="C40" s="398">
        <f t="shared" si="36"/>
        <v>56.347707049965777</v>
      </c>
      <c r="E40" s="25">
        <f>IF(C40&gt;$B$7,0,'Combined Retirement'!$D$13/12)</f>
        <v>0</v>
      </c>
      <c r="F40" s="25">
        <f>IF(H40=0,'Combined Retirement'!$D$32,0)+'Combined Retirement'!$B$24</f>
        <v>4439.3722856490986</v>
      </c>
      <c r="G40" s="25">
        <f>'Combined Retirement'!$C$24</f>
        <v>3254.2644699519233</v>
      </c>
      <c r="H40" s="25">
        <f>IF(B40&lt;62,0,'Combined Retirement'!$I$14)</f>
        <v>0</v>
      </c>
      <c r="I40" s="25">
        <f>IF(C40&lt;62,0,'Combined Retirement'!$I$13)</f>
        <v>0</v>
      </c>
      <c r="J40" s="25">
        <f t="shared" si="3"/>
        <v>33246.93324439897</v>
      </c>
      <c r="K40" s="25">
        <f t="shared" si="4"/>
        <v>0</v>
      </c>
      <c r="L40" s="25"/>
      <c r="N40" s="25">
        <f>'Combined Retirement'!$C$18/12</f>
        <v>40940.569999999992</v>
      </c>
      <c r="O40" s="25">
        <f t="shared" si="5"/>
        <v>7693.6367556010218</v>
      </c>
      <c r="P40" s="25">
        <f t="shared" si="6"/>
        <v>33246.93324439897</v>
      </c>
      <c r="Q40" s="25">
        <f t="array" aca="1" ref="Q40" ca="1">INDEX('Isaac 401k'!L:L,MATCH('Retirement Calculator'!A40,'Isaac 401k'!N:N,0),0)</f>
        <v>2533049.5698160236</v>
      </c>
      <c r="R40" s="25">
        <f t="array" aca="1" ref="R40" ca="1">INDEX('Lorri 401b'!L:L,MATCH('Retirement Calculator'!A40,'Lorri 401b'!N:N,0),0)</f>
        <v>3837582.298353015</v>
      </c>
      <c r="S40" s="25">
        <f t="shared" ca="1" si="7"/>
        <v>6370631.8681690386</v>
      </c>
    </row>
    <row r="41" spans="1:19" ht="15.75" customHeight="1" x14ac:dyDescent="0.3">
      <c r="A41" s="37">
        <v>52201</v>
      </c>
      <c r="B41" s="398">
        <f t="shared" ref="B41:C41" si="37">($A41-B$9)/365.25</f>
        <v>61.040383299110196</v>
      </c>
      <c r="C41" s="398">
        <f t="shared" si="37"/>
        <v>56.429842573579741</v>
      </c>
      <c r="E41" s="25">
        <f>IF(C41&gt;$B$7,0,'Combined Retirement'!$D$13/12)</f>
        <v>0</v>
      </c>
      <c r="F41" s="25">
        <f>IF(H41=0,'Combined Retirement'!$D$32,0)+'Combined Retirement'!$B$24</f>
        <v>4439.3722856490986</v>
      </c>
      <c r="G41" s="25">
        <f>'Combined Retirement'!$C$24</f>
        <v>3254.2644699519233</v>
      </c>
      <c r="H41" s="25">
        <f>IF(B41&lt;62,0,'Combined Retirement'!$I$14)</f>
        <v>0</v>
      </c>
      <c r="I41" s="25">
        <f>IF(C41&lt;62,0,'Combined Retirement'!$I$13)</f>
        <v>0</v>
      </c>
      <c r="J41" s="25">
        <f t="shared" si="3"/>
        <v>33246.93324439897</v>
      </c>
      <c r="K41" s="25">
        <f t="shared" si="4"/>
        <v>0</v>
      </c>
      <c r="L41" s="25"/>
      <c r="N41" s="25">
        <f>'Combined Retirement'!$C$18/12</f>
        <v>40940.569999999992</v>
      </c>
      <c r="O41" s="25">
        <f t="shared" si="5"/>
        <v>7693.6367556010218</v>
      </c>
      <c r="P41" s="25">
        <f t="shared" si="6"/>
        <v>33246.93324439897</v>
      </c>
      <c r="Q41" s="25">
        <f t="array" aca="1" ref="Q41" ca="1">INDEX('Isaac 401k'!L:L,MATCH('Retirement Calculator'!A41,'Isaac 401k'!N:N,0),0)</f>
        <v>2510218.4808906731</v>
      </c>
      <c r="R41" s="25">
        <f t="array" aca="1" ref="R41" ca="1">INDEX('Lorri 401b'!L:L,MATCH('Retirement Calculator'!A41,'Lorri 401b'!N:N,0),0)</f>
        <v>3853572.2245961525</v>
      </c>
      <c r="S41" s="25">
        <f t="shared" ca="1" si="7"/>
        <v>6363790.7054868257</v>
      </c>
    </row>
    <row r="42" spans="1:19" ht="15.75" customHeight="1" x14ac:dyDescent="0.3">
      <c r="A42" s="37">
        <v>52232</v>
      </c>
      <c r="B42" s="398">
        <f t="shared" ref="B42:C42" si="38">($A42-B$9)/365.25</f>
        <v>61.125256673511295</v>
      </c>
      <c r="C42" s="398">
        <f t="shared" si="38"/>
        <v>56.514715947980832</v>
      </c>
      <c r="E42" s="25">
        <f>IF(C42&gt;$B$7,0,'Combined Retirement'!$D$13/12)</f>
        <v>0</v>
      </c>
      <c r="F42" s="25">
        <f>IF(H42=0,'Combined Retirement'!$D$32,0)+'Combined Retirement'!$B$24</f>
        <v>4439.3722856490986</v>
      </c>
      <c r="G42" s="25">
        <f>'Combined Retirement'!$C$24</f>
        <v>3254.2644699519233</v>
      </c>
      <c r="H42" s="25">
        <f>IF(B42&lt;62,0,'Combined Retirement'!$I$14)</f>
        <v>0</v>
      </c>
      <c r="I42" s="25">
        <f>IF(C42&lt;62,0,'Combined Retirement'!$I$13)</f>
        <v>0</v>
      </c>
      <c r="J42" s="25">
        <f t="shared" si="3"/>
        <v>33246.93324439897</v>
      </c>
      <c r="K42" s="25">
        <f t="shared" si="4"/>
        <v>0</v>
      </c>
      <c r="L42" s="25"/>
      <c r="N42" s="25">
        <f>'Combined Retirement'!$C$18/12</f>
        <v>40940.569999999992</v>
      </c>
      <c r="O42" s="25">
        <f t="shared" si="5"/>
        <v>7693.6367556010218</v>
      </c>
      <c r="P42" s="25">
        <f t="shared" si="6"/>
        <v>33246.93324439897</v>
      </c>
      <c r="Q42" s="25">
        <f t="array" aca="1" ref="Q42" ca="1">INDEX('Isaac 401k'!L:L,MATCH('Retirement Calculator'!A42,'Isaac 401k'!N:N,0),0)</f>
        <v>2487292.2624281337</v>
      </c>
      <c r="R42" s="25">
        <f t="array" aca="1" ref="R42" ca="1">INDEX('Lorri 401b'!L:L,MATCH('Retirement Calculator'!A42,'Lorri 401b'!N:N,0),0)</f>
        <v>3869628.77553197</v>
      </c>
      <c r="S42" s="25">
        <f t="shared" ca="1" si="7"/>
        <v>6356921.0379601037</v>
      </c>
    </row>
    <row r="43" spans="1:19" ht="15.75" customHeight="1" x14ac:dyDescent="0.3">
      <c r="A43" s="37">
        <v>52263</v>
      </c>
      <c r="B43" s="398">
        <f t="shared" ref="B43:C43" si="39">($A43-B$9)/365.25</f>
        <v>61.210130047912386</v>
      </c>
      <c r="C43" s="398">
        <f t="shared" si="39"/>
        <v>56.599589322381931</v>
      </c>
      <c r="E43" s="25">
        <f>IF(C43&gt;$B$7,0,'Combined Retirement'!$D$13/12)</f>
        <v>0</v>
      </c>
      <c r="F43" s="25">
        <f>IF(H43=0,'Combined Retirement'!$D$32,0)+'Combined Retirement'!$B$24</f>
        <v>4439.3722856490986</v>
      </c>
      <c r="G43" s="25">
        <f>'Combined Retirement'!$C$24</f>
        <v>3254.2644699519233</v>
      </c>
      <c r="H43" s="25">
        <f>IF(B43&lt;62,0,'Combined Retirement'!$I$14)</f>
        <v>0</v>
      </c>
      <c r="I43" s="25">
        <f>IF(C43&lt;62,0,'Combined Retirement'!$I$13)</f>
        <v>0</v>
      </c>
      <c r="J43" s="25">
        <f t="shared" si="3"/>
        <v>33246.93324439897</v>
      </c>
      <c r="K43" s="25">
        <f t="shared" si="4"/>
        <v>0</v>
      </c>
      <c r="L43" s="25"/>
      <c r="N43" s="25">
        <f>'Combined Retirement'!$C$18/12</f>
        <v>40940.569999999992</v>
      </c>
      <c r="O43" s="25">
        <f t="shared" si="5"/>
        <v>7693.6367556010218</v>
      </c>
      <c r="P43" s="25">
        <f t="shared" si="6"/>
        <v>33246.93324439897</v>
      </c>
      <c r="Q43" s="25">
        <f t="array" aca="1" ref="Q43" ca="1">INDEX('Isaac 401k'!L:L,MATCH('Retirement Calculator'!A43,'Isaac 401k'!N:N,0),0)</f>
        <v>2464270.5180553338</v>
      </c>
      <c r="R43" s="25">
        <f t="array" aca="1" ref="R43" ca="1">INDEX('Lorri 401b'!L:L,MATCH('Retirement Calculator'!A43,'Lorri 401b'!N:N,0),0)</f>
        <v>3885752.2287633531</v>
      </c>
      <c r="S43" s="25">
        <f t="shared" ca="1" si="7"/>
        <v>6350022.7468186868</v>
      </c>
    </row>
    <row r="44" spans="1:19" ht="15.75" customHeight="1" x14ac:dyDescent="0.3">
      <c r="A44" s="37">
        <v>52291</v>
      </c>
      <c r="B44" s="398">
        <f t="shared" ref="B44:C44" si="40">($A44-B$9)/365.25</f>
        <v>61.286789869952088</v>
      </c>
      <c r="C44" s="398">
        <f t="shared" si="40"/>
        <v>56.676249144421632</v>
      </c>
      <c r="E44" s="25">
        <f>IF(C44&gt;$B$7,0,'Combined Retirement'!$D$13/12)</f>
        <v>0</v>
      </c>
      <c r="F44" s="25">
        <f>IF(H44=0,'Combined Retirement'!$D$32,0)+'Combined Retirement'!$B$24</f>
        <v>4439.3722856490986</v>
      </c>
      <c r="G44" s="25">
        <f>'Combined Retirement'!$C$24</f>
        <v>3254.2644699519233</v>
      </c>
      <c r="H44" s="25">
        <f>IF(B44&lt;62,0,'Combined Retirement'!$I$14)</f>
        <v>0</v>
      </c>
      <c r="I44" s="25">
        <f>IF(C44&lt;62,0,'Combined Retirement'!$I$13)</f>
        <v>0</v>
      </c>
      <c r="J44" s="25">
        <f t="shared" si="3"/>
        <v>33246.93324439897</v>
      </c>
      <c r="K44" s="25">
        <f t="shared" si="4"/>
        <v>0</v>
      </c>
      <c r="L44" s="25"/>
      <c r="N44" s="25">
        <f>'Combined Retirement'!$C$18/12</f>
        <v>40940.569999999992</v>
      </c>
      <c r="O44" s="25">
        <f t="shared" si="5"/>
        <v>7693.6367556010218</v>
      </c>
      <c r="P44" s="25">
        <f t="shared" si="6"/>
        <v>33246.93324439897</v>
      </c>
      <c r="Q44" s="25">
        <f t="array" aca="1" ref="Q44" ca="1">INDEX('Isaac 401k'!L:L,MATCH('Retirement Calculator'!A44,'Isaac 401k'!N:N,0),0)</f>
        <v>2441152.8497476471</v>
      </c>
      <c r="R44" s="25">
        <f t="array" aca="1" ref="R44" ca="1">INDEX('Lorri 401b'!L:L,MATCH('Retirement Calculator'!A44,'Lorri 401b'!N:N,0),0)</f>
        <v>3901942.8630498671</v>
      </c>
      <c r="S44" s="25">
        <f t="shared" ca="1" si="7"/>
        <v>6343095.7127975142</v>
      </c>
    </row>
    <row r="45" spans="1:19" ht="15.75" customHeight="1" x14ac:dyDescent="0.3">
      <c r="A45" s="37">
        <v>52322</v>
      </c>
      <c r="B45" s="398">
        <f t="shared" ref="B45:C45" si="41">($A45-B$9)/365.25</f>
        <v>61.371663244353179</v>
      </c>
      <c r="C45" s="398">
        <f t="shared" si="41"/>
        <v>56.761122518822724</v>
      </c>
      <c r="E45" s="25">
        <f>IF(C45&gt;$B$7,0,'Combined Retirement'!$D$13/12)</f>
        <v>0</v>
      </c>
      <c r="F45" s="25">
        <f>IF(H45=0,'Combined Retirement'!$D$32,0)+'Combined Retirement'!$B$24</f>
        <v>4439.3722856490986</v>
      </c>
      <c r="G45" s="25">
        <f>'Combined Retirement'!$C$24</f>
        <v>3254.2644699519233</v>
      </c>
      <c r="H45" s="25">
        <f>IF(B45&lt;62,0,'Combined Retirement'!$I$14)</f>
        <v>0</v>
      </c>
      <c r="I45" s="25">
        <f>IF(C45&lt;62,0,'Combined Retirement'!$I$13)</f>
        <v>0</v>
      </c>
      <c r="J45" s="25">
        <f t="shared" si="3"/>
        <v>33246.93324439897</v>
      </c>
      <c r="K45" s="25">
        <f t="shared" si="4"/>
        <v>0</v>
      </c>
      <c r="L45" s="25"/>
      <c r="N45" s="25">
        <f>'Combined Retirement'!$C$18/12</f>
        <v>40940.569999999992</v>
      </c>
      <c r="O45" s="25">
        <f t="shared" si="5"/>
        <v>7693.6367556010218</v>
      </c>
      <c r="P45" s="25">
        <f t="shared" si="6"/>
        <v>33246.93324439897</v>
      </c>
      <c r="Q45" s="25">
        <f t="array" aca="1" ref="Q45" ca="1">INDEX('Isaac 401k'!L:L,MATCH('Retirement Calculator'!A45,'Isaac 401k'!N:N,0),0)</f>
        <v>2417938.8578220117</v>
      </c>
      <c r="R45" s="25">
        <f t="array" aca="1" ref="R45" ca="1">INDEX('Lorri 401b'!L:L,MATCH('Retirement Calculator'!A45,'Lorri 401b'!N:N,0),0)</f>
        <v>3918200.9583125748</v>
      </c>
      <c r="S45" s="25">
        <f t="shared" ca="1" si="7"/>
        <v>6336139.8161345869</v>
      </c>
    </row>
    <row r="46" spans="1:19" ht="15.75" customHeight="1" x14ac:dyDescent="0.3">
      <c r="A46" s="37">
        <v>52352</v>
      </c>
      <c r="B46" s="398">
        <f t="shared" ref="B46:C46" si="42">($A46-B$9)/365.25</f>
        <v>61.453798767967143</v>
      </c>
      <c r="C46" s="398">
        <f t="shared" si="42"/>
        <v>56.843258042436688</v>
      </c>
      <c r="E46" s="25">
        <f>IF(C46&gt;$B$7,0,'Combined Retirement'!$D$13/12)</f>
        <v>0</v>
      </c>
      <c r="F46" s="25">
        <f>IF(H46=0,'Combined Retirement'!$D$32,0)+'Combined Retirement'!$B$24</f>
        <v>4439.3722856490986</v>
      </c>
      <c r="G46" s="25">
        <f>'Combined Retirement'!$C$24</f>
        <v>3254.2644699519233</v>
      </c>
      <c r="H46" s="25">
        <f>IF(B46&lt;62,0,'Combined Retirement'!$I$14)</f>
        <v>0</v>
      </c>
      <c r="I46" s="25">
        <f>IF(C46&lt;62,0,'Combined Retirement'!$I$13)</f>
        <v>0</v>
      </c>
      <c r="J46" s="25">
        <f t="shared" si="3"/>
        <v>33246.93324439897</v>
      </c>
      <c r="K46" s="25">
        <f t="shared" si="4"/>
        <v>0</v>
      </c>
      <c r="L46" s="25"/>
      <c r="N46" s="25">
        <f>'Combined Retirement'!$C$18/12</f>
        <v>40940.569999999992</v>
      </c>
      <c r="O46" s="25">
        <f t="shared" si="5"/>
        <v>7693.6367556010218</v>
      </c>
      <c r="P46" s="25">
        <f t="shared" si="6"/>
        <v>33246.93324439897</v>
      </c>
      <c r="Q46" s="25">
        <f t="array" aca="1" ref="Q46" ca="1">INDEX('Isaac 401k'!L:L,MATCH('Retirement Calculator'!A46,'Isaac 401k'!N:N,0),0)</f>
        <v>2394628.1409300198</v>
      </c>
      <c r="R46" s="25">
        <f t="array" aca="1" ref="R46" ca="1">INDEX('Lorri 401b'!L:L,MATCH('Retirement Calculator'!A46,'Lorri 401b'!N:N,0),0)</f>
        <v>3934526.795638877</v>
      </c>
      <c r="S46" s="25">
        <f t="shared" ca="1" si="7"/>
        <v>6329154.9365688972</v>
      </c>
    </row>
    <row r="47" spans="1:19" ht="15.75" customHeight="1" x14ac:dyDescent="0.3">
      <c r="A47" s="37">
        <v>52383</v>
      </c>
      <c r="B47" s="398">
        <f t="shared" ref="B47:C47" si="43">($A47-B$9)/365.25</f>
        <v>61.538672142368242</v>
      </c>
      <c r="C47" s="398">
        <f t="shared" si="43"/>
        <v>56.928131416837779</v>
      </c>
      <c r="E47" s="25">
        <f>IF(C47&gt;$B$7,0,'Combined Retirement'!$D$13/12)</f>
        <v>0</v>
      </c>
      <c r="F47" s="25">
        <f>IF(H47=0,'Combined Retirement'!$D$32,0)+'Combined Retirement'!$B$24</f>
        <v>4439.3722856490986</v>
      </c>
      <c r="G47" s="25">
        <f>'Combined Retirement'!$C$24</f>
        <v>3254.2644699519233</v>
      </c>
      <c r="H47" s="25">
        <f>IF(B47&lt;62,0,'Combined Retirement'!$I$14)</f>
        <v>0</v>
      </c>
      <c r="I47" s="25">
        <f>IF(C47&lt;62,0,'Combined Retirement'!$I$13)</f>
        <v>0</v>
      </c>
      <c r="J47" s="25">
        <f t="shared" si="3"/>
        <v>33246.93324439897</v>
      </c>
      <c r="K47" s="25">
        <f t="shared" si="4"/>
        <v>0</v>
      </c>
      <c r="L47" s="25"/>
      <c r="N47" s="25">
        <f>'Combined Retirement'!$C$18/12</f>
        <v>40940.569999999992</v>
      </c>
      <c r="O47" s="25">
        <f t="shared" si="5"/>
        <v>7693.6367556010218</v>
      </c>
      <c r="P47" s="25">
        <f t="shared" si="6"/>
        <v>33246.93324439897</v>
      </c>
      <c r="Q47" s="25">
        <f t="array" aca="1" ref="Q47" ca="1">INDEX('Isaac 401k'!L:L,MATCH('Retirement Calculator'!A47,'Isaac 401k'!N:N,0),0)</f>
        <v>2371220.2960509779</v>
      </c>
      <c r="R47" s="25">
        <f t="array" aca="1" ref="R47" ca="1">INDEX('Lorri 401b'!L:L,MATCH('Retirement Calculator'!A47,'Lorri 401b'!N:N,0),0)</f>
        <v>3950920.6572873723</v>
      </c>
      <c r="S47" s="25">
        <f t="shared" ca="1" si="7"/>
        <v>6322140.9533383502</v>
      </c>
    </row>
    <row r="48" spans="1:19" ht="15.75" customHeight="1" x14ac:dyDescent="0.3">
      <c r="A48" s="37">
        <v>52413</v>
      </c>
      <c r="B48" s="398">
        <f t="shared" ref="B48:C48" si="44">($A48-B$9)/365.25</f>
        <v>61.620807665982205</v>
      </c>
      <c r="C48" s="398">
        <f t="shared" si="44"/>
        <v>57.010266940451743</v>
      </c>
      <c r="E48" s="25">
        <f>IF(C48&gt;$B$7,0,'Combined Retirement'!$D$13/12)</f>
        <v>0</v>
      </c>
      <c r="F48" s="25">
        <f>IF(H48=0,'Combined Retirement'!$D$32,0)+'Combined Retirement'!$B$24</f>
        <v>4439.3722856490986</v>
      </c>
      <c r="G48" s="25">
        <f>'Combined Retirement'!$C$24</f>
        <v>3254.2644699519233</v>
      </c>
      <c r="H48" s="25">
        <f>IF(B48&lt;62,0,'Combined Retirement'!$I$14)</f>
        <v>0</v>
      </c>
      <c r="I48" s="25">
        <f>IF(C48&lt;62,0,'Combined Retirement'!$I$13)</f>
        <v>0</v>
      </c>
      <c r="J48" s="25">
        <f t="shared" si="3"/>
        <v>33246.93324439897</v>
      </c>
      <c r="K48" s="25">
        <f t="shared" si="4"/>
        <v>0</v>
      </c>
      <c r="L48" s="25"/>
      <c r="N48" s="25">
        <f>'Combined Retirement'!$C$18/12</f>
        <v>40940.569999999992</v>
      </c>
      <c r="O48" s="25">
        <f t="shared" si="5"/>
        <v>7693.6367556010218</v>
      </c>
      <c r="P48" s="25">
        <f t="shared" si="6"/>
        <v>33246.93324439897</v>
      </c>
      <c r="Q48" s="25">
        <f t="array" aca="1" ref="Q48" ca="1">INDEX('Isaac 401k'!L:L,MATCH('Retirement Calculator'!A48,'Isaac 401k'!N:N,0),0)</f>
        <v>2347714.9184849397</v>
      </c>
      <c r="R48" s="25">
        <f t="array" aca="1" ref="R48" ca="1">INDEX('Lorri 401b'!L:L,MATCH('Retirement Calculator'!A48,'Lorri 401b'!N:N,0),0)</f>
        <v>3967382.8266927362</v>
      </c>
      <c r="S48" s="25">
        <f t="shared" ca="1" si="7"/>
        <v>6315097.745177676</v>
      </c>
    </row>
    <row r="49" spans="1:19" ht="15.75" customHeight="1" x14ac:dyDescent="0.3">
      <c r="A49" s="37">
        <v>52444</v>
      </c>
      <c r="B49" s="398">
        <f t="shared" ref="B49:C49" si="45">($A49-B$9)/365.25</f>
        <v>61.705681040383297</v>
      </c>
      <c r="C49" s="398">
        <f t="shared" si="45"/>
        <v>57.095140314852841</v>
      </c>
      <c r="E49" s="25">
        <f>IF(C49&gt;$B$7,0,'Combined Retirement'!$D$13/12)</f>
        <v>0</v>
      </c>
      <c r="F49" s="25">
        <f>IF(H49=0,'Combined Retirement'!$D$32,0)+'Combined Retirement'!$B$24</f>
        <v>4439.3722856490986</v>
      </c>
      <c r="G49" s="25">
        <f>'Combined Retirement'!$C$24</f>
        <v>3254.2644699519233</v>
      </c>
      <c r="H49" s="25">
        <f>IF(B49&lt;62,0,'Combined Retirement'!$I$14)</f>
        <v>0</v>
      </c>
      <c r="I49" s="25">
        <f>IF(C49&lt;62,0,'Combined Retirement'!$I$13)</f>
        <v>0</v>
      </c>
      <c r="J49" s="25">
        <f t="shared" si="3"/>
        <v>33246.93324439897</v>
      </c>
      <c r="K49" s="25">
        <f t="shared" si="4"/>
        <v>0</v>
      </c>
      <c r="L49" s="25"/>
      <c r="N49" s="25">
        <f>'Combined Retirement'!$C$18/12</f>
        <v>40940.569999999992</v>
      </c>
      <c r="O49" s="25">
        <f t="shared" si="5"/>
        <v>7693.6367556010218</v>
      </c>
      <c r="P49" s="25">
        <f t="shared" si="6"/>
        <v>33246.93324439897</v>
      </c>
      <c r="Q49" s="25">
        <f t="array" aca="1" ref="Q49" ca="1">INDEX('Isaac 401k'!L:L,MATCH('Retirement Calculator'!A49,'Isaac 401k'!N:N,0),0)</f>
        <v>2324111.6018457101</v>
      </c>
      <c r="R49" s="25">
        <f t="array" aca="1" ref="R49" ca="1">INDEX('Lorri 401b'!L:L,MATCH('Retirement Calculator'!A49,'Lorri 401b'!N:N,0),0)</f>
        <v>3983913.5884706224</v>
      </c>
      <c r="S49" s="25">
        <f t="shared" ca="1" si="7"/>
        <v>6308025.1903163325</v>
      </c>
    </row>
    <row r="50" spans="1:19" ht="15.75" customHeight="1" x14ac:dyDescent="0.3">
      <c r="A50" s="37">
        <v>52475</v>
      </c>
      <c r="B50" s="398">
        <f t="shared" ref="B50:C50" si="46">($A50-B$9)/365.25</f>
        <v>61.790554414784395</v>
      </c>
      <c r="C50" s="398">
        <f t="shared" si="46"/>
        <v>57.180013689253933</v>
      </c>
      <c r="E50" s="25">
        <f>IF(C50&gt;$B$7,0,'Combined Retirement'!$D$13/12)</f>
        <v>0</v>
      </c>
      <c r="F50" s="25">
        <f>IF(H50=0,'Combined Retirement'!$D$32,0)+'Combined Retirement'!$B$24</f>
        <v>4439.3722856490986</v>
      </c>
      <c r="G50" s="25">
        <f>'Combined Retirement'!$C$24</f>
        <v>3254.2644699519233</v>
      </c>
      <c r="H50" s="25">
        <f>IF(B50&lt;62,0,'Combined Retirement'!$I$14)</f>
        <v>0</v>
      </c>
      <c r="I50" s="25">
        <f>IF(C50&lt;62,0,'Combined Retirement'!$I$13)</f>
        <v>0</v>
      </c>
      <c r="J50" s="25">
        <f t="shared" si="3"/>
        <v>33246.93324439897</v>
      </c>
      <c r="K50" s="25">
        <f t="shared" si="4"/>
        <v>0</v>
      </c>
      <c r="L50" s="25"/>
      <c r="N50" s="25">
        <f>'Combined Retirement'!$C$18/12</f>
        <v>40940.569999999992</v>
      </c>
      <c r="O50" s="25">
        <f t="shared" si="5"/>
        <v>7693.6367556010218</v>
      </c>
      <c r="P50" s="25">
        <f t="shared" si="6"/>
        <v>33246.93324439897</v>
      </c>
      <c r="Q50" s="25">
        <f t="array" aca="1" ref="Q50" ca="1">INDEX('Isaac 401k'!L:L,MATCH('Retirement Calculator'!A50,'Isaac 401k'!N:N,0),0)</f>
        <v>2300409.9380538166</v>
      </c>
      <c r="R50" s="25">
        <f t="array" aca="1" ref="R50" ca="1">INDEX('Lorri 401b'!L:L,MATCH('Retirement Calculator'!A50,'Lorri 401b'!N:N,0),0)</f>
        <v>4000513.2284225835</v>
      </c>
      <c r="S50" s="25">
        <f t="shared" ca="1" si="7"/>
        <v>6300923.1664764006</v>
      </c>
    </row>
    <row r="51" spans="1:19" ht="15.75" customHeight="1" x14ac:dyDescent="0.3">
      <c r="A51" s="37">
        <v>52505</v>
      </c>
      <c r="B51" s="398">
        <f t="shared" ref="B51:C51" si="47">($A51-B$9)/365.25</f>
        <v>61.872689938398359</v>
      </c>
      <c r="C51" s="398">
        <f t="shared" si="47"/>
        <v>57.262149212867897</v>
      </c>
      <c r="E51" s="25">
        <f>IF(C51&gt;$B$7,0,'Combined Retirement'!$D$13/12)</f>
        <v>0</v>
      </c>
      <c r="F51" s="25">
        <f>IF(H51=0,'Combined Retirement'!$D$32,0)+'Combined Retirement'!$B$24</f>
        <v>4439.3722856490986</v>
      </c>
      <c r="G51" s="25">
        <f>'Combined Retirement'!$C$24</f>
        <v>3254.2644699519233</v>
      </c>
      <c r="H51" s="25">
        <f>IF(B51&lt;62,0,'Combined Retirement'!$I$14)</f>
        <v>0</v>
      </c>
      <c r="I51" s="25">
        <f>IF(C51&lt;62,0,'Combined Retirement'!$I$13)</f>
        <v>0</v>
      </c>
      <c r="J51" s="25">
        <f t="shared" si="3"/>
        <v>33246.93324439897</v>
      </c>
      <c r="K51" s="25">
        <f t="shared" si="4"/>
        <v>0</v>
      </c>
      <c r="L51" s="25"/>
      <c r="N51" s="25">
        <f>'Combined Retirement'!$C$18/12</f>
        <v>40940.569999999992</v>
      </c>
      <c r="O51" s="25">
        <f t="shared" si="5"/>
        <v>7693.6367556010218</v>
      </c>
      <c r="P51" s="25">
        <f t="shared" si="6"/>
        <v>33246.93324439897</v>
      </c>
      <c r="Q51" s="25">
        <f t="array" aca="1" ref="Q51" ca="1">INDEX('Isaac 401k'!L:L,MATCH('Retirement Calculator'!A51,'Isaac 401k'!N:N,0),0)</f>
        <v>2276609.5173294572</v>
      </c>
      <c r="R51" s="25">
        <f t="array" aca="1" ref="R51" ca="1">INDEX('Lorri 401b'!L:L,MATCH('Retirement Calculator'!A51,'Lorri 401b'!N:N,0),0)</f>
        <v>4017182.0335410112</v>
      </c>
      <c r="S51" s="25">
        <f t="shared" ca="1" si="7"/>
        <v>6293791.5508704688</v>
      </c>
    </row>
    <row r="52" spans="1:19" ht="15.75" customHeight="1" x14ac:dyDescent="0.3">
      <c r="A52" s="37">
        <v>52536</v>
      </c>
      <c r="B52" s="398">
        <f t="shared" ref="B52:C52" si="48">($A52-B$9)/365.25</f>
        <v>61.957563312799451</v>
      </c>
      <c r="C52" s="398">
        <f t="shared" si="48"/>
        <v>57.347022587268995</v>
      </c>
      <c r="E52" s="25">
        <f>IF(C52&gt;$B$7,0,'Combined Retirement'!$D$13/12)</f>
        <v>0</v>
      </c>
      <c r="F52" s="25">
        <f>IF(H52=0,'Combined Retirement'!$D$32,0)+'Combined Retirement'!$B$24</f>
        <v>4439.3722856490986</v>
      </c>
      <c r="G52" s="25">
        <f>'Combined Retirement'!$C$24</f>
        <v>3254.2644699519233</v>
      </c>
      <c r="H52" s="25">
        <f>IF(B52&lt;62,0,'Combined Retirement'!$I$14)</f>
        <v>0</v>
      </c>
      <c r="I52" s="25">
        <f>IF(C52&lt;62,0,'Combined Retirement'!$I$13)</f>
        <v>0</v>
      </c>
      <c r="J52" s="25">
        <f t="shared" si="3"/>
        <v>33246.93324439897</v>
      </c>
      <c r="K52" s="25">
        <f t="shared" si="4"/>
        <v>0</v>
      </c>
      <c r="L52" s="25"/>
      <c r="N52" s="25">
        <f>'Combined Retirement'!$C$18/12</f>
        <v>40940.569999999992</v>
      </c>
      <c r="O52" s="25">
        <f t="shared" si="5"/>
        <v>7693.6367556010218</v>
      </c>
      <c r="P52" s="25">
        <f t="shared" si="6"/>
        <v>33246.93324439897</v>
      </c>
      <c r="Q52" s="25">
        <f t="array" aca="1" ref="Q52" ca="1">INDEX('Isaac 401k'!L:L,MATCH('Retirement Calculator'!A52,'Isaac 401k'!N:N,0),0)</f>
        <v>2252709.9281854127</v>
      </c>
      <c r="R52" s="25">
        <f t="array" aca="1" ref="R52" ca="1">INDEX('Lorri 401b'!L:L,MATCH('Retirement Calculator'!A52,'Lorri 401b'!N:N,0),0)</f>
        <v>4033920.2920140987</v>
      </c>
      <c r="S52" s="25">
        <f t="shared" ca="1" si="7"/>
        <v>6286630.2201995114</v>
      </c>
    </row>
    <row r="53" spans="1:19" ht="15.75" customHeight="1" x14ac:dyDescent="0.3">
      <c r="A53" s="37">
        <v>52566</v>
      </c>
      <c r="B53" s="398">
        <f t="shared" ref="B53:C53" si="49">($A53-B$9)/365.25</f>
        <v>62.039698836413415</v>
      </c>
      <c r="C53" s="398">
        <f t="shared" si="49"/>
        <v>57.429158110882959</v>
      </c>
      <c r="E53" s="25">
        <f>IF(C53&gt;$B$7,0,'Combined Retirement'!$D$13/12)</f>
        <v>0</v>
      </c>
      <c r="F53" s="25">
        <f>IF(H53=0,'Combined Retirement'!$D$32,0)+'Combined Retirement'!$B$24</f>
        <v>2870.372285649099</v>
      </c>
      <c r="G53" s="25">
        <f>'Combined Retirement'!$C$24</f>
        <v>3254.2644699519233</v>
      </c>
      <c r="H53" s="25">
        <f>IF(B53&lt;62,0,'Combined Retirement'!$I$14)</f>
        <v>2345</v>
      </c>
      <c r="I53" s="25">
        <f>IF(C53&lt;62,0,'Combined Retirement'!$I$13)</f>
        <v>0</v>
      </c>
      <c r="J53" s="25">
        <f t="shared" si="3"/>
        <v>32470.93324439897</v>
      </c>
      <c r="K53" s="25">
        <f t="shared" si="4"/>
        <v>0</v>
      </c>
      <c r="L53" s="25"/>
      <c r="N53" s="25">
        <f>'Combined Retirement'!$C$18/12</f>
        <v>40940.569999999992</v>
      </c>
      <c r="O53" s="25">
        <f t="shared" si="5"/>
        <v>8469.6367556010227</v>
      </c>
      <c r="P53" s="25">
        <f t="shared" si="6"/>
        <v>32470.93324439897</v>
      </c>
      <c r="Q53" s="25">
        <f t="array" aca="1" ref="Q53" ca="1">INDEX('Isaac 401k'!L:L,MATCH('Retirement Calculator'!A53,'Isaac 401k'!N:N,0),0)</f>
        <v>2229489.9907532679</v>
      </c>
      <c r="R53" s="25">
        <f t="array" aca="1" ref="R53" ca="1">INDEX('Lorri 401b'!L:L,MATCH('Retirement Calculator'!A53,'Lorri 401b'!N:N,0),0)</f>
        <v>4050728.2932308242</v>
      </c>
      <c r="S53" s="25">
        <f t="shared" ca="1" si="7"/>
        <v>6280218.2839840921</v>
      </c>
    </row>
    <row r="54" spans="1:19" ht="15.75" customHeight="1" x14ac:dyDescent="0.3">
      <c r="A54" s="37">
        <v>52597</v>
      </c>
      <c r="B54" s="398">
        <f t="shared" ref="B54:C54" si="50">($A54-B$9)/365.25</f>
        <v>62.124572210814513</v>
      </c>
      <c r="C54" s="398">
        <f t="shared" si="50"/>
        <v>57.51403148528405</v>
      </c>
      <c r="E54" s="25">
        <f>IF(C54&gt;$B$7,0,'Combined Retirement'!$D$13/12)</f>
        <v>0</v>
      </c>
      <c r="F54" s="25">
        <f>IF(H54=0,'Combined Retirement'!$D$32,0)+'Combined Retirement'!$B$24</f>
        <v>2870.372285649099</v>
      </c>
      <c r="G54" s="25">
        <f>'Combined Retirement'!$C$24</f>
        <v>3254.2644699519233</v>
      </c>
      <c r="H54" s="25">
        <f>IF(B54&lt;62,0,'Combined Retirement'!$I$14)</f>
        <v>2345</v>
      </c>
      <c r="I54" s="25">
        <f>IF(C54&lt;62,0,'Combined Retirement'!$I$13)</f>
        <v>0</v>
      </c>
      <c r="J54" s="25">
        <f t="shared" si="3"/>
        <v>32470.93324439897</v>
      </c>
      <c r="K54" s="25">
        <f t="shared" si="4"/>
        <v>0</v>
      </c>
      <c r="L54" s="25"/>
      <c r="N54" s="25">
        <f>'Combined Retirement'!$C$18/12</f>
        <v>40940.569999999992</v>
      </c>
      <c r="O54" s="25">
        <f t="shared" si="5"/>
        <v>8469.6367556010227</v>
      </c>
      <c r="P54" s="25">
        <f t="shared" si="6"/>
        <v>32470.93324439897</v>
      </c>
      <c r="Q54" s="25">
        <f t="array" aca="1" ref="Q54" ca="1">INDEX('Isaac 401k'!L:L,MATCH('Retirement Calculator'!A54,'Isaac 401k'!N:N,0),0)</f>
        <v>2206173.3035818227</v>
      </c>
      <c r="R54" s="25">
        <f t="array" aca="1" ref="R54" ca="1">INDEX('Lorri 401b'!L:L,MATCH('Retirement Calculator'!A54,'Lorri 401b'!N:N,0),0)</f>
        <v>4067606.3277859525</v>
      </c>
      <c r="S54" s="25">
        <f t="shared" ca="1" si="7"/>
        <v>6273779.6313677747</v>
      </c>
    </row>
    <row r="55" spans="1:19" ht="15.75" customHeight="1" x14ac:dyDescent="0.3">
      <c r="A55" s="37">
        <v>52628</v>
      </c>
      <c r="B55" s="398">
        <f t="shared" ref="B55:C55" si="51">($A55-B$9)/365.25</f>
        <v>62.209445585215605</v>
      </c>
      <c r="C55" s="398">
        <f t="shared" si="51"/>
        <v>57.598904859685149</v>
      </c>
      <c r="E55" s="25">
        <f>IF(C55&gt;$B$7,0,'Combined Retirement'!$D$13/12)</f>
        <v>0</v>
      </c>
      <c r="F55" s="25">
        <f>IF(H55=0,'Combined Retirement'!$D$32,0)+'Combined Retirement'!$B$24</f>
        <v>2870.372285649099</v>
      </c>
      <c r="G55" s="25">
        <f>'Combined Retirement'!$C$24</f>
        <v>3254.2644699519233</v>
      </c>
      <c r="H55" s="25">
        <f>IF(B55&lt;62,0,'Combined Retirement'!$I$14)</f>
        <v>2345</v>
      </c>
      <c r="I55" s="25">
        <f>IF(C55&lt;62,0,'Combined Retirement'!$I$13)</f>
        <v>0</v>
      </c>
      <c r="J55" s="25">
        <f t="shared" si="3"/>
        <v>32470.93324439897</v>
      </c>
      <c r="K55" s="25">
        <f t="shared" si="4"/>
        <v>0</v>
      </c>
      <c r="L55" s="25"/>
      <c r="N55" s="25">
        <f>'Combined Retirement'!$C$18/12</f>
        <v>40940.569999999992</v>
      </c>
      <c r="O55" s="25">
        <f t="shared" si="5"/>
        <v>8469.6367556010227</v>
      </c>
      <c r="P55" s="25">
        <f t="shared" si="6"/>
        <v>32470.93324439897</v>
      </c>
      <c r="Q55" s="25">
        <f t="array" aca="1" ref="Q55" ca="1">INDEX('Isaac 401k'!L:L,MATCH('Retirement Calculator'!A55,'Isaac 401k'!N:N,0),0)</f>
        <v>2182759.4635471632</v>
      </c>
      <c r="R55" s="25">
        <f t="array" aca="1" ref="R55" ca="1">INDEX('Lorri 401b'!L:L,MATCH('Retirement Calculator'!A55,'Lorri 401b'!N:N,0),0)</f>
        <v>4084554.6874850607</v>
      </c>
      <c r="S55" s="25">
        <f t="shared" ca="1" si="7"/>
        <v>6267314.1510322243</v>
      </c>
    </row>
    <row r="56" spans="1:19" ht="15.75" customHeight="1" x14ac:dyDescent="0.3">
      <c r="A56" s="37">
        <v>52657</v>
      </c>
      <c r="B56" s="398">
        <f t="shared" ref="B56:C56" si="52">($A56-B$9)/365.25</f>
        <v>62.288843258042434</v>
      </c>
      <c r="C56" s="398">
        <f t="shared" si="52"/>
        <v>57.678302532511978</v>
      </c>
      <c r="E56" s="25">
        <f>IF(C56&gt;$B$7,0,'Combined Retirement'!$D$13/12)</f>
        <v>0</v>
      </c>
      <c r="F56" s="25">
        <f>IF(H56=0,'Combined Retirement'!$D$32,0)+'Combined Retirement'!$B$24</f>
        <v>2870.372285649099</v>
      </c>
      <c r="G56" s="25">
        <f>'Combined Retirement'!$C$24</f>
        <v>3254.2644699519233</v>
      </c>
      <c r="H56" s="25">
        <f>IF(B56&lt;62,0,'Combined Retirement'!$I$14)</f>
        <v>2345</v>
      </c>
      <c r="I56" s="25">
        <f>IF(C56&lt;62,0,'Combined Retirement'!$I$13)</f>
        <v>0</v>
      </c>
      <c r="J56" s="25">
        <f t="shared" si="3"/>
        <v>32470.93324439897</v>
      </c>
      <c r="K56" s="25">
        <f t="shared" si="4"/>
        <v>0</v>
      </c>
      <c r="L56" s="25"/>
      <c r="N56" s="25">
        <f>'Combined Retirement'!$C$18/12</f>
        <v>40940.569999999992</v>
      </c>
      <c r="O56" s="25">
        <f t="shared" si="5"/>
        <v>8469.6367556010227</v>
      </c>
      <c r="P56" s="25">
        <f t="shared" si="6"/>
        <v>32470.93324439897</v>
      </c>
      <c r="Q56" s="25">
        <f t="array" aca="1" ref="Q56" ca="1">INDEX('Isaac 401k'!L:L,MATCH('Retirement Calculator'!A56,'Isaac 401k'!N:N,0),0)</f>
        <v>2159248.0658456925</v>
      </c>
      <c r="R56" s="25">
        <f t="array" aca="1" ref="R56" ca="1">INDEX('Lorri 401b'!L:L,MATCH('Retirement Calculator'!A56,'Lorri 401b'!N:N,0),0)</f>
        <v>4101573.6653495817</v>
      </c>
      <c r="S56" s="25">
        <f t="shared" ca="1" si="7"/>
        <v>6260821.7311952747</v>
      </c>
    </row>
    <row r="57" spans="1:19" ht="15.75" customHeight="1" x14ac:dyDescent="0.3">
      <c r="A57" s="37">
        <v>52688</v>
      </c>
      <c r="B57" s="398">
        <f t="shared" ref="B57:C57" si="53">($A57-B$9)/365.25</f>
        <v>62.373716632443532</v>
      </c>
      <c r="C57" s="398">
        <f t="shared" si="53"/>
        <v>57.763175906913077</v>
      </c>
      <c r="E57" s="25">
        <f>IF(C57&gt;$B$7,0,'Combined Retirement'!$D$13/12)</f>
        <v>0</v>
      </c>
      <c r="F57" s="25">
        <f>IF(H57=0,'Combined Retirement'!$D$32,0)+'Combined Retirement'!$B$24</f>
        <v>2870.372285649099</v>
      </c>
      <c r="G57" s="25">
        <f>'Combined Retirement'!$C$24</f>
        <v>3254.2644699519233</v>
      </c>
      <c r="H57" s="25">
        <f>IF(B57&lt;62,0,'Combined Retirement'!$I$14)</f>
        <v>2345</v>
      </c>
      <c r="I57" s="25">
        <f>IF(C57&lt;62,0,'Combined Retirement'!$I$13)</f>
        <v>0</v>
      </c>
      <c r="J57" s="25">
        <f t="shared" si="3"/>
        <v>32470.93324439897</v>
      </c>
      <c r="K57" s="25">
        <f t="shared" si="4"/>
        <v>0</v>
      </c>
      <c r="L57" s="25"/>
      <c r="N57" s="25">
        <f>'Combined Retirement'!$C$18/12</f>
        <v>40940.569999999992</v>
      </c>
      <c r="O57" s="25">
        <f t="shared" si="5"/>
        <v>8469.6367556010227</v>
      </c>
      <c r="P57" s="25">
        <f t="shared" si="6"/>
        <v>32470.93324439897</v>
      </c>
      <c r="Q57" s="25">
        <f t="array" aca="1" ref="Q57" ca="1">INDEX('Isaac 401k'!L:L,MATCH('Retirement Calculator'!A57,'Isaac 401k'!N:N,0),0)</f>
        <v>2135638.7039871323</v>
      </c>
      <c r="R57" s="25">
        <f t="array" aca="1" ref="R57" ca="1">INDEX('Lorri 401b'!L:L,MATCH('Retirement Calculator'!A57,'Lorri 401b'!N:N,0),0)</f>
        <v>4118663.5556218717</v>
      </c>
      <c r="S57" s="25">
        <f t="shared" ca="1" si="7"/>
        <v>6254302.2596090045</v>
      </c>
    </row>
    <row r="58" spans="1:19" ht="15.75" customHeight="1" x14ac:dyDescent="0.3">
      <c r="A58" s="37">
        <v>52718</v>
      </c>
      <c r="B58" s="398">
        <f t="shared" ref="B58:C58" si="54">($A58-B$9)/365.25</f>
        <v>62.455852156057496</v>
      </c>
      <c r="C58" s="398">
        <f t="shared" si="54"/>
        <v>57.845311430527033</v>
      </c>
      <c r="E58" s="25">
        <f>IF(C58&gt;$B$7,0,'Combined Retirement'!$D$13/12)</f>
        <v>0</v>
      </c>
      <c r="F58" s="25">
        <f>IF(H58=0,'Combined Retirement'!$D$32,0)+'Combined Retirement'!$B$24</f>
        <v>2870.372285649099</v>
      </c>
      <c r="G58" s="25">
        <f>'Combined Retirement'!$C$24</f>
        <v>3254.2644699519233</v>
      </c>
      <c r="H58" s="25">
        <f>IF(B58&lt;62,0,'Combined Retirement'!$I$14)</f>
        <v>2345</v>
      </c>
      <c r="I58" s="25">
        <f>IF(C58&lt;62,0,'Combined Retirement'!$I$13)</f>
        <v>0</v>
      </c>
      <c r="J58" s="25">
        <f t="shared" si="3"/>
        <v>32470.93324439897</v>
      </c>
      <c r="K58" s="25">
        <f t="shared" si="4"/>
        <v>0</v>
      </c>
      <c r="L58" s="25"/>
      <c r="N58" s="25">
        <f>'Combined Retirement'!$C$18/12</f>
        <v>40940.569999999992</v>
      </c>
      <c r="O58" s="25">
        <f t="shared" si="5"/>
        <v>8469.6367556010227</v>
      </c>
      <c r="P58" s="25">
        <f t="shared" si="6"/>
        <v>32470.93324439897</v>
      </c>
      <c r="Q58" s="25">
        <f t="array" aca="1" ref="Q58" ca="1">INDEX('Isaac 401k'!L:L,MATCH('Retirement Calculator'!A58,'Isaac 401k'!N:N,0),0)</f>
        <v>2111930.9697874947</v>
      </c>
      <c r="R58" s="25">
        <f t="array" aca="1" ref="R58" ca="1">INDEX('Lorri 401b'!L:L,MATCH('Retirement Calculator'!A58,'Lorri 401b'!N:N,0),0)</f>
        <v>4135824.6537702964</v>
      </c>
      <c r="S58" s="25">
        <f t="shared" ca="1" si="7"/>
        <v>6247755.6235577911</v>
      </c>
    </row>
    <row r="59" spans="1:19" ht="15.75" customHeight="1" x14ac:dyDescent="0.3">
      <c r="A59" s="37">
        <v>52749</v>
      </c>
      <c r="B59" s="398">
        <f t="shared" ref="B59:C59" si="55">($A59-B$9)/365.25</f>
        <v>62.540725530458587</v>
      </c>
      <c r="C59" s="398">
        <f t="shared" si="55"/>
        <v>57.930184804928132</v>
      </c>
      <c r="E59" s="25">
        <f>IF(C59&gt;$B$7,0,'Combined Retirement'!$D$13/12)</f>
        <v>0</v>
      </c>
      <c r="F59" s="25">
        <f>IF(H59=0,'Combined Retirement'!$D$32,0)+'Combined Retirement'!$B$24</f>
        <v>2870.372285649099</v>
      </c>
      <c r="G59" s="25">
        <f>'Combined Retirement'!$C$24</f>
        <v>3254.2644699519233</v>
      </c>
      <c r="H59" s="25">
        <f>IF(B59&lt;62,0,'Combined Retirement'!$I$14)</f>
        <v>2345</v>
      </c>
      <c r="I59" s="25">
        <f>IF(C59&lt;62,0,'Combined Retirement'!$I$13)</f>
        <v>0</v>
      </c>
      <c r="J59" s="25">
        <f t="shared" si="3"/>
        <v>32470.93324439897</v>
      </c>
      <c r="K59" s="25">
        <f t="shared" si="4"/>
        <v>0</v>
      </c>
      <c r="L59" s="25"/>
      <c r="N59" s="25">
        <f>'Combined Retirement'!$C$18/12</f>
        <v>40940.569999999992</v>
      </c>
      <c r="O59" s="25">
        <f t="shared" si="5"/>
        <v>8469.6367556010227</v>
      </c>
      <c r="P59" s="25">
        <f t="shared" si="6"/>
        <v>32470.93324439897</v>
      </c>
      <c r="Q59" s="25">
        <f t="array" aca="1" ref="Q59" ca="1">INDEX('Isaac 401k'!L:L,MATCH('Retirement Calculator'!A59,'Isaac 401k'!N:N,0),0)</f>
        <v>2088124.4533620253</v>
      </c>
      <c r="R59" s="25">
        <f t="array" aca="1" ref="R59" ca="1">INDEX('Lorri 401b'!L:L,MATCH('Retirement Calculator'!A59,'Lorri 401b'!N:N,0),0)</f>
        <v>4153057.2564943391</v>
      </c>
      <c r="S59" s="25">
        <f t="shared" ca="1" si="7"/>
        <v>6241181.7098563649</v>
      </c>
    </row>
    <row r="60" spans="1:19" ht="15.75" customHeight="1" x14ac:dyDescent="0.3">
      <c r="A60" s="37">
        <v>52779</v>
      </c>
      <c r="B60" s="398">
        <f t="shared" ref="B60:C60" si="56">($A60-B$9)/365.25</f>
        <v>62.622861054072551</v>
      </c>
      <c r="C60" s="398">
        <f t="shared" si="56"/>
        <v>58.012320328542096</v>
      </c>
      <c r="E60" s="25">
        <f>IF(C60&gt;$B$7,0,'Combined Retirement'!$D$13/12)</f>
        <v>0</v>
      </c>
      <c r="F60" s="25">
        <f>IF(H60=0,'Combined Retirement'!$D$32,0)+'Combined Retirement'!$B$24</f>
        <v>2870.372285649099</v>
      </c>
      <c r="G60" s="25">
        <f>'Combined Retirement'!$C$24</f>
        <v>3254.2644699519233</v>
      </c>
      <c r="H60" s="25">
        <f>IF(B60&lt;62,0,'Combined Retirement'!$I$14)</f>
        <v>2345</v>
      </c>
      <c r="I60" s="25">
        <f>IF(C60&lt;62,0,'Combined Retirement'!$I$13)</f>
        <v>0</v>
      </c>
      <c r="J60" s="25">
        <f t="shared" si="3"/>
        <v>32470.93324439897</v>
      </c>
      <c r="K60" s="25">
        <f t="shared" si="4"/>
        <v>0</v>
      </c>
      <c r="L60" s="25"/>
      <c r="N60" s="25">
        <f>'Combined Retirement'!$C$18/12</f>
        <v>40940.569999999992</v>
      </c>
      <c r="O60" s="25">
        <f t="shared" si="5"/>
        <v>8469.6367556010227</v>
      </c>
      <c r="P60" s="25">
        <f t="shared" si="6"/>
        <v>32470.93324439897</v>
      </c>
      <c r="Q60" s="25">
        <f t="array" aca="1" ref="Q60" ca="1">INDEX('Isaac 401k'!L:L,MATCH('Retirement Calculator'!A60,'Isaac 401k'!N:N,0),0)</f>
        <v>2064218.7431181164</v>
      </c>
      <c r="R60" s="25">
        <f t="array" aca="1" ref="R60" ca="1">INDEX('Lorri 401b'!L:L,MATCH('Retirement Calculator'!A60,'Lorri 401b'!N:N,0),0)</f>
        <v>4170361.6617297321</v>
      </c>
      <c r="S60" s="25">
        <f t="shared" ca="1" si="7"/>
        <v>6234580.4048478482</v>
      </c>
    </row>
    <row r="61" spans="1:19" ht="15.75" customHeight="1" x14ac:dyDescent="0.3">
      <c r="A61" s="37">
        <v>52810</v>
      </c>
      <c r="B61" s="398">
        <f t="shared" ref="B61:C61" si="57">($A61-B$9)/365.25</f>
        <v>62.70773442847365</v>
      </c>
      <c r="C61" s="398">
        <f t="shared" si="57"/>
        <v>58.097193702943187</v>
      </c>
      <c r="E61" s="25">
        <f>IF(C61&gt;$B$7,0,'Combined Retirement'!$D$13/12)</f>
        <v>0</v>
      </c>
      <c r="F61" s="25">
        <f>IF(H61=0,'Combined Retirement'!$D$32,0)+'Combined Retirement'!$B$24</f>
        <v>2870.372285649099</v>
      </c>
      <c r="G61" s="25">
        <f>'Combined Retirement'!$C$24</f>
        <v>3254.2644699519233</v>
      </c>
      <c r="H61" s="25">
        <f>IF(B61&lt;62,0,'Combined Retirement'!$I$14)</f>
        <v>2345</v>
      </c>
      <c r="I61" s="25">
        <f>IF(C61&lt;62,0,'Combined Retirement'!$I$13)</f>
        <v>0</v>
      </c>
      <c r="J61" s="25">
        <f t="shared" si="3"/>
        <v>32470.93324439897</v>
      </c>
      <c r="K61" s="25">
        <f t="shared" si="4"/>
        <v>0</v>
      </c>
      <c r="L61" s="25"/>
      <c r="N61" s="25">
        <f>'Combined Retirement'!$C$18/12</f>
        <v>40940.569999999992</v>
      </c>
      <c r="O61" s="25">
        <f t="shared" si="5"/>
        <v>8469.6367556010227</v>
      </c>
      <c r="P61" s="25">
        <f t="shared" si="6"/>
        <v>32470.93324439897</v>
      </c>
      <c r="Q61" s="25">
        <f t="array" aca="1" ref="Q61" ca="1">INDEX('Isaac 401k'!L:L,MATCH('Retirement Calculator'!A61,'Isaac 401k'!N:N,0),0)</f>
        <v>2040213.4257481913</v>
      </c>
      <c r="R61" s="25">
        <f t="array" aca="1" ref="R61" ca="1">INDEX('Lorri 401b'!L:L,MATCH('Retirement Calculator'!A61,'Lorri 401b'!N:N,0),0)</f>
        <v>4187738.168653606</v>
      </c>
      <c r="S61" s="25">
        <f t="shared" ca="1" si="7"/>
        <v>6227951.5944017973</v>
      </c>
    </row>
    <row r="62" spans="1:19" ht="15.75" customHeight="1" x14ac:dyDescent="0.3">
      <c r="A62" s="37">
        <v>52841</v>
      </c>
      <c r="B62" s="398">
        <f t="shared" ref="B62:C62" si="58">($A62-B$9)/365.25</f>
        <v>62.792607802874741</v>
      </c>
      <c r="C62" s="398">
        <f t="shared" si="58"/>
        <v>58.182067077344286</v>
      </c>
      <c r="E62" s="25">
        <f>IF(C62&gt;$B$7,0,'Combined Retirement'!$D$13/12)</f>
        <v>0</v>
      </c>
      <c r="F62" s="25">
        <f>IF(H62=0,'Combined Retirement'!$D$32,0)+'Combined Retirement'!$B$24</f>
        <v>2870.372285649099</v>
      </c>
      <c r="G62" s="25">
        <f>'Combined Retirement'!$C$24</f>
        <v>3254.2644699519233</v>
      </c>
      <c r="H62" s="25">
        <f>IF(B62&lt;62,0,'Combined Retirement'!$I$14)</f>
        <v>2345</v>
      </c>
      <c r="I62" s="25">
        <f>IF(C62&lt;62,0,'Combined Retirement'!$I$13)</f>
        <v>0</v>
      </c>
      <c r="J62" s="25">
        <f t="shared" si="3"/>
        <v>32470.93324439897</v>
      </c>
      <c r="K62" s="25">
        <f t="shared" si="4"/>
        <v>0</v>
      </c>
      <c r="L62" s="25"/>
      <c r="N62" s="25">
        <f>'Combined Retirement'!$C$18/12</f>
        <v>40940.569999999992</v>
      </c>
      <c r="O62" s="25">
        <f t="shared" si="5"/>
        <v>8469.6367556010227</v>
      </c>
      <c r="P62" s="25">
        <f t="shared" si="6"/>
        <v>32470.93324439897</v>
      </c>
      <c r="Q62" s="25">
        <f t="array" aca="1" ref="Q62" ca="1">INDEX('Isaac 401k'!L:L,MATCH('Retirement Calculator'!A62,'Isaac 401k'!N:N,0),0)</f>
        <v>2016108.086222558</v>
      </c>
      <c r="R62" s="25">
        <f t="array" aca="1" ref="R62" ca="1">INDEX('Lorri 401b'!L:L,MATCH('Retirement Calculator'!A62,'Lorri 401b'!N:N,0),0)</f>
        <v>4205187.0776896626</v>
      </c>
      <c r="S62" s="25">
        <f t="shared" ca="1" si="7"/>
        <v>6221295.1639122209</v>
      </c>
    </row>
    <row r="63" spans="1:19" ht="15.75" customHeight="1" x14ac:dyDescent="0.3">
      <c r="A63" s="37">
        <v>52871</v>
      </c>
      <c r="B63" s="398">
        <f t="shared" ref="B63:C63" si="59">($A63-B$9)/365.25</f>
        <v>62.874743326488705</v>
      </c>
      <c r="C63" s="398">
        <f t="shared" si="59"/>
        <v>58.264202600958249</v>
      </c>
      <c r="E63" s="25">
        <f>IF(C63&gt;$B$7,0,'Combined Retirement'!$D$13/12)</f>
        <v>0</v>
      </c>
      <c r="F63" s="25">
        <f>IF(H63=0,'Combined Retirement'!$D$32,0)+'Combined Retirement'!$B$24</f>
        <v>2870.372285649099</v>
      </c>
      <c r="G63" s="25">
        <f>'Combined Retirement'!$C$24</f>
        <v>3254.2644699519233</v>
      </c>
      <c r="H63" s="25">
        <f>IF(B63&lt;62,0,'Combined Retirement'!$I$14)</f>
        <v>2345</v>
      </c>
      <c r="I63" s="25">
        <f>IF(C63&lt;62,0,'Combined Retirement'!$I$13)</f>
        <v>0</v>
      </c>
      <c r="J63" s="25">
        <f t="shared" si="3"/>
        <v>32470.93324439897</v>
      </c>
      <c r="K63" s="25">
        <f t="shared" si="4"/>
        <v>0</v>
      </c>
      <c r="L63" s="25"/>
      <c r="N63" s="25">
        <f>'Combined Retirement'!$C$18/12</f>
        <v>40940.569999999992</v>
      </c>
      <c r="O63" s="25">
        <f t="shared" si="5"/>
        <v>8469.6367556010227</v>
      </c>
      <c r="P63" s="25">
        <f t="shared" si="6"/>
        <v>32470.93324439897</v>
      </c>
      <c r="Q63" s="25">
        <f t="array" aca="1" ref="Q63" ca="1">INDEX('Isaac 401k'!L:L,MATCH('Retirement Calculator'!A63,'Isaac 401k'!N:N,0),0)</f>
        <v>1991902.3077822346</v>
      </c>
      <c r="R63" s="25">
        <f t="array" aca="1" ref="R63" ca="1">INDEX('Lorri 401b'!L:L,MATCH('Retirement Calculator'!A63,'Lorri 401b'!N:N,0),0)</f>
        <v>4222708.6905133696</v>
      </c>
      <c r="S63" s="25">
        <f t="shared" ca="1" si="7"/>
        <v>6214610.9982956043</v>
      </c>
    </row>
    <row r="64" spans="1:19" ht="15.75" customHeight="1" x14ac:dyDescent="0.3">
      <c r="A64" s="37">
        <v>52902</v>
      </c>
      <c r="B64" s="398">
        <f t="shared" ref="B64:C64" si="60">($A64-B$9)/365.25</f>
        <v>62.959616700889804</v>
      </c>
      <c r="C64" s="398">
        <f t="shared" si="60"/>
        <v>58.349075975359341</v>
      </c>
      <c r="E64" s="25">
        <f>IF(C64&gt;$B$7,0,'Combined Retirement'!$D$13/12)</f>
        <v>0</v>
      </c>
      <c r="F64" s="25">
        <f>IF(H64=0,'Combined Retirement'!$D$32,0)+'Combined Retirement'!$B$24</f>
        <v>2870.372285649099</v>
      </c>
      <c r="G64" s="25">
        <f>'Combined Retirement'!$C$24</f>
        <v>3254.2644699519233</v>
      </c>
      <c r="H64" s="25">
        <f>IF(B64&lt;62,0,'Combined Retirement'!$I$14)</f>
        <v>2345</v>
      </c>
      <c r="I64" s="25">
        <f>IF(C64&lt;62,0,'Combined Retirement'!$I$13)</f>
        <v>0</v>
      </c>
      <c r="J64" s="25">
        <f t="shared" si="3"/>
        <v>32470.93324439897</v>
      </c>
      <c r="K64" s="25">
        <f t="shared" si="4"/>
        <v>0</v>
      </c>
      <c r="L64" s="25"/>
      <c r="N64" s="25">
        <f>'Combined Retirement'!$C$18/12</f>
        <v>40940.569999999992</v>
      </c>
      <c r="O64" s="25">
        <f t="shared" si="5"/>
        <v>8469.6367556010227</v>
      </c>
      <c r="P64" s="25">
        <f t="shared" si="6"/>
        <v>32470.93324439897</v>
      </c>
      <c r="Q64" s="25">
        <f t="array" aca="1" ref="Q64" ca="1">INDEX('Isaac 401k'!L:L,MATCH('Retirement Calculator'!A64,'Isaac 401k'!N:N,0),0)</f>
        <v>1967595.6719317432</v>
      </c>
      <c r="R64" s="25">
        <f t="array" aca="1" ref="R64" ca="1">INDEX('Lorri 401b'!L:L,MATCH('Retirement Calculator'!A64,'Lorri 401b'!N:N,0),0)</f>
        <v>4240303.3100571753</v>
      </c>
      <c r="S64" s="25">
        <f t="shared" ca="1" si="7"/>
        <v>6207898.981988918</v>
      </c>
    </row>
    <row r="65" spans="1:19" ht="15.75" customHeight="1" x14ac:dyDescent="0.3">
      <c r="A65" s="37">
        <v>52932</v>
      </c>
      <c r="B65" s="398">
        <f t="shared" ref="B65:C65" si="61">($A65-B$9)/365.25</f>
        <v>63.041752224503767</v>
      </c>
      <c r="C65" s="398">
        <f t="shared" si="61"/>
        <v>58.431211498973305</v>
      </c>
      <c r="E65" s="25">
        <f>IF(C65&gt;$B$7,0,'Combined Retirement'!$D$13/12)</f>
        <v>0</v>
      </c>
      <c r="F65" s="25">
        <f>IF(H65=0,'Combined Retirement'!$D$32,0)+'Combined Retirement'!$B$24</f>
        <v>2870.372285649099</v>
      </c>
      <c r="G65" s="25">
        <f>'Combined Retirement'!$C$24</f>
        <v>3254.2644699519233</v>
      </c>
      <c r="H65" s="25">
        <f>IF(B65&lt;62,0,'Combined Retirement'!$I$14)</f>
        <v>2345</v>
      </c>
      <c r="I65" s="25">
        <f>IF(C65&lt;62,0,'Combined Retirement'!$I$13)</f>
        <v>0</v>
      </c>
      <c r="J65" s="25">
        <f t="shared" si="3"/>
        <v>32470.93324439897</v>
      </c>
      <c r="K65" s="25">
        <f t="shared" si="4"/>
        <v>0</v>
      </c>
      <c r="L65" s="25"/>
      <c r="N65" s="25">
        <f>'Combined Retirement'!$C$18/12</f>
        <v>40940.569999999992</v>
      </c>
      <c r="O65" s="25">
        <f t="shared" si="5"/>
        <v>8469.6367556010227</v>
      </c>
      <c r="P65" s="25">
        <f t="shared" si="6"/>
        <v>32470.93324439897</v>
      </c>
      <c r="Q65" s="25">
        <f t="array" aca="1" ref="Q65" ca="1">INDEX('Isaac 401k'!L:L,MATCH('Retirement Calculator'!A65,'Isaac 401k'!N:N,0),0)</f>
        <v>1943187.7584318747</v>
      </c>
      <c r="R65" s="25">
        <f t="array" aca="1" ref="R65" ca="1">INDEX('Lorri 401b'!L:L,MATCH('Retirement Calculator'!A65,'Lorri 401b'!N:N,0),0)</f>
        <v>4257971.2405157471</v>
      </c>
      <c r="S65" s="25">
        <f t="shared" ca="1" si="7"/>
        <v>6201158.9989476223</v>
      </c>
    </row>
    <row r="66" spans="1:19" ht="15.75" customHeight="1" x14ac:dyDescent="0.3">
      <c r="A66" s="37">
        <v>52963</v>
      </c>
      <c r="B66" s="398">
        <f t="shared" ref="B66:C66" si="62">($A66-B$9)/365.25</f>
        <v>63.126625598904859</v>
      </c>
      <c r="C66" s="398">
        <f t="shared" si="62"/>
        <v>58.516084873374403</v>
      </c>
      <c r="E66" s="25">
        <f>IF(C66&gt;$B$7,0,'Combined Retirement'!$D$13/12)</f>
        <v>0</v>
      </c>
      <c r="F66" s="25">
        <f>IF(H66=0,'Combined Retirement'!$D$32,0)+'Combined Retirement'!$B$24</f>
        <v>2870.372285649099</v>
      </c>
      <c r="G66" s="25">
        <f>'Combined Retirement'!$C$24</f>
        <v>3254.2644699519233</v>
      </c>
      <c r="H66" s="25">
        <f>IF(B66&lt;62,0,'Combined Retirement'!$I$14)</f>
        <v>2345</v>
      </c>
      <c r="I66" s="25">
        <f>IF(C66&lt;62,0,'Combined Retirement'!$I$13)</f>
        <v>0</v>
      </c>
      <c r="J66" s="25">
        <f t="shared" si="3"/>
        <v>32470.93324439897</v>
      </c>
      <c r="K66" s="25">
        <f t="shared" si="4"/>
        <v>0</v>
      </c>
      <c r="L66" s="25"/>
      <c r="N66" s="25">
        <f>'Combined Retirement'!$C$18/12</f>
        <v>40940.569999999992</v>
      </c>
      <c r="O66" s="25">
        <f t="shared" si="5"/>
        <v>8469.6367556010227</v>
      </c>
      <c r="P66" s="25">
        <f t="shared" si="6"/>
        <v>32470.93324439897</v>
      </c>
      <c r="Q66" s="25">
        <f t="array" aca="1" ref="Q66" ca="1">INDEX('Isaac 401k'!L:L,MATCH('Retirement Calculator'!A66,'Isaac 401k'!N:N,0),0)</f>
        <v>1918678.1452924234</v>
      </c>
      <c r="R66" s="25">
        <f t="array" aca="1" ref="R66" ca="1">INDEX('Lorri 401b'!L:L,MATCH('Retirement Calculator'!A66,'Lorri 401b'!N:N,0),0)</f>
        <v>4275712.7873512292</v>
      </c>
      <c r="S66" s="25">
        <f t="shared" ca="1" si="7"/>
        <v>6194390.9326436529</v>
      </c>
    </row>
    <row r="67" spans="1:19" ht="15.75" customHeight="1" x14ac:dyDescent="0.3">
      <c r="A67" s="37">
        <v>52994</v>
      </c>
      <c r="B67" s="398">
        <f t="shared" ref="B67:C67" si="63">($A67-B$9)/365.25</f>
        <v>63.211498973305957</v>
      </c>
      <c r="C67" s="398">
        <f t="shared" si="63"/>
        <v>58.600958247775495</v>
      </c>
      <c r="E67" s="25">
        <f>IF(C67&gt;$B$7,0,'Combined Retirement'!$D$13/12)</f>
        <v>0</v>
      </c>
      <c r="F67" s="25">
        <f>IF(H67=0,'Combined Retirement'!$D$32,0)+'Combined Retirement'!$B$24</f>
        <v>2870.372285649099</v>
      </c>
      <c r="G67" s="25">
        <f>'Combined Retirement'!$C$24</f>
        <v>3254.2644699519233</v>
      </c>
      <c r="H67" s="25">
        <f>IF(B67&lt;62,0,'Combined Retirement'!$I$14)</f>
        <v>2345</v>
      </c>
      <c r="I67" s="25">
        <f>IF(C67&lt;62,0,'Combined Retirement'!$I$13)</f>
        <v>0</v>
      </c>
      <c r="J67" s="25">
        <f t="shared" si="3"/>
        <v>32470.93324439897</v>
      </c>
      <c r="K67" s="25">
        <f t="shared" si="4"/>
        <v>0</v>
      </c>
      <c r="L67" s="25"/>
      <c r="N67" s="25">
        <f>'Combined Retirement'!$C$18/12</f>
        <v>40940.569999999992</v>
      </c>
      <c r="O67" s="25">
        <f t="shared" si="5"/>
        <v>8469.6367556010227</v>
      </c>
      <c r="P67" s="25">
        <f t="shared" si="6"/>
        <v>32470.93324439897</v>
      </c>
      <c r="Q67" s="25">
        <f t="array" aca="1" ref="Q67" ca="1">INDEX('Isaac 401k'!L:L,MATCH('Retirement Calculator'!A67,'Isaac 401k'!N:N,0),0)</f>
        <v>1894066.4087648911</v>
      </c>
      <c r="R67" s="25">
        <f t="array" aca="1" ref="R67" ca="1">INDEX('Lorri 401b'!L:L,MATCH('Retirement Calculator'!A67,'Lorri 401b'!N:N,0),0)</f>
        <v>4293528.2572985264</v>
      </c>
      <c r="S67" s="25">
        <f t="shared" ca="1" si="7"/>
        <v>6187594.6660634177</v>
      </c>
    </row>
    <row r="68" spans="1:19" ht="15.75" customHeight="1" x14ac:dyDescent="0.3">
      <c r="A68" s="37">
        <v>53022</v>
      </c>
      <c r="B68" s="398">
        <f t="shared" ref="B68:C68" si="64">($A68-B$9)/365.25</f>
        <v>63.288158795345652</v>
      </c>
      <c r="C68" s="398">
        <f t="shared" si="64"/>
        <v>58.677618069815196</v>
      </c>
      <c r="E68" s="25">
        <f>IF(C68&gt;$B$7,0,'Combined Retirement'!$D$13/12)</f>
        <v>0</v>
      </c>
      <c r="F68" s="25">
        <f>IF(H68=0,'Combined Retirement'!$D$32,0)+'Combined Retirement'!$B$24</f>
        <v>2870.372285649099</v>
      </c>
      <c r="G68" s="25">
        <f>'Combined Retirement'!$C$24</f>
        <v>3254.2644699519233</v>
      </c>
      <c r="H68" s="25">
        <f>IF(B68&lt;62,0,'Combined Retirement'!$I$14)</f>
        <v>2345</v>
      </c>
      <c r="I68" s="25">
        <f>IF(C68&lt;62,0,'Combined Retirement'!$I$13)</f>
        <v>0</v>
      </c>
      <c r="J68" s="25">
        <f t="shared" si="3"/>
        <v>32470.93324439897</v>
      </c>
      <c r="K68" s="25">
        <f t="shared" si="4"/>
        <v>0</v>
      </c>
      <c r="L68" s="25"/>
      <c r="N68" s="25">
        <f>'Combined Retirement'!$C$18/12</f>
        <v>40940.569999999992</v>
      </c>
      <c r="O68" s="25">
        <f t="shared" si="5"/>
        <v>8469.6367556010227</v>
      </c>
      <c r="P68" s="25">
        <f t="shared" si="6"/>
        <v>32470.93324439897</v>
      </c>
      <c r="Q68" s="25">
        <f t="array" aca="1" ref="Q68" ca="1">INDEX('Isaac 401k'!L:L,MATCH('Retirement Calculator'!A68,'Isaac 401k'!N:N,0),0)</f>
        <v>1869352.1233351608</v>
      </c>
      <c r="R68" s="25">
        <f t="array" aca="1" ref="R68" ca="1">INDEX('Lorri 401b'!L:L,MATCH('Retirement Calculator'!A68,'Lorri 401b'!N:N,0),0)</f>
        <v>4311417.9583706036</v>
      </c>
      <c r="S68" s="25">
        <f t="shared" ca="1" si="7"/>
        <v>6180770.0817057639</v>
      </c>
    </row>
    <row r="69" spans="1:19" ht="15.75" customHeight="1" x14ac:dyDescent="0.3">
      <c r="A69" s="37">
        <v>53053</v>
      </c>
      <c r="B69" s="398">
        <f t="shared" ref="B69:C69" si="65">($A69-B$9)/365.25</f>
        <v>63.37303216974675</v>
      </c>
      <c r="C69" s="398">
        <f t="shared" si="65"/>
        <v>58.762491444216288</v>
      </c>
      <c r="E69" s="25">
        <f>IF(C69&gt;$B$7,0,'Combined Retirement'!$D$13/12)</f>
        <v>0</v>
      </c>
      <c r="F69" s="25">
        <f>IF(H69=0,'Combined Retirement'!$D$32,0)+'Combined Retirement'!$B$24</f>
        <v>2870.372285649099</v>
      </c>
      <c r="G69" s="25">
        <f>'Combined Retirement'!$C$24</f>
        <v>3254.2644699519233</v>
      </c>
      <c r="H69" s="25">
        <f>IF(B69&lt;62,0,'Combined Retirement'!$I$14)</f>
        <v>2345</v>
      </c>
      <c r="I69" s="25">
        <f>IF(C69&lt;62,0,'Combined Retirement'!$I$13)</f>
        <v>0</v>
      </c>
      <c r="J69" s="25">
        <f t="shared" si="3"/>
        <v>32470.93324439897</v>
      </c>
      <c r="K69" s="25">
        <f t="shared" si="4"/>
        <v>0</v>
      </c>
      <c r="L69" s="25"/>
      <c r="N69" s="25">
        <f>'Combined Retirement'!$C$18/12</f>
        <v>40940.569999999992</v>
      </c>
      <c r="O69" s="25">
        <f t="shared" si="5"/>
        <v>8469.6367556010227</v>
      </c>
      <c r="P69" s="25">
        <f t="shared" si="6"/>
        <v>32470.93324439897</v>
      </c>
      <c r="Q69" s="25">
        <f t="array" aca="1" ref="Q69" ca="1">INDEX('Isaac 401k'!L:L,MATCH('Retirement Calculator'!A69,'Isaac 401k'!N:N,0),0)</f>
        <v>1844534.8617161398</v>
      </c>
      <c r="R69" s="25">
        <f t="array" aca="1" ref="R69" ca="1">INDEX('Lorri 401b'!L:L,MATCH('Retirement Calculator'!A69,'Lorri 401b'!N:N,0),0)</f>
        <v>4329382.1998638147</v>
      </c>
      <c r="S69" s="25">
        <f t="shared" ca="1" si="7"/>
        <v>6173917.0615799548</v>
      </c>
    </row>
    <row r="70" spans="1:19" ht="15.75" customHeight="1" x14ac:dyDescent="0.3">
      <c r="A70" s="37">
        <v>53083</v>
      </c>
      <c r="B70" s="398">
        <f t="shared" ref="B70:C70" si="66">($A70-B$9)/365.25</f>
        <v>63.455167693360714</v>
      </c>
      <c r="C70" s="398">
        <f t="shared" si="66"/>
        <v>58.844626967830251</v>
      </c>
      <c r="E70" s="25">
        <f>IF(C70&gt;$B$7,0,'Combined Retirement'!$D$13/12)</f>
        <v>0</v>
      </c>
      <c r="F70" s="25">
        <f>IF(H70=0,'Combined Retirement'!$D$32,0)+'Combined Retirement'!$B$24</f>
        <v>2870.372285649099</v>
      </c>
      <c r="G70" s="25">
        <f>'Combined Retirement'!$C$24</f>
        <v>3254.2644699519233</v>
      </c>
      <c r="H70" s="25">
        <f>IF(B70&lt;62,0,'Combined Retirement'!$I$14)</f>
        <v>2345</v>
      </c>
      <c r="I70" s="25">
        <f>IF(C70&lt;62,0,'Combined Retirement'!$I$13)</f>
        <v>0</v>
      </c>
      <c r="J70" s="25">
        <f t="shared" si="3"/>
        <v>32470.93324439897</v>
      </c>
      <c r="K70" s="25">
        <f t="shared" si="4"/>
        <v>0</v>
      </c>
      <c r="L70" s="25"/>
      <c r="N70" s="25">
        <f>'Combined Retirement'!$C$18/12</f>
        <v>40940.569999999992</v>
      </c>
      <c r="O70" s="25">
        <f t="shared" si="5"/>
        <v>8469.6367556010227</v>
      </c>
      <c r="P70" s="25">
        <f t="shared" si="6"/>
        <v>32470.93324439897</v>
      </c>
      <c r="Q70" s="25">
        <f t="array" aca="1" ref="Q70" ca="1">INDEX('Isaac 401k'!L:L,MATCH('Retirement Calculator'!A70,'Isaac 401k'!N:N,0),0)</f>
        <v>1819614.194840373</v>
      </c>
      <c r="R70" s="25">
        <f t="array" aca="1" ref="R70" ca="1">INDEX('Lorri 401b'!L:L,MATCH('Retirement Calculator'!A70,'Lorri 401b'!N:N,0),0)</f>
        <v>4347421.2923632469</v>
      </c>
      <c r="S70" s="25">
        <f t="shared" ca="1" si="7"/>
        <v>6167035.4872036204</v>
      </c>
    </row>
    <row r="71" spans="1:19" ht="15.75" customHeight="1" x14ac:dyDescent="0.3">
      <c r="A71" s="37">
        <v>53114</v>
      </c>
      <c r="B71" s="398">
        <f t="shared" ref="B71:C71" si="67">($A71-B$9)/365.25</f>
        <v>63.540041067761805</v>
      </c>
      <c r="C71" s="398">
        <f t="shared" si="67"/>
        <v>58.92950034223135</v>
      </c>
      <c r="E71" s="25">
        <f>IF(C71&gt;$B$7,0,'Combined Retirement'!$D$13/12)</f>
        <v>0</v>
      </c>
      <c r="F71" s="25">
        <f>IF(H71=0,'Combined Retirement'!$D$32,0)+'Combined Retirement'!$B$24</f>
        <v>2870.372285649099</v>
      </c>
      <c r="G71" s="25">
        <f>'Combined Retirement'!$C$24</f>
        <v>3254.2644699519233</v>
      </c>
      <c r="H71" s="25">
        <f>IF(B71&lt;62,0,'Combined Retirement'!$I$14)</f>
        <v>2345</v>
      </c>
      <c r="I71" s="25">
        <f>IF(C71&lt;62,0,'Combined Retirement'!$I$13)</f>
        <v>0</v>
      </c>
      <c r="J71" s="25">
        <f t="shared" si="3"/>
        <v>32470.93324439897</v>
      </c>
      <c r="K71" s="25">
        <f t="shared" si="4"/>
        <v>0</v>
      </c>
      <c r="L71" s="25"/>
      <c r="N71" s="25">
        <f>'Combined Retirement'!$C$18/12</f>
        <v>40940.569999999992</v>
      </c>
      <c r="O71" s="25">
        <f t="shared" si="5"/>
        <v>8469.6367556010227</v>
      </c>
      <c r="P71" s="25">
        <f t="shared" si="6"/>
        <v>32470.93324439897</v>
      </c>
      <c r="Q71" s="25">
        <f t="array" aca="1" ref="Q71" ca="1">INDEX('Isaac 401k'!L:L,MATCH('Retirement Calculator'!A71,'Isaac 401k'!N:N,0),0)</f>
        <v>1794589.6918526238</v>
      </c>
      <c r="R71" s="25">
        <f t="array" aca="1" ref="R71" ca="1">INDEX('Lorri 401b'!L:L,MATCH('Retirement Calculator'!A71,'Lorri 401b'!N:N,0),0)</f>
        <v>4365535.5477480935</v>
      </c>
      <c r="S71" s="25">
        <f t="shared" ca="1" si="7"/>
        <v>6160125.2396007171</v>
      </c>
    </row>
    <row r="72" spans="1:19" ht="15.75" customHeight="1" x14ac:dyDescent="0.3">
      <c r="A72" s="37">
        <v>53144</v>
      </c>
      <c r="B72" s="398">
        <f t="shared" ref="B72:C72" si="68">($A72-B$9)/365.25</f>
        <v>63.622176591375769</v>
      </c>
      <c r="C72" s="398">
        <f t="shared" si="68"/>
        <v>59.011635865845314</v>
      </c>
      <c r="E72" s="25">
        <f>IF(C72&gt;$B$7,0,'Combined Retirement'!$D$13/12)</f>
        <v>0</v>
      </c>
      <c r="F72" s="25">
        <f>IF(H72=0,'Combined Retirement'!$D$32,0)+'Combined Retirement'!$B$24</f>
        <v>2870.372285649099</v>
      </c>
      <c r="G72" s="25">
        <f>'Combined Retirement'!$C$24</f>
        <v>3254.2644699519233</v>
      </c>
      <c r="H72" s="25">
        <f>IF(B72&lt;62,0,'Combined Retirement'!$I$14)</f>
        <v>2345</v>
      </c>
      <c r="I72" s="25">
        <f>IF(C72&lt;62,0,'Combined Retirement'!$I$13)</f>
        <v>0</v>
      </c>
      <c r="J72" s="25">
        <f t="shared" si="3"/>
        <v>32470.93324439897</v>
      </c>
      <c r="K72" s="25">
        <f t="shared" si="4"/>
        <v>0</v>
      </c>
      <c r="L72" s="25"/>
      <c r="N72" s="25">
        <f>'Combined Retirement'!$C$18/12</f>
        <v>40940.569999999992</v>
      </c>
      <c r="O72" s="25">
        <f t="shared" si="5"/>
        <v>8469.6367556010227</v>
      </c>
      <c r="P72" s="25">
        <f t="shared" si="6"/>
        <v>32470.93324439897</v>
      </c>
      <c r="Q72" s="25">
        <f t="array" aca="1" ref="Q72" ca="1">INDEX('Isaac 401k'!L:L,MATCH('Retirement Calculator'!A72,'Isaac 401k'!N:N,0),0)</f>
        <v>1769460.9201024259</v>
      </c>
      <c r="R72" s="25">
        <f t="array" aca="1" ref="R72" ca="1">INDEX('Lorri 401b'!L:L,MATCH('Retirement Calculator'!A72,'Lorri 401b'!N:N,0),0)</f>
        <v>4383725.2791970437</v>
      </c>
      <c r="S72" s="25">
        <f t="shared" ca="1" si="7"/>
        <v>6153186.1992994696</v>
      </c>
    </row>
    <row r="73" spans="1:19" ht="15.75" customHeight="1" x14ac:dyDescent="0.3">
      <c r="A73" s="37">
        <v>53175</v>
      </c>
      <c r="B73" s="398">
        <f t="shared" ref="B73:C73" si="69">($A73-B$9)/365.25</f>
        <v>63.707049965776868</v>
      </c>
      <c r="C73" s="398">
        <f t="shared" si="69"/>
        <v>59.096509240246405</v>
      </c>
      <c r="E73" s="25">
        <f>IF(C73&gt;$B$7,0,'Combined Retirement'!$D$13/12)</f>
        <v>0</v>
      </c>
      <c r="F73" s="25">
        <f>IF(H73=0,'Combined Retirement'!$D$32,0)+'Combined Retirement'!$B$24</f>
        <v>2870.372285649099</v>
      </c>
      <c r="G73" s="25">
        <f>'Combined Retirement'!$C$24</f>
        <v>3254.2644699519233</v>
      </c>
      <c r="H73" s="25">
        <f>IF(B73&lt;62,0,'Combined Retirement'!$I$14)</f>
        <v>2345</v>
      </c>
      <c r="I73" s="25">
        <f>IF(C73&lt;62,0,'Combined Retirement'!$I$13)</f>
        <v>0</v>
      </c>
      <c r="J73" s="25">
        <f t="shared" si="3"/>
        <v>32470.93324439897</v>
      </c>
      <c r="K73" s="25">
        <f t="shared" si="4"/>
        <v>0</v>
      </c>
      <c r="L73" s="25"/>
      <c r="N73" s="25">
        <f>'Combined Retirement'!$C$18/12</f>
        <v>40940.569999999992</v>
      </c>
      <c r="O73" s="25">
        <f t="shared" si="5"/>
        <v>8469.6367556010227</v>
      </c>
      <c r="P73" s="25">
        <f t="shared" si="6"/>
        <v>32470.93324439897</v>
      </c>
      <c r="Q73" s="25">
        <f t="array" aca="1" ref="Q73" ca="1">INDEX('Isaac 401k'!L:L,MATCH('Retirement Calculator'!A73,'Isaac 401k'!N:N,0),0)</f>
        <v>1744227.445136602</v>
      </c>
      <c r="R73" s="25">
        <f t="array" aca="1" ref="R73" ca="1">INDEX('Lorri 401b'!L:L,MATCH('Retirement Calculator'!A73,'Lorri 401b'!N:N,0),0)</f>
        <v>4401990.8011936983</v>
      </c>
      <c r="S73" s="25">
        <f t="shared" ca="1" si="7"/>
        <v>6146218.2463303003</v>
      </c>
    </row>
    <row r="74" spans="1:19" ht="15.75" customHeight="1" x14ac:dyDescent="0.3">
      <c r="A74" s="37">
        <v>53206</v>
      </c>
      <c r="B74" s="398">
        <f t="shared" ref="B74:C74" si="70">($A74-B$9)/365.25</f>
        <v>63.791923340177959</v>
      </c>
      <c r="C74" s="398">
        <f t="shared" si="70"/>
        <v>59.181382614647504</v>
      </c>
      <c r="E74" s="25">
        <f>IF(C74&gt;$B$7,0,'Combined Retirement'!$D$13/12)</f>
        <v>0</v>
      </c>
      <c r="F74" s="25">
        <f>IF(H74=0,'Combined Retirement'!$D$32,0)+'Combined Retirement'!$B$24</f>
        <v>2870.372285649099</v>
      </c>
      <c r="G74" s="25">
        <f>'Combined Retirement'!$C$24</f>
        <v>3254.2644699519233</v>
      </c>
      <c r="H74" s="25">
        <f>IF(B74&lt;62,0,'Combined Retirement'!$I$14)</f>
        <v>2345</v>
      </c>
      <c r="I74" s="25">
        <f>IF(C74&lt;62,0,'Combined Retirement'!$I$13)</f>
        <v>0</v>
      </c>
      <c r="J74" s="25">
        <f t="shared" si="3"/>
        <v>32470.93324439897</v>
      </c>
      <c r="K74" s="25">
        <f t="shared" si="4"/>
        <v>0</v>
      </c>
      <c r="L74" s="25"/>
      <c r="N74" s="25">
        <f>'Combined Retirement'!$C$18/12</f>
        <v>40940.569999999992</v>
      </c>
      <c r="O74" s="25">
        <f t="shared" si="5"/>
        <v>8469.6367556010227</v>
      </c>
      <c r="P74" s="25">
        <f t="shared" si="6"/>
        <v>32470.93324439897</v>
      </c>
      <c r="Q74" s="25">
        <f t="array" aca="1" ref="Q74" ca="1">INDEX('Isaac 401k'!L:L,MATCH('Retirement Calculator'!A74,'Isaac 401k'!N:N,0),0)</f>
        <v>1718888.8306917539</v>
      </c>
      <c r="R74" s="25">
        <f t="array" aca="1" ref="R74" ca="1">INDEX('Lorri 401b'!L:L,MATCH('Retirement Calculator'!A74,'Lorri 401b'!N:N,0),0)</f>
        <v>4420332.4295320055</v>
      </c>
      <c r="S74" s="25">
        <f t="shared" ca="1" si="7"/>
        <v>6139221.2602237593</v>
      </c>
    </row>
    <row r="75" spans="1:19" ht="15.75" customHeight="1" x14ac:dyDescent="0.3">
      <c r="A75" s="37">
        <v>53236</v>
      </c>
      <c r="B75" s="398">
        <f t="shared" ref="B75:C75" si="71">($A75-B$9)/365.25</f>
        <v>63.874058863791923</v>
      </c>
      <c r="C75" s="398">
        <f t="shared" si="71"/>
        <v>59.263518138261468</v>
      </c>
      <c r="E75" s="25">
        <f>IF(C75&gt;$B$7,0,'Combined Retirement'!$D$13/12)</f>
        <v>0</v>
      </c>
      <c r="F75" s="25">
        <f>IF(H75=0,'Combined Retirement'!$D$32,0)+'Combined Retirement'!$B$24</f>
        <v>2870.372285649099</v>
      </c>
      <c r="G75" s="25">
        <f>'Combined Retirement'!$C$24</f>
        <v>3254.2644699519233</v>
      </c>
      <c r="H75" s="25">
        <f>IF(B75&lt;62,0,'Combined Retirement'!$I$14)</f>
        <v>2345</v>
      </c>
      <c r="I75" s="25">
        <f>IF(C75&lt;62,0,'Combined Retirement'!$I$13)</f>
        <v>0</v>
      </c>
      <c r="J75" s="25">
        <f t="shared" si="3"/>
        <v>32470.93324439897</v>
      </c>
      <c r="K75" s="25">
        <f t="shared" si="4"/>
        <v>0</v>
      </c>
      <c r="L75" s="25"/>
      <c r="N75" s="25">
        <f>'Combined Retirement'!$C$18/12</f>
        <v>40940.569999999992</v>
      </c>
      <c r="O75" s="25">
        <f t="shared" si="5"/>
        <v>8469.6367556010227</v>
      </c>
      <c r="P75" s="25">
        <f t="shared" si="6"/>
        <v>32470.93324439897</v>
      </c>
      <c r="Q75" s="25">
        <f t="array" aca="1" ref="Q75" ca="1">INDEX('Isaac 401k'!L:L,MATCH('Retirement Calculator'!A75,'Isaac 401k'!N:N,0),0)</f>
        <v>1693444.6386867189</v>
      </c>
      <c r="R75" s="25">
        <f t="array" aca="1" ref="R75" ca="1">INDEX('Lorri 401b'!L:L,MATCH('Retirement Calculator'!A75,'Lorri 401b'!N:N,0),0)</f>
        <v>4438750.4813217223</v>
      </c>
      <c r="S75" s="25">
        <f t="shared" ca="1" si="7"/>
        <v>6132195.1200084407</v>
      </c>
    </row>
    <row r="76" spans="1:19" ht="15.75" customHeight="1" x14ac:dyDescent="0.3">
      <c r="A76" s="37">
        <v>53267</v>
      </c>
      <c r="B76" s="398">
        <f t="shared" ref="B76:C76" si="72">($A76-B$9)/365.25</f>
        <v>63.958932238193022</v>
      </c>
      <c r="C76" s="398">
        <f t="shared" si="72"/>
        <v>59.348391512662559</v>
      </c>
      <c r="E76" s="25">
        <f>IF(C76&gt;$B$7,0,'Combined Retirement'!$D$13/12)</f>
        <v>0</v>
      </c>
      <c r="F76" s="25">
        <f>IF(H76=0,'Combined Retirement'!$D$32,0)+'Combined Retirement'!$B$24</f>
        <v>2870.372285649099</v>
      </c>
      <c r="G76" s="25">
        <f>'Combined Retirement'!$C$24</f>
        <v>3254.2644699519233</v>
      </c>
      <c r="H76" s="25">
        <f>IF(B76&lt;62,0,'Combined Retirement'!$I$14)</f>
        <v>2345</v>
      </c>
      <c r="I76" s="25">
        <f>IF(C76&lt;62,0,'Combined Retirement'!$I$13)</f>
        <v>0</v>
      </c>
      <c r="J76" s="25">
        <f t="shared" si="3"/>
        <v>32470.93324439897</v>
      </c>
      <c r="K76" s="25">
        <f t="shared" si="4"/>
        <v>0</v>
      </c>
      <c r="L76" s="25"/>
      <c r="N76" s="25">
        <f>'Combined Retirement'!$C$18/12</f>
        <v>40940.569999999992</v>
      </c>
      <c r="O76" s="25">
        <f t="shared" si="5"/>
        <v>8469.6367556010227</v>
      </c>
      <c r="P76" s="25">
        <f t="shared" si="6"/>
        <v>32470.93324439897</v>
      </c>
      <c r="Q76" s="25">
        <f t="array" aca="1" ref="Q76" ca="1">INDEX('Isaac 401k'!L:L,MATCH('Retirement Calculator'!A76,'Isaac 401k'!N:N,0),0)</f>
        <v>1667894.4292149963</v>
      </c>
      <c r="R76" s="25">
        <f t="array" aca="1" ref="R76" ca="1">INDEX('Lorri 401b'!L:L,MATCH('Retirement Calculator'!A76,'Lorri 401b'!N:N,0),0)</f>
        <v>4457245.2749938965</v>
      </c>
      <c r="S76" s="25">
        <f t="shared" ca="1" si="7"/>
        <v>6125139.7042088928</v>
      </c>
    </row>
    <row r="77" spans="1:19" ht="15.75" customHeight="1" x14ac:dyDescent="0.3">
      <c r="A77" s="37">
        <v>53297</v>
      </c>
      <c r="B77" s="398">
        <f t="shared" ref="B77:C77" si="73">($A77-B$9)/365.25</f>
        <v>64.041067761806985</v>
      </c>
      <c r="C77" s="398">
        <f t="shared" si="73"/>
        <v>59.430527036276523</v>
      </c>
      <c r="E77" s="25">
        <f>IF(C77&gt;$B$7,0,'Combined Retirement'!$D$13/12)</f>
        <v>0</v>
      </c>
      <c r="F77" s="25">
        <f>IF(H77=0,'Combined Retirement'!$D$32,0)+'Combined Retirement'!$B$24</f>
        <v>2870.372285649099</v>
      </c>
      <c r="G77" s="25">
        <f>'Combined Retirement'!$C$24</f>
        <v>3254.2644699519233</v>
      </c>
      <c r="H77" s="25">
        <f>IF(B77&lt;62,0,'Combined Retirement'!$I$14)</f>
        <v>2345</v>
      </c>
      <c r="I77" s="25">
        <f>IF(C77&lt;62,0,'Combined Retirement'!$I$13)</f>
        <v>0</v>
      </c>
      <c r="J77" s="25">
        <f t="shared" si="3"/>
        <v>32470.93324439897</v>
      </c>
      <c r="K77" s="25">
        <f t="shared" si="4"/>
        <v>0</v>
      </c>
      <c r="L77" s="25"/>
      <c r="N77" s="25">
        <f>'Combined Retirement'!$C$18/12</f>
        <v>40940.569999999992</v>
      </c>
      <c r="O77" s="25">
        <f t="shared" si="5"/>
        <v>8469.6367556010227</v>
      </c>
      <c r="P77" s="25">
        <f t="shared" si="6"/>
        <v>32470.93324439897</v>
      </c>
      <c r="Q77" s="25">
        <f t="array" aca="1" ref="Q77" ca="1">INDEX('Isaac 401k'!L:L,MATCH('Retirement Calculator'!A77,'Isaac 401k'!N:N,0),0)</f>
        <v>1642237.7605371415</v>
      </c>
      <c r="R77" s="25">
        <f t="array" aca="1" ref="R77" ca="1">INDEX('Lorri 401b'!L:L,MATCH('Retirement Calculator'!A77,'Lorri 401b'!N:N,0),0)</f>
        <v>4475817.1303063715</v>
      </c>
      <c r="S77" s="25">
        <f t="shared" ca="1" si="7"/>
        <v>6118054.8908435125</v>
      </c>
    </row>
    <row r="78" spans="1:19" ht="15.75" customHeight="1" x14ac:dyDescent="0.3">
      <c r="A78" s="37">
        <v>53328</v>
      </c>
      <c r="B78" s="398">
        <f t="shared" ref="B78:C78" si="74">($A78-B$9)/365.25</f>
        <v>64.12594113620807</v>
      </c>
      <c r="C78" s="398">
        <f t="shared" si="74"/>
        <v>59.515400410677621</v>
      </c>
      <c r="E78" s="25">
        <f>IF(C78&gt;$B$7,0,'Combined Retirement'!$D$13/12)</f>
        <v>0</v>
      </c>
      <c r="F78" s="25">
        <f>IF(H78=0,'Combined Retirement'!$D$32,0)+'Combined Retirement'!$B$24</f>
        <v>2870.372285649099</v>
      </c>
      <c r="G78" s="25">
        <f>'Combined Retirement'!$C$24</f>
        <v>3254.2644699519233</v>
      </c>
      <c r="H78" s="25">
        <f>IF(B78&lt;62,0,'Combined Retirement'!$I$14)</f>
        <v>2345</v>
      </c>
      <c r="I78" s="25">
        <f>IF(C78&lt;62,0,'Combined Retirement'!$I$13)</f>
        <v>0</v>
      </c>
      <c r="J78" s="25">
        <f t="shared" si="3"/>
        <v>9071.7293298201839</v>
      </c>
      <c r="K78" s="25">
        <f t="shared" si="4"/>
        <v>23399.203914578786</v>
      </c>
      <c r="L78" s="25"/>
      <c r="N78" s="25">
        <f>'Combined Retirement'!$C$18/12</f>
        <v>40940.569999999992</v>
      </c>
      <c r="O78" s="25">
        <f t="shared" si="5"/>
        <v>8469.6367556010227</v>
      </c>
      <c r="P78" s="25">
        <f t="shared" si="6"/>
        <v>32470.93324439897</v>
      </c>
      <c r="Q78" s="25">
        <f t="array" aca="1" ref="Q78" ca="1">INDEX('Isaac 401k'!L:L,MATCH('Retirement Calculator'!A78,'Isaac 401k'!N:N,0),0)</f>
        <v>1639970.8896706849</v>
      </c>
      <c r="R78" s="25">
        <f t="array" aca="1" ref="R78" ca="1">INDEX('Lorri 401b'!L:L,MATCH('Retirement Calculator'!A78,'Lorri 401b'!N:N,0),0)</f>
        <v>4470969.6677517584</v>
      </c>
      <c r="S78" s="25">
        <f t="shared" ca="1" si="7"/>
        <v>6110940.5574224433</v>
      </c>
    </row>
    <row r="79" spans="1:19" ht="15.75" customHeight="1" x14ac:dyDescent="0.3">
      <c r="A79" s="37">
        <v>53359</v>
      </c>
      <c r="B79" s="398">
        <f t="shared" ref="B79:C79" si="75">($A79-B$9)/365.25</f>
        <v>64.210814510609168</v>
      </c>
      <c r="C79" s="398">
        <f t="shared" si="75"/>
        <v>59.600273785078713</v>
      </c>
      <c r="E79" s="25">
        <f>IF(C79&gt;$B$7,0,'Combined Retirement'!$D$13/12)</f>
        <v>0</v>
      </c>
      <c r="F79" s="25">
        <f>IF(H79=0,'Combined Retirement'!$D$32,0)+'Combined Retirement'!$B$24</f>
        <v>2870.372285649099</v>
      </c>
      <c r="G79" s="25">
        <f>'Combined Retirement'!$C$24</f>
        <v>3254.2644699519233</v>
      </c>
      <c r="H79" s="25">
        <f>IF(B79&lt;62,0,'Combined Retirement'!$I$14)</f>
        <v>2345</v>
      </c>
      <c r="I79" s="25">
        <f>IF(C79&lt;62,0,'Combined Retirement'!$I$13)</f>
        <v>0</v>
      </c>
      <c r="J79" s="25">
        <f t="shared" si="3"/>
        <v>9071.7293298201839</v>
      </c>
      <c r="K79" s="25">
        <f t="shared" si="4"/>
        <v>23399.203914578786</v>
      </c>
      <c r="L79" s="25"/>
      <c r="N79" s="25">
        <f>'Combined Retirement'!$C$18/12</f>
        <v>40940.569999999992</v>
      </c>
      <c r="O79" s="25">
        <f t="shared" si="5"/>
        <v>8469.6367556010227</v>
      </c>
      <c r="P79" s="25">
        <f t="shared" si="6"/>
        <v>32470.93324439897</v>
      </c>
      <c r="Q79" s="25">
        <f t="array" aca="1" ref="Q79" ca="1">INDEX('Isaac 401k'!L:L,MATCH('Retirement Calculator'!A79,'Isaac 401k'!N:N,0),0)</f>
        <v>1637694.5735089516</v>
      </c>
      <c r="R79" s="25">
        <f t="array" aca="1" ref="R79" ca="1">INDEX('Lorri 401b'!L:L,MATCH('Retirement Calculator'!A79,'Lorri 401b'!N:N,0),0)</f>
        <v>4466102.0074365009</v>
      </c>
      <c r="S79" s="25">
        <f t="shared" ca="1" si="7"/>
        <v>6103796.5809454527</v>
      </c>
    </row>
    <row r="80" spans="1:19" ht="15.75" customHeight="1" x14ac:dyDescent="0.3">
      <c r="A80" s="37">
        <v>53387</v>
      </c>
      <c r="B80" s="398">
        <f t="shared" ref="B80:C80" si="76">($A80-B$9)/365.25</f>
        <v>64.28747433264887</v>
      </c>
      <c r="C80" s="398">
        <f t="shared" si="76"/>
        <v>59.676933607118414</v>
      </c>
      <c r="E80" s="25">
        <f>IF(C80&gt;$B$7,0,'Combined Retirement'!$D$13/12)</f>
        <v>0</v>
      </c>
      <c r="F80" s="25">
        <f>IF(H80=0,'Combined Retirement'!$D$32,0)+'Combined Retirement'!$B$24</f>
        <v>2870.372285649099</v>
      </c>
      <c r="G80" s="25">
        <f>'Combined Retirement'!$C$24</f>
        <v>3254.2644699519233</v>
      </c>
      <c r="H80" s="25">
        <f>IF(B80&lt;62,0,'Combined Retirement'!$I$14)</f>
        <v>2345</v>
      </c>
      <c r="I80" s="25">
        <f>IF(C80&lt;62,0,'Combined Retirement'!$I$13)</f>
        <v>0</v>
      </c>
      <c r="J80" s="25">
        <f t="shared" si="3"/>
        <v>9071.7293298201839</v>
      </c>
      <c r="K80" s="25">
        <f t="shared" si="4"/>
        <v>23399.203914578786</v>
      </c>
      <c r="L80" s="25"/>
      <c r="N80" s="25">
        <f>'Combined Retirement'!$C$18/12</f>
        <v>40940.569999999992</v>
      </c>
      <c r="O80" s="25">
        <f t="shared" si="5"/>
        <v>8469.6367556010227</v>
      </c>
      <c r="P80" s="25">
        <f t="shared" si="6"/>
        <v>32470.93324439897</v>
      </c>
      <c r="Q80" s="25">
        <f t="array" aca="1" ref="Q80" ca="1">INDEX('Isaac 401k'!L:L,MATCH('Retirement Calculator'!A80,'Isaac 401k'!N:N,0),0)</f>
        <v>1635408.7726965444</v>
      </c>
      <c r="R80" s="25">
        <f t="array" aca="1" ref="R80" ca="1">INDEX('Lorri 401b'!L:L,MATCH('Retirement Calculator'!A80,'Lorri 401b'!N:N,0),0)</f>
        <v>4461214.0652032634</v>
      </c>
      <c r="S80" s="25">
        <f t="shared" ca="1" si="7"/>
        <v>6096622.8378998078</v>
      </c>
    </row>
    <row r="81" spans="1:19" ht="15.75" customHeight="1" x14ac:dyDescent="0.3">
      <c r="A81" s="37">
        <v>53418</v>
      </c>
      <c r="B81" s="398">
        <f t="shared" ref="B81:C81" si="77">($A81-B$9)/365.25</f>
        <v>64.372347707049968</v>
      </c>
      <c r="C81" s="398">
        <f t="shared" si="77"/>
        <v>59.761806981519506</v>
      </c>
      <c r="E81" s="25">
        <f>IF(C81&gt;$B$7,0,'Combined Retirement'!$D$13/12)</f>
        <v>0</v>
      </c>
      <c r="F81" s="25">
        <f>IF(H81=0,'Combined Retirement'!$D$32,0)+'Combined Retirement'!$B$24</f>
        <v>2870.372285649099</v>
      </c>
      <c r="G81" s="25">
        <f>'Combined Retirement'!$C$24</f>
        <v>3254.2644699519233</v>
      </c>
      <c r="H81" s="25">
        <f>IF(B81&lt;62,0,'Combined Retirement'!$I$14)</f>
        <v>2345</v>
      </c>
      <c r="I81" s="25">
        <f>IF(C81&lt;62,0,'Combined Retirement'!$I$13)</f>
        <v>0</v>
      </c>
      <c r="J81" s="25">
        <f t="shared" si="3"/>
        <v>9071.7293298201839</v>
      </c>
      <c r="K81" s="25">
        <f t="shared" si="4"/>
        <v>23399.203914578786</v>
      </c>
      <c r="L81" s="25"/>
      <c r="N81" s="25">
        <f>'Combined Retirement'!$C$18/12</f>
        <v>40940.569999999992</v>
      </c>
      <c r="O81" s="25">
        <f t="shared" si="5"/>
        <v>8469.6367556010227</v>
      </c>
      <c r="P81" s="25">
        <f t="shared" si="6"/>
        <v>32470.93324439897</v>
      </c>
      <c r="Q81" s="25">
        <f t="array" aca="1" ref="Q81" ca="1">INDEX('Isaac 401k'!L:L,MATCH('Retirement Calculator'!A81,'Isaac 401k'!N:N,0),0)</f>
        <v>1633113.4477140855</v>
      </c>
      <c r="R81" s="25">
        <f t="array" aca="1" ref="R81" ca="1">INDEX('Lorri 401b'!L:L,MATCH('Retirement Calculator'!A81,'Lorri 401b'!N:N,0),0)</f>
        <v>4456305.7565440536</v>
      </c>
      <c r="S81" s="25">
        <f t="shared" ca="1" si="7"/>
        <v>6089419.2042581392</v>
      </c>
    </row>
    <row r="82" spans="1:19" ht="15.75" customHeight="1" x14ac:dyDescent="0.3">
      <c r="A82" s="37">
        <v>53448</v>
      </c>
      <c r="B82" s="398">
        <f t="shared" ref="B82:C82" si="78">($A82-B$9)/365.25</f>
        <v>64.454483230663925</v>
      </c>
      <c r="C82" s="398">
        <f t="shared" si="78"/>
        <v>59.843942505133469</v>
      </c>
      <c r="E82" s="25">
        <f>IF(C82&gt;$B$7,0,'Combined Retirement'!$D$13/12)</f>
        <v>0</v>
      </c>
      <c r="F82" s="25">
        <f>IF(H82=0,'Combined Retirement'!$D$32,0)+'Combined Retirement'!$B$24</f>
        <v>2870.372285649099</v>
      </c>
      <c r="G82" s="25">
        <f>'Combined Retirement'!$C$24</f>
        <v>3254.2644699519233</v>
      </c>
      <c r="H82" s="25">
        <f>IF(B82&lt;62,0,'Combined Retirement'!$I$14)</f>
        <v>2345</v>
      </c>
      <c r="I82" s="25">
        <f>IF(C82&lt;62,0,'Combined Retirement'!$I$13)</f>
        <v>0</v>
      </c>
      <c r="J82" s="25">
        <f t="shared" si="3"/>
        <v>9071.7293298201839</v>
      </c>
      <c r="K82" s="25">
        <f t="shared" si="4"/>
        <v>23399.203914578786</v>
      </c>
      <c r="L82" s="25"/>
      <c r="N82" s="25">
        <f>'Combined Retirement'!$C$18/12</f>
        <v>40940.569999999992</v>
      </c>
      <c r="O82" s="25">
        <f t="shared" si="5"/>
        <v>8469.6367556010227</v>
      </c>
      <c r="P82" s="25">
        <f t="shared" si="6"/>
        <v>32470.93324439897</v>
      </c>
      <c r="Q82" s="25">
        <f t="array" aca="1" ref="Q82" ca="1">INDEX('Isaac 401k'!L:L,MATCH('Retirement Calculator'!A82,'Isaac 401k'!N:N,0),0)</f>
        <v>1630808.5588775331</v>
      </c>
      <c r="R82" s="25">
        <f t="array" aca="1" ref="R82" ca="1">INDEX('Lorri 401b'!L:L,MATCH('Retirement Calculator'!A82,'Lorri 401b'!N:N,0),0)</f>
        <v>4451376.9965987643</v>
      </c>
      <c r="S82" s="25">
        <f t="shared" ca="1" si="7"/>
        <v>6082185.5554762976</v>
      </c>
    </row>
    <row r="83" spans="1:19" ht="15.75" customHeight="1" x14ac:dyDescent="0.3">
      <c r="A83" s="37">
        <v>53479</v>
      </c>
      <c r="B83" s="398">
        <f t="shared" ref="B83:C83" si="79">($A83-B$9)/365.25</f>
        <v>64.539356605065024</v>
      </c>
      <c r="C83" s="398">
        <f t="shared" si="79"/>
        <v>59.928815879534568</v>
      </c>
      <c r="E83" s="25">
        <f>IF(C83&gt;$B$7,0,'Combined Retirement'!$D$13/12)</f>
        <v>0</v>
      </c>
      <c r="F83" s="25">
        <f>IF(H83=0,'Combined Retirement'!$D$32,0)+'Combined Retirement'!$B$24</f>
        <v>2870.372285649099</v>
      </c>
      <c r="G83" s="25">
        <f>'Combined Retirement'!$C$24</f>
        <v>3254.2644699519233</v>
      </c>
      <c r="H83" s="25">
        <f>IF(B83&lt;62,0,'Combined Retirement'!$I$14)</f>
        <v>2345</v>
      </c>
      <c r="I83" s="25">
        <f>IF(C83&lt;62,0,'Combined Retirement'!$I$13)</f>
        <v>0</v>
      </c>
      <c r="J83" s="25">
        <f t="shared" si="3"/>
        <v>9071.7293298201839</v>
      </c>
      <c r="K83" s="25">
        <f t="shared" si="4"/>
        <v>23399.203914578786</v>
      </c>
      <c r="L83" s="25"/>
      <c r="N83" s="25">
        <f>'Combined Retirement'!$C$18/12</f>
        <v>40940.569999999992</v>
      </c>
      <c r="O83" s="25">
        <f t="shared" si="5"/>
        <v>8469.6367556010227</v>
      </c>
      <c r="P83" s="25">
        <f t="shared" si="6"/>
        <v>32470.93324439897</v>
      </c>
      <c r="Q83" s="25">
        <f t="array" aca="1" ref="Q83" ca="1">INDEX('Isaac 401k'!L:L,MATCH('Retirement Calculator'!A83,'Isaac 401k'!N:N,0),0)</f>
        <v>1628494.0663374949</v>
      </c>
      <c r="R83" s="25">
        <f t="array" aca="1" ref="R83" ca="1">INDEX('Lorri 401b'!L:L,MATCH('Retirement Calculator'!A83,'Lorri 401b'!N:N,0),0)</f>
        <v>4446427.7001537029</v>
      </c>
      <c r="S83" s="25">
        <f t="shared" ca="1" si="7"/>
        <v>6074921.766491198</v>
      </c>
    </row>
    <row r="84" spans="1:19" ht="15.75" customHeight="1" x14ac:dyDescent="0.3">
      <c r="A84" s="37">
        <v>53509</v>
      </c>
      <c r="B84" s="398">
        <f t="shared" ref="B84:C84" si="80">($A84-B$9)/365.25</f>
        <v>64.62149212867898</v>
      </c>
      <c r="C84" s="398">
        <f t="shared" si="80"/>
        <v>60.010951403148532</v>
      </c>
      <c r="E84" s="25">
        <f>IF(C84&gt;$B$7,0,'Combined Retirement'!$D$13/12)</f>
        <v>0</v>
      </c>
      <c r="F84" s="25">
        <f>IF(H84=0,'Combined Retirement'!$D$32,0)+'Combined Retirement'!$B$24</f>
        <v>2870.372285649099</v>
      </c>
      <c r="G84" s="25">
        <f>'Combined Retirement'!$C$24</f>
        <v>3254.2644699519233</v>
      </c>
      <c r="H84" s="25">
        <f>IF(B84&lt;62,0,'Combined Retirement'!$I$14)</f>
        <v>2345</v>
      </c>
      <c r="I84" s="25">
        <f>IF(C84&lt;62,0,'Combined Retirement'!$I$13)</f>
        <v>0</v>
      </c>
      <c r="J84" s="25">
        <f t="shared" si="3"/>
        <v>9071.7293298201839</v>
      </c>
      <c r="K84" s="25">
        <f t="shared" si="4"/>
        <v>23399.203914578786</v>
      </c>
      <c r="L84" s="25"/>
      <c r="N84" s="25">
        <f>'Combined Retirement'!$C$18/12</f>
        <v>40940.569999999992</v>
      </c>
      <c r="O84" s="25">
        <f t="shared" si="5"/>
        <v>8469.6367556010227</v>
      </c>
      <c r="P84" s="25">
        <f t="shared" si="6"/>
        <v>32470.93324439897</v>
      </c>
      <c r="Q84" s="25">
        <f t="array" aca="1" ref="Q84" ca="1">INDEX('Isaac 401k'!L:L,MATCH('Retirement Calculator'!A84,'Isaac 401k'!N:N,0),0)</f>
        <v>1626169.93007854</v>
      </c>
      <c r="R84" s="25">
        <f t="array" aca="1" ref="R84" ca="1">INDEX('Lorri 401b'!L:L,MATCH('Retirement Calculator'!A84,'Lorri 401b'!N:N,0),0)</f>
        <v>4441457.7816401199</v>
      </c>
      <c r="S84" s="25">
        <f t="shared" ca="1" si="7"/>
        <v>6067627.7117186598</v>
      </c>
    </row>
    <row r="85" spans="1:19" ht="15.75" customHeight="1" x14ac:dyDescent="0.3">
      <c r="A85" s="37">
        <v>53540</v>
      </c>
      <c r="B85" s="398">
        <f t="shared" ref="B85:C85" si="81">($A85-B$9)/365.25</f>
        <v>64.706365503080079</v>
      </c>
      <c r="C85" s="398">
        <f t="shared" si="81"/>
        <v>60.095824777549623</v>
      </c>
      <c r="E85" s="25">
        <f>IF(C85&gt;$B$7,0,'Combined Retirement'!$D$13/12)</f>
        <v>0</v>
      </c>
      <c r="F85" s="25">
        <f>IF(H85=0,'Combined Retirement'!$D$32,0)+'Combined Retirement'!$B$24</f>
        <v>2870.372285649099</v>
      </c>
      <c r="G85" s="25">
        <f>'Combined Retirement'!$C$24</f>
        <v>3254.2644699519233</v>
      </c>
      <c r="H85" s="25">
        <f>IF(B85&lt;62,0,'Combined Retirement'!$I$14)</f>
        <v>2345</v>
      </c>
      <c r="I85" s="25">
        <f>IF(C85&lt;62,0,'Combined Retirement'!$I$13)</f>
        <v>0</v>
      </c>
      <c r="J85" s="25">
        <f t="shared" si="3"/>
        <v>9071.7293298201839</v>
      </c>
      <c r="K85" s="25">
        <f t="shared" si="4"/>
        <v>23399.203914578786</v>
      </c>
      <c r="L85" s="25"/>
      <c r="N85" s="25">
        <f>'Combined Retirement'!$C$18/12</f>
        <v>40940.569999999992</v>
      </c>
      <c r="O85" s="25">
        <f t="shared" si="5"/>
        <v>8469.6367556010227</v>
      </c>
      <c r="P85" s="25">
        <f t="shared" si="6"/>
        <v>32470.93324439897</v>
      </c>
      <c r="Q85" s="25">
        <f t="array" aca="1" ref="Q85" ca="1">INDEX('Isaac 401k'!L:L,MATCH('Retirement Calculator'!A85,'Isaac 401k'!N:N,0),0)</f>
        <v>1623836.1099185061</v>
      </c>
      <c r="R85" s="25">
        <f t="array" aca="1" ref="R85" ca="1">INDEX('Lorri 401b'!L:L,MATCH('Retirement Calculator'!A85,'Lorri 401b'!N:N,0),0)</f>
        <v>4436467.1551327305</v>
      </c>
      <c r="S85" s="25">
        <f t="shared" ca="1" si="7"/>
        <v>6060303.2650512364</v>
      </c>
    </row>
    <row r="86" spans="1:19" ht="15.75" customHeight="1" x14ac:dyDescent="0.3">
      <c r="A86" s="37">
        <v>53571</v>
      </c>
      <c r="B86" s="398">
        <f t="shared" ref="B86:C86" si="82">($A86-B$9)/365.25</f>
        <v>64.791238877481177</v>
      </c>
      <c r="C86" s="398">
        <f t="shared" si="82"/>
        <v>60.180698151950722</v>
      </c>
      <c r="E86" s="25">
        <f>IF(C86&gt;$B$7,0,'Combined Retirement'!$D$13/12)</f>
        <v>0</v>
      </c>
      <c r="F86" s="25">
        <f>IF(H86=0,'Combined Retirement'!$D$32,0)+'Combined Retirement'!$B$24</f>
        <v>2870.372285649099</v>
      </c>
      <c r="G86" s="25">
        <f>'Combined Retirement'!$C$24</f>
        <v>3254.2644699519233</v>
      </c>
      <c r="H86" s="25">
        <f>IF(B86&lt;62,0,'Combined Retirement'!$I$14)</f>
        <v>2345</v>
      </c>
      <c r="I86" s="25">
        <f>IF(C86&lt;62,0,'Combined Retirement'!$I$13)</f>
        <v>0</v>
      </c>
      <c r="J86" s="25">
        <f t="shared" si="3"/>
        <v>9071.7293298201839</v>
      </c>
      <c r="K86" s="25">
        <f t="shared" si="4"/>
        <v>23399.203914578786</v>
      </c>
      <c r="L86" s="25"/>
      <c r="N86" s="25">
        <f>'Combined Retirement'!$C$18/12</f>
        <v>40940.569999999992</v>
      </c>
      <c r="O86" s="25">
        <f t="shared" si="5"/>
        <v>8469.6367556010227</v>
      </c>
      <c r="P86" s="25">
        <f t="shared" si="6"/>
        <v>32470.93324439897</v>
      </c>
      <c r="Q86" s="25">
        <f t="array" aca="1" ref="Q86" ca="1">INDEX('Isaac 401k'!L:L,MATCH('Retirement Calculator'!A86,'Isaac 401k'!N:N,0),0)</f>
        <v>1621492.5655078054</v>
      </c>
      <c r="R86" s="25">
        <f t="array" aca="1" ref="R86" ca="1">INDEX('Lorri 401b'!L:L,MATCH('Retirement Calculator'!A86,'Lorri 401b'!N:N,0),0)</f>
        <v>4431455.7343482273</v>
      </c>
      <c r="S86" s="25">
        <f t="shared" ca="1" si="7"/>
        <v>6052948.2998560332</v>
      </c>
    </row>
    <row r="87" spans="1:19" ht="15.75" customHeight="1" x14ac:dyDescent="0.3">
      <c r="A87" s="37">
        <v>53601</v>
      </c>
      <c r="B87" s="398">
        <f t="shared" ref="B87:C87" si="83">($A87-B$9)/365.25</f>
        <v>64.873374401095134</v>
      </c>
      <c r="C87" s="398">
        <f t="shared" si="83"/>
        <v>60.262833675564679</v>
      </c>
      <c r="E87" s="25">
        <f>IF(C87&gt;$B$7,0,'Combined Retirement'!$D$13/12)</f>
        <v>0</v>
      </c>
      <c r="F87" s="25">
        <f>IF(H87=0,'Combined Retirement'!$D$32,0)+'Combined Retirement'!$B$24</f>
        <v>2870.372285649099</v>
      </c>
      <c r="G87" s="25">
        <f>'Combined Retirement'!$C$24</f>
        <v>3254.2644699519233</v>
      </c>
      <c r="H87" s="25">
        <f>IF(B87&lt;62,0,'Combined Retirement'!$I$14)</f>
        <v>2345</v>
      </c>
      <c r="I87" s="25">
        <f>IF(C87&lt;62,0,'Combined Retirement'!$I$13)</f>
        <v>0</v>
      </c>
      <c r="J87" s="25">
        <f t="shared" si="3"/>
        <v>9071.7293298201839</v>
      </c>
      <c r="K87" s="25">
        <f t="shared" si="4"/>
        <v>23399.203914578786</v>
      </c>
      <c r="L87" s="25"/>
      <c r="N87" s="25">
        <f>'Combined Retirement'!$C$18/12</f>
        <v>40940.569999999992</v>
      </c>
      <c r="O87" s="25">
        <f t="shared" si="5"/>
        <v>8469.6367556010227</v>
      </c>
      <c r="P87" s="25">
        <f t="shared" si="6"/>
        <v>32470.93324439897</v>
      </c>
      <c r="Q87" s="25">
        <f t="array" aca="1" ref="Q87" ca="1">INDEX('Isaac 401k'!L:L,MATCH('Retirement Calculator'!A87,'Isaac 401k'!N:N,0),0)</f>
        <v>1619139.2563287269</v>
      </c>
      <c r="R87" s="25">
        <f t="array" aca="1" ref="R87" ca="1">INDEX('Lorri 401b'!L:L,MATCH('Retirement Calculator'!A87,'Lorri 401b'!N:N,0),0)</f>
        <v>4426423.4326437889</v>
      </c>
      <c r="S87" s="25">
        <f t="shared" ca="1" si="7"/>
        <v>6045562.688972516</v>
      </c>
    </row>
    <row r="88" spans="1:19" ht="15.75" customHeight="1" x14ac:dyDescent="0.3">
      <c r="A88" s="37">
        <v>53632</v>
      </c>
      <c r="B88" s="398">
        <f t="shared" ref="B88:C88" si="84">($A88-B$9)/365.25</f>
        <v>64.958247775496233</v>
      </c>
      <c r="C88" s="398">
        <f t="shared" si="84"/>
        <v>60.347707049965777</v>
      </c>
      <c r="E88" s="25">
        <f>IF(C88&gt;$B$7,0,'Combined Retirement'!$D$13/12)</f>
        <v>0</v>
      </c>
      <c r="F88" s="25">
        <f>IF(H88=0,'Combined Retirement'!$D$32,0)+'Combined Retirement'!$B$24</f>
        <v>2870.372285649099</v>
      </c>
      <c r="G88" s="25">
        <f>'Combined Retirement'!$C$24</f>
        <v>3254.2644699519233</v>
      </c>
      <c r="H88" s="25">
        <f>IF(B88&lt;62,0,'Combined Retirement'!$I$14)</f>
        <v>2345</v>
      </c>
      <c r="I88" s="25">
        <f>IF(C88&lt;62,0,'Combined Retirement'!$I$13)</f>
        <v>0</v>
      </c>
      <c r="J88" s="25">
        <f t="shared" si="3"/>
        <v>9071.7293298201839</v>
      </c>
      <c r="K88" s="25">
        <f t="shared" si="4"/>
        <v>23399.203914578786</v>
      </c>
      <c r="L88" s="25"/>
      <c r="N88" s="25">
        <f>'Combined Retirement'!$C$18/12</f>
        <v>40940.569999999992</v>
      </c>
      <c r="O88" s="25">
        <f t="shared" si="5"/>
        <v>8469.6367556010227</v>
      </c>
      <c r="P88" s="25">
        <f t="shared" si="6"/>
        <v>32470.93324439897</v>
      </c>
      <c r="Q88" s="25">
        <f t="array" aca="1" ref="Q88" ca="1">INDEX('Isaac 401k'!L:L,MATCH('Retirement Calculator'!A88,'Isaac 401k'!N:N,0),0)</f>
        <v>1616776.1416947355</v>
      </c>
      <c r="R88" s="25">
        <f t="array" aca="1" ref="R88" ca="1">INDEX('Lorri 401b'!L:L,MATCH('Retirement Calculator'!A88,'Lorri 401b'!N:N,0),0)</f>
        <v>4421370.1630155817</v>
      </c>
      <c r="S88" s="25">
        <f t="shared" ca="1" si="7"/>
        <v>6038146.3047103174</v>
      </c>
    </row>
    <row r="89" spans="1:19" ht="15.75" customHeight="1" x14ac:dyDescent="0.3">
      <c r="A89" s="37">
        <v>53662</v>
      </c>
      <c r="B89" s="398">
        <f t="shared" ref="B89:C89" si="85">($A89-B$9)/365.25</f>
        <v>65.040383299110204</v>
      </c>
      <c r="C89" s="398">
        <f t="shared" si="85"/>
        <v>60.429842573579741</v>
      </c>
      <c r="E89" s="25">
        <f>IF(C89&gt;$B$7,0,'Combined Retirement'!$D$13/12)</f>
        <v>0</v>
      </c>
      <c r="F89" s="25">
        <f>IF(H89=0,'Combined Retirement'!$D$32,0)+'Combined Retirement'!$B$24</f>
        <v>2870.372285649099</v>
      </c>
      <c r="G89" s="25">
        <f>'Combined Retirement'!$C$24</f>
        <v>3254.2644699519233</v>
      </c>
      <c r="H89" s="25">
        <f>IF(B89&lt;62,0,'Combined Retirement'!$I$14)</f>
        <v>2345</v>
      </c>
      <c r="I89" s="25">
        <f>IF(C89&lt;62,0,'Combined Retirement'!$I$13)</f>
        <v>0</v>
      </c>
      <c r="J89" s="25">
        <f t="shared" si="3"/>
        <v>9071.7293298201839</v>
      </c>
      <c r="K89" s="25">
        <f t="shared" si="4"/>
        <v>23399.203914578786</v>
      </c>
      <c r="L89" s="25"/>
      <c r="N89" s="25">
        <f>'Combined Retirement'!$C$18/12</f>
        <v>40940.569999999992</v>
      </c>
      <c r="O89" s="25">
        <f t="shared" si="5"/>
        <v>8469.6367556010227</v>
      </c>
      <c r="P89" s="25">
        <f t="shared" si="6"/>
        <v>32470.93324439897</v>
      </c>
      <c r="Q89" s="25">
        <f t="array" aca="1" ref="Q89" ca="1">INDEX('Isaac 401k'!L:L,MATCH('Retirement Calculator'!A89,'Isaac 401k'!N:N,0),0)</f>
        <v>1614403.1807497691</v>
      </c>
      <c r="R89" s="25">
        <f t="array" aca="1" ref="R89" ca="1">INDEX('Lorri 401b'!L:L,MATCH('Retirement Calculator'!A89,'Lorri 401b'!N:N,0),0)</f>
        <v>4416295.8380972566</v>
      </c>
      <c r="S89" s="25">
        <f t="shared" ca="1" si="7"/>
        <v>6030699.0188470259</v>
      </c>
    </row>
    <row r="90" spans="1:19" ht="15.75" customHeight="1" x14ac:dyDescent="0.3">
      <c r="A90" s="37">
        <v>53693</v>
      </c>
      <c r="B90" s="398">
        <f t="shared" ref="B90:C90" si="86">($A90-B$9)/365.25</f>
        <v>65.125256673511288</v>
      </c>
      <c r="C90" s="398">
        <f t="shared" si="86"/>
        <v>60.514715947980832</v>
      </c>
      <c r="E90" s="25">
        <f>IF(C90&gt;$B$7,0,'Combined Retirement'!$D$13/12)</f>
        <v>0</v>
      </c>
      <c r="F90" s="25">
        <f>IF(H90=0,'Combined Retirement'!$D$32,0)+'Combined Retirement'!$B$24</f>
        <v>2870.372285649099</v>
      </c>
      <c r="G90" s="25">
        <f>'Combined Retirement'!$C$24</f>
        <v>3254.2644699519233</v>
      </c>
      <c r="H90" s="25">
        <f>IF(B90&lt;62,0,'Combined Retirement'!$I$14)</f>
        <v>2345</v>
      </c>
      <c r="I90" s="25">
        <f>IF(C90&lt;62,0,'Combined Retirement'!$I$13)</f>
        <v>0</v>
      </c>
      <c r="J90" s="25">
        <f t="shared" si="3"/>
        <v>9071.7293298201839</v>
      </c>
      <c r="K90" s="25">
        <f t="shared" si="4"/>
        <v>23399.203914578786</v>
      </c>
      <c r="L90" s="25"/>
      <c r="N90" s="25">
        <f>'Combined Retirement'!$C$18/12</f>
        <v>40940.569999999992</v>
      </c>
      <c r="O90" s="25">
        <f t="shared" si="5"/>
        <v>8469.6367556010227</v>
      </c>
      <c r="P90" s="25">
        <f t="shared" si="6"/>
        <v>32470.93324439897</v>
      </c>
      <c r="Q90" s="25">
        <f t="array" aca="1" ref="Q90" ca="1">INDEX('Isaac 401k'!L:L,MATCH('Retirement Calculator'!A90,'Isaac 401k'!N:N,0),0)</f>
        <v>1612020.332467532</v>
      </c>
      <c r="R90" s="25">
        <f t="array" aca="1" ref="R90" ca="1">INDEX('Lorri 401b'!L:L,MATCH('Retirement Calculator'!A90,'Lorri 401b'!N:N,0),0)</f>
        <v>4411200.3701584386</v>
      </c>
      <c r="S90" s="25">
        <f t="shared" ca="1" si="7"/>
        <v>6023220.7026259704</v>
      </c>
    </row>
    <row r="91" spans="1:19" ht="15.75" customHeight="1" x14ac:dyDescent="0.3">
      <c r="A91" s="37">
        <v>53724</v>
      </c>
      <c r="B91" s="398">
        <f t="shared" ref="B91:C91" si="87">($A91-B$9)/365.25</f>
        <v>65.210130047912386</v>
      </c>
      <c r="C91" s="398">
        <f t="shared" si="87"/>
        <v>60.599589322381931</v>
      </c>
      <c r="E91" s="25">
        <f>IF(C91&gt;$B$7,0,'Combined Retirement'!$D$13/12)</f>
        <v>0</v>
      </c>
      <c r="F91" s="25">
        <f>IF(H91=0,'Combined Retirement'!$D$32,0)+'Combined Retirement'!$B$24</f>
        <v>2870.372285649099</v>
      </c>
      <c r="G91" s="25">
        <f>'Combined Retirement'!$C$24</f>
        <v>3254.2644699519233</v>
      </c>
      <c r="H91" s="25">
        <f>IF(B91&lt;62,0,'Combined Retirement'!$I$14)</f>
        <v>2345</v>
      </c>
      <c r="I91" s="25">
        <f>IF(C91&lt;62,0,'Combined Retirement'!$I$13)</f>
        <v>0</v>
      </c>
      <c r="J91" s="25">
        <f t="shared" si="3"/>
        <v>9071.7293298201839</v>
      </c>
      <c r="K91" s="25">
        <f t="shared" si="4"/>
        <v>23399.203914578786</v>
      </c>
      <c r="L91" s="25"/>
      <c r="N91" s="25">
        <f>'Combined Retirement'!$C$18/12</f>
        <v>40940.569999999992</v>
      </c>
      <c r="O91" s="25">
        <f t="shared" si="5"/>
        <v>8469.6367556010227</v>
      </c>
      <c r="P91" s="25">
        <f t="shared" si="6"/>
        <v>32470.93324439897</v>
      </c>
      <c r="Q91" s="25">
        <f t="array" aca="1" ref="Q91" ca="1">INDEX('Isaac 401k'!L:L,MATCH('Retirement Calculator'!A91,'Isaac 401k'!N:N,0),0)</f>
        <v>1609627.5556507856</v>
      </c>
      <c r="R91" s="25">
        <f t="array" aca="1" ref="R91" ca="1">INDEX('Lorri 401b'!L:L,MATCH('Retirement Calculator'!A91,'Lorri 401b'!N:N,0),0)</f>
        <v>4406083.6711032093</v>
      </c>
      <c r="S91" s="25">
        <f t="shared" ca="1" si="7"/>
        <v>6015711.2267539948</v>
      </c>
    </row>
    <row r="92" spans="1:19" ht="15.75" customHeight="1" x14ac:dyDescent="0.3">
      <c r="A92" s="37">
        <v>53752</v>
      </c>
      <c r="B92" s="398">
        <f t="shared" ref="B92:C92" si="88">($A92-B$9)/365.25</f>
        <v>65.286789869952088</v>
      </c>
      <c r="C92" s="398">
        <f t="shared" si="88"/>
        <v>60.676249144421632</v>
      </c>
      <c r="E92" s="25">
        <f>IF(C92&gt;$B$7,0,'Combined Retirement'!$D$13/12)</f>
        <v>0</v>
      </c>
      <c r="F92" s="25">
        <f>IF(H92=0,'Combined Retirement'!$D$32,0)+'Combined Retirement'!$B$24</f>
        <v>2870.372285649099</v>
      </c>
      <c r="G92" s="25">
        <f>'Combined Retirement'!$C$24</f>
        <v>3254.2644699519233</v>
      </c>
      <c r="H92" s="25">
        <f>IF(B92&lt;62,0,'Combined Retirement'!$I$14)</f>
        <v>2345</v>
      </c>
      <c r="I92" s="25">
        <f>IF(C92&lt;62,0,'Combined Retirement'!$I$13)</f>
        <v>0</v>
      </c>
      <c r="J92" s="25">
        <f t="shared" si="3"/>
        <v>9071.7293298201839</v>
      </c>
      <c r="K92" s="25">
        <f t="shared" si="4"/>
        <v>23399.203914578786</v>
      </c>
      <c r="L92" s="25"/>
      <c r="N92" s="25">
        <f>'Combined Retirement'!$C$18/12</f>
        <v>40940.569999999992</v>
      </c>
      <c r="O92" s="25">
        <f t="shared" si="5"/>
        <v>8469.6367556010227</v>
      </c>
      <c r="P92" s="25">
        <f t="shared" si="6"/>
        <v>32470.93324439897</v>
      </c>
      <c r="Q92" s="25">
        <f t="array" aca="1" ref="Q92" ca="1">INDEX('Isaac 401k'!L:L,MATCH('Retirement Calculator'!A92,'Isaac 401k'!N:N,0),0)</f>
        <v>1607224.8089306359</v>
      </c>
      <c r="R92" s="25">
        <f t="array" aca="1" ref="R92" ca="1">INDEX('Lorri 401b'!L:L,MATCH('Retirement Calculator'!A92,'Lorri 401b'!N:N,0),0)</f>
        <v>4400945.6524685826</v>
      </c>
      <c r="S92" s="25">
        <f t="shared" ca="1" si="7"/>
        <v>6008170.4613992181</v>
      </c>
    </row>
    <row r="93" spans="1:19" ht="15.75" customHeight="1" x14ac:dyDescent="0.3">
      <c r="A93" s="37">
        <v>53783</v>
      </c>
      <c r="B93" s="398">
        <f t="shared" ref="B93:C93" si="89">($A93-B$9)/365.25</f>
        <v>65.371663244353186</v>
      </c>
      <c r="C93" s="398">
        <f t="shared" si="89"/>
        <v>60.761122518822724</v>
      </c>
      <c r="E93" s="25">
        <f>IF(C93&gt;$B$7,0,'Combined Retirement'!$D$13/12)</f>
        <v>0</v>
      </c>
      <c r="F93" s="25">
        <f>IF(H93=0,'Combined Retirement'!$D$32,0)+'Combined Retirement'!$B$24</f>
        <v>2870.372285649099</v>
      </c>
      <c r="G93" s="25">
        <f>'Combined Retirement'!$C$24</f>
        <v>3254.2644699519233</v>
      </c>
      <c r="H93" s="25">
        <f>IF(B93&lt;62,0,'Combined Retirement'!$I$14)</f>
        <v>2345</v>
      </c>
      <c r="I93" s="25">
        <f>IF(C93&lt;62,0,'Combined Retirement'!$I$13)</f>
        <v>0</v>
      </c>
      <c r="J93" s="25">
        <f t="shared" si="3"/>
        <v>9071.7293298201839</v>
      </c>
      <c r="K93" s="25">
        <f t="shared" si="4"/>
        <v>23399.203914578786</v>
      </c>
      <c r="L93" s="25"/>
      <c r="N93" s="25">
        <f>'Combined Retirement'!$C$18/12</f>
        <v>40940.569999999992</v>
      </c>
      <c r="O93" s="25">
        <f t="shared" si="5"/>
        <v>8469.6367556010227</v>
      </c>
      <c r="P93" s="25">
        <f t="shared" si="6"/>
        <v>32470.93324439897</v>
      </c>
      <c r="Q93" s="25">
        <f t="array" aca="1" ref="Q93" ca="1">INDEX('Isaac 401k'!L:L,MATCH('Retirement Calculator'!A93,'Isaac 401k'!N:N,0),0)</f>
        <v>1604812.0507658191</v>
      </c>
      <c r="R93" s="25">
        <f t="array" aca="1" ref="R93" ca="1">INDEX('Lorri 401b'!L:L,MATCH('Retirement Calculator'!A93,'Lorri 401b'!N:N,0),0)</f>
        <v>4395786.2254229784</v>
      </c>
      <c r="S93" s="25">
        <f t="shared" ca="1" si="7"/>
        <v>6000598.2761887973</v>
      </c>
    </row>
    <row r="94" spans="1:19" ht="15.75" customHeight="1" x14ac:dyDescent="0.3">
      <c r="A94" s="37">
        <v>53813</v>
      </c>
      <c r="B94" s="398">
        <f t="shared" ref="B94:C94" si="90">($A94-B$9)/365.25</f>
        <v>65.453798767967143</v>
      </c>
      <c r="C94" s="398">
        <f t="shared" si="90"/>
        <v>60.843258042436688</v>
      </c>
      <c r="E94" s="25">
        <f>IF(C94&gt;$B$7,0,'Combined Retirement'!$D$13/12)</f>
        <v>0</v>
      </c>
      <c r="F94" s="25">
        <f>IF(H94=0,'Combined Retirement'!$D$32,0)+'Combined Retirement'!$B$24</f>
        <v>2870.372285649099</v>
      </c>
      <c r="G94" s="25">
        <f>'Combined Retirement'!$C$24</f>
        <v>3254.2644699519233</v>
      </c>
      <c r="H94" s="25">
        <f>IF(B94&lt;62,0,'Combined Retirement'!$I$14)</f>
        <v>2345</v>
      </c>
      <c r="I94" s="25">
        <f>IF(C94&lt;62,0,'Combined Retirement'!$I$13)</f>
        <v>0</v>
      </c>
      <c r="J94" s="25">
        <f t="shared" si="3"/>
        <v>9071.7293298201839</v>
      </c>
      <c r="K94" s="25">
        <f t="shared" si="4"/>
        <v>23399.203914578786</v>
      </c>
      <c r="L94" s="25"/>
      <c r="N94" s="25">
        <f>'Combined Retirement'!$C$18/12</f>
        <v>40940.569999999992</v>
      </c>
      <c r="O94" s="25">
        <f t="shared" si="5"/>
        <v>8469.6367556010227</v>
      </c>
      <c r="P94" s="25">
        <f t="shared" si="6"/>
        <v>32470.93324439897</v>
      </c>
      <c r="Q94" s="25">
        <f t="array" aca="1" ref="Q94" ca="1">INDEX('Isaac 401k'!L:L,MATCH('Retirement Calculator'!A94,'Isaac 401k'!N:N,0),0)</f>
        <v>1602389.2394419822</v>
      </c>
      <c r="R94" s="25">
        <f t="array" aca="1" ref="R94" ca="1">INDEX('Lorri 401b'!L:L,MATCH('Retirement Calculator'!A94,'Lorri 401b'!N:N,0),0)</f>
        <v>4390605.3007646846</v>
      </c>
      <c r="S94" s="25">
        <f t="shared" ca="1" si="7"/>
        <v>5992994.540206667</v>
      </c>
    </row>
    <row r="95" spans="1:19" ht="15.75" customHeight="1" x14ac:dyDescent="0.3">
      <c r="A95" s="37">
        <v>53844</v>
      </c>
      <c r="B95" s="398">
        <f t="shared" ref="B95:C95" si="91">($A95-B$9)/365.25</f>
        <v>65.538672142368242</v>
      </c>
      <c r="C95" s="398">
        <f t="shared" si="91"/>
        <v>60.928131416837779</v>
      </c>
      <c r="E95" s="25">
        <f>IF(C95&gt;$B$7,0,'Combined Retirement'!$D$13/12)</f>
        <v>0</v>
      </c>
      <c r="F95" s="25">
        <f>IF(H95=0,'Combined Retirement'!$D$32,0)+'Combined Retirement'!$B$24</f>
        <v>2870.372285649099</v>
      </c>
      <c r="G95" s="25">
        <f>'Combined Retirement'!$C$24</f>
        <v>3254.2644699519233</v>
      </c>
      <c r="H95" s="25">
        <f>IF(B95&lt;62,0,'Combined Retirement'!$I$14)</f>
        <v>2345</v>
      </c>
      <c r="I95" s="25">
        <f>IF(C95&lt;62,0,'Combined Retirement'!$I$13)</f>
        <v>0</v>
      </c>
      <c r="J95" s="25">
        <f t="shared" si="3"/>
        <v>9071.7293298201839</v>
      </c>
      <c r="K95" s="25">
        <f t="shared" si="4"/>
        <v>23399.203914578786</v>
      </c>
      <c r="L95" s="25"/>
      <c r="N95" s="25">
        <f>'Combined Retirement'!$C$18/12</f>
        <v>40940.569999999992</v>
      </c>
      <c r="O95" s="25">
        <f t="shared" si="5"/>
        <v>8469.6367556010227</v>
      </c>
      <c r="P95" s="25">
        <f t="shared" si="6"/>
        <v>32470.93324439897</v>
      </c>
      <c r="Q95" s="25">
        <f t="array" aca="1" ref="Q95" ca="1">INDEX('Isaac 401k'!L:L,MATCH('Retirement Calculator'!A95,'Isaac 401k'!N:N,0),0)</f>
        <v>1599956.3330709627</v>
      </c>
      <c r="R95" s="25">
        <f t="array" aca="1" ref="R95" ca="1">INDEX('Lorri 401b'!L:L,MATCH('Retirement Calculator'!A95,'Lorri 401b'!N:N,0),0)</f>
        <v>4385402.7889203141</v>
      </c>
      <c r="S95" s="25">
        <f t="shared" ca="1" si="7"/>
        <v>5985359.1219912767</v>
      </c>
    </row>
    <row r="96" spans="1:19" ht="15.75" customHeight="1" x14ac:dyDescent="0.3">
      <c r="A96" s="37">
        <v>53874</v>
      </c>
      <c r="B96" s="398">
        <f t="shared" ref="B96:C96" si="92">($A96-B$9)/365.25</f>
        <v>65.620807665982198</v>
      </c>
      <c r="C96" s="398">
        <f t="shared" si="92"/>
        <v>61.010266940451743</v>
      </c>
      <c r="E96" s="25">
        <f>IF(C96&gt;$B$7,0,'Combined Retirement'!$D$13/12)</f>
        <v>0</v>
      </c>
      <c r="F96" s="25">
        <f>IF(H96=0,'Combined Retirement'!$D$32,0)+'Combined Retirement'!$B$24</f>
        <v>2870.372285649099</v>
      </c>
      <c r="G96" s="25">
        <f>'Combined Retirement'!$C$24</f>
        <v>3254.2644699519233</v>
      </c>
      <c r="H96" s="25">
        <f>IF(B96&lt;62,0,'Combined Retirement'!$I$14)</f>
        <v>2345</v>
      </c>
      <c r="I96" s="25">
        <f>IF(C96&lt;62,0,'Combined Retirement'!$I$13)</f>
        <v>0</v>
      </c>
      <c r="J96" s="25">
        <f t="shared" si="3"/>
        <v>9071.7293298201839</v>
      </c>
      <c r="K96" s="25">
        <f t="shared" si="4"/>
        <v>23399.203914578786</v>
      </c>
      <c r="L96" s="25"/>
      <c r="N96" s="25">
        <f>'Combined Retirement'!$C$18/12</f>
        <v>40940.569999999992</v>
      </c>
      <c r="O96" s="25">
        <f t="shared" si="5"/>
        <v>8469.6367556010227</v>
      </c>
      <c r="P96" s="25">
        <f t="shared" si="6"/>
        <v>32470.93324439897</v>
      </c>
      <c r="Q96" s="25">
        <f t="array" aca="1" ref="Q96" ca="1">INDEX('Isaac 401k'!L:L,MATCH('Retirement Calculator'!A96,'Isaac 401k'!N:N,0),0)</f>
        <v>1597513.289590064</v>
      </c>
      <c r="R96" s="25">
        <f t="array" aca="1" ref="R96" ca="1">INDEX('Lorri 401b'!L:L,MATCH('Retirement Calculator'!A96,'Lorri 401b'!N:N,0),0)</f>
        <v>4380178.5999432588</v>
      </c>
      <c r="S96" s="25">
        <f t="shared" ca="1" si="7"/>
        <v>5977691.8895333223</v>
      </c>
    </row>
    <row r="97" spans="1:19" ht="15.75" customHeight="1" x14ac:dyDescent="0.3">
      <c r="A97" s="37">
        <v>53905</v>
      </c>
      <c r="B97" s="398">
        <f t="shared" ref="B97:C97" si="93">($A97-B$9)/365.25</f>
        <v>65.705681040383297</v>
      </c>
      <c r="C97" s="398">
        <f t="shared" si="93"/>
        <v>61.095140314852841</v>
      </c>
      <c r="E97" s="25">
        <f>IF(C97&gt;$B$7,0,'Combined Retirement'!$D$13/12)</f>
        <v>0</v>
      </c>
      <c r="F97" s="25">
        <f>IF(H97=0,'Combined Retirement'!$D$32,0)+'Combined Retirement'!$B$24</f>
        <v>2870.372285649099</v>
      </c>
      <c r="G97" s="25">
        <f>'Combined Retirement'!$C$24</f>
        <v>3254.2644699519233</v>
      </c>
      <c r="H97" s="25">
        <f>IF(B97&lt;62,0,'Combined Retirement'!$I$14)</f>
        <v>2345</v>
      </c>
      <c r="I97" s="25">
        <f>IF(C97&lt;62,0,'Combined Retirement'!$I$13)</f>
        <v>0</v>
      </c>
      <c r="J97" s="25">
        <f t="shared" si="3"/>
        <v>9071.7293298201839</v>
      </c>
      <c r="K97" s="25">
        <f t="shared" si="4"/>
        <v>23399.203914578786</v>
      </c>
      <c r="L97" s="25"/>
      <c r="N97" s="25">
        <f>'Combined Retirement'!$C$18/12</f>
        <v>40940.569999999992</v>
      </c>
      <c r="O97" s="25">
        <f t="shared" si="5"/>
        <v>8469.6367556010227</v>
      </c>
      <c r="P97" s="25">
        <f t="shared" si="6"/>
        <v>32470.93324439897</v>
      </c>
      <c r="Q97" s="25">
        <f t="array" aca="1" ref="Q97" ca="1">INDEX('Isaac 401k'!L:L,MATCH('Retirement Calculator'!A97,'Isaac 401k'!N:N,0),0)</f>
        <v>1595060.0667613281</v>
      </c>
      <c r="R97" s="25">
        <f t="array" aca="1" ref="R97" ca="1">INDEX('Lorri 401b'!L:L,MATCH('Retirement Calculator'!A97,'Lorri 401b'!N:N,0),0)</f>
        <v>4374932.6435121326</v>
      </c>
      <c r="S97" s="25">
        <f t="shared" ca="1" si="7"/>
        <v>5969992.7102734605</v>
      </c>
    </row>
    <row r="98" spans="1:19" ht="15.75" customHeight="1" x14ac:dyDescent="0.3">
      <c r="A98" s="37">
        <v>53936</v>
      </c>
      <c r="B98" s="398">
        <f t="shared" ref="B98:C98" si="94">($A98-B$9)/365.25</f>
        <v>65.790554414784395</v>
      </c>
      <c r="C98" s="398">
        <f t="shared" si="94"/>
        <v>61.180013689253933</v>
      </c>
      <c r="E98" s="25">
        <f>IF(C98&gt;$B$7,0,'Combined Retirement'!$D$13/12)</f>
        <v>0</v>
      </c>
      <c r="F98" s="25">
        <f>IF(H98=0,'Combined Retirement'!$D$32,0)+'Combined Retirement'!$B$24</f>
        <v>2870.372285649099</v>
      </c>
      <c r="G98" s="25">
        <f>'Combined Retirement'!$C$24</f>
        <v>3254.2644699519233</v>
      </c>
      <c r="H98" s="25">
        <f>IF(B98&lt;62,0,'Combined Retirement'!$I$14)</f>
        <v>2345</v>
      </c>
      <c r="I98" s="25">
        <f>IF(C98&lt;62,0,'Combined Retirement'!$I$13)</f>
        <v>0</v>
      </c>
      <c r="J98" s="25">
        <f t="shared" si="3"/>
        <v>9071.7293298201839</v>
      </c>
      <c r="K98" s="25">
        <f t="shared" si="4"/>
        <v>23399.203914578786</v>
      </c>
      <c r="L98" s="25"/>
      <c r="N98" s="25">
        <f>'Combined Retirement'!$C$18/12</f>
        <v>40940.569999999992</v>
      </c>
      <c r="O98" s="25">
        <f t="shared" si="5"/>
        <v>8469.6367556010227</v>
      </c>
      <c r="P98" s="25">
        <f t="shared" si="6"/>
        <v>32470.93324439897</v>
      </c>
      <c r="Q98" s="25">
        <f t="array" aca="1" ref="Q98" ca="1">INDEX('Isaac 401k'!L:L,MATCH('Retirement Calculator'!A98,'Isaac 401k'!N:N,0),0)</f>
        <v>1592596.6221708059</v>
      </c>
      <c r="R98" s="25">
        <f t="array" aca="1" ref="R98" ca="1">INDEX('Lorri 401b'!L:L,MATCH('Retirement Calculator'!A98,'Lorri 401b'!N:N,0),0)</f>
        <v>4369664.8289292101</v>
      </c>
      <c r="S98" s="25">
        <f t="shared" ca="1" si="7"/>
        <v>5962261.451100016</v>
      </c>
    </row>
    <row r="99" spans="1:19" ht="15.75" customHeight="1" x14ac:dyDescent="0.3">
      <c r="A99" s="37">
        <v>53966</v>
      </c>
      <c r="B99" s="398">
        <f t="shared" ref="B99:C99" si="95">($A99-B$9)/365.25</f>
        <v>65.872689938398352</v>
      </c>
      <c r="C99" s="398">
        <f t="shared" si="95"/>
        <v>61.262149212867897</v>
      </c>
      <c r="E99" s="25">
        <f>IF(C99&gt;$B$7,0,'Combined Retirement'!$D$13/12)</f>
        <v>0</v>
      </c>
      <c r="F99" s="25">
        <f>IF(H99=0,'Combined Retirement'!$D$32,0)+'Combined Retirement'!$B$24</f>
        <v>2870.372285649099</v>
      </c>
      <c r="G99" s="25">
        <f>'Combined Retirement'!$C$24</f>
        <v>3254.2644699519233</v>
      </c>
      <c r="H99" s="25">
        <f>IF(B99&lt;62,0,'Combined Retirement'!$I$14)</f>
        <v>2345</v>
      </c>
      <c r="I99" s="25">
        <f>IF(C99&lt;62,0,'Combined Retirement'!$I$13)</f>
        <v>0</v>
      </c>
      <c r="J99" s="25">
        <f t="shared" si="3"/>
        <v>9071.7293298201839</v>
      </c>
      <c r="K99" s="25">
        <f t="shared" si="4"/>
        <v>23399.203914578786</v>
      </c>
      <c r="L99" s="25"/>
      <c r="N99" s="25">
        <f>'Combined Retirement'!$C$18/12</f>
        <v>40940.569999999992</v>
      </c>
      <c r="O99" s="25">
        <f t="shared" si="5"/>
        <v>8469.6367556010227</v>
      </c>
      <c r="P99" s="25">
        <f t="shared" si="6"/>
        <v>32470.93324439897</v>
      </c>
      <c r="Q99" s="25">
        <f t="array" aca="1" ref="Q99" ca="1">INDEX('Isaac 401k'!L:L,MATCH('Retirement Calculator'!A99,'Isaac 401k'!N:N,0),0)</f>
        <v>1590122.9132278231</v>
      </c>
      <c r="R99" s="25">
        <f t="array" aca="1" ref="R99" ca="1">INDEX('Lorri 401b'!L:L,MATCH('Retirement Calculator'!A99,'Lorri 401b'!N:N,0),0)</f>
        <v>4364375.0651188586</v>
      </c>
      <c r="S99" s="25">
        <f t="shared" ca="1" si="7"/>
        <v>5954497.9783466812</v>
      </c>
    </row>
    <row r="100" spans="1:19" ht="15.75" customHeight="1" x14ac:dyDescent="0.3">
      <c r="A100" s="37">
        <v>53997</v>
      </c>
      <c r="B100" s="398">
        <f t="shared" ref="B100:C100" si="96">($A100-B$9)/365.25</f>
        <v>65.957563312799451</v>
      </c>
      <c r="C100" s="398">
        <f t="shared" si="96"/>
        <v>61.347022587268995</v>
      </c>
      <c r="E100" s="25">
        <f>IF(C100&gt;$B$7,0,'Combined Retirement'!$D$13/12)</f>
        <v>0</v>
      </c>
      <c r="F100" s="25">
        <f>IF(H100=0,'Combined Retirement'!$D$32,0)+'Combined Retirement'!$B$24</f>
        <v>2870.372285649099</v>
      </c>
      <c r="G100" s="25">
        <f>'Combined Retirement'!$C$24</f>
        <v>3254.2644699519233</v>
      </c>
      <c r="H100" s="25">
        <f>IF(B100&lt;62,0,'Combined Retirement'!$I$14)</f>
        <v>2345</v>
      </c>
      <c r="I100" s="25">
        <f>IF(C100&lt;62,0,'Combined Retirement'!$I$13)</f>
        <v>0</v>
      </c>
      <c r="J100" s="25">
        <f t="shared" si="3"/>
        <v>9071.7293298201839</v>
      </c>
      <c r="K100" s="25">
        <f t="shared" si="4"/>
        <v>23399.203914578786</v>
      </c>
      <c r="L100" s="25"/>
      <c r="N100" s="25">
        <f>'Combined Retirement'!$C$18/12</f>
        <v>40940.569999999992</v>
      </c>
      <c r="O100" s="25">
        <f t="shared" si="5"/>
        <v>8469.6367556010227</v>
      </c>
      <c r="P100" s="25">
        <f t="shared" si="6"/>
        <v>32470.93324439897</v>
      </c>
      <c r="Q100" s="25">
        <f t="array" aca="1" ref="Q100" ca="1">INDEX('Isaac 401k'!L:L,MATCH('Retirement Calculator'!A100,'Isaac 401k'!N:N,0),0)</f>
        <v>1587638.8971642444</v>
      </c>
      <c r="R100" s="25">
        <f t="array" aca="1" ref="R100" ca="1">INDEX('Lorri 401b'!L:L,MATCH('Retirement Calculator'!A100,'Lorri 401b'!N:N,0),0)</f>
        <v>4359063.260625964</v>
      </c>
      <c r="S100" s="25">
        <f t="shared" ca="1" si="7"/>
        <v>5946702.1577902082</v>
      </c>
    </row>
    <row r="101" spans="1:19" ht="15.75" customHeight="1" x14ac:dyDescent="0.3">
      <c r="A101" s="37">
        <v>54027</v>
      </c>
      <c r="B101" s="398">
        <f t="shared" ref="B101:C101" si="97">($A101-B$9)/365.25</f>
        <v>66.039698836413422</v>
      </c>
      <c r="C101" s="398">
        <f t="shared" si="97"/>
        <v>61.429158110882959</v>
      </c>
      <c r="E101" s="25">
        <f>IF(C101&gt;$B$7,0,'Combined Retirement'!$D$13/12)</f>
        <v>0</v>
      </c>
      <c r="F101" s="25">
        <f>IF(H101=0,'Combined Retirement'!$D$32,0)+'Combined Retirement'!$B$24</f>
        <v>2870.372285649099</v>
      </c>
      <c r="G101" s="25">
        <f>'Combined Retirement'!$C$24</f>
        <v>3254.2644699519233</v>
      </c>
      <c r="H101" s="25">
        <f>IF(B101&lt;62,0,'Combined Retirement'!$I$14)</f>
        <v>2345</v>
      </c>
      <c r="I101" s="25">
        <f>IF(C101&lt;62,0,'Combined Retirement'!$I$13)</f>
        <v>0</v>
      </c>
      <c r="J101" s="25">
        <f t="shared" si="3"/>
        <v>9071.7293298201839</v>
      </c>
      <c r="K101" s="25">
        <f t="shared" si="4"/>
        <v>23399.203914578786</v>
      </c>
      <c r="L101" s="25"/>
      <c r="N101" s="25">
        <f>'Combined Retirement'!$C$18/12</f>
        <v>40940.569999999992</v>
      </c>
      <c r="O101" s="25">
        <f t="shared" si="5"/>
        <v>8469.6367556010227</v>
      </c>
      <c r="P101" s="25">
        <f t="shared" si="6"/>
        <v>32470.93324439897</v>
      </c>
      <c r="Q101" s="25">
        <f t="array" aca="1" ref="Q101" ca="1">INDEX('Isaac 401k'!L:L,MATCH('Retirement Calculator'!A101,'Isaac 401k'!N:N,0),0)</f>
        <v>1585144.5310337343</v>
      </c>
      <c r="R101" s="25">
        <f t="array" aca="1" ref="R101" ca="1">INDEX('Lorri 401b'!L:L,MATCH('Retirement Calculator'!A101,'Lorri 401b'!N:N,0),0)</f>
        <v>4353729.3236143496</v>
      </c>
      <c r="S101" s="25">
        <f t="shared" ca="1" si="7"/>
        <v>5938873.8546480834</v>
      </c>
    </row>
    <row r="102" spans="1:19" ht="15.75" customHeight="1" x14ac:dyDescent="0.3">
      <c r="A102" s="37">
        <v>54058</v>
      </c>
      <c r="B102" s="398">
        <f t="shared" ref="B102:C102" si="98">($A102-B$9)/365.25</f>
        <v>66.124572210814506</v>
      </c>
      <c r="C102" s="398">
        <f t="shared" si="98"/>
        <v>61.51403148528405</v>
      </c>
      <c r="E102" s="25">
        <f>IF(C102&gt;$B$7,0,'Combined Retirement'!$D$13/12)</f>
        <v>0</v>
      </c>
      <c r="F102" s="25">
        <f>IF(H102=0,'Combined Retirement'!$D$32,0)+'Combined Retirement'!$B$24</f>
        <v>2870.372285649099</v>
      </c>
      <c r="G102" s="25">
        <f>'Combined Retirement'!$C$24</f>
        <v>3254.2644699519233</v>
      </c>
      <c r="H102" s="25">
        <f>IF(B102&lt;62,0,'Combined Retirement'!$I$14)</f>
        <v>2345</v>
      </c>
      <c r="I102" s="25">
        <f>IF(C102&lt;62,0,'Combined Retirement'!$I$13)</f>
        <v>0</v>
      </c>
      <c r="J102" s="25">
        <f t="shared" si="3"/>
        <v>9071.7293298201839</v>
      </c>
      <c r="K102" s="25">
        <f t="shared" si="4"/>
        <v>23399.203914578786</v>
      </c>
      <c r="L102" s="25"/>
      <c r="N102" s="25">
        <f>'Combined Retirement'!$C$18/12</f>
        <v>40940.569999999992</v>
      </c>
      <c r="O102" s="25">
        <f t="shared" si="5"/>
        <v>8469.6367556010227</v>
      </c>
      <c r="P102" s="25">
        <f t="shared" si="6"/>
        <v>32470.93324439897</v>
      </c>
      <c r="Q102" s="25">
        <f t="array" aca="1" ref="Q102" ca="1">INDEX('Isaac 401k'!L:L,MATCH('Retirement Calculator'!A102,'Isaac 401k'!N:N,0),0)</f>
        <v>1582639.7717110137</v>
      </c>
      <c r="R102" s="25">
        <f t="array" aca="1" ref="R102" ca="1">INDEX('Lorri 401b'!L:L,MATCH('Retirement Calculator'!A102,'Lorri 401b'!N:N,0),0)</f>
        <v>4348373.1618651859</v>
      </c>
      <c r="S102" s="25">
        <f t="shared" ca="1" si="7"/>
        <v>5931012.9335762002</v>
      </c>
    </row>
    <row r="103" spans="1:19" ht="15.75" customHeight="1" x14ac:dyDescent="0.3">
      <c r="A103" s="37">
        <v>54089</v>
      </c>
      <c r="B103" s="398">
        <f t="shared" ref="B103:C103" si="99">($A103-B$9)/365.25</f>
        <v>66.209445585215605</v>
      </c>
      <c r="C103" s="398">
        <f t="shared" si="99"/>
        <v>61.598904859685149</v>
      </c>
      <c r="E103" s="25">
        <f>IF(C103&gt;$B$7,0,'Combined Retirement'!$D$13/12)</f>
        <v>0</v>
      </c>
      <c r="F103" s="25">
        <f>IF(H103=0,'Combined Retirement'!$D$32,0)+'Combined Retirement'!$B$24</f>
        <v>2870.372285649099</v>
      </c>
      <c r="G103" s="25">
        <f>'Combined Retirement'!$C$24</f>
        <v>3254.2644699519233</v>
      </c>
      <c r="H103" s="25">
        <f>IF(B103&lt;62,0,'Combined Retirement'!$I$14)</f>
        <v>2345</v>
      </c>
      <c r="I103" s="25">
        <f>IF(C103&lt;62,0,'Combined Retirement'!$I$13)</f>
        <v>0</v>
      </c>
      <c r="J103" s="25">
        <f t="shared" si="3"/>
        <v>9071.7293298201839</v>
      </c>
      <c r="K103" s="25">
        <f t="shared" si="4"/>
        <v>23399.203914578786</v>
      </c>
      <c r="L103" s="25"/>
      <c r="N103" s="25">
        <f>'Combined Retirement'!$C$18/12</f>
        <v>40940.569999999992</v>
      </c>
      <c r="O103" s="25">
        <f t="shared" si="5"/>
        <v>8469.6367556010227</v>
      </c>
      <c r="P103" s="25">
        <f t="shared" si="6"/>
        <v>32470.93324439897</v>
      </c>
      <c r="Q103" s="25">
        <f t="array" aca="1" ref="Q103" ca="1">INDEX('Isaac 401k'!L:L,MATCH('Retirement Calculator'!A103,'Isaac 401k'!N:N,0),0)</f>
        <v>1580124.5758911152</v>
      </c>
      <c r="R103" s="25">
        <f t="array" aca="1" ref="R103" ca="1">INDEX('Lorri 401b'!L:L,MATCH('Retirement Calculator'!A103,'Lorri 401b'!N:N,0),0)</f>
        <v>4342994.6827754015</v>
      </c>
      <c r="S103" s="25">
        <f t="shared" ca="1" si="7"/>
        <v>5923119.2586665172</v>
      </c>
    </row>
    <row r="104" spans="1:19" ht="15.75" customHeight="1" x14ac:dyDescent="0.3">
      <c r="A104" s="37">
        <v>54118</v>
      </c>
      <c r="B104" s="398">
        <f t="shared" ref="B104:C104" si="100">($A104-B$9)/365.25</f>
        <v>66.288843258042434</v>
      </c>
      <c r="C104" s="398">
        <f t="shared" si="100"/>
        <v>61.678302532511978</v>
      </c>
      <c r="E104" s="25">
        <f>IF(C104&gt;$B$7,0,'Combined Retirement'!$D$13/12)</f>
        <v>0</v>
      </c>
      <c r="F104" s="25">
        <f>IF(H104=0,'Combined Retirement'!$D$32,0)+'Combined Retirement'!$B$24</f>
        <v>2870.372285649099</v>
      </c>
      <c r="G104" s="25">
        <f>'Combined Retirement'!$C$24</f>
        <v>3254.2644699519233</v>
      </c>
      <c r="H104" s="25">
        <f>IF(B104&lt;62,0,'Combined Retirement'!$I$14)</f>
        <v>2345</v>
      </c>
      <c r="I104" s="25">
        <f>IF(C104&lt;62,0,'Combined Retirement'!$I$13)</f>
        <v>0</v>
      </c>
      <c r="J104" s="25">
        <f t="shared" si="3"/>
        <v>9071.7293298201839</v>
      </c>
      <c r="K104" s="25">
        <f t="shared" si="4"/>
        <v>23399.203914578786</v>
      </c>
      <c r="L104" s="25"/>
      <c r="N104" s="25">
        <f>'Combined Retirement'!$C$18/12</f>
        <v>40940.569999999992</v>
      </c>
      <c r="O104" s="25">
        <f t="shared" si="5"/>
        <v>8469.6367556010227</v>
      </c>
      <c r="P104" s="25">
        <f t="shared" si="6"/>
        <v>32470.93324439897</v>
      </c>
      <c r="Q104" s="25">
        <f t="array" aca="1" ref="Q104" ca="1">INDEX('Isaac 401k'!L:L,MATCH('Retirement Calculator'!A104,'Isaac 401k'!N:N,0),0)</f>
        <v>1577598.9000886336</v>
      </c>
      <c r="R104" s="25">
        <f t="array" aca="1" ref="R104" ca="1">INDEX('Lorri 401b'!L:L,MATCH('Retirement Calculator'!A104,'Lorri 401b'!N:N,0),0)</f>
        <v>4337593.7933560759</v>
      </c>
      <c r="S104" s="25">
        <f t="shared" ca="1" si="7"/>
        <v>5915192.6934447093</v>
      </c>
    </row>
    <row r="105" spans="1:19" ht="15.75" customHeight="1" x14ac:dyDescent="0.3">
      <c r="A105" s="37">
        <v>54149</v>
      </c>
      <c r="B105" s="398">
        <f t="shared" ref="B105:C105" si="101">($A105-B$9)/365.25</f>
        <v>66.373716632443532</v>
      </c>
      <c r="C105" s="398">
        <f t="shared" si="101"/>
        <v>61.763175906913077</v>
      </c>
      <c r="E105" s="25">
        <f>IF(C105&gt;$B$7,0,'Combined Retirement'!$D$13/12)</f>
        <v>0</v>
      </c>
      <c r="F105" s="25">
        <f>IF(H105=0,'Combined Retirement'!$D$32,0)+'Combined Retirement'!$B$24</f>
        <v>2870.372285649099</v>
      </c>
      <c r="G105" s="25">
        <f>'Combined Retirement'!$C$24</f>
        <v>3254.2644699519233</v>
      </c>
      <c r="H105" s="25">
        <f>IF(B105&lt;62,0,'Combined Retirement'!$I$14)</f>
        <v>2345</v>
      </c>
      <c r="I105" s="25">
        <f>IF(C105&lt;62,0,'Combined Retirement'!$I$13)</f>
        <v>0</v>
      </c>
      <c r="J105" s="25">
        <f t="shared" si="3"/>
        <v>9071.7293298201839</v>
      </c>
      <c r="K105" s="25">
        <f t="shared" si="4"/>
        <v>23399.203914578786</v>
      </c>
      <c r="L105" s="25"/>
      <c r="N105" s="25">
        <f>'Combined Retirement'!$C$18/12</f>
        <v>40940.569999999992</v>
      </c>
      <c r="O105" s="25">
        <f t="shared" si="5"/>
        <v>8469.6367556010227</v>
      </c>
      <c r="P105" s="25">
        <f t="shared" si="6"/>
        <v>32470.93324439897</v>
      </c>
      <c r="Q105" s="25">
        <f t="array" aca="1" ref="Q105" ca="1">INDEX('Isaac 401k'!L:L,MATCH('Retirement Calculator'!A105,'Isaac 401k'!N:N,0),0)</f>
        <v>1575062.700636975</v>
      </c>
      <c r="R105" s="25">
        <f t="array" aca="1" ref="R105" ca="1">INDEX('Lorri 401b'!L:L,MATCH('Retirement Calculator'!A105,'Lorri 401b'!N:N,0),0)</f>
        <v>4332170.4002308361</v>
      </c>
      <c r="S105" s="25">
        <f t="shared" ca="1" si="7"/>
        <v>5907233.1008678116</v>
      </c>
    </row>
    <row r="106" spans="1:19" ht="15.75" customHeight="1" x14ac:dyDescent="0.3">
      <c r="A106" s="37">
        <v>54179</v>
      </c>
      <c r="B106" s="398">
        <f t="shared" ref="B106:C106" si="102">($A106-B$9)/365.25</f>
        <v>66.455852156057489</v>
      </c>
      <c r="C106" s="398">
        <f t="shared" si="102"/>
        <v>61.845311430527033</v>
      </c>
      <c r="E106" s="25">
        <f>IF(C106&gt;$B$7,0,'Combined Retirement'!$D$13/12)</f>
        <v>0</v>
      </c>
      <c r="F106" s="25">
        <f>IF(H106=0,'Combined Retirement'!$D$32,0)+'Combined Retirement'!$B$24</f>
        <v>2870.372285649099</v>
      </c>
      <c r="G106" s="25">
        <f>'Combined Retirement'!$C$24</f>
        <v>3254.2644699519233</v>
      </c>
      <c r="H106" s="25">
        <f>IF(B106&lt;62,0,'Combined Retirement'!$I$14)</f>
        <v>2345</v>
      </c>
      <c r="I106" s="25">
        <f>IF(C106&lt;62,0,'Combined Retirement'!$I$13)</f>
        <v>0</v>
      </c>
      <c r="J106" s="25">
        <f t="shared" si="3"/>
        <v>9071.7293298201839</v>
      </c>
      <c r="K106" s="25">
        <f t="shared" si="4"/>
        <v>23399.203914578786</v>
      </c>
      <c r="L106" s="25"/>
      <c r="N106" s="25">
        <f>'Combined Retirement'!$C$18/12</f>
        <v>40940.569999999992</v>
      </c>
      <c r="O106" s="25">
        <f t="shared" si="5"/>
        <v>8469.6367556010227</v>
      </c>
      <c r="P106" s="25">
        <f t="shared" si="6"/>
        <v>32470.93324439897</v>
      </c>
      <c r="Q106" s="25">
        <f t="array" aca="1" ref="Q106" ca="1">INDEX('Isaac 401k'!L:L,MATCH('Retirement Calculator'!A106,'Isaac 401k'!N:N,0),0)</f>
        <v>1572515.9336876012</v>
      </c>
      <c r="R106" s="25">
        <f t="array" aca="1" ref="R106" ca="1">INDEX('Lorri 401b'!L:L,MATCH('Retirement Calculator'!A106,'Lorri 401b'!N:N,0),0)</f>
        <v>4326724.4096342418</v>
      </c>
      <c r="S106" s="25">
        <f t="shared" ca="1" si="7"/>
        <v>5899240.3433218431</v>
      </c>
    </row>
    <row r="107" spans="1:19" ht="15.75" customHeight="1" x14ac:dyDescent="0.3">
      <c r="A107" s="37">
        <v>54210</v>
      </c>
      <c r="B107" s="398">
        <f t="shared" ref="B107:C107" si="103">($A107-B$9)/365.25</f>
        <v>66.540725530458587</v>
      </c>
      <c r="C107" s="398">
        <f t="shared" si="103"/>
        <v>61.930184804928132</v>
      </c>
      <c r="E107" s="25">
        <f>IF(C107&gt;$B$7,0,'Combined Retirement'!$D$13/12)</f>
        <v>0</v>
      </c>
      <c r="F107" s="25">
        <f>IF(H107=0,'Combined Retirement'!$D$32,0)+'Combined Retirement'!$B$24</f>
        <v>2870.372285649099</v>
      </c>
      <c r="G107" s="25">
        <f>'Combined Retirement'!$C$24</f>
        <v>3254.2644699519233</v>
      </c>
      <c r="H107" s="25">
        <f>IF(B107&lt;62,0,'Combined Retirement'!$I$14)</f>
        <v>2345</v>
      </c>
      <c r="I107" s="25">
        <f>IF(C107&lt;62,0,'Combined Retirement'!$I$13)</f>
        <v>0</v>
      </c>
      <c r="J107" s="25">
        <f t="shared" si="3"/>
        <v>9071.7293298201839</v>
      </c>
      <c r="K107" s="25">
        <f t="shared" si="4"/>
        <v>23399.203914578786</v>
      </c>
      <c r="L107" s="25"/>
      <c r="N107" s="25">
        <f>'Combined Retirement'!$C$18/12</f>
        <v>40940.569999999992</v>
      </c>
      <c r="O107" s="25">
        <f t="shared" si="5"/>
        <v>8469.6367556010227</v>
      </c>
      <c r="P107" s="25">
        <f t="shared" si="6"/>
        <v>32470.93324439897</v>
      </c>
      <c r="Q107" s="25">
        <f t="array" aca="1" ref="Q107" ca="1">INDEX('Isaac 401k'!L:L,MATCH('Retirement Calculator'!A107,'Isaac 401k'!N:N,0),0)</f>
        <v>1569958.5552092718</v>
      </c>
      <c r="R107" s="25">
        <f t="array" aca="1" ref="R107" ca="1">INDEX('Lorri 401b'!L:L,MATCH('Retirement Calculator'!A107,'Lorri 401b'!N:N,0),0)</f>
        <v>4321255.7274101619</v>
      </c>
      <c r="S107" s="25">
        <f t="shared" ca="1" si="7"/>
        <v>5891214.2826194335</v>
      </c>
    </row>
    <row r="108" spans="1:19" ht="15.75" customHeight="1" x14ac:dyDescent="0.3">
      <c r="A108" s="37">
        <v>54240</v>
      </c>
      <c r="B108" s="398">
        <f t="shared" ref="B108:C108" si="104">($A108-B$9)/365.25</f>
        <v>66.622861054072558</v>
      </c>
      <c r="C108" s="398">
        <f t="shared" si="104"/>
        <v>62.012320328542096</v>
      </c>
      <c r="E108" s="25">
        <f>IF(C108&gt;$B$7,0,'Combined Retirement'!$D$13/12)</f>
        <v>0</v>
      </c>
      <c r="F108" s="25">
        <f>IF(H108=0,'Combined Retirement'!$D$32,0)+'Combined Retirement'!$B$24</f>
        <v>2870.372285649099</v>
      </c>
      <c r="G108" s="25">
        <f>'Combined Retirement'!$C$24</f>
        <v>3254.2644699519233</v>
      </c>
      <c r="H108" s="25">
        <f>IF(B108&lt;62,0,'Combined Retirement'!$I$14)</f>
        <v>2345</v>
      </c>
      <c r="I108" s="25">
        <f>IF(C108&lt;62,0,'Combined Retirement'!$I$13)</f>
        <v>2420</v>
      </c>
      <c r="J108" s="25">
        <f t="shared" si="3"/>
        <v>8395.6297298201844</v>
      </c>
      <c r="K108" s="25">
        <f t="shared" si="4"/>
        <v>21655.303514578787</v>
      </c>
      <c r="L108" s="25"/>
      <c r="N108" s="25">
        <f>'Combined Retirement'!$C$18/12</f>
        <v>40940.569999999992</v>
      </c>
      <c r="O108" s="25">
        <f t="shared" si="5"/>
        <v>10889.636755601023</v>
      </c>
      <c r="P108" s="25">
        <f t="shared" si="6"/>
        <v>30050.93324439897</v>
      </c>
      <c r="Q108" s="25">
        <f t="array" aca="1" ref="Q108" ca="1">INDEX('Isaac 401k'!L:L,MATCH('Retirement Calculator'!A108,'Isaac 401k'!N:N,0),0)</f>
        <v>1568069.4376689494</v>
      </c>
      <c r="R108" s="25">
        <f t="array" aca="1" ref="R108" ca="1">INDEX('Lorri 401b'!L:L,MATCH('Retirement Calculator'!A108,'Lorri 401b'!N:N,0),0)</f>
        <v>4317515.4256618153</v>
      </c>
      <c r="S108" s="25">
        <f t="shared" ca="1" si="7"/>
        <v>5885584.8633307647</v>
      </c>
    </row>
    <row r="109" spans="1:19" ht="15.75" customHeight="1" x14ac:dyDescent="0.3">
      <c r="A109" s="37">
        <v>54271</v>
      </c>
      <c r="B109" s="398">
        <f t="shared" ref="B109:C109" si="105">($A109-B$9)/365.25</f>
        <v>66.707734428473643</v>
      </c>
      <c r="C109" s="398">
        <f t="shared" si="105"/>
        <v>62.097193702943187</v>
      </c>
      <c r="E109" s="25">
        <f>IF(C109&gt;$B$7,0,'Combined Retirement'!$D$13/12)</f>
        <v>0</v>
      </c>
      <c r="F109" s="25">
        <f>IF(H109=0,'Combined Retirement'!$D$32,0)+'Combined Retirement'!$B$24</f>
        <v>2870.372285649099</v>
      </c>
      <c r="G109" s="25">
        <f>'Combined Retirement'!$C$24</f>
        <v>3254.2644699519233</v>
      </c>
      <c r="H109" s="25">
        <f>IF(B109&lt;62,0,'Combined Retirement'!$I$14)</f>
        <v>2345</v>
      </c>
      <c r="I109" s="25">
        <f>IF(C109&lt;62,0,'Combined Retirement'!$I$13)</f>
        <v>2420</v>
      </c>
      <c r="J109" s="25">
        <f t="shared" si="3"/>
        <v>8395.6297298201844</v>
      </c>
      <c r="K109" s="25">
        <f t="shared" si="4"/>
        <v>21655.303514578787</v>
      </c>
      <c r="L109" s="25"/>
      <c r="N109" s="25">
        <f>'Combined Retirement'!$C$18/12</f>
        <v>40940.569999999992</v>
      </c>
      <c r="O109" s="25">
        <f t="shared" si="5"/>
        <v>10889.636755601023</v>
      </c>
      <c r="P109" s="25">
        <f t="shared" si="6"/>
        <v>30050.93324439897</v>
      </c>
      <c r="Q109" s="25">
        <f t="array" aca="1" ref="Q109" ca="1">INDEX('Isaac 401k'!L:L,MATCH('Retirement Calculator'!A109,'Isaac 401k'!N:N,0),0)</f>
        <v>1566172.4488055422</v>
      </c>
      <c r="R109" s="25">
        <f t="array" aca="1" ref="R109" ca="1">INDEX('Lorri 401b'!L:L,MATCH('Retirement Calculator'!A109,'Lorri 401b'!N:N,0),0)</f>
        <v>4313759.5393228503</v>
      </c>
      <c r="S109" s="25">
        <f t="shared" ca="1" si="7"/>
        <v>5879931.988128392</v>
      </c>
    </row>
    <row r="110" spans="1:19" ht="15.75" customHeight="1" x14ac:dyDescent="0.3">
      <c r="A110" s="37">
        <v>54302</v>
      </c>
      <c r="B110" s="398">
        <f t="shared" ref="B110:C110" si="106">($A110-B$9)/365.25</f>
        <v>66.792607802874741</v>
      </c>
      <c r="C110" s="398">
        <f t="shared" si="106"/>
        <v>62.182067077344286</v>
      </c>
      <c r="E110" s="25">
        <f>IF(C110&gt;$B$7,0,'Combined Retirement'!$D$13/12)</f>
        <v>0</v>
      </c>
      <c r="F110" s="25">
        <f>IF(H110=0,'Combined Retirement'!$D$32,0)+'Combined Retirement'!$B$24</f>
        <v>2870.372285649099</v>
      </c>
      <c r="G110" s="25">
        <f>'Combined Retirement'!$C$24</f>
        <v>3254.2644699519233</v>
      </c>
      <c r="H110" s="25">
        <f>IF(B110&lt;62,0,'Combined Retirement'!$I$14)</f>
        <v>2345</v>
      </c>
      <c r="I110" s="25">
        <f>IF(C110&lt;62,0,'Combined Retirement'!$I$13)</f>
        <v>2420</v>
      </c>
      <c r="J110" s="25">
        <f t="shared" si="3"/>
        <v>8395.6297298201844</v>
      </c>
      <c r="K110" s="25">
        <f t="shared" si="4"/>
        <v>21655.303514578787</v>
      </c>
      <c r="L110" s="25"/>
      <c r="N110" s="25">
        <f>'Combined Retirement'!$C$18/12</f>
        <v>40940.569999999992</v>
      </c>
      <c r="O110" s="25">
        <f t="shared" si="5"/>
        <v>10889.636755601023</v>
      </c>
      <c r="P110" s="25">
        <f t="shared" si="6"/>
        <v>30050.93324439897</v>
      </c>
      <c r="Q110" s="25">
        <f t="array" aca="1" ref="Q110" ca="1">INDEX('Isaac 401k'!L:L,MATCH('Retirement Calculator'!A110,'Isaac 401k'!N:N,0),0)</f>
        <v>1564267.5558218709</v>
      </c>
      <c r="R110" s="25">
        <f t="array" aca="1" ref="R110" ca="1">INDEX('Lorri 401b'!L:L,MATCH('Retirement Calculator'!A110,'Lorri 401b'!N:N,0),0)</f>
        <v>4309988.0034574727</v>
      </c>
      <c r="S110" s="25">
        <f t="shared" ca="1" si="7"/>
        <v>5874255.5592793431</v>
      </c>
    </row>
    <row r="111" spans="1:19" ht="15.75" customHeight="1" x14ac:dyDescent="0.3">
      <c r="A111" s="37">
        <v>54332</v>
      </c>
      <c r="B111" s="398">
        <f t="shared" ref="B111:C111" si="107">($A111-B$9)/365.25</f>
        <v>66.874743326488712</v>
      </c>
      <c r="C111" s="398">
        <f t="shared" si="107"/>
        <v>62.264202600958249</v>
      </c>
      <c r="E111" s="25">
        <f>IF(C111&gt;$B$7,0,'Combined Retirement'!$D$13/12)</f>
        <v>0</v>
      </c>
      <c r="F111" s="25">
        <f>IF(H111=0,'Combined Retirement'!$D$32,0)+'Combined Retirement'!$B$24</f>
        <v>2870.372285649099</v>
      </c>
      <c r="G111" s="25">
        <f>'Combined Retirement'!$C$24</f>
        <v>3254.2644699519233</v>
      </c>
      <c r="H111" s="25">
        <f>IF(B111&lt;62,0,'Combined Retirement'!$I$14)</f>
        <v>2345</v>
      </c>
      <c r="I111" s="25">
        <f>IF(C111&lt;62,0,'Combined Retirement'!$I$13)</f>
        <v>2420</v>
      </c>
      <c r="J111" s="25">
        <f t="shared" si="3"/>
        <v>8395.6297298201844</v>
      </c>
      <c r="K111" s="25">
        <f t="shared" si="4"/>
        <v>21655.303514578787</v>
      </c>
      <c r="L111" s="25"/>
      <c r="N111" s="25">
        <f>'Combined Retirement'!$C$18/12</f>
        <v>40940.569999999992</v>
      </c>
      <c r="O111" s="25">
        <f t="shared" si="5"/>
        <v>10889.636755601023</v>
      </c>
      <c r="P111" s="25">
        <f t="shared" si="6"/>
        <v>30050.93324439897</v>
      </c>
      <c r="Q111" s="25">
        <f t="array" aca="1" ref="Q111" ca="1">INDEX('Isaac 401k'!L:L,MATCH('Retirement Calculator'!A111,'Isaac 401k'!N:N,0),0)</f>
        <v>1562354.7257841011</v>
      </c>
      <c r="R111" s="25">
        <f t="array" aca="1" ref="R111" ca="1">INDEX('Lorri 401b'!L:L,MATCH('Retirement Calculator'!A111,'Lorri 401b'!N:N,0),0)</f>
        <v>4306200.7528593233</v>
      </c>
      <c r="S111" s="25">
        <f t="shared" ca="1" si="7"/>
        <v>5868555.4786434248</v>
      </c>
    </row>
    <row r="112" spans="1:19" ht="15.75" customHeight="1" x14ac:dyDescent="0.3">
      <c r="A112" s="37">
        <v>54363</v>
      </c>
      <c r="B112" s="398">
        <f t="shared" ref="B112:C112" si="108">($A112-B$9)/365.25</f>
        <v>66.959616700889796</v>
      </c>
      <c r="C112" s="398">
        <f t="shared" si="108"/>
        <v>62.349075975359341</v>
      </c>
      <c r="E112" s="25">
        <f>IF(C112&gt;$B$7,0,'Combined Retirement'!$D$13/12)</f>
        <v>0</v>
      </c>
      <c r="F112" s="25">
        <f>IF(H112=0,'Combined Retirement'!$D$32,0)+'Combined Retirement'!$B$24</f>
        <v>2870.372285649099</v>
      </c>
      <c r="G112" s="25">
        <f>'Combined Retirement'!$C$24</f>
        <v>3254.2644699519233</v>
      </c>
      <c r="H112" s="25">
        <f>IF(B112&lt;62,0,'Combined Retirement'!$I$14)</f>
        <v>2345</v>
      </c>
      <c r="I112" s="25">
        <f>IF(C112&lt;62,0,'Combined Retirement'!$I$13)</f>
        <v>2420</v>
      </c>
      <c r="J112" s="25">
        <f t="shared" si="3"/>
        <v>8395.6297298201844</v>
      </c>
      <c r="K112" s="25">
        <f t="shared" si="4"/>
        <v>21655.303514578787</v>
      </c>
      <c r="L112" s="25"/>
      <c r="N112" s="25">
        <f>'Combined Retirement'!$C$18/12</f>
        <v>40940.569999999992</v>
      </c>
      <c r="O112" s="25">
        <f t="shared" si="5"/>
        <v>10889.636755601023</v>
      </c>
      <c r="P112" s="25">
        <f t="shared" si="6"/>
        <v>30050.93324439897</v>
      </c>
      <c r="Q112" s="25">
        <f t="array" aca="1" ref="Q112" ca="1">INDEX('Isaac 401k'!L:L,MATCH('Retirement Calculator'!A112,'Isaac 401k'!N:N,0),0)</f>
        <v>1560433.9256211738</v>
      </c>
      <c r="R112" s="25">
        <f t="array" aca="1" ref="R112" ca="1">INDEX('Lorri 401b'!L:L,MATCH('Retirement Calculator'!A112,'Lorri 401b'!N:N,0),0)</f>
        <v>4302397.7220503483</v>
      </c>
      <c r="S112" s="25">
        <f t="shared" ca="1" si="7"/>
        <v>5862831.6476715226</v>
      </c>
    </row>
    <row r="113" spans="1:19" ht="15.75" customHeight="1" x14ac:dyDescent="0.3">
      <c r="A113" s="37">
        <v>54393</v>
      </c>
      <c r="B113" s="398">
        <f t="shared" ref="B113:C113" si="109">($A113-B$9)/365.25</f>
        <v>67.041752224503767</v>
      </c>
      <c r="C113" s="398">
        <f t="shared" si="109"/>
        <v>62.431211498973305</v>
      </c>
      <c r="E113" s="25">
        <f>IF(C113&gt;$B$7,0,'Combined Retirement'!$D$13/12)</f>
        <v>0</v>
      </c>
      <c r="F113" s="25">
        <f>IF(H113=0,'Combined Retirement'!$D$32,0)+'Combined Retirement'!$B$24</f>
        <v>2870.372285649099</v>
      </c>
      <c r="G113" s="25">
        <f>'Combined Retirement'!$C$24</f>
        <v>3254.2644699519233</v>
      </c>
      <c r="H113" s="25">
        <f>IF(B113&lt;62,0,'Combined Retirement'!$I$14)</f>
        <v>2345</v>
      </c>
      <c r="I113" s="25">
        <f>IF(C113&lt;62,0,'Combined Retirement'!$I$13)</f>
        <v>2420</v>
      </c>
      <c r="J113" s="25">
        <f t="shared" si="3"/>
        <v>8395.6297298201844</v>
      </c>
      <c r="K113" s="25">
        <f t="shared" si="4"/>
        <v>21655.303514578787</v>
      </c>
      <c r="L113" s="25"/>
      <c r="N113" s="25">
        <f>'Combined Retirement'!$C$18/12</f>
        <v>40940.569999999992</v>
      </c>
      <c r="O113" s="25">
        <f t="shared" si="5"/>
        <v>10889.636755601023</v>
      </c>
      <c r="P113" s="25">
        <f t="shared" si="6"/>
        <v>30050.93324439897</v>
      </c>
      <c r="Q113" s="25">
        <f t="array" aca="1" ref="Q113" ca="1">INDEX('Isaac 401k'!L:L,MATCH('Retirement Calculator'!A113,'Isaac 401k'!N:N,0),0)</f>
        <v>1558505.1221242342</v>
      </c>
      <c r="R113" s="25">
        <f t="array" aca="1" ref="R113" ca="1">INDEX('Lorri 401b'!L:L,MATCH('Retirement Calculator'!A113,'Lorri 401b'!N:N,0),0)</f>
        <v>4298578.8452796694</v>
      </c>
      <c r="S113" s="25">
        <f t="shared" ca="1" si="7"/>
        <v>5857083.9674039036</v>
      </c>
    </row>
    <row r="114" spans="1:19" ht="15.75" customHeight="1" x14ac:dyDescent="0.3">
      <c r="A114" s="37">
        <v>54424</v>
      </c>
      <c r="B114" s="398">
        <f t="shared" ref="B114:C114" si="110">($A114-B$9)/365.25</f>
        <v>67.126625598904866</v>
      </c>
      <c r="C114" s="398">
        <f t="shared" si="110"/>
        <v>62.516084873374403</v>
      </c>
      <c r="E114" s="25">
        <f>IF(C114&gt;$B$7,0,'Combined Retirement'!$D$13/12)</f>
        <v>0</v>
      </c>
      <c r="F114" s="25">
        <f>IF(H114=0,'Combined Retirement'!$D$32,0)+'Combined Retirement'!$B$24</f>
        <v>2870.372285649099</v>
      </c>
      <c r="G114" s="25">
        <f>'Combined Retirement'!$C$24</f>
        <v>3254.2644699519233</v>
      </c>
      <c r="H114" s="25">
        <f>IF(B114&lt;62,0,'Combined Retirement'!$I$14)</f>
        <v>2345</v>
      </c>
      <c r="I114" s="25">
        <f>IF(C114&lt;62,0,'Combined Retirement'!$I$13)</f>
        <v>2420</v>
      </c>
      <c r="J114" s="25">
        <f t="shared" si="3"/>
        <v>8395.6297298201844</v>
      </c>
      <c r="K114" s="25">
        <f t="shared" si="4"/>
        <v>21655.303514578787</v>
      </c>
      <c r="L114" s="25"/>
      <c r="N114" s="25">
        <f>'Combined Retirement'!$C$18/12</f>
        <v>40940.569999999992</v>
      </c>
      <c r="O114" s="25">
        <f t="shared" si="5"/>
        <v>10889.636755601023</v>
      </c>
      <c r="P114" s="25">
        <f t="shared" si="6"/>
        <v>30050.93324439897</v>
      </c>
      <c r="Q114" s="25">
        <f t="array" aca="1" ref="Q114" ca="1">INDEX('Isaac 401k'!L:L,MATCH('Retirement Calculator'!A114,'Isaac 401k'!N:N,0),0)</f>
        <v>1556568.2819460575</v>
      </c>
      <c r="R114" s="25">
        <f t="array" aca="1" ref="R114" ca="1">INDEX('Lorri 401b'!L:L,MATCH('Retirement Calculator'!A114,'Lorri 401b'!N:N,0),0)</f>
        <v>4294744.0565224458</v>
      </c>
      <c r="S114" s="25">
        <f t="shared" ca="1" si="7"/>
        <v>5851312.3384685032</v>
      </c>
    </row>
    <row r="115" spans="1:19" ht="15.75" customHeight="1" x14ac:dyDescent="0.3">
      <c r="A115" s="37">
        <v>54455</v>
      </c>
      <c r="B115" s="398">
        <f t="shared" ref="B115:C115" si="111">($A115-B$9)/365.25</f>
        <v>67.21149897330595</v>
      </c>
      <c r="C115" s="398">
        <f t="shared" si="111"/>
        <v>62.600958247775495</v>
      </c>
      <c r="E115" s="25">
        <f>IF(C115&gt;$B$7,0,'Combined Retirement'!$D$13/12)</f>
        <v>0</v>
      </c>
      <c r="F115" s="25">
        <f>IF(H115=0,'Combined Retirement'!$D$32,0)+'Combined Retirement'!$B$24</f>
        <v>2870.372285649099</v>
      </c>
      <c r="G115" s="25">
        <f>'Combined Retirement'!$C$24</f>
        <v>3254.2644699519233</v>
      </c>
      <c r="H115" s="25">
        <f>IF(B115&lt;62,0,'Combined Retirement'!$I$14)</f>
        <v>2345</v>
      </c>
      <c r="I115" s="25">
        <f>IF(C115&lt;62,0,'Combined Retirement'!$I$13)</f>
        <v>2420</v>
      </c>
      <c r="J115" s="25">
        <f t="shared" si="3"/>
        <v>8395.6297298201844</v>
      </c>
      <c r="K115" s="25">
        <f t="shared" si="4"/>
        <v>21655.303514578787</v>
      </c>
      <c r="L115" s="25"/>
      <c r="N115" s="25">
        <f>'Combined Retirement'!$C$18/12</f>
        <v>40940.569999999992</v>
      </c>
      <c r="O115" s="25">
        <f t="shared" si="5"/>
        <v>10889.636755601023</v>
      </c>
      <c r="P115" s="25">
        <f t="shared" si="6"/>
        <v>30050.93324439897</v>
      </c>
      <c r="Q115" s="25">
        <f t="array" aca="1" ref="Q115" ca="1">INDEX('Isaac 401k'!L:L,MATCH('Retirement Calculator'!A115,'Isaac 401k'!N:N,0),0)</f>
        <v>1554623.3716004717</v>
      </c>
      <c r="R115" s="25">
        <f t="array" aca="1" ref="R115" ca="1">INDEX('Lorri 401b'!L:L,MATCH('Retirement Calculator'!A115,'Lorri 401b'!N:N,0),0)</f>
        <v>4290893.2894787332</v>
      </c>
      <c r="S115" s="25">
        <f t="shared" ca="1" si="7"/>
        <v>5845516.6610792046</v>
      </c>
    </row>
    <row r="116" spans="1:19" ht="15.75" customHeight="1" x14ac:dyDescent="0.3">
      <c r="A116" s="37">
        <v>54483</v>
      </c>
      <c r="B116" s="398">
        <f t="shared" ref="B116:C116" si="112">($A116-B$9)/365.25</f>
        <v>67.288158795345652</v>
      </c>
      <c r="C116" s="398">
        <f t="shared" si="112"/>
        <v>62.677618069815196</v>
      </c>
      <c r="E116" s="25">
        <f>IF(C116&gt;$B$7,0,'Combined Retirement'!$D$13/12)</f>
        <v>0</v>
      </c>
      <c r="F116" s="25">
        <f>IF(H116=0,'Combined Retirement'!$D$32,0)+'Combined Retirement'!$B$24</f>
        <v>2870.372285649099</v>
      </c>
      <c r="G116" s="25">
        <f>'Combined Retirement'!$C$24</f>
        <v>3254.2644699519233</v>
      </c>
      <c r="H116" s="25">
        <f>IF(B116&lt;62,0,'Combined Retirement'!$I$14)</f>
        <v>2345</v>
      </c>
      <c r="I116" s="25">
        <f>IF(C116&lt;62,0,'Combined Retirement'!$I$13)</f>
        <v>2420</v>
      </c>
      <c r="J116" s="25">
        <f t="shared" si="3"/>
        <v>8395.6297298201844</v>
      </c>
      <c r="K116" s="25">
        <f t="shared" si="4"/>
        <v>21655.303514578787</v>
      </c>
      <c r="L116" s="25"/>
      <c r="N116" s="25">
        <f>'Combined Retirement'!$C$18/12</f>
        <v>40940.569999999992</v>
      </c>
      <c r="O116" s="25">
        <f t="shared" si="5"/>
        <v>10889.636755601023</v>
      </c>
      <c r="P116" s="25">
        <f t="shared" si="6"/>
        <v>30050.93324439897</v>
      </c>
      <c r="Q116" s="25">
        <f t="array" aca="1" ref="Q116" ca="1">INDEX('Isaac 401k'!L:L,MATCH('Retirement Calculator'!A116,'Isaac 401k'!N:N,0),0)</f>
        <v>1552670.3574617791</v>
      </c>
      <c r="R116" s="25">
        <f t="array" aca="1" ref="R116" ca="1">INDEX('Lorri 401b'!L:L,MATCH('Retirement Calculator'!A116,'Lorri 401b'!N:N,0),0)</f>
        <v>4287026.4775723387</v>
      </c>
      <c r="S116" s="25">
        <f t="shared" ca="1" si="7"/>
        <v>5839696.835034118</v>
      </c>
    </row>
    <row r="117" spans="1:19" ht="15.75" customHeight="1" x14ac:dyDescent="0.3">
      <c r="A117" s="37">
        <v>54514</v>
      </c>
      <c r="B117" s="398">
        <f t="shared" ref="B117:C117" si="113">($A117-B$9)/365.25</f>
        <v>67.37303216974675</v>
      </c>
      <c r="C117" s="398">
        <f t="shared" si="113"/>
        <v>62.762491444216288</v>
      </c>
      <c r="E117" s="25">
        <f>IF(C117&gt;$B$7,0,'Combined Retirement'!$D$13/12)</f>
        <v>0</v>
      </c>
      <c r="F117" s="25">
        <f>IF(H117=0,'Combined Retirement'!$D$32,0)+'Combined Retirement'!$B$24</f>
        <v>2870.372285649099</v>
      </c>
      <c r="G117" s="25">
        <f>'Combined Retirement'!$C$24</f>
        <v>3254.2644699519233</v>
      </c>
      <c r="H117" s="25">
        <f>IF(B117&lt;62,0,'Combined Retirement'!$I$14)</f>
        <v>2345</v>
      </c>
      <c r="I117" s="25">
        <f>IF(C117&lt;62,0,'Combined Retirement'!$I$13)</f>
        <v>2420</v>
      </c>
      <c r="J117" s="25">
        <f t="shared" si="3"/>
        <v>8395.6297298201844</v>
      </c>
      <c r="K117" s="25">
        <f t="shared" si="4"/>
        <v>21655.303514578787</v>
      </c>
      <c r="L117" s="25"/>
      <c r="N117" s="25">
        <f>'Combined Retirement'!$C$18/12</f>
        <v>40940.569999999992</v>
      </c>
      <c r="O117" s="25">
        <f t="shared" si="5"/>
        <v>10889.636755601023</v>
      </c>
      <c r="P117" s="25">
        <f t="shared" si="6"/>
        <v>30050.93324439897</v>
      </c>
      <c r="Q117" s="25">
        <f t="array" aca="1" ref="Q117" ca="1">INDEX('Isaac 401k'!L:L,MATCH('Retirement Calculator'!A117,'Isaac 401k'!N:N,0),0)</f>
        <v>1550709.2057641754</v>
      </c>
      <c r="R117" s="25">
        <f t="array" aca="1" ref="R117" ca="1">INDEX('Lorri 401b'!L:L,MATCH('Retirement Calculator'!A117,'Lorri 401b'!N:N,0),0)</f>
        <v>4283143.5539496681</v>
      </c>
      <c r="S117" s="25">
        <f t="shared" ca="1" si="7"/>
        <v>5833852.7597138435</v>
      </c>
    </row>
    <row r="118" spans="1:19" ht="15.75" customHeight="1" x14ac:dyDescent="0.3">
      <c r="A118" s="37">
        <v>54544</v>
      </c>
      <c r="B118" s="398">
        <f t="shared" ref="B118:C118" si="114">($A118-B$9)/365.25</f>
        <v>67.455167693360707</v>
      </c>
      <c r="C118" s="398">
        <f t="shared" si="114"/>
        <v>62.844626967830251</v>
      </c>
      <c r="E118" s="25">
        <f>IF(C118&gt;$B$7,0,'Combined Retirement'!$D$13/12)</f>
        <v>0</v>
      </c>
      <c r="F118" s="25">
        <f>IF(H118=0,'Combined Retirement'!$D$32,0)+'Combined Retirement'!$B$24</f>
        <v>2870.372285649099</v>
      </c>
      <c r="G118" s="25">
        <f>'Combined Retirement'!$C$24</f>
        <v>3254.2644699519233</v>
      </c>
      <c r="H118" s="25">
        <f>IF(B118&lt;62,0,'Combined Retirement'!$I$14)</f>
        <v>2345</v>
      </c>
      <c r="I118" s="25">
        <f>IF(C118&lt;62,0,'Combined Retirement'!$I$13)</f>
        <v>2420</v>
      </c>
      <c r="J118" s="25">
        <f t="shared" si="3"/>
        <v>8395.6297298201844</v>
      </c>
      <c r="K118" s="25">
        <f t="shared" si="4"/>
        <v>21655.303514578787</v>
      </c>
      <c r="L118" s="25"/>
      <c r="N118" s="25">
        <f>'Combined Retirement'!$C$18/12</f>
        <v>40940.569999999992</v>
      </c>
      <c r="O118" s="25">
        <f t="shared" si="5"/>
        <v>10889.636755601023</v>
      </c>
      <c r="P118" s="25">
        <f t="shared" si="6"/>
        <v>30050.93324439897</v>
      </c>
      <c r="Q118" s="25">
        <f t="array" aca="1" ref="Q118" ca="1">INDEX('Isaac 401k'!L:L,MATCH('Retirement Calculator'!A118,'Isaac 401k'!N:N,0),0)</f>
        <v>1548739.882601165</v>
      </c>
      <c r="R118" s="25">
        <f t="array" aca="1" ref="R118" ca="1">INDEX('Lorri 401b'!L:L,MATCH('Retirement Calculator'!A118,'Lorri 401b'!N:N,0),0)</f>
        <v>4279244.4514785688</v>
      </c>
      <c r="S118" s="25">
        <f t="shared" ca="1" si="7"/>
        <v>5827984.334079734</v>
      </c>
    </row>
    <row r="119" spans="1:19" ht="15.75" customHeight="1" x14ac:dyDescent="0.3">
      <c r="A119" s="37">
        <v>54575</v>
      </c>
      <c r="B119" s="398">
        <f t="shared" ref="B119:C119" si="115">($A119-B$9)/365.25</f>
        <v>67.540041067761805</v>
      </c>
      <c r="C119" s="398">
        <f t="shared" si="115"/>
        <v>62.92950034223135</v>
      </c>
      <c r="E119" s="25">
        <f>IF(C119&gt;$B$7,0,'Combined Retirement'!$D$13/12)</f>
        <v>0</v>
      </c>
      <c r="F119" s="25">
        <f>IF(H119=0,'Combined Retirement'!$D$32,0)+'Combined Retirement'!$B$24</f>
        <v>2870.372285649099</v>
      </c>
      <c r="G119" s="25">
        <f>'Combined Retirement'!$C$24</f>
        <v>3254.2644699519233</v>
      </c>
      <c r="H119" s="25">
        <f>IF(B119&lt;62,0,'Combined Retirement'!$I$14)</f>
        <v>2345</v>
      </c>
      <c r="I119" s="25">
        <f>IF(C119&lt;62,0,'Combined Retirement'!$I$13)</f>
        <v>2420</v>
      </c>
      <c r="J119" s="25">
        <f t="shared" si="3"/>
        <v>8395.6297298201844</v>
      </c>
      <c r="K119" s="25">
        <f t="shared" si="4"/>
        <v>21655.303514578787</v>
      </c>
      <c r="L119" s="25"/>
      <c r="N119" s="25">
        <f>'Combined Retirement'!$C$18/12</f>
        <v>40940.569999999992</v>
      </c>
      <c r="O119" s="25">
        <f t="shared" si="5"/>
        <v>10889.636755601023</v>
      </c>
      <c r="P119" s="25">
        <f t="shared" si="6"/>
        <v>30050.93324439897</v>
      </c>
      <c r="Q119" s="25">
        <f t="array" aca="1" ref="Q119" ca="1">INDEX('Isaac 401k'!L:L,MATCH('Retirement Calculator'!A119,'Isaac 401k'!N:N,0),0)</f>
        <v>1546762.3539249755</v>
      </c>
      <c r="R119" s="25">
        <f t="array" aca="1" ref="R119" ca="1">INDEX('Lorri 401b'!L:L,MATCH('Retirement Calculator'!A119,'Lorri 401b'!N:N,0),0)</f>
        <v>4275329.102747174</v>
      </c>
      <c r="S119" s="25">
        <f t="shared" ca="1" si="7"/>
        <v>5822091.4566721497</v>
      </c>
    </row>
    <row r="120" spans="1:19" ht="15.75" customHeight="1" x14ac:dyDescent="0.3">
      <c r="A120" s="37">
        <v>54605</v>
      </c>
      <c r="B120" s="398">
        <f t="shared" ref="B120:C120" si="116">($A120-B$9)/365.25</f>
        <v>67.622176591375776</v>
      </c>
      <c r="C120" s="398">
        <f t="shared" si="116"/>
        <v>63.011635865845314</v>
      </c>
      <c r="E120" s="25">
        <f>IF(C120&gt;$B$7,0,'Combined Retirement'!$D$13/12)</f>
        <v>0</v>
      </c>
      <c r="F120" s="25">
        <f>IF(H120=0,'Combined Retirement'!$D$32,0)+'Combined Retirement'!$B$24</f>
        <v>2870.372285649099</v>
      </c>
      <c r="G120" s="25">
        <f>'Combined Retirement'!$C$24</f>
        <v>3254.2644699519233</v>
      </c>
      <c r="H120" s="25">
        <f>IF(B120&lt;62,0,'Combined Retirement'!$I$14)</f>
        <v>2345</v>
      </c>
      <c r="I120" s="25">
        <f>IF(C120&lt;62,0,'Combined Retirement'!$I$13)</f>
        <v>2420</v>
      </c>
      <c r="J120" s="25">
        <f t="shared" si="3"/>
        <v>8395.6297298201844</v>
      </c>
      <c r="K120" s="25">
        <f t="shared" si="4"/>
        <v>21655.303514578787</v>
      </c>
      <c r="L120" s="25"/>
      <c r="N120" s="25">
        <f>'Combined Retirement'!$C$18/12</f>
        <v>40940.569999999992</v>
      </c>
      <c r="O120" s="25">
        <f t="shared" si="5"/>
        <v>10889.636755601023</v>
      </c>
      <c r="P120" s="25">
        <f t="shared" si="6"/>
        <v>30050.93324439897</v>
      </c>
      <c r="Q120" s="25">
        <f t="array" aca="1" ref="Q120" ca="1">INDEX('Isaac 401k'!L:L,MATCH('Retirement Calculator'!A120,'Isaac 401k'!N:N,0),0)</f>
        <v>1544776.5855459685</v>
      </c>
      <c r="R120" s="25">
        <f t="array" aca="1" ref="R120" ca="1">INDEX('Lorri 401b'!L:L,MATCH('Retirement Calculator'!A120,'Lorri 401b'!N:N,0),0)</f>
        <v>4271397.4400627315</v>
      </c>
      <c r="S120" s="25">
        <f t="shared" ca="1" si="7"/>
        <v>5816174.0256086998</v>
      </c>
    </row>
    <row r="121" spans="1:19" ht="15.75" customHeight="1" x14ac:dyDescent="0.3">
      <c r="A121" s="37">
        <v>54636</v>
      </c>
      <c r="B121" s="398">
        <f t="shared" ref="B121:C121" si="117">($A121-B$9)/365.25</f>
        <v>67.707049965776861</v>
      </c>
      <c r="C121" s="398">
        <f t="shared" si="117"/>
        <v>63.096509240246405</v>
      </c>
      <c r="E121" s="25">
        <f>IF(C121&gt;$B$7,0,'Combined Retirement'!$D$13/12)</f>
        <v>0</v>
      </c>
      <c r="F121" s="25">
        <f>IF(H121=0,'Combined Retirement'!$D$32,0)+'Combined Retirement'!$B$24</f>
        <v>2870.372285649099</v>
      </c>
      <c r="G121" s="25">
        <f>'Combined Retirement'!$C$24</f>
        <v>3254.2644699519233</v>
      </c>
      <c r="H121" s="25">
        <f>IF(B121&lt;62,0,'Combined Retirement'!$I$14)</f>
        <v>2345</v>
      </c>
      <c r="I121" s="25">
        <f>IF(C121&lt;62,0,'Combined Retirement'!$I$13)</f>
        <v>2420</v>
      </c>
      <c r="J121" s="25">
        <f t="shared" si="3"/>
        <v>8395.6297298201844</v>
      </c>
      <c r="K121" s="25">
        <f t="shared" si="4"/>
        <v>21655.303514578787</v>
      </c>
      <c r="L121" s="25"/>
      <c r="N121" s="25">
        <f>'Combined Retirement'!$C$18/12</f>
        <v>40940.569999999992</v>
      </c>
      <c r="O121" s="25">
        <f t="shared" si="5"/>
        <v>10889.636755601023</v>
      </c>
      <c r="P121" s="25">
        <f t="shared" si="6"/>
        <v>30050.93324439897</v>
      </c>
      <c r="Q121" s="25">
        <f t="array" aca="1" ref="Q121" ca="1">INDEX('Isaac 401k'!L:L,MATCH('Retirement Calculator'!A121,'Isaac 401k'!N:N,0),0)</f>
        <v>1542782.543132049</v>
      </c>
      <c r="R121" s="25">
        <f t="array" aca="1" ref="R121" ca="1">INDEX('Lorri 401b'!L:L,MATCH('Retirement Calculator'!A121,'Lorri 401b'!N:N,0),0)</f>
        <v>4267449.3954504374</v>
      </c>
      <c r="S121" s="25">
        <f t="shared" ca="1" si="7"/>
        <v>5810231.9385824865</v>
      </c>
    </row>
    <row r="122" spans="1:19" ht="15.75" customHeight="1" x14ac:dyDescent="0.3">
      <c r="A122" s="37">
        <v>54667</v>
      </c>
      <c r="B122" s="398">
        <f t="shared" ref="B122:C122" si="118">($A122-B$9)/365.25</f>
        <v>67.791923340177959</v>
      </c>
      <c r="C122" s="398">
        <f t="shared" si="118"/>
        <v>63.181382614647504</v>
      </c>
      <c r="E122" s="25">
        <f>IF(C122&gt;$B$7,0,'Combined Retirement'!$D$13/12)</f>
        <v>0</v>
      </c>
      <c r="F122" s="25">
        <f>IF(H122=0,'Combined Retirement'!$D$32,0)+'Combined Retirement'!$B$24</f>
        <v>2870.372285649099</v>
      </c>
      <c r="G122" s="25">
        <f>'Combined Retirement'!$C$24</f>
        <v>3254.2644699519233</v>
      </c>
      <c r="H122" s="25">
        <f>IF(B122&lt;62,0,'Combined Retirement'!$I$14)</f>
        <v>2345</v>
      </c>
      <c r="I122" s="25">
        <f>IF(C122&lt;62,0,'Combined Retirement'!$I$13)</f>
        <v>2420</v>
      </c>
      <c r="J122" s="25">
        <f t="shared" si="3"/>
        <v>8395.6297298201844</v>
      </c>
      <c r="K122" s="25">
        <f t="shared" si="4"/>
        <v>21655.303514578787</v>
      </c>
      <c r="L122" s="25"/>
      <c r="N122" s="25">
        <f>'Combined Retirement'!$C$18/12</f>
        <v>40940.569999999992</v>
      </c>
      <c r="O122" s="25">
        <f t="shared" si="5"/>
        <v>10889.636755601023</v>
      </c>
      <c r="P122" s="25">
        <f t="shared" si="6"/>
        <v>30050.93324439897</v>
      </c>
      <c r="Q122" s="25">
        <f t="array" aca="1" ref="Q122" ca="1">INDEX('Isaac 401k'!L:L,MATCH('Retirement Calculator'!A122,'Isaac 401k'!N:N,0),0)</f>
        <v>1540780.1922080715</v>
      </c>
      <c r="R122" s="25">
        <f t="array" aca="1" ref="R122" ca="1">INDEX('Lorri 401b'!L:L,MATCH('Retirement Calculator'!A122,'Lorri 401b'!N:N,0),0)</f>
        <v>4263484.9006522587</v>
      </c>
      <c r="S122" s="25">
        <f t="shared" ca="1" si="7"/>
        <v>5804265.0928603299</v>
      </c>
    </row>
    <row r="123" spans="1:19" ht="15.75" customHeight="1" x14ac:dyDescent="0.3">
      <c r="A123" s="37">
        <v>54697</v>
      </c>
      <c r="B123" s="398">
        <f t="shared" ref="B123:C123" si="119">($A123-B$9)/365.25</f>
        <v>67.87405886379193</v>
      </c>
      <c r="C123" s="398">
        <f t="shared" si="119"/>
        <v>63.263518138261468</v>
      </c>
      <c r="E123" s="25">
        <f>IF(C123&gt;$B$7,0,'Combined Retirement'!$D$13/12)</f>
        <v>0</v>
      </c>
      <c r="F123" s="25">
        <f>IF(H123=0,'Combined Retirement'!$D$32,0)+'Combined Retirement'!$B$24</f>
        <v>2870.372285649099</v>
      </c>
      <c r="G123" s="25">
        <f>'Combined Retirement'!$C$24</f>
        <v>3254.2644699519233</v>
      </c>
      <c r="H123" s="25">
        <f>IF(B123&lt;62,0,'Combined Retirement'!$I$14)</f>
        <v>2345</v>
      </c>
      <c r="I123" s="25">
        <f>IF(C123&lt;62,0,'Combined Retirement'!$I$13)</f>
        <v>2420</v>
      </c>
      <c r="J123" s="25">
        <f t="shared" si="3"/>
        <v>8395.6297298201844</v>
      </c>
      <c r="K123" s="25">
        <f t="shared" si="4"/>
        <v>21655.303514578787</v>
      </c>
      <c r="L123" s="25"/>
      <c r="N123" s="25">
        <f>'Combined Retirement'!$C$18/12</f>
        <v>40940.569999999992</v>
      </c>
      <c r="O123" s="25">
        <f t="shared" si="5"/>
        <v>10889.636755601023</v>
      </c>
      <c r="P123" s="25">
        <f t="shared" si="6"/>
        <v>30050.93324439897</v>
      </c>
      <c r="Q123" s="25">
        <f t="array" aca="1" ref="Q123" ca="1">INDEX('Isaac 401k'!L:L,MATCH('Retirement Calculator'!A123,'Isaac 401k'!N:N,0),0)</f>
        <v>1538769.4981552439</v>
      </c>
      <c r="R123" s="25">
        <f t="array" aca="1" ref="R123" ca="1">INDEX('Lorri 401b'!L:L,MATCH('Retirement Calculator'!A123,'Lorri 401b'!N:N,0),0)</f>
        <v>4259503.8871257538</v>
      </c>
      <c r="S123" s="25">
        <f t="shared" ca="1" si="7"/>
        <v>5798273.3852809975</v>
      </c>
    </row>
    <row r="124" spans="1:19" ht="15.75" customHeight="1" x14ac:dyDescent="0.3">
      <c r="A124" s="37">
        <v>54728</v>
      </c>
      <c r="B124" s="398">
        <f t="shared" ref="B124:C124" si="120">($A124-B$9)/365.25</f>
        <v>67.958932238193015</v>
      </c>
      <c r="C124" s="398">
        <f t="shared" si="120"/>
        <v>63.348391512662559</v>
      </c>
      <c r="E124" s="25">
        <f>IF(C124&gt;$B$7,0,'Combined Retirement'!$D$13/12)</f>
        <v>0</v>
      </c>
      <c r="F124" s="25">
        <f>IF(H124=0,'Combined Retirement'!$D$32,0)+'Combined Retirement'!$B$24</f>
        <v>2870.372285649099</v>
      </c>
      <c r="G124" s="25">
        <f>'Combined Retirement'!$C$24</f>
        <v>3254.2644699519233</v>
      </c>
      <c r="H124" s="25">
        <f>IF(B124&lt;62,0,'Combined Retirement'!$I$14)</f>
        <v>2345</v>
      </c>
      <c r="I124" s="25">
        <f>IF(C124&lt;62,0,'Combined Retirement'!$I$13)</f>
        <v>2420</v>
      </c>
      <c r="J124" s="25">
        <f t="shared" si="3"/>
        <v>8395.6297298201844</v>
      </c>
      <c r="K124" s="25">
        <f t="shared" si="4"/>
        <v>21655.303514578787</v>
      </c>
      <c r="L124" s="25"/>
      <c r="N124" s="25">
        <f>'Combined Retirement'!$C$18/12</f>
        <v>40940.569999999992</v>
      </c>
      <c r="O124" s="25">
        <f t="shared" si="5"/>
        <v>10889.636755601023</v>
      </c>
      <c r="P124" s="25">
        <f t="shared" si="6"/>
        <v>30050.93324439897</v>
      </c>
      <c r="Q124" s="25">
        <f t="array" aca="1" ref="Q124" ca="1">INDEX('Isaac 401k'!L:L,MATCH('Retirement Calculator'!A124,'Isaac 401k'!N:N,0),0)</f>
        <v>1536750.4262105296</v>
      </c>
      <c r="R124" s="25">
        <f t="array" aca="1" ref="R124" ca="1">INDEX('Lorri 401b'!L:L,MATCH('Retirement Calculator'!A124,'Lorri 401b'!N:N,0),0)</f>
        <v>4255506.2860428886</v>
      </c>
      <c r="S124" s="25">
        <f t="shared" ca="1" si="7"/>
        <v>5792256.7122534178</v>
      </c>
    </row>
    <row r="125" spans="1:19" ht="15.75" customHeight="1" x14ac:dyDescent="0.3">
      <c r="A125" s="37">
        <v>54758</v>
      </c>
      <c r="B125" s="398">
        <f t="shared" ref="B125:C125" si="121">($A125-B$9)/365.25</f>
        <v>68.041067761806985</v>
      </c>
      <c r="C125" s="398">
        <f t="shared" si="121"/>
        <v>63.430527036276523</v>
      </c>
      <c r="E125" s="25">
        <f>IF(C125&gt;$B$7,0,'Combined Retirement'!$D$13/12)</f>
        <v>0</v>
      </c>
      <c r="F125" s="25">
        <f>IF(H125=0,'Combined Retirement'!$D$32,0)+'Combined Retirement'!$B$24</f>
        <v>2870.372285649099</v>
      </c>
      <c r="G125" s="25">
        <f>'Combined Retirement'!$C$24</f>
        <v>3254.2644699519233</v>
      </c>
      <c r="H125" s="25">
        <f>IF(B125&lt;62,0,'Combined Retirement'!$I$14)</f>
        <v>2345</v>
      </c>
      <c r="I125" s="25">
        <f>IF(C125&lt;62,0,'Combined Retirement'!$I$13)</f>
        <v>2420</v>
      </c>
      <c r="J125" s="25">
        <f t="shared" si="3"/>
        <v>8395.6297298201844</v>
      </c>
      <c r="K125" s="25">
        <f t="shared" si="4"/>
        <v>21655.303514578787</v>
      </c>
      <c r="L125" s="25"/>
      <c r="N125" s="25">
        <f>'Combined Retirement'!$C$18/12</f>
        <v>40940.569999999992</v>
      </c>
      <c r="O125" s="25">
        <f t="shared" si="5"/>
        <v>10889.636755601023</v>
      </c>
      <c r="P125" s="25">
        <f t="shared" si="6"/>
        <v>30050.93324439897</v>
      </c>
      <c r="Q125" s="25">
        <f t="array" aca="1" ref="Q125" ca="1">INDEX('Isaac 401k'!L:L,MATCH('Retirement Calculator'!A125,'Isaac 401k'!N:N,0),0)</f>
        <v>1534722.9414660458</v>
      </c>
      <c r="R125" s="25">
        <f t="array" aca="1" ref="R125" ca="1">INDEX('Lorri 401b'!L:L,MATCH('Retirement Calculator'!A125,'Lorri 401b'!N:N,0),0)</f>
        <v>4251492.028288845</v>
      </c>
      <c r="S125" s="25">
        <f t="shared" ca="1" si="7"/>
        <v>5786214.9697548905</v>
      </c>
    </row>
    <row r="126" spans="1:19" ht="15.75" customHeight="1" x14ac:dyDescent="0.3">
      <c r="A126" s="37">
        <v>54789</v>
      </c>
      <c r="B126" s="398">
        <f t="shared" ref="B126:C126" si="122">($A126-B$9)/365.25</f>
        <v>68.12594113620807</v>
      </c>
      <c r="C126" s="398">
        <f t="shared" si="122"/>
        <v>63.515400410677621</v>
      </c>
      <c r="E126" s="25">
        <f>IF(C126&gt;$B$7,0,'Combined Retirement'!$D$13/12)</f>
        <v>0</v>
      </c>
      <c r="F126" s="25">
        <f>IF(H126=0,'Combined Retirement'!$D$32,0)+'Combined Retirement'!$B$24</f>
        <v>2870.372285649099</v>
      </c>
      <c r="G126" s="25">
        <f>'Combined Retirement'!$C$24</f>
        <v>3254.2644699519233</v>
      </c>
      <c r="H126" s="25">
        <f>IF(B126&lt;62,0,'Combined Retirement'!$I$14)</f>
        <v>2345</v>
      </c>
      <c r="I126" s="25">
        <f>IF(C126&lt;62,0,'Combined Retirement'!$I$13)</f>
        <v>2420</v>
      </c>
      <c r="J126" s="25">
        <f t="shared" si="3"/>
        <v>8395.6297298201844</v>
      </c>
      <c r="K126" s="25">
        <f t="shared" si="4"/>
        <v>21655.303514578787</v>
      </c>
      <c r="L126" s="25"/>
      <c r="N126" s="25">
        <f>'Combined Retirement'!$C$18/12</f>
        <v>40940.569999999992</v>
      </c>
      <c r="O126" s="25">
        <f t="shared" si="5"/>
        <v>10889.636755601023</v>
      </c>
      <c r="P126" s="25">
        <f t="shared" si="6"/>
        <v>30050.93324439897</v>
      </c>
      <c r="Q126" s="25">
        <f t="array" aca="1" ref="Q126" ca="1">INDEX('Isaac 401k'!L:L,MATCH('Retirement Calculator'!A126,'Isaac 401k'!N:N,0),0)</f>
        <v>1532687.0088684598</v>
      </c>
      <c r="R126" s="25">
        <f t="array" aca="1" ref="R126" ca="1">INDEX('Lorri 401b'!L:L,MATCH('Retirement Calculator'!A126,'Lorri 401b'!N:N,0),0)</f>
        <v>4247461.0444608256</v>
      </c>
      <c r="S126" s="25">
        <f t="shared" ca="1" si="7"/>
        <v>5780148.0533292852</v>
      </c>
    </row>
    <row r="127" spans="1:19" ht="15.75" customHeight="1" x14ac:dyDescent="0.3">
      <c r="A127" s="37">
        <v>54820</v>
      </c>
      <c r="B127" s="398">
        <f t="shared" ref="B127:C127" si="123">($A127-B$9)/365.25</f>
        <v>68.210814510609168</v>
      </c>
      <c r="C127" s="398">
        <f t="shared" si="123"/>
        <v>63.600273785078713</v>
      </c>
      <c r="E127" s="25">
        <f>IF(C127&gt;$B$7,0,'Combined Retirement'!$D$13/12)</f>
        <v>0</v>
      </c>
      <c r="F127" s="25">
        <f>IF(H127=0,'Combined Retirement'!$D$32,0)+'Combined Retirement'!$B$24</f>
        <v>2870.372285649099</v>
      </c>
      <c r="G127" s="25">
        <f>'Combined Retirement'!$C$24</f>
        <v>3254.2644699519233</v>
      </c>
      <c r="H127" s="25">
        <f>IF(B127&lt;62,0,'Combined Retirement'!$I$14)</f>
        <v>2345</v>
      </c>
      <c r="I127" s="25">
        <f>IF(C127&lt;62,0,'Combined Retirement'!$I$13)</f>
        <v>2420</v>
      </c>
      <c r="J127" s="25">
        <f t="shared" si="3"/>
        <v>8395.6297298201844</v>
      </c>
      <c r="K127" s="25">
        <f t="shared" si="4"/>
        <v>21655.303514578787</v>
      </c>
      <c r="L127" s="25"/>
      <c r="N127" s="25">
        <f>'Combined Retirement'!$C$18/12</f>
        <v>40940.569999999992</v>
      </c>
      <c r="O127" s="25">
        <f t="shared" si="5"/>
        <v>10889.636755601023</v>
      </c>
      <c r="P127" s="25">
        <f t="shared" si="6"/>
        <v>30050.93324439897</v>
      </c>
      <c r="Q127" s="25">
        <f t="array" aca="1" ref="Q127" ca="1">INDEX('Isaac 401k'!L:L,MATCH('Retirement Calculator'!A127,'Isaac 401k'!N:N,0),0)</f>
        <v>1530642.5932183841</v>
      </c>
      <c r="R127" s="25">
        <f t="array" aca="1" ref="R127" ca="1">INDEX('Lorri 401b'!L:L,MATCH('Retirement Calculator'!A127,'Lorri 401b'!N:N,0),0)</f>
        <v>4243413.2648668569</v>
      </c>
      <c r="S127" s="25">
        <f t="shared" ca="1" si="7"/>
        <v>5774055.8580852412</v>
      </c>
    </row>
    <row r="128" spans="1:19" ht="15.75" customHeight="1" x14ac:dyDescent="0.3">
      <c r="A128" s="37">
        <v>54848</v>
      </c>
      <c r="B128" s="398">
        <f t="shared" ref="B128:C128" si="124">($A128-B$9)/365.25</f>
        <v>68.28747433264887</v>
      </c>
      <c r="C128" s="398">
        <f t="shared" si="124"/>
        <v>63.676933607118414</v>
      </c>
      <c r="E128" s="25">
        <f>IF(C128&gt;$B$7,0,'Combined Retirement'!$D$13/12)</f>
        <v>0</v>
      </c>
      <c r="F128" s="25">
        <f>IF(H128=0,'Combined Retirement'!$D$32,0)+'Combined Retirement'!$B$24</f>
        <v>2870.372285649099</v>
      </c>
      <c r="G128" s="25">
        <f>'Combined Retirement'!$C$24</f>
        <v>3254.2644699519233</v>
      </c>
      <c r="H128" s="25">
        <f>IF(B128&lt;62,0,'Combined Retirement'!$I$14)</f>
        <v>2345</v>
      </c>
      <c r="I128" s="25">
        <f>IF(C128&lt;62,0,'Combined Retirement'!$I$13)</f>
        <v>2420</v>
      </c>
      <c r="J128" s="25">
        <f t="shared" si="3"/>
        <v>8395.6297298201844</v>
      </c>
      <c r="K128" s="25">
        <f t="shared" si="4"/>
        <v>21655.303514578787</v>
      </c>
      <c r="L128" s="25"/>
      <c r="N128" s="25">
        <f>'Combined Retirement'!$C$18/12</f>
        <v>40940.569999999992</v>
      </c>
      <c r="O128" s="25">
        <f t="shared" si="5"/>
        <v>10889.636755601023</v>
      </c>
      <c r="P128" s="25">
        <f t="shared" si="6"/>
        <v>30050.93324439897</v>
      </c>
      <c r="Q128" s="25">
        <f t="array" aca="1" ref="Q128" ca="1">INDEX('Isaac 401k'!L:L,MATCH('Retirement Calculator'!A128,'Isaac 401k'!N:N,0),0)</f>
        <v>1528589.6591697664</v>
      </c>
      <c r="R128" s="25">
        <f t="array" aca="1" ref="R128" ca="1">INDEX('Lorri 401b'!L:L,MATCH('Retirement Calculator'!A128,'Lorri 401b'!N:N,0),0)</f>
        <v>4239348.6195245795</v>
      </c>
      <c r="S128" s="25">
        <f t="shared" ca="1" si="7"/>
        <v>5767938.2786943456</v>
      </c>
    </row>
    <row r="129" spans="1:19" ht="15.75" customHeight="1" x14ac:dyDescent="0.3">
      <c r="A129" s="37">
        <v>54879</v>
      </c>
      <c r="B129" s="398">
        <f t="shared" ref="B129:C129" si="125">($A129-B$9)/365.25</f>
        <v>68.372347707049968</v>
      </c>
      <c r="C129" s="398">
        <f t="shared" si="125"/>
        <v>63.761806981519506</v>
      </c>
      <c r="E129" s="25">
        <f>IF(C129&gt;$B$7,0,'Combined Retirement'!$D$13/12)</f>
        <v>0</v>
      </c>
      <c r="F129" s="25">
        <f>IF(H129=0,'Combined Retirement'!$D$32,0)+'Combined Retirement'!$B$24</f>
        <v>2870.372285649099</v>
      </c>
      <c r="G129" s="25">
        <f>'Combined Retirement'!$C$24</f>
        <v>3254.2644699519233</v>
      </c>
      <c r="H129" s="25">
        <f>IF(B129&lt;62,0,'Combined Retirement'!$I$14)</f>
        <v>2345</v>
      </c>
      <c r="I129" s="25">
        <f>IF(C129&lt;62,0,'Combined Retirement'!$I$13)</f>
        <v>2420</v>
      </c>
      <c r="J129" s="25">
        <f t="shared" si="3"/>
        <v>8395.6297298201844</v>
      </c>
      <c r="K129" s="25">
        <f t="shared" si="4"/>
        <v>21655.303514578787</v>
      </c>
      <c r="L129" s="25"/>
      <c r="N129" s="25">
        <f>'Combined Retirement'!$C$18/12</f>
        <v>40940.569999999992</v>
      </c>
      <c r="O129" s="25">
        <f t="shared" si="5"/>
        <v>10889.636755601023</v>
      </c>
      <c r="P129" s="25">
        <f t="shared" si="6"/>
        <v>30050.93324439897</v>
      </c>
      <c r="Q129" s="25">
        <f t="array" aca="1" ref="Q129" ca="1">INDEX('Isaac 401k'!L:L,MATCH('Retirement Calculator'!A129,'Isaac 401k'!N:N,0),0)</f>
        <v>1526528.1712292794</v>
      </c>
      <c r="R129" s="25">
        <f t="array" aca="1" ref="R129" ca="1">INDEX('Lorri 401b'!L:L,MATCH('Retirement Calculator'!A129,'Lorri 401b'!N:N,0),0)</f>
        <v>4235267.0381600428</v>
      </c>
      <c r="S129" s="25">
        <f t="shared" ca="1" si="7"/>
        <v>5761795.2093893224</v>
      </c>
    </row>
    <row r="130" spans="1:19" ht="15.75" customHeight="1" x14ac:dyDescent="0.3">
      <c r="A130" s="37">
        <v>54909</v>
      </c>
      <c r="B130" s="398">
        <f t="shared" ref="B130:C130" si="126">($A130-B$9)/365.25</f>
        <v>68.454483230663925</v>
      </c>
      <c r="C130" s="398">
        <f t="shared" si="126"/>
        <v>63.843942505133469</v>
      </c>
      <c r="E130" s="25">
        <f>IF(C130&gt;$B$7,0,'Combined Retirement'!$D$13/12)</f>
        <v>0</v>
      </c>
      <c r="F130" s="25">
        <f>IF(H130=0,'Combined Retirement'!$D$32,0)+'Combined Retirement'!$B$24</f>
        <v>2870.372285649099</v>
      </c>
      <c r="G130" s="25">
        <f>'Combined Retirement'!$C$24</f>
        <v>3254.2644699519233</v>
      </c>
      <c r="H130" s="25">
        <f>IF(B130&lt;62,0,'Combined Retirement'!$I$14)</f>
        <v>2345</v>
      </c>
      <c r="I130" s="25">
        <f>IF(C130&lt;62,0,'Combined Retirement'!$I$13)</f>
        <v>2420</v>
      </c>
      <c r="J130" s="25">
        <f t="shared" si="3"/>
        <v>8395.6297298201844</v>
      </c>
      <c r="K130" s="25">
        <f t="shared" si="4"/>
        <v>21655.303514578787</v>
      </c>
      <c r="L130" s="25"/>
      <c r="N130" s="25">
        <f>'Combined Retirement'!$C$18/12</f>
        <v>40940.569999999992</v>
      </c>
      <c r="O130" s="25">
        <f t="shared" si="5"/>
        <v>10889.636755601023</v>
      </c>
      <c r="P130" s="25">
        <f t="shared" si="6"/>
        <v>30050.93324439897</v>
      </c>
      <c r="Q130" s="25">
        <f t="array" aca="1" ref="Q130" ca="1">INDEX('Isaac 401k'!L:L,MATCH('Retirement Calculator'!A130,'Isaac 401k'!N:N,0),0)</f>
        <v>1524458.0937557069</v>
      </c>
      <c r="R130" s="25">
        <f t="array" aca="1" ref="R130" ca="1">INDEX('Lorri 401b'!L:L,MATCH('Retirement Calculator'!A130,'Lorri 401b'!N:N,0),0)</f>
        <v>4231168.4502064874</v>
      </c>
      <c r="S130" s="25">
        <f t="shared" ca="1" si="7"/>
        <v>5755626.5439621946</v>
      </c>
    </row>
    <row r="131" spans="1:19" ht="15.75" customHeight="1" x14ac:dyDescent="0.3">
      <c r="A131" s="37">
        <v>54940</v>
      </c>
      <c r="B131" s="398">
        <f t="shared" ref="B131:C131" si="127">($A131-B$9)/365.25</f>
        <v>68.539356605065024</v>
      </c>
      <c r="C131" s="398">
        <f t="shared" si="127"/>
        <v>63.928815879534568</v>
      </c>
      <c r="E131" s="25">
        <f>IF(C131&gt;$B$7,0,'Combined Retirement'!$D$13/12)</f>
        <v>0</v>
      </c>
      <c r="F131" s="25">
        <f>IF(H131=0,'Combined Retirement'!$D$32,0)+'Combined Retirement'!$B$24</f>
        <v>2870.372285649099</v>
      </c>
      <c r="G131" s="25">
        <f>'Combined Retirement'!$C$24</f>
        <v>3254.2644699519233</v>
      </c>
      <c r="H131" s="25">
        <f>IF(B131&lt;62,0,'Combined Retirement'!$I$14)</f>
        <v>2345</v>
      </c>
      <c r="I131" s="25">
        <f>IF(C131&lt;62,0,'Combined Retirement'!$I$13)</f>
        <v>2420</v>
      </c>
      <c r="J131" s="25">
        <f t="shared" si="3"/>
        <v>8395.6297298201844</v>
      </c>
      <c r="K131" s="25">
        <f t="shared" si="4"/>
        <v>21655.303514578787</v>
      </c>
      <c r="L131" s="25"/>
      <c r="N131" s="25">
        <f>'Combined Retirement'!$C$18/12</f>
        <v>40940.569999999992</v>
      </c>
      <c r="O131" s="25">
        <f t="shared" si="5"/>
        <v>10889.636755601023</v>
      </c>
      <c r="P131" s="25">
        <f t="shared" si="6"/>
        <v>30050.93324439897</v>
      </c>
      <c r="Q131" s="25">
        <f t="array" aca="1" ref="Q131" ca="1">INDEX('Isaac 401k'!L:L,MATCH('Retirement Calculator'!A131,'Isaac 401k'!N:N,0),0)</f>
        <v>1522379.390959328</v>
      </c>
      <c r="R131" s="25">
        <f t="array" aca="1" ref="R131" ca="1">INDEX('Lorri 401b'!L:L,MATCH('Retirement Calculator'!A131,'Lorri 401b'!N:N,0),0)</f>
        <v>4227052.7848031251</v>
      </c>
      <c r="S131" s="25">
        <f t="shared" ca="1" si="7"/>
        <v>5749432.1757624531</v>
      </c>
    </row>
    <row r="132" spans="1:19" ht="15.75" customHeight="1" x14ac:dyDescent="0.3">
      <c r="A132" s="37">
        <v>54970</v>
      </c>
      <c r="B132" s="398">
        <f t="shared" ref="B132:C132" si="128">($A132-B$9)/365.25</f>
        <v>68.62149212867898</v>
      </c>
      <c r="C132" s="398">
        <f t="shared" si="128"/>
        <v>64.010951403148525</v>
      </c>
      <c r="E132" s="25">
        <f>IF(C132&gt;$B$7,0,'Combined Retirement'!$D$13/12)</f>
        <v>0</v>
      </c>
      <c r="F132" s="25">
        <f>IF(H132=0,'Combined Retirement'!$D$32,0)+'Combined Retirement'!$B$24</f>
        <v>2870.372285649099</v>
      </c>
      <c r="G132" s="25">
        <f>'Combined Retirement'!$C$24</f>
        <v>3254.2644699519233</v>
      </c>
      <c r="H132" s="25">
        <f>IF(B132&lt;62,0,'Combined Retirement'!$I$14)</f>
        <v>2345</v>
      </c>
      <c r="I132" s="25">
        <f>IF(C132&lt;62,0,'Combined Retirement'!$I$13)</f>
        <v>2420</v>
      </c>
      <c r="J132" s="25">
        <f t="shared" si="3"/>
        <v>8395.6297298201844</v>
      </c>
      <c r="K132" s="25">
        <f t="shared" si="4"/>
        <v>21655.303514578787</v>
      </c>
      <c r="L132" s="25"/>
      <c r="N132" s="25">
        <f>'Combined Retirement'!$C$18/12</f>
        <v>40940.569999999992</v>
      </c>
      <c r="O132" s="25">
        <f t="shared" si="5"/>
        <v>10889.636755601023</v>
      </c>
      <c r="P132" s="25">
        <f t="shared" si="6"/>
        <v>30050.93324439897</v>
      </c>
      <c r="Q132" s="25">
        <f t="array" aca="1" ref="Q132" ca="1">INDEX('Isaac 401k'!L:L,MATCH('Retirement Calculator'!A132,'Isaac 401k'!N:N,0),0)</f>
        <v>1520292.0269012975</v>
      </c>
      <c r="R132" s="25">
        <f t="array" aca="1" ref="R132" ca="1">INDEX('Lorri 401b'!L:L,MATCH('Retirement Calculator'!A132,'Lorri 401b'!N:N,0),0)</f>
        <v>4222919.9707939159</v>
      </c>
      <c r="S132" s="25">
        <f t="shared" ca="1" si="7"/>
        <v>5743211.9976952132</v>
      </c>
    </row>
    <row r="133" spans="1:19" ht="15.75" customHeight="1" x14ac:dyDescent="0.3">
      <c r="A133" s="37">
        <v>55001</v>
      </c>
      <c r="B133" s="398">
        <f t="shared" ref="B133:C133" si="129">($A133-B$9)/365.25</f>
        <v>68.706365503080079</v>
      </c>
      <c r="C133" s="398">
        <f t="shared" si="129"/>
        <v>64.095824777549623</v>
      </c>
      <c r="E133" s="25">
        <f>IF(C133&gt;$B$7,0,'Combined Retirement'!$D$13/12)</f>
        <v>0</v>
      </c>
      <c r="F133" s="25">
        <f>IF(H133=0,'Combined Retirement'!$D$32,0)+'Combined Retirement'!$B$24</f>
        <v>2870.372285649099</v>
      </c>
      <c r="G133" s="25">
        <f>'Combined Retirement'!$C$24</f>
        <v>3254.2644699519233</v>
      </c>
      <c r="H133" s="25">
        <f>IF(B133&lt;62,0,'Combined Retirement'!$I$14)</f>
        <v>2345</v>
      </c>
      <c r="I133" s="25">
        <f>IF(C133&lt;62,0,'Combined Retirement'!$I$13)</f>
        <v>2420</v>
      </c>
      <c r="J133" s="25">
        <f t="shared" si="3"/>
        <v>8395.6297298201844</v>
      </c>
      <c r="K133" s="25">
        <f t="shared" si="4"/>
        <v>21655.303514578787</v>
      </c>
      <c r="L133" s="25"/>
      <c r="N133" s="25">
        <f>'Combined Retirement'!$C$18/12</f>
        <v>40940.569999999992</v>
      </c>
      <c r="O133" s="25">
        <f t="shared" si="5"/>
        <v>10889.636755601023</v>
      </c>
      <c r="P133" s="25">
        <f t="shared" si="6"/>
        <v>30050.93324439897</v>
      </c>
      <c r="Q133" s="25">
        <f t="array" aca="1" ref="Q133" ca="1">INDEX('Isaac 401k'!L:L,MATCH('Retirement Calculator'!A133,'Isaac 401k'!N:N,0),0)</f>
        <v>1518195.9654930253</v>
      </c>
      <c r="R133" s="25">
        <f t="array" aca="1" ref="R133" ca="1">INDEX('Lorri 401b'!L:L,MATCH('Retirement Calculator'!A133,'Lorri 401b'!N:N,0),0)</f>
        <v>4218769.9367263345</v>
      </c>
      <c r="S133" s="25">
        <f t="shared" ca="1" si="7"/>
        <v>5736965.9022193598</v>
      </c>
    </row>
    <row r="134" spans="1:19" ht="15.75" customHeight="1" x14ac:dyDescent="0.3">
      <c r="A134" s="37">
        <v>55032</v>
      </c>
      <c r="B134" s="398">
        <f t="shared" ref="B134:C134" si="130">($A134-B$9)/365.25</f>
        <v>68.791238877481177</v>
      </c>
      <c r="C134" s="398">
        <f t="shared" si="130"/>
        <v>64.180698151950722</v>
      </c>
      <c r="E134" s="25">
        <f>IF(C134&gt;$B$7,0,'Combined Retirement'!$D$13/12)</f>
        <v>0</v>
      </c>
      <c r="F134" s="25">
        <f>IF(H134=0,'Combined Retirement'!$D$32,0)+'Combined Retirement'!$B$24</f>
        <v>2870.372285649099</v>
      </c>
      <c r="G134" s="25">
        <f>'Combined Retirement'!$C$24</f>
        <v>3254.2644699519233</v>
      </c>
      <c r="H134" s="25">
        <f>IF(B134&lt;62,0,'Combined Retirement'!$I$14)</f>
        <v>2345</v>
      </c>
      <c r="I134" s="25">
        <f>IF(C134&lt;62,0,'Combined Retirement'!$I$13)</f>
        <v>2420</v>
      </c>
      <c r="J134" s="25">
        <f t="shared" si="3"/>
        <v>8395.6297298201844</v>
      </c>
      <c r="K134" s="25">
        <f t="shared" si="4"/>
        <v>21655.303514578787</v>
      </c>
      <c r="L134" s="25"/>
      <c r="N134" s="25">
        <f>'Combined Retirement'!$C$18/12</f>
        <v>40940.569999999992</v>
      </c>
      <c r="O134" s="25">
        <f t="shared" si="5"/>
        <v>10889.636755601023</v>
      </c>
      <c r="P134" s="25">
        <f t="shared" si="6"/>
        <v>30050.93324439897</v>
      </c>
      <c r="Q134" s="25">
        <f t="array" aca="1" ref="Q134" ca="1">INDEX('Isaac 401k'!L:L,MATCH('Retirement Calculator'!A134,'Isaac 401k'!N:N,0),0)</f>
        <v>1516091.1704955518</v>
      </c>
      <c r="R134" s="25">
        <f t="array" aca="1" ref="R134" ca="1">INDEX('Lorri 401b'!L:L,MATCH('Retirement Calculator'!A134,'Lorri 401b'!N:N,0),0)</f>
        <v>4214602.6108501386</v>
      </c>
      <c r="S134" s="25">
        <f t="shared" ca="1" si="7"/>
        <v>5730693.7813456906</v>
      </c>
    </row>
    <row r="135" spans="1:19" ht="15.75" customHeight="1" x14ac:dyDescent="0.3">
      <c r="A135" s="37">
        <v>55062</v>
      </c>
      <c r="B135" s="398">
        <f t="shared" ref="B135:C135" si="131">($A135-B$9)/365.25</f>
        <v>68.873374401095134</v>
      </c>
      <c r="C135" s="398">
        <f t="shared" si="131"/>
        <v>64.262833675564679</v>
      </c>
      <c r="E135" s="25">
        <f>IF(C135&gt;$B$7,0,'Combined Retirement'!$D$13/12)</f>
        <v>0</v>
      </c>
      <c r="F135" s="25">
        <f>IF(H135=0,'Combined Retirement'!$D$32,0)+'Combined Retirement'!$B$24</f>
        <v>2870.372285649099</v>
      </c>
      <c r="G135" s="25">
        <f>'Combined Retirement'!$C$24</f>
        <v>3254.2644699519233</v>
      </c>
      <c r="H135" s="25">
        <f>IF(B135&lt;62,0,'Combined Retirement'!$I$14)</f>
        <v>2345</v>
      </c>
      <c r="I135" s="25">
        <f>IF(C135&lt;62,0,'Combined Retirement'!$I$13)</f>
        <v>2420</v>
      </c>
      <c r="J135" s="25">
        <f t="shared" si="3"/>
        <v>8395.6297298201844</v>
      </c>
      <c r="K135" s="25">
        <f t="shared" si="4"/>
        <v>21655.303514578787</v>
      </c>
      <c r="L135" s="25"/>
      <c r="N135" s="25">
        <f>'Combined Retirement'!$C$18/12</f>
        <v>40940.569999999992</v>
      </c>
      <c r="O135" s="25">
        <f t="shared" si="5"/>
        <v>10889.636755601023</v>
      </c>
      <c r="P135" s="25">
        <f t="shared" si="6"/>
        <v>30050.93324439897</v>
      </c>
      <c r="Q135" s="25">
        <f t="array" aca="1" ref="Q135" ca="1">INDEX('Isaac 401k'!L:L,MATCH('Retirement Calculator'!A135,'Isaac 401k'!N:N,0),0)</f>
        <v>1513977.6055189222</v>
      </c>
      <c r="R135" s="25">
        <f t="array" aca="1" ref="R135" ca="1">INDEX('Lorri 401b'!L:L,MATCH('Retirement Calculator'!A135,'Lorri 401b'!N:N,0),0)</f>
        <v>4210417.9211161248</v>
      </c>
      <c r="S135" s="25">
        <f t="shared" ca="1" si="7"/>
        <v>5724395.526635047</v>
      </c>
    </row>
    <row r="136" spans="1:19" ht="15.75" customHeight="1" x14ac:dyDescent="0.3">
      <c r="A136" s="37">
        <v>55093</v>
      </c>
      <c r="B136" s="398">
        <f t="shared" ref="B136:C136" si="132">($A136-B$9)/365.25</f>
        <v>68.958247775496233</v>
      </c>
      <c r="C136" s="398">
        <f t="shared" si="132"/>
        <v>64.347707049965777</v>
      </c>
      <c r="E136" s="25">
        <f>IF(C136&gt;$B$7,0,'Combined Retirement'!$D$13/12)</f>
        <v>0</v>
      </c>
      <c r="F136" s="25">
        <f>IF(H136=0,'Combined Retirement'!$D$32,0)+'Combined Retirement'!$B$24</f>
        <v>2870.372285649099</v>
      </c>
      <c r="G136" s="25">
        <f>'Combined Retirement'!$C$24</f>
        <v>3254.2644699519233</v>
      </c>
      <c r="H136" s="25">
        <f>IF(B136&lt;62,0,'Combined Retirement'!$I$14)</f>
        <v>2345</v>
      </c>
      <c r="I136" s="25">
        <f>IF(C136&lt;62,0,'Combined Retirement'!$I$13)</f>
        <v>2420</v>
      </c>
      <c r="J136" s="25">
        <f t="shared" si="3"/>
        <v>8395.6297298201844</v>
      </c>
      <c r="K136" s="25">
        <f t="shared" si="4"/>
        <v>21655.303514578787</v>
      </c>
      <c r="L136" s="25"/>
      <c r="N136" s="25">
        <f>'Combined Retirement'!$C$18/12</f>
        <v>40940.569999999992</v>
      </c>
      <c r="O136" s="25">
        <f t="shared" si="5"/>
        <v>10889.636755601023</v>
      </c>
      <c r="P136" s="25">
        <f t="shared" si="6"/>
        <v>30050.93324439897</v>
      </c>
      <c r="Q136" s="25">
        <f t="array" aca="1" ref="Q136" ca="1">INDEX('Isaac 401k'!L:L,MATCH('Retirement Calculator'!A136,'Isaac 401k'!N:N,0),0)</f>
        <v>1511855.2340215566</v>
      </c>
      <c r="R136" s="25">
        <f t="array" aca="1" ref="R136" ca="1">INDEX('Lorri 401b'!L:L,MATCH('Retirement Calculator'!A136,'Lorri 401b'!N:N,0),0)</f>
        <v>4206215.7951748855</v>
      </c>
      <c r="S136" s="25">
        <f t="shared" ca="1" si="7"/>
        <v>5718071.0291964421</v>
      </c>
    </row>
    <row r="137" spans="1:19" ht="15.75" customHeight="1" x14ac:dyDescent="0.3">
      <c r="A137" s="37">
        <v>55123</v>
      </c>
      <c r="B137" s="398">
        <f t="shared" ref="B137:C137" si="133">($A137-B$9)/365.25</f>
        <v>69.040383299110204</v>
      </c>
      <c r="C137" s="398">
        <f t="shared" si="133"/>
        <v>64.429842573579734</v>
      </c>
      <c r="E137" s="25">
        <f>IF(C137&gt;$B$7,0,'Combined Retirement'!$D$13/12)</f>
        <v>0</v>
      </c>
      <c r="F137" s="25">
        <f>IF(H137=0,'Combined Retirement'!$D$32,0)+'Combined Retirement'!$B$24</f>
        <v>2870.372285649099</v>
      </c>
      <c r="G137" s="25">
        <f>'Combined Retirement'!$C$24</f>
        <v>3254.2644699519233</v>
      </c>
      <c r="H137" s="25">
        <f>IF(B137&lt;62,0,'Combined Retirement'!$I$14)</f>
        <v>2345</v>
      </c>
      <c r="I137" s="25">
        <f>IF(C137&lt;62,0,'Combined Retirement'!$I$13)</f>
        <v>2420</v>
      </c>
      <c r="J137" s="25">
        <f t="shared" si="3"/>
        <v>8395.6297298201844</v>
      </c>
      <c r="K137" s="25">
        <f t="shared" si="4"/>
        <v>21655.303514578787</v>
      </c>
      <c r="L137" s="25"/>
      <c r="N137" s="25">
        <f>'Combined Retirement'!$C$18/12</f>
        <v>40940.569999999992</v>
      </c>
      <c r="O137" s="25">
        <f t="shared" si="5"/>
        <v>10889.636755601023</v>
      </c>
      <c r="P137" s="25">
        <f t="shared" si="6"/>
        <v>30050.93324439897</v>
      </c>
      <c r="Q137" s="25">
        <f t="array" aca="1" ref="Q137" ca="1">INDEX('Isaac 401k'!L:L,MATCH('Retirement Calculator'!A137,'Isaac 401k'!N:N,0),0)</f>
        <v>1509724.0193096185</v>
      </c>
      <c r="R137" s="25">
        <f t="array" aca="1" ref="R137" ca="1">INDEX('Lorri 401b'!L:L,MATCH('Retirement Calculator'!A137,'Lorri 401b'!N:N,0),0)</f>
        <v>4201996.1603755578</v>
      </c>
      <c r="S137" s="25">
        <f t="shared" ca="1" si="7"/>
        <v>5711720.1796851764</v>
      </c>
    </row>
    <row r="138" spans="1:19" ht="15.75" customHeight="1" x14ac:dyDescent="0.3">
      <c r="A138" s="37">
        <v>55154</v>
      </c>
      <c r="B138" s="398">
        <f t="shared" ref="B138:C138" si="134">($A138-B$9)/365.25</f>
        <v>69.125256673511288</v>
      </c>
      <c r="C138" s="398">
        <f t="shared" si="134"/>
        <v>64.514715947980832</v>
      </c>
      <c r="E138" s="25">
        <f>IF(C138&gt;$B$7,0,'Combined Retirement'!$D$13/12)</f>
        <v>0</v>
      </c>
      <c r="F138" s="25">
        <f>IF(H138=0,'Combined Retirement'!$D$32,0)+'Combined Retirement'!$B$24</f>
        <v>2870.372285649099</v>
      </c>
      <c r="G138" s="25">
        <f>'Combined Retirement'!$C$24</f>
        <v>3254.2644699519233</v>
      </c>
      <c r="H138" s="25">
        <f>IF(B138&lt;62,0,'Combined Retirement'!$I$14)</f>
        <v>2345</v>
      </c>
      <c r="I138" s="25">
        <f>IF(C138&lt;62,0,'Combined Retirement'!$I$13)</f>
        <v>2420</v>
      </c>
      <c r="J138" s="25">
        <f t="shared" si="3"/>
        <v>8395.6297298201844</v>
      </c>
      <c r="K138" s="25">
        <f t="shared" si="4"/>
        <v>21655.303514578787</v>
      </c>
      <c r="L138" s="25"/>
      <c r="N138" s="25">
        <f>'Combined Retirement'!$C$18/12</f>
        <v>40940.569999999992</v>
      </c>
      <c r="O138" s="25">
        <f t="shared" si="5"/>
        <v>10889.636755601023</v>
      </c>
      <c r="P138" s="25">
        <f t="shared" si="6"/>
        <v>30050.93324439897</v>
      </c>
      <c r="Q138" s="25">
        <f t="array" aca="1" ref="Q138" ca="1">INDEX('Isaac 401k'!L:L,MATCH('Retirement Calculator'!A138,'Isaac 401k'!N:N,0),0)</f>
        <v>1507583.9245363809</v>
      </c>
      <c r="R138" s="25">
        <f t="array" aca="1" ref="R138" ca="1">INDEX('Lorri 401b'!L:L,MATCH('Retirement Calculator'!A138,'Lorri 401b'!N:N,0),0)</f>
        <v>4197758.9437645664</v>
      </c>
      <c r="S138" s="25">
        <f t="shared" ca="1" si="7"/>
        <v>5705342.8683009474</v>
      </c>
    </row>
    <row r="139" spans="1:19" ht="15.75" customHeight="1" x14ac:dyDescent="0.3">
      <c r="A139" s="37">
        <v>55185</v>
      </c>
      <c r="B139" s="398">
        <f t="shared" ref="B139:C139" si="135">($A139-B$9)/365.25</f>
        <v>69.210130047912386</v>
      </c>
      <c r="C139" s="398">
        <f t="shared" si="135"/>
        <v>64.599589322381931</v>
      </c>
      <c r="E139" s="25">
        <f>IF(C139&gt;$B$7,0,'Combined Retirement'!$D$13/12)</f>
        <v>0</v>
      </c>
      <c r="F139" s="25">
        <f>IF(H139=0,'Combined Retirement'!$D$32,0)+'Combined Retirement'!$B$24</f>
        <v>2870.372285649099</v>
      </c>
      <c r="G139" s="25">
        <f>'Combined Retirement'!$C$24</f>
        <v>3254.2644699519233</v>
      </c>
      <c r="H139" s="25">
        <f>IF(B139&lt;62,0,'Combined Retirement'!$I$14)</f>
        <v>2345</v>
      </c>
      <c r="I139" s="25">
        <f>IF(C139&lt;62,0,'Combined Retirement'!$I$13)</f>
        <v>2420</v>
      </c>
      <c r="J139" s="25">
        <f t="shared" si="3"/>
        <v>8395.6297298201844</v>
      </c>
      <c r="K139" s="25">
        <f t="shared" si="4"/>
        <v>21655.303514578787</v>
      </c>
      <c r="L139" s="25"/>
      <c r="N139" s="25">
        <f>'Combined Retirement'!$C$18/12</f>
        <v>40940.569999999992</v>
      </c>
      <c r="O139" s="25">
        <f t="shared" si="5"/>
        <v>10889.636755601023</v>
      </c>
      <c r="P139" s="25">
        <f t="shared" si="6"/>
        <v>30050.93324439897</v>
      </c>
      <c r="Q139" s="25">
        <f t="array" aca="1" ref="Q139" ca="1">INDEX('Isaac 401k'!L:L,MATCH('Retirement Calculator'!A139,'Isaac 401k'!N:N,0),0)</f>
        <v>1505434.9127015881</v>
      </c>
      <c r="R139" s="25">
        <f t="array" aca="1" ref="R139" ca="1">INDEX('Lorri 401b'!L:L,MATCH('Retirement Calculator'!A139,'Lorri 401b'!N:N,0),0)</f>
        <v>4193504.0720843626</v>
      </c>
      <c r="S139" s="25">
        <f t="shared" ca="1" si="7"/>
        <v>5698938.9847859507</v>
      </c>
    </row>
    <row r="140" spans="1:19" ht="15.75" customHeight="1" x14ac:dyDescent="0.3">
      <c r="A140" s="37">
        <v>55213</v>
      </c>
      <c r="B140" s="398">
        <f t="shared" ref="B140:C140" si="136">($A140-B$9)/365.25</f>
        <v>69.286789869952088</v>
      </c>
      <c r="C140" s="398">
        <f t="shared" si="136"/>
        <v>64.676249144421632</v>
      </c>
      <c r="E140" s="25">
        <f>IF(C140&gt;$B$7,0,'Combined Retirement'!$D$13/12)</f>
        <v>0</v>
      </c>
      <c r="F140" s="25">
        <f>IF(H140=0,'Combined Retirement'!$D$32,0)+'Combined Retirement'!$B$24</f>
        <v>2870.372285649099</v>
      </c>
      <c r="G140" s="25">
        <f>'Combined Retirement'!$C$24</f>
        <v>3254.2644699519233</v>
      </c>
      <c r="H140" s="25">
        <f>IF(B140&lt;62,0,'Combined Retirement'!$I$14)</f>
        <v>2345</v>
      </c>
      <c r="I140" s="25">
        <f>IF(C140&lt;62,0,'Combined Retirement'!$I$13)</f>
        <v>2420</v>
      </c>
      <c r="J140" s="25">
        <f t="shared" si="3"/>
        <v>8395.6297298201844</v>
      </c>
      <c r="K140" s="25">
        <f t="shared" si="4"/>
        <v>21655.303514578787</v>
      </c>
      <c r="L140" s="25"/>
      <c r="N140" s="25">
        <f>'Combined Retirement'!$C$18/12</f>
        <v>40940.569999999992</v>
      </c>
      <c r="O140" s="25">
        <f t="shared" si="5"/>
        <v>10889.636755601023</v>
      </c>
      <c r="P140" s="25">
        <f t="shared" si="6"/>
        <v>30050.93324439897</v>
      </c>
      <c r="Q140" s="25">
        <f t="array" aca="1" ref="Q140" ca="1">INDEX('Isaac 401k'!L:L,MATCH('Retirement Calculator'!A140,'Isaac 401k'!N:N,0),0)</f>
        <v>1503276.9466508171</v>
      </c>
      <c r="R140" s="25">
        <f t="array" aca="1" ref="R140" ca="1">INDEX('Lorri 401b'!L:L,MATCH('Retirement Calculator'!A140,'Lorri 401b'!N:N,0),0)</f>
        <v>4189231.4717721581</v>
      </c>
      <c r="S140" s="25">
        <f t="shared" ca="1" si="7"/>
        <v>5692508.4184229746</v>
      </c>
    </row>
    <row r="141" spans="1:19" ht="15.75" customHeight="1" x14ac:dyDescent="0.3">
      <c r="A141" s="37">
        <v>55244</v>
      </c>
      <c r="B141" s="398">
        <f t="shared" ref="B141:C141" si="137">($A141-B$9)/365.25</f>
        <v>69.371663244353186</v>
      </c>
      <c r="C141" s="398">
        <f t="shared" si="137"/>
        <v>64.761122518822731</v>
      </c>
      <c r="E141" s="25">
        <f>IF(C141&gt;$B$7,0,'Combined Retirement'!$D$13/12)</f>
        <v>0</v>
      </c>
      <c r="F141" s="25">
        <f>IF(H141=0,'Combined Retirement'!$D$32,0)+'Combined Retirement'!$B$24</f>
        <v>2870.372285649099</v>
      </c>
      <c r="G141" s="25">
        <f>'Combined Retirement'!$C$24</f>
        <v>3254.2644699519233</v>
      </c>
      <c r="H141" s="25">
        <f>IF(B141&lt;62,0,'Combined Retirement'!$I$14)</f>
        <v>2345</v>
      </c>
      <c r="I141" s="25">
        <f>IF(C141&lt;62,0,'Combined Retirement'!$I$13)</f>
        <v>2420</v>
      </c>
      <c r="J141" s="25">
        <f t="shared" si="3"/>
        <v>8395.6297298201844</v>
      </c>
      <c r="K141" s="25">
        <f t="shared" si="4"/>
        <v>21655.303514578787</v>
      </c>
      <c r="L141" s="25"/>
      <c r="N141" s="25">
        <f>'Combined Retirement'!$C$18/12</f>
        <v>40940.569999999992</v>
      </c>
      <c r="O141" s="25">
        <f t="shared" si="5"/>
        <v>10889.636755601023</v>
      </c>
      <c r="P141" s="25">
        <f t="shared" si="6"/>
        <v>30050.93324439897</v>
      </c>
      <c r="Q141" s="25">
        <f t="array" aca="1" ref="Q141" ca="1">INDEX('Isaac 401k'!L:L,MATCH('Retirement Calculator'!A141,'Isaac 401k'!N:N,0),0)</f>
        <v>1501109.9890748344</v>
      </c>
      <c r="R141" s="25">
        <f t="array" aca="1" ref="R141" ca="1">INDEX('Lorri 401b'!L:L,MATCH('Retirement Calculator'!A141,'Lorri 401b'!N:N,0),0)</f>
        <v>4184941.0689586527</v>
      </c>
      <c r="S141" s="25">
        <f t="shared" ca="1" si="7"/>
        <v>5686051.0580334868</v>
      </c>
    </row>
    <row r="142" spans="1:19" ht="15.75" customHeight="1" x14ac:dyDescent="0.3">
      <c r="A142" s="37">
        <v>55274</v>
      </c>
      <c r="B142" s="398">
        <f t="shared" ref="B142:C142" si="138">($A142-B$9)/365.25</f>
        <v>69.453798767967143</v>
      </c>
      <c r="C142" s="398">
        <f t="shared" si="138"/>
        <v>64.843258042436688</v>
      </c>
      <c r="E142" s="25">
        <f>IF(C142&gt;$B$7,0,'Combined Retirement'!$D$13/12)</f>
        <v>0</v>
      </c>
      <c r="F142" s="25">
        <f>IF(H142=0,'Combined Retirement'!$D$32,0)+'Combined Retirement'!$B$24</f>
        <v>2870.372285649099</v>
      </c>
      <c r="G142" s="25">
        <f>'Combined Retirement'!$C$24</f>
        <v>3254.2644699519233</v>
      </c>
      <c r="H142" s="25">
        <f>IF(B142&lt;62,0,'Combined Retirement'!$I$14)</f>
        <v>2345</v>
      </c>
      <c r="I142" s="25">
        <f>IF(C142&lt;62,0,'Combined Retirement'!$I$13)</f>
        <v>2420</v>
      </c>
      <c r="J142" s="25">
        <f t="shared" si="3"/>
        <v>8395.6297298201844</v>
      </c>
      <c r="K142" s="25">
        <f t="shared" si="4"/>
        <v>21655.303514578787</v>
      </c>
      <c r="L142" s="25"/>
      <c r="N142" s="25">
        <f>'Combined Retirement'!$C$18/12</f>
        <v>40940.569999999992</v>
      </c>
      <c r="O142" s="25">
        <f t="shared" si="5"/>
        <v>10889.636755601023</v>
      </c>
      <c r="P142" s="25">
        <f t="shared" si="6"/>
        <v>30050.93324439897</v>
      </c>
      <c r="Q142" s="25">
        <f t="array" aca="1" ref="Q142" ca="1">INDEX('Isaac 401k'!L:L,MATCH('Retirement Calculator'!A142,'Isaac 401k'!N:N,0),0)</f>
        <v>1498934.0025089518</v>
      </c>
      <c r="R142" s="25">
        <f t="array" aca="1" ref="R142" ca="1">INDEX('Lorri 401b'!L:L,MATCH('Retirement Calculator'!A142,'Lorri 401b'!N:N,0),0)</f>
        <v>4180632.7894667573</v>
      </c>
      <c r="S142" s="25">
        <f t="shared" ca="1" si="7"/>
        <v>5679566.7919757087</v>
      </c>
    </row>
    <row r="143" spans="1:19" ht="15.75" customHeight="1" x14ac:dyDescent="0.3">
      <c r="A143" s="37">
        <v>55305</v>
      </c>
      <c r="B143" s="398">
        <f t="shared" ref="B143:C143" si="139">($A143-B$9)/365.25</f>
        <v>69.538672142368242</v>
      </c>
      <c r="C143" s="398">
        <f t="shared" si="139"/>
        <v>64.928131416837786</v>
      </c>
      <c r="E143" s="25">
        <f>IF(C143&gt;$B$7,0,'Combined Retirement'!$D$13/12)</f>
        <v>0</v>
      </c>
      <c r="F143" s="25">
        <f>IF(H143=0,'Combined Retirement'!$D$32,0)+'Combined Retirement'!$B$24</f>
        <v>2870.372285649099</v>
      </c>
      <c r="G143" s="25">
        <f>'Combined Retirement'!$C$24</f>
        <v>3254.2644699519233</v>
      </c>
      <c r="H143" s="25">
        <f>IF(B143&lt;62,0,'Combined Retirement'!$I$14)</f>
        <v>2345</v>
      </c>
      <c r="I143" s="25">
        <f>IF(C143&lt;62,0,'Combined Retirement'!$I$13)</f>
        <v>2420</v>
      </c>
      <c r="J143" s="25">
        <f t="shared" si="3"/>
        <v>8395.6297298201844</v>
      </c>
      <c r="K143" s="25">
        <f t="shared" si="4"/>
        <v>21655.303514578787</v>
      </c>
      <c r="L143" s="25"/>
      <c r="N143" s="25">
        <f>'Combined Retirement'!$C$18/12</f>
        <v>40940.569999999992</v>
      </c>
      <c r="O143" s="25">
        <f t="shared" si="5"/>
        <v>10889.636755601023</v>
      </c>
      <c r="P143" s="25">
        <f t="shared" si="6"/>
        <v>30050.93324439897</v>
      </c>
      <c r="Q143" s="25">
        <f t="array" aca="1" ref="Q143" ca="1">INDEX('Isaac 401k'!L:L,MATCH('Retirement Calculator'!A143,'Isaac 401k'!N:N,0),0)</f>
        <v>1496748.9493323781</v>
      </c>
      <c r="R143" s="25">
        <f t="array" aca="1" ref="R143" ca="1">INDEX('Lorri 401b'!L:L,MATCH('Retirement Calculator'!A143,'Lorri 401b'!N:N,0),0)</f>
        <v>4176306.5588103128</v>
      </c>
      <c r="S143" s="25">
        <f t="shared" ca="1" si="7"/>
        <v>5673055.5081426911</v>
      </c>
    </row>
    <row r="144" spans="1:19" ht="15.75" customHeight="1" x14ac:dyDescent="0.3">
      <c r="A144" s="37">
        <v>55335</v>
      </c>
      <c r="B144" s="398">
        <f t="shared" ref="B144:C144" si="140">($A144-B$9)/365.25</f>
        <v>69.620807665982198</v>
      </c>
      <c r="C144" s="398">
        <f t="shared" si="140"/>
        <v>65.010266940451743</v>
      </c>
      <c r="E144" s="25">
        <f>IF(C144&gt;$B$7,0,'Combined Retirement'!$D$13/12)</f>
        <v>0</v>
      </c>
      <c r="F144" s="25">
        <f>IF(H144=0,'Combined Retirement'!$D$32,0)+'Combined Retirement'!$B$24</f>
        <v>2870.372285649099</v>
      </c>
      <c r="G144" s="25">
        <f>'Combined Retirement'!$C$24</f>
        <v>3254.2644699519233</v>
      </c>
      <c r="H144" s="25">
        <f>IF(B144&lt;62,0,'Combined Retirement'!$I$14)</f>
        <v>2345</v>
      </c>
      <c r="I144" s="25">
        <f>IF(C144&lt;62,0,'Combined Retirement'!$I$13)</f>
        <v>2420</v>
      </c>
      <c r="J144" s="25">
        <f t="shared" si="3"/>
        <v>8395.6297298201844</v>
      </c>
      <c r="K144" s="25">
        <f t="shared" si="4"/>
        <v>21655.303514578787</v>
      </c>
      <c r="L144" s="25"/>
      <c r="N144" s="25">
        <f>'Combined Retirement'!$C$18/12</f>
        <v>40940.569999999992</v>
      </c>
      <c r="O144" s="25">
        <f t="shared" si="5"/>
        <v>10889.636755601023</v>
      </c>
      <c r="P144" s="25">
        <f t="shared" si="6"/>
        <v>30050.93324439897</v>
      </c>
      <c r="Q144" s="25">
        <f t="array" aca="1" ref="Q144" ca="1">INDEX('Isaac 401k'!L:L,MATCH('Retirement Calculator'!A144,'Isaac 401k'!N:N,0),0)</f>
        <v>1494554.7917675686</v>
      </c>
      <c r="R144" s="25">
        <f t="array" aca="1" ref="R144" ca="1">INDEX('Lorri 401b'!L:L,MATCH('Retirement Calculator'!A144,'Lorri 401b'!N:N,0),0)</f>
        <v>4171962.3021927993</v>
      </c>
      <c r="S144" s="25">
        <f t="shared" ca="1" si="7"/>
        <v>5666517.0939603681</v>
      </c>
    </row>
    <row r="145" spans="1:19" ht="15.75" customHeight="1" x14ac:dyDescent="0.3">
      <c r="A145" s="37">
        <v>55366</v>
      </c>
      <c r="B145" s="398">
        <f t="shared" ref="B145:C145" si="141">($A145-B$9)/365.25</f>
        <v>69.705681040383297</v>
      </c>
      <c r="C145" s="398">
        <f t="shared" si="141"/>
        <v>65.095140314852841</v>
      </c>
      <c r="E145" s="25">
        <f>IF(C145&gt;$B$7,0,'Combined Retirement'!$D$13/12)</f>
        <v>0</v>
      </c>
      <c r="F145" s="25">
        <f>IF(H145=0,'Combined Retirement'!$D$32,0)+'Combined Retirement'!$B$24</f>
        <v>2870.372285649099</v>
      </c>
      <c r="G145" s="25">
        <f>'Combined Retirement'!$C$24</f>
        <v>3254.2644699519233</v>
      </c>
      <c r="H145" s="25">
        <f>IF(B145&lt;62,0,'Combined Retirement'!$I$14)</f>
        <v>2345</v>
      </c>
      <c r="I145" s="25">
        <f>IF(C145&lt;62,0,'Combined Retirement'!$I$13)</f>
        <v>2420</v>
      </c>
      <c r="J145" s="25">
        <f t="shared" si="3"/>
        <v>8395.6297298201844</v>
      </c>
      <c r="K145" s="25">
        <f t="shared" si="4"/>
        <v>21655.303514578787</v>
      </c>
      <c r="L145" s="25"/>
      <c r="N145" s="25">
        <f>'Combined Retirement'!$C$18/12</f>
        <v>40940.569999999992</v>
      </c>
      <c r="O145" s="25">
        <f t="shared" si="5"/>
        <v>10889.636755601023</v>
      </c>
      <c r="P145" s="25">
        <f t="shared" si="6"/>
        <v>30050.93324439897</v>
      </c>
      <c r="Q145" s="25">
        <f t="array" aca="1" ref="Q145" ca="1">INDEX('Isaac 401k'!L:L,MATCH('Retirement Calculator'!A145,'Isaac 401k'!N:N,0),0)</f>
        <v>1492351.4918795724</v>
      </c>
      <c r="R145" s="25">
        <f t="array" aca="1" ref="R145" ca="1">INDEX('Lorri 401b'!L:L,MATCH('Retirement Calculator'!A145,'Lorri 401b'!N:N,0),0)</f>
        <v>4167599.9445060464</v>
      </c>
      <c r="S145" s="25">
        <f t="shared" ca="1" si="7"/>
        <v>5659951.4363856185</v>
      </c>
    </row>
    <row r="146" spans="1:19" ht="15.75" customHeight="1" x14ac:dyDescent="0.3">
      <c r="A146" s="37">
        <v>55397</v>
      </c>
      <c r="B146" s="398">
        <f t="shared" ref="B146:C146" si="142">($A146-B$9)/365.25</f>
        <v>69.790554414784395</v>
      </c>
      <c r="C146" s="398">
        <f t="shared" si="142"/>
        <v>65.18001368925394</v>
      </c>
      <c r="E146" s="25">
        <f>IF(C146&gt;$B$7,0,'Combined Retirement'!$D$13/12)</f>
        <v>0</v>
      </c>
      <c r="F146" s="25">
        <f>IF(H146=0,'Combined Retirement'!$D$32,0)+'Combined Retirement'!$B$24</f>
        <v>2870.372285649099</v>
      </c>
      <c r="G146" s="25">
        <f>'Combined Retirement'!$C$24</f>
        <v>3254.2644699519233</v>
      </c>
      <c r="H146" s="25">
        <f>IF(B146&lt;62,0,'Combined Retirement'!$I$14)</f>
        <v>2345</v>
      </c>
      <c r="I146" s="25">
        <f>IF(C146&lt;62,0,'Combined Retirement'!$I$13)</f>
        <v>2420</v>
      </c>
      <c r="J146" s="25">
        <f t="shared" si="3"/>
        <v>8395.6297298201844</v>
      </c>
      <c r="K146" s="25">
        <f t="shared" si="4"/>
        <v>21655.303514578787</v>
      </c>
      <c r="L146" s="25"/>
      <c r="N146" s="25">
        <f>'Combined Retirement'!$C$18/12</f>
        <v>40940.569999999992</v>
      </c>
      <c r="O146" s="25">
        <f t="shared" si="5"/>
        <v>10889.636755601023</v>
      </c>
      <c r="P146" s="25">
        <f t="shared" si="6"/>
        <v>30050.93324439897</v>
      </c>
      <c r="Q146" s="25">
        <f t="array" aca="1" ref="Q146" ca="1">INDEX('Isaac 401k'!L:L,MATCH('Retirement Calculator'!A146,'Isaac 401k'!N:N,0),0)</f>
        <v>1490139.0115753761</v>
      </c>
      <c r="R146" s="25">
        <f t="array" aca="1" ref="R146" ca="1">INDEX('Lorri 401b'!L:L,MATCH('Retirement Calculator'!A146,'Lorri 401b'!N:N,0),0)</f>
        <v>4163219.4103289321</v>
      </c>
      <c r="S146" s="25">
        <f t="shared" ca="1" si="7"/>
        <v>5653358.4219043087</v>
      </c>
    </row>
    <row r="147" spans="1:19" ht="15.75" customHeight="1" x14ac:dyDescent="0.3">
      <c r="A147" s="37">
        <v>55427</v>
      </c>
      <c r="B147" s="398">
        <f t="shared" ref="B147:C147" si="143">($A147-B$9)/365.25</f>
        <v>69.872689938398352</v>
      </c>
      <c r="C147" s="398">
        <f t="shared" si="143"/>
        <v>65.262149212867897</v>
      </c>
      <c r="E147" s="25">
        <f>IF(C147&gt;$B$7,0,'Combined Retirement'!$D$13/12)</f>
        <v>0</v>
      </c>
      <c r="F147" s="25">
        <f>IF(H147=0,'Combined Retirement'!$D$32,0)+'Combined Retirement'!$B$24</f>
        <v>2870.372285649099</v>
      </c>
      <c r="G147" s="25">
        <f>'Combined Retirement'!$C$24</f>
        <v>3254.2644699519233</v>
      </c>
      <c r="H147" s="25">
        <f>IF(B147&lt;62,0,'Combined Retirement'!$I$14)</f>
        <v>2345</v>
      </c>
      <c r="I147" s="25">
        <f>IF(C147&lt;62,0,'Combined Retirement'!$I$13)</f>
        <v>2420</v>
      </c>
      <c r="J147" s="25">
        <f t="shared" si="3"/>
        <v>8395.6297298201844</v>
      </c>
      <c r="K147" s="25">
        <f t="shared" si="4"/>
        <v>21655.303514578787</v>
      </c>
      <c r="L147" s="25"/>
      <c r="N147" s="25">
        <f>'Combined Retirement'!$C$18/12</f>
        <v>40940.569999999992</v>
      </c>
      <c r="O147" s="25">
        <f t="shared" si="5"/>
        <v>10889.636755601023</v>
      </c>
      <c r="P147" s="25">
        <f t="shared" si="6"/>
        <v>30050.93324439897</v>
      </c>
      <c r="Q147" s="25">
        <f t="array" aca="1" ref="Q147" ca="1">INDEX('Isaac 401k'!L:L,MATCH('Retirement Calculator'!A147,'Isaac 401k'!N:N,0),0)</f>
        <v>1487917.3126032457</v>
      </c>
      <c r="R147" s="25">
        <f t="array" aca="1" ref="R147" ca="1">INDEX('Lorri 401b'!L:L,MATCH('Retirement Calculator'!A147,'Lorri 401b'!N:N,0),0)</f>
        <v>4158820.6239260798</v>
      </c>
      <c r="S147" s="25">
        <f t="shared" ca="1" si="7"/>
        <v>5646737.9365293253</v>
      </c>
    </row>
    <row r="148" spans="1:19" ht="15.75" customHeight="1" x14ac:dyDescent="0.3">
      <c r="A148" s="37">
        <v>55458</v>
      </c>
      <c r="B148" s="398">
        <f t="shared" ref="B148:C148" si="144">($A148-B$9)/365.25</f>
        <v>69.957563312799451</v>
      </c>
      <c r="C148" s="398">
        <f t="shared" si="144"/>
        <v>65.347022587268995</v>
      </c>
      <c r="E148" s="25">
        <f>IF(C148&gt;$B$7,0,'Combined Retirement'!$D$13/12)</f>
        <v>0</v>
      </c>
      <c r="F148" s="25">
        <f>IF(H148=0,'Combined Retirement'!$D$32,0)+'Combined Retirement'!$B$24</f>
        <v>2870.372285649099</v>
      </c>
      <c r="G148" s="25">
        <f>'Combined Retirement'!$C$24</f>
        <v>3254.2644699519233</v>
      </c>
      <c r="H148" s="25">
        <f>IF(B148&lt;62,0,'Combined Retirement'!$I$14)</f>
        <v>2345</v>
      </c>
      <c r="I148" s="25">
        <f>IF(C148&lt;62,0,'Combined Retirement'!$I$13)</f>
        <v>2420</v>
      </c>
      <c r="J148" s="25">
        <f t="shared" si="3"/>
        <v>8395.6297298201844</v>
      </c>
      <c r="K148" s="25">
        <f t="shared" si="4"/>
        <v>21655.303514578787</v>
      </c>
      <c r="L148" s="25"/>
      <c r="N148" s="25">
        <f>'Combined Retirement'!$C$18/12</f>
        <v>40940.569999999992</v>
      </c>
      <c r="O148" s="25">
        <f t="shared" si="5"/>
        <v>10889.636755601023</v>
      </c>
      <c r="P148" s="25">
        <f t="shared" si="6"/>
        <v>30050.93324439897</v>
      </c>
      <c r="Q148" s="25">
        <f t="array" aca="1" ref="Q148" ca="1">INDEX('Isaac 401k'!L:L,MATCH('Retirement Calculator'!A148,'Isaac 401k'!N:N,0),0)</f>
        <v>1485686.3565520649</v>
      </c>
      <c r="R148" s="25">
        <f t="array" aca="1" ref="R148" ca="1">INDEX('Lorri 401b'!L:L,MATCH('Retirement Calculator'!A148,'Lorri 401b'!N:N,0),0)</f>
        <v>4154403.5092465491</v>
      </c>
      <c r="S148" s="25">
        <f t="shared" ca="1" si="7"/>
        <v>5640089.865798614</v>
      </c>
    </row>
    <row r="149" spans="1:19" ht="15.75" customHeight="1" x14ac:dyDescent="0.3">
      <c r="A149" s="37">
        <v>55488</v>
      </c>
      <c r="B149" s="398">
        <f t="shared" ref="B149:C149" si="145">($A149-B$9)/365.25</f>
        <v>70.039698836413422</v>
      </c>
      <c r="C149" s="398">
        <f t="shared" si="145"/>
        <v>65.429158110882952</v>
      </c>
      <c r="E149" s="25">
        <f>IF(C149&gt;$B$7,0,'Combined Retirement'!$D$13/12)</f>
        <v>0</v>
      </c>
      <c r="F149" s="25">
        <f>IF(H149=0,'Combined Retirement'!$D$32,0)+'Combined Retirement'!$B$24</f>
        <v>2870.372285649099</v>
      </c>
      <c r="G149" s="25">
        <f>'Combined Retirement'!$C$24</f>
        <v>3254.2644699519233</v>
      </c>
      <c r="H149" s="25">
        <f>IF(B149&lt;62,0,'Combined Retirement'!$I$14)</f>
        <v>2345</v>
      </c>
      <c r="I149" s="25">
        <f>IF(C149&lt;62,0,'Combined Retirement'!$I$13)</f>
        <v>2420</v>
      </c>
      <c r="J149" s="25">
        <f t="shared" si="3"/>
        <v>8395.6297298201844</v>
      </c>
      <c r="K149" s="25">
        <f t="shared" si="4"/>
        <v>21655.303514578787</v>
      </c>
      <c r="L149" s="25"/>
      <c r="N149" s="25">
        <f>'Combined Retirement'!$C$18/12</f>
        <v>40940.569999999992</v>
      </c>
      <c r="O149" s="25">
        <f t="shared" si="5"/>
        <v>10889.636755601023</v>
      </c>
      <c r="P149" s="25">
        <f t="shared" si="6"/>
        <v>30050.93324439897</v>
      </c>
      <c r="Q149" s="25">
        <f t="array" aca="1" ref="Q149" ca="1">INDEX('Isaac 401k'!L:L,MATCH('Retirement Calculator'!A149,'Isaac 401k'!N:N,0),0)</f>
        <v>1483446.1048506708</v>
      </c>
      <c r="R149" s="25">
        <f t="array" aca="1" ref="R149" ca="1">INDEX('Lorri 401b'!L:L,MATCH('Retirement Calculator'!A149,'Lorri 401b'!N:N,0),0)</f>
        <v>4149967.9899225202</v>
      </c>
      <c r="S149" s="25">
        <f t="shared" ca="1" si="7"/>
        <v>5633414.094773191</v>
      </c>
    </row>
    <row r="150" spans="1:19" ht="15.75" customHeight="1" x14ac:dyDescent="0.3">
      <c r="A150" s="37">
        <v>55519</v>
      </c>
      <c r="B150" s="398">
        <f t="shared" ref="B150:C150" si="146">($A150-B$9)/365.25</f>
        <v>70.124572210814506</v>
      </c>
      <c r="C150" s="398">
        <f t="shared" si="146"/>
        <v>65.51403148528405</v>
      </c>
      <c r="E150" s="25">
        <f>IF(C150&gt;$B$7,0,'Combined Retirement'!$D$13/12)</f>
        <v>0</v>
      </c>
      <c r="F150" s="25">
        <f>IF(H150=0,'Combined Retirement'!$D$32,0)+'Combined Retirement'!$B$24</f>
        <v>2870.372285649099</v>
      </c>
      <c r="G150" s="25">
        <f>'Combined Retirement'!$C$24</f>
        <v>3254.2644699519233</v>
      </c>
      <c r="H150" s="25">
        <f>IF(B150&lt;62,0,'Combined Retirement'!$I$14)</f>
        <v>2345</v>
      </c>
      <c r="I150" s="25">
        <f>IF(C150&lt;62,0,'Combined Retirement'!$I$13)</f>
        <v>2420</v>
      </c>
      <c r="J150" s="25">
        <f t="shared" si="3"/>
        <v>8395.6297298201844</v>
      </c>
      <c r="K150" s="25">
        <f t="shared" si="4"/>
        <v>21655.303514578787</v>
      </c>
      <c r="L150" s="25"/>
      <c r="N150" s="25">
        <f>'Combined Retirement'!$C$18/12</f>
        <v>40940.569999999992</v>
      </c>
      <c r="O150" s="25">
        <f t="shared" si="5"/>
        <v>10889.636755601023</v>
      </c>
      <c r="P150" s="25">
        <f t="shared" si="6"/>
        <v>30050.93324439897</v>
      </c>
      <c r="Q150" s="25">
        <f t="array" aca="1" ref="Q150" ca="1">INDEX('Isaac 401k'!L:L,MATCH('Retirement Calculator'!A150,'Isaac 401k'!N:N,0),0)</f>
        <v>1481196.5187671874</v>
      </c>
      <c r="R150" s="25">
        <f t="array" aca="1" ref="R150" ca="1">INDEX('Lorri 401b'!L:L,MATCH('Retirement Calculator'!A150,'Lorri 401b'!N:N,0),0)</f>
        <v>4145513.9892679746</v>
      </c>
      <c r="S150" s="25">
        <f t="shared" ca="1" si="7"/>
        <v>5626710.5080351625</v>
      </c>
    </row>
    <row r="151" spans="1:19" ht="15.75" customHeight="1" x14ac:dyDescent="0.3">
      <c r="A151" s="37">
        <v>55550</v>
      </c>
      <c r="B151" s="398">
        <f t="shared" ref="B151:C151" si="147">($A151-B$9)/365.25</f>
        <v>70.209445585215605</v>
      </c>
      <c r="C151" s="398">
        <f t="shared" si="147"/>
        <v>65.598904859685149</v>
      </c>
      <c r="E151" s="25">
        <f>IF(C151&gt;$B$7,0,'Combined Retirement'!$D$13/12)</f>
        <v>0</v>
      </c>
      <c r="F151" s="25">
        <f>IF(H151=0,'Combined Retirement'!$D$32,0)+'Combined Retirement'!$B$24</f>
        <v>2870.372285649099</v>
      </c>
      <c r="G151" s="25">
        <f>'Combined Retirement'!$C$24</f>
        <v>3254.2644699519233</v>
      </c>
      <c r="H151" s="25">
        <f>IF(B151&lt;62,0,'Combined Retirement'!$I$14)</f>
        <v>2345</v>
      </c>
      <c r="I151" s="25">
        <f>IF(C151&lt;62,0,'Combined Retirement'!$I$13)</f>
        <v>2420</v>
      </c>
      <c r="J151" s="25">
        <f t="shared" si="3"/>
        <v>8395.6297298201844</v>
      </c>
      <c r="K151" s="25">
        <f t="shared" si="4"/>
        <v>21655.303514578787</v>
      </c>
      <c r="L151" s="25"/>
      <c r="N151" s="25">
        <f>'Combined Retirement'!$C$18/12</f>
        <v>40940.569999999992</v>
      </c>
      <c r="O151" s="25">
        <f t="shared" si="5"/>
        <v>10889.636755601023</v>
      </c>
      <c r="P151" s="25">
        <f t="shared" si="6"/>
        <v>30050.93324439897</v>
      </c>
      <c r="Q151" s="25">
        <f t="array" aca="1" ref="Q151" ca="1">INDEX('Isaac 401k'!L:L,MATCH('Retirement Calculator'!A151,'Isaac 401k'!N:N,0),0)</f>
        <v>1478937.5594083562</v>
      </c>
      <c r="R151" s="25">
        <f t="array" aca="1" ref="R151" ca="1">INDEX('Lorri 401b'!L:L,MATCH('Retirement Calculator'!A151,'Lorri 401b'!N:N,0),0)</f>
        <v>4141041.4302773681</v>
      </c>
      <c r="S151" s="25">
        <f t="shared" ca="1" si="7"/>
        <v>5619978.9896857245</v>
      </c>
    </row>
    <row r="152" spans="1:19" ht="15.75" customHeight="1" x14ac:dyDescent="0.3">
      <c r="A152" s="37">
        <v>55579</v>
      </c>
      <c r="B152" s="398">
        <f t="shared" ref="B152:C152" si="148">($A152-B$9)/365.25</f>
        <v>70.288843258042434</v>
      </c>
      <c r="C152" s="398">
        <f t="shared" si="148"/>
        <v>65.678302532511978</v>
      </c>
      <c r="E152" s="25">
        <f>IF(C152&gt;$B$7,0,'Combined Retirement'!$D$13/12)</f>
        <v>0</v>
      </c>
      <c r="F152" s="25">
        <f>IF(H152=0,'Combined Retirement'!$D$32,0)+'Combined Retirement'!$B$24</f>
        <v>2870.372285649099</v>
      </c>
      <c r="G152" s="25">
        <f>'Combined Retirement'!$C$24</f>
        <v>3254.2644699519233</v>
      </c>
      <c r="H152" s="25">
        <f>IF(B152&lt;62,0,'Combined Retirement'!$I$14)</f>
        <v>2345</v>
      </c>
      <c r="I152" s="25">
        <f>IF(C152&lt;62,0,'Combined Retirement'!$I$13)</f>
        <v>2420</v>
      </c>
      <c r="J152" s="25">
        <f t="shared" si="3"/>
        <v>8395.6297298201844</v>
      </c>
      <c r="K152" s="25">
        <f t="shared" si="4"/>
        <v>21655.303514578787</v>
      </c>
      <c r="L152" s="25"/>
      <c r="N152" s="25">
        <f>'Combined Retirement'!$C$18/12</f>
        <v>40940.569999999992</v>
      </c>
      <c r="O152" s="25">
        <f t="shared" si="5"/>
        <v>10889.636755601023</v>
      </c>
      <c r="P152" s="25">
        <f t="shared" si="6"/>
        <v>30050.93324439897</v>
      </c>
      <c r="Q152" s="25">
        <f t="array" aca="1" ref="Q152" ca="1">INDEX('Isaac 401k'!L:L,MATCH('Retirement Calculator'!A152,'Isaac 401k'!N:N,0),0)</f>
        <v>1476669.1877188634</v>
      </c>
      <c r="R152" s="25">
        <f t="array" aca="1" ref="R152" ca="1">INDEX('Lorri 401b'!L:L,MATCH('Retirement Calculator'!A152,'Lorri 401b'!N:N,0),0)</f>
        <v>4136550.2356243008</v>
      </c>
      <c r="S152" s="25">
        <f t="shared" ca="1" si="7"/>
        <v>5613219.4233431639</v>
      </c>
    </row>
    <row r="153" spans="1:19" ht="15.75" customHeight="1" x14ac:dyDescent="0.3">
      <c r="A153" s="37">
        <v>55610</v>
      </c>
      <c r="B153" s="398">
        <f t="shared" ref="B153:C153" si="149">($A153-B$9)/365.25</f>
        <v>70.373716632443532</v>
      </c>
      <c r="C153" s="398">
        <f t="shared" si="149"/>
        <v>65.763175906913077</v>
      </c>
      <c r="E153" s="25">
        <f>IF(C153&gt;$B$7,0,'Combined Retirement'!$D$13/12)</f>
        <v>0</v>
      </c>
      <c r="F153" s="25">
        <f>IF(H153=0,'Combined Retirement'!$D$32,0)+'Combined Retirement'!$B$24</f>
        <v>2870.372285649099</v>
      </c>
      <c r="G153" s="25">
        <f>'Combined Retirement'!$C$24</f>
        <v>3254.2644699519233</v>
      </c>
      <c r="H153" s="25">
        <f>IF(B153&lt;62,0,'Combined Retirement'!$I$14)</f>
        <v>2345</v>
      </c>
      <c r="I153" s="25">
        <f>IF(C153&lt;62,0,'Combined Retirement'!$I$13)</f>
        <v>2420</v>
      </c>
      <c r="J153" s="25">
        <f t="shared" si="3"/>
        <v>8395.6297298201844</v>
      </c>
      <c r="K153" s="25">
        <f t="shared" si="4"/>
        <v>21655.303514578787</v>
      </c>
      <c r="L153" s="25"/>
      <c r="N153" s="25">
        <f>'Combined Retirement'!$C$18/12</f>
        <v>40940.569999999992</v>
      </c>
      <c r="O153" s="25">
        <f t="shared" si="5"/>
        <v>10889.636755601023</v>
      </c>
      <c r="P153" s="25">
        <f t="shared" si="6"/>
        <v>30050.93324439897</v>
      </c>
      <c r="Q153" s="25">
        <f t="array" aca="1" ref="Q153" ca="1">INDEX('Isaac 401k'!L:L,MATCH('Retirement Calculator'!A153,'Isaac 401k'!N:N,0),0)</f>
        <v>1474391.3644806643</v>
      </c>
      <c r="R153" s="25">
        <f t="array" aca="1" ref="R153" ca="1">INDEX('Lorri 401b'!L:L,MATCH('Retirement Calculator'!A153,'Lorri 401b'!N:N,0),0)</f>
        <v>4132040.3276601792</v>
      </c>
      <c r="S153" s="25">
        <f t="shared" ca="1" si="7"/>
        <v>5606431.6921408437</v>
      </c>
    </row>
    <row r="154" spans="1:19" ht="15.75" customHeight="1" x14ac:dyDescent="0.3">
      <c r="A154" s="37">
        <v>55640</v>
      </c>
      <c r="B154" s="398">
        <f t="shared" ref="B154:C154" si="150">($A154-B$9)/365.25</f>
        <v>70.455852156057489</v>
      </c>
      <c r="C154" s="398">
        <f t="shared" si="150"/>
        <v>65.845311430527033</v>
      </c>
      <c r="E154" s="25">
        <f>IF(C154&gt;$B$7,0,'Combined Retirement'!$D$13/12)</f>
        <v>0</v>
      </c>
      <c r="F154" s="25">
        <f>IF(H154=0,'Combined Retirement'!$D$32,0)+'Combined Retirement'!$B$24</f>
        <v>2870.372285649099</v>
      </c>
      <c r="G154" s="25">
        <f>'Combined Retirement'!$C$24</f>
        <v>3254.2644699519233</v>
      </c>
      <c r="H154" s="25">
        <f>IF(B154&lt;62,0,'Combined Retirement'!$I$14)</f>
        <v>2345</v>
      </c>
      <c r="I154" s="25">
        <f>IF(C154&lt;62,0,'Combined Retirement'!$I$13)</f>
        <v>2420</v>
      </c>
      <c r="J154" s="25">
        <f t="shared" si="3"/>
        <v>8395.6297298201844</v>
      </c>
      <c r="K154" s="25">
        <f t="shared" si="4"/>
        <v>21655.303514578787</v>
      </c>
      <c r="L154" s="25"/>
      <c r="N154" s="25">
        <f>'Combined Retirement'!$C$18/12</f>
        <v>40940.569999999992</v>
      </c>
      <c r="O154" s="25">
        <f t="shared" si="5"/>
        <v>10889.636755601023</v>
      </c>
      <c r="P154" s="25">
        <f t="shared" si="6"/>
        <v>30050.93324439897</v>
      </c>
      <c r="Q154" s="25">
        <f t="array" aca="1" ref="Q154" ca="1">INDEX('Isaac 401k'!L:L,MATCH('Retirement Calculator'!A154,'Isaac 401k'!N:N,0),0)</f>
        <v>1472104.050312306</v>
      </c>
      <c r="R154" s="25">
        <f t="array" aca="1" ref="R154" ca="1">INDEX('Lorri 401b'!L:L,MATCH('Retirement Calculator'!A154,'Lorri 401b'!N:N,0),0)</f>
        <v>4127511.6284128739</v>
      </c>
      <c r="S154" s="25">
        <f t="shared" ca="1" si="7"/>
        <v>5599615.6787251802</v>
      </c>
    </row>
    <row r="155" spans="1:19" ht="15.75" customHeight="1" x14ac:dyDescent="0.3">
      <c r="A155" s="37">
        <v>55671</v>
      </c>
      <c r="B155" s="398">
        <f t="shared" ref="B155:C155" si="151">($A155-B$9)/365.25</f>
        <v>70.540725530458587</v>
      </c>
      <c r="C155" s="398">
        <f t="shared" si="151"/>
        <v>65.930184804928132</v>
      </c>
      <c r="E155" s="25">
        <f>IF(C155&gt;$B$7,0,'Combined Retirement'!$D$13/12)</f>
        <v>0</v>
      </c>
      <c r="F155" s="25">
        <f>IF(H155=0,'Combined Retirement'!$D$32,0)+'Combined Retirement'!$B$24</f>
        <v>2870.372285649099</v>
      </c>
      <c r="G155" s="25">
        <f>'Combined Retirement'!$C$24</f>
        <v>3254.2644699519233</v>
      </c>
      <c r="H155" s="25">
        <f>IF(B155&lt;62,0,'Combined Retirement'!$I$14)</f>
        <v>2345</v>
      </c>
      <c r="I155" s="25">
        <f>IF(C155&lt;62,0,'Combined Retirement'!$I$13)</f>
        <v>2420</v>
      </c>
      <c r="J155" s="25">
        <f t="shared" si="3"/>
        <v>8395.6297298201844</v>
      </c>
      <c r="K155" s="25">
        <f t="shared" si="4"/>
        <v>21655.303514578787</v>
      </c>
      <c r="L155" s="25"/>
      <c r="N155" s="25">
        <f>'Combined Retirement'!$C$18/12</f>
        <v>40940.569999999992</v>
      </c>
      <c r="O155" s="25">
        <f t="shared" si="5"/>
        <v>10889.636755601023</v>
      </c>
      <c r="P155" s="25">
        <f t="shared" si="6"/>
        <v>30050.93324439897</v>
      </c>
      <c r="Q155" s="25">
        <f t="array" aca="1" ref="Q155" ca="1">INDEX('Isaac 401k'!L:L,MATCH('Retirement Calculator'!A155,'Isaac 401k'!N:N,0),0)</f>
        <v>1469807.2056682461</v>
      </c>
      <c r="R155" s="25">
        <f t="array" aca="1" ref="R155" ca="1">INDEX('Lorri 401b'!L:L,MATCH('Retirement Calculator'!A155,'Lorri 401b'!N:N,0),0)</f>
        <v>4122964.0595853715</v>
      </c>
      <c r="S155" s="25">
        <f t="shared" ca="1" si="7"/>
        <v>5592771.2652536174</v>
      </c>
    </row>
    <row r="156" spans="1:19" ht="15.75" customHeight="1" x14ac:dyDescent="0.3">
      <c r="A156" s="37">
        <v>55701</v>
      </c>
      <c r="B156" s="398">
        <f t="shared" ref="B156:C156" si="152">($A156-B$9)/365.25</f>
        <v>70.622861054072558</v>
      </c>
      <c r="C156" s="398">
        <f t="shared" si="152"/>
        <v>66.012320328542089</v>
      </c>
      <c r="E156" s="25">
        <f>IF(C156&gt;$B$7,0,'Combined Retirement'!$D$13/12)</f>
        <v>0</v>
      </c>
      <c r="F156" s="25">
        <f>IF(H156=0,'Combined Retirement'!$D$32,0)+'Combined Retirement'!$B$24</f>
        <v>2870.372285649099</v>
      </c>
      <c r="G156" s="25">
        <f>'Combined Retirement'!$C$24</f>
        <v>3254.2644699519233</v>
      </c>
      <c r="H156" s="25">
        <f>IF(B156&lt;62,0,'Combined Retirement'!$I$14)</f>
        <v>2345</v>
      </c>
      <c r="I156" s="25">
        <f>IF(C156&lt;62,0,'Combined Retirement'!$I$13)</f>
        <v>2420</v>
      </c>
      <c r="J156" s="25">
        <f t="shared" si="3"/>
        <v>8395.6297298201844</v>
      </c>
      <c r="K156" s="25">
        <f t="shared" si="4"/>
        <v>21655.303514578787</v>
      </c>
      <c r="L156" s="25"/>
      <c r="N156" s="25">
        <f>'Combined Retirement'!$C$18/12</f>
        <v>40940.569999999992</v>
      </c>
      <c r="O156" s="25">
        <f t="shared" si="5"/>
        <v>10889.636755601023</v>
      </c>
      <c r="P156" s="25">
        <f t="shared" si="6"/>
        <v>30050.93324439897</v>
      </c>
      <c r="Q156" s="25">
        <f t="array" aca="1" ref="Q156" ca="1">INDEX('Isaac 401k'!L:L,MATCH('Retirement Calculator'!A156,'Isaac 401k'!N:N,0),0)</f>
        <v>1467500.7908381694</v>
      </c>
      <c r="R156" s="25">
        <f t="array" aca="1" ref="R156" ca="1">INDEX('Lorri 401b'!L:L,MATCH('Retirement Calculator'!A156,'Lorri 401b'!N:N,0),0)</f>
        <v>4118397.5425544209</v>
      </c>
      <c r="S156" s="25">
        <f t="shared" ca="1" si="7"/>
        <v>5585898.3333925903</v>
      </c>
    </row>
    <row r="157" spans="1:19" ht="15.75" customHeight="1" x14ac:dyDescent="0.3">
      <c r="A157" s="37">
        <v>55732</v>
      </c>
      <c r="B157" s="398">
        <f t="shared" ref="B157:C157" si="153">($A157-B$9)/365.25</f>
        <v>70.707734428473643</v>
      </c>
      <c r="C157" s="398">
        <f t="shared" si="153"/>
        <v>66.097193702943187</v>
      </c>
      <c r="E157" s="25">
        <f>IF(C157&gt;$B$7,0,'Combined Retirement'!$D$13/12)</f>
        <v>0</v>
      </c>
      <c r="F157" s="25">
        <f>IF(H157=0,'Combined Retirement'!$D$32,0)+'Combined Retirement'!$B$24</f>
        <v>2870.372285649099</v>
      </c>
      <c r="G157" s="25">
        <f>'Combined Retirement'!$C$24</f>
        <v>3254.2644699519233</v>
      </c>
      <c r="H157" s="25">
        <f>IF(B157&lt;62,0,'Combined Retirement'!$I$14)</f>
        <v>2345</v>
      </c>
      <c r="I157" s="25">
        <f>IF(C157&lt;62,0,'Combined Retirement'!$I$13)</f>
        <v>2420</v>
      </c>
      <c r="J157" s="25">
        <f t="shared" si="3"/>
        <v>8395.6297298201844</v>
      </c>
      <c r="K157" s="25">
        <f t="shared" si="4"/>
        <v>21655.303514578787</v>
      </c>
      <c r="L157" s="25"/>
      <c r="N157" s="25">
        <f>'Combined Retirement'!$C$18/12</f>
        <v>40940.569999999992</v>
      </c>
      <c r="O157" s="25">
        <f t="shared" si="5"/>
        <v>10889.636755601023</v>
      </c>
      <c r="P157" s="25">
        <f t="shared" si="6"/>
        <v>30050.93324439897</v>
      </c>
      <c r="Q157" s="25">
        <f t="array" aca="1" ref="Q157" ca="1">INDEX('Isaac 401k'!L:L,MATCH('Retirement Calculator'!A157,'Isaac 401k'!N:N,0),0)</f>
        <v>1465184.7659463007</v>
      </c>
      <c r="R157" s="25">
        <f t="array" aca="1" ref="R157" ca="1">INDEX('Lorri 401b'!L:L,MATCH('Retirement Calculator'!A157,'Lorri 401b'!N:N,0),0)</f>
        <v>4113811.9983691745</v>
      </c>
      <c r="S157" s="25">
        <f t="shared" ca="1" si="7"/>
        <v>5578996.7643154748</v>
      </c>
    </row>
    <row r="158" spans="1:19" ht="15.75" customHeight="1" x14ac:dyDescent="0.3">
      <c r="A158" s="37">
        <v>55763</v>
      </c>
      <c r="B158" s="398">
        <f t="shared" ref="B158:C158" si="154">($A158-B$9)/365.25</f>
        <v>70.792607802874741</v>
      </c>
      <c r="C158" s="398">
        <f t="shared" si="154"/>
        <v>66.182067077344286</v>
      </c>
      <c r="E158" s="25">
        <f>IF(C158&gt;$B$7,0,'Combined Retirement'!$D$13/12)</f>
        <v>0</v>
      </c>
      <c r="F158" s="25">
        <f>IF(H158=0,'Combined Retirement'!$D$32,0)+'Combined Retirement'!$B$24</f>
        <v>2870.372285649099</v>
      </c>
      <c r="G158" s="25">
        <f>'Combined Retirement'!$C$24</f>
        <v>3254.2644699519233</v>
      </c>
      <c r="H158" s="25">
        <f>IF(B158&lt;62,0,'Combined Retirement'!$I$14)</f>
        <v>2345</v>
      </c>
      <c r="I158" s="25">
        <f>IF(C158&lt;62,0,'Combined Retirement'!$I$13)</f>
        <v>2420</v>
      </c>
      <c r="J158" s="25">
        <f t="shared" si="3"/>
        <v>8395.6297298201844</v>
      </c>
      <c r="K158" s="25">
        <f t="shared" si="4"/>
        <v>21655.303514578787</v>
      </c>
      <c r="L158" s="25"/>
      <c r="N158" s="25">
        <f>'Combined Retirement'!$C$18/12</f>
        <v>40940.569999999992</v>
      </c>
      <c r="O158" s="25">
        <f t="shared" si="5"/>
        <v>10889.636755601023</v>
      </c>
      <c r="P158" s="25">
        <f t="shared" si="6"/>
        <v>30050.93324439897</v>
      </c>
      <c r="Q158" s="25">
        <f t="array" aca="1" ref="Q158" ca="1">INDEX('Isaac 401k'!L:L,MATCH('Retirement Calculator'!A158,'Isaac 401k'!N:N,0),0)</f>
        <v>1462859.0909507158</v>
      </c>
      <c r="R158" s="25">
        <f t="array" aca="1" ref="R158" ca="1">INDEX('Lorri 401b'!L:L,MATCH('Retirement Calculator'!A158,'Lorri 401b'!N:N,0),0)</f>
        <v>4109207.3477498232</v>
      </c>
      <c r="S158" s="25">
        <f t="shared" ca="1" si="7"/>
        <v>5572066.4387005391</v>
      </c>
    </row>
    <row r="159" spans="1:19" ht="15.75" customHeight="1" x14ac:dyDescent="0.3">
      <c r="A159" s="37">
        <v>55793</v>
      </c>
      <c r="B159" s="398">
        <f t="shared" ref="B159:C159" si="155">($A159-B$9)/365.25</f>
        <v>70.874743326488712</v>
      </c>
      <c r="C159" s="398">
        <f t="shared" si="155"/>
        <v>66.264202600958242</v>
      </c>
      <c r="E159" s="25">
        <f>IF(C159&gt;$B$7,0,'Combined Retirement'!$D$13/12)</f>
        <v>0</v>
      </c>
      <c r="F159" s="25">
        <f>IF(H159=0,'Combined Retirement'!$D$32,0)+'Combined Retirement'!$B$24</f>
        <v>2870.372285649099</v>
      </c>
      <c r="G159" s="25">
        <f>'Combined Retirement'!$C$24</f>
        <v>3254.2644699519233</v>
      </c>
      <c r="H159" s="25">
        <f>IF(B159&lt;62,0,'Combined Retirement'!$I$14)</f>
        <v>2345</v>
      </c>
      <c r="I159" s="25">
        <f>IF(C159&lt;62,0,'Combined Retirement'!$I$13)</f>
        <v>2420</v>
      </c>
      <c r="J159" s="25">
        <f t="shared" si="3"/>
        <v>8395.6297298201844</v>
      </c>
      <c r="K159" s="25">
        <f t="shared" si="4"/>
        <v>21655.303514578787</v>
      </c>
      <c r="L159" s="25"/>
      <c r="N159" s="25">
        <f>'Combined Retirement'!$C$18/12</f>
        <v>40940.569999999992</v>
      </c>
      <c r="O159" s="25">
        <f t="shared" si="5"/>
        <v>10889.636755601023</v>
      </c>
      <c r="P159" s="25">
        <f t="shared" si="6"/>
        <v>30050.93324439897</v>
      </c>
      <c r="Q159" s="25">
        <f t="array" aca="1" ref="Q159" ca="1">INDEX('Isaac 401k'!L:L,MATCH('Retirement Calculator'!A159,'Isaac 401k'!N:N,0),0)</f>
        <v>1460523.7256426495</v>
      </c>
      <c r="R159" s="25">
        <f t="array" aca="1" ref="R159" ca="1">INDEX('Lorri 401b'!L:L,MATCH('Retirement Calculator'!A159,'Lorri 401b'!N:N,0),0)</f>
        <v>4104583.5110862246</v>
      </c>
      <c r="S159" s="25">
        <f t="shared" ca="1" si="7"/>
        <v>5565107.236728874</v>
      </c>
    </row>
    <row r="160" spans="1:19" ht="15.75" customHeight="1" x14ac:dyDescent="0.3">
      <c r="A160" s="37">
        <v>55824</v>
      </c>
      <c r="B160" s="398">
        <f t="shared" ref="B160:C160" si="156">($A160-B$9)/365.25</f>
        <v>70.959616700889796</v>
      </c>
      <c r="C160" s="398">
        <f t="shared" si="156"/>
        <v>66.349075975359341</v>
      </c>
      <c r="E160" s="25">
        <f>IF(C160&gt;$B$7,0,'Combined Retirement'!$D$13/12)</f>
        <v>0</v>
      </c>
      <c r="F160" s="25">
        <f>IF(H160=0,'Combined Retirement'!$D$32,0)+'Combined Retirement'!$B$24</f>
        <v>2870.372285649099</v>
      </c>
      <c r="G160" s="25">
        <f>'Combined Retirement'!$C$24</f>
        <v>3254.2644699519233</v>
      </c>
      <c r="H160" s="25">
        <f>IF(B160&lt;62,0,'Combined Retirement'!$I$14)</f>
        <v>2345</v>
      </c>
      <c r="I160" s="25">
        <f>IF(C160&lt;62,0,'Combined Retirement'!$I$13)</f>
        <v>2420</v>
      </c>
      <c r="J160" s="25">
        <f t="shared" si="3"/>
        <v>8395.6297298201844</v>
      </c>
      <c r="K160" s="25">
        <f t="shared" si="4"/>
        <v>21655.303514578787</v>
      </c>
      <c r="L160" s="25"/>
      <c r="N160" s="25">
        <f>'Combined Retirement'!$C$18/12</f>
        <v>40940.569999999992</v>
      </c>
      <c r="O160" s="25">
        <f t="shared" si="5"/>
        <v>10889.636755601023</v>
      </c>
      <c r="P160" s="25">
        <f t="shared" si="6"/>
        <v>30050.93324439897</v>
      </c>
      <c r="Q160" s="25">
        <f t="array" aca="1" ref="Q160" ca="1">INDEX('Isaac 401k'!L:L,MATCH('Retirement Calculator'!A160,'Isaac 401k'!N:N,0),0)</f>
        <v>1458178.6296457993</v>
      </c>
      <c r="R160" s="25">
        <f t="array" aca="1" ref="R160" ca="1">INDEX('Lorri 401b'!L:L,MATCH('Retirement Calculator'!A160,'Lorri 401b'!N:N,0),0)</f>
        <v>4099940.4084365275</v>
      </c>
      <c r="S160" s="25">
        <f t="shared" ca="1" si="7"/>
        <v>5558119.0380823268</v>
      </c>
    </row>
    <row r="161" spans="1:19" ht="15.75" customHeight="1" x14ac:dyDescent="0.3">
      <c r="A161" s="37">
        <v>55854</v>
      </c>
      <c r="B161" s="398">
        <f t="shared" ref="B161:C161" si="157">($A161-B$9)/365.25</f>
        <v>71.041752224503767</v>
      </c>
      <c r="C161" s="398">
        <f t="shared" si="157"/>
        <v>66.431211498973312</v>
      </c>
      <c r="E161" s="25">
        <f>IF(C161&gt;$B$7,0,'Combined Retirement'!$D$13/12)</f>
        <v>0</v>
      </c>
      <c r="F161" s="25">
        <f>IF(H161=0,'Combined Retirement'!$D$32,0)+'Combined Retirement'!$B$24</f>
        <v>2870.372285649099</v>
      </c>
      <c r="G161" s="25">
        <f>'Combined Retirement'!$C$24</f>
        <v>3254.2644699519233</v>
      </c>
      <c r="H161" s="25">
        <f>IF(B161&lt;62,0,'Combined Retirement'!$I$14)</f>
        <v>2345</v>
      </c>
      <c r="I161" s="25">
        <f>IF(C161&lt;62,0,'Combined Retirement'!$I$13)</f>
        <v>2420</v>
      </c>
      <c r="J161" s="25">
        <f t="shared" si="3"/>
        <v>8395.6297298201844</v>
      </c>
      <c r="K161" s="25">
        <f t="shared" si="4"/>
        <v>21655.303514578787</v>
      </c>
      <c r="L161" s="25"/>
      <c r="N161" s="25">
        <f>'Combined Retirement'!$C$18/12</f>
        <v>40940.569999999992</v>
      </c>
      <c r="O161" s="25">
        <f t="shared" si="5"/>
        <v>10889.636755601023</v>
      </c>
      <c r="P161" s="25">
        <f t="shared" si="6"/>
        <v>30050.93324439897</v>
      </c>
      <c r="Q161" s="25">
        <f t="array" aca="1" ref="Q161" ca="1">INDEX('Isaac 401k'!L:L,MATCH('Retirement Calculator'!A161,'Isaac 401k'!N:N,0),0)</f>
        <v>1455823.7624156291</v>
      </c>
      <c r="R161" s="25">
        <f t="array" aca="1" ref="R161" ca="1">INDEX('Lorri 401b'!L:L,MATCH('Retirement Calculator'!A161,'Lorri 401b'!N:N,0),0)</f>
        <v>4095277.9595257901</v>
      </c>
      <c r="S161" s="25">
        <f t="shared" ca="1" si="7"/>
        <v>5551101.7219414189</v>
      </c>
    </row>
    <row r="162" spans="1:19" ht="15.75" customHeight="1" x14ac:dyDescent="0.3">
      <c r="A162" s="37">
        <v>55885</v>
      </c>
      <c r="B162" s="398">
        <f t="shared" ref="B162:C162" si="158">($A162-B$9)/365.25</f>
        <v>71.126625598904866</v>
      </c>
      <c r="C162" s="398">
        <f t="shared" si="158"/>
        <v>66.516084873374396</v>
      </c>
      <c r="E162" s="25">
        <f>IF(C162&gt;$B$7,0,'Combined Retirement'!$D$13/12)</f>
        <v>0</v>
      </c>
      <c r="F162" s="25">
        <f>IF(H162=0,'Combined Retirement'!$D$32,0)+'Combined Retirement'!$B$24</f>
        <v>2870.372285649099</v>
      </c>
      <c r="G162" s="25">
        <f>'Combined Retirement'!$C$24</f>
        <v>3254.2644699519233</v>
      </c>
      <c r="H162" s="25">
        <f>IF(B162&lt;62,0,'Combined Retirement'!$I$14)</f>
        <v>2345</v>
      </c>
      <c r="I162" s="25">
        <f>IF(C162&lt;62,0,'Combined Retirement'!$I$13)</f>
        <v>2420</v>
      </c>
      <c r="J162" s="25">
        <f t="shared" si="3"/>
        <v>8395.6297298201844</v>
      </c>
      <c r="K162" s="25">
        <f t="shared" si="4"/>
        <v>21655.303514578787</v>
      </c>
      <c r="L162" s="25"/>
      <c r="N162" s="25">
        <f>'Combined Retirement'!$C$18/12</f>
        <v>40940.569999999992</v>
      </c>
      <c r="O162" s="25">
        <f t="shared" si="5"/>
        <v>10889.636755601023</v>
      </c>
      <c r="P162" s="25">
        <f t="shared" si="6"/>
        <v>30050.93324439897</v>
      </c>
      <c r="Q162" s="25">
        <f t="array" aca="1" ref="Q162" ca="1">INDEX('Isaac 401k'!L:L,MATCH('Retirement Calculator'!A162,'Isaac 401k'!N:N,0),0)</f>
        <v>1453459.0832386664</v>
      </c>
      <c r="R162" s="25">
        <f t="array" aca="1" ref="R162" ca="1">INDEX('Lorri 401b'!L:L,MATCH('Retirement Calculator'!A162,'Lorri 401b'!N:N,0),0)</f>
        <v>4090596.0837445911</v>
      </c>
      <c r="S162" s="25">
        <f t="shared" ca="1" si="7"/>
        <v>5544055.166983258</v>
      </c>
    </row>
    <row r="163" spans="1:19" ht="15.75" customHeight="1" x14ac:dyDescent="0.3">
      <c r="A163" s="37">
        <v>55916</v>
      </c>
      <c r="B163" s="398">
        <f t="shared" ref="B163:C163" si="159">($A163-B$9)/365.25</f>
        <v>71.21149897330595</v>
      </c>
      <c r="C163" s="398">
        <f t="shared" si="159"/>
        <v>66.600958247775495</v>
      </c>
      <c r="E163" s="25">
        <f>IF(C163&gt;$B$7,0,'Combined Retirement'!$D$13/12)</f>
        <v>0</v>
      </c>
      <c r="F163" s="25">
        <f>IF(H163=0,'Combined Retirement'!$D$32,0)+'Combined Retirement'!$B$24</f>
        <v>2870.372285649099</v>
      </c>
      <c r="G163" s="25">
        <f>'Combined Retirement'!$C$24</f>
        <v>3254.2644699519233</v>
      </c>
      <c r="H163" s="25">
        <f>IF(B163&lt;62,0,'Combined Retirement'!$I$14)</f>
        <v>2345</v>
      </c>
      <c r="I163" s="25">
        <f>IF(C163&lt;62,0,'Combined Retirement'!$I$13)</f>
        <v>2420</v>
      </c>
      <c r="J163" s="25">
        <f t="shared" si="3"/>
        <v>8395.6297298201844</v>
      </c>
      <c r="K163" s="25">
        <f t="shared" si="4"/>
        <v>21655.303514578787</v>
      </c>
      <c r="L163" s="25"/>
      <c r="N163" s="25">
        <f>'Combined Retirement'!$C$18/12</f>
        <v>40940.569999999992</v>
      </c>
      <c r="O163" s="25">
        <f t="shared" si="5"/>
        <v>10889.636755601023</v>
      </c>
      <c r="P163" s="25">
        <f t="shared" si="6"/>
        <v>30050.93324439897</v>
      </c>
      <c r="Q163" s="25">
        <f t="array" aca="1" ref="Q163" ca="1">INDEX('Isaac 401k'!L:L,MATCH('Retirement Calculator'!A163,'Isaac 401k'!N:N,0),0)</f>
        <v>1451084.5512317996</v>
      </c>
      <c r="R163" s="25">
        <f t="array" aca="1" ref="R163" ca="1">INDEX('Lorri 401b'!L:L,MATCH('Retirement Calculator'!A163,'Lorri 401b'!N:N,0),0)</f>
        <v>4085894.7001476372</v>
      </c>
      <c r="S163" s="25">
        <f t="shared" ca="1" si="7"/>
        <v>5536979.2513794368</v>
      </c>
    </row>
    <row r="164" spans="1:19" ht="15.75" customHeight="1" x14ac:dyDescent="0.3">
      <c r="A164" s="37">
        <v>55944</v>
      </c>
      <c r="B164" s="398">
        <f t="shared" ref="B164:C164" si="160">($A164-B$9)/365.25</f>
        <v>71.288158795345652</v>
      </c>
      <c r="C164" s="398">
        <f t="shared" si="160"/>
        <v>66.677618069815196</v>
      </c>
      <c r="E164" s="25">
        <f>IF(C164&gt;$B$7,0,'Combined Retirement'!$D$13/12)</f>
        <v>0</v>
      </c>
      <c r="F164" s="25">
        <f>IF(H164=0,'Combined Retirement'!$D$32,0)+'Combined Retirement'!$B$24</f>
        <v>2870.372285649099</v>
      </c>
      <c r="G164" s="25">
        <f>'Combined Retirement'!$C$24</f>
        <v>3254.2644699519233</v>
      </c>
      <c r="H164" s="25">
        <f>IF(B164&lt;62,0,'Combined Retirement'!$I$14)</f>
        <v>2345</v>
      </c>
      <c r="I164" s="25">
        <f>IF(C164&lt;62,0,'Combined Retirement'!$I$13)</f>
        <v>2420</v>
      </c>
      <c r="J164" s="25">
        <f t="shared" si="3"/>
        <v>8395.6297298201844</v>
      </c>
      <c r="K164" s="25">
        <f t="shared" si="4"/>
        <v>21655.303514578787</v>
      </c>
      <c r="L164" s="25"/>
      <c r="N164" s="25">
        <f>'Combined Retirement'!$C$18/12</f>
        <v>40940.569999999992</v>
      </c>
      <c r="O164" s="25">
        <f t="shared" si="5"/>
        <v>10889.636755601023</v>
      </c>
      <c r="P164" s="25">
        <f t="shared" si="6"/>
        <v>30050.93324439897</v>
      </c>
      <c r="Q164" s="25">
        <f t="array" aca="1" ref="Q164" ca="1">INDEX('Isaac 401k'!L:L,MATCH('Retirement Calculator'!A164,'Isaac 401k'!N:N,0),0)</f>
        <v>1448700.1253415709</v>
      </c>
      <c r="R164" s="25">
        <f t="array" aca="1" ref="R164" ca="1">INDEX('Lorri 401b'!L:L,MATCH('Retirement Calculator'!A164,'Lorri 401b'!N:N,0),0)</f>
        <v>4081173.7274523629</v>
      </c>
      <c r="S164" s="25">
        <f t="shared" ca="1" si="7"/>
        <v>5529873.8527939338</v>
      </c>
    </row>
    <row r="165" spans="1:19" ht="15.75" customHeight="1" x14ac:dyDescent="0.3">
      <c r="A165" s="37">
        <v>55975</v>
      </c>
      <c r="B165" s="398">
        <f t="shared" ref="B165:C165" si="161">($A165-B$9)/365.25</f>
        <v>71.37303216974675</v>
      </c>
      <c r="C165" s="398">
        <f t="shared" si="161"/>
        <v>66.762491444216295</v>
      </c>
      <c r="E165" s="25">
        <f>IF(C165&gt;$B$7,0,'Combined Retirement'!$D$13/12)</f>
        <v>0</v>
      </c>
      <c r="F165" s="25">
        <f>IF(H165=0,'Combined Retirement'!$D$32,0)+'Combined Retirement'!$B$24</f>
        <v>2870.372285649099</v>
      </c>
      <c r="G165" s="25">
        <f>'Combined Retirement'!$C$24</f>
        <v>3254.2644699519233</v>
      </c>
      <c r="H165" s="25">
        <f>IF(B165&lt;62,0,'Combined Retirement'!$I$14)</f>
        <v>2345</v>
      </c>
      <c r="I165" s="25">
        <f>IF(C165&lt;62,0,'Combined Retirement'!$I$13)</f>
        <v>2420</v>
      </c>
      <c r="J165" s="25">
        <f t="shared" si="3"/>
        <v>8395.6297298201844</v>
      </c>
      <c r="K165" s="25">
        <f t="shared" si="4"/>
        <v>21655.303514578787</v>
      </c>
      <c r="L165" s="25"/>
      <c r="N165" s="25">
        <f>'Combined Retirement'!$C$18/12</f>
        <v>40940.569999999992</v>
      </c>
      <c r="O165" s="25">
        <f t="shared" si="5"/>
        <v>10889.636755601023</v>
      </c>
      <c r="P165" s="25">
        <f t="shared" si="6"/>
        <v>30050.93324439897</v>
      </c>
      <c r="Q165" s="25">
        <f t="array" aca="1" ref="Q165" ca="1">INDEX('Isaac 401k'!L:L,MATCH('Retirement Calculator'!A165,'Isaac 401k'!N:N,0),0)</f>
        <v>1446305.7643434664</v>
      </c>
      <c r="R165" s="25">
        <f t="array" aca="1" ref="R165" ca="1">INDEX('Lorri 401b'!L:L,MATCH('Retirement Calculator'!A165,'Lorri 401b'!N:N,0),0)</f>
        <v>4076433.0840375246</v>
      </c>
      <c r="S165" s="25">
        <f t="shared" ca="1" si="7"/>
        <v>5522738.8483809913</v>
      </c>
    </row>
    <row r="166" spans="1:19" ht="15.75" customHeight="1" x14ac:dyDescent="0.3">
      <c r="A166" s="37">
        <v>56005</v>
      </c>
      <c r="B166" s="398">
        <f t="shared" ref="B166:C166" si="162">($A166-B$9)/365.25</f>
        <v>71.455167693360707</v>
      </c>
      <c r="C166" s="398">
        <f t="shared" si="162"/>
        <v>66.844626967830251</v>
      </c>
      <c r="E166" s="25">
        <f>IF(C166&gt;$B$7,0,'Combined Retirement'!$D$13/12)</f>
        <v>0</v>
      </c>
      <c r="F166" s="25">
        <f>IF(H166=0,'Combined Retirement'!$D$32,0)+'Combined Retirement'!$B$24</f>
        <v>2870.372285649099</v>
      </c>
      <c r="G166" s="25">
        <f>'Combined Retirement'!$C$24</f>
        <v>3254.2644699519233</v>
      </c>
      <c r="H166" s="25">
        <f>IF(B166&lt;62,0,'Combined Retirement'!$I$14)</f>
        <v>2345</v>
      </c>
      <c r="I166" s="25">
        <f>IF(C166&lt;62,0,'Combined Retirement'!$I$13)</f>
        <v>2420</v>
      </c>
      <c r="J166" s="25">
        <f t="shared" si="3"/>
        <v>8395.6297298201844</v>
      </c>
      <c r="K166" s="25">
        <f t="shared" si="4"/>
        <v>21655.303514578787</v>
      </c>
      <c r="L166" s="25"/>
      <c r="N166" s="25">
        <f>'Combined Retirement'!$C$18/12</f>
        <v>40940.569999999992</v>
      </c>
      <c r="O166" s="25">
        <f t="shared" si="5"/>
        <v>10889.636755601023</v>
      </c>
      <c r="P166" s="25">
        <f t="shared" si="6"/>
        <v>30050.93324439897</v>
      </c>
      <c r="Q166" s="25">
        <f t="array" aca="1" ref="Q166" ca="1">INDEX('Isaac 401k'!L:L,MATCH('Retirement Calculator'!A166,'Isaac 401k'!N:N,0),0)</f>
        <v>1443901.4268412031</v>
      </c>
      <c r="R166" s="25">
        <f t="array" aca="1" ref="R166" ca="1">INDEX('Lorri 401b'!L:L,MATCH('Retirement Calculator'!A166,'Lorri 401b'!N:N,0),0)</f>
        <v>4071672.6879417915</v>
      </c>
      <c r="S166" s="25">
        <f t="shared" ca="1" si="7"/>
        <v>5515574.1147829946</v>
      </c>
    </row>
    <row r="167" spans="1:19" ht="15.75" customHeight="1" x14ac:dyDescent="0.3">
      <c r="A167" s="37">
        <v>56036</v>
      </c>
      <c r="B167" s="398">
        <f t="shared" ref="B167:C167" si="163">($A167-B$9)/365.25</f>
        <v>71.540041067761805</v>
      </c>
      <c r="C167" s="398">
        <f t="shared" si="163"/>
        <v>66.92950034223135</v>
      </c>
      <c r="E167" s="25">
        <f>IF(C167&gt;$B$7,0,'Combined Retirement'!$D$13/12)</f>
        <v>0</v>
      </c>
      <c r="F167" s="25">
        <f>IF(H167=0,'Combined Retirement'!$D$32,0)+'Combined Retirement'!$B$24</f>
        <v>2870.372285649099</v>
      </c>
      <c r="G167" s="25">
        <f>'Combined Retirement'!$C$24</f>
        <v>3254.2644699519233</v>
      </c>
      <c r="H167" s="25">
        <f>IF(B167&lt;62,0,'Combined Retirement'!$I$14)</f>
        <v>2345</v>
      </c>
      <c r="I167" s="25">
        <f>IF(C167&lt;62,0,'Combined Retirement'!$I$13)</f>
        <v>2420</v>
      </c>
      <c r="J167" s="25">
        <f t="shared" si="3"/>
        <v>8395.6297298201844</v>
      </c>
      <c r="K167" s="25">
        <f t="shared" si="4"/>
        <v>21655.303514578787</v>
      </c>
      <c r="L167" s="25"/>
      <c r="N167" s="25">
        <f>'Combined Retirement'!$C$18/12</f>
        <v>40940.569999999992</v>
      </c>
      <c r="O167" s="25">
        <f t="shared" si="5"/>
        <v>10889.636755601023</v>
      </c>
      <c r="P167" s="25">
        <f t="shared" si="6"/>
        <v>30050.93324439897</v>
      </c>
      <c r="Q167" s="25">
        <f t="array" aca="1" ref="Q167" ca="1">INDEX('Isaac 401k'!L:L,MATCH('Retirement Calculator'!A167,'Isaac 401k'!N:N,0),0)</f>
        <v>1441487.0712660137</v>
      </c>
      <c r="R167" s="25">
        <f t="array" aca="1" ref="R167" ca="1">INDEX('Lorri 401b'!L:L,MATCH('Retirement Calculator'!A167,'Lorri 401b'!N:N,0),0)</f>
        <v>4066892.4568623262</v>
      </c>
      <c r="S167" s="25">
        <f t="shared" ca="1" si="7"/>
        <v>5508379.5281283399</v>
      </c>
    </row>
    <row r="168" spans="1:19" ht="15.75" customHeight="1" x14ac:dyDescent="0.3">
      <c r="A168" s="37">
        <v>56066</v>
      </c>
      <c r="B168" s="398">
        <f t="shared" ref="B168:C168" si="164">($A168-B$9)/365.25</f>
        <v>71.622176591375776</v>
      </c>
      <c r="C168" s="398">
        <f t="shared" si="164"/>
        <v>67.011635865845307</v>
      </c>
      <c r="E168" s="25">
        <f>IF(C168&gt;$B$7,0,'Combined Retirement'!$D$13/12)</f>
        <v>0</v>
      </c>
      <c r="F168" s="25">
        <f>IF(H168=0,'Combined Retirement'!$D$32,0)+'Combined Retirement'!$B$24</f>
        <v>2870.372285649099</v>
      </c>
      <c r="G168" s="25">
        <f>'Combined Retirement'!$C$24</f>
        <v>3254.2644699519233</v>
      </c>
      <c r="H168" s="25">
        <f>IF(B168&lt;62,0,'Combined Retirement'!$I$14)</f>
        <v>2345</v>
      </c>
      <c r="I168" s="25">
        <f>IF(C168&lt;62,0,'Combined Retirement'!$I$13)</f>
        <v>2420</v>
      </c>
      <c r="J168" s="25">
        <f t="shared" si="3"/>
        <v>8395.6297298201844</v>
      </c>
      <c r="K168" s="25">
        <f t="shared" si="4"/>
        <v>21655.303514578787</v>
      </c>
      <c r="L168" s="25"/>
      <c r="N168" s="25">
        <f>'Combined Retirement'!$C$18/12</f>
        <v>40940.569999999992</v>
      </c>
      <c r="O168" s="25">
        <f t="shared" si="5"/>
        <v>10889.636755601023</v>
      </c>
      <c r="P168" s="25">
        <f t="shared" si="6"/>
        <v>30050.93324439897</v>
      </c>
      <c r="Q168" s="25">
        <f t="array" aca="1" ref="Q168" ca="1">INDEX('Isaac 401k'!L:L,MATCH('Retirement Calculator'!A168,'Isaac 401k'!N:N,0),0)</f>
        <v>1439062.6558759275</v>
      </c>
      <c r="R168" s="25">
        <f t="array" aca="1" ref="R168" ca="1">INDEX('Lorri 401b'!L:L,MATCH('Retirement Calculator'!A168,'Lorri 401b'!N:N,0),0)</f>
        <v>4062092.3081533629</v>
      </c>
      <c r="S168" s="25">
        <f t="shared" ca="1" si="7"/>
        <v>5501154.9640292907</v>
      </c>
    </row>
    <row r="169" spans="1:19" ht="15.75" customHeight="1" x14ac:dyDescent="0.3">
      <c r="A169" s="37">
        <v>56097</v>
      </c>
      <c r="B169" s="398">
        <f t="shared" ref="B169:C169" si="165">($A169-B$9)/365.25</f>
        <v>71.707049965776861</v>
      </c>
      <c r="C169" s="398">
        <f t="shared" si="165"/>
        <v>67.096509240246405</v>
      </c>
      <c r="E169" s="25">
        <f>IF(C169&gt;$B$7,0,'Combined Retirement'!$D$13/12)</f>
        <v>0</v>
      </c>
      <c r="F169" s="25">
        <f>IF(H169=0,'Combined Retirement'!$D$32,0)+'Combined Retirement'!$B$24</f>
        <v>2870.372285649099</v>
      </c>
      <c r="G169" s="25">
        <f>'Combined Retirement'!$C$24</f>
        <v>3254.2644699519233</v>
      </c>
      <c r="H169" s="25">
        <f>IF(B169&lt;62,0,'Combined Retirement'!$I$14)</f>
        <v>2345</v>
      </c>
      <c r="I169" s="25">
        <f>IF(C169&lt;62,0,'Combined Retirement'!$I$13)</f>
        <v>2420</v>
      </c>
      <c r="J169" s="25">
        <f t="shared" si="3"/>
        <v>8395.6297298201844</v>
      </c>
      <c r="K169" s="25">
        <f t="shared" si="4"/>
        <v>21655.303514578787</v>
      </c>
      <c r="L169" s="25"/>
      <c r="N169" s="25">
        <f>'Combined Retirement'!$C$18/12</f>
        <v>40940.569999999992</v>
      </c>
      <c r="O169" s="25">
        <f t="shared" si="5"/>
        <v>10889.636755601023</v>
      </c>
      <c r="P169" s="25">
        <f t="shared" si="6"/>
        <v>30050.93324439897</v>
      </c>
      <c r="Q169" s="25">
        <f t="array" aca="1" ref="Q169" ca="1">INDEX('Isaac 401k'!L:L,MATCH('Retirement Calculator'!A169,'Isaac 401k'!N:N,0),0)</f>
        <v>1436628.1387550496</v>
      </c>
      <c r="R169" s="25">
        <f t="array" aca="1" ref="R169" ca="1">INDEX('Lorri 401b'!L:L,MATCH('Retirement Calculator'!A169,'Lorri 401b'!N:N,0),0)</f>
        <v>4057272.1588247791</v>
      </c>
      <c r="S169" s="25">
        <f t="shared" ca="1" si="7"/>
        <v>5493900.2975798286</v>
      </c>
    </row>
    <row r="170" spans="1:19" ht="15.75" customHeight="1" x14ac:dyDescent="0.3">
      <c r="A170" s="37">
        <v>56128</v>
      </c>
      <c r="B170" s="398">
        <f t="shared" ref="B170:C170" si="166">($A170-B$9)/365.25</f>
        <v>71.791923340177959</v>
      </c>
      <c r="C170" s="398">
        <f t="shared" si="166"/>
        <v>67.181382614647504</v>
      </c>
      <c r="E170" s="25">
        <f>IF(C170&gt;$B$7,0,'Combined Retirement'!$D$13/12)</f>
        <v>0</v>
      </c>
      <c r="F170" s="25">
        <f>IF(H170=0,'Combined Retirement'!$D$32,0)+'Combined Retirement'!$B$24</f>
        <v>2870.372285649099</v>
      </c>
      <c r="G170" s="25">
        <f>'Combined Retirement'!$C$24</f>
        <v>3254.2644699519233</v>
      </c>
      <c r="H170" s="25">
        <f>IF(B170&lt;62,0,'Combined Retirement'!$I$14)</f>
        <v>2345</v>
      </c>
      <c r="I170" s="25">
        <f>IF(C170&lt;62,0,'Combined Retirement'!$I$13)</f>
        <v>2420</v>
      </c>
      <c r="J170" s="25">
        <f t="shared" si="3"/>
        <v>8395.6297298201844</v>
      </c>
      <c r="K170" s="25">
        <f t="shared" si="4"/>
        <v>21655.303514578787</v>
      </c>
      <c r="L170" s="25"/>
      <c r="N170" s="25">
        <f>'Combined Retirement'!$C$18/12</f>
        <v>40940.569999999992</v>
      </c>
      <c r="O170" s="25">
        <f t="shared" si="5"/>
        <v>10889.636755601023</v>
      </c>
      <c r="P170" s="25">
        <f t="shared" si="6"/>
        <v>30050.93324439897</v>
      </c>
      <c r="Q170" s="25">
        <f t="array" aca="1" ref="Q170" ca="1">INDEX('Isaac 401k'!L:L,MATCH('Retirement Calculator'!A170,'Isaac 401k'!N:N,0),0)</f>
        <v>1434183.4778128345</v>
      </c>
      <c r="R170" s="25">
        <f t="array" aca="1" ref="R170" ca="1">INDEX('Lorri 401b'!L:L,MATCH('Retirement Calculator'!A170,'Lorri 401b'!N:N,0),0)</f>
        <v>4052431.9255406596</v>
      </c>
      <c r="S170" s="25">
        <f t="shared" ca="1" si="7"/>
        <v>5486615.4033534937</v>
      </c>
    </row>
    <row r="171" spans="1:19" ht="15.75" customHeight="1" x14ac:dyDescent="0.3">
      <c r="A171" s="37">
        <v>56158</v>
      </c>
      <c r="B171" s="398">
        <f t="shared" ref="B171:C171" si="167">($A171-B$9)/365.25</f>
        <v>71.87405886379193</v>
      </c>
      <c r="C171" s="398">
        <f t="shared" si="167"/>
        <v>67.26351813826146</v>
      </c>
      <c r="E171" s="25">
        <f>IF(C171&gt;$B$7,0,'Combined Retirement'!$D$13/12)</f>
        <v>0</v>
      </c>
      <c r="F171" s="25">
        <f>IF(H171=0,'Combined Retirement'!$D$32,0)+'Combined Retirement'!$B$24</f>
        <v>2870.372285649099</v>
      </c>
      <c r="G171" s="25">
        <f>'Combined Retirement'!$C$24</f>
        <v>3254.2644699519233</v>
      </c>
      <c r="H171" s="25">
        <f>IF(B171&lt;62,0,'Combined Retirement'!$I$14)</f>
        <v>2345</v>
      </c>
      <c r="I171" s="25">
        <f>IF(C171&lt;62,0,'Combined Retirement'!$I$13)</f>
        <v>2420</v>
      </c>
      <c r="J171" s="25">
        <f t="shared" si="3"/>
        <v>8395.6297298201844</v>
      </c>
      <c r="K171" s="25">
        <f t="shared" si="4"/>
        <v>21655.303514578787</v>
      </c>
      <c r="L171" s="25"/>
      <c r="N171" s="25">
        <f>'Combined Retirement'!$C$18/12</f>
        <v>40940.569999999992</v>
      </c>
      <c r="O171" s="25">
        <f t="shared" si="5"/>
        <v>10889.636755601023</v>
      </c>
      <c r="P171" s="25">
        <f t="shared" si="6"/>
        <v>30050.93324439897</v>
      </c>
      <c r="Q171" s="25">
        <f t="array" aca="1" ref="Q171" ca="1">INDEX('Isaac 401k'!L:L,MATCH('Retirement Calculator'!A171,'Isaac 401k'!N:N,0),0)</f>
        <v>1431728.6307833602</v>
      </c>
      <c r="R171" s="25">
        <f t="array" aca="1" ref="R171" ca="1">INDEX('Lorri 401b'!L:L,MATCH('Retirement Calculator'!A171,'Lorri 401b'!N:N,0),0)</f>
        <v>4047571.5246178559</v>
      </c>
      <c r="S171" s="25">
        <f t="shared" ca="1" si="7"/>
        <v>5479300.1554012159</v>
      </c>
    </row>
    <row r="172" spans="1:19" ht="15.75" customHeight="1" x14ac:dyDescent="0.3">
      <c r="A172" s="37">
        <v>56189</v>
      </c>
      <c r="B172" s="398">
        <f t="shared" ref="B172:C172" si="168">($A172-B$9)/365.25</f>
        <v>71.958932238193015</v>
      </c>
      <c r="C172" s="398">
        <f t="shared" si="168"/>
        <v>67.348391512662559</v>
      </c>
      <c r="E172" s="25">
        <f>IF(C172&gt;$B$7,0,'Combined Retirement'!$D$13/12)</f>
        <v>0</v>
      </c>
      <c r="F172" s="25">
        <f>IF(H172=0,'Combined Retirement'!$D$32,0)+'Combined Retirement'!$B$24</f>
        <v>2870.372285649099</v>
      </c>
      <c r="G172" s="25">
        <f>'Combined Retirement'!$C$24</f>
        <v>3254.2644699519233</v>
      </c>
      <c r="H172" s="25">
        <f>IF(B172&lt;62,0,'Combined Retirement'!$I$14)</f>
        <v>2345</v>
      </c>
      <c r="I172" s="25">
        <f>IF(C172&lt;62,0,'Combined Retirement'!$I$13)</f>
        <v>2420</v>
      </c>
      <c r="J172" s="25">
        <f t="shared" si="3"/>
        <v>8395.6297298201844</v>
      </c>
      <c r="K172" s="25">
        <f t="shared" si="4"/>
        <v>21655.303514578787</v>
      </c>
      <c r="L172" s="25"/>
      <c r="N172" s="25">
        <f>'Combined Retirement'!$C$18/12</f>
        <v>40940.569999999992</v>
      </c>
      <c r="O172" s="25">
        <f t="shared" si="5"/>
        <v>10889.636755601023</v>
      </c>
      <c r="P172" s="25">
        <f t="shared" si="6"/>
        <v>30050.93324439897</v>
      </c>
      <c r="Q172" s="25">
        <f t="array" aca="1" ref="Q172" ca="1">INDEX('Isaac 401k'!L:L,MATCH('Retirement Calculator'!A172,'Isaac 401k'!N:N,0),0)</f>
        <v>1429263.5552245965</v>
      </c>
      <c r="R172" s="25">
        <f t="array" aca="1" ref="R172" ca="1">INDEX('Lorri 401b'!L:L,MATCH('Retirement Calculator'!A172,'Lorri 401b'!N:N,0),0)</f>
        <v>4042690.8720245408</v>
      </c>
      <c r="S172" s="25">
        <f t="shared" ca="1" si="7"/>
        <v>5471954.4272491373</v>
      </c>
    </row>
    <row r="173" spans="1:19" ht="15.75" customHeight="1" x14ac:dyDescent="0.3">
      <c r="A173" s="37">
        <v>56219</v>
      </c>
      <c r="B173" s="398">
        <f t="shared" ref="B173:C173" si="169">($A173-B$9)/365.25</f>
        <v>72.041067761806985</v>
      </c>
      <c r="C173" s="398">
        <f t="shared" si="169"/>
        <v>67.43052703627653</v>
      </c>
      <c r="E173" s="25">
        <f>IF(C173&gt;$B$7,0,'Combined Retirement'!$D$13/12)</f>
        <v>0</v>
      </c>
      <c r="F173" s="25">
        <f>IF(H173=0,'Combined Retirement'!$D$32,0)+'Combined Retirement'!$B$24</f>
        <v>2870.372285649099</v>
      </c>
      <c r="G173" s="25">
        <f>'Combined Retirement'!$C$24</f>
        <v>3254.2644699519233</v>
      </c>
      <c r="H173" s="25">
        <f>IF(B173&lt;62,0,'Combined Retirement'!$I$14)</f>
        <v>2345</v>
      </c>
      <c r="I173" s="25">
        <f>IF(C173&lt;62,0,'Combined Retirement'!$I$13)</f>
        <v>2420</v>
      </c>
      <c r="J173" s="25">
        <f t="shared" si="3"/>
        <v>8395.6297298201844</v>
      </c>
      <c r="K173" s="25">
        <f t="shared" si="4"/>
        <v>21655.303514578787</v>
      </c>
      <c r="L173" s="25"/>
      <c r="N173" s="25">
        <f>'Combined Retirement'!$C$18/12</f>
        <v>40940.569999999992</v>
      </c>
      <c r="O173" s="25">
        <f t="shared" si="5"/>
        <v>10889.636755601023</v>
      </c>
      <c r="P173" s="25">
        <f t="shared" si="6"/>
        <v>30050.93324439897</v>
      </c>
      <c r="Q173" s="25">
        <f t="array" aca="1" ref="Q173" ca="1">INDEX('Isaac 401k'!L:L,MATCH('Retirement Calculator'!A173,'Isaac 401k'!N:N,0),0)</f>
        <v>1426788.2085176713</v>
      </c>
      <c r="R173" s="25">
        <f t="array" aca="1" ref="R173" ca="1">INDEX('Lorri 401b'!L:L,MATCH('Retirement Calculator'!A173,'Lorri 401b'!N:N,0),0)</f>
        <v>4037789.8833787534</v>
      </c>
      <c r="S173" s="25">
        <f t="shared" ca="1" si="7"/>
        <v>5464578.091896425</v>
      </c>
    </row>
    <row r="174" spans="1:19" ht="15.75" customHeight="1" x14ac:dyDescent="0.3">
      <c r="A174" s="37">
        <v>56250</v>
      </c>
      <c r="B174" s="398">
        <f t="shared" ref="B174:C174" si="170">($A174-B$9)/365.25</f>
        <v>72.12594113620807</v>
      </c>
      <c r="C174" s="398">
        <f t="shared" si="170"/>
        <v>67.515400410677614</v>
      </c>
      <c r="E174" s="25">
        <f>IF(C174&gt;$B$7,0,'Combined Retirement'!$D$13/12)</f>
        <v>0</v>
      </c>
      <c r="F174" s="25">
        <f>IF(H174=0,'Combined Retirement'!$D$32,0)+'Combined Retirement'!$B$24</f>
        <v>2870.372285649099</v>
      </c>
      <c r="G174" s="25">
        <f>'Combined Retirement'!$C$24</f>
        <v>3254.2644699519233</v>
      </c>
      <c r="H174" s="25">
        <f>IF(B174&lt;62,0,'Combined Retirement'!$I$14)</f>
        <v>2345</v>
      </c>
      <c r="I174" s="25">
        <f>IF(C174&lt;62,0,'Combined Retirement'!$I$13)</f>
        <v>2420</v>
      </c>
      <c r="J174" s="25">
        <f t="shared" si="3"/>
        <v>8395.6297298201844</v>
      </c>
      <c r="K174" s="25">
        <f t="shared" si="4"/>
        <v>21655.303514578787</v>
      </c>
      <c r="L174" s="25"/>
      <c r="N174" s="25">
        <f>'Combined Retirement'!$C$18/12</f>
        <v>40940.569999999992</v>
      </c>
      <c r="O174" s="25">
        <f t="shared" si="5"/>
        <v>10889.636755601023</v>
      </c>
      <c r="P174" s="25">
        <f t="shared" si="6"/>
        <v>30050.93324439897</v>
      </c>
      <c r="Q174" s="25">
        <f t="array" aca="1" ref="Q174" ca="1">INDEX('Isaac 401k'!L:L,MATCH('Retirement Calculator'!A174,'Isaac 401k'!N:N,0),0)</f>
        <v>1424302.547866134</v>
      </c>
      <c r="R174" s="25">
        <f t="array" aca="1" ref="R174" ca="1">INDEX('Lorri 401b'!L:L,MATCH('Retirement Calculator'!A174,'Lorri 401b'!N:N,0),0)</f>
        <v>4032868.473946942</v>
      </c>
      <c r="S174" s="25">
        <f t="shared" ca="1" si="7"/>
        <v>5457171.021813076</v>
      </c>
    </row>
    <row r="175" spans="1:19" ht="15.75" customHeight="1" x14ac:dyDescent="0.3">
      <c r="A175" s="37">
        <v>56281</v>
      </c>
      <c r="B175" s="398">
        <f t="shared" ref="B175:C175" si="171">($A175-B$9)/365.25</f>
        <v>72.210814510609168</v>
      </c>
      <c r="C175" s="398">
        <f t="shared" si="171"/>
        <v>67.600273785078713</v>
      </c>
      <c r="E175" s="25">
        <f>IF(C175&gt;$B$7,0,'Combined Retirement'!$D$13/12)</f>
        <v>0</v>
      </c>
      <c r="F175" s="25">
        <f>IF(H175=0,'Combined Retirement'!$D$32,0)+'Combined Retirement'!$B$24</f>
        <v>2870.372285649099</v>
      </c>
      <c r="G175" s="25">
        <f>'Combined Retirement'!$C$24</f>
        <v>3254.2644699519233</v>
      </c>
      <c r="H175" s="25">
        <f>IF(B175&lt;62,0,'Combined Retirement'!$I$14)</f>
        <v>2345</v>
      </c>
      <c r="I175" s="25">
        <f>IF(C175&lt;62,0,'Combined Retirement'!$I$13)</f>
        <v>2420</v>
      </c>
      <c r="J175" s="25">
        <f t="shared" si="3"/>
        <v>8395.6297298201844</v>
      </c>
      <c r="K175" s="25">
        <f t="shared" si="4"/>
        <v>21655.303514578787</v>
      </c>
      <c r="L175" s="25"/>
      <c r="N175" s="25">
        <f>'Combined Retirement'!$C$18/12</f>
        <v>40940.569999999992</v>
      </c>
      <c r="O175" s="25">
        <f t="shared" si="5"/>
        <v>10889.636755601023</v>
      </c>
      <c r="P175" s="25">
        <f t="shared" si="6"/>
        <v>30050.93324439897</v>
      </c>
      <c r="Q175" s="25">
        <f t="array" aca="1" ref="Q175" ca="1">INDEX('Isaac 401k'!L:L,MATCH('Retirement Calculator'!A175,'Isaac 401k'!N:N,0),0)</f>
        <v>1421806.5302952151</v>
      </c>
      <c r="R175" s="25">
        <f t="array" aca="1" ref="R175" ca="1">INDEX('Lorri 401b'!L:L,MATCH('Retirement Calculator'!A175,'Lorri 401b'!N:N,0),0)</f>
        <v>4027926.5586424982</v>
      </c>
      <c r="S175" s="25">
        <f t="shared" ca="1" si="7"/>
        <v>5449733.0889377128</v>
      </c>
    </row>
    <row r="176" spans="1:19" ht="15.75" customHeight="1" x14ac:dyDescent="0.3">
      <c r="A176" s="37">
        <v>56309</v>
      </c>
      <c r="B176" s="398">
        <f t="shared" ref="B176:C176" si="172">($A176-B$9)/365.25</f>
        <v>72.28747433264887</v>
      </c>
      <c r="C176" s="398">
        <f t="shared" si="172"/>
        <v>67.676933607118414</v>
      </c>
      <c r="E176" s="25">
        <f>IF(C176&gt;$B$7,0,'Combined Retirement'!$D$13/12)</f>
        <v>0</v>
      </c>
      <c r="F176" s="25">
        <f>IF(H176=0,'Combined Retirement'!$D$32,0)+'Combined Retirement'!$B$24</f>
        <v>2870.372285649099</v>
      </c>
      <c r="G176" s="25">
        <f>'Combined Retirement'!$C$24</f>
        <v>3254.2644699519233</v>
      </c>
      <c r="H176" s="25">
        <f>IF(B176&lt;62,0,'Combined Retirement'!$I$14)</f>
        <v>2345</v>
      </c>
      <c r="I176" s="25">
        <f>IF(C176&lt;62,0,'Combined Retirement'!$I$13)</f>
        <v>2420</v>
      </c>
      <c r="J176" s="25">
        <f t="shared" si="3"/>
        <v>8395.6297298201844</v>
      </c>
      <c r="K176" s="25">
        <f t="shared" si="4"/>
        <v>21655.303514578787</v>
      </c>
      <c r="L176" s="25"/>
      <c r="N176" s="25">
        <f>'Combined Retirement'!$C$18/12</f>
        <v>40940.569999999992</v>
      </c>
      <c r="O176" s="25">
        <f t="shared" si="5"/>
        <v>10889.636755601023</v>
      </c>
      <c r="P176" s="25">
        <f t="shared" si="6"/>
        <v>30050.93324439897</v>
      </c>
      <c r="Q176" s="25">
        <f t="array" aca="1" ref="Q176" ca="1">INDEX('Isaac 401k'!L:L,MATCH('Retirement Calculator'!A176,'Isaac 401k'!N:N,0),0)</f>
        <v>1419300.1126510841</v>
      </c>
      <c r="R176" s="25">
        <f t="array" aca="1" ref="R176" ca="1">INDEX('Lorri 401b'!L:L,MATCH('Retirement Calculator'!A176,'Lorri 401b'!N:N,0),0)</f>
        <v>4022964.0520242858</v>
      </c>
      <c r="S176" s="25">
        <f t="shared" ca="1" si="7"/>
        <v>5442264.1646753699</v>
      </c>
    </row>
    <row r="177" spans="1:19" ht="15.75" customHeight="1" x14ac:dyDescent="0.3">
      <c r="A177" s="37">
        <v>56340</v>
      </c>
      <c r="B177" s="398">
        <f t="shared" ref="B177:C177" si="173">($A177-B$9)/365.25</f>
        <v>72.372347707049968</v>
      </c>
      <c r="C177" s="398">
        <f t="shared" si="173"/>
        <v>67.761806981519513</v>
      </c>
      <c r="E177" s="25">
        <f>IF(C177&gt;$B$7,0,'Combined Retirement'!$D$13/12)</f>
        <v>0</v>
      </c>
      <c r="F177" s="25">
        <f>IF(H177=0,'Combined Retirement'!$D$32,0)+'Combined Retirement'!$B$24</f>
        <v>2870.372285649099</v>
      </c>
      <c r="G177" s="25">
        <f>'Combined Retirement'!$C$24</f>
        <v>3254.2644699519233</v>
      </c>
      <c r="H177" s="25">
        <f>IF(B177&lt;62,0,'Combined Retirement'!$I$14)</f>
        <v>2345</v>
      </c>
      <c r="I177" s="25">
        <f>IF(C177&lt;62,0,'Combined Retirement'!$I$13)</f>
        <v>2420</v>
      </c>
      <c r="J177" s="25">
        <f t="shared" si="3"/>
        <v>8395.6297298201844</v>
      </c>
      <c r="K177" s="25">
        <f t="shared" si="4"/>
        <v>21655.303514578787</v>
      </c>
      <c r="L177" s="25"/>
      <c r="N177" s="25">
        <f>'Combined Retirement'!$C$18/12</f>
        <v>40940.569999999992</v>
      </c>
      <c r="O177" s="25">
        <f t="shared" si="5"/>
        <v>10889.636755601023</v>
      </c>
      <c r="P177" s="25">
        <f t="shared" si="6"/>
        <v>30050.93324439897</v>
      </c>
      <c r="Q177" s="25">
        <f t="array" aca="1" ref="Q177" ca="1">INDEX('Isaac 401k'!L:L,MATCH('Retirement Calculator'!A177,'Isaac 401k'!N:N,0),0)</f>
        <v>1416783.2516001025</v>
      </c>
      <c r="R177" s="25">
        <f t="array" aca="1" ref="R177" ca="1">INDEX('Lorri 401b'!L:L,MATCH('Retirement Calculator'!A177,'Lorri 401b'!N:N,0),0)</f>
        <v>4017980.8682951638</v>
      </c>
      <c r="S177" s="25">
        <f t="shared" ca="1" si="7"/>
        <v>5434764.1198952664</v>
      </c>
    </row>
    <row r="178" spans="1:19" ht="15.75" customHeight="1" x14ac:dyDescent="0.3">
      <c r="A178" s="37">
        <v>56370</v>
      </c>
      <c r="B178" s="398">
        <f t="shared" ref="B178:C178" si="174">($A178-B$9)/365.25</f>
        <v>72.454483230663925</v>
      </c>
      <c r="C178" s="398">
        <f t="shared" si="174"/>
        <v>67.843942505133469</v>
      </c>
      <c r="E178" s="25">
        <f>IF(C178&gt;$B$7,0,'Combined Retirement'!$D$13/12)</f>
        <v>0</v>
      </c>
      <c r="F178" s="25">
        <f>IF(H178=0,'Combined Retirement'!$D$32,0)+'Combined Retirement'!$B$24</f>
        <v>2870.372285649099</v>
      </c>
      <c r="G178" s="25">
        <f>'Combined Retirement'!$C$24</f>
        <v>3254.2644699519233</v>
      </c>
      <c r="H178" s="25">
        <f>IF(B178&lt;62,0,'Combined Retirement'!$I$14)</f>
        <v>2345</v>
      </c>
      <c r="I178" s="25">
        <f>IF(C178&lt;62,0,'Combined Retirement'!$I$13)</f>
        <v>2420</v>
      </c>
      <c r="J178" s="25">
        <f t="shared" si="3"/>
        <v>8395.6297298201844</v>
      </c>
      <c r="K178" s="25">
        <f t="shared" si="4"/>
        <v>21655.303514578787</v>
      </c>
      <c r="L178" s="25"/>
      <c r="N178" s="25">
        <f>'Combined Retirement'!$C$18/12</f>
        <v>40940.569999999992</v>
      </c>
      <c r="O178" s="25">
        <f t="shared" si="5"/>
        <v>10889.636755601023</v>
      </c>
      <c r="P178" s="25">
        <f t="shared" si="6"/>
        <v>30050.93324439897</v>
      </c>
      <c r="Q178" s="25">
        <f t="array" aca="1" ref="Q178" ca="1">INDEX('Isaac 401k'!L:L,MATCH('Retirement Calculator'!A178,'Isaac 401k'!N:N,0),0)</f>
        <v>1414255.9036280753</v>
      </c>
      <c r="R178" s="25">
        <f t="array" aca="1" ref="R178" ca="1">INDEX('Lorri 401b'!L:L,MATCH('Retirement Calculator'!A178,'Lorri 401b'!N:N,0),0)</f>
        <v>4012976.9213005039</v>
      </c>
      <c r="S178" s="25">
        <f t="shared" ca="1" si="7"/>
        <v>5427232.8249285789</v>
      </c>
    </row>
    <row r="179" spans="1:19" ht="15.75" customHeight="1" x14ac:dyDescent="0.3">
      <c r="A179" s="37">
        <v>56401</v>
      </c>
      <c r="B179" s="398">
        <f t="shared" ref="B179:C179" si="175">($A179-B$9)/365.25</f>
        <v>72.539356605065024</v>
      </c>
      <c r="C179" s="398">
        <f t="shared" si="175"/>
        <v>67.928815879534568</v>
      </c>
      <c r="E179" s="25">
        <f>IF(C179&gt;$B$7,0,'Combined Retirement'!$D$13/12)</f>
        <v>0</v>
      </c>
      <c r="F179" s="25">
        <f>IF(H179=0,'Combined Retirement'!$D$32,0)+'Combined Retirement'!$B$24</f>
        <v>2870.372285649099</v>
      </c>
      <c r="G179" s="25">
        <f>'Combined Retirement'!$C$24</f>
        <v>3254.2644699519233</v>
      </c>
      <c r="H179" s="25">
        <f>IF(B179&lt;62,0,'Combined Retirement'!$I$14)</f>
        <v>2345</v>
      </c>
      <c r="I179" s="25">
        <f>IF(C179&lt;62,0,'Combined Retirement'!$I$13)</f>
        <v>2420</v>
      </c>
      <c r="J179" s="25">
        <f t="shared" si="3"/>
        <v>8395.6297298201844</v>
      </c>
      <c r="K179" s="25">
        <f t="shared" si="4"/>
        <v>21655.303514578787</v>
      </c>
      <c r="L179" s="25"/>
      <c r="N179" s="25">
        <f>'Combined Retirement'!$C$18/12</f>
        <v>40940.569999999992</v>
      </c>
      <c r="O179" s="25">
        <f t="shared" si="5"/>
        <v>10889.636755601023</v>
      </c>
      <c r="P179" s="25">
        <f t="shared" si="6"/>
        <v>30050.93324439897</v>
      </c>
      <c r="Q179" s="25">
        <f t="array" aca="1" ref="Q179" ca="1">INDEX('Isaac 401k'!L:L,MATCH('Retirement Calculator'!A179,'Isaac 401k'!N:N,0),0)</f>
        <v>1411718.0250394978</v>
      </c>
      <c r="R179" s="25">
        <f t="array" aca="1" ref="R179" ca="1">INDEX('Lorri 401b'!L:L,MATCH('Retirement Calculator'!A179,'Lorri 401b'!N:N,0),0)</f>
        <v>4007952.1245266995</v>
      </c>
      <c r="S179" s="25">
        <f t="shared" ca="1" si="7"/>
        <v>5419670.1495661978</v>
      </c>
    </row>
    <row r="180" spans="1:19" ht="15.75" customHeight="1" x14ac:dyDescent="0.3">
      <c r="A180" s="37">
        <v>56431</v>
      </c>
      <c r="B180" s="398">
        <f t="shared" ref="B180:C180" si="176">($A180-B$9)/365.25</f>
        <v>72.62149212867898</v>
      </c>
      <c r="C180" s="398">
        <f t="shared" si="176"/>
        <v>68.010951403148525</v>
      </c>
      <c r="E180" s="25">
        <f>IF(C180&gt;$B$7,0,'Combined Retirement'!$D$13/12)</f>
        <v>0</v>
      </c>
      <c r="F180" s="25">
        <f>IF(H180=0,'Combined Retirement'!$D$32,0)+'Combined Retirement'!$B$24</f>
        <v>2870.372285649099</v>
      </c>
      <c r="G180" s="25">
        <f>'Combined Retirement'!$C$24</f>
        <v>3254.2644699519233</v>
      </c>
      <c r="H180" s="25">
        <f>IF(B180&lt;62,0,'Combined Retirement'!$I$14)</f>
        <v>2345</v>
      </c>
      <c r="I180" s="25">
        <f>IF(C180&lt;62,0,'Combined Retirement'!$I$13)</f>
        <v>2420</v>
      </c>
      <c r="J180" s="25">
        <f t="shared" si="3"/>
        <v>8395.6297298201844</v>
      </c>
      <c r="K180" s="25">
        <f t="shared" si="4"/>
        <v>21655.303514578787</v>
      </c>
      <c r="L180" s="25"/>
      <c r="N180" s="25">
        <f>'Combined Retirement'!$C$18/12</f>
        <v>40940.569999999992</v>
      </c>
      <c r="O180" s="25">
        <f t="shared" si="5"/>
        <v>10889.636755601023</v>
      </c>
      <c r="P180" s="25">
        <f t="shared" si="6"/>
        <v>30050.93324439897</v>
      </c>
      <c r="Q180" s="25">
        <f t="array" aca="1" ref="Q180" ca="1">INDEX('Isaac 401k'!L:L,MATCH('Retirement Calculator'!A180,'Isaac 401k'!N:N,0),0)</f>
        <v>1409169.5719568012</v>
      </c>
      <c r="R180" s="25">
        <f t="array" aca="1" ref="R180" ca="1">INDEX('Lorri 401b'!L:L,MATCH('Retirement Calculator'!A180,'Lorri 401b'!N:N,0),0)</f>
        <v>4002906.3910996714</v>
      </c>
      <c r="S180" s="25">
        <f t="shared" ca="1" si="7"/>
        <v>5412075.9630564731</v>
      </c>
    </row>
    <row r="181" spans="1:19" ht="15.75" customHeight="1" x14ac:dyDescent="0.3">
      <c r="A181" s="37">
        <v>56462</v>
      </c>
      <c r="B181" s="398">
        <f t="shared" ref="B181:C181" si="177">($A181-B$9)/365.25</f>
        <v>72.706365503080079</v>
      </c>
      <c r="C181" s="398">
        <f t="shared" si="177"/>
        <v>68.095824777549623</v>
      </c>
      <c r="E181" s="25">
        <f>IF(C181&gt;$B$7,0,'Combined Retirement'!$D$13/12)</f>
        <v>0</v>
      </c>
      <c r="F181" s="25">
        <f>IF(H181=0,'Combined Retirement'!$D$32,0)+'Combined Retirement'!$B$24</f>
        <v>2870.372285649099</v>
      </c>
      <c r="G181" s="25">
        <f>'Combined Retirement'!$C$24</f>
        <v>3254.2644699519233</v>
      </c>
      <c r="H181" s="25">
        <f>IF(B181&lt;62,0,'Combined Retirement'!$I$14)</f>
        <v>2345</v>
      </c>
      <c r="I181" s="25">
        <f>IF(C181&lt;62,0,'Combined Retirement'!$I$13)</f>
        <v>2420</v>
      </c>
      <c r="J181" s="25">
        <f t="shared" si="3"/>
        <v>8395.6297298201844</v>
      </c>
      <c r="K181" s="25">
        <f t="shared" si="4"/>
        <v>21655.303514578787</v>
      </c>
      <c r="L181" s="25"/>
      <c r="N181" s="25">
        <f>'Combined Retirement'!$C$18/12</f>
        <v>40940.569999999992</v>
      </c>
      <c r="O181" s="25">
        <f t="shared" si="5"/>
        <v>10889.636755601023</v>
      </c>
      <c r="P181" s="25">
        <f t="shared" si="6"/>
        <v>30050.93324439897</v>
      </c>
      <c r="Q181" s="25">
        <f t="array" aca="1" ref="Q181" ca="1">INDEX('Isaac 401k'!L:L,MATCH('Retirement Calculator'!A181,'Isaac 401k'!N:N,0),0)</f>
        <v>1406610.5003195934</v>
      </c>
      <c r="R181" s="25">
        <f t="array" aca="1" ref="R181" ca="1">INDEX('Lorri 401b'!L:L,MATCH('Retirement Calculator'!A181,'Lorri 401b'!N:N,0),0)</f>
        <v>3997839.6337833637</v>
      </c>
      <c r="S181" s="25">
        <f t="shared" ca="1" si="7"/>
        <v>5404450.1341029573</v>
      </c>
    </row>
    <row r="182" spans="1:19" ht="15.75" customHeight="1" x14ac:dyDescent="0.3">
      <c r="A182" s="37">
        <v>56493</v>
      </c>
      <c r="B182" s="398">
        <f t="shared" ref="B182:C182" si="178">($A182-B$9)/365.25</f>
        <v>72.791238877481177</v>
      </c>
      <c r="C182" s="398">
        <f t="shared" si="178"/>
        <v>68.180698151950722</v>
      </c>
      <c r="E182" s="25">
        <f>IF(C182&gt;$B$7,0,'Combined Retirement'!$D$13/12)</f>
        <v>0</v>
      </c>
      <c r="F182" s="25">
        <f>IF(H182=0,'Combined Retirement'!$D$32,0)+'Combined Retirement'!$B$24</f>
        <v>2870.372285649099</v>
      </c>
      <c r="G182" s="25">
        <f>'Combined Retirement'!$C$24</f>
        <v>3254.2644699519233</v>
      </c>
      <c r="H182" s="25">
        <f>IF(B182&lt;62,0,'Combined Retirement'!$I$14)</f>
        <v>2345</v>
      </c>
      <c r="I182" s="25">
        <f>IF(C182&lt;62,0,'Combined Retirement'!$I$13)</f>
        <v>2420</v>
      </c>
      <c r="J182" s="25">
        <f t="shared" si="3"/>
        <v>8395.6297298201844</v>
      </c>
      <c r="K182" s="25">
        <f t="shared" si="4"/>
        <v>21655.303514578787</v>
      </c>
      <c r="L182" s="25"/>
      <c r="N182" s="25">
        <f>'Combined Retirement'!$C$18/12</f>
        <v>40940.569999999992</v>
      </c>
      <c r="O182" s="25">
        <f t="shared" si="5"/>
        <v>10889.636755601023</v>
      </c>
      <c r="P182" s="25">
        <f t="shared" si="6"/>
        <v>30050.93324439897</v>
      </c>
      <c r="Q182" s="25">
        <f t="array" aca="1" ref="Q182" ca="1">INDEX('Isaac 401k'!L:L,MATCH('Retirement Calculator'!A182,'Isaac 401k'!N:N,0),0)</f>
        <v>1404040.7658838972</v>
      </c>
      <c r="R182" s="25">
        <f t="array" aca="1" ref="R182" ca="1">INDEX('Lorri 401b'!L:L,MATCH('Retirement Calculator'!A182,'Lorri 401b'!N:N,0),0)</f>
        <v>3992751.7649782384</v>
      </c>
      <c r="S182" s="25">
        <f t="shared" ca="1" si="7"/>
        <v>5396792.5308621358</v>
      </c>
    </row>
    <row r="183" spans="1:19" ht="15.75" customHeight="1" x14ac:dyDescent="0.3">
      <c r="A183" s="37">
        <v>56523</v>
      </c>
      <c r="B183" s="398">
        <f t="shared" ref="B183:C183" si="179">($A183-B$9)/365.25</f>
        <v>72.873374401095134</v>
      </c>
      <c r="C183" s="398">
        <f t="shared" si="179"/>
        <v>68.262833675564679</v>
      </c>
      <c r="E183" s="25">
        <f>IF(C183&gt;$B$7,0,'Combined Retirement'!$D$13/12)</f>
        <v>0</v>
      </c>
      <c r="F183" s="25">
        <f>IF(H183=0,'Combined Retirement'!$D$32,0)+'Combined Retirement'!$B$24</f>
        <v>2870.372285649099</v>
      </c>
      <c r="G183" s="25">
        <f>'Combined Retirement'!$C$24</f>
        <v>3254.2644699519233</v>
      </c>
      <c r="H183" s="25">
        <f>IF(B183&lt;62,0,'Combined Retirement'!$I$14)</f>
        <v>2345</v>
      </c>
      <c r="I183" s="25">
        <f>IF(C183&lt;62,0,'Combined Retirement'!$I$13)</f>
        <v>2420</v>
      </c>
      <c r="J183" s="25">
        <f t="shared" si="3"/>
        <v>8395.6297298201844</v>
      </c>
      <c r="K183" s="25">
        <f t="shared" si="4"/>
        <v>21655.303514578787</v>
      </c>
      <c r="L183" s="25"/>
      <c r="N183" s="25">
        <f>'Combined Retirement'!$C$18/12</f>
        <v>40940.569999999992</v>
      </c>
      <c r="O183" s="25">
        <f t="shared" si="5"/>
        <v>10889.636755601023</v>
      </c>
      <c r="P183" s="25">
        <f t="shared" si="6"/>
        <v>30050.93324439897</v>
      </c>
      <c r="Q183" s="25">
        <f t="array" aca="1" ref="Q183" ca="1">INDEX('Isaac 401k'!L:L,MATCH('Retirement Calculator'!A183,'Isaac 401k'!N:N,0),0)</f>
        <v>1401460.3242213856</v>
      </c>
      <c r="R183" s="25">
        <f t="array" aca="1" ref="R183" ca="1">INDEX('Lorri 401b'!L:L,MATCH('Retirement Calculator'!A183,'Lorri 401b'!N:N,0),0)</f>
        <v>3987642.6967197582</v>
      </c>
      <c r="S183" s="25">
        <f t="shared" ca="1" si="7"/>
        <v>5389103.0209411439</v>
      </c>
    </row>
    <row r="184" spans="1:19" ht="15.75" customHeight="1" x14ac:dyDescent="0.3">
      <c r="A184" s="37">
        <v>56554</v>
      </c>
      <c r="B184" s="398">
        <f t="shared" ref="B184:C184" si="180">($A184-B$9)/365.25</f>
        <v>72.958247775496233</v>
      </c>
      <c r="C184" s="398">
        <f t="shared" si="180"/>
        <v>68.347707049965777</v>
      </c>
      <c r="E184" s="25">
        <f>IF(C184&gt;$B$7,0,'Combined Retirement'!$D$13/12)</f>
        <v>0</v>
      </c>
      <c r="F184" s="25">
        <f>IF(H184=0,'Combined Retirement'!$D$32,0)+'Combined Retirement'!$B$24</f>
        <v>2870.372285649099</v>
      </c>
      <c r="G184" s="25">
        <f>'Combined Retirement'!$C$24</f>
        <v>3254.2644699519233</v>
      </c>
      <c r="H184" s="25">
        <f>IF(B184&lt;62,0,'Combined Retirement'!$I$14)</f>
        <v>2345</v>
      </c>
      <c r="I184" s="25">
        <f>IF(C184&lt;62,0,'Combined Retirement'!$I$13)</f>
        <v>2420</v>
      </c>
      <c r="J184" s="25">
        <f t="shared" si="3"/>
        <v>8395.6297298201844</v>
      </c>
      <c r="K184" s="25">
        <f t="shared" si="4"/>
        <v>21655.303514578787</v>
      </c>
      <c r="L184" s="25"/>
      <c r="N184" s="25">
        <f>'Combined Retirement'!$C$18/12</f>
        <v>40940.569999999992</v>
      </c>
      <c r="O184" s="25">
        <f t="shared" si="5"/>
        <v>10889.636755601023</v>
      </c>
      <c r="P184" s="25">
        <f t="shared" si="6"/>
        <v>30050.93324439897</v>
      </c>
      <c r="Q184" s="25">
        <f t="array" aca="1" ref="Q184" ca="1">INDEX('Isaac 401k'!L:L,MATCH('Retirement Calculator'!A184,'Isaac 401k'!N:N,0),0)</f>
        <v>1398869.1307186137</v>
      </c>
      <c r="R184" s="25">
        <f t="array" aca="1" ref="R184" ca="1">INDEX('Lorri 401b'!L:L,MATCH('Retirement Calculator'!A184,'Lorri 401b'!N:N,0),0)</f>
        <v>3982512.3406768674</v>
      </c>
      <c r="S184" s="25">
        <f t="shared" ca="1" si="7"/>
        <v>5381381.4713954814</v>
      </c>
    </row>
    <row r="185" spans="1:19" ht="15.75" customHeight="1" x14ac:dyDescent="0.3">
      <c r="A185" s="37">
        <v>56584</v>
      </c>
      <c r="B185" s="398">
        <f t="shared" ref="B185:C185" si="181">($A185-B$9)/365.25</f>
        <v>73.040383299110204</v>
      </c>
      <c r="C185" s="398">
        <f t="shared" si="181"/>
        <v>68.429842573579734</v>
      </c>
      <c r="E185" s="25">
        <f>IF(C185&gt;$B$7,0,'Combined Retirement'!$D$13/12)</f>
        <v>0</v>
      </c>
      <c r="F185" s="25">
        <f>IF(H185=0,'Combined Retirement'!$D$32,0)+'Combined Retirement'!$B$24</f>
        <v>2870.372285649099</v>
      </c>
      <c r="G185" s="25">
        <f>'Combined Retirement'!$C$24</f>
        <v>3254.2644699519233</v>
      </c>
      <c r="H185" s="25">
        <f>IF(B185&lt;62,0,'Combined Retirement'!$I$14)</f>
        <v>2345</v>
      </c>
      <c r="I185" s="25">
        <f>IF(C185&lt;62,0,'Combined Retirement'!$I$13)</f>
        <v>2420</v>
      </c>
      <c r="J185" s="25">
        <f t="shared" si="3"/>
        <v>8395.6297298201844</v>
      </c>
      <c r="K185" s="25">
        <f t="shared" si="4"/>
        <v>21655.303514578787</v>
      </c>
      <c r="L185" s="25"/>
      <c r="N185" s="25">
        <f>'Combined Retirement'!$C$18/12</f>
        <v>40940.569999999992</v>
      </c>
      <c r="O185" s="25">
        <f t="shared" si="5"/>
        <v>10889.636755601023</v>
      </c>
      <c r="P185" s="25">
        <f t="shared" si="6"/>
        <v>30050.93324439897</v>
      </c>
      <c r="Q185" s="25">
        <f t="array" aca="1" ref="Q185" ca="1">INDEX('Isaac 401k'!L:L,MATCH('Retirement Calculator'!A185,'Isaac 401k'!N:N,0),0)</f>
        <v>1396267.1405762469</v>
      </c>
      <c r="R185" s="25">
        <f t="array" aca="1" ref="R185" ca="1">INDEX('Lorri 401b'!L:L,MATCH('Retirement Calculator'!A185,'Lorri 401b'!N:N,0),0)</f>
        <v>3977360.6081504649</v>
      </c>
      <c r="S185" s="25">
        <f t="shared" ca="1" si="7"/>
        <v>5373627.7487267116</v>
      </c>
    </row>
    <row r="186" spans="1:19" ht="15.75" customHeight="1" x14ac:dyDescent="0.3">
      <c r="A186" s="37">
        <v>56615</v>
      </c>
      <c r="B186" s="398">
        <f t="shared" ref="B186:C186" si="182">($A186-B$9)/365.25</f>
        <v>73.125256673511288</v>
      </c>
      <c r="C186" s="398">
        <f t="shared" si="182"/>
        <v>68.514715947980832</v>
      </c>
      <c r="E186" s="25">
        <f>IF(C186&gt;$B$7,0,'Combined Retirement'!$D$13/12)</f>
        <v>0</v>
      </c>
      <c r="F186" s="25">
        <f>IF(H186=0,'Combined Retirement'!$D$32,0)+'Combined Retirement'!$B$24</f>
        <v>2870.372285649099</v>
      </c>
      <c r="G186" s="25">
        <f>'Combined Retirement'!$C$24</f>
        <v>3254.2644699519233</v>
      </c>
      <c r="H186" s="25">
        <f>IF(B186&lt;62,0,'Combined Retirement'!$I$14)</f>
        <v>2345</v>
      </c>
      <c r="I186" s="25">
        <f>IF(C186&lt;62,0,'Combined Retirement'!$I$13)</f>
        <v>2420</v>
      </c>
      <c r="J186" s="25">
        <f t="shared" si="3"/>
        <v>8395.6297298201844</v>
      </c>
      <c r="K186" s="25">
        <f t="shared" si="4"/>
        <v>21655.303514578787</v>
      </c>
      <c r="L186" s="25"/>
      <c r="N186" s="25">
        <f>'Combined Retirement'!$C$18/12</f>
        <v>40940.569999999992</v>
      </c>
      <c r="O186" s="25">
        <f t="shared" si="5"/>
        <v>10889.636755601023</v>
      </c>
      <c r="P186" s="25">
        <f t="shared" si="6"/>
        <v>30050.93324439897</v>
      </c>
      <c r="Q186" s="25">
        <f t="array" aca="1" ref="Q186" ca="1">INDEX('Isaac 401k'!L:L,MATCH('Retirement Calculator'!A186,'Isaac 401k'!N:N,0),0)</f>
        <v>1393654.3088082869</v>
      </c>
      <c r="R186" s="25">
        <f t="array" aca="1" ref="R186" ca="1">INDEX('Lorri 401b'!L:L,MATCH('Retirement Calculator'!A186,'Lorri 401b'!N:N,0),0)</f>
        <v>3972187.4100718689</v>
      </c>
      <c r="S186" s="25">
        <f t="shared" ca="1" si="7"/>
        <v>5365841.7188801561</v>
      </c>
    </row>
    <row r="187" spans="1:19" ht="15.75" customHeight="1" x14ac:dyDescent="0.3">
      <c r="A187" s="37">
        <v>56646</v>
      </c>
      <c r="B187" s="398">
        <f t="shared" ref="B187:C187" si="183">($A187-B$9)/365.25</f>
        <v>73.210130047912386</v>
      </c>
      <c r="C187" s="398">
        <f t="shared" si="183"/>
        <v>68.599589322381931</v>
      </c>
      <c r="E187" s="25">
        <f>IF(C187&gt;$B$7,0,'Combined Retirement'!$D$13/12)</f>
        <v>0</v>
      </c>
      <c r="F187" s="25">
        <f>IF(H187=0,'Combined Retirement'!$D$32,0)+'Combined Retirement'!$B$24</f>
        <v>2870.372285649099</v>
      </c>
      <c r="G187" s="25">
        <f>'Combined Retirement'!$C$24</f>
        <v>3254.2644699519233</v>
      </c>
      <c r="H187" s="25">
        <f>IF(B187&lt;62,0,'Combined Retirement'!$I$14)</f>
        <v>2345</v>
      </c>
      <c r="I187" s="25">
        <f>IF(C187&lt;62,0,'Combined Retirement'!$I$13)</f>
        <v>2420</v>
      </c>
      <c r="J187" s="25">
        <f t="shared" si="3"/>
        <v>8395.6297298201844</v>
      </c>
      <c r="K187" s="25">
        <f t="shared" si="4"/>
        <v>21655.303514578787</v>
      </c>
      <c r="L187" s="25"/>
      <c r="N187" s="25">
        <f>'Combined Retirement'!$C$18/12</f>
        <v>40940.569999999992</v>
      </c>
      <c r="O187" s="25">
        <f t="shared" si="5"/>
        <v>10889.636755601023</v>
      </c>
      <c r="P187" s="25">
        <f t="shared" si="6"/>
        <v>30050.93324439897</v>
      </c>
      <c r="Q187" s="25">
        <f t="array" aca="1" ref="Q187" ca="1">INDEX('Isaac 401k'!L:L,MATCH('Retirement Calculator'!A187,'Isaac 401k'!N:N,0),0)</f>
        <v>1391030.5902412937</v>
      </c>
      <c r="R187" s="25">
        <f t="array" aca="1" ref="R187" ca="1">INDEX('Lorri 401b'!L:L,MATCH('Retirement Calculator'!A187,'Lorri 401b'!N:N,0),0)</f>
        <v>3966992.6570012788</v>
      </c>
      <c r="S187" s="25">
        <f t="shared" ca="1" si="7"/>
        <v>5358023.2472425727</v>
      </c>
    </row>
    <row r="188" spans="1:19" ht="15.75" customHeight="1" x14ac:dyDescent="0.3">
      <c r="A188" s="37">
        <v>56674</v>
      </c>
      <c r="B188" s="398">
        <f t="shared" ref="B188:C188" si="184">($A188-B$9)/365.25</f>
        <v>73.286789869952088</v>
      </c>
      <c r="C188" s="398">
        <f t="shared" si="184"/>
        <v>68.676249144421632</v>
      </c>
      <c r="E188" s="25">
        <f>IF(C188&gt;$B$7,0,'Combined Retirement'!$D$13/12)</f>
        <v>0</v>
      </c>
      <c r="F188" s="25">
        <f>IF(H188=0,'Combined Retirement'!$D$32,0)+'Combined Retirement'!$B$24</f>
        <v>2870.372285649099</v>
      </c>
      <c r="G188" s="25">
        <f>'Combined Retirement'!$C$24</f>
        <v>3254.2644699519233</v>
      </c>
      <c r="H188" s="25">
        <f>IF(B188&lt;62,0,'Combined Retirement'!$I$14)</f>
        <v>2345</v>
      </c>
      <c r="I188" s="25">
        <f>IF(C188&lt;62,0,'Combined Retirement'!$I$13)</f>
        <v>2420</v>
      </c>
      <c r="J188" s="25">
        <f t="shared" si="3"/>
        <v>8395.6297298201844</v>
      </c>
      <c r="K188" s="25">
        <f t="shared" si="4"/>
        <v>21655.303514578787</v>
      </c>
      <c r="L188" s="25"/>
      <c r="N188" s="25">
        <f>'Combined Retirement'!$C$18/12</f>
        <v>40940.569999999992</v>
      </c>
      <c r="O188" s="25">
        <f t="shared" si="5"/>
        <v>10889.636755601023</v>
      </c>
      <c r="P188" s="25">
        <f t="shared" si="6"/>
        <v>30050.93324439897</v>
      </c>
      <c r="Q188" s="25">
        <f t="array" aca="1" ref="Q188" ca="1">INDEX('Isaac 401k'!L:L,MATCH('Retirement Calculator'!A188,'Isaac 401k'!N:N,0),0)</f>
        <v>1388395.9395136046</v>
      </c>
      <c r="R188" s="25">
        <f t="array" aca="1" ref="R188" ca="1">INDEX('Lorri 401b'!L:L,MATCH('Retirement Calculator'!A188,'Lorri 401b'!N:N,0),0)</f>
        <v>3961776.2591262278</v>
      </c>
      <c r="S188" s="25">
        <f t="shared" ca="1" si="7"/>
        <v>5350172.1986398324</v>
      </c>
    </row>
    <row r="189" spans="1:19" ht="15.75" customHeight="1" x14ac:dyDescent="0.3">
      <c r="A189" s="37">
        <v>56705</v>
      </c>
      <c r="B189" s="398">
        <f t="shared" ref="B189:C189" si="185">($A189-B$9)/365.25</f>
        <v>73.371663244353186</v>
      </c>
      <c r="C189" s="398">
        <f t="shared" si="185"/>
        <v>68.761122518822731</v>
      </c>
      <c r="E189" s="25">
        <f>IF(C189&gt;$B$7,0,'Combined Retirement'!$D$13/12)</f>
        <v>0</v>
      </c>
      <c r="F189" s="25">
        <f>IF(H189=0,'Combined Retirement'!$D$32,0)+'Combined Retirement'!$B$24</f>
        <v>2870.372285649099</v>
      </c>
      <c r="G189" s="25">
        <f>'Combined Retirement'!$C$24</f>
        <v>3254.2644699519233</v>
      </c>
      <c r="H189" s="25">
        <f>IF(B189&lt;62,0,'Combined Retirement'!$I$14)</f>
        <v>2345</v>
      </c>
      <c r="I189" s="25">
        <f>IF(C189&lt;62,0,'Combined Retirement'!$I$13)</f>
        <v>2420</v>
      </c>
      <c r="J189" s="25">
        <f t="shared" si="3"/>
        <v>8395.6297298201844</v>
      </c>
      <c r="K189" s="25">
        <f t="shared" si="4"/>
        <v>21655.303514578787</v>
      </c>
      <c r="L189" s="25"/>
      <c r="N189" s="25">
        <f>'Combined Retirement'!$C$18/12</f>
        <v>40940.569999999992</v>
      </c>
      <c r="O189" s="25">
        <f t="shared" si="5"/>
        <v>10889.636755601023</v>
      </c>
      <c r="P189" s="25">
        <f t="shared" si="6"/>
        <v>30050.93324439897</v>
      </c>
      <c r="Q189" s="25">
        <f t="array" aca="1" ref="Q189" ca="1">INDEX('Isaac 401k'!L:L,MATCH('Retirement Calculator'!A189,'Isaac 401k'!N:N,0),0)</f>
        <v>1385750.3110745503</v>
      </c>
      <c r="R189" s="25">
        <f t="array" aca="1" ref="R189" ca="1">INDEX('Lorri 401b'!L:L,MATCH('Retirement Calculator'!A189,'Lorri 401b'!N:N,0),0)</f>
        <v>3956538.126260031</v>
      </c>
      <c r="S189" s="25">
        <f t="shared" ca="1" si="7"/>
        <v>5342288.4373345813</v>
      </c>
    </row>
    <row r="190" spans="1:19" ht="15.75" customHeight="1" x14ac:dyDescent="0.3">
      <c r="A190" s="37">
        <v>56735</v>
      </c>
      <c r="B190" s="398">
        <f t="shared" ref="B190:C190" si="186">($A190-B$9)/365.25</f>
        <v>73.453798767967143</v>
      </c>
      <c r="C190" s="398">
        <f t="shared" si="186"/>
        <v>68.843258042436688</v>
      </c>
      <c r="E190" s="25">
        <f>IF(C190&gt;$B$7,0,'Combined Retirement'!$D$13/12)</f>
        <v>0</v>
      </c>
      <c r="F190" s="25">
        <f>IF(H190=0,'Combined Retirement'!$D$32,0)+'Combined Retirement'!$B$24</f>
        <v>2870.372285649099</v>
      </c>
      <c r="G190" s="25">
        <f>'Combined Retirement'!$C$24</f>
        <v>3254.2644699519233</v>
      </c>
      <c r="H190" s="25">
        <f>IF(B190&lt;62,0,'Combined Retirement'!$I$14)</f>
        <v>2345</v>
      </c>
      <c r="I190" s="25">
        <f>IF(C190&lt;62,0,'Combined Retirement'!$I$13)</f>
        <v>2420</v>
      </c>
      <c r="J190" s="25">
        <f t="shared" si="3"/>
        <v>8395.6297298201844</v>
      </c>
      <c r="K190" s="25">
        <f t="shared" si="4"/>
        <v>21655.303514578787</v>
      </c>
      <c r="L190" s="25"/>
      <c r="N190" s="25">
        <f>'Combined Retirement'!$C$18/12</f>
        <v>40940.569999999992</v>
      </c>
      <c r="O190" s="25">
        <f t="shared" si="5"/>
        <v>10889.636755601023</v>
      </c>
      <c r="P190" s="25">
        <f t="shared" si="6"/>
        <v>30050.93324439897</v>
      </c>
      <c r="Q190" s="25">
        <f t="array" aca="1" ref="Q190" ca="1">INDEX('Isaac 401k'!L:L,MATCH('Retirement Calculator'!A190,'Isaac 401k'!N:N,0),0)</f>
        <v>1383093.6591836663</v>
      </c>
      <c r="R190" s="25">
        <f t="array" aca="1" ref="R190" ca="1">INDEX('Lorri 401b'!L:L,MATCH('Retirement Calculator'!A190,'Lorri 401b'!N:N,0),0)</f>
        <v>3951278.1678402247</v>
      </c>
      <c r="S190" s="25">
        <f t="shared" ca="1" si="7"/>
        <v>5334371.8270238908</v>
      </c>
    </row>
    <row r="191" spans="1:19" ht="15.75" customHeight="1" x14ac:dyDescent="0.3">
      <c r="A191" s="37">
        <v>56766</v>
      </c>
      <c r="B191" s="398">
        <f t="shared" ref="B191:C191" si="187">($A191-B$9)/365.25</f>
        <v>73.538672142368242</v>
      </c>
      <c r="C191" s="398">
        <f t="shared" si="187"/>
        <v>68.928131416837786</v>
      </c>
      <c r="E191" s="25">
        <f>IF(C191&gt;$B$7,0,'Combined Retirement'!$D$13/12)</f>
        <v>0</v>
      </c>
      <c r="F191" s="25">
        <f>IF(H191=0,'Combined Retirement'!$D$32,0)+'Combined Retirement'!$B$24</f>
        <v>2870.372285649099</v>
      </c>
      <c r="G191" s="25">
        <f>'Combined Retirement'!$C$24</f>
        <v>3254.2644699519233</v>
      </c>
      <c r="H191" s="25">
        <f>IF(B191&lt;62,0,'Combined Retirement'!$I$14)</f>
        <v>2345</v>
      </c>
      <c r="I191" s="25">
        <f>IF(C191&lt;62,0,'Combined Retirement'!$I$13)</f>
        <v>2420</v>
      </c>
      <c r="J191" s="25">
        <f t="shared" si="3"/>
        <v>8395.6297298201844</v>
      </c>
      <c r="K191" s="25">
        <f t="shared" si="4"/>
        <v>21655.303514578787</v>
      </c>
      <c r="L191" s="25"/>
      <c r="N191" s="25">
        <f>'Combined Retirement'!$C$18/12</f>
        <v>40940.569999999992</v>
      </c>
      <c r="O191" s="25">
        <f t="shared" si="5"/>
        <v>10889.636755601023</v>
      </c>
      <c r="P191" s="25">
        <f t="shared" si="6"/>
        <v>30050.93324439897</v>
      </c>
      <c r="Q191" s="25">
        <f t="array" aca="1" ref="Q191" ca="1">INDEX('Isaac 401k'!L:L,MATCH('Retirement Calculator'!A191,'Isaac 401k'!N:N,0),0)</f>
        <v>1380425.9379099039</v>
      </c>
      <c r="R191" s="25">
        <f t="array" aca="1" ref="R191" ca="1">INDEX('Lorri 401b'!L:L,MATCH('Retirement Calculator'!A191,'Lorri 401b'!N:N,0),0)</f>
        <v>3945996.2929270025</v>
      </c>
      <c r="S191" s="25">
        <f t="shared" ca="1" si="7"/>
        <v>5326422.2308369065</v>
      </c>
    </row>
    <row r="192" spans="1:19" ht="15.75" customHeight="1" x14ac:dyDescent="0.3">
      <c r="A192" s="37">
        <v>56796</v>
      </c>
      <c r="B192" s="398">
        <f t="shared" ref="B192:C192" si="188">($A192-B$9)/365.25</f>
        <v>73.620807665982198</v>
      </c>
      <c r="C192" s="398">
        <f t="shared" si="188"/>
        <v>69.010266940451743</v>
      </c>
      <c r="E192" s="25">
        <f>IF(C192&gt;$B$7,0,'Combined Retirement'!$D$13/12)</f>
        <v>0</v>
      </c>
      <c r="F192" s="25">
        <f>IF(H192=0,'Combined Retirement'!$D$32,0)+'Combined Retirement'!$B$24</f>
        <v>2870.372285649099</v>
      </c>
      <c r="G192" s="25">
        <f>'Combined Retirement'!$C$24</f>
        <v>3254.2644699519233</v>
      </c>
      <c r="H192" s="25">
        <f>IF(B192&lt;62,0,'Combined Retirement'!$I$14)</f>
        <v>2345</v>
      </c>
      <c r="I192" s="25">
        <f>IF(C192&lt;62,0,'Combined Retirement'!$I$13)</f>
        <v>2420</v>
      </c>
      <c r="J192" s="25">
        <f t="shared" si="3"/>
        <v>8395.6297298201844</v>
      </c>
      <c r="K192" s="25">
        <f t="shared" si="4"/>
        <v>21655.303514578787</v>
      </c>
      <c r="L192" s="25"/>
      <c r="N192" s="25">
        <f>'Combined Retirement'!$C$18/12</f>
        <v>40940.569999999992</v>
      </c>
      <c r="O192" s="25">
        <f t="shared" si="5"/>
        <v>10889.636755601023</v>
      </c>
      <c r="P192" s="25">
        <f t="shared" si="6"/>
        <v>30050.93324439897</v>
      </c>
      <c r="Q192" s="25">
        <f t="array" aca="1" ref="Q192" ca="1">INDEX('Isaac 401k'!L:L,MATCH('Retirement Calculator'!A192,'Isaac 401k'!N:N,0),0)</f>
        <v>1377747.1011308341</v>
      </c>
      <c r="R192" s="25">
        <f t="array" aca="1" ref="R192" ca="1">INDEX('Lorri 401b'!L:L,MATCH('Retirement Calculator'!A192,'Lorri 401b'!N:N,0),0)</f>
        <v>3940692.4102016422</v>
      </c>
      <c r="S192" s="25">
        <f t="shared" ca="1" si="7"/>
        <v>5318439.5113324765</v>
      </c>
    </row>
    <row r="193" spans="1:19" ht="15.75" customHeight="1" x14ac:dyDescent="0.3">
      <c r="A193" s="37">
        <v>56827</v>
      </c>
      <c r="B193" s="398">
        <f t="shared" ref="B193:C193" si="189">($A193-B$9)/365.25</f>
        <v>73.705681040383297</v>
      </c>
      <c r="C193" s="398">
        <f t="shared" si="189"/>
        <v>69.095140314852841</v>
      </c>
      <c r="E193" s="25">
        <f>IF(C193&gt;$B$7,0,'Combined Retirement'!$D$13/12)</f>
        <v>0</v>
      </c>
      <c r="F193" s="25">
        <f>IF(H193=0,'Combined Retirement'!$D$32,0)+'Combined Retirement'!$B$24</f>
        <v>2870.372285649099</v>
      </c>
      <c r="G193" s="25">
        <f>'Combined Retirement'!$C$24</f>
        <v>3254.2644699519233</v>
      </c>
      <c r="H193" s="25">
        <f>IF(B193&lt;62,0,'Combined Retirement'!$I$14)</f>
        <v>2345</v>
      </c>
      <c r="I193" s="25">
        <f>IF(C193&lt;62,0,'Combined Retirement'!$I$13)</f>
        <v>2420</v>
      </c>
      <c r="J193" s="25">
        <f t="shared" si="3"/>
        <v>8395.6297298201844</v>
      </c>
      <c r="K193" s="25">
        <f t="shared" si="4"/>
        <v>21655.303514578787</v>
      </c>
      <c r="L193" s="25"/>
      <c r="N193" s="25">
        <f>'Combined Retirement'!$C$18/12</f>
        <v>40940.569999999992</v>
      </c>
      <c r="O193" s="25">
        <f t="shared" si="5"/>
        <v>10889.636755601023</v>
      </c>
      <c r="P193" s="25">
        <f t="shared" si="6"/>
        <v>30050.93324439897</v>
      </c>
      <c r="Q193" s="25">
        <f t="array" aca="1" ref="Q193" ca="1">INDEX('Isaac 401k'!L:L,MATCH('Retirement Calculator'!A193,'Isaac 401k'!N:N,0),0)</f>
        <v>1375057.1025318515</v>
      </c>
      <c r="R193" s="25">
        <f t="array" aca="1" ref="R193" ca="1">INDEX('Lorri 401b'!L:L,MATCH('Retirement Calculator'!A193,'Lorri 401b'!N:N,0),0)</f>
        <v>3935366.4279649262</v>
      </c>
      <c r="S193" s="25">
        <f t="shared" ca="1" si="7"/>
        <v>5310423.530496778</v>
      </c>
    </row>
    <row r="194" spans="1:19" ht="15.75" customHeight="1" x14ac:dyDescent="0.3">
      <c r="A194" s="37">
        <v>56858</v>
      </c>
      <c r="B194" s="398">
        <f t="shared" ref="B194:C194" si="190">($A194-B$9)/365.25</f>
        <v>73.790554414784395</v>
      </c>
      <c r="C194" s="398">
        <f t="shared" si="190"/>
        <v>69.18001368925394</v>
      </c>
      <c r="E194" s="25">
        <f>IF(C194&gt;$B$7,0,'Combined Retirement'!$D$13/12)</f>
        <v>0</v>
      </c>
      <c r="F194" s="25">
        <f>IF(H194=0,'Combined Retirement'!$D$32,0)+'Combined Retirement'!$B$24</f>
        <v>2870.372285649099</v>
      </c>
      <c r="G194" s="25">
        <f>'Combined Retirement'!$C$24</f>
        <v>3254.2644699519233</v>
      </c>
      <c r="H194" s="25">
        <f>IF(B194&lt;62,0,'Combined Retirement'!$I$14)</f>
        <v>2345</v>
      </c>
      <c r="I194" s="25">
        <f>IF(C194&lt;62,0,'Combined Retirement'!$I$13)</f>
        <v>2420</v>
      </c>
      <c r="J194" s="25">
        <f t="shared" si="3"/>
        <v>8395.6297298201844</v>
      </c>
      <c r="K194" s="25">
        <f t="shared" si="4"/>
        <v>21655.303514578787</v>
      </c>
      <c r="L194" s="25"/>
      <c r="N194" s="25">
        <f>'Combined Retirement'!$C$18/12</f>
        <v>40940.569999999992</v>
      </c>
      <c r="O194" s="25">
        <f t="shared" si="5"/>
        <v>10889.636755601023</v>
      </c>
      <c r="P194" s="25">
        <f t="shared" si="6"/>
        <v>30050.93324439897</v>
      </c>
      <c r="Q194" s="25">
        <f t="array" aca="1" ref="Q194" ca="1">INDEX('Isaac 401k'!L:L,MATCH('Retirement Calculator'!A194,'Isaac 401k'!N:N,0),0)</f>
        <v>1372355.8956053732</v>
      </c>
      <c r="R194" s="25">
        <f t="array" aca="1" ref="R194" ca="1">INDEX('Lorri 401b'!L:L,MATCH('Retirement Calculator'!A194,'Lorri 401b'!N:N,0),0)</f>
        <v>3930018.254135557</v>
      </c>
      <c r="S194" s="25">
        <f t="shared" ca="1" si="7"/>
        <v>5302374.1497409306</v>
      </c>
    </row>
    <row r="195" spans="1:19" ht="15.75" customHeight="1" x14ac:dyDescent="0.3">
      <c r="A195" s="37">
        <v>56888</v>
      </c>
      <c r="B195" s="398">
        <f t="shared" ref="B195:C195" si="191">($A195-B$9)/365.25</f>
        <v>73.872689938398352</v>
      </c>
      <c r="C195" s="398">
        <f t="shared" si="191"/>
        <v>69.262149212867897</v>
      </c>
      <c r="E195" s="25">
        <f>IF(C195&gt;$B$7,0,'Combined Retirement'!$D$13/12)</f>
        <v>0</v>
      </c>
      <c r="F195" s="25">
        <f>IF(H195=0,'Combined Retirement'!$D$32,0)+'Combined Retirement'!$B$24</f>
        <v>2870.372285649099</v>
      </c>
      <c r="G195" s="25">
        <f>'Combined Retirement'!$C$24</f>
        <v>3254.2644699519233</v>
      </c>
      <c r="H195" s="25">
        <f>IF(B195&lt;62,0,'Combined Retirement'!$I$14)</f>
        <v>2345</v>
      </c>
      <c r="I195" s="25">
        <f>IF(C195&lt;62,0,'Combined Retirement'!$I$13)</f>
        <v>2420</v>
      </c>
      <c r="J195" s="25">
        <f t="shared" si="3"/>
        <v>8395.6297298201844</v>
      </c>
      <c r="K195" s="25">
        <f t="shared" si="4"/>
        <v>21655.303514578787</v>
      </c>
      <c r="L195" s="25"/>
      <c r="N195" s="25">
        <f>'Combined Retirement'!$C$18/12</f>
        <v>40940.569999999992</v>
      </c>
      <c r="O195" s="25">
        <f t="shared" si="5"/>
        <v>10889.636755601023</v>
      </c>
      <c r="P195" s="25">
        <f t="shared" si="6"/>
        <v>30050.93324439897</v>
      </c>
      <c r="Q195" s="25">
        <f t="array" aca="1" ref="Q195" ca="1">INDEX('Isaac 401k'!L:L,MATCH('Retirement Calculator'!A195,'Isaac 401k'!N:N,0),0)</f>
        <v>1369643.4336500345</v>
      </c>
      <c r="R195" s="25">
        <f t="array" aca="1" ref="R195" ca="1">INDEX('Lorri 401b'!L:L,MATCH('Retirement Calculator'!A195,'Lorri 401b'!N:N,0),0)</f>
        <v>3924647.7962485654</v>
      </c>
      <c r="S195" s="25">
        <f t="shared" ca="1" si="7"/>
        <v>5294291.2298985999</v>
      </c>
    </row>
    <row r="196" spans="1:19" ht="15.75" customHeight="1" x14ac:dyDescent="0.3">
      <c r="A196" s="37">
        <v>56919</v>
      </c>
      <c r="B196" s="398">
        <f t="shared" ref="B196:C196" si="192">($A196-B$9)/365.25</f>
        <v>73.957563312799451</v>
      </c>
      <c r="C196" s="398">
        <f t="shared" si="192"/>
        <v>69.347022587268995</v>
      </c>
      <c r="E196" s="25">
        <f>IF(C196&gt;$B$7,0,'Combined Retirement'!$D$13/12)</f>
        <v>0</v>
      </c>
      <c r="F196" s="25">
        <f>IF(H196=0,'Combined Retirement'!$D$32,0)+'Combined Retirement'!$B$24</f>
        <v>2870.372285649099</v>
      </c>
      <c r="G196" s="25">
        <f>'Combined Retirement'!$C$24</f>
        <v>3254.2644699519233</v>
      </c>
      <c r="H196" s="25">
        <f>IF(B196&lt;62,0,'Combined Retirement'!$I$14)</f>
        <v>2345</v>
      </c>
      <c r="I196" s="25">
        <f>IF(C196&lt;62,0,'Combined Retirement'!$I$13)</f>
        <v>2420</v>
      </c>
      <c r="J196" s="25">
        <f t="shared" si="3"/>
        <v>8395.6297298201844</v>
      </c>
      <c r="K196" s="25">
        <f t="shared" si="4"/>
        <v>21655.303514578787</v>
      </c>
      <c r="L196" s="25"/>
      <c r="N196" s="25">
        <f>'Combined Retirement'!$C$18/12</f>
        <v>40940.569999999992</v>
      </c>
      <c r="O196" s="25">
        <f t="shared" si="5"/>
        <v>10889.636755601023</v>
      </c>
      <c r="P196" s="25">
        <f t="shared" si="6"/>
        <v>30050.93324439897</v>
      </c>
      <c r="Q196" s="25">
        <f t="array" aca="1" ref="Q196" ca="1">INDEX('Isaac 401k'!L:L,MATCH('Retirement Calculator'!A196,'Isaac 401k'!N:N,0),0)</f>
        <v>1366919.6697698818</v>
      </c>
      <c r="R196" s="25">
        <f t="array" aca="1" ref="R196" ca="1">INDEX('Lorri 401b'!L:L,MATCH('Retirement Calculator'!A196,'Lorri 401b'!N:N,0),0)</f>
        <v>3919254.9614537116</v>
      </c>
      <c r="S196" s="25">
        <f t="shared" ca="1" si="7"/>
        <v>5286174.6312235929</v>
      </c>
    </row>
    <row r="197" spans="1:19" ht="15.75" customHeight="1" x14ac:dyDescent="0.3">
      <c r="A197" s="37">
        <v>56949</v>
      </c>
      <c r="B197" s="398">
        <f t="shared" ref="B197:C197" si="193">($A197-B$9)/365.25</f>
        <v>74.039698836413422</v>
      </c>
      <c r="C197" s="398">
        <f t="shared" si="193"/>
        <v>69.429158110882952</v>
      </c>
      <c r="E197" s="25">
        <f>IF(C197&gt;$B$7,0,'Combined Retirement'!$D$13/12)</f>
        <v>0</v>
      </c>
      <c r="F197" s="25">
        <f>IF(H197=0,'Combined Retirement'!$D$32,0)+'Combined Retirement'!$B$24</f>
        <v>2870.372285649099</v>
      </c>
      <c r="G197" s="25">
        <f>'Combined Retirement'!$C$24</f>
        <v>3254.2644699519233</v>
      </c>
      <c r="H197" s="25">
        <f>IF(B197&lt;62,0,'Combined Retirement'!$I$14)</f>
        <v>2345</v>
      </c>
      <c r="I197" s="25">
        <f>IF(C197&lt;62,0,'Combined Retirement'!$I$13)</f>
        <v>2420</v>
      </c>
      <c r="J197" s="25">
        <f t="shared" si="3"/>
        <v>8395.6297298201844</v>
      </c>
      <c r="K197" s="25">
        <f t="shared" si="4"/>
        <v>21655.303514578787</v>
      </c>
      <c r="L197" s="25"/>
      <c r="N197" s="25">
        <f>'Combined Retirement'!$C$18/12</f>
        <v>40940.569999999992</v>
      </c>
      <c r="O197" s="25">
        <f t="shared" si="5"/>
        <v>10889.636755601023</v>
      </c>
      <c r="P197" s="25">
        <f t="shared" si="6"/>
        <v>30050.93324439897</v>
      </c>
      <c r="Q197" s="25">
        <f t="array" aca="1" ref="Q197" ca="1">INDEX('Isaac 401k'!L:L,MATCH('Retirement Calculator'!A197,'Isaac 401k'!N:N,0),0)</f>
        <v>1364184.5568735618</v>
      </c>
      <c r="R197" s="25">
        <f t="array" aca="1" ref="R197" ca="1">INDEX('Lorri 401b'!L:L,MATCH('Retirement Calculator'!A197,'Lorri 401b'!N:N,0),0)</f>
        <v>3913839.6565138791</v>
      </c>
      <c r="S197" s="25">
        <f t="shared" ca="1" si="7"/>
        <v>5278024.2133874409</v>
      </c>
    </row>
    <row r="198" spans="1:19" ht="15.75" customHeight="1" x14ac:dyDescent="0.3">
      <c r="A198" s="37">
        <v>56980</v>
      </c>
      <c r="B198" s="398">
        <f t="shared" ref="B198:C198" si="194">($A198-B$9)/365.25</f>
        <v>74.124572210814506</v>
      </c>
      <c r="C198" s="398">
        <f t="shared" si="194"/>
        <v>69.51403148528405</v>
      </c>
      <c r="E198" s="25">
        <f>IF(C198&gt;$B$7,0,'Combined Retirement'!$D$13/12)</f>
        <v>0</v>
      </c>
      <c r="F198" s="25">
        <f>IF(H198=0,'Combined Retirement'!$D$32,0)+'Combined Retirement'!$B$24</f>
        <v>2870.372285649099</v>
      </c>
      <c r="G198" s="25">
        <f>'Combined Retirement'!$C$24</f>
        <v>3254.2644699519233</v>
      </c>
      <c r="H198" s="25">
        <f>IF(B198&lt;62,0,'Combined Retirement'!$I$14)</f>
        <v>2345</v>
      </c>
      <c r="I198" s="25">
        <f>IF(C198&lt;62,0,'Combined Retirement'!$I$13)</f>
        <v>2420</v>
      </c>
      <c r="J198" s="25">
        <f t="shared" si="3"/>
        <v>8395.6297298201844</v>
      </c>
      <c r="K198" s="25">
        <f t="shared" si="4"/>
        <v>21655.303514578787</v>
      </c>
      <c r="L198" s="25"/>
      <c r="N198" s="25">
        <f>'Combined Retirement'!$C$18/12</f>
        <v>40940.569999999992</v>
      </c>
      <c r="O198" s="25">
        <f t="shared" si="5"/>
        <v>10889.636755601023</v>
      </c>
      <c r="P198" s="25">
        <f t="shared" si="6"/>
        <v>30050.93324439897</v>
      </c>
      <c r="Q198" s="25">
        <f t="array" aca="1" ref="Q198" ca="1">INDEX('Isaac 401k'!L:L,MATCH('Retirement Calculator'!A198,'Isaac 401k'!N:N,0),0)</f>
        <v>1361438.0476735071</v>
      </c>
      <c r="R198" s="25">
        <f t="array" aca="1" ref="R198" ca="1">INDEX('Lorri 401b'!L:L,MATCH('Retirement Calculator'!A198,'Lorri 401b'!N:N,0),0)</f>
        <v>3908401.7878034641</v>
      </c>
      <c r="S198" s="25">
        <f t="shared" ca="1" si="7"/>
        <v>5269839.8354769712</v>
      </c>
    </row>
    <row r="199" spans="1:19" ht="15.75" customHeight="1" x14ac:dyDescent="0.3">
      <c r="A199" s="37">
        <v>57011</v>
      </c>
      <c r="B199" s="398">
        <f t="shared" ref="B199:C199" si="195">($A199-B$9)/365.25</f>
        <v>74.209445585215605</v>
      </c>
      <c r="C199" s="398">
        <f t="shared" si="195"/>
        <v>69.598904859685149</v>
      </c>
      <c r="E199" s="25">
        <f>IF(C199&gt;$B$7,0,'Combined Retirement'!$D$13/12)</f>
        <v>0</v>
      </c>
      <c r="F199" s="25">
        <f>IF(H199=0,'Combined Retirement'!$D$32,0)+'Combined Retirement'!$B$24</f>
        <v>2870.372285649099</v>
      </c>
      <c r="G199" s="25">
        <f>'Combined Retirement'!$C$24</f>
        <v>3254.2644699519233</v>
      </c>
      <c r="H199" s="25">
        <f>IF(B199&lt;62,0,'Combined Retirement'!$I$14)</f>
        <v>2345</v>
      </c>
      <c r="I199" s="25">
        <f>IF(C199&lt;62,0,'Combined Retirement'!$I$13)</f>
        <v>2420</v>
      </c>
      <c r="J199" s="25">
        <f t="shared" si="3"/>
        <v>8395.6297298201844</v>
      </c>
      <c r="K199" s="25">
        <f t="shared" si="4"/>
        <v>21655.303514578787</v>
      </c>
      <c r="L199" s="25"/>
      <c r="N199" s="25">
        <f>'Combined Retirement'!$C$18/12</f>
        <v>40940.569999999992</v>
      </c>
      <c r="O199" s="25">
        <f t="shared" si="5"/>
        <v>10889.636755601023</v>
      </c>
      <c r="P199" s="25">
        <f t="shared" si="6"/>
        <v>30050.93324439897</v>
      </c>
      <c r="Q199" s="25">
        <f t="array" aca="1" ref="Q199" ca="1">INDEX('Isaac 401k'!L:L,MATCH('Retirement Calculator'!A199,'Isaac 401k'!N:N,0),0)</f>
        <v>1358680.0946851189</v>
      </c>
      <c r="R199" s="25">
        <f t="array" aca="1" ref="R199" ca="1">INDEX('Lorri 401b'!L:L,MATCH('Retirement Calculator'!A199,'Lorri 401b'!N:N,0),0)</f>
        <v>3902941.2613067557</v>
      </c>
      <c r="S199" s="25">
        <f t="shared" ca="1" si="7"/>
        <v>5261621.3559918748</v>
      </c>
    </row>
    <row r="200" spans="1:19" ht="15.75" customHeight="1" x14ac:dyDescent="0.3">
      <c r="A200" s="37">
        <v>57040</v>
      </c>
      <c r="B200" s="398">
        <f t="shared" ref="B200:C200" si="196">($A200-B$9)/365.25</f>
        <v>74.288843258042434</v>
      </c>
      <c r="C200" s="398">
        <f t="shared" si="196"/>
        <v>69.678302532511978</v>
      </c>
      <c r="E200" s="25">
        <f>IF(C200&gt;$B$7,0,'Combined Retirement'!$D$13/12)</f>
        <v>0</v>
      </c>
      <c r="F200" s="25">
        <f>IF(H200=0,'Combined Retirement'!$D$32,0)+'Combined Retirement'!$B$24</f>
        <v>2870.372285649099</v>
      </c>
      <c r="G200" s="25">
        <f>'Combined Retirement'!$C$24</f>
        <v>3254.2644699519233</v>
      </c>
      <c r="H200" s="25">
        <f>IF(B200&lt;62,0,'Combined Retirement'!$I$14)</f>
        <v>2345</v>
      </c>
      <c r="I200" s="25">
        <f>IF(C200&lt;62,0,'Combined Retirement'!$I$13)</f>
        <v>2420</v>
      </c>
      <c r="J200" s="25">
        <f t="shared" si="3"/>
        <v>8395.6297298201844</v>
      </c>
      <c r="K200" s="25">
        <f t="shared" si="4"/>
        <v>21655.303514578787</v>
      </c>
      <c r="L200" s="25"/>
      <c r="N200" s="25">
        <f>'Combined Retirement'!$C$18/12</f>
        <v>40940.569999999992</v>
      </c>
      <c r="O200" s="25">
        <f t="shared" si="5"/>
        <v>10889.636755601023</v>
      </c>
      <c r="P200" s="25">
        <f t="shared" si="6"/>
        <v>30050.93324439897</v>
      </c>
      <c r="Q200" s="25">
        <f t="array" aca="1" ref="Q200" ca="1">INDEX('Isaac 401k'!L:L,MATCH('Retirement Calculator'!A200,'Isaac 401k'!N:N,0),0)</f>
        <v>1355910.6502259457</v>
      </c>
      <c r="R200" s="25">
        <f t="array" aca="1" ref="R200" ca="1">INDEX('Lorri 401b'!L:L,MATCH('Retirement Calculator'!A200,'Lorri 401b'!N:N,0),0)</f>
        <v>3897457.9826163109</v>
      </c>
      <c r="S200" s="25">
        <f t="shared" ca="1" si="7"/>
        <v>5253368.6328422567</v>
      </c>
    </row>
    <row r="201" spans="1:19" ht="15.75" customHeight="1" x14ac:dyDescent="0.3">
      <c r="A201" s="37">
        <v>57071</v>
      </c>
      <c r="B201" s="398">
        <f t="shared" ref="B201:C201" si="197">($A201-B$9)/365.25</f>
        <v>74.373716632443532</v>
      </c>
      <c r="C201" s="398">
        <f t="shared" si="197"/>
        <v>69.763175906913077</v>
      </c>
      <c r="E201" s="25">
        <f>IF(C201&gt;$B$7,0,'Combined Retirement'!$D$13/12)</f>
        <v>0</v>
      </c>
      <c r="F201" s="25">
        <f>IF(H201=0,'Combined Retirement'!$D$32,0)+'Combined Retirement'!$B$24</f>
        <v>2870.372285649099</v>
      </c>
      <c r="G201" s="25">
        <f>'Combined Retirement'!$C$24</f>
        <v>3254.2644699519233</v>
      </c>
      <c r="H201" s="25">
        <f>IF(B201&lt;62,0,'Combined Retirement'!$I$14)</f>
        <v>2345</v>
      </c>
      <c r="I201" s="25">
        <f>IF(C201&lt;62,0,'Combined Retirement'!$I$13)</f>
        <v>2420</v>
      </c>
      <c r="J201" s="25">
        <f t="shared" si="3"/>
        <v>8395.6297298201844</v>
      </c>
      <c r="K201" s="25">
        <f t="shared" si="4"/>
        <v>21655.303514578787</v>
      </c>
      <c r="L201" s="25"/>
      <c r="N201" s="25">
        <f>'Combined Retirement'!$C$18/12</f>
        <v>40940.569999999992</v>
      </c>
      <c r="O201" s="25">
        <f t="shared" si="5"/>
        <v>10889.636755601023</v>
      </c>
      <c r="P201" s="25">
        <f t="shared" si="6"/>
        <v>30050.93324439897</v>
      </c>
      <c r="Q201" s="25">
        <f t="array" aca="1" ref="Q201" ca="1">INDEX('Isaac 401k'!L:L,MATCH('Retirement Calculator'!A201,'Isaac 401k'!N:N,0),0)</f>
        <v>1353129.6664148595</v>
      </c>
      <c r="R201" s="25">
        <f t="array" aca="1" ref="R201" ca="1">INDEX('Lorri 401b'!L:L,MATCH('Retirement Calculator'!A201,'Lorri 401b'!N:N,0),0)</f>
        <v>3891951.8569313227</v>
      </c>
      <c r="S201" s="25">
        <f t="shared" ca="1" si="7"/>
        <v>5245081.523346182</v>
      </c>
    </row>
    <row r="202" spans="1:19" ht="15.75" customHeight="1" x14ac:dyDescent="0.3">
      <c r="A202" s="37">
        <v>57101</v>
      </c>
      <c r="B202" s="398">
        <f t="shared" ref="B202:C202" si="198">($A202-B$9)/365.25</f>
        <v>74.455852156057489</v>
      </c>
      <c r="C202" s="398">
        <f t="shared" si="198"/>
        <v>69.845311430527033</v>
      </c>
      <c r="E202" s="25">
        <f>IF(C202&gt;$B$7,0,'Combined Retirement'!$D$13/12)</f>
        <v>0</v>
      </c>
      <c r="F202" s="25">
        <f>IF(H202=0,'Combined Retirement'!$D$32,0)+'Combined Retirement'!$B$24</f>
        <v>2870.372285649099</v>
      </c>
      <c r="G202" s="25">
        <f>'Combined Retirement'!$C$24</f>
        <v>3254.2644699519233</v>
      </c>
      <c r="H202" s="25">
        <f>IF(B202&lt;62,0,'Combined Retirement'!$I$14)</f>
        <v>2345</v>
      </c>
      <c r="I202" s="25">
        <f>IF(C202&lt;62,0,'Combined Retirement'!$I$13)</f>
        <v>2420</v>
      </c>
      <c r="J202" s="25">
        <f t="shared" si="3"/>
        <v>8395.6297298201844</v>
      </c>
      <c r="K202" s="25">
        <f t="shared" si="4"/>
        <v>21655.303514578787</v>
      </c>
      <c r="L202" s="25"/>
      <c r="N202" s="25">
        <f>'Combined Retirement'!$C$18/12</f>
        <v>40940.569999999992</v>
      </c>
      <c r="O202" s="25">
        <f t="shared" si="5"/>
        <v>10889.636755601023</v>
      </c>
      <c r="P202" s="25">
        <f t="shared" si="6"/>
        <v>30050.93324439897</v>
      </c>
      <c r="Q202" s="25">
        <f t="array" aca="1" ref="Q202" ca="1">INDEX('Isaac 401k'!L:L,MATCH('Retirement Calculator'!A202,'Isaac 401k'!N:N,0),0)</f>
        <v>1350337.0951712269</v>
      </c>
      <c r="R202" s="25">
        <f t="array" aca="1" ref="R202" ca="1">INDEX('Lorri 401b'!L:L,MATCH('Retirement Calculator'!A202,'Lorri 401b'!N:N,0),0)</f>
        <v>3886422.7890559803</v>
      </c>
      <c r="S202" s="25">
        <f t="shared" ca="1" si="7"/>
        <v>5236759.8842272069</v>
      </c>
    </row>
    <row r="203" spans="1:19" ht="15.75" customHeight="1" x14ac:dyDescent="0.3">
      <c r="A203" s="37">
        <v>57132</v>
      </c>
      <c r="B203" s="398">
        <f t="shared" ref="B203:C203" si="199">($A203-B$9)/365.25</f>
        <v>74.540725530458587</v>
      </c>
      <c r="C203" s="398">
        <f t="shared" si="199"/>
        <v>69.930184804928132</v>
      </c>
      <c r="E203" s="25">
        <f>IF(C203&gt;$B$7,0,'Combined Retirement'!$D$13/12)</f>
        <v>0</v>
      </c>
      <c r="F203" s="25">
        <f>IF(H203=0,'Combined Retirement'!$D$32,0)+'Combined Retirement'!$B$24</f>
        <v>2870.372285649099</v>
      </c>
      <c r="G203" s="25">
        <f>'Combined Retirement'!$C$24</f>
        <v>3254.2644699519233</v>
      </c>
      <c r="H203" s="25">
        <f>IF(B203&lt;62,0,'Combined Retirement'!$I$14)</f>
        <v>2345</v>
      </c>
      <c r="I203" s="25">
        <f>IF(C203&lt;62,0,'Combined Retirement'!$I$13)</f>
        <v>2420</v>
      </c>
      <c r="J203" s="25">
        <f t="shared" si="3"/>
        <v>8395.6297298201844</v>
      </c>
      <c r="K203" s="25">
        <f t="shared" si="4"/>
        <v>21655.303514578787</v>
      </c>
      <c r="L203" s="25"/>
      <c r="N203" s="25">
        <f>'Combined Retirement'!$C$18/12</f>
        <v>40940.569999999992</v>
      </c>
      <c r="O203" s="25">
        <f t="shared" si="5"/>
        <v>10889.636755601023</v>
      </c>
      <c r="P203" s="25">
        <f t="shared" si="6"/>
        <v>30050.93324439897</v>
      </c>
      <c r="Q203" s="25">
        <f t="array" aca="1" ref="Q203" ca="1">INDEX('Isaac 401k'!L:L,MATCH('Retirement Calculator'!A203,'Isaac 401k'!N:N,0),0)</f>
        <v>1347532.8882140792</v>
      </c>
      <c r="R203" s="25">
        <f t="array" aca="1" ref="R203" ca="1">INDEX('Lorri 401b'!L:L,MATCH('Retirement Calculator'!A203,'Lorri 401b'!N:N,0),0)</f>
        <v>3880870.6833978239</v>
      </c>
      <c r="S203" s="25">
        <f t="shared" ca="1" si="7"/>
        <v>5228403.5716119036</v>
      </c>
    </row>
    <row r="204" spans="1:19" ht="15.75" customHeight="1" x14ac:dyDescent="0.3">
      <c r="A204" s="37">
        <v>57162</v>
      </c>
      <c r="B204" s="398">
        <f t="shared" ref="B204:C204" si="200">($A204-B$9)/365.25</f>
        <v>74.622861054072558</v>
      </c>
      <c r="C204" s="398">
        <f t="shared" si="200"/>
        <v>70.012320328542089</v>
      </c>
      <c r="E204" s="25">
        <f>IF(C204&gt;$B$7,0,'Combined Retirement'!$D$13/12)</f>
        <v>0</v>
      </c>
      <c r="F204" s="25">
        <f>IF(H204=0,'Combined Retirement'!$D$32,0)+'Combined Retirement'!$B$24</f>
        <v>2870.372285649099</v>
      </c>
      <c r="G204" s="25">
        <f>'Combined Retirement'!$C$24</f>
        <v>3254.2644699519233</v>
      </c>
      <c r="H204" s="25">
        <f>IF(B204&lt;62,0,'Combined Retirement'!$I$14)</f>
        <v>2345</v>
      </c>
      <c r="I204" s="25">
        <f>IF(C204&lt;62,0,'Combined Retirement'!$I$13)</f>
        <v>2420</v>
      </c>
      <c r="J204" s="25">
        <f t="shared" si="3"/>
        <v>8395.6297298201844</v>
      </c>
      <c r="K204" s="25">
        <f t="shared" si="4"/>
        <v>21655.303514578787</v>
      </c>
      <c r="L204" s="25"/>
      <c r="N204" s="25">
        <f>'Combined Retirement'!$C$18/12</f>
        <v>40940.569999999992</v>
      </c>
      <c r="O204" s="25">
        <f t="shared" si="5"/>
        <v>10889.636755601023</v>
      </c>
      <c r="P204" s="25">
        <f t="shared" si="6"/>
        <v>30050.93324439897</v>
      </c>
      <c r="Q204" s="25">
        <f t="array" aca="1" ref="Q204" ca="1">INDEX('Isaac 401k'!L:L,MATCH('Retirement Calculator'!A204,'Isaac 401k'!N:N,0),0)</f>
        <v>1344716.9970612768</v>
      </c>
      <c r="R204" s="25">
        <f t="array" aca="1" ref="R204" ca="1">INDEX('Lorri 401b'!L:L,MATCH('Retirement Calculator'!A204,'Lorri 401b'!N:N,0),0)</f>
        <v>3875295.4439660921</v>
      </c>
      <c r="S204" s="25">
        <f t="shared" ca="1" si="7"/>
        <v>5220012.4410273694</v>
      </c>
    </row>
    <row r="205" spans="1:19" ht="15.75" customHeight="1" x14ac:dyDescent="0.3">
      <c r="A205" s="37">
        <v>57193</v>
      </c>
      <c r="B205" s="398">
        <f t="shared" ref="B205:C205" si="201">($A205-B$9)/365.25</f>
        <v>74.707734428473643</v>
      </c>
      <c r="C205" s="398">
        <f t="shared" si="201"/>
        <v>70.097193702943187</v>
      </c>
      <c r="E205" s="25">
        <f>IF(C205&gt;$B$7,0,'Combined Retirement'!$D$13/12)</f>
        <v>0</v>
      </c>
      <c r="F205" s="25">
        <f>IF(H205=0,'Combined Retirement'!$D$32,0)+'Combined Retirement'!$B$24</f>
        <v>2870.372285649099</v>
      </c>
      <c r="G205" s="25">
        <f>'Combined Retirement'!$C$24</f>
        <v>3254.2644699519233</v>
      </c>
      <c r="H205" s="25">
        <f>IF(B205&lt;62,0,'Combined Retirement'!$I$14)</f>
        <v>2345</v>
      </c>
      <c r="I205" s="25">
        <f>IF(C205&lt;62,0,'Combined Retirement'!$I$13)</f>
        <v>2420</v>
      </c>
      <c r="J205" s="25">
        <f t="shared" si="3"/>
        <v>8395.6297298201844</v>
      </c>
      <c r="K205" s="25">
        <f t="shared" si="4"/>
        <v>21655.303514578787</v>
      </c>
      <c r="L205" s="25"/>
      <c r="N205" s="25">
        <f>'Combined Retirement'!$C$18/12</f>
        <v>40940.569999999992</v>
      </c>
      <c r="O205" s="25">
        <f t="shared" si="5"/>
        <v>10889.636755601023</v>
      </c>
      <c r="P205" s="25">
        <f t="shared" si="6"/>
        <v>30050.93324439897</v>
      </c>
      <c r="Q205" s="25">
        <f t="array" aca="1" ref="Q205" ca="1">INDEX('Isaac 401k'!L:L,MATCH('Retirement Calculator'!A205,'Isaac 401k'!N:N,0),0)</f>
        <v>1341889.3730286711</v>
      </c>
      <c r="R205" s="25">
        <f t="array" aca="1" ref="R205" ca="1">INDEX('Lorri 401b'!L:L,MATCH('Retirement Calculator'!A205,'Lorri 401b'!N:N,0),0)</f>
        <v>3869696.9743700614</v>
      </c>
      <c r="S205" s="25">
        <f t="shared" ca="1" si="7"/>
        <v>5211586.3473987328</v>
      </c>
    </row>
    <row r="206" spans="1:19" ht="15.75" customHeight="1" x14ac:dyDescent="0.3">
      <c r="A206" s="37">
        <v>57224</v>
      </c>
      <c r="B206" s="398">
        <f t="shared" ref="B206:C206" si="202">($A206-B$9)/365.25</f>
        <v>74.792607802874741</v>
      </c>
      <c r="C206" s="398">
        <f t="shared" si="202"/>
        <v>70.182067077344286</v>
      </c>
      <c r="E206" s="25">
        <f>IF(C206&gt;$B$7,0,'Combined Retirement'!$D$13/12)</f>
        <v>0</v>
      </c>
      <c r="F206" s="25">
        <f>IF(H206=0,'Combined Retirement'!$D$32,0)+'Combined Retirement'!$B$24</f>
        <v>2870.372285649099</v>
      </c>
      <c r="G206" s="25">
        <f>'Combined Retirement'!$C$24</f>
        <v>3254.2644699519233</v>
      </c>
      <c r="H206" s="25">
        <f>IF(B206&lt;62,0,'Combined Retirement'!$I$14)</f>
        <v>2345</v>
      </c>
      <c r="I206" s="25">
        <f>IF(C206&lt;62,0,'Combined Retirement'!$I$13)</f>
        <v>2420</v>
      </c>
      <c r="J206" s="25">
        <f t="shared" si="3"/>
        <v>8395.6297298201844</v>
      </c>
      <c r="K206" s="25">
        <f t="shared" si="4"/>
        <v>21655.303514578787</v>
      </c>
      <c r="L206" s="25"/>
      <c r="N206" s="25">
        <f>'Combined Retirement'!$C$18/12</f>
        <v>40940.569999999992</v>
      </c>
      <c r="O206" s="25">
        <f t="shared" si="5"/>
        <v>10889.636755601023</v>
      </c>
      <c r="P206" s="25">
        <f t="shared" si="6"/>
        <v>30050.93324439897</v>
      </c>
      <c r="Q206" s="25">
        <f t="array" aca="1" ref="Q206" ca="1">INDEX('Isaac 401k'!L:L,MATCH('Retirement Calculator'!A206,'Isaac 401k'!N:N,0),0)</f>
        <v>1339049.9672292629</v>
      </c>
      <c r="R206" s="25">
        <f t="array" aca="1" ref="R206" ca="1">INDEX('Lorri 401b'!L:L,MATCH('Retirement Calculator'!A206,'Lorri 401b'!N:N,0),0)</f>
        <v>3864075.1778173805</v>
      </c>
      <c r="S206" s="25">
        <f t="shared" ca="1" si="7"/>
        <v>5203125.1450466439</v>
      </c>
    </row>
    <row r="207" spans="1:19" ht="15.75" customHeight="1" x14ac:dyDescent="0.3">
      <c r="A207" s="37">
        <v>57254</v>
      </c>
      <c r="B207" s="398">
        <f t="shared" ref="B207:C207" si="203">($A207-B$9)/365.25</f>
        <v>74.874743326488712</v>
      </c>
      <c r="C207" s="398">
        <f t="shared" si="203"/>
        <v>70.264202600958242</v>
      </c>
      <c r="E207" s="25">
        <f>IF(C207&gt;$B$7,0,'Combined Retirement'!$D$13/12)</f>
        <v>0</v>
      </c>
      <c r="F207" s="25">
        <f>IF(H207=0,'Combined Retirement'!$D$32,0)+'Combined Retirement'!$B$24</f>
        <v>2870.372285649099</v>
      </c>
      <c r="G207" s="25">
        <f>'Combined Retirement'!$C$24</f>
        <v>3254.2644699519233</v>
      </c>
      <c r="H207" s="25">
        <f>IF(B207&lt;62,0,'Combined Retirement'!$I$14)</f>
        <v>2345</v>
      </c>
      <c r="I207" s="25">
        <f>IF(C207&lt;62,0,'Combined Retirement'!$I$13)</f>
        <v>2420</v>
      </c>
      <c r="J207" s="25">
        <f t="shared" si="3"/>
        <v>8395.6297298201844</v>
      </c>
      <c r="K207" s="25">
        <f t="shared" si="4"/>
        <v>21655.303514578787</v>
      </c>
      <c r="L207" s="25"/>
      <c r="N207" s="25">
        <f>'Combined Retirement'!$C$18/12</f>
        <v>40940.569999999992</v>
      </c>
      <c r="O207" s="25">
        <f t="shared" si="5"/>
        <v>10889.636755601023</v>
      </c>
      <c r="P207" s="25">
        <f t="shared" si="6"/>
        <v>30050.93324439897</v>
      </c>
      <c r="Q207" s="25">
        <f t="array" aca="1" ref="Q207" ca="1">INDEX('Isaac 401k'!L:L,MATCH('Retirement Calculator'!A207,'Isaac 401k'!N:N,0),0)</f>
        <v>1336198.7305723571</v>
      </c>
      <c r="R207" s="25">
        <f t="array" aca="1" ref="R207" ca="1">INDEX('Lorri 401b'!L:L,MATCH('Retirement Calculator'!A207,'Lorri 401b'!N:N,0),0)</f>
        <v>3858429.9571123966</v>
      </c>
      <c r="S207" s="25">
        <f t="shared" ca="1" si="7"/>
        <v>5194628.6876847539</v>
      </c>
    </row>
    <row r="208" spans="1:19" ht="15.75" customHeight="1" x14ac:dyDescent="0.3">
      <c r="A208" s="37">
        <v>57285</v>
      </c>
      <c r="B208" s="398">
        <f t="shared" ref="B208:C208" si="204">($A208-B$9)/365.25</f>
        <v>74.959616700889796</v>
      </c>
      <c r="C208" s="398">
        <f t="shared" si="204"/>
        <v>70.349075975359341</v>
      </c>
      <c r="E208" s="25">
        <f>IF(C208&gt;$B$7,0,'Combined Retirement'!$D$13/12)</f>
        <v>0</v>
      </c>
      <c r="F208" s="25">
        <f>IF(H208=0,'Combined Retirement'!$D$32,0)+'Combined Retirement'!$B$24</f>
        <v>2870.372285649099</v>
      </c>
      <c r="G208" s="25">
        <f>'Combined Retirement'!$C$24</f>
        <v>3254.2644699519233</v>
      </c>
      <c r="H208" s="25">
        <f>IF(B208&lt;62,0,'Combined Retirement'!$I$14)</f>
        <v>2345</v>
      </c>
      <c r="I208" s="25">
        <f>IF(C208&lt;62,0,'Combined Retirement'!$I$13)</f>
        <v>2420</v>
      </c>
      <c r="J208" s="25">
        <f t="shared" si="3"/>
        <v>8395.6297298201844</v>
      </c>
      <c r="K208" s="25">
        <f t="shared" si="4"/>
        <v>21655.303514578787</v>
      </c>
      <c r="L208" s="25"/>
      <c r="N208" s="25">
        <f>'Combined Retirement'!$C$18/12</f>
        <v>40940.569999999992</v>
      </c>
      <c r="O208" s="25">
        <f t="shared" si="5"/>
        <v>10889.636755601023</v>
      </c>
      <c r="P208" s="25">
        <f t="shared" si="6"/>
        <v>30050.93324439897</v>
      </c>
      <c r="Q208" s="25">
        <f t="array" aca="1" ref="Q208" ca="1">INDEX('Isaac 401k'!L:L,MATCH('Retirement Calculator'!A208,'Isaac 401k'!N:N,0),0)</f>
        <v>1333335.6137627142</v>
      </c>
      <c r="R208" s="25">
        <f t="array" aca="1" ref="R208" ca="1">INDEX('Lorri 401b'!L:L,MATCH('Retirement Calculator'!A208,'Lorri 401b'!N:N,0),0)</f>
        <v>3852761.2146544755</v>
      </c>
      <c r="S208" s="25">
        <f t="shared" ca="1" si="7"/>
        <v>5186096.8284171894</v>
      </c>
    </row>
    <row r="209" spans="1:19" ht="15.75" customHeight="1" x14ac:dyDescent="0.3">
      <c r="A209" s="37">
        <v>57315</v>
      </c>
      <c r="B209" s="398">
        <f t="shared" ref="B209:C209" si="205">($A209-B$9)/365.25</f>
        <v>75.041752224503767</v>
      </c>
      <c r="C209" s="398">
        <f t="shared" si="205"/>
        <v>70.431211498973312</v>
      </c>
      <c r="E209" s="25">
        <f>IF(C209&gt;$B$7,0,'Combined Retirement'!$D$13/12)</f>
        <v>0</v>
      </c>
      <c r="F209" s="25">
        <f>IF(H209=0,'Combined Retirement'!$D$32,0)+'Combined Retirement'!$B$24</f>
        <v>2870.372285649099</v>
      </c>
      <c r="G209" s="25">
        <f>'Combined Retirement'!$C$24</f>
        <v>3254.2644699519233</v>
      </c>
      <c r="H209" s="25">
        <f>IF(B209&lt;62,0,'Combined Retirement'!$I$14)</f>
        <v>2345</v>
      </c>
      <c r="I209" s="25">
        <f>IF(C209&lt;62,0,'Combined Retirement'!$I$13)</f>
        <v>2420</v>
      </c>
      <c r="J209" s="25">
        <f t="shared" si="3"/>
        <v>8395.6297298201844</v>
      </c>
      <c r="K209" s="25">
        <f t="shared" si="4"/>
        <v>21655.303514578787</v>
      </c>
      <c r="L209" s="25"/>
      <c r="N209" s="25">
        <f>'Combined Retirement'!$C$18/12</f>
        <v>40940.569999999992</v>
      </c>
      <c r="O209" s="25">
        <f t="shared" si="5"/>
        <v>10889.636755601023</v>
      </c>
      <c r="P209" s="25">
        <f t="shared" si="6"/>
        <v>30050.93324439897</v>
      </c>
      <c r="Q209" s="25">
        <f t="array" aca="1" ref="Q209" ca="1">INDEX('Isaac 401k'!L:L,MATCH('Retirement Calculator'!A209,'Isaac 401k'!N:N,0),0)</f>
        <v>1330460.5672996978</v>
      </c>
      <c r="R209" s="25">
        <f t="array" aca="1" ref="R209" ca="1">INDEX('Lorri 401b'!L:L,MATCH('Retirement Calculator'!A209,'Lorri 401b'!N:N,0),0)</f>
        <v>3847068.8524363129</v>
      </c>
      <c r="S209" s="25">
        <f t="shared" ca="1" si="7"/>
        <v>5177529.419736011</v>
      </c>
    </row>
    <row r="210" spans="1:19" ht="15.75" customHeight="1" x14ac:dyDescent="0.3">
      <c r="A210" s="37">
        <v>57346</v>
      </c>
      <c r="B210" s="398">
        <f t="shared" ref="B210:C210" si="206">($A210-B$9)/365.25</f>
        <v>75.126625598904866</v>
      </c>
      <c r="C210" s="398">
        <f t="shared" si="206"/>
        <v>70.516084873374396</v>
      </c>
      <c r="E210" s="25">
        <f>IF(C210&gt;$B$7,0,'Combined Retirement'!$D$13/12)</f>
        <v>0</v>
      </c>
      <c r="F210" s="25">
        <f>IF(H210=0,'Combined Retirement'!$D$32,0)+'Combined Retirement'!$B$24</f>
        <v>2870.372285649099</v>
      </c>
      <c r="G210" s="25">
        <f>'Combined Retirement'!$C$24</f>
        <v>3254.2644699519233</v>
      </c>
      <c r="H210" s="25">
        <f>IF(B210&lt;62,0,'Combined Retirement'!$I$14)</f>
        <v>2345</v>
      </c>
      <c r="I210" s="25">
        <f>IF(C210&lt;62,0,'Combined Retirement'!$I$13)</f>
        <v>2420</v>
      </c>
      <c r="J210" s="25">
        <f t="shared" si="3"/>
        <v>8395.6297298201844</v>
      </c>
      <c r="K210" s="25">
        <f t="shared" si="4"/>
        <v>21655.303514578787</v>
      </c>
      <c r="L210" s="25"/>
      <c r="N210" s="25">
        <f>'Combined Retirement'!$C$18/12</f>
        <v>40940.569999999992</v>
      </c>
      <c r="O210" s="25">
        <f t="shared" si="5"/>
        <v>10889.636755601023</v>
      </c>
      <c r="P210" s="25">
        <f t="shared" si="6"/>
        <v>30050.93324439897</v>
      </c>
      <c r="Q210" s="25">
        <f t="array" aca="1" ref="Q210" ca="1">INDEX('Isaac 401k'!L:L,MATCH('Retirement Calculator'!A210,'Isaac 401k'!N:N,0),0)</f>
        <v>1327573.5414764187</v>
      </c>
      <c r="R210" s="25">
        <f t="array" aca="1" ref="R210" ca="1">INDEX('Lorri 401b'!L:L,MATCH('Retirement Calculator'!A210,'Lorri 401b'!N:N,0),0)</f>
        <v>3841352.7720422414</v>
      </c>
      <c r="S210" s="25">
        <f t="shared" ca="1" si="7"/>
        <v>5168926.3135186601</v>
      </c>
    </row>
    <row r="211" spans="1:19" ht="15.75" customHeight="1" x14ac:dyDescent="0.3">
      <c r="A211" s="37">
        <v>57377</v>
      </c>
      <c r="B211" s="398">
        <f t="shared" ref="B211:C211" si="207">($A211-B$9)/365.25</f>
        <v>75.21149897330595</v>
      </c>
      <c r="C211" s="398">
        <f t="shared" si="207"/>
        <v>70.600958247775495</v>
      </c>
      <c r="E211" s="25">
        <f>IF(C211&gt;$B$7,0,'Combined Retirement'!$D$13/12)</f>
        <v>0</v>
      </c>
      <c r="F211" s="25">
        <f>IF(H211=0,'Combined Retirement'!$D$32,0)+'Combined Retirement'!$B$24</f>
        <v>2870.372285649099</v>
      </c>
      <c r="G211" s="25">
        <f>'Combined Retirement'!$C$24</f>
        <v>3254.2644699519233</v>
      </c>
      <c r="H211" s="25">
        <f>IF(B211&lt;62,0,'Combined Retirement'!$I$14)</f>
        <v>2345</v>
      </c>
      <c r="I211" s="25">
        <f>IF(C211&lt;62,0,'Combined Retirement'!$I$13)</f>
        <v>2420</v>
      </c>
      <c r="J211" s="25">
        <f t="shared" si="3"/>
        <v>8395.6297298201844</v>
      </c>
      <c r="K211" s="25">
        <f t="shared" si="4"/>
        <v>21655.303514578787</v>
      </c>
      <c r="L211" s="25"/>
      <c r="N211" s="25">
        <f>'Combined Retirement'!$C$18/12</f>
        <v>40940.569999999992</v>
      </c>
      <c r="O211" s="25">
        <f t="shared" si="5"/>
        <v>10889.636755601023</v>
      </c>
      <c r="P211" s="25">
        <f t="shared" si="6"/>
        <v>30050.93324439897</v>
      </c>
      <c r="Q211" s="25">
        <f t="array" aca="1" ref="Q211" ca="1">INDEX('Isaac 401k'!L:L,MATCH('Retirement Calculator'!A211,'Isaac 401k'!N:N,0),0)</f>
        <v>1324674.486378876</v>
      </c>
      <c r="R211" s="25">
        <f t="array" aca="1" ref="R211" ca="1">INDEX('Lorri 401b'!L:L,MATCH('Retirement Calculator'!A211,'Lorri 401b'!N:N,0),0)</f>
        <v>3835612.8746465277</v>
      </c>
      <c r="S211" s="25">
        <f t="shared" ca="1" si="7"/>
        <v>5160287.3610254042</v>
      </c>
    </row>
    <row r="212" spans="1:19" ht="15.75" customHeight="1" x14ac:dyDescent="0.3">
      <c r="A212" s="37">
        <v>57405</v>
      </c>
      <c r="B212" s="398">
        <f t="shared" ref="B212:C212" si="208">($A212-B$9)/365.25</f>
        <v>75.288158795345652</v>
      </c>
      <c r="C212" s="398">
        <f t="shared" si="208"/>
        <v>70.677618069815196</v>
      </c>
      <c r="E212" s="25">
        <f>IF(C212&gt;$B$7,0,'Combined Retirement'!$D$13/12)</f>
        <v>0</v>
      </c>
      <c r="F212" s="25">
        <f>IF(H212=0,'Combined Retirement'!$D$32,0)+'Combined Retirement'!$B$24</f>
        <v>2870.372285649099</v>
      </c>
      <c r="G212" s="25">
        <f>'Combined Retirement'!$C$24</f>
        <v>3254.2644699519233</v>
      </c>
      <c r="H212" s="25">
        <f>IF(B212&lt;62,0,'Combined Retirement'!$I$14)</f>
        <v>2345</v>
      </c>
      <c r="I212" s="25">
        <f>IF(C212&lt;62,0,'Combined Retirement'!$I$13)</f>
        <v>2420</v>
      </c>
      <c r="J212" s="25">
        <f t="shared" si="3"/>
        <v>8395.6297298201844</v>
      </c>
      <c r="K212" s="25">
        <f t="shared" si="4"/>
        <v>21655.303514578787</v>
      </c>
      <c r="L212" s="25"/>
      <c r="N212" s="25">
        <f>'Combined Retirement'!$C$18/12</f>
        <v>40940.569999999992</v>
      </c>
      <c r="O212" s="25">
        <f t="shared" si="5"/>
        <v>10889.636755601023</v>
      </c>
      <c r="P212" s="25">
        <f t="shared" si="6"/>
        <v>30050.93324439897</v>
      </c>
      <c r="Q212" s="25">
        <f t="array" aca="1" ref="Q212" ca="1">INDEX('Isaac 401k'!L:L,MATCH('Retirement Calculator'!A212,'Isaac 401k'!N:N,0),0)</f>
        <v>1321763.3518850936</v>
      </c>
      <c r="R212" s="25">
        <f t="array" aca="1" ref="R212" ca="1">INDEX('Lorri 401b'!L:L,MATCH('Retirement Calculator'!A212,'Lorri 401b'!N:N,0),0)</f>
        <v>3829849.0610116655</v>
      </c>
      <c r="S212" s="25">
        <f t="shared" ca="1" si="7"/>
        <v>5151612.4128967589</v>
      </c>
    </row>
    <row r="213" spans="1:19" ht="15.75" customHeight="1" x14ac:dyDescent="0.3">
      <c r="A213" s="37">
        <v>57436</v>
      </c>
      <c r="B213" s="398">
        <f t="shared" ref="B213:C213" si="209">($A213-B$9)/365.25</f>
        <v>75.37303216974675</v>
      </c>
      <c r="C213" s="398">
        <f t="shared" si="209"/>
        <v>70.762491444216295</v>
      </c>
      <c r="E213" s="25">
        <f>IF(C213&gt;$B$7,0,'Combined Retirement'!$D$13/12)</f>
        <v>0</v>
      </c>
      <c r="F213" s="25">
        <f>IF(H213=0,'Combined Retirement'!$D$32,0)+'Combined Retirement'!$B$24</f>
        <v>2870.372285649099</v>
      </c>
      <c r="G213" s="25">
        <f>'Combined Retirement'!$C$24</f>
        <v>3254.2644699519233</v>
      </c>
      <c r="H213" s="25">
        <f>IF(B213&lt;62,0,'Combined Retirement'!$I$14)</f>
        <v>2345</v>
      </c>
      <c r="I213" s="25">
        <f>IF(C213&lt;62,0,'Combined Retirement'!$I$13)</f>
        <v>2420</v>
      </c>
      <c r="J213" s="25">
        <f t="shared" si="3"/>
        <v>8395.6297298201844</v>
      </c>
      <c r="K213" s="25">
        <f t="shared" si="4"/>
        <v>21655.303514578787</v>
      </c>
      <c r="L213" s="25"/>
      <c r="N213" s="25">
        <f>'Combined Retirement'!$C$18/12</f>
        <v>40940.569999999992</v>
      </c>
      <c r="O213" s="25">
        <f t="shared" si="5"/>
        <v>10889.636755601023</v>
      </c>
      <c r="P213" s="25">
        <f t="shared" si="6"/>
        <v>30050.93324439897</v>
      </c>
      <c r="Q213" s="25">
        <f t="array" aca="1" ref="Q213" ca="1">INDEX('Isaac 401k'!L:L,MATCH('Retirement Calculator'!A213,'Isaac 401k'!N:N,0),0)</f>
        <v>1318840.0876642538</v>
      </c>
      <c r="R213" s="25">
        <f t="array" aca="1" ref="R213" ca="1">INDEX('Lorri 401b'!L:L,MATCH('Retirement Calculator'!A213,'Lorri 401b'!N:N,0),0)</f>
        <v>3824061.2314866576</v>
      </c>
      <c r="S213" s="25">
        <f t="shared" ca="1" si="7"/>
        <v>5142901.3191509116</v>
      </c>
    </row>
    <row r="214" spans="1:19" ht="15.75" customHeight="1" x14ac:dyDescent="0.3">
      <c r="A214" s="37">
        <v>57466</v>
      </c>
      <c r="B214" s="398">
        <f t="shared" ref="B214:C214" si="210">($A214-B$9)/365.25</f>
        <v>75.455167693360707</v>
      </c>
      <c r="C214" s="398">
        <f t="shared" si="210"/>
        <v>70.844626967830251</v>
      </c>
      <c r="E214" s="25">
        <f>IF(C214&gt;$B$7,0,'Combined Retirement'!$D$13/12)</f>
        <v>0</v>
      </c>
      <c r="F214" s="25">
        <f>IF(H214=0,'Combined Retirement'!$D$32,0)+'Combined Retirement'!$B$24</f>
        <v>2870.372285649099</v>
      </c>
      <c r="G214" s="25">
        <f>'Combined Retirement'!$C$24</f>
        <v>3254.2644699519233</v>
      </c>
      <c r="H214" s="25">
        <f>IF(B214&lt;62,0,'Combined Retirement'!$I$14)</f>
        <v>2345</v>
      </c>
      <c r="I214" s="25">
        <f>IF(C214&lt;62,0,'Combined Retirement'!$I$13)</f>
        <v>2420</v>
      </c>
      <c r="J214" s="25">
        <f t="shared" si="3"/>
        <v>8395.6297298201844</v>
      </c>
      <c r="K214" s="25">
        <f t="shared" si="4"/>
        <v>21655.303514578787</v>
      </c>
      <c r="L214" s="25"/>
      <c r="N214" s="25">
        <f>'Combined Retirement'!$C$18/12</f>
        <v>40940.569999999992</v>
      </c>
      <c r="O214" s="25">
        <f t="shared" si="5"/>
        <v>10889.636755601023</v>
      </c>
      <c r="P214" s="25">
        <f t="shared" si="6"/>
        <v>30050.93324439897</v>
      </c>
      <c r="Q214" s="25">
        <f t="array" aca="1" ref="Q214" ca="1">INDEX('Isaac 401k'!L:L,MATCH('Retirement Calculator'!A214,'Isaac 401k'!N:N,0),0)</f>
        <v>1315904.6431758271</v>
      </c>
      <c r="R214" s="25">
        <f t="array" aca="1" ref="R214" ca="1">INDEX('Lorri 401b'!L:L,MATCH('Retirement Calculator'!A214,'Lorri 401b'!N:N,0),0)</f>
        <v>3818249.2860052958</v>
      </c>
      <c r="S214" s="25">
        <f t="shared" ca="1" si="7"/>
        <v>5134153.9291811232</v>
      </c>
    </row>
    <row r="215" spans="1:19" ht="15.75" customHeight="1" x14ac:dyDescent="0.3">
      <c r="A215" s="37">
        <v>57497</v>
      </c>
      <c r="B215" s="398">
        <f t="shared" ref="B215:C215" si="211">($A215-B$9)/365.25</f>
        <v>75.540041067761805</v>
      </c>
      <c r="C215" s="398">
        <f t="shared" si="211"/>
        <v>70.92950034223135</v>
      </c>
      <c r="E215" s="25">
        <f>IF(C215&gt;$B$7,0,'Combined Retirement'!$D$13/12)</f>
        <v>0</v>
      </c>
      <c r="F215" s="25">
        <f>IF(H215=0,'Combined Retirement'!$D$32,0)+'Combined Retirement'!$B$24</f>
        <v>2870.372285649099</v>
      </c>
      <c r="G215" s="25">
        <f>'Combined Retirement'!$C$24</f>
        <v>3254.2644699519233</v>
      </c>
      <c r="H215" s="25">
        <f>IF(B215&lt;62,0,'Combined Retirement'!$I$14)</f>
        <v>2345</v>
      </c>
      <c r="I215" s="25">
        <f>IF(C215&lt;62,0,'Combined Retirement'!$I$13)</f>
        <v>2420</v>
      </c>
      <c r="J215" s="25">
        <f t="shared" si="3"/>
        <v>8395.6297298201844</v>
      </c>
      <c r="K215" s="25">
        <f t="shared" si="4"/>
        <v>21655.303514578787</v>
      </c>
      <c r="L215" s="25"/>
      <c r="N215" s="25">
        <f>'Combined Retirement'!$C$18/12</f>
        <v>40940.569999999992</v>
      </c>
      <c r="O215" s="25">
        <f t="shared" si="5"/>
        <v>10889.636755601023</v>
      </c>
      <c r="P215" s="25">
        <f t="shared" si="6"/>
        <v>30050.93324439897</v>
      </c>
      <c r="Q215" s="25">
        <f t="array" aca="1" ref="Q215" ca="1">INDEX('Isaac 401k'!L:L,MATCH('Retirement Calculator'!A215,'Isaac 401k'!N:N,0),0)</f>
        <v>1312956.9676686986</v>
      </c>
      <c r="R215" s="25">
        <f t="array" aca="1" ref="R215" ca="1">INDEX('Lorri 401b'!L:L,MATCH('Retirement Calculator'!A215,'Lorri 401b'!N:N,0),0)</f>
        <v>3812413.1240844284</v>
      </c>
      <c r="S215" s="25">
        <f t="shared" ca="1" si="7"/>
        <v>5125370.0917531271</v>
      </c>
    </row>
    <row r="216" spans="1:19" ht="15.75" customHeight="1" x14ac:dyDescent="0.3">
      <c r="A216" s="37">
        <v>57527</v>
      </c>
      <c r="B216" s="398">
        <f t="shared" ref="B216:C216" si="212">($A216-B$9)/365.25</f>
        <v>75.622176591375776</v>
      </c>
      <c r="C216" s="398">
        <f t="shared" si="212"/>
        <v>71.011635865845307</v>
      </c>
      <c r="E216" s="25">
        <f>IF(C216&gt;$B$7,0,'Combined Retirement'!$D$13/12)</f>
        <v>0</v>
      </c>
      <c r="F216" s="25">
        <f>IF(H216=0,'Combined Retirement'!$D$32,0)+'Combined Retirement'!$B$24</f>
        <v>2870.372285649099</v>
      </c>
      <c r="G216" s="25">
        <f>'Combined Retirement'!$C$24</f>
        <v>3254.2644699519233</v>
      </c>
      <c r="H216" s="25">
        <f>IF(B216&lt;62,0,'Combined Retirement'!$I$14)</f>
        <v>2345</v>
      </c>
      <c r="I216" s="25">
        <f>IF(C216&lt;62,0,'Combined Retirement'!$I$13)</f>
        <v>2420</v>
      </c>
      <c r="J216" s="25">
        <f t="shared" si="3"/>
        <v>8395.6297298201844</v>
      </c>
      <c r="K216" s="25">
        <f t="shared" si="4"/>
        <v>21655.303514578787</v>
      </c>
      <c r="L216" s="25"/>
      <c r="N216" s="25">
        <f>'Combined Retirement'!$C$18/12</f>
        <v>40940.569999999992</v>
      </c>
      <c r="O216" s="25">
        <f t="shared" si="5"/>
        <v>10889.636755601023</v>
      </c>
      <c r="P216" s="25">
        <f t="shared" si="6"/>
        <v>30050.93324439897</v>
      </c>
      <c r="Q216" s="25">
        <f t="array" aca="1" ref="Q216" ca="1">INDEX('Isaac 401k'!L:L,MATCH('Retirement Calculator'!A216,'Isaac 401k'!N:N,0),0)</f>
        <v>1309997.0101802906</v>
      </c>
      <c r="R216" s="25">
        <f t="array" aca="1" ref="R216" ca="1">INDEX('Lorri 401b'!L:L,MATCH('Retirement Calculator'!A216,'Lorri 401b'!N:N,0),0)</f>
        <v>3806552.644822224</v>
      </c>
      <c r="S216" s="25">
        <f t="shared" ca="1" si="7"/>
        <v>5116549.6550025148</v>
      </c>
    </row>
    <row r="217" spans="1:19" ht="15.75" customHeight="1" x14ac:dyDescent="0.3">
      <c r="A217" s="37">
        <v>57558</v>
      </c>
      <c r="B217" s="398">
        <f t="shared" ref="B217:C217" si="213">($A217-B$9)/365.25</f>
        <v>75.707049965776861</v>
      </c>
      <c r="C217" s="398">
        <f t="shared" si="213"/>
        <v>71.096509240246405</v>
      </c>
      <c r="E217" s="25">
        <f>IF(C217&gt;$B$7,0,'Combined Retirement'!$D$13/12)</f>
        <v>0</v>
      </c>
      <c r="F217" s="25">
        <f>IF(H217=0,'Combined Retirement'!$D$32,0)+'Combined Retirement'!$B$24</f>
        <v>2870.372285649099</v>
      </c>
      <c r="G217" s="25">
        <f>'Combined Retirement'!$C$24</f>
        <v>3254.2644699519233</v>
      </c>
      <c r="H217" s="25">
        <f>IF(B217&lt;62,0,'Combined Retirement'!$I$14)</f>
        <v>2345</v>
      </c>
      <c r="I217" s="25">
        <f>IF(C217&lt;62,0,'Combined Retirement'!$I$13)</f>
        <v>2420</v>
      </c>
      <c r="J217" s="25">
        <f t="shared" si="3"/>
        <v>8395.6297298201844</v>
      </c>
      <c r="K217" s="25">
        <f t="shared" si="4"/>
        <v>21655.303514578787</v>
      </c>
      <c r="L217" s="25"/>
      <c r="N217" s="25">
        <f>'Combined Retirement'!$C$18/12</f>
        <v>40940.569999999992</v>
      </c>
      <c r="O217" s="25">
        <f t="shared" si="5"/>
        <v>10889.636755601023</v>
      </c>
      <c r="P217" s="25">
        <f t="shared" si="6"/>
        <v>30050.93324439897</v>
      </c>
      <c r="Q217" s="25">
        <f t="array" aca="1" ref="Q217" ca="1">INDEX('Isaac 401k'!L:L,MATCH('Retirement Calculator'!A217,'Isaac 401k'!N:N,0),0)</f>
        <v>1307024.7195356807</v>
      </c>
      <c r="R217" s="25">
        <f t="array" aca="1" ref="R217" ca="1">INDEX('Lorri 401b'!L:L,MATCH('Retirement Calculator'!A217,'Lorri 401b'!N:N,0),0)</f>
        <v>3800667.7468964271</v>
      </c>
      <c r="S217" s="25">
        <f t="shared" ca="1" si="7"/>
        <v>5107692.4664321076</v>
      </c>
    </row>
    <row r="218" spans="1:19" ht="15.75" customHeight="1" x14ac:dyDescent="0.3">
      <c r="A218" s="37">
        <v>57589</v>
      </c>
      <c r="B218" s="398">
        <f t="shared" ref="B218:C218" si="214">($A218-B$9)/365.25</f>
        <v>75.791923340177959</v>
      </c>
      <c r="C218" s="398">
        <f t="shared" si="214"/>
        <v>71.181382614647504</v>
      </c>
      <c r="E218" s="25">
        <f>IF(C218&gt;$B$7,0,'Combined Retirement'!$D$13/12)</f>
        <v>0</v>
      </c>
      <c r="F218" s="25">
        <f>IF(H218=0,'Combined Retirement'!$D$32,0)+'Combined Retirement'!$B$24</f>
        <v>2870.372285649099</v>
      </c>
      <c r="G218" s="25">
        <f>'Combined Retirement'!$C$24</f>
        <v>3254.2644699519233</v>
      </c>
      <c r="H218" s="25">
        <f>IF(B218&lt;62,0,'Combined Retirement'!$I$14)</f>
        <v>2345</v>
      </c>
      <c r="I218" s="25">
        <f>IF(C218&lt;62,0,'Combined Retirement'!$I$13)</f>
        <v>2420</v>
      </c>
      <c r="J218" s="25">
        <f t="shared" si="3"/>
        <v>8395.6297298201844</v>
      </c>
      <c r="K218" s="25">
        <f t="shared" si="4"/>
        <v>21655.303514578787</v>
      </c>
      <c r="L218" s="25"/>
      <c r="N218" s="25">
        <f>'Combined Retirement'!$C$18/12</f>
        <v>40940.569999999992</v>
      </c>
      <c r="O218" s="25">
        <f t="shared" si="5"/>
        <v>10889.636755601023</v>
      </c>
      <c r="P218" s="25">
        <f t="shared" si="6"/>
        <v>30050.93324439897</v>
      </c>
      <c r="Q218" s="25">
        <f t="array" aca="1" ref="Q218" ca="1">INDEX('Isaac 401k'!L:L,MATCH('Retirement Calculator'!A218,'Isaac 401k'!N:N,0),0)</f>
        <v>1304040.0443467184</v>
      </c>
      <c r="R218" s="25">
        <f t="array" aca="1" ref="R218" ca="1">INDEX('Lorri 401b'!L:L,MATCH('Retirement Calculator'!A218,'Lorri 401b'!N:N,0),0)</f>
        <v>3794758.3285626061</v>
      </c>
      <c r="S218" s="25">
        <f t="shared" ca="1" si="7"/>
        <v>5098798.3729093242</v>
      </c>
    </row>
    <row r="219" spans="1:19" ht="15.75" customHeight="1" x14ac:dyDescent="0.3">
      <c r="A219" s="37">
        <v>57619</v>
      </c>
      <c r="B219" s="398">
        <f t="shared" ref="B219:C219" si="215">($A219-B$9)/365.25</f>
        <v>75.87405886379193</v>
      </c>
      <c r="C219" s="398">
        <f t="shared" si="215"/>
        <v>71.26351813826146</v>
      </c>
      <c r="E219" s="25">
        <f>IF(C219&gt;$B$7,0,'Combined Retirement'!$D$13/12)</f>
        <v>0</v>
      </c>
      <c r="F219" s="25">
        <f>IF(H219=0,'Combined Retirement'!$D$32,0)+'Combined Retirement'!$B$24</f>
        <v>2870.372285649099</v>
      </c>
      <c r="G219" s="25">
        <f>'Combined Retirement'!$C$24</f>
        <v>3254.2644699519233</v>
      </c>
      <c r="H219" s="25">
        <f>IF(B219&lt;62,0,'Combined Retirement'!$I$14)</f>
        <v>2345</v>
      </c>
      <c r="I219" s="25">
        <f>IF(C219&lt;62,0,'Combined Retirement'!$I$13)</f>
        <v>2420</v>
      </c>
      <c r="J219" s="25">
        <f t="shared" si="3"/>
        <v>8395.6297298201844</v>
      </c>
      <c r="K219" s="25">
        <f t="shared" si="4"/>
        <v>21655.303514578787</v>
      </c>
      <c r="L219" s="25"/>
      <c r="N219" s="25">
        <f>'Combined Retirement'!$C$18/12</f>
        <v>40940.569999999992</v>
      </c>
      <c r="O219" s="25">
        <f t="shared" si="5"/>
        <v>10889.636755601023</v>
      </c>
      <c r="P219" s="25">
        <f t="shared" si="6"/>
        <v>30050.93324439897</v>
      </c>
      <c r="Q219" s="25">
        <f t="array" aca="1" ref="Q219" ca="1">INDEX('Isaac 401k'!L:L,MATCH('Retirement Calculator'!A219,'Isaac 401k'!N:N,0),0)</f>
        <v>1301042.9330111353</v>
      </c>
      <c r="R219" s="25">
        <f t="array" aca="1" ref="R219" ca="1">INDEX('Lorri 401b'!L:L,MATCH('Retirement Calculator'!A219,'Lorri 401b'!N:N,0),0)</f>
        <v>3788824.2876523943</v>
      </c>
      <c r="S219" s="25">
        <f t="shared" ca="1" si="7"/>
        <v>5089867.2206635298</v>
      </c>
    </row>
    <row r="220" spans="1:19" ht="15.75" customHeight="1" x14ac:dyDescent="0.3">
      <c r="A220" s="37">
        <v>57650</v>
      </c>
      <c r="B220" s="398">
        <f t="shared" ref="B220:C220" si="216">($A220-B$9)/365.25</f>
        <v>75.958932238193015</v>
      </c>
      <c r="C220" s="398">
        <f t="shared" si="216"/>
        <v>71.348391512662559</v>
      </c>
      <c r="E220" s="25">
        <f>IF(C220&gt;$B$7,0,'Combined Retirement'!$D$13/12)</f>
        <v>0</v>
      </c>
      <c r="F220" s="25">
        <f>IF(H220=0,'Combined Retirement'!$D$32,0)+'Combined Retirement'!$B$24</f>
        <v>2870.372285649099</v>
      </c>
      <c r="G220" s="25">
        <f>'Combined Retirement'!$C$24</f>
        <v>3254.2644699519233</v>
      </c>
      <c r="H220" s="25">
        <f>IF(B220&lt;62,0,'Combined Retirement'!$I$14)</f>
        <v>2345</v>
      </c>
      <c r="I220" s="25">
        <f>IF(C220&lt;62,0,'Combined Retirement'!$I$13)</f>
        <v>2420</v>
      </c>
      <c r="J220" s="25">
        <f t="shared" si="3"/>
        <v>8395.6297298201844</v>
      </c>
      <c r="K220" s="25">
        <f t="shared" si="4"/>
        <v>21655.303514578787</v>
      </c>
      <c r="L220" s="25"/>
      <c r="N220" s="25">
        <f>'Combined Retirement'!$C$18/12</f>
        <v>40940.569999999992</v>
      </c>
      <c r="O220" s="25">
        <f t="shared" si="5"/>
        <v>10889.636755601023</v>
      </c>
      <c r="P220" s="25">
        <f t="shared" si="6"/>
        <v>30050.93324439897</v>
      </c>
      <c r="Q220" s="25">
        <f t="array" aca="1" ref="Q220" ca="1">INDEX('Isaac 401k'!L:L,MATCH('Retirement Calculator'!A220,'Isaac 401k'!N:N,0),0)</f>
        <v>1298033.3337116539</v>
      </c>
      <c r="R220" s="25">
        <f t="array" aca="1" ref="R220" ca="1">INDEX('Lorri 401b'!L:L,MATCH('Retirement Calculator'!A220,'Lorri 401b'!N:N,0),0)</f>
        <v>3782865.5215717228</v>
      </c>
      <c r="S220" s="25">
        <f t="shared" ca="1" si="7"/>
        <v>5080898.8552833768</v>
      </c>
    </row>
    <row r="221" spans="1:19" ht="15.75" customHeight="1" x14ac:dyDescent="0.3">
      <c r="A221" s="37">
        <v>57680</v>
      </c>
      <c r="B221" s="398">
        <f t="shared" ref="B221:C221" si="217">($A221-B$9)/365.25</f>
        <v>76.041067761806985</v>
      </c>
      <c r="C221" s="398">
        <f t="shared" si="217"/>
        <v>71.43052703627653</v>
      </c>
      <c r="E221" s="25">
        <f>IF(C221&gt;$B$7,0,'Combined Retirement'!$D$13/12)</f>
        <v>0</v>
      </c>
      <c r="F221" s="25">
        <f>IF(H221=0,'Combined Retirement'!$D$32,0)+'Combined Retirement'!$B$24</f>
        <v>2870.372285649099</v>
      </c>
      <c r="G221" s="25">
        <f>'Combined Retirement'!$C$24</f>
        <v>3254.2644699519233</v>
      </c>
      <c r="H221" s="25">
        <f>IF(B221&lt;62,0,'Combined Retirement'!$I$14)</f>
        <v>2345</v>
      </c>
      <c r="I221" s="25">
        <f>IF(C221&lt;62,0,'Combined Retirement'!$I$13)</f>
        <v>2420</v>
      </c>
      <c r="J221" s="25">
        <f t="shared" si="3"/>
        <v>8395.6297298201844</v>
      </c>
      <c r="K221" s="25">
        <f t="shared" si="4"/>
        <v>21655.303514578787</v>
      </c>
      <c r="L221" s="25"/>
      <c r="N221" s="25">
        <f>'Combined Retirement'!$C$18/12</f>
        <v>40940.569999999992</v>
      </c>
      <c r="O221" s="25">
        <f t="shared" si="5"/>
        <v>10889.636755601023</v>
      </c>
      <c r="P221" s="25">
        <f t="shared" si="6"/>
        <v>30050.93324439897</v>
      </c>
      <c r="Q221" s="25">
        <f t="array" aca="1" ref="Q221" ca="1">INDEX('Isaac 401k'!L:L,MATCH('Retirement Calculator'!A221,'Isaac 401k'!N:N,0),0)</f>
        <v>1295011.1944150913</v>
      </c>
      <c r="R221" s="25">
        <f t="array" aca="1" ref="R221" ca="1">INDEX('Lorri 401b'!L:L,MATCH('Retirement Calculator'!A221,'Lorri 401b'!N:N,0),0)</f>
        <v>3776881.9272990488</v>
      </c>
      <c r="S221" s="25">
        <f t="shared" ca="1" si="7"/>
        <v>5071893.1217141403</v>
      </c>
    </row>
    <row r="222" spans="1:19" ht="15.75" customHeight="1" x14ac:dyDescent="0.3">
      <c r="A222" s="37">
        <v>57711</v>
      </c>
      <c r="B222" s="398">
        <f t="shared" ref="B222:C222" si="218">($A222-B$9)/365.25</f>
        <v>76.12594113620807</v>
      </c>
      <c r="C222" s="398">
        <f t="shared" si="218"/>
        <v>71.515400410677614</v>
      </c>
      <c r="E222" s="25">
        <f>IF(C222&gt;$B$7,0,'Combined Retirement'!$D$13/12)</f>
        <v>0</v>
      </c>
      <c r="F222" s="25">
        <f>IF(H222=0,'Combined Retirement'!$D$32,0)+'Combined Retirement'!$B$24</f>
        <v>2870.372285649099</v>
      </c>
      <c r="G222" s="25">
        <f>'Combined Retirement'!$C$24</f>
        <v>3254.2644699519233</v>
      </c>
      <c r="H222" s="25">
        <f>IF(B222&lt;62,0,'Combined Retirement'!$I$14)</f>
        <v>2345</v>
      </c>
      <c r="I222" s="25">
        <f>IF(C222&lt;62,0,'Combined Retirement'!$I$13)</f>
        <v>2420</v>
      </c>
      <c r="J222" s="25">
        <f t="shared" si="3"/>
        <v>8395.6297298201844</v>
      </c>
      <c r="K222" s="25">
        <f t="shared" si="4"/>
        <v>21655.303514578787</v>
      </c>
      <c r="L222" s="25"/>
      <c r="N222" s="25">
        <f>'Combined Retirement'!$C$18/12</f>
        <v>40940.569999999992</v>
      </c>
      <c r="O222" s="25">
        <f t="shared" si="5"/>
        <v>10889.636755601023</v>
      </c>
      <c r="P222" s="25">
        <f t="shared" si="6"/>
        <v>30050.93324439897</v>
      </c>
      <c r="Q222" s="25">
        <f t="array" aca="1" ref="Q222" ca="1">INDEX('Isaac 401k'!L:L,MATCH('Retirement Calculator'!A222,'Isaac 401k'!N:N,0),0)</f>
        <v>1291976.4628714598</v>
      </c>
      <c r="R222" s="25">
        <f t="array" aca="1" ref="R222" ca="1">INDEX('Lorri 401b'!L:L,MATCH('Retirement Calculator'!A222,'Lorri 401b'!N:N,0),0)</f>
        <v>3770873.4013835718</v>
      </c>
      <c r="S222" s="25">
        <f t="shared" ca="1" si="7"/>
        <v>5062849.8642550316</v>
      </c>
    </row>
    <row r="223" spans="1:19" ht="15.75" customHeight="1" x14ac:dyDescent="0.3">
      <c r="A223" s="37">
        <v>57742</v>
      </c>
      <c r="B223" s="398">
        <f t="shared" ref="B223:C223" si="219">($A223-B$9)/365.25</f>
        <v>76.210814510609168</v>
      </c>
      <c r="C223" s="398">
        <f t="shared" si="219"/>
        <v>71.600273785078713</v>
      </c>
      <c r="E223" s="25">
        <f>IF(C223&gt;$B$7,0,'Combined Retirement'!$D$13/12)</f>
        <v>0</v>
      </c>
      <c r="F223" s="25">
        <f>IF(H223=0,'Combined Retirement'!$D$32,0)+'Combined Retirement'!$B$24</f>
        <v>2870.372285649099</v>
      </c>
      <c r="G223" s="25">
        <f>'Combined Retirement'!$C$24</f>
        <v>3254.2644699519233</v>
      </c>
      <c r="H223" s="25">
        <f>IF(B223&lt;62,0,'Combined Retirement'!$I$14)</f>
        <v>2345</v>
      </c>
      <c r="I223" s="25">
        <f>IF(C223&lt;62,0,'Combined Retirement'!$I$13)</f>
        <v>2420</v>
      </c>
      <c r="J223" s="25">
        <f t="shared" si="3"/>
        <v>8395.6297298201844</v>
      </c>
      <c r="K223" s="25">
        <f t="shared" si="4"/>
        <v>21655.303514578787</v>
      </c>
      <c r="L223" s="25"/>
      <c r="N223" s="25">
        <f>'Combined Retirement'!$C$18/12</f>
        <v>40940.569999999992</v>
      </c>
      <c r="O223" s="25">
        <f t="shared" si="5"/>
        <v>10889.636755601023</v>
      </c>
      <c r="P223" s="25">
        <f t="shared" si="6"/>
        <v>30050.93324439897</v>
      </c>
      <c r="Q223" s="25">
        <f t="array" aca="1" ref="Q223" ca="1">INDEX('Isaac 401k'!L:L,MATCH('Retirement Calculator'!A223,'Isaac 401k'!N:N,0),0)</f>
        <v>1288929.086613063</v>
      </c>
      <c r="R223" s="25">
        <f t="array" aca="1" ref="R223" ca="1">INDEX('Lorri 401b'!L:L,MATCH('Retirement Calculator'!A223,'Lorri 401b'!N:N,0),0)</f>
        <v>3764839.8399434472</v>
      </c>
      <c r="S223" s="25">
        <f t="shared" ca="1" si="7"/>
        <v>5053768.9265565099</v>
      </c>
    </row>
    <row r="224" spans="1:19" ht="15.75" customHeight="1" x14ac:dyDescent="0.3">
      <c r="A224" s="37">
        <v>57770</v>
      </c>
      <c r="B224" s="398">
        <f t="shared" ref="B224:C224" si="220">($A224-B$9)/365.25</f>
        <v>76.28747433264887</v>
      </c>
      <c r="C224" s="398">
        <f t="shared" si="220"/>
        <v>71.676933607118414</v>
      </c>
      <c r="E224" s="25">
        <f>IF(C224&gt;$B$7,0,'Combined Retirement'!$D$13/12)</f>
        <v>0</v>
      </c>
      <c r="F224" s="25">
        <f>IF(H224=0,'Combined Retirement'!$D$32,0)+'Combined Retirement'!$B$24</f>
        <v>2870.372285649099</v>
      </c>
      <c r="G224" s="25">
        <f>'Combined Retirement'!$C$24</f>
        <v>3254.2644699519233</v>
      </c>
      <c r="H224" s="25">
        <f>IF(B224&lt;62,0,'Combined Retirement'!$I$14)</f>
        <v>2345</v>
      </c>
      <c r="I224" s="25">
        <f>IF(C224&lt;62,0,'Combined Retirement'!$I$13)</f>
        <v>2420</v>
      </c>
      <c r="J224" s="25">
        <f t="shared" si="3"/>
        <v>8395.6297298201844</v>
      </c>
      <c r="K224" s="25">
        <f t="shared" si="4"/>
        <v>21655.303514578787</v>
      </c>
      <c r="L224" s="25"/>
      <c r="N224" s="25">
        <f>'Combined Retirement'!$C$18/12</f>
        <v>40940.569999999992</v>
      </c>
      <c r="O224" s="25">
        <f t="shared" si="5"/>
        <v>10889.636755601023</v>
      </c>
      <c r="P224" s="25">
        <f t="shared" si="6"/>
        <v>30050.93324439897</v>
      </c>
      <c r="Q224" s="25">
        <f t="array" aca="1" ref="Q224" ca="1">INDEX('Isaac 401k'!L:L,MATCH('Retirement Calculator'!A224,'Isaac 401k'!N:N,0),0)</f>
        <v>1285869.0129535897</v>
      </c>
      <c r="R224" s="25">
        <f t="array" aca="1" ref="R224" ca="1">INDEX('Lorri 401b'!L:L,MATCH('Retirement Calculator'!A224,'Lorri 401b'!N:N,0),0)</f>
        <v>3758781.1386639886</v>
      </c>
      <c r="S224" s="25">
        <f t="shared" ca="1" si="7"/>
        <v>5044650.1516175782</v>
      </c>
    </row>
    <row r="225" spans="1:19" ht="15.75" customHeight="1" x14ac:dyDescent="0.3">
      <c r="A225" s="37">
        <v>57801</v>
      </c>
      <c r="B225" s="398">
        <f t="shared" ref="B225:C225" si="221">($A225-B$9)/365.25</f>
        <v>76.372347707049968</v>
      </c>
      <c r="C225" s="398">
        <f t="shared" si="221"/>
        <v>71.761806981519513</v>
      </c>
      <c r="E225" s="25">
        <f>IF(C225&gt;$B$7,0,'Combined Retirement'!$D$13/12)</f>
        <v>0</v>
      </c>
      <c r="F225" s="25">
        <f>IF(H225=0,'Combined Retirement'!$D$32,0)+'Combined Retirement'!$B$24</f>
        <v>2870.372285649099</v>
      </c>
      <c r="G225" s="25">
        <f>'Combined Retirement'!$C$24</f>
        <v>3254.2644699519233</v>
      </c>
      <c r="H225" s="25">
        <f>IF(B225&lt;62,0,'Combined Retirement'!$I$14)</f>
        <v>2345</v>
      </c>
      <c r="I225" s="25">
        <f>IF(C225&lt;62,0,'Combined Retirement'!$I$13)</f>
        <v>2420</v>
      </c>
      <c r="J225" s="25">
        <f t="shared" si="3"/>
        <v>8395.6297298201844</v>
      </c>
      <c r="K225" s="25">
        <f t="shared" si="4"/>
        <v>21655.303514578787</v>
      </c>
      <c r="L225" s="25"/>
      <c r="N225" s="25">
        <f>'Combined Retirement'!$C$18/12</f>
        <v>40940.569999999992</v>
      </c>
      <c r="O225" s="25">
        <f t="shared" si="5"/>
        <v>10889.636755601023</v>
      </c>
      <c r="P225" s="25">
        <f t="shared" si="6"/>
        <v>30050.93324439897</v>
      </c>
      <c r="Q225" s="25">
        <f t="array" aca="1" ref="Q225" ca="1">INDEX('Isaac 401k'!L:L,MATCH('Retirement Calculator'!A225,'Isaac 401k'!N:N,0),0)</f>
        <v>1282796.1889872018</v>
      </c>
      <c r="R225" s="25">
        <f t="array" aca="1" ref="R225" ca="1">INDEX('Lorri 401b'!L:L,MATCH('Retirement Calculator'!A225,'Lorri 401b'!N:N,0),0)</f>
        <v>3752697.1927958657</v>
      </c>
      <c r="S225" s="25">
        <f t="shared" ca="1" si="7"/>
        <v>5035493.3817830672</v>
      </c>
    </row>
    <row r="226" spans="1:19" ht="15.75" customHeight="1" x14ac:dyDescent="0.3">
      <c r="A226" s="37">
        <v>57831</v>
      </c>
      <c r="B226" s="398">
        <f t="shared" ref="B226:C226" si="222">($A226-B$9)/365.25</f>
        <v>76.454483230663925</v>
      </c>
      <c r="C226" s="398">
        <f t="shared" si="222"/>
        <v>71.843942505133469</v>
      </c>
      <c r="E226" s="25">
        <f>IF(C226&gt;$B$7,0,'Combined Retirement'!$D$13/12)</f>
        <v>0</v>
      </c>
      <c r="F226" s="25">
        <f>IF(H226=0,'Combined Retirement'!$D$32,0)+'Combined Retirement'!$B$24</f>
        <v>2870.372285649099</v>
      </c>
      <c r="G226" s="25">
        <f>'Combined Retirement'!$C$24</f>
        <v>3254.2644699519233</v>
      </c>
      <c r="H226" s="25">
        <f>IF(B226&lt;62,0,'Combined Retirement'!$I$14)</f>
        <v>2345</v>
      </c>
      <c r="I226" s="25">
        <f>IF(C226&lt;62,0,'Combined Retirement'!$I$13)</f>
        <v>2420</v>
      </c>
      <c r="J226" s="25">
        <f t="shared" si="3"/>
        <v>8395.6297298201844</v>
      </c>
      <c r="K226" s="25">
        <f t="shared" si="4"/>
        <v>21655.303514578787</v>
      </c>
      <c r="L226" s="25"/>
      <c r="N226" s="25">
        <f>'Combined Retirement'!$C$18/12</f>
        <v>40940.569999999992</v>
      </c>
      <c r="O226" s="25">
        <f t="shared" si="5"/>
        <v>10889.636755601023</v>
      </c>
      <c r="P226" s="25">
        <f t="shared" si="6"/>
        <v>30050.93324439897</v>
      </c>
      <c r="Q226" s="25">
        <f t="array" aca="1" ref="Q226" ca="1">INDEX('Isaac 401k'!L:L,MATCH('Retirement Calculator'!A226,'Isaac 401k'!N:N,0),0)</f>
        <v>1279710.5615876208</v>
      </c>
      <c r="R226" s="25">
        <f t="array" aca="1" ref="R226" ca="1">INDEX('Lorri 401b'!L:L,MATCH('Retirement Calculator'!A226,'Lorri 401b'!N:N,0),0)</f>
        <v>3746587.8971532923</v>
      </c>
      <c r="S226" s="25">
        <f t="shared" ca="1" si="7"/>
        <v>5026298.4587409133</v>
      </c>
    </row>
    <row r="227" spans="1:19" ht="15.75" customHeight="1" x14ac:dyDescent="0.3">
      <c r="A227" s="37">
        <v>57862</v>
      </c>
      <c r="B227" s="398">
        <f t="shared" ref="B227:C227" si="223">($A227-B$9)/365.25</f>
        <v>76.539356605065024</v>
      </c>
      <c r="C227" s="398">
        <f t="shared" si="223"/>
        <v>71.928815879534568</v>
      </c>
      <c r="E227" s="25">
        <f>IF(C227&gt;$B$7,0,'Combined Retirement'!$D$13/12)</f>
        <v>0</v>
      </c>
      <c r="F227" s="25">
        <f>IF(H227=0,'Combined Retirement'!$D$32,0)+'Combined Retirement'!$B$24</f>
        <v>2870.372285649099</v>
      </c>
      <c r="G227" s="25">
        <f>'Combined Retirement'!$C$24</f>
        <v>3254.2644699519233</v>
      </c>
      <c r="H227" s="25">
        <f>IF(B227&lt;62,0,'Combined Retirement'!$I$14)</f>
        <v>2345</v>
      </c>
      <c r="I227" s="25">
        <f>IF(C227&lt;62,0,'Combined Retirement'!$I$13)</f>
        <v>2420</v>
      </c>
      <c r="J227" s="25">
        <f t="shared" si="3"/>
        <v>8395.6297298201844</v>
      </c>
      <c r="K227" s="25">
        <f t="shared" si="4"/>
        <v>21655.303514578787</v>
      </c>
      <c r="L227" s="25"/>
      <c r="N227" s="25">
        <f>'Combined Retirement'!$C$18/12</f>
        <v>40940.569999999992</v>
      </c>
      <c r="O227" s="25">
        <f t="shared" si="5"/>
        <v>10889.636755601023</v>
      </c>
      <c r="P227" s="25">
        <f t="shared" si="6"/>
        <v>30050.93324439897</v>
      </c>
      <c r="Q227" s="25">
        <f t="array" aca="1" ref="Q227" ca="1">INDEX('Isaac 401k'!L:L,MATCH('Retirement Calculator'!A227,'Isaac 401k'!N:N,0),0)</f>
        <v>1276612.077407208</v>
      </c>
      <c r="R227" s="25">
        <f t="array" aca="1" ref="R227" ca="1">INDEX('Lorri 401b'!L:L,MATCH('Retirement Calculator'!A227,'Lorri 401b'!N:N,0),0)</f>
        <v>3740453.1461122083</v>
      </c>
      <c r="S227" s="25">
        <f t="shared" ca="1" si="7"/>
        <v>5017065.2235194165</v>
      </c>
    </row>
    <row r="228" spans="1:19" ht="15.75" customHeight="1" x14ac:dyDescent="0.3">
      <c r="A228" s="37">
        <v>57892</v>
      </c>
      <c r="B228" s="398">
        <f t="shared" ref="B228:C228" si="224">($A228-B$9)/365.25</f>
        <v>76.62149212867898</v>
      </c>
      <c r="C228" s="398">
        <f t="shared" si="224"/>
        <v>72.010951403148525</v>
      </c>
      <c r="E228" s="25">
        <f>IF(C228&gt;$B$7,0,'Combined Retirement'!$D$13/12)</f>
        <v>0</v>
      </c>
      <c r="F228" s="25">
        <f>IF(H228=0,'Combined Retirement'!$D$32,0)+'Combined Retirement'!$B$24</f>
        <v>2870.372285649099</v>
      </c>
      <c r="G228" s="25">
        <f>'Combined Retirement'!$C$24</f>
        <v>3254.2644699519233</v>
      </c>
      <c r="H228" s="25">
        <f>IF(B228&lt;62,0,'Combined Retirement'!$I$14)</f>
        <v>2345</v>
      </c>
      <c r="I228" s="25">
        <f>IF(C228&lt;62,0,'Combined Retirement'!$I$13)</f>
        <v>2420</v>
      </c>
      <c r="J228" s="25">
        <f t="shared" si="3"/>
        <v>8395.6297298201844</v>
      </c>
      <c r="K228" s="25">
        <f t="shared" si="4"/>
        <v>21655.303514578787</v>
      </c>
      <c r="L228" s="25"/>
      <c r="N228" s="25">
        <f>'Combined Retirement'!$C$18/12</f>
        <v>40940.569999999992</v>
      </c>
      <c r="O228" s="25">
        <f t="shared" si="5"/>
        <v>10889.636755601023</v>
      </c>
      <c r="P228" s="25">
        <f t="shared" si="6"/>
        <v>30050.93324439897</v>
      </c>
      <c r="Q228" s="25">
        <f t="array" aca="1" ref="Q228" ca="1">INDEX('Isaac 401k'!L:L,MATCH('Retirement Calculator'!A228,'Isaac 401k'!N:N,0),0)</f>
        <v>1273500.6828760437</v>
      </c>
      <c r="R228" s="25">
        <f t="array" aca="1" ref="R228" ca="1">INDEX('Lorri 401b'!L:L,MATCH('Retirement Calculator'!A228,'Lorri 401b'!N:N,0),0)</f>
        <v>3734292.8336084527</v>
      </c>
      <c r="S228" s="25">
        <f t="shared" ca="1" si="7"/>
        <v>5007793.5164844962</v>
      </c>
    </row>
    <row r="229" spans="1:19" ht="15.75" customHeight="1" x14ac:dyDescent="0.3">
      <c r="A229" s="37">
        <v>57923</v>
      </c>
      <c r="B229" s="398">
        <f t="shared" ref="B229:C229" si="225">($A229-B$9)/365.25</f>
        <v>76.706365503080079</v>
      </c>
      <c r="C229" s="398">
        <f t="shared" si="225"/>
        <v>72.095824777549623</v>
      </c>
      <c r="E229" s="25">
        <f>IF(C229&gt;$B$7,0,'Combined Retirement'!$D$13/12)</f>
        <v>0</v>
      </c>
      <c r="F229" s="25">
        <f>IF(H229=0,'Combined Retirement'!$D$32,0)+'Combined Retirement'!$B$24</f>
        <v>2870.372285649099</v>
      </c>
      <c r="G229" s="25">
        <f>'Combined Retirement'!$C$24</f>
        <v>3254.2644699519233</v>
      </c>
      <c r="H229" s="25">
        <f>IF(B229&lt;62,0,'Combined Retirement'!$I$14)</f>
        <v>2345</v>
      </c>
      <c r="I229" s="25">
        <f>IF(C229&lt;62,0,'Combined Retirement'!$I$13)</f>
        <v>2420</v>
      </c>
      <c r="J229" s="25">
        <f t="shared" si="3"/>
        <v>8395.6297298201844</v>
      </c>
      <c r="K229" s="25">
        <f t="shared" si="4"/>
        <v>21655.303514578787</v>
      </c>
      <c r="L229" s="25"/>
      <c r="N229" s="25">
        <f>'Combined Retirement'!$C$18/12</f>
        <v>40940.569999999992</v>
      </c>
      <c r="O229" s="25">
        <f t="shared" si="5"/>
        <v>10889.636755601023</v>
      </c>
      <c r="P229" s="25">
        <f t="shared" si="6"/>
        <v>30050.93324439897</v>
      </c>
      <c r="Q229" s="25">
        <f t="array" aca="1" ref="Q229" ca="1">INDEX('Isaac 401k'!L:L,MATCH('Retirement Calculator'!A229,'Isaac 401k'!N:N,0),0)</f>
        <v>1270376.3242009995</v>
      </c>
      <c r="R229" s="25">
        <f t="array" aca="1" ref="R229" ca="1">INDEX('Lorri 401b'!L:L,MATCH('Retirement Calculator'!A229,'Lorri 401b'!N:N,0),0)</f>
        <v>3728106.8531359318</v>
      </c>
      <c r="S229" s="25">
        <f t="shared" ca="1" si="7"/>
        <v>4998483.1773369312</v>
      </c>
    </row>
    <row r="230" spans="1:19" ht="15.75" customHeight="1" x14ac:dyDescent="0.3">
      <c r="A230" s="37">
        <v>57954</v>
      </c>
      <c r="B230" s="398">
        <f t="shared" ref="B230:C230" si="226">($A230-B$9)/365.25</f>
        <v>76.791238877481177</v>
      </c>
      <c r="C230" s="398">
        <f t="shared" si="226"/>
        <v>72.180698151950722</v>
      </c>
      <c r="E230" s="25">
        <f>IF(C230&gt;$B$7,0,'Combined Retirement'!$D$13/12)</f>
        <v>0</v>
      </c>
      <c r="F230" s="25">
        <f>IF(H230=0,'Combined Retirement'!$D$32,0)+'Combined Retirement'!$B$24</f>
        <v>2870.372285649099</v>
      </c>
      <c r="G230" s="25">
        <f>'Combined Retirement'!$C$24</f>
        <v>3254.2644699519233</v>
      </c>
      <c r="H230" s="25">
        <f>IF(B230&lt;62,0,'Combined Retirement'!$I$14)</f>
        <v>2345</v>
      </c>
      <c r="I230" s="25">
        <f>IF(C230&lt;62,0,'Combined Retirement'!$I$13)</f>
        <v>2420</v>
      </c>
      <c r="J230" s="25">
        <f t="shared" si="3"/>
        <v>8395.6297298201844</v>
      </c>
      <c r="K230" s="25">
        <f t="shared" si="4"/>
        <v>21655.303514578787</v>
      </c>
      <c r="L230" s="25"/>
      <c r="N230" s="25">
        <f>'Combined Retirement'!$C$18/12</f>
        <v>40940.569999999992</v>
      </c>
      <c r="O230" s="25">
        <f t="shared" si="5"/>
        <v>10889.636755601023</v>
      </c>
      <c r="P230" s="25">
        <f t="shared" si="6"/>
        <v>30050.93324439897</v>
      </c>
      <c r="Q230" s="25">
        <f t="array" aca="1" ref="Q230" ca="1">INDEX('Isaac 401k'!L:L,MATCH('Retirement Calculator'!A230,'Isaac 401k'!N:N,0),0)</f>
        <v>1267238.9473648092</v>
      </c>
      <c r="R230" s="25">
        <f t="array" aca="1" ref="R230" ca="1">INDEX('Lorri 401b'!L:L,MATCH('Retirement Calculator'!A230,'Lorri 401b'!N:N,0),0)</f>
        <v>3721895.097744775</v>
      </c>
      <c r="S230" s="25">
        <f t="shared" ca="1" si="7"/>
        <v>4989134.045109584</v>
      </c>
    </row>
    <row r="231" spans="1:19" ht="15.75" customHeight="1" x14ac:dyDescent="0.3">
      <c r="A231" s="37">
        <v>57984</v>
      </c>
      <c r="B231" s="398">
        <f t="shared" ref="B231:C231" si="227">($A231-B$9)/365.25</f>
        <v>76.873374401095134</v>
      </c>
      <c r="C231" s="398">
        <f t="shared" si="227"/>
        <v>72.262833675564679</v>
      </c>
      <c r="E231" s="25">
        <f>IF(C231&gt;$B$7,0,'Combined Retirement'!$D$13/12)</f>
        <v>0</v>
      </c>
      <c r="F231" s="25">
        <f>IF(H231=0,'Combined Retirement'!$D$32,0)+'Combined Retirement'!$B$24</f>
        <v>2870.372285649099</v>
      </c>
      <c r="G231" s="25">
        <f>'Combined Retirement'!$C$24</f>
        <v>3254.2644699519233</v>
      </c>
      <c r="H231" s="25">
        <f>IF(B231&lt;62,0,'Combined Retirement'!$I$14)</f>
        <v>2345</v>
      </c>
      <c r="I231" s="25">
        <f>IF(C231&lt;62,0,'Combined Retirement'!$I$13)</f>
        <v>2420</v>
      </c>
      <c r="J231" s="25">
        <f t="shared" si="3"/>
        <v>8395.6297298201844</v>
      </c>
      <c r="K231" s="25">
        <f t="shared" si="4"/>
        <v>21655.303514578787</v>
      </c>
      <c r="L231" s="25"/>
      <c r="N231" s="25">
        <f>'Combined Retirement'!$C$18/12</f>
        <v>40940.569999999992</v>
      </c>
      <c r="O231" s="25">
        <f t="shared" si="5"/>
        <v>10889.636755601023</v>
      </c>
      <c r="P231" s="25">
        <f t="shared" si="6"/>
        <v>30050.93324439897</v>
      </c>
      <c r="Q231" s="25">
        <f t="array" aca="1" ref="Q231" ca="1">INDEX('Isaac 401k'!L:L,MATCH('Retirement Calculator'!A231,'Isaac 401k'!N:N,0),0)</f>
        <v>1264088.4981251347</v>
      </c>
      <c r="R231" s="25">
        <f t="array" aca="1" ref="R231" ca="1">INDEX('Lorri 401b'!L:L,MATCH('Retirement Calculator'!A231,'Lorri 401b'!N:N,0),0)</f>
        <v>3715657.4600394885</v>
      </c>
      <c r="S231" s="25">
        <f t="shared" ca="1" si="7"/>
        <v>4979745.958164623</v>
      </c>
    </row>
    <row r="232" spans="1:19" ht="15.75" customHeight="1" x14ac:dyDescent="0.3">
      <c r="A232" s="37">
        <v>58015</v>
      </c>
      <c r="B232" s="398">
        <f t="shared" ref="B232:C232" si="228">($A232-B$9)/365.25</f>
        <v>76.958247775496233</v>
      </c>
      <c r="C232" s="398">
        <f t="shared" si="228"/>
        <v>72.347707049965777</v>
      </c>
      <c r="E232" s="25">
        <f>IF(C232&gt;$B$7,0,'Combined Retirement'!$D$13/12)</f>
        <v>0</v>
      </c>
      <c r="F232" s="25">
        <f>IF(H232=0,'Combined Retirement'!$D$32,0)+'Combined Retirement'!$B$24</f>
        <v>2870.372285649099</v>
      </c>
      <c r="G232" s="25">
        <f>'Combined Retirement'!$C$24</f>
        <v>3254.2644699519233</v>
      </c>
      <c r="H232" s="25">
        <f>IF(B232&lt;62,0,'Combined Retirement'!$I$14)</f>
        <v>2345</v>
      </c>
      <c r="I232" s="25">
        <f>IF(C232&lt;62,0,'Combined Retirement'!$I$13)</f>
        <v>2420</v>
      </c>
      <c r="J232" s="25">
        <f t="shared" si="3"/>
        <v>8395.6297298201844</v>
      </c>
      <c r="K232" s="25">
        <f t="shared" si="4"/>
        <v>21655.303514578787</v>
      </c>
      <c r="L232" s="25"/>
      <c r="N232" s="25">
        <f>'Combined Retirement'!$C$18/12</f>
        <v>40940.569999999992</v>
      </c>
      <c r="O232" s="25">
        <f t="shared" si="5"/>
        <v>10889.636755601023</v>
      </c>
      <c r="P232" s="25">
        <f t="shared" si="6"/>
        <v>30050.93324439897</v>
      </c>
      <c r="Q232" s="25">
        <f t="array" aca="1" ref="Q232" ca="1">INDEX('Isaac 401k'!L:L,MATCH('Retirement Calculator'!A232,'Isaac 401k'!N:N,0),0)</f>
        <v>1260924.9220136283</v>
      </c>
      <c r="R232" s="25">
        <f t="array" aca="1" ref="R232" ca="1">INDEX('Lorri 401b'!L:L,MATCH('Retirement Calculator'!A232,'Lorri 401b'!N:N,0),0)</f>
        <v>3709393.832177097</v>
      </c>
      <c r="S232" s="25">
        <f t="shared" ca="1" si="7"/>
        <v>4970318.7541907253</v>
      </c>
    </row>
    <row r="233" spans="1:19" ht="15.75" customHeight="1" x14ac:dyDescent="0.3">
      <c r="A233" s="37">
        <v>58045</v>
      </c>
      <c r="B233" s="398">
        <f t="shared" ref="B233:C233" si="229">($A233-B$9)/365.25</f>
        <v>77.040383299110204</v>
      </c>
      <c r="C233" s="398">
        <f t="shared" si="229"/>
        <v>72.429842573579734</v>
      </c>
      <c r="E233" s="25">
        <f>IF(C233&gt;$B$7,0,'Combined Retirement'!$D$13/12)</f>
        <v>0</v>
      </c>
      <c r="F233" s="25">
        <f>IF(H233=0,'Combined Retirement'!$D$32,0)+'Combined Retirement'!$B$24</f>
        <v>2870.372285649099</v>
      </c>
      <c r="G233" s="25">
        <f>'Combined Retirement'!$C$24</f>
        <v>3254.2644699519233</v>
      </c>
      <c r="H233" s="25">
        <f>IF(B233&lt;62,0,'Combined Retirement'!$I$14)</f>
        <v>2345</v>
      </c>
      <c r="I233" s="25">
        <f>IF(C233&lt;62,0,'Combined Retirement'!$I$13)</f>
        <v>2420</v>
      </c>
      <c r="J233" s="25">
        <f t="shared" si="3"/>
        <v>8395.6297298201844</v>
      </c>
      <c r="K233" s="25">
        <f t="shared" si="4"/>
        <v>21655.303514578787</v>
      </c>
      <c r="L233" s="25"/>
      <c r="N233" s="25">
        <f>'Combined Retirement'!$C$18/12</f>
        <v>40940.569999999992</v>
      </c>
      <c r="O233" s="25">
        <f t="shared" si="5"/>
        <v>10889.636755601023</v>
      </c>
      <c r="P233" s="25">
        <f t="shared" si="6"/>
        <v>30050.93324439897</v>
      </c>
      <c r="Q233" s="25">
        <f t="array" aca="1" ref="Q233" ca="1">INDEX('Isaac 401k'!L:L,MATCH('Retirement Calculator'!A233,'Isaac 401k'!N:N,0),0)</f>
        <v>1257748.1643349905</v>
      </c>
      <c r="R233" s="25">
        <f t="array" aca="1" ref="R233" ca="1">INDEX('Lorri 401b'!L:L,MATCH('Retirement Calculator'!A233,'Lorri 401b'!N:N,0),0)</f>
        <v>3703104.1058652787</v>
      </c>
      <c r="S233" s="25">
        <f t="shared" ca="1" si="7"/>
        <v>4960852.2702002693</v>
      </c>
    </row>
    <row r="234" spans="1:19" ht="15.75" customHeight="1" x14ac:dyDescent="0.3">
      <c r="A234" s="37">
        <v>58076</v>
      </c>
      <c r="B234" s="398">
        <f t="shared" ref="B234:C234" si="230">($A234-B$9)/365.25</f>
        <v>77.125256673511288</v>
      </c>
      <c r="C234" s="398">
        <f t="shared" si="230"/>
        <v>72.514715947980832</v>
      </c>
      <c r="E234" s="25">
        <f>IF(C234&gt;$B$7,0,'Combined Retirement'!$D$13/12)</f>
        <v>0</v>
      </c>
      <c r="F234" s="25">
        <f>IF(H234=0,'Combined Retirement'!$D$32,0)+'Combined Retirement'!$B$24</f>
        <v>2870.372285649099</v>
      </c>
      <c r="G234" s="25">
        <f>'Combined Retirement'!$C$24</f>
        <v>3254.2644699519233</v>
      </c>
      <c r="H234" s="25">
        <f>IF(B234&lt;62,0,'Combined Retirement'!$I$14)</f>
        <v>2345</v>
      </c>
      <c r="I234" s="25">
        <f>IF(C234&lt;62,0,'Combined Retirement'!$I$13)</f>
        <v>2420</v>
      </c>
      <c r="J234" s="25">
        <f t="shared" si="3"/>
        <v>8395.6297298201844</v>
      </c>
      <c r="K234" s="25">
        <f t="shared" si="4"/>
        <v>21655.303514578787</v>
      </c>
      <c r="L234" s="25"/>
      <c r="N234" s="25">
        <f>'Combined Retirement'!$C$18/12</f>
        <v>40940.569999999992</v>
      </c>
      <c r="O234" s="25">
        <f t="shared" si="5"/>
        <v>10889.636755601023</v>
      </c>
      <c r="P234" s="25">
        <f t="shared" si="6"/>
        <v>30050.93324439897</v>
      </c>
      <c r="Q234" s="25">
        <f t="array" aca="1" ref="Q234" ca="1">INDEX('Isaac 401k'!L:L,MATCH('Retirement Calculator'!A234,'Isaac 401k'!N:N,0),0)</f>
        <v>1254558.1701660252</v>
      </c>
      <c r="R234" s="25">
        <f t="array" aca="1" ref="R234" ca="1">INDEX('Lorri 401b'!L:L,MATCH('Retirement Calculator'!A234,'Lorri 401b'!N:N,0),0)</f>
        <v>3696788.1723604943</v>
      </c>
      <c r="S234" s="25">
        <f t="shared" ca="1" si="7"/>
        <v>4951346.3425265197</v>
      </c>
    </row>
    <row r="235" spans="1:19" ht="15.75" customHeight="1" x14ac:dyDescent="0.3">
      <c r="A235" s="37">
        <v>58107</v>
      </c>
      <c r="B235" s="398">
        <f t="shared" ref="B235:C235" si="231">($A235-B$9)/365.25</f>
        <v>77.210130047912386</v>
      </c>
      <c r="C235" s="398">
        <f t="shared" si="231"/>
        <v>72.599589322381931</v>
      </c>
      <c r="E235" s="25">
        <f>IF(C235&gt;$B$7,0,'Combined Retirement'!$D$13/12)</f>
        <v>0</v>
      </c>
      <c r="F235" s="25">
        <f>IF(H235=0,'Combined Retirement'!$D$32,0)+'Combined Retirement'!$B$24</f>
        <v>2870.372285649099</v>
      </c>
      <c r="G235" s="25">
        <f>'Combined Retirement'!$C$24</f>
        <v>3254.2644699519233</v>
      </c>
      <c r="H235" s="25">
        <f>IF(B235&lt;62,0,'Combined Retirement'!$I$14)</f>
        <v>2345</v>
      </c>
      <c r="I235" s="25">
        <f>IF(C235&lt;62,0,'Combined Retirement'!$I$13)</f>
        <v>2420</v>
      </c>
      <c r="J235" s="25">
        <f t="shared" si="3"/>
        <v>8395.6297298201844</v>
      </c>
      <c r="K235" s="25">
        <f t="shared" si="4"/>
        <v>21655.303514578787</v>
      </c>
      <c r="L235" s="25"/>
      <c r="N235" s="25">
        <f>'Combined Retirement'!$C$18/12</f>
        <v>40940.569999999992</v>
      </c>
      <c r="O235" s="25">
        <f t="shared" si="5"/>
        <v>10889.636755601023</v>
      </c>
      <c r="P235" s="25">
        <f t="shared" si="6"/>
        <v>30050.93324439897</v>
      </c>
      <c r="Q235" s="25">
        <f t="array" aca="1" ref="Q235" ca="1">INDEX('Isaac 401k'!L:L,MATCH('Retirement Calculator'!A235,'Isaac 401k'!N:N,0),0)</f>
        <v>1251354.8843546892</v>
      </c>
      <c r="R235" s="25">
        <f t="array" aca="1" ref="R235" ca="1">INDEX('Lorri 401b'!L:L,MATCH('Retirement Calculator'!A235,'Lorri 401b'!N:N,0),0)</f>
        <v>3690445.9224661067</v>
      </c>
      <c r="S235" s="25">
        <f t="shared" ca="1" si="7"/>
        <v>4941800.8068207959</v>
      </c>
    </row>
    <row r="236" spans="1:19" ht="15.75" customHeight="1" x14ac:dyDescent="0.3">
      <c r="A236" s="37">
        <v>58135</v>
      </c>
      <c r="B236" s="398">
        <f t="shared" ref="B236:C236" si="232">($A236-B$9)/365.25</f>
        <v>77.286789869952088</v>
      </c>
      <c r="C236" s="398">
        <f t="shared" si="232"/>
        <v>72.676249144421632</v>
      </c>
      <c r="E236" s="25">
        <f>IF(C236&gt;$B$7,0,'Combined Retirement'!$D$13/12)</f>
        <v>0</v>
      </c>
      <c r="F236" s="25">
        <f>IF(H236=0,'Combined Retirement'!$D$32,0)+'Combined Retirement'!$B$24</f>
        <v>2870.372285649099</v>
      </c>
      <c r="G236" s="25">
        <f>'Combined Retirement'!$C$24</f>
        <v>3254.2644699519233</v>
      </c>
      <c r="H236" s="25">
        <f>IF(B236&lt;62,0,'Combined Retirement'!$I$14)</f>
        <v>2345</v>
      </c>
      <c r="I236" s="25">
        <f>IF(C236&lt;62,0,'Combined Retirement'!$I$13)</f>
        <v>2420</v>
      </c>
      <c r="J236" s="25">
        <f t="shared" si="3"/>
        <v>8395.6297298201844</v>
      </c>
      <c r="K236" s="25">
        <f t="shared" si="4"/>
        <v>21655.303514578787</v>
      </c>
      <c r="L236" s="25"/>
      <c r="N236" s="25">
        <f>'Combined Retirement'!$C$18/12</f>
        <v>40940.569999999992</v>
      </c>
      <c r="O236" s="25">
        <f t="shared" si="5"/>
        <v>10889.636755601023</v>
      </c>
      <c r="P236" s="25">
        <f t="shared" si="6"/>
        <v>30050.93324439897</v>
      </c>
      <c r="Q236" s="25">
        <f t="array" aca="1" ref="Q236" ca="1">INDEX('Isaac 401k'!L:L,MATCH('Retirement Calculator'!A236,'Isaac 401k'!N:N,0),0)</f>
        <v>1248138.2515191392</v>
      </c>
      <c r="R236" s="25">
        <f t="array" aca="1" ref="R236" ca="1">INDEX('Lorri 401b'!L:L,MATCH('Retirement Calculator'!A236,'Lorri 401b'!N:N,0),0)</f>
        <v>3684077.2465304928</v>
      </c>
      <c r="S236" s="25">
        <f t="shared" ca="1" si="7"/>
        <v>4932215.4980496317</v>
      </c>
    </row>
    <row r="237" spans="1:19" ht="15.75" customHeight="1" x14ac:dyDescent="0.3">
      <c r="A237" s="37">
        <v>58166</v>
      </c>
      <c r="B237" s="398">
        <f t="shared" ref="B237:C237" si="233">($A237-B$9)/365.25</f>
        <v>77.371663244353186</v>
      </c>
      <c r="C237" s="398">
        <f t="shared" si="233"/>
        <v>72.761122518822731</v>
      </c>
      <c r="E237" s="25">
        <f>IF(C237&gt;$B$7,0,'Combined Retirement'!$D$13/12)</f>
        <v>0</v>
      </c>
      <c r="F237" s="25">
        <f>IF(H237=0,'Combined Retirement'!$D$32,0)+'Combined Retirement'!$B$24</f>
        <v>2870.372285649099</v>
      </c>
      <c r="G237" s="25">
        <f>'Combined Retirement'!$C$24</f>
        <v>3254.2644699519233</v>
      </c>
      <c r="H237" s="25">
        <f>IF(B237&lt;62,0,'Combined Retirement'!$I$14)</f>
        <v>2345</v>
      </c>
      <c r="I237" s="25">
        <f>IF(C237&lt;62,0,'Combined Retirement'!$I$13)</f>
        <v>2420</v>
      </c>
      <c r="J237" s="25">
        <f t="shared" si="3"/>
        <v>8395.6297298201844</v>
      </c>
      <c r="K237" s="25">
        <f t="shared" si="4"/>
        <v>21655.303514578787</v>
      </c>
      <c r="L237" s="25"/>
      <c r="N237" s="25">
        <f>'Combined Retirement'!$C$18/12</f>
        <v>40940.569999999992</v>
      </c>
      <c r="O237" s="25">
        <f t="shared" si="5"/>
        <v>10889.636755601023</v>
      </c>
      <c r="P237" s="25">
        <f t="shared" si="6"/>
        <v>30050.93324439897</v>
      </c>
      <c r="Q237" s="25">
        <f t="array" aca="1" ref="Q237" ca="1">INDEX('Isaac 401k'!L:L,MATCH('Retirement Calculator'!A237,'Isaac 401k'!N:N,0),0)</f>
        <v>1244908.2160467745</v>
      </c>
      <c r="R237" s="25">
        <f t="array" aca="1" ref="R237" ca="1">INDEX('Lorri 401b'!L:L,MATCH('Retirement Calculator'!A237,'Lorri 401b'!N:N,0),0)</f>
        <v>3677682.034445147</v>
      </c>
      <c r="S237" s="25">
        <f t="shared" ca="1" si="7"/>
        <v>4922590.2504919218</v>
      </c>
    </row>
    <row r="238" spans="1:19" ht="15.75" customHeight="1" x14ac:dyDescent="0.3">
      <c r="A238" s="37">
        <v>58196</v>
      </c>
      <c r="B238" s="398">
        <f t="shared" ref="B238:C238" si="234">($A238-B$9)/365.25</f>
        <v>77.453798767967143</v>
      </c>
      <c r="C238" s="398">
        <f t="shared" si="234"/>
        <v>72.843258042436688</v>
      </c>
      <c r="E238" s="25">
        <f>IF(C238&gt;$B$7,0,'Combined Retirement'!$D$13/12)</f>
        <v>0</v>
      </c>
      <c r="F238" s="25">
        <f>IF(H238=0,'Combined Retirement'!$D$32,0)+'Combined Retirement'!$B$24</f>
        <v>2870.372285649099</v>
      </c>
      <c r="G238" s="25">
        <f>'Combined Retirement'!$C$24</f>
        <v>3254.2644699519233</v>
      </c>
      <c r="H238" s="25">
        <f>IF(B238&lt;62,0,'Combined Retirement'!$I$14)</f>
        <v>2345</v>
      </c>
      <c r="I238" s="25">
        <f>IF(C238&lt;62,0,'Combined Retirement'!$I$13)</f>
        <v>2420</v>
      </c>
      <c r="J238" s="25">
        <f t="shared" si="3"/>
        <v>8395.6297298201844</v>
      </c>
      <c r="K238" s="25">
        <f t="shared" si="4"/>
        <v>21655.303514578787</v>
      </c>
      <c r="L238" s="25"/>
      <c r="N238" s="25">
        <f>'Combined Retirement'!$C$18/12</f>
        <v>40940.569999999992</v>
      </c>
      <c r="O238" s="25">
        <f t="shared" si="5"/>
        <v>10889.636755601023</v>
      </c>
      <c r="P238" s="25">
        <f t="shared" si="6"/>
        <v>30050.93324439897</v>
      </c>
      <c r="Q238" s="25">
        <f t="array" aca="1" ref="Q238" ca="1">INDEX('Isaac 401k'!L:L,MATCH('Retirement Calculator'!A238,'Isaac 401k'!N:N,0),0)</f>
        <v>1241664.722093275</v>
      </c>
      <c r="R238" s="25">
        <f t="array" aca="1" ref="R238" ca="1">INDEX('Lorri 401b'!L:L,MATCH('Retirement Calculator'!A238,'Lorri 401b'!N:N,0),0)</f>
        <v>3671260.1756427791</v>
      </c>
      <c r="S238" s="25">
        <f t="shared" ca="1" si="7"/>
        <v>4912924.8977360539</v>
      </c>
    </row>
    <row r="239" spans="1:19" ht="15.75" customHeight="1" x14ac:dyDescent="0.3">
      <c r="A239" s="37">
        <v>58227</v>
      </c>
      <c r="B239" s="398">
        <f t="shared" ref="B239:C239" si="235">($A239-B$9)/365.25</f>
        <v>77.538672142368242</v>
      </c>
      <c r="C239" s="398">
        <f t="shared" si="235"/>
        <v>72.928131416837786</v>
      </c>
      <c r="E239" s="25">
        <f>IF(C239&gt;$B$7,0,'Combined Retirement'!$D$13/12)</f>
        <v>0</v>
      </c>
      <c r="F239" s="25">
        <f>IF(H239=0,'Combined Retirement'!$D$32,0)+'Combined Retirement'!$B$24</f>
        <v>2870.372285649099</v>
      </c>
      <c r="G239" s="25">
        <f>'Combined Retirement'!$C$24</f>
        <v>3254.2644699519233</v>
      </c>
      <c r="H239" s="25">
        <f>IF(B239&lt;62,0,'Combined Retirement'!$I$14)</f>
        <v>2345</v>
      </c>
      <c r="I239" s="25">
        <f>IF(C239&lt;62,0,'Combined Retirement'!$I$13)</f>
        <v>2420</v>
      </c>
      <c r="J239" s="25">
        <f t="shared" si="3"/>
        <v>8395.6297298201844</v>
      </c>
      <c r="K239" s="25">
        <f t="shared" si="4"/>
        <v>21655.303514578787</v>
      </c>
      <c r="L239" s="25"/>
      <c r="N239" s="25">
        <f>'Combined Retirement'!$C$18/12</f>
        <v>40940.569999999992</v>
      </c>
      <c r="O239" s="25">
        <f t="shared" si="5"/>
        <v>10889.636755601023</v>
      </c>
      <c r="P239" s="25">
        <f t="shared" si="6"/>
        <v>30050.93324439897</v>
      </c>
      <c r="Q239" s="25">
        <f t="array" aca="1" ref="Q239" ca="1">INDEX('Isaac 401k'!L:L,MATCH('Retirement Calculator'!A239,'Isaac 401k'!N:N,0),0)</f>
        <v>1238407.7135816358</v>
      </c>
      <c r="R239" s="25">
        <f t="array" aca="1" ref="R239" ca="1">INDEX('Lorri 401b'!L:L,MATCH('Retirement Calculator'!A239,'Lorri 401b'!N:N,0),0)</f>
        <v>3664811.5590954013</v>
      </c>
      <c r="S239" s="25">
        <f t="shared" ca="1" si="7"/>
        <v>4903219.2726770369</v>
      </c>
    </row>
    <row r="240" spans="1:19" ht="15.75" customHeight="1" x14ac:dyDescent="0.3">
      <c r="A240" s="37">
        <v>58257</v>
      </c>
      <c r="B240" s="398">
        <f t="shared" ref="B240:C240" si="236">($A240-B$9)/365.25</f>
        <v>77.620807665982198</v>
      </c>
      <c r="C240" s="398">
        <f t="shared" si="236"/>
        <v>73.010266940451743</v>
      </c>
      <c r="E240" s="25">
        <f>IF(C240&gt;$B$7,0,'Combined Retirement'!$D$13/12)</f>
        <v>0</v>
      </c>
      <c r="F240" s="25">
        <f>IF(H240=0,'Combined Retirement'!$D$32,0)+'Combined Retirement'!$B$24</f>
        <v>2870.372285649099</v>
      </c>
      <c r="G240" s="25">
        <f>'Combined Retirement'!$C$24</f>
        <v>3254.2644699519233</v>
      </c>
      <c r="H240" s="25">
        <f>IF(B240&lt;62,0,'Combined Retirement'!$I$14)</f>
        <v>2345</v>
      </c>
      <c r="I240" s="25">
        <f>IF(C240&lt;62,0,'Combined Retirement'!$I$13)</f>
        <v>2420</v>
      </c>
      <c r="J240" s="25">
        <f t="shared" si="3"/>
        <v>8395.6297298201844</v>
      </c>
      <c r="K240" s="25">
        <f t="shared" si="4"/>
        <v>21655.303514578787</v>
      </c>
      <c r="L240" s="25"/>
      <c r="N240" s="25">
        <f>'Combined Retirement'!$C$18/12</f>
        <v>40940.569999999992</v>
      </c>
      <c r="O240" s="25">
        <f t="shared" si="5"/>
        <v>10889.636755601023</v>
      </c>
      <c r="P240" s="25">
        <f t="shared" si="6"/>
        <v>30050.93324439897</v>
      </c>
      <c r="Q240" s="25">
        <f t="array" aca="1" ref="Q240" ca="1">INDEX('Isaac 401k'!L:L,MATCH('Retirement Calculator'!A240,'Isaac 401k'!N:N,0),0)</f>
        <v>1235137.1342011981</v>
      </c>
      <c r="R240" s="25">
        <f t="array" aca="1" ref="R240" ca="1">INDEX('Lorri 401b'!L:L,MATCH('Retirement Calculator'!A240,'Lorri 401b'!N:N,0),0)</f>
        <v>3658336.0733124092</v>
      </c>
      <c r="S240" s="25">
        <f t="shared" ca="1" si="7"/>
        <v>4893473.2075136071</v>
      </c>
    </row>
    <row r="241" spans="1:19" ht="15.75" customHeight="1" x14ac:dyDescent="0.3">
      <c r="A241" s="37">
        <v>58288</v>
      </c>
      <c r="B241" s="398">
        <f t="shared" ref="B241:C241" si="237">($A241-B$9)/365.25</f>
        <v>77.705681040383297</v>
      </c>
      <c r="C241" s="398">
        <f t="shared" si="237"/>
        <v>73.095140314852841</v>
      </c>
      <c r="E241" s="25">
        <f>IF(C241&gt;$B$7,0,'Combined Retirement'!$D$13/12)</f>
        <v>0</v>
      </c>
      <c r="F241" s="25">
        <f>IF(H241=0,'Combined Retirement'!$D$32,0)+'Combined Retirement'!$B$24</f>
        <v>2870.372285649099</v>
      </c>
      <c r="G241" s="25">
        <f>'Combined Retirement'!$C$24</f>
        <v>3254.2644699519233</v>
      </c>
      <c r="H241" s="25">
        <f>IF(B241&lt;62,0,'Combined Retirement'!$I$14)</f>
        <v>2345</v>
      </c>
      <c r="I241" s="25">
        <f>IF(C241&lt;62,0,'Combined Retirement'!$I$13)</f>
        <v>2420</v>
      </c>
      <c r="J241" s="25">
        <f t="shared" si="3"/>
        <v>8395.6297298201844</v>
      </c>
      <c r="K241" s="25">
        <f t="shared" si="4"/>
        <v>21655.303514578787</v>
      </c>
      <c r="L241" s="25"/>
      <c r="N241" s="25">
        <f>'Combined Retirement'!$C$18/12</f>
        <v>40940.569999999992</v>
      </c>
      <c r="O241" s="25">
        <f t="shared" si="5"/>
        <v>10889.636755601023</v>
      </c>
      <c r="P241" s="25">
        <f t="shared" si="6"/>
        <v>30050.93324439897</v>
      </c>
      <c r="Q241" s="25">
        <f t="array" aca="1" ref="Q241" ca="1">INDEX('Isaac 401k'!L:L,MATCH('Retirement Calculator'!A241,'Isaac 401k'!N:N,0),0)</f>
        <v>1231852.9274066754</v>
      </c>
      <c r="R241" s="25">
        <f t="array" aca="1" ref="R241" ca="1">INDEX('Lorri 401b'!L:L,MATCH('Retirement Calculator'!A241,'Lorri 401b'!N:N,0),0)</f>
        <v>3651833.6063386546</v>
      </c>
      <c r="S241" s="25">
        <f t="shared" ca="1" si="7"/>
        <v>4883686.5337453298</v>
      </c>
    </row>
    <row r="242" spans="1:19" ht="15.75" customHeight="1" x14ac:dyDescent="0.3">
      <c r="A242" s="37">
        <v>58319</v>
      </c>
      <c r="B242" s="398">
        <f t="shared" ref="B242:C242" si="238">($A242-B$9)/365.25</f>
        <v>77.790554414784395</v>
      </c>
      <c r="C242" s="398">
        <f t="shared" si="238"/>
        <v>73.18001368925394</v>
      </c>
      <c r="E242" s="25">
        <f>IF(C242&gt;$B$7,0,'Combined Retirement'!$D$13/12)</f>
        <v>0</v>
      </c>
      <c r="F242" s="25">
        <f>IF(H242=0,'Combined Retirement'!$D$32,0)+'Combined Retirement'!$B$24</f>
        <v>2870.372285649099</v>
      </c>
      <c r="G242" s="25">
        <f>'Combined Retirement'!$C$24</f>
        <v>3254.2644699519233</v>
      </c>
      <c r="H242" s="25">
        <f>IF(B242&lt;62,0,'Combined Retirement'!$I$14)</f>
        <v>2345</v>
      </c>
      <c r="I242" s="25">
        <f>IF(C242&lt;62,0,'Combined Retirement'!$I$13)</f>
        <v>2420</v>
      </c>
      <c r="J242" s="25">
        <f t="shared" si="3"/>
        <v>8395.6297298201844</v>
      </c>
      <c r="K242" s="25">
        <f t="shared" si="4"/>
        <v>21655.303514578787</v>
      </c>
      <c r="L242" s="25"/>
      <c r="N242" s="25">
        <f>'Combined Retirement'!$C$18/12</f>
        <v>40940.569999999992</v>
      </c>
      <c r="O242" s="25">
        <f t="shared" si="5"/>
        <v>10889.636755601023</v>
      </c>
      <c r="P242" s="25">
        <f t="shared" si="6"/>
        <v>30050.93324439897</v>
      </c>
      <c r="Q242" s="25">
        <f t="array" aca="1" ref="Q242" ca="1">INDEX('Isaac 401k'!L:L,MATCH('Retirement Calculator'!A242,'Isaac 401k'!N:N,0),0)</f>
        <v>1228555.0364171756</v>
      </c>
      <c r="R242" s="25">
        <f t="array" aca="1" ref="R242" ca="1">INDEX('Lorri 401b'!L:L,MATCH('Retirement Calculator'!A242,'Lorri 401b'!N:N,0),0)</f>
        <v>3645304.0457525095</v>
      </c>
      <c r="S242" s="25">
        <f t="shared" ca="1" si="7"/>
        <v>4873859.0821696855</v>
      </c>
    </row>
    <row r="243" spans="1:19" ht="15.75" customHeight="1" x14ac:dyDescent="0.3">
      <c r="A243" s="37">
        <v>58349</v>
      </c>
      <c r="B243" s="398">
        <f t="shared" ref="B243:C243" si="239">($A243-B$9)/365.25</f>
        <v>77.872689938398352</v>
      </c>
      <c r="C243" s="398">
        <f t="shared" si="239"/>
        <v>73.262149212867897</v>
      </c>
      <c r="E243" s="25">
        <f>IF(C243&gt;$B$7,0,'Combined Retirement'!$D$13/12)</f>
        <v>0</v>
      </c>
      <c r="F243" s="25">
        <f>IF(H243=0,'Combined Retirement'!$D$32,0)+'Combined Retirement'!$B$24</f>
        <v>2870.372285649099</v>
      </c>
      <c r="G243" s="25">
        <f>'Combined Retirement'!$C$24</f>
        <v>3254.2644699519233</v>
      </c>
      <c r="H243" s="25">
        <f>IF(B243&lt;62,0,'Combined Retirement'!$I$14)</f>
        <v>2345</v>
      </c>
      <c r="I243" s="25">
        <f>IF(C243&lt;62,0,'Combined Retirement'!$I$13)</f>
        <v>2420</v>
      </c>
      <c r="J243" s="25">
        <f t="shared" si="3"/>
        <v>8395.6297298201844</v>
      </c>
      <c r="K243" s="25">
        <f t="shared" si="4"/>
        <v>21655.303514578787</v>
      </c>
      <c r="L243" s="25"/>
      <c r="N243" s="25">
        <f>'Combined Retirement'!$C$18/12</f>
        <v>40940.569999999992</v>
      </c>
      <c r="O243" s="25">
        <f t="shared" si="5"/>
        <v>10889.636755601023</v>
      </c>
      <c r="P243" s="25">
        <f t="shared" si="6"/>
        <v>30050.93324439897</v>
      </c>
      <c r="Q243" s="25">
        <f t="array" aca="1" ref="Q243" ca="1">INDEX('Isaac 401k'!L:L,MATCH('Retirement Calculator'!A243,'Isaac 401k'!N:N,0),0)</f>
        <v>1225243.4042152194</v>
      </c>
      <c r="R243" s="25">
        <f t="array" aca="1" ref="R243" ca="1">INDEX('Lorri 401b'!L:L,MATCH('Retirement Calculator'!A243,'Lorri 401b'!N:N,0),0)</f>
        <v>3638747.2786639221</v>
      </c>
      <c r="S243" s="25">
        <f t="shared" ca="1" si="7"/>
        <v>4863990.6828791415</v>
      </c>
    </row>
    <row r="244" spans="1:19" ht="15.75" customHeight="1" x14ac:dyDescent="0.3">
      <c r="A244" s="37">
        <v>58380</v>
      </c>
      <c r="B244" s="398">
        <f t="shared" ref="B244:C244" si="240">($A244-B$9)/365.25</f>
        <v>77.957563312799451</v>
      </c>
      <c r="C244" s="398">
        <f t="shared" si="240"/>
        <v>73.347022587268995</v>
      </c>
      <c r="E244" s="25">
        <f>IF(C244&gt;$B$7,0,'Combined Retirement'!$D$13/12)</f>
        <v>0</v>
      </c>
      <c r="F244" s="25">
        <f>IF(H244=0,'Combined Retirement'!$D$32,0)+'Combined Retirement'!$B$24</f>
        <v>2870.372285649099</v>
      </c>
      <c r="G244" s="25">
        <f>'Combined Retirement'!$C$24</f>
        <v>3254.2644699519233</v>
      </c>
      <c r="H244" s="25">
        <f>IF(B244&lt;62,0,'Combined Retirement'!$I$14)</f>
        <v>2345</v>
      </c>
      <c r="I244" s="25">
        <f>IF(C244&lt;62,0,'Combined Retirement'!$I$13)</f>
        <v>2420</v>
      </c>
      <c r="J244" s="25">
        <f t="shared" si="3"/>
        <v>8395.6297298201844</v>
      </c>
      <c r="K244" s="25">
        <f t="shared" si="4"/>
        <v>21655.303514578787</v>
      </c>
      <c r="L244" s="25"/>
      <c r="N244" s="25">
        <f>'Combined Retirement'!$C$18/12</f>
        <v>40940.569999999992</v>
      </c>
      <c r="O244" s="25">
        <f t="shared" si="5"/>
        <v>10889.636755601023</v>
      </c>
      <c r="P244" s="25">
        <f t="shared" si="6"/>
        <v>30050.93324439897</v>
      </c>
      <c r="Q244" s="25">
        <f t="array" aca="1" ref="Q244" ca="1">INDEX('Isaac 401k'!L:L,MATCH('Retirement Calculator'!A244,'Isaac 401k'!N:N,0),0)</f>
        <v>1221917.973545755</v>
      </c>
      <c r="R244" s="25">
        <f t="array" aca="1" ref="R244" ca="1">INDEX('Lorri 401b'!L:L,MATCH('Retirement Calculator'!A244,'Lorri 401b'!N:N,0),0)</f>
        <v>3632163.1917124656</v>
      </c>
      <c r="S244" s="25">
        <f t="shared" ca="1" si="7"/>
        <v>4854081.1652582204</v>
      </c>
    </row>
    <row r="245" spans="1:19" ht="15.75" customHeight="1" x14ac:dyDescent="0.3">
      <c r="A245" s="37">
        <v>58410</v>
      </c>
      <c r="B245" s="398">
        <f t="shared" ref="B245:C245" si="241">($A245-B$9)/365.25</f>
        <v>78.039698836413422</v>
      </c>
      <c r="C245" s="398">
        <f t="shared" si="241"/>
        <v>73.429158110882952</v>
      </c>
      <c r="E245" s="25">
        <f>IF(C245&gt;$B$7,0,'Combined Retirement'!$D$13/12)</f>
        <v>0</v>
      </c>
      <c r="F245" s="25">
        <f>IF(H245=0,'Combined Retirement'!$D$32,0)+'Combined Retirement'!$B$24</f>
        <v>2870.372285649099</v>
      </c>
      <c r="G245" s="25">
        <f>'Combined Retirement'!$C$24</f>
        <v>3254.2644699519233</v>
      </c>
      <c r="H245" s="25">
        <f>IF(B245&lt;62,0,'Combined Retirement'!$I$14)</f>
        <v>2345</v>
      </c>
      <c r="I245" s="25">
        <f>IF(C245&lt;62,0,'Combined Retirement'!$I$13)</f>
        <v>2420</v>
      </c>
      <c r="J245" s="25">
        <f t="shared" si="3"/>
        <v>8395.6297298201844</v>
      </c>
      <c r="K245" s="25">
        <f t="shared" si="4"/>
        <v>21655.303514578787</v>
      </c>
      <c r="L245" s="25"/>
      <c r="N245" s="25">
        <f>'Combined Retirement'!$C$18/12</f>
        <v>40940.569999999992</v>
      </c>
      <c r="O245" s="25">
        <f t="shared" si="5"/>
        <v>10889.636755601023</v>
      </c>
      <c r="P245" s="25">
        <f t="shared" si="6"/>
        <v>30050.93324439897</v>
      </c>
      <c r="Q245" s="25">
        <f t="array" aca="1" ref="Q245" ca="1">INDEX('Isaac 401k'!L:L,MATCH('Retirement Calculator'!A245,'Isaac 401k'!N:N,0),0)</f>
        <v>1218578.6869151678</v>
      </c>
      <c r="R245" s="25">
        <f t="array" aca="1" ref="R245" ca="1">INDEX('Lorri 401b'!L:L,MATCH('Retirement Calculator'!A245,'Lorri 401b'!N:N,0),0)</f>
        <v>3625551.671065378</v>
      </c>
      <c r="S245" s="25">
        <f t="shared" ca="1" si="7"/>
        <v>4844130.3579805456</v>
      </c>
    </row>
    <row r="246" spans="1:19" ht="15.75" customHeight="1" x14ac:dyDescent="0.3">
      <c r="A246" s="37">
        <v>58441</v>
      </c>
      <c r="B246" s="398">
        <f t="shared" ref="B246:C246" si="242">($A246-B$9)/365.25</f>
        <v>78.124572210814506</v>
      </c>
      <c r="C246" s="398">
        <f t="shared" si="242"/>
        <v>73.51403148528405</v>
      </c>
      <c r="E246" s="25">
        <f>IF(C246&gt;$B$7,0,'Combined Retirement'!$D$13/12)</f>
        <v>0</v>
      </c>
      <c r="F246" s="25">
        <f>IF(H246=0,'Combined Retirement'!$D$32,0)+'Combined Retirement'!$B$24</f>
        <v>2870.372285649099</v>
      </c>
      <c r="G246" s="25">
        <f>'Combined Retirement'!$C$24</f>
        <v>3254.2644699519233</v>
      </c>
      <c r="H246" s="25">
        <f>IF(B246&lt;62,0,'Combined Retirement'!$I$14)</f>
        <v>2345</v>
      </c>
      <c r="I246" s="25">
        <f>IF(C246&lt;62,0,'Combined Retirement'!$I$13)</f>
        <v>2420</v>
      </c>
      <c r="J246" s="25">
        <f t="shared" si="3"/>
        <v>8395.6297298201844</v>
      </c>
      <c r="K246" s="25">
        <f t="shared" si="4"/>
        <v>21655.303514578787</v>
      </c>
      <c r="L246" s="25"/>
      <c r="N246" s="25">
        <f>'Combined Retirement'!$C$18/12</f>
        <v>40940.569999999992</v>
      </c>
      <c r="O246" s="25">
        <f t="shared" si="5"/>
        <v>10889.636755601023</v>
      </c>
      <c r="P246" s="25">
        <f t="shared" si="6"/>
        <v>30050.93324439897</v>
      </c>
      <c r="Q246" s="25">
        <f t="array" aca="1" ref="Q246" ca="1">INDEX('Isaac 401k'!L:L,MATCH('Retirement Calculator'!A246,'Isaac 401k'!N:N,0),0)</f>
        <v>1215225.4865902867</v>
      </c>
      <c r="R246" s="25">
        <f t="array" aca="1" ref="R246" ca="1">INDEX('Lorri 401b'!L:L,MATCH('Retirement Calculator'!A246,'Lorri 401b'!N:N,0),0)</f>
        <v>3618912.6024155943</v>
      </c>
      <c r="S246" s="25">
        <f t="shared" ca="1" si="7"/>
        <v>4834138.089005881</v>
      </c>
    </row>
    <row r="247" spans="1:19" ht="15.75" customHeight="1" x14ac:dyDescent="0.3">
      <c r="A247" s="37">
        <v>58472</v>
      </c>
      <c r="B247" s="398">
        <f t="shared" ref="B247:C247" si="243">($A247-B$9)/365.25</f>
        <v>78.209445585215605</v>
      </c>
      <c r="C247" s="398">
        <f t="shared" si="243"/>
        <v>73.598904859685149</v>
      </c>
      <c r="E247" s="25">
        <f>IF(C247&gt;$B$7,0,'Combined Retirement'!$D$13/12)</f>
        <v>0</v>
      </c>
      <c r="F247" s="25">
        <f>IF(H247=0,'Combined Retirement'!$D$32,0)+'Combined Retirement'!$B$24</f>
        <v>2870.372285649099</v>
      </c>
      <c r="G247" s="25">
        <f>'Combined Retirement'!$C$24</f>
        <v>3254.2644699519233</v>
      </c>
      <c r="H247" s="25">
        <f>IF(B247&lt;62,0,'Combined Retirement'!$I$14)</f>
        <v>2345</v>
      </c>
      <c r="I247" s="25">
        <f>IF(C247&lt;62,0,'Combined Retirement'!$I$13)</f>
        <v>2420</v>
      </c>
      <c r="J247" s="25">
        <f t="shared" si="3"/>
        <v>8395.6297298201844</v>
      </c>
      <c r="K247" s="25">
        <f t="shared" si="4"/>
        <v>21655.303514578787</v>
      </c>
      <c r="L247" s="25"/>
      <c r="N247" s="25">
        <f>'Combined Retirement'!$C$18/12</f>
        <v>40940.569999999992</v>
      </c>
      <c r="O247" s="25">
        <f t="shared" si="5"/>
        <v>10889.636755601023</v>
      </c>
      <c r="P247" s="25">
        <f t="shared" si="6"/>
        <v>30050.93324439897</v>
      </c>
      <c r="Q247" s="25">
        <f t="array" aca="1" ref="Q247" ca="1">INDEX('Isaac 401k'!L:L,MATCH('Retirement Calculator'!A247,'Isaac 401k'!N:N,0),0)</f>
        <v>1211858.3145973852</v>
      </c>
      <c r="R247" s="25">
        <f t="array" aca="1" ref="R247" ca="1">INDEX('Lorri 401b'!L:L,MATCH('Retirement Calculator'!A247,'Lorri 401b'!N:N,0),0)</f>
        <v>3612245.8709797696</v>
      </c>
      <c r="S247" s="25">
        <f t="shared" ca="1" si="7"/>
        <v>4824104.1855771551</v>
      </c>
    </row>
    <row r="248" spans="1:19" ht="15.75" customHeight="1" x14ac:dyDescent="0.3">
      <c r="A248" s="37">
        <v>58501</v>
      </c>
      <c r="B248" s="398">
        <f t="shared" ref="B248:C248" si="244">($A248-B$9)/365.25</f>
        <v>78.288843258042434</v>
      </c>
      <c r="C248" s="398">
        <f t="shared" si="244"/>
        <v>73.678302532511978</v>
      </c>
      <c r="E248" s="25">
        <f>IF(C248&gt;$B$7,0,'Combined Retirement'!$D$13/12)</f>
        <v>0</v>
      </c>
      <c r="F248" s="25">
        <f>IF(H248=0,'Combined Retirement'!$D$32,0)+'Combined Retirement'!$B$24</f>
        <v>2870.372285649099</v>
      </c>
      <c r="G248" s="25">
        <f>'Combined Retirement'!$C$24</f>
        <v>3254.2644699519233</v>
      </c>
      <c r="H248" s="25">
        <f>IF(B248&lt;62,0,'Combined Retirement'!$I$14)</f>
        <v>2345</v>
      </c>
      <c r="I248" s="25">
        <f>IF(C248&lt;62,0,'Combined Retirement'!$I$13)</f>
        <v>2420</v>
      </c>
      <c r="J248" s="25">
        <f t="shared" si="3"/>
        <v>8395.6297298201844</v>
      </c>
      <c r="K248" s="25">
        <f t="shared" si="4"/>
        <v>21655.303514578787</v>
      </c>
      <c r="L248" s="25"/>
      <c r="N248" s="25">
        <f>'Combined Retirement'!$C$18/12</f>
        <v>40940.569999999992</v>
      </c>
      <c r="O248" s="25">
        <f t="shared" si="5"/>
        <v>10889.636755601023</v>
      </c>
      <c r="P248" s="25">
        <f t="shared" si="6"/>
        <v>30050.93324439897</v>
      </c>
      <c r="Q248" s="25">
        <f t="array" aca="1" ref="Q248" ca="1">INDEX('Isaac 401k'!L:L,MATCH('Retirement Calculator'!A248,'Isaac 401k'!N:N,0),0)</f>
        <v>1208477.1127211798</v>
      </c>
      <c r="R248" s="25">
        <f t="array" aca="1" ref="R248" ca="1">INDEX('Lorri 401b'!L:L,MATCH('Retirement Calculator'!A248,'Lorri 401b'!N:N,0),0)</f>
        <v>3605551.3614962958</v>
      </c>
      <c r="S248" s="25">
        <f t="shared" ca="1" si="7"/>
        <v>4814028.4742174754</v>
      </c>
    </row>
    <row r="249" spans="1:19" ht="15.75" customHeight="1" x14ac:dyDescent="0.3">
      <c r="A249" s="37">
        <v>58532</v>
      </c>
      <c r="B249" s="398">
        <f t="shared" ref="B249:C249" si="245">($A249-B$9)/365.25</f>
        <v>78.373716632443532</v>
      </c>
      <c r="C249" s="398">
        <f t="shared" si="245"/>
        <v>73.763175906913077</v>
      </c>
      <c r="E249" s="25">
        <f>IF(C249&gt;$B$7,0,'Combined Retirement'!$D$13/12)</f>
        <v>0</v>
      </c>
      <c r="F249" s="25">
        <f>IF(H249=0,'Combined Retirement'!$D$32,0)+'Combined Retirement'!$B$24</f>
        <v>2870.372285649099</v>
      </c>
      <c r="G249" s="25">
        <f>'Combined Retirement'!$C$24</f>
        <v>3254.2644699519233</v>
      </c>
      <c r="H249" s="25">
        <f>IF(B249&lt;62,0,'Combined Retirement'!$I$14)</f>
        <v>2345</v>
      </c>
      <c r="I249" s="25">
        <f>IF(C249&lt;62,0,'Combined Retirement'!$I$13)</f>
        <v>2420</v>
      </c>
      <c r="J249" s="25">
        <f t="shared" si="3"/>
        <v>8395.6297298201844</v>
      </c>
      <c r="K249" s="25">
        <f t="shared" si="4"/>
        <v>21655.303514578787</v>
      </c>
      <c r="L249" s="25"/>
      <c r="N249" s="25">
        <f>'Combined Retirement'!$C$18/12</f>
        <v>40940.569999999992</v>
      </c>
      <c r="O249" s="25">
        <f t="shared" si="5"/>
        <v>10889.636755601023</v>
      </c>
      <c r="P249" s="25">
        <f t="shared" si="6"/>
        <v>30050.93324439897</v>
      </c>
      <c r="Q249" s="25">
        <f t="array" aca="1" ref="Q249" ca="1">INDEX('Isaac 401k'!L:L,MATCH('Retirement Calculator'!A249,'Isaac 401k'!N:N,0),0)</f>
        <v>1205081.8225038236</v>
      </c>
      <c r="R249" s="25">
        <f t="array" aca="1" ref="R249" ca="1">INDEX('Lorri 401b'!L:L,MATCH('Retirement Calculator'!A249,'Lorri 401b'!N:N,0),0)</f>
        <v>3598828.9582233075</v>
      </c>
      <c r="S249" s="25">
        <f t="shared" ca="1" si="7"/>
        <v>4803910.7807271313</v>
      </c>
    </row>
    <row r="250" spans="1:19" ht="15.75" customHeight="1" x14ac:dyDescent="0.3">
      <c r="A250" s="37">
        <v>58562</v>
      </c>
      <c r="B250" s="398">
        <f t="shared" ref="B250:C250" si="246">($A250-B$9)/365.25</f>
        <v>78.455852156057489</v>
      </c>
      <c r="C250" s="398">
        <f t="shared" si="246"/>
        <v>73.845311430527033</v>
      </c>
      <c r="E250" s="25">
        <f>IF(C250&gt;$B$7,0,'Combined Retirement'!$D$13/12)</f>
        <v>0</v>
      </c>
      <c r="F250" s="25">
        <f>IF(H250=0,'Combined Retirement'!$D$32,0)+'Combined Retirement'!$B$24</f>
        <v>2870.372285649099</v>
      </c>
      <c r="G250" s="25">
        <f>'Combined Retirement'!$C$24</f>
        <v>3254.2644699519233</v>
      </c>
      <c r="H250" s="25">
        <f>IF(B250&lt;62,0,'Combined Retirement'!$I$14)</f>
        <v>2345</v>
      </c>
      <c r="I250" s="25">
        <f>IF(C250&lt;62,0,'Combined Retirement'!$I$13)</f>
        <v>2420</v>
      </c>
      <c r="J250" s="25">
        <f t="shared" si="3"/>
        <v>8395.6297298201844</v>
      </c>
      <c r="K250" s="25">
        <f t="shared" si="4"/>
        <v>21655.303514578787</v>
      </c>
      <c r="L250" s="25"/>
      <c r="N250" s="25">
        <f>'Combined Retirement'!$C$18/12</f>
        <v>40940.569999999992</v>
      </c>
      <c r="O250" s="25">
        <f t="shared" si="5"/>
        <v>10889.636755601023</v>
      </c>
      <c r="P250" s="25">
        <f t="shared" si="6"/>
        <v>30050.93324439897</v>
      </c>
      <c r="Q250" s="25">
        <f t="array" aca="1" ref="Q250" ca="1">INDEX('Isaac 401k'!L:L,MATCH('Retirement Calculator'!A250,'Isaac 401k'!N:N,0),0)</f>
        <v>1201672.385243895</v>
      </c>
      <c r="R250" s="25">
        <f t="array" aca="1" ref="R250" ca="1">INDEX('Lorri 401b'!L:L,MATCH('Retirement Calculator'!A250,'Lorri 401b'!N:N,0),0)</f>
        <v>3592078.5449366816</v>
      </c>
      <c r="S250" s="25">
        <f t="shared" ca="1" si="7"/>
        <v>4793750.9301805766</v>
      </c>
    </row>
    <row r="251" spans="1:19" ht="15.75" customHeight="1" x14ac:dyDescent="0.3">
      <c r="A251" s="37">
        <v>58593</v>
      </c>
      <c r="B251" s="398">
        <f t="shared" ref="B251:C251" si="247">($A251-B$9)/365.25</f>
        <v>78.540725530458587</v>
      </c>
      <c r="C251" s="398">
        <f t="shared" si="247"/>
        <v>73.930184804928132</v>
      </c>
      <c r="E251" s="25">
        <f>IF(C251&gt;$B$7,0,'Combined Retirement'!$D$13/12)</f>
        <v>0</v>
      </c>
      <c r="F251" s="25">
        <f>IF(H251=0,'Combined Retirement'!$D$32,0)+'Combined Retirement'!$B$24</f>
        <v>2870.372285649099</v>
      </c>
      <c r="G251" s="25">
        <f>'Combined Retirement'!$C$24</f>
        <v>3254.2644699519233</v>
      </c>
      <c r="H251" s="25">
        <f>IF(B251&lt;62,0,'Combined Retirement'!$I$14)</f>
        <v>2345</v>
      </c>
      <c r="I251" s="25">
        <f>IF(C251&lt;62,0,'Combined Retirement'!$I$13)</f>
        <v>2420</v>
      </c>
      <c r="J251" s="25">
        <f t="shared" si="3"/>
        <v>8395.6297298201844</v>
      </c>
      <c r="K251" s="25">
        <f t="shared" si="4"/>
        <v>21655.303514578787</v>
      </c>
      <c r="L251" s="25"/>
      <c r="N251" s="25">
        <f>'Combined Retirement'!$C$18/12</f>
        <v>40940.569999999992</v>
      </c>
      <c r="O251" s="25">
        <f t="shared" si="5"/>
        <v>10889.636755601023</v>
      </c>
      <c r="P251" s="25">
        <f t="shared" si="6"/>
        <v>30050.93324439897</v>
      </c>
      <c r="Q251" s="25">
        <f t="array" aca="1" ref="Q251" ca="1">INDEX('Isaac 401k'!L:L,MATCH('Retirement Calculator'!A251,'Isaac 401k'!N:N,0),0)</f>
        <v>1198248.7419953835</v>
      </c>
      <c r="R251" s="25">
        <f t="array" aca="1" ref="R251" ca="1">INDEX('Lorri 401b'!L:L,MATCH('Retirement Calculator'!A251,'Lorri 401b'!N:N,0),0)</f>
        <v>3585300.0049280282</v>
      </c>
      <c r="S251" s="25">
        <f t="shared" ca="1" si="7"/>
        <v>4783548.7469234113</v>
      </c>
    </row>
    <row r="252" spans="1:19" ht="15.75" customHeight="1" x14ac:dyDescent="0.3">
      <c r="A252" s="37">
        <v>58623</v>
      </c>
      <c r="B252" s="398">
        <f t="shared" ref="B252:C252" si="248">($A252-B$9)/365.25</f>
        <v>78.622861054072558</v>
      </c>
      <c r="C252" s="398">
        <f t="shared" si="248"/>
        <v>74.012320328542089</v>
      </c>
      <c r="E252" s="25">
        <f>IF(C252&gt;$B$7,0,'Combined Retirement'!$D$13/12)</f>
        <v>0</v>
      </c>
      <c r="F252" s="25">
        <f>IF(H252=0,'Combined Retirement'!$D$32,0)+'Combined Retirement'!$B$24</f>
        <v>2870.372285649099</v>
      </c>
      <c r="G252" s="25">
        <f>'Combined Retirement'!$C$24</f>
        <v>3254.2644699519233</v>
      </c>
      <c r="H252" s="25">
        <f>IF(B252&lt;62,0,'Combined Retirement'!$I$14)</f>
        <v>2345</v>
      </c>
      <c r="I252" s="25">
        <f>IF(C252&lt;62,0,'Combined Retirement'!$I$13)</f>
        <v>2420</v>
      </c>
      <c r="J252" s="25">
        <f t="shared" si="3"/>
        <v>8395.6297298201844</v>
      </c>
      <c r="K252" s="25">
        <f t="shared" si="4"/>
        <v>21655.303514578787</v>
      </c>
      <c r="L252" s="25"/>
      <c r="N252" s="25">
        <f>'Combined Retirement'!$C$18/12</f>
        <v>40940.569999999992</v>
      </c>
      <c r="O252" s="25">
        <f t="shared" si="5"/>
        <v>10889.636755601023</v>
      </c>
      <c r="P252" s="25">
        <f t="shared" si="6"/>
        <v>30050.93324439897</v>
      </c>
      <c r="Q252" s="25">
        <f t="array" aca="1" ref="Q252" ca="1">INDEX('Isaac 401k'!L:L,MATCH('Retirement Calculator'!A252,'Isaac 401k'!N:N,0),0)</f>
        <v>1194810.8335666698</v>
      </c>
      <c r="R252" s="25">
        <f t="array" aca="1" ref="R252" ca="1">INDEX('Lorri 401b'!L:L,MATCH('Retirement Calculator'!A252,'Lorri 401b'!N:N,0),0)</f>
        <v>3578493.2210026719</v>
      </c>
      <c r="S252" s="25">
        <f t="shared" ca="1" si="7"/>
        <v>4773304.0545693412</v>
      </c>
    </row>
    <row r="253" spans="1:19" ht="15.75" customHeight="1" x14ac:dyDescent="0.3">
      <c r="A253" s="37">
        <v>58654</v>
      </c>
      <c r="B253" s="398">
        <f t="shared" ref="B253:C253" si="249">($A253-B$9)/365.25</f>
        <v>78.707734428473643</v>
      </c>
      <c r="C253" s="398">
        <f t="shared" si="249"/>
        <v>74.097193702943187</v>
      </c>
      <c r="E253" s="25">
        <f>IF(C253&gt;$B$7,0,'Combined Retirement'!$D$13/12)</f>
        <v>0</v>
      </c>
      <c r="F253" s="25">
        <f>IF(H253=0,'Combined Retirement'!$D$32,0)+'Combined Retirement'!$B$24</f>
        <v>2870.372285649099</v>
      </c>
      <c r="G253" s="25">
        <f>'Combined Retirement'!$C$24</f>
        <v>3254.2644699519233</v>
      </c>
      <c r="H253" s="25">
        <f>IF(B253&lt;62,0,'Combined Retirement'!$I$14)</f>
        <v>2345</v>
      </c>
      <c r="I253" s="25">
        <f>IF(C253&lt;62,0,'Combined Retirement'!$I$13)</f>
        <v>2420</v>
      </c>
      <c r="J253" s="25">
        <f t="shared" si="3"/>
        <v>8395.6297298201844</v>
      </c>
      <c r="K253" s="25">
        <f t="shared" si="4"/>
        <v>21655.303514578787</v>
      </c>
      <c r="L253" s="25"/>
      <c r="N253" s="25">
        <f>'Combined Retirement'!$C$18/12</f>
        <v>40940.569999999992</v>
      </c>
      <c r="O253" s="25">
        <f t="shared" si="5"/>
        <v>10889.636755601023</v>
      </c>
      <c r="P253" s="25">
        <f t="shared" si="6"/>
        <v>30050.93324439897</v>
      </c>
      <c r="Q253" s="25">
        <f t="array" aca="1" ref="Q253" ca="1">INDEX('Isaac 401k'!L:L,MATCH('Retirement Calculator'!A253,'Isaac 401k'!N:N,0),0)</f>
        <v>1191358.6005195032</v>
      </c>
      <c r="R253" s="25">
        <f t="array" aca="1" ref="R253" ca="1">INDEX('Lorri 401b'!L:L,MATCH('Retirement Calculator'!A253,'Lorri 401b'!N:N,0),0)</f>
        <v>3571658.0754776266</v>
      </c>
      <c r="S253" s="25">
        <f t="shared" ca="1" si="7"/>
        <v>4763016.6759971296</v>
      </c>
    </row>
    <row r="254" spans="1:19" ht="15.75" customHeight="1" x14ac:dyDescent="0.3">
      <c r="A254" s="37">
        <v>58685</v>
      </c>
      <c r="B254" s="398">
        <f t="shared" ref="B254:C254" si="250">($A254-B$9)/365.25</f>
        <v>78.792607802874741</v>
      </c>
      <c r="C254" s="398">
        <f t="shared" si="250"/>
        <v>74.182067077344286</v>
      </c>
      <c r="E254" s="25">
        <f>IF(C254&gt;$B$7,0,'Combined Retirement'!$D$13/12)</f>
        <v>0</v>
      </c>
      <c r="F254" s="25">
        <f>IF(H254=0,'Combined Retirement'!$D$32,0)+'Combined Retirement'!$B$24</f>
        <v>2870.372285649099</v>
      </c>
      <c r="G254" s="25">
        <f>'Combined Retirement'!$C$24</f>
        <v>3254.2644699519233</v>
      </c>
      <c r="H254" s="25">
        <f>IF(B254&lt;62,0,'Combined Retirement'!$I$14)</f>
        <v>2345</v>
      </c>
      <c r="I254" s="25">
        <f>IF(C254&lt;62,0,'Combined Retirement'!$I$13)</f>
        <v>2420</v>
      </c>
      <c r="J254" s="25">
        <f t="shared" si="3"/>
        <v>8395.6297298201844</v>
      </c>
      <c r="K254" s="25">
        <f t="shared" si="4"/>
        <v>21655.303514578787</v>
      </c>
      <c r="L254" s="25"/>
      <c r="N254" s="25">
        <f>'Combined Retirement'!$C$18/12</f>
        <v>40940.569999999992</v>
      </c>
      <c r="O254" s="25">
        <f t="shared" si="5"/>
        <v>10889.636755601023</v>
      </c>
      <c r="P254" s="25">
        <f t="shared" si="6"/>
        <v>30050.93324439897</v>
      </c>
      <c r="Q254" s="25">
        <f t="array" aca="1" ref="Q254" ca="1">INDEX('Isaac 401k'!L:L,MATCH('Retirement Calculator'!A254,'Isaac 401k'!N:N,0),0)</f>
        <v>1187891.9831679733</v>
      </c>
      <c r="R254" s="25">
        <f t="array" aca="1" ref="R254" ca="1">INDEX('Lorri 401b'!L:L,MATCH('Retirement Calculator'!A254,'Lorri 401b'!N:N,0),0)</f>
        <v>3564794.4501795606</v>
      </c>
      <c r="S254" s="25">
        <f t="shared" ca="1" si="7"/>
        <v>4752686.4333475344</v>
      </c>
    </row>
    <row r="255" spans="1:19" ht="15.75" customHeight="1" x14ac:dyDescent="0.3">
      <c r="A255" s="37">
        <v>58715</v>
      </c>
      <c r="B255" s="398">
        <f t="shared" ref="B255:C255" si="251">($A255-B$9)/365.25</f>
        <v>78.874743326488712</v>
      </c>
      <c r="C255" s="398">
        <f t="shared" si="251"/>
        <v>74.264202600958242</v>
      </c>
      <c r="E255" s="25">
        <f>IF(C255&gt;$B$7,0,'Combined Retirement'!$D$13/12)</f>
        <v>0</v>
      </c>
      <c r="F255" s="25">
        <f>IF(H255=0,'Combined Retirement'!$D$32,0)+'Combined Retirement'!$B$24</f>
        <v>2870.372285649099</v>
      </c>
      <c r="G255" s="25">
        <f>'Combined Retirement'!$C$24</f>
        <v>3254.2644699519233</v>
      </c>
      <c r="H255" s="25">
        <f>IF(B255&lt;62,0,'Combined Retirement'!$I$14)</f>
        <v>2345</v>
      </c>
      <c r="I255" s="25">
        <f>IF(C255&lt;62,0,'Combined Retirement'!$I$13)</f>
        <v>2420</v>
      </c>
      <c r="J255" s="25">
        <f t="shared" si="3"/>
        <v>8395.6297298201844</v>
      </c>
      <c r="K255" s="25">
        <f t="shared" si="4"/>
        <v>21655.303514578787</v>
      </c>
      <c r="L255" s="25"/>
      <c r="N255" s="25">
        <f>'Combined Retirement'!$C$18/12</f>
        <v>40940.569999999992</v>
      </c>
      <c r="O255" s="25">
        <f t="shared" si="5"/>
        <v>10889.636755601023</v>
      </c>
      <c r="P255" s="25">
        <f t="shared" si="6"/>
        <v>30050.93324439897</v>
      </c>
      <c r="Q255" s="25">
        <f t="array" aca="1" ref="Q255" ca="1">INDEX('Isaac 401k'!L:L,MATCH('Retirement Calculator'!A255,'Isaac 401k'!N:N,0),0)</f>
        <v>1184410.9215774788</v>
      </c>
      <c r="R255" s="25">
        <f t="array" aca="1" ref="R255" ca="1">INDEX('Lorri 401b'!L:L,MATCH('Retirement Calculator'!A255,'Lorri 401b'!N:N,0),0)</f>
        <v>3557902.2264427524</v>
      </c>
      <c r="S255" s="25">
        <f t="shared" ca="1" si="7"/>
        <v>4742313.1480202312</v>
      </c>
    </row>
    <row r="256" spans="1:19" ht="15.75" customHeight="1" x14ac:dyDescent="0.3">
      <c r="A256" s="37">
        <v>58746</v>
      </c>
      <c r="B256" s="398">
        <f t="shared" ref="B256:C256" si="252">($A256-B$9)/365.25</f>
        <v>78.959616700889796</v>
      </c>
      <c r="C256" s="398">
        <f t="shared" si="252"/>
        <v>74.349075975359341</v>
      </c>
      <c r="E256" s="25">
        <f>IF(C256&gt;$B$7,0,'Combined Retirement'!$D$13/12)</f>
        <v>0</v>
      </c>
      <c r="F256" s="25">
        <f>IF(H256=0,'Combined Retirement'!$D$32,0)+'Combined Retirement'!$B$24</f>
        <v>2870.372285649099</v>
      </c>
      <c r="G256" s="25">
        <f>'Combined Retirement'!$C$24</f>
        <v>3254.2644699519233</v>
      </c>
      <c r="H256" s="25">
        <f>IF(B256&lt;62,0,'Combined Retirement'!$I$14)</f>
        <v>2345</v>
      </c>
      <c r="I256" s="25">
        <f>IF(C256&lt;62,0,'Combined Retirement'!$I$13)</f>
        <v>2420</v>
      </c>
      <c r="J256" s="25">
        <f t="shared" si="3"/>
        <v>8395.6297298201844</v>
      </c>
      <c r="K256" s="25">
        <f t="shared" si="4"/>
        <v>21655.303514578787</v>
      </c>
      <c r="L256" s="25"/>
      <c r="N256" s="25">
        <f>'Combined Retirement'!$C$18/12</f>
        <v>40940.569999999992</v>
      </c>
      <c r="O256" s="25">
        <f t="shared" si="5"/>
        <v>10889.636755601023</v>
      </c>
      <c r="P256" s="25">
        <f t="shared" si="6"/>
        <v>30050.93324439897</v>
      </c>
      <c r="Q256" s="25">
        <f t="array" aca="1" ref="Q256" ca="1">INDEX('Isaac 401k'!L:L,MATCH('Retirement Calculator'!A256,'Isaac 401k'!N:N,0),0)</f>
        <v>1180915.3555636904</v>
      </c>
      <c r="R256" s="25">
        <f t="array" aca="1" ref="R256" ca="1">INDEX('Lorri 401b'!L:L,MATCH('Retirement Calculator'!A256,'Lorri 401b'!N:N,0),0)</f>
        <v>3550981.2851070408</v>
      </c>
      <c r="S256" s="25">
        <f t="shared" ca="1" si="7"/>
        <v>4731896.6406707317</v>
      </c>
    </row>
    <row r="257" spans="1:19" ht="15.75" customHeight="1" x14ac:dyDescent="0.3">
      <c r="A257" s="37">
        <v>58776</v>
      </c>
      <c r="B257" s="398">
        <f t="shared" ref="B257:C257" si="253">($A257-B$9)/365.25</f>
        <v>79.041752224503767</v>
      </c>
      <c r="C257" s="398">
        <f t="shared" si="253"/>
        <v>74.431211498973312</v>
      </c>
      <c r="E257" s="25">
        <f>IF(C257&gt;$B$7,0,'Combined Retirement'!$D$13/12)</f>
        <v>0</v>
      </c>
      <c r="F257" s="25">
        <f>IF(H257=0,'Combined Retirement'!$D$32,0)+'Combined Retirement'!$B$24</f>
        <v>2870.372285649099</v>
      </c>
      <c r="G257" s="25">
        <f>'Combined Retirement'!$C$24</f>
        <v>3254.2644699519233</v>
      </c>
      <c r="H257" s="25">
        <f>IF(B257&lt;62,0,'Combined Retirement'!$I$14)</f>
        <v>2345</v>
      </c>
      <c r="I257" s="25">
        <f>IF(C257&lt;62,0,'Combined Retirement'!$I$13)</f>
        <v>2420</v>
      </c>
      <c r="J257" s="25">
        <f t="shared" si="3"/>
        <v>8395.6297298201844</v>
      </c>
      <c r="K257" s="25">
        <f t="shared" si="4"/>
        <v>21655.303514578787</v>
      </c>
      <c r="L257" s="25"/>
      <c r="N257" s="25">
        <f>'Combined Retirement'!$C$18/12</f>
        <v>40940.569999999992</v>
      </c>
      <c r="O257" s="25">
        <f t="shared" si="5"/>
        <v>10889.636755601023</v>
      </c>
      <c r="P257" s="25">
        <f t="shared" si="6"/>
        <v>30050.93324439897</v>
      </c>
      <c r="Q257" s="25">
        <f t="array" aca="1" ref="Q257" ca="1">INDEX('Isaac 401k'!L:L,MATCH('Retirement Calculator'!A257,'Isaac 401k'!N:N,0),0)</f>
        <v>1177405.2246915114</v>
      </c>
      <c r="R257" s="25">
        <f t="array" aca="1" ref="R257" ca="1">INDEX('Lorri 401b'!L:L,MATCH('Retirement Calculator'!A257,'Lorri 401b'!N:N,0),0)</f>
        <v>3544031.5065157637</v>
      </c>
      <c r="S257" s="25">
        <f t="shared" ca="1" si="7"/>
        <v>4721436.7312072748</v>
      </c>
    </row>
    <row r="258" spans="1:19" ht="15.75" customHeight="1" x14ac:dyDescent="0.3">
      <c r="A258" s="37">
        <v>58807</v>
      </c>
      <c r="B258" s="398">
        <f t="shared" ref="B258:C258" si="254">($A258-B$9)/365.25</f>
        <v>79.126625598904866</v>
      </c>
      <c r="C258" s="398">
        <f t="shared" si="254"/>
        <v>74.516084873374396</v>
      </c>
      <c r="E258" s="25">
        <f>IF(C258&gt;$B$7,0,'Combined Retirement'!$D$13/12)</f>
        <v>0</v>
      </c>
      <c r="F258" s="25">
        <f>IF(H258=0,'Combined Retirement'!$D$32,0)+'Combined Retirement'!$B$24</f>
        <v>2870.372285649099</v>
      </c>
      <c r="G258" s="25">
        <f>'Combined Retirement'!$C$24</f>
        <v>3254.2644699519233</v>
      </c>
      <c r="H258" s="25">
        <f>IF(B258&lt;62,0,'Combined Retirement'!$I$14)</f>
        <v>2345</v>
      </c>
      <c r="I258" s="25">
        <f>IF(C258&lt;62,0,'Combined Retirement'!$I$13)</f>
        <v>2420</v>
      </c>
      <c r="J258" s="25">
        <f t="shared" si="3"/>
        <v>8395.6297298201844</v>
      </c>
      <c r="K258" s="25">
        <f t="shared" si="4"/>
        <v>21655.303514578787</v>
      </c>
      <c r="L258" s="25"/>
      <c r="N258" s="25">
        <f>'Combined Retirement'!$C$18/12</f>
        <v>40940.569999999992</v>
      </c>
      <c r="O258" s="25">
        <f t="shared" si="5"/>
        <v>10889.636755601023</v>
      </c>
      <c r="P258" s="25">
        <f t="shared" si="6"/>
        <v>30050.93324439897</v>
      </c>
      <c r="Q258" s="25">
        <f t="array" aca="1" ref="Q258" ca="1">INDEX('Isaac 401k'!L:L,MATCH('Retirement Calculator'!A258,'Isaac 401k'!N:N,0),0)</f>
        <v>1173880.4682740315</v>
      </c>
      <c r="R258" s="25">
        <f t="array" aca="1" ref="R258" ca="1">INDEX('Lorri 401b'!L:L,MATCH('Retirement Calculator'!A258,'Lorri 401b'!N:N,0),0)</f>
        <v>3537052.7705136896</v>
      </c>
      <c r="S258" s="25">
        <f t="shared" ca="1" si="7"/>
        <v>4710933.2387877209</v>
      </c>
    </row>
    <row r="259" spans="1:19" ht="15.75" customHeight="1" x14ac:dyDescent="0.3">
      <c r="A259" s="37">
        <v>58838</v>
      </c>
      <c r="B259" s="398">
        <f t="shared" ref="B259:C259" si="255">($A259-B$9)/365.25</f>
        <v>79.21149897330595</v>
      </c>
      <c r="C259" s="398">
        <f t="shared" si="255"/>
        <v>74.600958247775495</v>
      </c>
      <c r="E259" s="25">
        <f>IF(C259&gt;$B$7,0,'Combined Retirement'!$D$13/12)</f>
        <v>0</v>
      </c>
      <c r="F259" s="25">
        <f>IF(H259=0,'Combined Retirement'!$D$32,0)+'Combined Retirement'!$B$24</f>
        <v>2870.372285649099</v>
      </c>
      <c r="G259" s="25">
        <f>'Combined Retirement'!$C$24</f>
        <v>3254.2644699519233</v>
      </c>
      <c r="H259" s="25">
        <f>IF(B259&lt;62,0,'Combined Retirement'!$I$14)</f>
        <v>2345</v>
      </c>
      <c r="I259" s="25">
        <f>IF(C259&lt;62,0,'Combined Retirement'!$I$13)</f>
        <v>2420</v>
      </c>
      <c r="J259" s="25">
        <f t="shared" si="3"/>
        <v>8395.6297298201844</v>
      </c>
      <c r="K259" s="25">
        <f t="shared" si="4"/>
        <v>21655.303514578787</v>
      </c>
      <c r="L259" s="25"/>
      <c r="N259" s="25">
        <f>'Combined Retirement'!$C$18/12</f>
        <v>40940.569999999992</v>
      </c>
      <c r="O259" s="25">
        <f t="shared" si="5"/>
        <v>10889.636755601023</v>
      </c>
      <c r="P259" s="25">
        <f t="shared" si="6"/>
        <v>30050.93324439897</v>
      </c>
      <c r="Q259" s="25">
        <f t="array" aca="1" ref="Q259" ca="1">INDEX('Isaac 401k'!L:L,MATCH('Retirement Calculator'!A259,'Isaac 401k'!N:N,0),0)</f>
        <v>1170341.0253714789</v>
      </c>
      <c r="R259" s="25">
        <f t="array" aca="1" ref="R259" ca="1">INDEX('Lorri 401b'!L:L,MATCH('Retirement Calculator'!A259,'Lorri 401b'!N:N,0),0)</f>
        <v>3530044.9564449405</v>
      </c>
      <c r="S259" s="25">
        <f t="shared" ca="1" si="7"/>
        <v>4700385.9818164194</v>
      </c>
    </row>
    <row r="260" spans="1:19" ht="15.75" customHeight="1" x14ac:dyDescent="0.3">
      <c r="A260" s="37">
        <v>58866</v>
      </c>
      <c r="B260" s="398">
        <f t="shared" ref="B260:C260" si="256">($A260-B$9)/365.25</f>
        <v>79.288158795345652</v>
      </c>
      <c r="C260" s="398">
        <f t="shared" si="256"/>
        <v>74.677618069815196</v>
      </c>
      <c r="E260" s="25">
        <f>IF(C260&gt;$B$7,0,'Combined Retirement'!$D$13/12)</f>
        <v>0</v>
      </c>
      <c r="F260" s="25">
        <f>IF(H260=0,'Combined Retirement'!$D$32,0)+'Combined Retirement'!$B$24</f>
        <v>2870.372285649099</v>
      </c>
      <c r="G260" s="25">
        <f>'Combined Retirement'!$C$24</f>
        <v>3254.2644699519233</v>
      </c>
      <c r="H260" s="25">
        <f>IF(B260&lt;62,0,'Combined Retirement'!$I$14)</f>
        <v>2345</v>
      </c>
      <c r="I260" s="25">
        <f>IF(C260&lt;62,0,'Combined Retirement'!$I$13)</f>
        <v>2420</v>
      </c>
      <c r="J260" s="25">
        <f t="shared" si="3"/>
        <v>8395.6297298201844</v>
      </c>
      <c r="K260" s="25">
        <f t="shared" si="4"/>
        <v>21655.303514578787</v>
      </c>
      <c r="L260" s="25"/>
      <c r="N260" s="25">
        <f>'Combined Retirement'!$C$18/12</f>
        <v>40940.569999999992</v>
      </c>
      <c r="O260" s="25">
        <f t="shared" si="5"/>
        <v>10889.636755601023</v>
      </c>
      <c r="P260" s="25">
        <f t="shared" si="6"/>
        <v>30050.93324439897</v>
      </c>
      <c r="Q260" s="25">
        <f t="array" aca="1" ref="Q260" ca="1">INDEX('Isaac 401k'!L:L,MATCH('Retirement Calculator'!A260,'Isaac 401k'!N:N,0),0)</f>
        <v>1166786.8347901655</v>
      </c>
      <c r="R260" s="25">
        <f t="array" aca="1" ref="R260" ca="1">INDEX('Lorri 401b'!L:L,MATCH('Retirement Calculator'!A260,'Lorri 401b'!N:N,0),0)</f>
        <v>3523007.943150905</v>
      </c>
      <c r="S260" s="25">
        <f t="shared" ca="1" si="7"/>
        <v>4689794.7779410705</v>
      </c>
    </row>
    <row r="261" spans="1:19" ht="15.75" customHeight="1" x14ac:dyDescent="0.3">
      <c r="A261" s="37">
        <v>58897</v>
      </c>
      <c r="B261" s="398">
        <f t="shared" ref="B261:C261" si="257">($A261-B$9)/365.25</f>
        <v>79.37303216974675</v>
      </c>
      <c r="C261" s="398">
        <f t="shared" si="257"/>
        <v>74.762491444216295</v>
      </c>
      <c r="E261" s="25">
        <f>IF(C261&gt;$B$7,0,'Combined Retirement'!$D$13/12)</f>
        <v>0</v>
      </c>
      <c r="F261" s="25">
        <f>IF(H261=0,'Combined Retirement'!$D$32,0)+'Combined Retirement'!$B$24</f>
        <v>2870.372285649099</v>
      </c>
      <c r="G261" s="25">
        <f>'Combined Retirement'!$C$24</f>
        <v>3254.2644699519233</v>
      </c>
      <c r="H261" s="25">
        <f>IF(B261&lt;62,0,'Combined Retirement'!$I$14)</f>
        <v>2345</v>
      </c>
      <c r="I261" s="25">
        <f>IF(C261&lt;62,0,'Combined Retirement'!$I$13)</f>
        <v>2420</v>
      </c>
      <c r="J261" s="25">
        <f t="shared" si="3"/>
        <v>8395.6297298201844</v>
      </c>
      <c r="K261" s="25">
        <f t="shared" si="4"/>
        <v>21655.303514578787</v>
      </c>
      <c r="L261" s="25"/>
      <c r="N261" s="25">
        <f>'Combined Retirement'!$C$18/12</f>
        <v>40940.569999999992</v>
      </c>
      <c r="O261" s="25">
        <f t="shared" si="5"/>
        <v>10889.636755601023</v>
      </c>
      <c r="P261" s="25">
        <f t="shared" si="6"/>
        <v>30050.93324439897</v>
      </c>
      <c r="Q261" s="25">
        <f t="array" aca="1" ref="Q261" ca="1">INDEX('Isaac 401k'!L:L,MATCH('Retirement Calculator'!A261,'Isaac 401k'!N:N,0),0)</f>
        <v>1163217.8350814302</v>
      </c>
      <c r="R261" s="25">
        <f t="array" aca="1" ref="R261" ca="1">INDEX('Lorri 401b'!L:L,MATCH('Retirement Calculator'!A261,'Lorri 401b'!N:N,0),0)</f>
        <v>3515941.6089681443</v>
      </c>
      <c r="S261" s="25">
        <f t="shared" ca="1" si="7"/>
        <v>4679159.4440495744</v>
      </c>
    </row>
    <row r="262" spans="1:19" ht="15.75" customHeight="1" x14ac:dyDescent="0.3">
      <c r="A262" s="37">
        <v>58927</v>
      </c>
      <c r="B262" s="398">
        <f t="shared" ref="B262:C262" si="258">($A262-B$9)/365.25</f>
        <v>79.455167693360707</v>
      </c>
      <c r="C262" s="398">
        <f t="shared" si="258"/>
        <v>74.844626967830251</v>
      </c>
      <c r="E262" s="25">
        <f>IF(C262&gt;$B$7,0,'Combined Retirement'!$D$13/12)</f>
        <v>0</v>
      </c>
      <c r="F262" s="25">
        <f>IF(H262=0,'Combined Retirement'!$D$32,0)+'Combined Retirement'!$B$24</f>
        <v>2870.372285649099</v>
      </c>
      <c r="G262" s="25">
        <f>'Combined Retirement'!$C$24</f>
        <v>3254.2644699519233</v>
      </c>
      <c r="H262" s="25">
        <f>IF(B262&lt;62,0,'Combined Retirement'!$I$14)</f>
        <v>2345</v>
      </c>
      <c r="I262" s="25">
        <f>IF(C262&lt;62,0,'Combined Retirement'!$I$13)</f>
        <v>2420</v>
      </c>
      <c r="J262" s="25">
        <f t="shared" si="3"/>
        <v>8395.6297298201844</v>
      </c>
      <c r="K262" s="25">
        <f t="shared" si="4"/>
        <v>21655.303514578787</v>
      </c>
      <c r="L262" s="25"/>
      <c r="N262" s="25">
        <f>'Combined Retirement'!$C$18/12</f>
        <v>40940.569999999992</v>
      </c>
      <c r="O262" s="25">
        <f t="shared" si="5"/>
        <v>10889.636755601023</v>
      </c>
      <c r="P262" s="25">
        <f t="shared" si="6"/>
        <v>30050.93324439897</v>
      </c>
      <c r="Q262" s="25">
        <f t="array" aca="1" ref="Q262" ca="1">INDEX('Isaac 401k'!L:L,MATCH('Retirement Calculator'!A262,'Isaac 401k'!N:N,0),0)</f>
        <v>1159633.9645405749</v>
      </c>
      <c r="R262" s="25">
        <f t="array" aca="1" ref="R262" ca="1">INDEX('Lorri 401b'!L:L,MATCH('Retirement Calculator'!A262,'Lorri 401b'!N:N,0),0)</f>
        <v>3508845.8317262884</v>
      </c>
      <c r="S262" s="25">
        <f t="shared" ca="1" si="7"/>
        <v>4668479.7962668631</v>
      </c>
    </row>
    <row r="263" spans="1:19" ht="15.75" customHeight="1" x14ac:dyDescent="0.3">
      <c r="A263" s="37">
        <v>58958</v>
      </c>
      <c r="B263" s="398">
        <f t="shared" ref="B263:C263" si="259">($A263-B$9)/365.25</f>
        <v>79.540041067761805</v>
      </c>
      <c r="C263" s="398">
        <f t="shared" si="259"/>
        <v>74.92950034223135</v>
      </c>
      <c r="E263" s="25">
        <f>IF(C263&gt;$B$7,0,'Combined Retirement'!$D$13/12)</f>
        <v>0</v>
      </c>
      <c r="F263" s="25">
        <f>IF(H263=0,'Combined Retirement'!$D$32,0)+'Combined Retirement'!$B$24</f>
        <v>2870.372285649099</v>
      </c>
      <c r="G263" s="25">
        <f>'Combined Retirement'!$C$24</f>
        <v>3254.2644699519233</v>
      </c>
      <c r="H263" s="25">
        <f>IF(B263&lt;62,0,'Combined Retirement'!$I$14)</f>
        <v>2345</v>
      </c>
      <c r="I263" s="25">
        <f>IF(C263&lt;62,0,'Combined Retirement'!$I$13)</f>
        <v>2420</v>
      </c>
      <c r="J263" s="25">
        <f t="shared" si="3"/>
        <v>8395.6297298201844</v>
      </c>
      <c r="K263" s="25">
        <f t="shared" si="4"/>
        <v>21655.303514578787</v>
      </c>
      <c r="L263" s="25"/>
      <c r="N263" s="25">
        <f>'Combined Retirement'!$C$18/12</f>
        <v>40940.569999999992</v>
      </c>
      <c r="O263" s="25">
        <f t="shared" si="5"/>
        <v>10889.636755601023</v>
      </c>
      <c r="P263" s="25">
        <f t="shared" si="6"/>
        <v>30050.93324439897</v>
      </c>
      <c r="Q263" s="25">
        <f t="array" aca="1" ref="Q263" ca="1">INDEX('Isaac 401k'!L:L,MATCH('Retirement Calculator'!A263,'Isaac 401k'!N:N,0),0)</f>
        <v>1156035.1612057996</v>
      </c>
      <c r="R263" s="25">
        <f t="array" aca="1" ref="R263" ca="1">INDEX('Lorri 401b'!L:L,MATCH('Retirement Calculator'!A263,'Lorri 401b'!N:N,0),0)</f>
        <v>3501720.488745925</v>
      </c>
      <c r="S263" s="25">
        <f t="shared" ca="1" si="7"/>
        <v>4657755.6499517243</v>
      </c>
    </row>
    <row r="264" spans="1:19" ht="15.75" customHeight="1" x14ac:dyDescent="0.3">
      <c r="A264" s="37">
        <v>58988</v>
      </c>
      <c r="B264" s="398">
        <f t="shared" ref="B264:C264" si="260">($A264-B$9)/365.25</f>
        <v>79.622176591375776</v>
      </c>
      <c r="C264" s="398">
        <f t="shared" si="260"/>
        <v>75.011635865845307</v>
      </c>
      <c r="E264" s="25">
        <f>IF(C264&gt;$B$7,0,'Combined Retirement'!$D$13/12)</f>
        <v>0</v>
      </c>
      <c r="F264" s="25">
        <f>IF(H264=0,'Combined Retirement'!$D$32,0)+'Combined Retirement'!$B$24</f>
        <v>2870.372285649099</v>
      </c>
      <c r="G264" s="25">
        <f>'Combined Retirement'!$C$24</f>
        <v>3254.2644699519233</v>
      </c>
      <c r="H264" s="25">
        <f>IF(B264&lt;62,0,'Combined Retirement'!$I$14)</f>
        <v>2345</v>
      </c>
      <c r="I264" s="25">
        <f>IF(C264&lt;62,0,'Combined Retirement'!$I$13)</f>
        <v>2420</v>
      </c>
      <c r="J264" s="25">
        <f t="shared" si="3"/>
        <v>8395.6297298201844</v>
      </c>
      <c r="K264" s="25">
        <f t="shared" si="4"/>
        <v>21655.303514578787</v>
      </c>
      <c r="L264" s="25"/>
      <c r="N264" s="25">
        <f>'Combined Retirement'!$C$18/12</f>
        <v>40940.569999999992</v>
      </c>
      <c r="O264" s="25">
        <f t="shared" si="5"/>
        <v>10889.636755601023</v>
      </c>
      <c r="P264" s="25">
        <f t="shared" si="6"/>
        <v>30050.93324439897</v>
      </c>
      <c r="Q264" s="25">
        <f t="array" aca="1" ref="Q264" ca="1">INDEX('Isaac 401k'!L:L,MATCH('Retirement Calculator'!A264,'Isaac 401k'!N:N,0),0)</f>
        <v>1152421.3628571292</v>
      </c>
      <c r="R264" s="25">
        <f t="array" aca="1" ref="R264" ca="1">INDEX('Lorri 401b'!L:L,MATCH('Retirement Calculator'!A264,'Lorri 401b'!N:N,0),0)</f>
        <v>3494565.4568364769</v>
      </c>
      <c r="S264" s="25">
        <f t="shared" ca="1" si="7"/>
        <v>4646986.8196936063</v>
      </c>
    </row>
    <row r="265" spans="1:19" ht="15.75" customHeight="1" x14ac:dyDescent="0.3">
      <c r="A265" s="37">
        <v>59019</v>
      </c>
      <c r="B265" s="398">
        <f t="shared" ref="B265:C265" si="261">($A265-B$9)/365.25</f>
        <v>79.707049965776861</v>
      </c>
      <c r="C265" s="398">
        <f t="shared" si="261"/>
        <v>75.096509240246405</v>
      </c>
      <c r="E265" s="25">
        <f>IF(C265&gt;$B$7,0,'Combined Retirement'!$D$13/12)</f>
        <v>0</v>
      </c>
      <c r="F265" s="25">
        <f>IF(H265=0,'Combined Retirement'!$D$32,0)+'Combined Retirement'!$B$24</f>
        <v>2870.372285649099</v>
      </c>
      <c r="G265" s="25">
        <f>'Combined Retirement'!$C$24</f>
        <v>3254.2644699519233</v>
      </c>
      <c r="H265" s="25">
        <f>IF(B265&lt;62,0,'Combined Retirement'!$I$14)</f>
        <v>2345</v>
      </c>
      <c r="I265" s="25">
        <f>IF(C265&lt;62,0,'Combined Retirement'!$I$13)</f>
        <v>2420</v>
      </c>
      <c r="J265" s="25">
        <f t="shared" si="3"/>
        <v>8395.6297298201844</v>
      </c>
      <c r="K265" s="25">
        <f t="shared" si="4"/>
        <v>21655.303514578787</v>
      </c>
      <c r="L265" s="25"/>
      <c r="N265" s="25">
        <f>'Combined Retirement'!$C$18/12</f>
        <v>40940.569999999992</v>
      </c>
      <c r="O265" s="25">
        <f t="shared" si="5"/>
        <v>10889.636755601023</v>
      </c>
      <c r="P265" s="25">
        <f t="shared" si="6"/>
        <v>30050.93324439897</v>
      </c>
      <c r="Q265" s="25">
        <f t="array" aca="1" ref="Q265" ca="1">INDEX('Isaac 401k'!L:L,MATCH('Retirement Calculator'!A265,'Isaac 401k'!N:N,0),0)</f>
        <v>1148792.5070153396</v>
      </c>
      <c r="R265" s="25">
        <f t="array" aca="1" ref="R265" ca="1">INDEX('Lorri 401b'!L:L,MATCH('Retirement Calculator'!A265,'Lorri 401b'!N:N,0),0)</f>
        <v>3487380.6122940728</v>
      </c>
      <c r="S265" s="25">
        <f t="shared" ca="1" si="7"/>
        <v>4636173.1193094123</v>
      </c>
    </row>
    <row r="266" spans="1:19" ht="15.75" customHeight="1" x14ac:dyDescent="0.3">
      <c r="A266" s="37">
        <v>59050</v>
      </c>
      <c r="B266" s="398">
        <f t="shared" ref="B266:C266" si="262">($A266-B$9)/365.25</f>
        <v>79.791923340177959</v>
      </c>
      <c r="C266" s="398">
        <f t="shared" si="262"/>
        <v>75.181382614647504</v>
      </c>
      <c r="E266" s="25">
        <f>IF(C266&gt;$B$7,0,'Combined Retirement'!$D$13/12)</f>
        <v>0</v>
      </c>
      <c r="F266" s="25">
        <f>IF(H266=0,'Combined Retirement'!$D$32,0)+'Combined Retirement'!$B$24</f>
        <v>2870.372285649099</v>
      </c>
      <c r="G266" s="25">
        <f>'Combined Retirement'!$C$24</f>
        <v>3254.2644699519233</v>
      </c>
      <c r="H266" s="25">
        <f>IF(B266&lt;62,0,'Combined Retirement'!$I$14)</f>
        <v>2345</v>
      </c>
      <c r="I266" s="25">
        <f>IF(C266&lt;62,0,'Combined Retirement'!$I$13)</f>
        <v>2420</v>
      </c>
      <c r="J266" s="25">
        <f t="shared" ref="J266:J520" si="263">IF(C266&lt;59.5,P266,P266*$J$7)</f>
        <v>8395.6297298201844</v>
      </c>
      <c r="K266" s="25">
        <f t="shared" ref="K266:K520" si="264">IF(C266&lt;59.5,0,IF(C266&lt;$B$7,0,P266*$K$7))</f>
        <v>21655.303514578787</v>
      </c>
      <c r="L266" s="25"/>
      <c r="N266" s="25">
        <f>'Combined Retirement'!$C$18/12</f>
        <v>40940.569999999992</v>
      </c>
      <c r="O266" s="25">
        <f t="shared" ref="O266:O520" si="265">SUM(E266:I266)</f>
        <v>10889.636755601023</v>
      </c>
      <c r="P266" s="25">
        <f t="shared" ref="P266:P520" si="266">N266-O266</f>
        <v>30050.93324439897</v>
      </c>
      <c r="Q266" s="25">
        <f t="array" aca="1" ref="Q266" ca="1">INDEX('Isaac 401k'!L:L,MATCH('Retirement Calculator'!A266,'Isaac 401k'!N:N,0),0)</f>
        <v>1145148.5309408756</v>
      </c>
      <c r="R266" s="25">
        <f t="array" aca="1" ref="R266" ca="1">INDEX('Lorri 401b'!L:L,MATCH('Retirement Calculator'!A266,'Lorri 401b'!N:N,0),0)</f>
        <v>3480165.8308994086</v>
      </c>
      <c r="S266" s="25">
        <f t="shared" ref="S266:S520" ca="1" si="267">SUM(Q266:R266)</f>
        <v>4625314.3618402844</v>
      </c>
    </row>
    <row r="267" spans="1:19" ht="15.75" customHeight="1" x14ac:dyDescent="0.3">
      <c r="A267" s="37">
        <v>59080</v>
      </c>
      <c r="B267" s="398">
        <f t="shared" ref="B267:C267" si="268">($A267-B$9)/365.25</f>
        <v>79.87405886379193</v>
      </c>
      <c r="C267" s="398">
        <f t="shared" si="268"/>
        <v>75.26351813826146</v>
      </c>
      <c r="E267" s="25">
        <f>IF(C267&gt;$B$7,0,'Combined Retirement'!$D$13/12)</f>
        <v>0</v>
      </c>
      <c r="F267" s="25">
        <f>IF(H267=0,'Combined Retirement'!$D$32,0)+'Combined Retirement'!$B$24</f>
        <v>2870.372285649099</v>
      </c>
      <c r="G267" s="25">
        <f>'Combined Retirement'!$C$24</f>
        <v>3254.2644699519233</v>
      </c>
      <c r="H267" s="25">
        <f>IF(B267&lt;62,0,'Combined Retirement'!$I$14)</f>
        <v>2345</v>
      </c>
      <c r="I267" s="25">
        <f>IF(C267&lt;62,0,'Combined Retirement'!$I$13)</f>
        <v>2420</v>
      </c>
      <c r="J267" s="25">
        <f t="shared" si="263"/>
        <v>8395.6297298201844</v>
      </c>
      <c r="K267" s="25">
        <f t="shared" si="264"/>
        <v>21655.303514578787</v>
      </c>
      <c r="L267" s="25"/>
      <c r="N267" s="25">
        <f>'Combined Retirement'!$C$18/12</f>
        <v>40940.569999999992</v>
      </c>
      <c r="O267" s="25">
        <f t="shared" si="265"/>
        <v>10889.636755601023</v>
      </c>
      <c r="P267" s="25">
        <f t="shared" si="266"/>
        <v>30050.93324439897</v>
      </c>
      <c r="Q267" s="25">
        <f t="array" aca="1" ref="Q267" ca="1">INDEX('Isaac 401k'!L:L,MATCH('Retirement Calculator'!A267,'Isaac 401k'!N:N,0),0)</f>
        <v>1141489.3716327683</v>
      </c>
      <c r="R267" s="25">
        <f t="array" aca="1" ref="R267" ca="1">INDEX('Lorri 401b'!L:L,MATCH('Retirement Calculator'!A267,'Lorri 401b'!N:N,0),0)</f>
        <v>3472920.9879155997</v>
      </c>
      <c r="S267" s="25">
        <f t="shared" ca="1" si="267"/>
        <v>4614410.3595483676</v>
      </c>
    </row>
    <row r="268" spans="1:19" ht="15.75" customHeight="1" x14ac:dyDescent="0.3">
      <c r="A268" s="37">
        <v>59111</v>
      </c>
      <c r="B268" s="398">
        <f t="shared" ref="B268:C268" si="269">($A268-B$9)/365.25</f>
        <v>79.958932238193015</v>
      </c>
      <c r="C268" s="398">
        <f t="shared" si="269"/>
        <v>75.348391512662559</v>
      </c>
      <c r="E268" s="25">
        <f>IF(C268&gt;$B$7,0,'Combined Retirement'!$D$13/12)</f>
        <v>0</v>
      </c>
      <c r="F268" s="25">
        <f>IF(H268=0,'Combined Retirement'!$D$32,0)+'Combined Retirement'!$B$24</f>
        <v>2870.372285649099</v>
      </c>
      <c r="G268" s="25">
        <f>'Combined Retirement'!$C$24</f>
        <v>3254.2644699519233</v>
      </c>
      <c r="H268" s="25">
        <f>IF(B268&lt;62,0,'Combined Retirement'!$I$14)</f>
        <v>2345</v>
      </c>
      <c r="I268" s="25">
        <f>IF(C268&lt;62,0,'Combined Retirement'!$I$13)</f>
        <v>2420</v>
      </c>
      <c r="J268" s="25">
        <f t="shared" si="263"/>
        <v>8395.6297298201844</v>
      </c>
      <c r="K268" s="25">
        <f t="shared" si="264"/>
        <v>21655.303514578787</v>
      </c>
      <c r="L268" s="25"/>
      <c r="N268" s="25">
        <f>'Combined Retirement'!$C$18/12</f>
        <v>40940.569999999992</v>
      </c>
      <c r="O268" s="25">
        <f t="shared" si="265"/>
        <v>10889.636755601023</v>
      </c>
      <c r="P268" s="25">
        <f t="shared" si="266"/>
        <v>30050.93324439897</v>
      </c>
      <c r="Q268" s="25">
        <f t="array" aca="1" ref="Q268" ca="1">INDEX('Isaac 401k'!L:L,MATCH('Retirement Calculator'!A268,'Isaac 401k'!N:N,0),0)</f>
        <v>1137814.9658275438</v>
      </c>
      <c r="R268" s="25">
        <f t="array" aca="1" ref="R268" ca="1">INDEX('Lorri 401b'!L:L,MATCH('Retirement Calculator'!A268,'Lorri 401b'!N:N,0),0)</f>
        <v>3465645.958086025</v>
      </c>
      <c r="S268" s="25">
        <f t="shared" ca="1" si="267"/>
        <v>4603460.9239135683</v>
      </c>
    </row>
    <row r="269" spans="1:19" ht="15.75" customHeight="1" x14ac:dyDescent="0.3">
      <c r="A269" s="37">
        <v>59141</v>
      </c>
      <c r="B269" s="398">
        <f t="shared" ref="B269:C269" si="270">($A269-B$9)/365.25</f>
        <v>80.041067761806985</v>
      </c>
      <c r="C269" s="398">
        <f t="shared" si="270"/>
        <v>75.43052703627653</v>
      </c>
      <c r="E269" s="25">
        <f>IF(C269&gt;$B$7,0,'Combined Retirement'!$D$13/12)</f>
        <v>0</v>
      </c>
      <c r="F269" s="25">
        <f>IF(H269=0,'Combined Retirement'!$D$32,0)+'Combined Retirement'!$B$24</f>
        <v>2870.372285649099</v>
      </c>
      <c r="G269" s="25">
        <f>'Combined Retirement'!$C$24</f>
        <v>3254.2644699519233</v>
      </c>
      <c r="H269" s="25">
        <f>IF(B269&lt;62,0,'Combined Retirement'!$I$14)</f>
        <v>2345</v>
      </c>
      <c r="I269" s="25">
        <f>IF(C269&lt;62,0,'Combined Retirement'!$I$13)</f>
        <v>2420</v>
      </c>
      <c r="J269" s="25">
        <f t="shared" si="263"/>
        <v>8395.6297298201844</v>
      </c>
      <c r="K269" s="25">
        <f t="shared" si="264"/>
        <v>21655.303514578787</v>
      </c>
      <c r="L269" s="25"/>
      <c r="N269" s="25">
        <f>'Combined Retirement'!$C$18/12</f>
        <v>40940.569999999992</v>
      </c>
      <c r="O269" s="25">
        <f t="shared" si="265"/>
        <v>10889.636755601023</v>
      </c>
      <c r="P269" s="25">
        <f t="shared" si="266"/>
        <v>30050.93324439897</v>
      </c>
      <c r="Q269" s="25">
        <f t="array" aca="1" ref="Q269" ca="1">INDEX('Isaac 401k'!L:L,MATCH('Retirement Calculator'!A269,'Isaac 401k'!N:N,0),0)</f>
        <v>1134125.2499981308</v>
      </c>
      <c r="R269" s="25">
        <f t="array" aca="1" ref="R269" ca="1">INDEX('Lorri 401b'!L:L,MATCH('Retirement Calculator'!A269,'Lorri 401b'!N:N,0),0)</f>
        <v>3458340.6156321606</v>
      </c>
      <c r="S269" s="25">
        <f t="shared" ca="1" si="267"/>
        <v>4592465.8656302914</v>
      </c>
    </row>
    <row r="270" spans="1:19" ht="15.75" customHeight="1" x14ac:dyDescent="0.3">
      <c r="A270" s="37">
        <v>59172</v>
      </c>
      <c r="B270" s="398">
        <f t="shared" ref="B270:C270" si="271">($A270-B$9)/365.25</f>
        <v>80.12594113620807</v>
      </c>
      <c r="C270" s="398">
        <f t="shared" si="271"/>
        <v>75.515400410677614</v>
      </c>
      <c r="E270" s="25">
        <f>IF(C270&gt;$B$7,0,'Combined Retirement'!$D$13/12)</f>
        <v>0</v>
      </c>
      <c r="F270" s="25">
        <f>IF(H270=0,'Combined Retirement'!$D$32,0)+'Combined Retirement'!$B$24</f>
        <v>2870.372285649099</v>
      </c>
      <c r="G270" s="25">
        <f>'Combined Retirement'!$C$24</f>
        <v>3254.2644699519233</v>
      </c>
      <c r="H270" s="25">
        <f>IF(B270&lt;62,0,'Combined Retirement'!$I$14)</f>
        <v>2345</v>
      </c>
      <c r="I270" s="25">
        <f>IF(C270&lt;62,0,'Combined Retirement'!$I$13)</f>
        <v>2420</v>
      </c>
      <c r="J270" s="25">
        <f t="shared" si="263"/>
        <v>8395.6297298201844</v>
      </c>
      <c r="K270" s="25">
        <f t="shared" si="264"/>
        <v>21655.303514578787</v>
      </c>
      <c r="L270" s="25"/>
      <c r="N270" s="25">
        <f>'Combined Retirement'!$C$18/12</f>
        <v>40940.569999999992</v>
      </c>
      <c r="O270" s="25">
        <f t="shared" si="265"/>
        <v>10889.636755601023</v>
      </c>
      <c r="P270" s="25">
        <f t="shared" si="266"/>
        <v>30050.93324439897</v>
      </c>
      <c r="Q270" s="25">
        <f t="array" aca="1" ref="Q270" ca="1">INDEX('Isaac 401k'!L:L,MATCH('Retirement Calculator'!A270,'Isaac 401k'!N:N,0),0)</f>
        <v>1130420.1603527619</v>
      </c>
      <c r="R270" s="25">
        <f t="array" aca="1" ref="R270" ca="1">INDEX('Lorri 401b'!L:L,MATCH('Retirement Calculator'!A270,'Lorri 401b'!N:N,0),0)</f>
        <v>3451004.8342514052</v>
      </c>
      <c r="S270" s="25">
        <f t="shared" ca="1" si="267"/>
        <v>4581424.9946041666</v>
      </c>
    </row>
    <row r="271" spans="1:19" ht="15.75" customHeight="1" x14ac:dyDescent="0.3">
      <c r="A271" s="37">
        <v>59203</v>
      </c>
      <c r="B271" s="398">
        <f t="shared" ref="B271:C271" si="272">($A271-B$9)/365.25</f>
        <v>80.210814510609168</v>
      </c>
      <c r="C271" s="398">
        <f t="shared" si="272"/>
        <v>75.600273785078713</v>
      </c>
      <c r="E271" s="25">
        <f>IF(C271&gt;$B$7,0,'Combined Retirement'!$D$13/12)</f>
        <v>0</v>
      </c>
      <c r="F271" s="25">
        <f>IF(H271=0,'Combined Retirement'!$D$32,0)+'Combined Retirement'!$B$24</f>
        <v>2870.372285649099</v>
      </c>
      <c r="G271" s="25">
        <f>'Combined Retirement'!$C$24</f>
        <v>3254.2644699519233</v>
      </c>
      <c r="H271" s="25">
        <f>IF(B271&lt;62,0,'Combined Retirement'!$I$14)</f>
        <v>2345</v>
      </c>
      <c r="I271" s="25">
        <f>IF(C271&lt;62,0,'Combined Retirement'!$I$13)</f>
        <v>2420</v>
      </c>
      <c r="J271" s="25">
        <f t="shared" si="263"/>
        <v>8395.6297298201844</v>
      </c>
      <c r="K271" s="25">
        <f t="shared" si="264"/>
        <v>21655.303514578787</v>
      </c>
      <c r="L271" s="25"/>
      <c r="N271" s="25">
        <f>'Combined Retirement'!$C$18/12</f>
        <v>40940.569999999992</v>
      </c>
      <c r="O271" s="25">
        <f t="shared" si="265"/>
        <v>10889.636755601023</v>
      </c>
      <c r="P271" s="25">
        <f t="shared" si="266"/>
        <v>30050.93324439897</v>
      </c>
      <c r="Q271" s="25">
        <f t="array" aca="1" ref="Q271" ca="1">INDEX('Isaac 401k'!L:L,MATCH('Retirement Calculator'!A271,'Isaac 401k'!N:N,0),0)</f>
        <v>1126699.6328338706</v>
      </c>
      <c r="R271" s="25">
        <f t="array" aca="1" ref="R271" ca="1">INDEX('Lorri 401b'!L:L,MATCH('Retirement Calculator'!A271,'Lorri 401b'!N:N,0),0)</f>
        <v>3443638.4871148965</v>
      </c>
      <c r="S271" s="25">
        <f t="shared" ca="1" si="267"/>
        <v>4570338.1199487671</v>
      </c>
    </row>
    <row r="272" spans="1:19" ht="15.75" customHeight="1" x14ac:dyDescent="0.3">
      <c r="A272" s="37">
        <v>59231</v>
      </c>
      <c r="B272" s="398">
        <f t="shared" ref="B272:C272" si="273">($A272-B$9)/365.25</f>
        <v>80.28747433264887</v>
      </c>
      <c r="C272" s="398">
        <f t="shared" si="273"/>
        <v>75.676933607118414</v>
      </c>
      <c r="E272" s="25">
        <f>IF(C272&gt;$B$7,0,'Combined Retirement'!$D$13/12)</f>
        <v>0</v>
      </c>
      <c r="F272" s="25">
        <f>IF(H272=0,'Combined Retirement'!$D$32,0)+'Combined Retirement'!$B$24</f>
        <v>2870.372285649099</v>
      </c>
      <c r="G272" s="25">
        <f>'Combined Retirement'!$C$24</f>
        <v>3254.2644699519233</v>
      </c>
      <c r="H272" s="25">
        <f>IF(B272&lt;62,0,'Combined Retirement'!$I$14)</f>
        <v>2345</v>
      </c>
      <c r="I272" s="25">
        <f>IF(C272&lt;62,0,'Combined Retirement'!$I$13)</f>
        <v>2420</v>
      </c>
      <c r="J272" s="25">
        <f t="shared" si="263"/>
        <v>8395.6297298201844</v>
      </c>
      <c r="K272" s="25">
        <f t="shared" si="264"/>
        <v>21655.303514578787</v>
      </c>
      <c r="L272" s="25"/>
      <c r="N272" s="25">
        <f>'Combined Retirement'!$C$18/12</f>
        <v>40940.569999999992</v>
      </c>
      <c r="O272" s="25">
        <f t="shared" si="265"/>
        <v>10889.636755601023</v>
      </c>
      <c r="P272" s="25">
        <f t="shared" si="266"/>
        <v>30050.93324439897</v>
      </c>
      <c r="Q272" s="25">
        <f t="array" aca="1" ref="Q272" ca="1">INDEX('Isaac 401k'!L:L,MATCH('Retirement Calculator'!A272,'Isaac 401k'!N:N,0),0)</f>
        <v>1122963.603116984</v>
      </c>
      <c r="R272" s="25">
        <f t="array" aca="1" ref="R272" ca="1">INDEX('Lorri 401b'!L:L,MATCH('Retirement Calculator'!A272,'Lorri 401b'!N:N,0),0)</f>
        <v>3436241.4468653188</v>
      </c>
      <c r="S272" s="25">
        <f t="shared" ca="1" si="267"/>
        <v>4559205.0499823028</v>
      </c>
    </row>
    <row r="273" spans="1:19" ht="15.75" customHeight="1" x14ac:dyDescent="0.3">
      <c r="A273" s="37">
        <v>59262</v>
      </c>
      <c r="B273" s="398">
        <f t="shared" ref="B273:C273" si="274">($A273-B$9)/365.25</f>
        <v>80.372347707049968</v>
      </c>
      <c r="C273" s="398">
        <f t="shared" si="274"/>
        <v>75.761806981519513</v>
      </c>
      <c r="E273" s="25">
        <f>IF(C273&gt;$B$7,0,'Combined Retirement'!$D$13/12)</f>
        <v>0</v>
      </c>
      <c r="F273" s="25">
        <f>IF(H273=0,'Combined Retirement'!$D$32,0)+'Combined Retirement'!$B$24</f>
        <v>2870.372285649099</v>
      </c>
      <c r="G273" s="25">
        <f>'Combined Retirement'!$C$24</f>
        <v>3254.2644699519233</v>
      </c>
      <c r="H273" s="25">
        <f>IF(B273&lt;62,0,'Combined Retirement'!$I$14)</f>
        <v>2345</v>
      </c>
      <c r="I273" s="25">
        <f>IF(C273&lt;62,0,'Combined Retirement'!$I$13)</f>
        <v>2420</v>
      </c>
      <c r="J273" s="25">
        <f t="shared" si="263"/>
        <v>8395.6297298201844</v>
      </c>
      <c r="K273" s="25">
        <f t="shared" si="264"/>
        <v>21655.303514578787</v>
      </c>
      <c r="L273" s="25"/>
      <c r="N273" s="25">
        <f>'Combined Retirement'!$C$18/12</f>
        <v>40940.569999999992</v>
      </c>
      <c r="O273" s="25">
        <f t="shared" si="265"/>
        <v>10889.636755601023</v>
      </c>
      <c r="P273" s="25">
        <f t="shared" si="266"/>
        <v>30050.93324439897</v>
      </c>
      <c r="Q273" s="25">
        <f t="array" aca="1" ref="Q273" ca="1">INDEX('Isaac 401k'!L:L,MATCH('Retirement Calculator'!A273,'Isaac 401k'!N:N,0),0)</f>
        <v>1119212.0066096103</v>
      </c>
      <c r="R273" s="25">
        <f t="array" aca="1" ref="R273" ca="1">INDEX('Lorri 401b'!L:L,MATCH('Retirement Calculator'!A273,'Lorri 401b'!N:N,0),0)</f>
        <v>3428813.5856147013</v>
      </c>
      <c r="S273" s="25">
        <f t="shared" ca="1" si="267"/>
        <v>4548025.5922243111</v>
      </c>
    </row>
    <row r="274" spans="1:19" ht="15.75" customHeight="1" x14ac:dyDescent="0.3">
      <c r="A274" s="37">
        <v>59292</v>
      </c>
      <c r="B274" s="398">
        <f t="shared" ref="B274:C274" si="275">($A274-B$9)/365.25</f>
        <v>80.454483230663925</v>
      </c>
      <c r="C274" s="398">
        <f t="shared" si="275"/>
        <v>75.843942505133469</v>
      </c>
      <c r="E274" s="25">
        <f>IF(C274&gt;$B$7,0,'Combined Retirement'!$D$13/12)</f>
        <v>0</v>
      </c>
      <c r="F274" s="25">
        <f>IF(H274=0,'Combined Retirement'!$D$32,0)+'Combined Retirement'!$B$24</f>
        <v>2870.372285649099</v>
      </c>
      <c r="G274" s="25">
        <f>'Combined Retirement'!$C$24</f>
        <v>3254.2644699519233</v>
      </c>
      <c r="H274" s="25">
        <f>IF(B274&lt;62,0,'Combined Retirement'!$I$14)</f>
        <v>2345</v>
      </c>
      <c r="I274" s="25">
        <f>IF(C274&lt;62,0,'Combined Retirement'!$I$13)</f>
        <v>2420</v>
      </c>
      <c r="J274" s="25">
        <f t="shared" si="263"/>
        <v>8395.6297298201844</v>
      </c>
      <c r="K274" s="25">
        <f t="shared" si="264"/>
        <v>21655.303514578787</v>
      </c>
      <c r="L274" s="25"/>
      <c r="N274" s="25">
        <f>'Combined Retirement'!$C$18/12</f>
        <v>40940.569999999992</v>
      </c>
      <c r="O274" s="25">
        <f t="shared" si="265"/>
        <v>10889.636755601023</v>
      </c>
      <c r="P274" s="25">
        <f t="shared" si="266"/>
        <v>30050.93324439897</v>
      </c>
      <c r="Q274" s="25">
        <f t="array" aca="1" ref="Q274" ca="1">INDEX('Isaac 401k'!L:L,MATCH('Retirement Calculator'!A274,'Isaac 401k'!N:N,0),0)</f>
        <v>1115444.7784501226</v>
      </c>
      <c r="R274" s="25">
        <f t="array" aca="1" ref="R274" ca="1">INDEX('Lorri 401b'!L:L,MATCH('Retirement Calculator'!A274,'Lorri 401b'!N:N,0),0)</f>
        <v>3421354.7749422062</v>
      </c>
      <c r="S274" s="25">
        <f t="shared" ca="1" si="267"/>
        <v>4536799.5533923283</v>
      </c>
    </row>
    <row r="275" spans="1:19" ht="15.75" customHeight="1" x14ac:dyDescent="0.3">
      <c r="A275" s="37">
        <v>59323</v>
      </c>
      <c r="B275" s="398">
        <f t="shared" ref="B275:C275" si="276">($A275-B$9)/365.25</f>
        <v>80.539356605065024</v>
      </c>
      <c r="C275" s="398">
        <f t="shared" si="276"/>
        <v>75.928815879534568</v>
      </c>
      <c r="E275" s="25">
        <f>IF(C275&gt;$B$7,0,'Combined Retirement'!$D$13/12)</f>
        <v>0</v>
      </c>
      <c r="F275" s="25">
        <f>IF(H275=0,'Combined Retirement'!$D$32,0)+'Combined Retirement'!$B$24</f>
        <v>2870.372285649099</v>
      </c>
      <c r="G275" s="25">
        <f>'Combined Retirement'!$C$24</f>
        <v>3254.2644699519233</v>
      </c>
      <c r="H275" s="25">
        <f>IF(B275&lt;62,0,'Combined Retirement'!$I$14)</f>
        <v>2345</v>
      </c>
      <c r="I275" s="25">
        <f>IF(C275&lt;62,0,'Combined Retirement'!$I$13)</f>
        <v>2420</v>
      </c>
      <c r="J275" s="25">
        <f t="shared" si="263"/>
        <v>8395.6297298201844</v>
      </c>
      <c r="K275" s="25">
        <f t="shared" si="264"/>
        <v>21655.303514578787</v>
      </c>
      <c r="L275" s="25"/>
      <c r="N275" s="25">
        <f>'Combined Retirement'!$C$18/12</f>
        <v>40940.569999999992</v>
      </c>
      <c r="O275" s="25">
        <f t="shared" si="265"/>
        <v>10889.636755601023</v>
      </c>
      <c r="P275" s="25">
        <f t="shared" si="266"/>
        <v>30050.93324439897</v>
      </c>
      <c r="Q275" s="25">
        <f t="array" aca="1" ref="Q275" ca="1">INDEX('Isaac 401k'!L:L,MATCH('Retirement Calculator'!A275,'Isaac 401k'!N:N,0),0)</f>
        <v>1111661.853506637</v>
      </c>
      <c r="R275" s="25">
        <f t="array" aca="1" ref="R275" ca="1">INDEX('Lorri 401b'!L:L,MATCH('Retirement Calculator'!A275,'Lorri 401b'!N:N,0),0)</f>
        <v>3413864.8858919092</v>
      </c>
      <c r="S275" s="25">
        <f t="shared" ca="1" si="267"/>
        <v>4525526.7393985465</v>
      </c>
    </row>
    <row r="276" spans="1:19" ht="15.75" customHeight="1" x14ac:dyDescent="0.3">
      <c r="A276" s="37">
        <v>59353</v>
      </c>
      <c r="B276" s="398">
        <f t="shared" ref="B276:C276" si="277">($A276-B$9)/365.25</f>
        <v>80.62149212867898</v>
      </c>
      <c r="C276" s="398">
        <f t="shared" si="277"/>
        <v>76.010951403148525</v>
      </c>
      <c r="E276" s="25">
        <f>IF(C276&gt;$B$7,0,'Combined Retirement'!$D$13/12)</f>
        <v>0</v>
      </c>
      <c r="F276" s="25">
        <f>IF(H276=0,'Combined Retirement'!$D$32,0)+'Combined Retirement'!$B$24</f>
        <v>2870.372285649099</v>
      </c>
      <c r="G276" s="25">
        <f>'Combined Retirement'!$C$24</f>
        <v>3254.2644699519233</v>
      </c>
      <c r="H276" s="25">
        <f>IF(B276&lt;62,0,'Combined Retirement'!$I$14)</f>
        <v>2345</v>
      </c>
      <c r="I276" s="25">
        <f>IF(C276&lt;62,0,'Combined Retirement'!$I$13)</f>
        <v>2420</v>
      </c>
      <c r="J276" s="25">
        <f t="shared" si="263"/>
        <v>8395.6297298201844</v>
      </c>
      <c r="K276" s="25">
        <f t="shared" si="264"/>
        <v>21655.303514578787</v>
      </c>
      <c r="L276" s="25"/>
      <c r="N276" s="25">
        <f>'Combined Retirement'!$C$18/12</f>
        <v>40940.569999999992</v>
      </c>
      <c r="O276" s="25">
        <f t="shared" si="265"/>
        <v>10889.636755601023</v>
      </c>
      <c r="P276" s="25">
        <f t="shared" si="266"/>
        <v>30050.93324439897</v>
      </c>
      <c r="Q276" s="25">
        <f t="array" aca="1" ref="Q276" ca="1">INDEX('Isaac 401k'!L:L,MATCH('Retirement Calculator'!A276,'Isaac 401k'!N:N,0),0)</f>
        <v>1107863.1663758869</v>
      </c>
      <c r="R276" s="25">
        <f t="array" aca="1" ref="R276" ca="1">INDEX('Lorri 401b'!L:L,MATCH('Retirement Calculator'!A276,'Lorri 401b'!N:N,0),0)</f>
        <v>3406343.7889705691</v>
      </c>
      <c r="S276" s="25">
        <f t="shared" ca="1" si="267"/>
        <v>4514206.9553464558</v>
      </c>
    </row>
    <row r="277" spans="1:19" ht="15.75" customHeight="1" x14ac:dyDescent="0.3">
      <c r="A277" s="37">
        <v>59384</v>
      </c>
      <c r="B277" s="398">
        <f t="shared" ref="B277:C277" si="278">($A277-B$9)/365.25</f>
        <v>80.706365503080079</v>
      </c>
      <c r="C277" s="398">
        <f t="shared" si="278"/>
        <v>76.095824777549623</v>
      </c>
      <c r="E277" s="25">
        <f>IF(C277&gt;$B$7,0,'Combined Retirement'!$D$13/12)</f>
        <v>0</v>
      </c>
      <c r="F277" s="25">
        <f>IF(H277=0,'Combined Retirement'!$D$32,0)+'Combined Retirement'!$B$24</f>
        <v>2870.372285649099</v>
      </c>
      <c r="G277" s="25">
        <f>'Combined Retirement'!$C$24</f>
        <v>3254.2644699519233</v>
      </c>
      <c r="H277" s="25">
        <f>IF(B277&lt;62,0,'Combined Retirement'!$I$14)</f>
        <v>2345</v>
      </c>
      <c r="I277" s="25">
        <f>IF(C277&lt;62,0,'Combined Retirement'!$I$13)</f>
        <v>2420</v>
      </c>
      <c r="J277" s="25">
        <f t="shared" si="263"/>
        <v>8395.6297298201844</v>
      </c>
      <c r="K277" s="25">
        <f t="shared" si="264"/>
        <v>21655.303514578787</v>
      </c>
      <c r="L277" s="25"/>
      <c r="N277" s="25">
        <f>'Combined Retirement'!$C$18/12</f>
        <v>40940.569999999992</v>
      </c>
      <c r="O277" s="25">
        <f t="shared" si="265"/>
        <v>10889.636755601023</v>
      </c>
      <c r="P277" s="25">
        <f t="shared" si="266"/>
        <v>30050.93324439897</v>
      </c>
      <c r="Q277" s="25">
        <f t="array" aca="1" ref="Q277" ca="1">INDEX('Isaac 401k'!L:L,MATCH('Retirement Calculator'!A277,'Isaac 401k'!N:N,0),0)</f>
        <v>1104048.6513820919</v>
      </c>
      <c r="R277" s="25">
        <f t="array" aca="1" ref="R277" ca="1">INDEX('Lorri 401b'!L:L,MATCH('Retirement Calculator'!A277,'Lorri 401b'!N:N,0),0)</f>
        <v>3398791.3541453904</v>
      </c>
      <c r="S277" s="25">
        <f t="shared" ca="1" si="267"/>
        <v>4502840.0055274824</v>
      </c>
    </row>
    <row r="278" spans="1:19" ht="15.75" customHeight="1" x14ac:dyDescent="0.3">
      <c r="A278" s="37">
        <v>59415</v>
      </c>
      <c r="B278" s="398">
        <f t="shared" ref="B278:C278" si="279">($A278-B$9)/365.25</f>
        <v>80.791238877481177</v>
      </c>
      <c r="C278" s="398">
        <f t="shared" si="279"/>
        <v>76.180698151950722</v>
      </c>
      <c r="E278" s="25">
        <f>IF(C278&gt;$B$7,0,'Combined Retirement'!$D$13/12)</f>
        <v>0</v>
      </c>
      <c r="F278" s="25">
        <f>IF(H278=0,'Combined Retirement'!$D$32,0)+'Combined Retirement'!$B$24</f>
        <v>2870.372285649099</v>
      </c>
      <c r="G278" s="25">
        <f>'Combined Retirement'!$C$24</f>
        <v>3254.2644699519233</v>
      </c>
      <c r="H278" s="25">
        <f>IF(B278&lt;62,0,'Combined Retirement'!$I$14)</f>
        <v>2345</v>
      </c>
      <c r="I278" s="25">
        <f>IF(C278&lt;62,0,'Combined Retirement'!$I$13)</f>
        <v>2420</v>
      </c>
      <c r="J278" s="25">
        <f t="shared" si="263"/>
        <v>8395.6297298201844</v>
      </c>
      <c r="K278" s="25">
        <f t="shared" si="264"/>
        <v>21655.303514578787</v>
      </c>
      <c r="L278" s="25"/>
      <c r="N278" s="25">
        <f>'Combined Retirement'!$C$18/12</f>
        <v>40940.569999999992</v>
      </c>
      <c r="O278" s="25">
        <f t="shared" si="265"/>
        <v>10889.636755601023</v>
      </c>
      <c r="P278" s="25">
        <f t="shared" si="266"/>
        <v>30050.93324439897</v>
      </c>
      <c r="Q278" s="25">
        <f t="array" aca="1" ref="Q278" ca="1">INDEX('Isaac 401k'!L:L,MATCH('Retirement Calculator'!A278,'Isaac 401k'!N:N,0),0)</f>
        <v>1100218.2425758229</v>
      </c>
      <c r="R278" s="25">
        <f t="array" aca="1" ref="R278" ca="1">INDEX('Lorri 401b'!L:L,MATCH('Retirement Calculator'!A278,'Lorri 401b'!N:N,0),0)</f>
        <v>3391207.4508417733</v>
      </c>
      <c r="S278" s="25">
        <f t="shared" ca="1" si="267"/>
        <v>4491425.6934175957</v>
      </c>
    </row>
    <row r="279" spans="1:19" ht="15.75" customHeight="1" x14ac:dyDescent="0.3">
      <c r="A279" s="37">
        <v>59445</v>
      </c>
      <c r="B279" s="398">
        <f t="shared" ref="B279:C279" si="280">($A279-B$9)/365.25</f>
        <v>80.873374401095134</v>
      </c>
      <c r="C279" s="398">
        <f t="shared" si="280"/>
        <v>76.262833675564679</v>
      </c>
      <c r="E279" s="25">
        <f>IF(C279&gt;$B$7,0,'Combined Retirement'!$D$13/12)</f>
        <v>0</v>
      </c>
      <c r="F279" s="25">
        <f>IF(H279=0,'Combined Retirement'!$D$32,0)+'Combined Retirement'!$B$24</f>
        <v>2870.372285649099</v>
      </c>
      <c r="G279" s="25">
        <f>'Combined Retirement'!$C$24</f>
        <v>3254.2644699519233</v>
      </c>
      <c r="H279" s="25">
        <f>IF(B279&lt;62,0,'Combined Retirement'!$I$14)</f>
        <v>2345</v>
      </c>
      <c r="I279" s="25">
        <f>IF(C279&lt;62,0,'Combined Retirement'!$I$13)</f>
        <v>2420</v>
      </c>
      <c r="J279" s="25">
        <f t="shared" si="263"/>
        <v>8395.6297298201844</v>
      </c>
      <c r="K279" s="25">
        <f t="shared" si="264"/>
        <v>21655.303514578787</v>
      </c>
      <c r="L279" s="25"/>
      <c r="N279" s="25">
        <f>'Combined Retirement'!$C$18/12</f>
        <v>40940.569999999992</v>
      </c>
      <c r="O279" s="25">
        <f t="shared" si="265"/>
        <v>10889.636755601023</v>
      </c>
      <c r="P279" s="25">
        <f t="shared" si="266"/>
        <v>30050.93324439897</v>
      </c>
      <c r="Q279" s="25">
        <f t="array" aca="1" ref="Q279" ca="1">INDEX('Isaac 401k'!L:L,MATCH('Retirement Calculator'!A279,'Isaac 401k'!N:N,0),0)</f>
        <v>1096371.8737328611</v>
      </c>
      <c r="R279" s="25">
        <f t="array" aca="1" ref="R279" ca="1">INDEX('Lorri 401b'!L:L,MATCH('Retirement Calculator'!A279,'Lorri 401b'!N:N,0),0)</f>
        <v>3383591.9479410578</v>
      </c>
      <c r="S279" s="25">
        <f t="shared" ca="1" si="267"/>
        <v>4479963.8216739185</v>
      </c>
    </row>
    <row r="280" spans="1:19" ht="15.75" customHeight="1" x14ac:dyDescent="0.3">
      <c r="A280" s="37">
        <v>59476</v>
      </c>
      <c r="B280" s="398">
        <f t="shared" ref="B280:C280" si="281">($A280-B$9)/365.25</f>
        <v>80.958247775496233</v>
      </c>
      <c r="C280" s="398">
        <f t="shared" si="281"/>
        <v>76.347707049965777</v>
      </c>
      <c r="E280" s="25">
        <f>IF(C280&gt;$B$7,0,'Combined Retirement'!$D$13/12)</f>
        <v>0</v>
      </c>
      <c r="F280" s="25">
        <f>IF(H280=0,'Combined Retirement'!$D$32,0)+'Combined Retirement'!$B$24</f>
        <v>2870.372285649099</v>
      </c>
      <c r="G280" s="25">
        <f>'Combined Retirement'!$C$24</f>
        <v>3254.2644699519233</v>
      </c>
      <c r="H280" s="25">
        <f>IF(B280&lt;62,0,'Combined Retirement'!$I$14)</f>
        <v>2345</v>
      </c>
      <c r="I280" s="25">
        <f>IF(C280&lt;62,0,'Combined Retirement'!$I$13)</f>
        <v>2420</v>
      </c>
      <c r="J280" s="25">
        <f t="shared" si="263"/>
        <v>8395.6297298201844</v>
      </c>
      <c r="K280" s="25">
        <f t="shared" si="264"/>
        <v>21655.303514578787</v>
      </c>
      <c r="L280" s="25"/>
      <c r="N280" s="25">
        <f>'Combined Retirement'!$C$18/12</f>
        <v>40940.569999999992</v>
      </c>
      <c r="O280" s="25">
        <f t="shared" si="265"/>
        <v>10889.636755601023</v>
      </c>
      <c r="P280" s="25">
        <f t="shared" si="266"/>
        <v>30050.93324439897</v>
      </c>
      <c r="Q280" s="25">
        <f t="array" aca="1" ref="Q280" ca="1">INDEX('Isaac 401k'!L:L,MATCH('Retirement Calculator'!A280,'Isaac 401k'!N:N,0),0)</f>
        <v>1092509.4783530536</v>
      </c>
      <c r="R280" s="25">
        <f t="array" aca="1" ref="R280" ca="1">INDEX('Lorri 401b'!L:L,MATCH('Retirement Calculator'!A280,'Lorri 401b'!N:N,0),0)</f>
        <v>3375944.713778256</v>
      </c>
      <c r="S280" s="25">
        <f t="shared" ca="1" si="267"/>
        <v>4468454.1921313098</v>
      </c>
    </row>
    <row r="281" spans="1:19" ht="15.75" customHeight="1" x14ac:dyDescent="0.3">
      <c r="A281" s="37">
        <v>59506</v>
      </c>
      <c r="B281" s="398">
        <f t="shared" ref="B281:C281" si="282">($A281-B$9)/365.25</f>
        <v>81.040383299110204</v>
      </c>
      <c r="C281" s="398">
        <f t="shared" si="282"/>
        <v>76.429842573579734</v>
      </c>
      <c r="E281" s="25">
        <f>IF(C281&gt;$B$7,0,'Combined Retirement'!$D$13/12)</f>
        <v>0</v>
      </c>
      <c r="F281" s="25">
        <f>IF(H281=0,'Combined Retirement'!$D$32,0)+'Combined Retirement'!$B$24</f>
        <v>2870.372285649099</v>
      </c>
      <c r="G281" s="25">
        <f>'Combined Retirement'!$C$24</f>
        <v>3254.2644699519233</v>
      </c>
      <c r="H281" s="25">
        <f>IF(B281&lt;62,0,'Combined Retirement'!$I$14)</f>
        <v>2345</v>
      </c>
      <c r="I281" s="25">
        <f>IF(C281&lt;62,0,'Combined Retirement'!$I$13)</f>
        <v>2420</v>
      </c>
      <c r="J281" s="25">
        <f t="shared" si="263"/>
        <v>8395.6297298201844</v>
      </c>
      <c r="K281" s="25">
        <f t="shared" si="264"/>
        <v>21655.303514578787</v>
      </c>
      <c r="L281" s="25"/>
      <c r="N281" s="25">
        <f>'Combined Retirement'!$C$18/12</f>
        <v>40940.569999999992</v>
      </c>
      <c r="O281" s="25">
        <f t="shared" si="265"/>
        <v>10889.636755601023</v>
      </c>
      <c r="P281" s="25">
        <f t="shared" si="266"/>
        <v>30050.93324439897</v>
      </c>
      <c r="Q281" s="25">
        <f t="array" aca="1" ref="Q281" ca="1">INDEX('Isaac 401k'!L:L,MATCH('Retirement Calculator'!A281,'Isaac 401k'!N:N,0),0)</f>
        <v>1088630.9896591636</v>
      </c>
      <c r="R281" s="25">
        <f t="array" aca="1" ref="R281" ca="1">INDEX('Lorri 401b'!L:L,MATCH('Retirement Calculator'!A281,'Lorri 401b'!N:N,0),0)</f>
        <v>3368265.6161397756</v>
      </c>
      <c r="S281" s="25">
        <f t="shared" ca="1" si="267"/>
        <v>4456896.6057989392</v>
      </c>
    </row>
    <row r="282" spans="1:19" ht="15.75" customHeight="1" x14ac:dyDescent="0.3">
      <c r="A282" s="37">
        <v>59537</v>
      </c>
      <c r="B282" s="398">
        <f t="shared" ref="B282:C282" si="283">($A282-B$9)/365.25</f>
        <v>81.125256673511288</v>
      </c>
      <c r="C282" s="398">
        <f t="shared" si="283"/>
        <v>76.514715947980832</v>
      </c>
      <c r="E282" s="25">
        <f>IF(C282&gt;$B$7,0,'Combined Retirement'!$D$13/12)</f>
        <v>0</v>
      </c>
      <c r="F282" s="25">
        <f>IF(H282=0,'Combined Retirement'!$D$32,0)+'Combined Retirement'!$B$24</f>
        <v>2870.372285649099</v>
      </c>
      <c r="G282" s="25">
        <f>'Combined Retirement'!$C$24</f>
        <v>3254.2644699519233</v>
      </c>
      <c r="H282" s="25">
        <f>IF(B282&lt;62,0,'Combined Retirement'!$I$14)</f>
        <v>2345</v>
      </c>
      <c r="I282" s="25">
        <f>IF(C282&lt;62,0,'Combined Retirement'!$I$13)</f>
        <v>2420</v>
      </c>
      <c r="J282" s="25">
        <f t="shared" si="263"/>
        <v>8395.6297298201844</v>
      </c>
      <c r="K282" s="25">
        <f t="shared" si="264"/>
        <v>21655.303514578787</v>
      </c>
      <c r="L282" s="25"/>
      <c r="N282" s="25">
        <f>'Combined Retirement'!$C$18/12</f>
        <v>40940.569999999992</v>
      </c>
      <c r="O282" s="25">
        <f t="shared" si="265"/>
        <v>10889.636755601023</v>
      </c>
      <c r="P282" s="25">
        <f t="shared" si="266"/>
        <v>30050.93324439897</v>
      </c>
      <c r="Q282" s="25">
        <f t="array" aca="1" ref="Q282" ca="1">INDEX('Isaac 401k'!L:L,MATCH('Retirement Calculator'!A282,'Isaac 401k'!N:N,0),0)</f>
        <v>1084736.3405957157</v>
      </c>
      <c r="R282" s="25">
        <f t="array" aca="1" ref="R282" ca="1">INDEX('Lorri 401b'!L:L,MATCH('Retirement Calculator'!A282,'Lorri 401b'!N:N,0),0)</f>
        <v>3360554.5222611353</v>
      </c>
      <c r="S282" s="25">
        <f t="shared" ca="1" si="267"/>
        <v>4445290.862856851</v>
      </c>
    </row>
    <row r="283" spans="1:19" ht="15.75" customHeight="1" x14ac:dyDescent="0.3">
      <c r="A283" s="37">
        <v>59568</v>
      </c>
      <c r="B283" s="398">
        <f t="shared" ref="B283:C283" si="284">($A283-B$9)/365.25</f>
        <v>81.210130047912386</v>
      </c>
      <c r="C283" s="398">
        <f t="shared" si="284"/>
        <v>76.599589322381931</v>
      </c>
      <c r="E283" s="25">
        <f>IF(C283&gt;$B$7,0,'Combined Retirement'!$D$13/12)</f>
        <v>0</v>
      </c>
      <c r="F283" s="25">
        <f>IF(H283=0,'Combined Retirement'!$D$32,0)+'Combined Retirement'!$B$24</f>
        <v>2870.372285649099</v>
      </c>
      <c r="G283" s="25">
        <f>'Combined Retirement'!$C$24</f>
        <v>3254.2644699519233</v>
      </c>
      <c r="H283" s="25">
        <f>IF(B283&lt;62,0,'Combined Retirement'!$I$14)</f>
        <v>2345</v>
      </c>
      <c r="I283" s="25">
        <f>IF(C283&lt;62,0,'Combined Retirement'!$I$13)</f>
        <v>2420</v>
      </c>
      <c r="J283" s="25">
        <f t="shared" si="263"/>
        <v>8395.6297298201844</v>
      </c>
      <c r="K283" s="25">
        <f t="shared" si="264"/>
        <v>21655.303514578787</v>
      </c>
      <c r="L283" s="25"/>
      <c r="N283" s="25">
        <f>'Combined Retirement'!$C$18/12</f>
        <v>40940.569999999992</v>
      </c>
      <c r="O283" s="25">
        <f t="shared" si="265"/>
        <v>10889.636755601023</v>
      </c>
      <c r="P283" s="25">
        <f t="shared" si="266"/>
        <v>30050.93324439897</v>
      </c>
      <c r="Q283" s="25">
        <f t="array" aca="1" ref="Q283" ca="1">INDEX('Isaac 401k'!L:L,MATCH('Retirement Calculator'!A283,'Isaac 401k'!N:N,0),0)</f>
        <v>1080825.4638278368</v>
      </c>
      <c r="R283" s="25">
        <f t="array" aca="1" ref="R283" ca="1">INDEX('Lorri 401b'!L:L,MATCH('Retirement Calculator'!A283,'Lorri 401b'!N:N,0),0)</f>
        <v>3352811.298824667</v>
      </c>
      <c r="S283" s="25">
        <f t="shared" ca="1" si="267"/>
        <v>4433636.7626525033</v>
      </c>
    </row>
    <row r="284" spans="1:19" ht="15.75" customHeight="1" x14ac:dyDescent="0.3">
      <c r="A284" s="37">
        <v>59596</v>
      </c>
      <c r="B284" s="398">
        <f t="shared" ref="B284:C284" si="285">($A284-B$9)/365.25</f>
        <v>81.286789869952088</v>
      </c>
      <c r="C284" s="398">
        <f t="shared" si="285"/>
        <v>76.676249144421632</v>
      </c>
      <c r="E284" s="25">
        <f>IF(C284&gt;$B$7,0,'Combined Retirement'!$D$13/12)</f>
        <v>0</v>
      </c>
      <c r="F284" s="25">
        <f>IF(H284=0,'Combined Retirement'!$D$32,0)+'Combined Retirement'!$B$24</f>
        <v>2870.372285649099</v>
      </c>
      <c r="G284" s="25">
        <f>'Combined Retirement'!$C$24</f>
        <v>3254.2644699519233</v>
      </c>
      <c r="H284" s="25">
        <f>IF(B284&lt;62,0,'Combined Retirement'!$I$14)</f>
        <v>2345</v>
      </c>
      <c r="I284" s="25">
        <f>IF(C284&lt;62,0,'Combined Retirement'!$I$13)</f>
        <v>2420</v>
      </c>
      <c r="J284" s="25">
        <f t="shared" si="263"/>
        <v>8395.6297298201844</v>
      </c>
      <c r="K284" s="25">
        <f t="shared" si="264"/>
        <v>21655.303514578787</v>
      </c>
      <c r="L284" s="25"/>
      <c r="N284" s="25">
        <f>'Combined Retirement'!$C$18/12</f>
        <v>40940.569999999992</v>
      </c>
      <c r="O284" s="25">
        <f t="shared" si="265"/>
        <v>10889.636755601023</v>
      </c>
      <c r="P284" s="25">
        <f t="shared" si="266"/>
        <v>30050.93324439897</v>
      </c>
      <c r="Q284" s="25">
        <f t="array" aca="1" ref="Q284" ca="1">INDEX('Isaac 401k'!L:L,MATCH('Retirement Calculator'!A284,'Isaac 401k'!N:N,0),0)</f>
        <v>1076898.2917400918</v>
      </c>
      <c r="R284" s="25">
        <f t="array" aca="1" ref="R284" ca="1">INDEX('Lorri 401b'!L:L,MATCH('Retirement Calculator'!A284,'Lorri 401b'!N:N,0),0)</f>
        <v>3345035.8119572136</v>
      </c>
      <c r="S284" s="25">
        <f t="shared" ca="1" si="267"/>
        <v>4421934.1036973055</v>
      </c>
    </row>
    <row r="285" spans="1:19" ht="15.75" customHeight="1" x14ac:dyDescent="0.3">
      <c r="A285" s="37">
        <v>59627</v>
      </c>
      <c r="B285" s="398">
        <f t="shared" ref="B285:C285" si="286">($A285-B$9)/365.25</f>
        <v>81.371663244353186</v>
      </c>
      <c r="C285" s="398">
        <f t="shared" si="286"/>
        <v>76.761122518822731</v>
      </c>
      <c r="E285" s="25">
        <f>IF(C285&gt;$B$7,0,'Combined Retirement'!$D$13/12)</f>
        <v>0</v>
      </c>
      <c r="F285" s="25">
        <f>IF(H285=0,'Combined Retirement'!$D$32,0)+'Combined Retirement'!$B$24</f>
        <v>2870.372285649099</v>
      </c>
      <c r="G285" s="25">
        <f>'Combined Retirement'!$C$24</f>
        <v>3254.2644699519233</v>
      </c>
      <c r="H285" s="25">
        <f>IF(B285&lt;62,0,'Combined Retirement'!$I$14)</f>
        <v>2345</v>
      </c>
      <c r="I285" s="25">
        <f>IF(C285&lt;62,0,'Combined Retirement'!$I$13)</f>
        <v>2420</v>
      </c>
      <c r="J285" s="25">
        <f t="shared" si="263"/>
        <v>8395.6297298201844</v>
      </c>
      <c r="K285" s="25">
        <f t="shared" si="264"/>
        <v>21655.303514578787</v>
      </c>
      <c r="L285" s="25"/>
      <c r="N285" s="25">
        <f>'Combined Retirement'!$C$18/12</f>
        <v>40940.569999999992</v>
      </c>
      <c r="O285" s="25">
        <f t="shared" si="265"/>
        <v>10889.636755601023</v>
      </c>
      <c r="P285" s="25">
        <f t="shared" si="266"/>
        <v>30050.93324439897</v>
      </c>
      <c r="Q285" s="25">
        <f t="array" aca="1" ref="Q285" ca="1">INDEX('Isaac 401k'!L:L,MATCH('Retirement Calculator'!A285,'Isaac 401k'!N:N,0),0)</f>
        <v>1072954.7564353144</v>
      </c>
      <c r="R285" s="25">
        <f t="array" aca="1" ref="R285" ca="1">INDEX('Lorri 401b'!L:L,MATCH('Retirement Calculator'!A285,'Lorri 401b'!N:N,0),0)</f>
        <v>3337227.9272278124</v>
      </c>
      <c r="S285" s="25">
        <f t="shared" ca="1" si="267"/>
        <v>4410182.683663127</v>
      </c>
    </row>
    <row r="286" spans="1:19" ht="15.75" customHeight="1" x14ac:dyDescent="0.3">
      <c r="A286" s="37">
        <v>59657</v>
      </c>
      <c r="B286" s="398">
        <f t="shared" ref="B286:C286" si="287">($A286-B$9)/365.25</f>
        <v>81.453798767967143</v>
      </c>
      <c r="C286" s="398">
        <f t="shared" si="287"/>
        <v>76.843258042436688</v>
      </c>
      <c r="E286" s="25">
        <f>IF(C286&gt;$B$7,0,'Combined Retirement'!$D$13/12)</f>
        <v>0</v>
      </c>
      <c r="F286" s="25">
        <f>IF(H286=0,'Combined Retirement'!$D$32,0)+'Combined Retirement'!$B$24</f>
        <v>2870.372285649099</v>
      </c>
      <c r="G286" s="25">
        <f>'Combined Retirement'!$C$24</f>
        <v>3254.2644699519233</v>
      </c>
      <c r="H286" s="25">
        <f>IF(B286&lt;62,0,'Combined Retirement'!$I$14)</f>
        <v>2345</v>
      </c>
      <c r="I286" s="25">
        <f>IF(C286&lt;62,0,'Combined Retirement'!$I$13)</f>
        <v>2420</v>
      </c>
      <c r="J286" s="25">
        <f t="shared" si="263"/>
        <v>8395.6297298201844</v>
      </c>
      <c r="K286" s="25">
        <f t="shared" si="264"/>
        <v>21655.303514578787</v>
      </c>
      <c r="L286" s="25"/>
      <c r="N286" s="25">
        <f>'Combined Retirement'!$C$18/12</f>
        <v>40940.569999999992</v>
      </c>
      <c r="O286" s="25">
        <f t="shared" si="265"/>
        <v>10889.636755601023</v>
      </c>
      <c r="P286" s="25">
        <f t="shared" si="266"/>
        <v>30050.93324439897</v>
      </c>
      <c r="Q286" s="25">
        <f t="array" aca="1" ref="Q286" ca="1">INDEX('Isaac 401k'!L:L,MATCH('Retirement Calculator'!A286,'Isaac 401k'!N:N,0),0)</f>
        <v>1068994.7897334339</v>
      </c>
      <c r="R286" s="25">
        <f t="array" aca="1" ref="R286" ca="1">INDEX('Lorri 401b'!L:L,MATCH('Retirement Calculator'!A286,'Lorri 401b'!N:N,0),0)</f>
        <v>3329387.5096453722</v>
      </c>
      <c r="S286" s="25">
        <f t="shared" ca="1" si="267"/>
        <v>4398382.2993788058</v>
      </c>
    </row>
    <row r="287" spans="1:19" ht="15.75" customHeight="1" x14ac:dyDescent="0.3">
      <c r="A287" s="37">
        <v>59688</v>
      </c>
      <c r="B287" s="398">
        <f t="shared" ref="B287:C287" si="288">($A287-B$9)/365.25</f>
        <v>81.538672142368242</v>
      </c>
      <c r="C287" s="398">
        <f t="shared" si="288"/>
        <v>76.928131416837786</v>
      </c>
      <c r="E287" s="25">
        <f>IF(C287&gt;$B$7,0,'Combined Retirement'!$D$13/12)</f>
        <v>0</v>
      </c>
      <c r="F287" s="25">
        <f>IF(H287=0,'Combined Retirement'!$D$32,0)+'Combined Retirement'!$B$24</f>
        <v>2870.372285649099</v>
      </c>
      <c r="G287" s="25">
        <f>'Combined Retirement'!$C$24</f>
        <v>3254.2644699519233</v>
      </c>
      <c r="H287" s="25">
        <f>IF(B287&lt;62,0,'Combined Retirement'!$I$14)</f>
        <v>2345</v>
      </c>
      <c r="I287" s="25">
        <f>IF(C287&lt;62,0,'Combined Retirement'!$I$13)</f>
        <v>2420</v>
      </c>
      <c r="J287" s="25">
        <f t="shared" si="263"/>
        <v>8395.6297298201844</v>
      </c>
      <c r="K287" s="25">
        <f t="shared" si="264"/>
        <v>21655.303514578787</v>
      </c>
      <c r="L287" s="25"/>
      <c r="N287" s="25">
        <f>'Combined Retirement'!$C$18/12</f>
        <v>40940.569999999992</v>
      </c>
      <c r="O287" s="25">
        <f t="shared" si="265"/>
        <v>10889.636755601023</v>
      </c>
      <c r="P287" s="25">
        <f t="shared" si="266"/>
        <v>30050.93324439897</v>
      </c>
      <c r="Q287" s="25">
        <f t="array" aca="1" ref="Q287" ca="1">INDEX('Isaac 401k'!L:L,MATCH('Retirement Calculator'!A287,'Isaac 401k'!N:N,0),0)</f>
        <v>1065018.3231702955</v>
      </c>
      <c r="R287" s="25">
        <f t="array" aca="1" ref="R287" ca="1">INDEX('Lorri 401b'!L:L,MATCH('Retirement Calculator'!A287,'Lorri 401b'!N:N,0),0)</f>
        <v>3321514.4236563384</v>
      </c>
      <c r="S287" s="25">
        <f t="shared" ca="1" si="267"/>
        <v>4386532.7468266338</v>
      </c>
    </row>
    <row r="288" spans="1:19" ht="15.75" customHeight="1" x14ac:dyDescent="0.3">
      <c r="A288" s="37">
        <v>59718</v>
      </c>
      <c r="B288" s="398">
        <f t="shared" ref="B288:C288" si="289">($A288-B$9)/365.25</f>
        <v>81.620807665982198</v>
      </c>
      <c r="C288" s="398">
        <f t="shared" si="289"/>
        <v>77.010266940451743</v>
      </c>
      <c r="E288" s="25">
        <f>IF(C288&gt;$B$7,0,'Combined Retirement'!$D$13/12)</f>
        <v>0</v>
      </c>
      <c r="F288" s="25">
        <f>IF(H288=0,'Combined Retirement'!$D$32,0)+'Combined Retirement'!$B$24</f>
        <v>2870.372285649099</v>
      </c>
      <c r="G288" s="25">
        <f>'Combined Retirement'!$C$24</f>
        <v>3254.2644699519233</v>
      </c>
      <c r="H288" s="25">
        <f>IF(B288&lt;62,0,'Combined Retirement'!$I$14)</f>
        <v>2345</v>
      </c>
      <c r="I288" s="25">
        <f>IF(C288&lt;62,0,'Combined Retirement'!$I$13)</f>
        <v>2420</v>
      </c>
      <c r="J288" s="25">
        <f t="shared" si="263"/>
        <v>8395.6297298201844</v>
      </c>
      <c r="K288" s="25">
        <f t="shared" si="264"/>
        <v>21655.303514578787</v>
      </c>
      <c r="L288" s="25"/>
      <c r="N288" s="25">
        <f>'Combined Retirement'!$C$18/12</f>
        <v>40940.569999999992</v>
      </c>
      <c r="O288" s="25">
        <f t="shared" si="265"/>
        <v>10889.636755601023</v>
      </c>
      <c r="P288" s="25">
        <f t="shared" si="266"/>
        <v>30050.93324439897</v>
      </c>
      <c r="Q288" s="25">
        <f t="array" aca="1" ref="Q288" ca="1">INDEX('Isaac 401k'!L:L,MATCH('Retirement Calculator'!A288,'Isaac 401k'!N:N,0),0)</f>
        <v>1061025.2879964772</v>
      </c>
      <c r="R288" s="25">
        <f t="array" aca="1" ref="R288" ca="1">INDEX('Lorri 401b'!L:L,MATCH('Retirement Calculator'!A288,'Lorri 401b'!N:N,0),0)</f>
        <v>3313608.5331423501</v>
      </c>
      <c r="S288" s="25">
        <f t="shared" ca="1" si="267"/>
        <v>4374633.8211388271</v>
      </c>
    </row>
    <row r="289" spans="1:19" ht="15.75" customHeight="1" x14ac:dyDescent="0.3">
      <c r="A289" s="37">
        <v>59749</v>
      </c>
      <c r="B289" s="398">
        <f t="shared" ref="B289:C289" si="290">($A289-B$9)/365.25</f>
        <v>81.705681040383297</v>
      </c>
      <c r="C289" s="398">
        <f t="shared" si="290"/>
        <v>77.095140314852841</v>
      </c>
      <c r="E289" s="25">
        <f>IF(C289&gt;$B$7,0,'Combined Retirement'!$D$13/12)</f>
        <v>0</v>
      </c>
      <c r="F289" s="25">
        <f>IF(H289=0,'Combined Retirement'!$D$32,0)+'Combined Retirement'!$B$24</f>
        <v>2870.372285649099</v>
      </c>
      <c r="G289" s="25">
        <f>'Combined Retirement'!$C$24</f>
        <v>3254.2644699519233</v>
      </c>
      <c r="H289" s="25">
        <f>IF(B289&lt;62,0,'Combined Retirement'!$I$14)</f>
        <v>2345</v>
      </c>
      <c r="I289" s="25">
        <f>IF(C289&lt;62,0,'Combined Retirement'!$I$13)</f>
        <v>2420</v>
      </c>
      <c r="J289" s="25">
        <f t="shared" si="263"/>
        <v>8395.6297298201844</v>
      </c>
      <c r="K289" s="25">
        <f t="shared" si="264"/>
        <v>21655.303514578787</v>
      </c>
      <c r="L289" s="25"/>
      <c r="N289" s="25">
        <f>'Combined Retirement'!$C$18/12</f>
        <v>40940.569999999992</v>
      </c>
      <c r="O289" s="25">
        <f t="shared" si="265"/>
        <v>10889.636755601023</v>
      </c>
      <c r="P289" s="25">
        <f t="shared" si="266"/>
        <v>30050.93324439897</v>
      </c>
      <c r="Q289" s="25">
        <f t="array" aca="1" ref="Q289" ca="1">INDEX('Isaac 401k'!L:L,MATCH('Retirement Calculator'!A289,'Isaac 401k'!N:N,0),0)</f>
        <v>1057015.6151761014</v>
      </c>
      <c r="R289" s="25">
        <f t="array" aca="1" ref="R289" ca="1">INDEX('Lorri 401b'!L:L,MATCH('Retirement Calculator'!A289,'Lorri 401b'!N:N,0),0)</f>
        <v>3305669.7014178871</v>
      </c>
      <c r="S289" s="25">
        <f t="shared" ca="1" si="267"/>
        <v>4362685.3165939888</v>
      </c>
    </row>
    <row r="290" spans="1:19" ht="15.75" customHeight="1" x14ac:dyDescent="0.3">
      <c r="A290" s="37">
        <v>59780</v>
      </c>
      <c r="B290" s="398">
        <f t="shared" ref="B290:C290" si="291">($A290-B$9)/365.25</f>
        <v>81.790554414784395</v>
      </c>
      <c r="C290" s="398">
        <f t="shared" si="291"/>
        <v>77.18001368925394</v>
      </c>
      <c r="E290" s="25">
        <f>IF(C290&gt;$B$7,0,'Combined Retirement'!$D$13/12)</f>
        <v>0</v>
      </c>
      <c r="F290" s="25">
        <f>IF(H290=0,'Combined Retirement'!$D$32,0)+'Combined Retirement'!$B$24</f>
        <v>2870.372285649099</v>
      </c>
      <c r="G290" s="25">
        <f>'Combined Retirement'!$C$24</f>
        <v>3254.2644699519233</v>
      </c>
      <c r="H290" s="25">
        <f>IF(B290&lt;62,0,'Combined Retirement'!$I$14)</f>
        <v>2345</v>
      </c>
      <c r="I290" s="25">
        <f>IF(C290&lt;62,0,'Combined Retirement'!$I$13)</f>
        <v>2420</v>
      </c>
      <c r="J290" s="25">
        <f t="shared" si="263"/>
        <v>8395.6297298201844</v>
      </c>
      <c r="K290" s="25">
        <f t="shared" si="264"/>
        <v>21655.303514578787</v>
      </c>
      <c r="L290" s="25"/>
      <c r="N290" s="25">
        <f>'Combined Retirement'!$C$18/12</f>
        <v>40940.569999999992</v>
      </c>
      <c r="O290" s="25">
        <f t="shared" si="265"/>
        <v>10889.636755601023</v>
      </c>
      <c r="P290" s="25">
        <f t="shared" si="266"/>
        <v>30050.93324439897</v>
      </c>
      <c r="Q290" s="25">
        <f t="array" aca="1" ref="Q290" ca="1">INDEX('Isaac 401k'!L:L,MATCH('Retirement Calculator'!A290,'Isaac 401k'!N:N,0),0)</f>
        <v>1052989.2353856408</v>
      </c>
      <c r="R290" s="25">
        <f t="array" aca="1" ref="R290" ca="1">INDEX('Lorri 401b'!L:L,MATCH('Retirement Calculator'!A290,'Lorri 401b'!N:N,0),0)</f>
        <v>3297697.7912279055</v>
      </c>
      <c r="S290" s="25">
        <f t="shared" ca="1" si="267"/>
        <v>4350687.0266135465</v>
      </c>
    </row>
    <row r="291" spans="1:19" ht="15.75" customHeight="1" x14ac:dyDescent="0.3">
      <c r="A291" s="37">
        <v>59810</v>
      </c>
      <c r="B291" s="398">
        <f t="shared" ref="B291:C291" si="292">($A291-B$9)/365.25</f>
        <v>81.872689938398352</v>
      </c>
      <c r="C291" s="398">
        <f t="shared" si="292"/>
        <v>77.262149212867897</v>
      </c>
      <c r="E291" s="25">
        <f>IF(C291&gt;$B$7,0,'Combined Retirement'!$D$13/12)</f>
        <v>0</v>
      </c>
      <c r="F291" s="25">
        <f>IF(H291=0,'Combined Retirement'!$D$32,0)+'Combined Retirement'!$B$24</f>
        <v>2870.372285649099</v>
      </c>
      <c r="G291" s="25">
        <f>'Combined Retirement'!$C$24</f>
        <v>3254.2644699519233</v>
      </c>
      <c r="H291" s="25">
        <f>IF(B291&lt;62,0,'Combined Retirement'!$I$14)</f>
        <v>2345</v>
      </c>
      <c r="I291" s="25">
        <f>IF(C291&lt;62,0,'Combined Retirement'!$I$13)</f>
        <v>2420</v>
      </c>
      <c r="J291" s="25">
        <f t="shared" si="263"/>
        <v>8395.6297298201844</v>
      </c>
      <c r="K291" s="25">
        <f t="shared" si="264"/>
        <v>21655.303514578787</v>
      </c>
      <c r="L291" s="25"/>
      <c r="N291" s="25">
        <f>'Combined Retirement'!$C$18/12</f>
        <v>40940.569999999992</v>
      </c>
      <c r="O291" s="25">
        <f t="shared" si="265"/>
        <v>10889.636755601023</v>
      </c>
      <c r="P291" s="25">
        <f t="shared" si="266"/>
        <v>30050.93324439897</v>
      </c>
      <c r="Q291" s="25">
        <f t="array" aca="1" ref="Q291" ca="1">INDEX('Isaac 401k'!L:L,MATCH('Retirement Calculator'!A291,'Isaac 401k'!N:N,0),0)</f>
        <v>1048946.0790127199</v>
      </c>
      <c r="R291" s="25">
        <f t="array" aca="1" ref="R291" ca="1">INDEX('Lorri 401b'!L:L,MATCH('Retirement Calculator'!A291,'Lorri 401b'!N:N,0),0)</f>
        <v>3289692.6647454654</v>
      </c>
      <c r="S291" s="25">
        <f t="shared" ca="1" si="267"/>
        <v>4338638.7437581848</v>
      </c>
    </row>
    <row r="292" spans="1:19" ht="15.75" customHeight="1" x14ac:dyDescent="0.3">
      <c r="A292" s="37">
        <v>59841</v>
      </c>
      <c r="B292" s="398">
        <f t="shared" ref="B292:C292" si="293">($A292-B$9)/365.25</f>
        <v>81.957563312799451</v>
      </c>
      <c r="C292" s="398">
        <f t="shared" si="293"/>
        <v>77.347022587268995</v>
      </c>
      <c r="E292" s="25">
        <f>IF(C292&gt;$B$7,0,'Combined Retirement'!$D$13/12)</f>
        <v>0</v>
      </c>
      <c r="F292" s="25">
        <f>IF(H292=0,'Combined Retirement'!$D$32,0)+'Combined Retirement'!$B$24</f>
        <v>2870.372285649099</v>
      </c>
      <c r="G292" s="25">
        <f>'Combined Retirement'!$C$24</f>
        <v>3254.2644699519233</v>
      </c>
      <c r="H292" s="25">
        <f>IF(B292&lt;62,0,'Combined Retirement'!$I$14)</f>
        <v>2345</v>
      </c>
      <c r="I292" s="25">
        <f>IF(C292&lt;62,0,'Combined Retirement'!$I$13)</f>
        <v>2420</v>
      </c>
      <c r="J292" s="25">
        <f t="shared" si="263"/>
        <v>8395.6297298201844</v>
      </c>
      <c r="K292" s="25">
        <f t="shared" si="264"/>
        <v>21655.303514578787</v>
      </c>
      <c r="L292" s="25"/>
      <c r="N292" s="25">
        <f>'Combined Retirement'!$C$18/12</f>
        <v>40940.569999999992</v>
      </c>
      <c r="O292" s="25">
        <f t="shared" si="265"/>
        <v>10889.636755601023</v>
      </c>
      <c r="P292" s="25">
        <f t="shared" si="266"/>
        <v>30050.93324439897</v>
      </c>
      <c r="Q292" s="25">
        <f t="array" aca="1" ref="Q292" ca="1">INDEX('Isaac 401k'!L:L,MATCH('Retirement Calculator'!A292,'Isaac 401k'!N:N,0),0)</f>
        <v>1044886.0761549118</v>
      </c>
      <c r="R292" s="25">
        <f t="array" aca="1" ref="R292" ca="1">INDEX('Lorri 401b'!L:L,MATCH('Retirement Calculator'!A292,'Lorri 401b'!N:N,0),0)</f>
        <v>3281654.1835693484</v>
      </c>
      <c r="S292" s="25">
        <f t="shared" ca="1" si="267"/>
        <v>4326540.2597242603</v>
      </c>
    </row>
    <row r="293" spans="1:19" ht="15.75" customHeight="1" x14ac:dyDescent="0.3">
      <c r="A293" s="37">
        <v>59871</v>
      </c>
      <c r="B293" s="398">
        <f t="shared" ref="B293:C293" si="294">($A293-B$9)/365.25</f>
        <v>82.039698836413422</v>
      </c>
      <c r="C293" s="398">
        <f t="shared" si="294"/>
        <v>77.429158110882952</v>
      </c>
      <c r="E293" s="25">
        <f>IF(C293&gt;$B$7,0,'Combined Retirement'!$D$13/12)</f>
        <v>0</v>
      </c>
      <c r="F293" s="25">
        <f>IF(H293=0,'Combined Retirement'!$D$32,0)+'Combined Retirement'!$B$24</f>
        <v>2870.372285649099</v>
      </c>
      <c r="G293" s="25">
        <f>'Combined Retirement'!$C$24</f>
        <v>3254.2644699519233</v>
      </c>
      <c r="H293" s="25">
        <f>IF(B293&lt;62,0,'Combined Retirement'!$I$14)</f>
        <v>2345</v>
      </c>
      <c r="I293" s="25">
        <f>IF(C293&lt;62,0,'Combined Retirement'!$I$13)</f>
        <v>2420</v>
      </c>
      <c r="J293" s="25">
        <f t="shared" si="263"/>
        <v>8395.6297298201844</v>
      </c>
      <c r="K293" s="25">
        <f t="shared" si="264"/>
        <v>21655.303514578787</v>
      </c>
      <c r="L293" s="25"/>
      <c r="N293" s="25">
        <f>'Combined Retirement'!$C$18/12</f>
        <v>40940.569999999992</v>
      </c>
      <c r="O293" s="25">
        <f t="shared" si="265"/>
        <v>10889.636755601023</v>
      </c>
      <c r="P293" s="25">
        <f t="shared" si="266"/>
        <v>30050.93324439897</v>
      </c>
      <c r="Q293" s="25">
        <f t="array" aca="1" ref="Q293" ca="1">INDEX('Isaac 401k'!L:L,MATCH('Retirement Calculator'!A293,'Isaac 401k'!N:N,0),0)</f>
        <v>1040809.1566185295</v>
      </c>
      <c r="R293" s="25">
        <f t="array" aca="1" ref="R293" ca="1">INDEX('Lorri 401b'!L:L,MATCH('Retirement Calculator'!A293,'Lorri 401b'!N:N,0),0)</f>
        <v>3273582.2087216643</v>
      </c>
      <c r="S293" s="25">
        <f t="shared" ca="1" si="267"/>
        <v>4314391.3653401937</v>
      </c>
    </row>
    <row r="294" spans="1:19" ht="15.75" customHeight="1" x14ac:dyDescent="0.3">
      <c r="A294" s="37">
        <v>59902</v>
      </c>
      <c r="B294" s="398">
        <f t="shared" ref="B294:C294" si="295">($A294-B$9)/365.25</f>
        <v>82.124572210814506</v>
      </c>
      <c r="C294" s="398">
        <f t="shared" si="295"/>
        <v>77.51403148528405</v>
      </c>
      <c r="E294" s="25">
        <f>IF(C294&gt;$B$7,0,'Combined Retirement'!$D$13/12)</f>
        <v>0</v>
      </c>
      <c r="F294" s="25">
        <f>IF(H294=0,'Combined Retirement'!$D$32,0)+'Combined Retirement'!$B$24</f>
        <v>2870.372285649099</v>
      </c>
      <c r="G294" s="25">
        <f>'Combined Retirement'!$C$24</f>
        <v>3254.2644699519233</v>
      </c>
      <c r="H294" s="25">
        <f>IF(B294&lt;62,0,'Combined Retirement'!$I$14)</f>
        <v>2345</v>
      </c>
      <c r="I294" s="25">
        <f>IF(C294&lt;62,0,'Combined Retirement'!$I$13)</f>
        <v>2420</v>
      </c>
      <c r="J294" s="25">
        <f t="shared" si="263"/>
        <v>8395.6297298201844</v>
      </c>
      <c r="K294" s="25">
        <f t="shared" si="264"/>
        <v>21655.303514578787</v>
      </c>
      <c r="L294" s="25"/>
      <c r="N294" s="25">
        <f>'Combined Retirement'!$C$18/12</f>
        <v>40940.569999999992</v>
      </c>
      <c r="O294" s="25">
        <f t="shared" si="265"/>
        <v>10889.636755601023</v>
      </c>
      <c r="P294" s="25">
        <f t="shared" si="266"/>
        <v>30050.93324439897</v>
      </c>
      <c r="Q294" s="25">
        <f t="array" aca="1" ref="Q294" ca="1">INDEX('Isaac 401k'!L:L,MATCH('Retirement Calculator'!A294,'Isaac 401k'!N:N,0),0)</f>
        <v>1036715.2499174123</v>
      </c>
      <c r="R294" s="25">
        <f t="array" aca="1" ref="R294" ca="1">INDEX('Lorri 401b'!L:L,MATCH('Retirement Calculator'!A294,'Lorri 401b'!N:N,0),0)</f>
        <v>3265476.6006454481</v>
      </c>
      <c r="S294" s="25">
        <f t="shared" ca="1" si="267"/>
        <v>4302191.8505628603</v>
      </c>
    </row>
    <row r="295" spans="1:19" ht="15.75" customHeight="1" x14ac:dyDescent="0.3">
      <c r="A295" s="37">
        <v>59933</v>
      </c>
      <c r="B295" s="398">
        <f t="shared" ref="B295:C295" si="296">($A295-B$9)/365.25</f>
        <v>82.209445585215605</v>
      </c>
      <c r="C295" s="398">
        <f t="shared" si="296"/>
        <v>77.598904859685149</v>
      </c>
      <c r="E295" s="25">
        <f>IF(C295&gt;$B$7,0,'Combined Retirement'!$D$13/12)</f>
        <v>0</v>
      </c>
      <c r="F295" s="25">
        <f>IF(H295=0,'Combined Retirement'!$D$32,0)+'Combined Retirement'!$B$24</f>
        <v>2870.372285649099</v>
      </c>
      <c r="G295" s="25">
        <f>'Combined Retirement'!$C$24</f>
        <v>3254.2644699519233</v>
      </c>
      <c r="H295" s="25">
        <f>IF(B295&lt;62,0,'Combined Retirement'!$I$14)</f>
        <v>2345</v>
      </c>
      <c r="I295" s="25">
        <f>IF(C295&lt;62,0,'Combined Retirement'!$I$13)</f>
        <v>2420</v>
      </c>
      <c r="J295" s="25">
        <f t="shared" si="263"/>
        <v>8395.6297298201844</v>
      </c>
      <c r="K295" s="25">
        <f t="shared" si="264"/>
        <v>21655.303514578787</v>
      </c>
      <c r="L295" s="25"/>
      <c r="N295" s="25">
        <f>'Combined Retirement'!$C$18/12</f>
        <v>40940.569999999992</v>
      </c>
      <c r="O295" s="25">
        <f t="shared" si="265"/>
        <v>10889.636755601023</v>
      </c>
      <c r="P295" s="25">
        <f t="shared" si="266"/>
        <v>30050.93324439897</v>
      </c>
      <c r="Q295" s="25">
        <f t="array" aca="1" ref="Q295" ca="1">INDEX('Isaac 401k'!L:L,MATCH('Retirement Calculator'!A295,'Isaac 401k'!N:N,0),0)</f>
        <v>1032604.2852717071</v>
      </c>
      <c r="R295" s="25">
        <f t="array" aca="1" ref="R295" ca="1">INDEX('Lorri 401b'!L:L,MATCH('Retirement Calculator'!A295,'Lorri 401b'!N:N,0),0)</f>
        <v>3257337.2192022479</v>
      </c>
      <c r="S295" s="25">
        <f t="shared" ca="1" si="267"/>
        <v>4289941.5044739554</v>
      </c>
    </row>
    <row r="296" spans="1:19" ht="15.75" customHeight="1" x14ac:dyDescent="0.3">
      <c r="A296" s="37">
        <v>59962</v>
      </c>
      <c r="B296" s="398">
        <f t="shared" ref="B296:C296" si="297">($A296-B$9)/365.25</f>
        <v>82.288843258042434</v>
      </c>
      <c r="C296" s="398">
        <f t="shared" si="297"/>
        <v>77.678302532511978</v>
      </c>
      <c r="E296" s="25">
        <f>IF(C296&gt;$B$7,0,'Combined Retirement'!$D$13/12)</f>
        <v>0</v>
      </c>
      <c r="F296" s="25">
        <f>IF(H296=0,'Combined Retirement'!$D$32,0)+'Combined Retirement'!$B$24</f>
        <v>2870.372285649099</v>
      </c>
      <c r="G296" s="25">
        <f>'Combined Retirement'!$C$24</f>
        <v>3254.2644699519233</v>
      </c>
      <c r="H296" s="25">
        <f>IF(B296&lt;62,0,'Combined Retirement'!$I$14)</f>
        <v>2345</v>
      </c>
      <c r="I296" s="25">
        <f>IF(C296&lt;62,0,'Combined Retirement'!$I$13)</f>
        <v>2420</v>
      </c>
      <c r="J296" s="25">
        <f t="shared" si="263"/>
        <v>8395.6297298201844</v>
      </c>
      <c r="K296" s="25">
        <f t="shared" si="264"/>
        <v>21655.303514578787</v>
      </c>
      <c r="L296" s="25"/>
      <c r="N296" s="25">
        <f>'Combined Retirement'!$C$18/12</f>
        <v>40940.569999999992</v>
      </c>
      <c r="O296" s="25">
        <f t="shared" si="265"/>
        <v>10889.636755601023</v>
      </c>
      <c r="P296" s="25">
        <f t="shared" si="266"/>
        <v>30050.93324439897</v>
      </c>
      <c r="Q296" s="25">
        <f t="array" aca="1" ref="Q296" ca="1">INDEX('Isaac 401k'!L:L,MATCH('Retirement Calculator'!A296,'Isaac 401k'!N:N,0),0)</f>
        <v>1028476.1916066448</v>
      </c>
      <c r="R296" s="25">
        <f t="array" aca="1" ref="R296" ca="1">INDEX('Lorri 401b'!L:L,MATCH('Retirement Calculator'!A296,'Lorri 401b'!N:N,0),0)</f>
        <v>3249163.923669701</v>
      </c>
      <c r="S296" s="25">
        <f t="shared" ca="1" si="267"/>
        <v>4277640.115276346</v>
      </c>
    </row>
    <row r="297" spans="1:19" ht="15.75" customHeight="1" x14ac:dyDescent="0.3">
      <c r="A297" s="37">
        <v>59993</v>
      </c>
      <c r="B297" s="398">
        <f t="shared" ref="B297:C297" si="298">($A297-B$9)/365.25</f>
        <v>82.373716632443532</v>
      </c>
      <c r="C297" s="398">
        <f t="shared" si="298"/>
        <v>77.763175906913077</v>
      </c>
      <c r="E297" s="25">
        <f>IF(C297&gt;$B$7,0,'Combined Retirement'!$D$13/12)</f>
        <v>0</v>
      </c>
      <c r="F297" s="25">
        <f>IF(H297=0,'Combined Retirement'!$D$32,0)+'Combined Retirement'!$B$24</f>
        <v>2870.372285649099</v>
      </c>
      <c r="G297" s="25">
        <f>'Combined Retirement'!$C$24</f>
        <v>3254.2644699519233</v>
      </c>
      <c r="H297" s="25">
        <f>IF(B297&lt;62,0,'Combined Retirement'!$I$14)</f>
        <v>2345</v>
      </c>
      <c r="I297" s="25">
        <f>IF(C297&lt;62,0,'Combined Retirement'!$I$13)</f>
        <v>2420</v>
      </c>
      <c r="J297" s="25">
        <f t="shared" si="263"/>
        <v>8395.6297298201844</v>
      </c>
      <c r="K297" s="25">
        <f t="shared" si="264"/>
        <v>21655.303514578787</v>
      </c>
      <c r="L297" s="25"/>
      <c r="N297" s="25">
        <f>'Combined Retirement'!$C$18/12</f>
        <v>40940.569999999992</v>
      </c>
      <c r="O297" s="25">
        <f t="shared" si="265"/>
        <v>10889.636755601023</v>
      </c>
      <c r="P297" s="25">
        <f t="shared" si="266"/>
        <v>30050.93324439897</v>
      </c>
      <c r="Q297" s="25">
        <f t="array" aca="1" ref="Q297" ca="1">INDEX('Isaac 401k'!L:L,MATCH('Retirement Calculator'!A297,'Isaac 401k'!N:N,0),0)</f>
        <v>1024330.8975513114</v>
      </c>
      <c r="R297" s="25">
        <f t="array" aca="1" ref="R297" ca="1">INDEX('Lorri 401b'!L:L,MATCH('Retirement Calculator'!A297,'Lorri 401b'!N:N,0),0)</f>
        <v>3240956.5727391019</v>
      </c>
      <c r="S297" s="25">
        <f t="shared" ca="1" si="267"/>
        <v>4265287.4702904131</v>
      </c>
    </row>
    <row r="298" spans="1:19" ht="15.75" customHeight="1" x14ac:dyDescent="0.3">
      <c r="A298" s="37">
        <v>60023</v>
      </c>
      <c r="B298" s="398">
        <f t="shared" ref="B298:C298" si="299">($A298-B$9)/365.25</f>
        <v>82.455852156057489</v>
      </c>
      <c r="C298" s="398">
        <f t="shared" si="299"/>
        <v>77.845311430527033</v>
      </c>
      <c r="E298" s="25">
        <f>IF(C298&gt;$B$7,0,'Combined Retirement'!$D$13/12)</f>
        <v>0</v>
      </c>
      <c r="F298" s="25">
        <f>IF(H298=0,'Combined Retirement'!$D$32,0)+'Combined Retirement'!$B$24</f>
        <v>2870.372285649099</v>
      </c>
      <c r="G298" s="25">
        <f>'Combined Retirement'!$C$24</f>
        <v>3254.2644699519233</v>
      </c>
      <c r="H298" s="25">
        <f>IF(B298&lt;62,0,'Combined Retirement'!$I$14)</f>
        <v>2345</v>
      </c>
      <c r="I298" s="25">
        <f>IF(C298&lt;62,0,'Combined Retirement'!$I$13)</f>
        <v>2420</v>
      </c>
      <c r="J298" s="25">
        <f t="shared" si="263"/>
        <v>8395.6297298201844</v>
      </c>
      <c r="K298" s="25">
        <f t="shared" si="264"/>
        <v>21655.303514578787</v>
      </c>
      <c r="L298" s="25"/>
      <c r="N298" s="25">
        <f>'Combined Retirement'!$C$18/12</f>
        <v>40940.569999999992</v>
      </c>
      <c r="O298" s="25">
        <f t="shared" si="265"/>
        <v>10889.636755601023</v>
      </c>
      <c r="P298" s="25">
        <f t="shared" si="266"/>
        <v>30050.93324439897</v>
      </c>
      <c r="Q298" s="25">
        <f t="array" aca="1" ref="Q298" ca="1">INDEX('Isaac 401k'!L:L,MATCH('Retirement Calculator'!A298,'Isaac 401k'!N:N,0),0)</f>
        <v>1020168.3314374142</v>
      </c>
      <c r="R298" s="25">
        <f t="array" aca="1" ref="R298" ca="1">INDEX('Lorri 401b'!L:L,MATCH('Retirement Calculator'!A298,'Lorri 401b'!N:N,0),0)</f>
        <v>3232715.0245129587</v>
      </c>
      <c r="S298" s="25">
        <f t="shared" ca="1" si="267"/>
        <v>4252883.3559503732</v>
      </c>
    </row>
    <row r="299" spans="1:19" ht="15.75" customHeight="1" x14ac:dyDescent="0.3">
      <c r="A299" s="37">
        <v>60054</v>
      </c>
      <c r="B299" s="398">
        <f t="shared" ref="B299:C299" si="300">($A299-B$9)/365.25</f>
        <v>82.540725530458587</v>
      </c>
      <c r="C299" s="398">
        <f t="shared" si="300"/>
        <v>77.930184804928132</v>
      </c>
      <c r="E299" s="25">
        <f>IF(C299&gt;$B$7,0,'Combined Retirement'!$D$13/12)</f>
        <v>0</v>
      </c>
      <c r="F299" s="25">
        <f>IF(H299=0,'Combined Retirement'!$D$32,0)+'Combined Retirement'!$B$24</f>
        <v>2870.372285649099</v>
      </c>
      <c r="G299" s="25">
        <f>'Combined Retirement'!$C$24</f>
        <v>3254.2644699519233</v>
      </c>
      <c r="H299" s="25">
        <f>IF(B299&lt;62,0,'Combined Retirement'!$I$14)</f>
        <v>2345</v>
      </c>
      <c r="I299" s="25">
        <f>IF(C299&lt;62,0,'Combined Retirement'!$I$13)</f>
        <v>2420</v>
      </c>
      <c r="J299" s="25">
        <f t="shared" si="263"/>
        <v>8395.6297298201844</v>
      </c>
      <c r="K299" s="25">
        <f t="shared" si="264"/>
        <v>21655.303514578787</v>
      </c>
      <c r="L299" s="25"/>
      <c r="N299" s="25">
        <f>'Combined Retirement'!$C$18/12</f>
        <v>40940.569999999992</v>
      </c>
      <c r="O299" s="25">
        <f t="shared" si="265"/>
        <v>10889.636755601023</v>
      </c>
      <c r="P299" s="25">
        <f t="shared" si="266"/>
        <v>30050.93324439897</v>
      </c>
      <c r="Q299" s="25">
        <f t="array" aca="1" ref="Q299" ca="1">INDEX('Isaac 401k'!L:L,MATCH('Retirement Calculator'!A299,'Isaac 401k'!N:N,0),0)</f>
        <v>1015988.4212980423</v>
      </c>
      <c r="R299" s="25">
        <f t="array" aca="1" ref="R299" ca="1">INDEX('Lorri 401b'!L:L,MATCH('Retirement Calculator'!A299,'Lorri 401b'!N:N,0),0)</f>
        <v>3224439.1365025397</v>
      </c>
      <c r="S299" s="25">
        <f t="shared" ca="1" si="267"/>
        <v>4240427.5578005817</v>
      </c>
    </row>
    <row r="300" spans="1:19" ht="15.75" customHeight="1" x14ac:dyDescent="0.3">
      <c r="A300" s="37">
        <v>60084</v>
      </c>
      <c r="B300" s="398">
        <f t="shared" ref="B300:C300" si="301">($A300-B$9)/365.25</f>
        <v>82.622861054072558</v>
      </c>
      <c r="C300" s="398">
        <f t="shared" si="301"/>
        <v>78.012320328542089</v>
      </c>
      <c r="E300" s="25">
        <f>IF(C300&gt;$B$7,0,'Combined Retirement'!$D$13/12)</f>
        <v>0</v>
      </c>
      <c r="F300" s="25">
        <f>IF(H300=0,'Combined Retirement'!$D$32,0)+'Combined Retirement'!$B$24</f>
        <v>2870.372285649099</v>
      </c>
      <c r="G300" s="25">
        <f>'Combined Retirement'!$C$24</f>
        <v>3254.2644699519233</v>
      </c>
      <c r="H300" s="25">
        <f>IF(B300&lt;62,0,'Combined Retirement'!$I$14)</f>
        <v>2345</v>
      </c>
      <c r="I300" s="25">
        <f>IF(C300&lt;62,0,'Combined Retirement'!$I$13)</f>
        <v>2420</v>
      </c>
      <c r="J300" s="25">
        <f t="shared" si="263"/>
        <v>8395.6297298201844</v>
      </c>
      <c r="K300" s="25">
        <f t="shared" si="264"/>
        <v>21655.303514578787</v>
      </c>
      <c r="L300" s="25"/>
      <c r="N300" s="25">
        <f>'Combined Retirement'!$C$18/12</f>
        <v>40940.569999999992</v>
      </c>
      <c r="O300" s="25">
        <f t="shared" si="265"/>
        <v>10889.636755601023</v>
      </c>
      <c r="P300" s="25">
        <f t="shared" si="266"/>
        <v>30050.93324439897</v>
      </c>
      <c r="Q300" s="25">
        <f t="array" aca="1" ref="Q300" ca="1">INDEX('Isaac 401k'!L:L,MATCH('Retirement Calculator'!A300,'Isaac 401k'!N:N,0),0)</f>
        <v>1011791.0948664231</v>
      </c>
      <c r="R300" s="25">
        <f t="array" aca="1" ref="R300" ca="1">INDEX('Lorri 401b'!L:L,MATCH('Retirement Calculator'!A300,'Lorri 401b'!N:N,0),0)</f>
        <v>3216128.7656254107</v>
      </c>
      <c r="S300" s="25">
        <f t="shared" ca="1" si="267"/>
        <v>4227919.8604918336</v>
      </c>
    </row>
    <row r="301" spans="1:19" ht="15.75" customHeight="1" x14ac:dyDescent="0.3">
      <c r="A301" s="37">
        <v>60115</v>
      </c>
      <c r="B301" s="398">
        <f t="shared" ref="B301:C301" si="302">($A301-B$9)/365.25</f>
        <v>82.707734428473643</v>
      </c>
      <c r="C301" s="398">
        <f t="shared" si="302"/>
        <v>78.097193702943187</v>
      </c>
      <c r="E301" s="25">
        <f>IF(C301&gt;$B$7,0,'Combined Retirement'!$D$13/12)</f>
        <v>0</v>
      </c>
      <c r="F301" s="25">
        <f>IF(H301=0,'Combined Retirement'!$D$32,0)+'Combined Retirement'!$B$24</f>
        <v>2870.372285649099</v>
      </c>
      <c r="G301" s="25">
        <f>'Combined Retirement'!$C$24</f>
        <v>3254.2644699519233</v>
      </c>
      <c r="H301" s="25">
        <f>IF(B301&lt;62,0,'Combined Retirement'!$I$14)</f>
        <v>2345</v>
      </c>
      <c r="I301" s="25">
        <f>IF(C301&lt;62,0,'Combined Retirement'!$I$13)</f>
        <v>2420</v>
      </c>
      <c r="J301" s="25">
        <f t="shared" si="263"/>
        <v>8395.6297298201844</v>
      </c>
      <c r="K301" s="25">
        <f t="shared" si="264"/>
        <v>21655.303514578787</v>
      </c>
      <c r="L301" s="25"/>
      <c r="N301" s="25">
        <f>'Combined Retirement'!$C$18/12</f>
        <v>40940.569999999992</v>
      </c>
      <c r="O301" s="25">
        <f t="shared" si="265"/>
        <v>10889.636755601023</v>
      </c>
      <c r="P301" s="25">
        <f t="shared" si="266"/>
        <v>30050.93324439897</v>
      </c>
      <c r="Q301" s="25">
        <f t="array" aca="1" ref="Q301" ca="1">INDEX('Isaac 401k'!L:L,MATCH('Retirement Calculator'!A301,'Isaac 401k'!N:N,0),0)</f>
        <v>1007576.279574672</v>
      </c>
      <c r="R301" s="25">
        <f t="array" aca="1" ref="R301" ca="1">INDEX('Lorri 401b'!L:L,MATCH('Retirement Calculator'!A301,'Lorri 401b'!N:N,0),0)</f>
        <v>3207783.7682029605</v>
      </c>
      <c r="S301" s="25">
        <f t="shared" ca="1" si="267"/>
        <v>4215360.0477776323</v>
      </c>
    </row>
    <row r="302" spans="1:19" ht="15.75" customHeight="1" x14ac:dyDescent="0.3">
      <c r="A302" s="37">
        <v>60146</v>
      </c>
      <c r="B302" s="398">
        <f t="shared" ref="B302:C302" si="303">($A302-B$9)/365.25</f>
        <v>82.792607802874741</v>
      </c>
      <c r="C302" s="398">
        <f t="shared" si="303"/>
        <v>78.182067077344286</v>
      </c>
      <c r="E302" s="25">
        <f>IF(C302&gt;$B$7,0,'Combined Retirement'!$D$13/12)</f>
        <v>0</v>
      </c>
      <c r="F302" s="25">
        <f>IF(H302=0,'Combined Retirement'!$D$32,0)+'Combined Retirement'!$B$24</f>
        <v>2870.372285649099</v>
      </c>
      <c r="G302" s="25">
        <f>'Combined Retirement'!$C$24</f>
        <v>3254.2644699519233</v>
      </c>
      <c r="H302" s="25">
        <f>IF(B302&lt;62,0,'Combined Retirement'!$I$14)</f>
        <v>2345</v>
      </c>
      <c r="I302" s="25">
        <f>IF(C302&lt;62,0,'Combined Retirement'!$I$13)</f>
        <v>2420</v>
      </c>
      <c r="J302" s="25">
        <f t="shared" si="263"/>
        <v>8395.6297298201844</v>
      </c>
      <c r="K302" s="25">
        <f t="shared" si="264"/>
        <v>21655.303514578787</v>
      </c>
      <c r="L302" s="25"/>
      <c r="N302" s="25">
        <f>'Combined Retirement'!$C$18/12</f>
        <v>40940.569999999992</v>
      </c>
      <c r="O302" s="25">
        <f t="shared" si="265"/>
        <v>10889.636755601023</v>
      </c>
      <c r="P302" s="25">
        <f t="shared" si="266"/>
        <v>30050.93324439897</v>
      </c>
      <c r="Q302" s="25">
        <f t="array" aca="1" ref="Q302" ca="1">INDEX('Isaac 401k'!L:L,MATCH('Retirement Calculator'!A302,'Isaac 401k'!N:N,0),0)</f>
        <v>1003343.9025525387</v>
      </c>
      <c r="R302" s="25">
        <f t="array" aca="1" ref="R302" ca="1">INDEX('Lorri 401b'!L:L,MATCH('Retirement Calculator'!A302,'Lorri 401b'!N:N,0),0)</f>
        <v>3199403.9999579168</v>
      </c>
      <c r="S302" s="25">
        <f t="shared" ca="1" si="267"/>
        <v>4202747.9025104558</v>
      </c>
    </row>
    <row r="303" spans="1:19" ht="15.75" customHeight="1" x14ac:dyDescent="0.3">
      <c r="A303" s="37">
        <v>60176</v>
      </c>
      <c r="B303" s="398">
        <f t="shared" ref="B303:C303" si="304">($A303-B$9)/365.25</f>
        <v>82.874743326488712</v>
      </c>
      <c r="C303" s="398">
        <f t="shared" si="304"/>
        <v>78.264202600958242</v>
      </c>
      <c r="E303" s="25">
        <f>IF(C303&gt;$B$7,0,'Combined Retirement'!$D$13/12)</f>
        <v>0</v>
      </c>
      <c r="F303" s="25">
        <f>IF(H303=0,'Combined Retirement'!$D$32,0)+'Combined Retirement'!$B$24</f>
        <v>2870.372285649099</v>
      </c>
      <c r="G303" s="25">
        <f>'Combined Retirement'!$C$24</f>
        <v>3254.2644699519233</v>
      </c>
      <c r="H303" s="25">
        <f>IF(B303&lt;62,0,'Combined Retirement'!$I$14)</f>
        <v>2345</v>
      </c>
      <c r="I303" s="25">
        <f>IF(C303&lt;62,0,'Combined Retirement'!$I$13)</f>
        <v>2420</v>
      </c>
      <c r="J303" s="25">
        <f t="shared" si="263"/>
        <v>8395.6297298201844</v>
      </c>
      <c r="K303" s="25">
        <f t="shared" si="264"/>
        <v>21655.303514578787</v>
      </c>
      <c r="L303" s="25"/>
      <c r="N303" s="25">
        <f>'Combined Retirement'!$C$18/12</f>
        <v>40940.569999999992</v>
      </c>
      <c r="O303" s="25">
        <f t="shared" si="265"/>
        <v>10889.636755601023</v>
      </c>
      <c r="P303" s="25">
        <f t="shared" si="266"/>
        <v>30050.93324439897</v>
      </c>
      <c r="Q303" s="25">
        <f t="array" aca="1" ref="Q303" ca="1">INDEX('Isaac 401k'!L:L,MATCH('Retirement Calculator'!A303,'Isaac 401k'!N:N,0),0)</f>
        <v>999093.89062614646</v>
      </c>
      <c r="R303" s="25">
        <f t="array" aca="1" ref="R303" ca="1">INDEX('Lorri 401b'!L:L,MATCH('Retirement Calculator'!A303,'Lorri 401b'!N:N,0),0)</f>
        <v>3190989.3160118517</v>
      </c>
      <c r="S303" s="25">
        <f t="shared" ca="1" si="267"/>
        <v>4190083.2066379981</v>
      </c>
    </row>
    <row r="304" spans="1:19" ht="15.75" customHeight="1" x14ac:dyDescent="0.3">
      <c r="A304" s="37">
        <v>60207</v>
      </c>
      <c r="B304" s="398">
        <f t="shared" ref="B304:C304" si="305">($A304-B$9)/365.25</f>
        <v>82.959616700889796</v>
      </c>
      <c r="C304" s="398">
        <f t="shared" si="305"/>
        <v>78.349075975359341</v>
      </c>
      <c r="E304" s="25">
        <f>IF(C304&gt;$B$7,0,'Combined Retirement'!$D$13/12)</f>
        <v>0</v>
      </c>
      <c r="F304" s="25">
        <f>IF(H304=0,'Combined Retirement'!$D$32,0)+'Combined Retirement'!$B$24</f>
        <v>2870.372285649099</v>
      </c>
      <c r="G304" s="25">
        <f>'Combined Retirement'!$C$24</f>
        <v>3254.2644699519233</v>
      </c>
      <c r="H304" s="25">
        <f>IF(B304&lt;62,0,'Combined Retirement'!$I$14)</f>
        <v>2345</v>
      </c>
      <c r="I304" s="25">
        <f>IF(C304&lt;62,0,'Combined Retirement'!$I$13)</f>
        <v>2420</v>
      </c>
      <c r="J304" s="25">
        <f t="shared" si="263"/>
        <v>8395.6297298201844</v>
      </c>
      <c r="K304" s="25">
        <f t="shared" si="264"/>
        <v>21655.303514578787</v>
      </c>
      <c r="L304" s="25"/>
      <c r="N304" s="25">
        <f>'Combined Retirement'!$C$18/12</f>
        <v>40940.569999999992</v>
      </c>
      <c r="O304" s="25">
        <f t="shared" si="265"/>
        <v>10889.636755601023</v>
      </c>
      <c r="P304" s="25">
        <f t="shared" si="266"/>
        <v>30050.93324439897</v>
      </c>
      <c r="Q304" s="25">
        <f t="array" aca="1" ref="Q304" ca="1">INDEX('Isaac 401k'!L:L,MATCH('Retirement Calculator'!A304,'Isaac 401k'!N:N,0),0)</f>
        <v>994826.1703167276</v>
      </c>
      <c r="R304" s="25">
        <f t="array" aca="1" ref="R304" ca="1">INDEX('Lorri 401b'!L:L,MATCH('Retirement Calculator'!A304,'Lorri 401b'!N:N,0),0)</f>
        <v>3182539.570882678</v>
      </c>
      <c r="S304" s="25">
        <f t="shared" ca="1" si="267"/>
        <v>4177365.7411994059</v>
      </c>
    </row>
    <row r="305" spans="1:19" ht="15.75" customHeight="1" x14ac:dyDescent="0.3">
      <c r="A305" s="37">
        <v>60237</v>
      </c>
      <c r="B305" s="398">
        <f t="shared" ref="B305:C305" si="306">($A305-B$9)/365.25</f>
        <v>83.041752224503767</v>
      </c>
      <c r="C305" s="398">
        <f t="shared" si="306"/>
        <v>78.431211498973312</v>
      </c>
      <c r="E305" s="25">
        <f>IF(C305&gt;$B$7,0,'Combined Retirement'!$D$13/12)</f>
        <v>0</v>
      </c>
      <c r="F305" s="25">
        <f>IF(H305=0,'Combined Retirement'!$D$32,0)+'Combined Retirement'!$B$24</f>
        <v>2870.372285649099</v>
      </c>
      <c r="G305" s="25">
        <f>'Combined Retirement'!$C$24</f>
        <v>3254.2644699519233</v>
      </c>
      <c r="H305" s="25">
        <f>IF(B305&lt;62,0,'Combined Retirement'!$I$14)</f>
        <v>2345</v>
      </c>
      <c r="I305" s="25">
        <f>IF(C305&lt;62,0,'Combined Retirement'!$I$13)</f>
        <v>2420</v>
      </c>
      <c r="J305" s="25">
        <f t="shared" si="263"/>
        <v>8395.6297298201844</v>
      </c>
      <c r="K305" s="25">
        <f t="shared" si="264"/>
        <v>21655.303514578787</v>
      </c>
      <c r="L305" s="25"/>
      <c r="N305" s="25">
        <f>'Combined Retirement'!$C$18/12</f>
        <v>40940.569999999992</v>
      </c>
      <c r="O305" s="25">
        <f t="shared" si="265"/>
        <v>10889.636755601023</v>
      </c>
      <c r="P305" s="25">
        <f t="shared" si="266"/>
        <v>30050.93324439897</v>
      </c>
      <c r="Q305" s="25">
        <f t="array" aca="1" ref="Q305" ca="1">INDEX('Isaac 401k'!L:L,MATCH('Retirement Calculator'!A305,'Isaac 401k'!N:N,0),0)</f>
        <v>990540.66783935286</v>
      </c>
      <c r="R305" s="25">
        <f t="array" aca="1" ref="R305" ca="1">INDEX('Lorri 401b'!L:L,MATCH('Retirement Calculator'!A305,'Lorri 401b'!N:N,0),0)</f>
        <v>3174054.6184821329</v>
      </c>
      <c r="S305" s="25">
        <f t="shared" ca="1" si="267"/>
        <v>4164595.2863214859</v>
      </c>
    </row>
    <row r="306" spans="1:19" ht="15.75" customHeight="1" x14ac:dyDescent="0.3">
      <c r="A306" s="37">
        <v>60268</v>
      </c>
      <c r="B306" s="398">
        <f t="shared" ref="B306:C306" si="307">($A306-B$9)/365.25</f>
        <v>83.126625598904866</v>
      </c>
      <c r="C306" s="398">
        <f t="shared" si="307"/>
        <v>78.516084873374396</v>
      </c>
      <c r="E306" s="25">
        <f>IF(C306&gt;$B$7,0,'Combined Retirement'!$D$13/12)</f>
        <v>0</v>
      </c>
      <c r="F306" s="25">
        <f>IF(H306=0,'Combined Retirement'!$D$32,0)+'Combined Retirement'!$B$24</f>
        <v>2870.372285649099</v>
      </c>
      <c r="G306" s="25">
        <f>'Combined Retirement'!$C$24</f>
        <v>3254.2644699519233</v>
      </c>
      <c r="H306" s="25">
        <f>IF(B306&lt;62,0,'Combined Retirement'!$I$14)</f>
        <v>2345</v>
      </c>
      <c r="I306" s="25">
        <f>IF(C306&lt;62,0,'Combined Retirement'!$I$13)</f>
        <v>2420</v>
      </c>
      <c r="J306" s="25">
        <f t="shared" si="263"/>
        <v>8395.6297298201844</v>
      </c>
      <c r="K306" s="25">
        <f t="shared" si="264"/>
        <v>21655.303514578787</v>
      </c>
      <c r="L306" s="25"/>
      <c r="N306" s="25">
        <f>'Combined Retirement'!$C$18/12</f>
        <v>40940.569999999992</v>
      </c>
      <c r="O306" s="25">
        <f t="shared" si="265"/>
        <v>10889.636755601023</v>
      </c>
      <c r="P306" s="25">
        <f t="shared" si="266"/>
        <v>30050.93324439897</v>
      </c>
      <c r="Q306" s="25">
        <f t="array" aca="1" ref="Q306" ca="1">INDEX('Isaac 401k'!L:L,MATCH('Retirement Calculator'!A306,'Isaac 401k'!N:N,0),0)</f>
        <v>986237.30910165573</v>
      </c>
      <c r="R306" s="25">
        <f t="array" aca="1" ref="R306" ca="1">INDEX('Lorri 401b'!L:L,MATCH('Retirement Calculator'!A306,'Lorri 401b'!N:N,0),0)</f>
        <v>3165534.312113252</v>
      </c>
      <c r="S306" s="25">
        <f t="shared" ca="1" si="267"/>
        <v>4151771.6212149076</v>
      </c>
    </row>
    <row r="307" spans="1:19" ht="15.75" customHeight="1" x14ac:dyDescent="0.3">
      <c r="A307" s="37">
        <v>60299</v>
      </c>
      <c r="B307" s="398">
        <f t="shared" ref="B307:C307" si="308">($A307-B$9)/365.25</f>
        <v>83.21149897330595</v>
      </c>
      <c r="C307" s="398">
        <f t="shared" si="308"/>
        <v>78.600958247775495</v>
      </c>
      <c r="E307" s="25">
        <f>IF(C307&gt;$B$7,0,'Combined Retirement'!$D$13/12)</f>
        <v>0</v>
      </c>
      <c r="F307" s="25">
        <f>IF(H307=0,'Combined Retirement'!$D$32,0)+'Combined Retirement'!$B$24</f>
        <v>2870.372285649099</v>
      </c>
      <c r="G307" s="25">
        <f>'Combined Retirement'!$C$24</f>
        <v>3254.2644699519233</v>
      </c>
      <c r="H307" s="25">
        <f>IF(B307&lt;62,0,'Combined Retirement'!$I$14)</f>
        <v>2345</v>
      </c>
      <c r="I307" s="25">
        <f>IF(C307&lt;62,0,'Combined Retirement'!$I$13)</f>
        <v>2420</v>
      </c>
      <c r="J307" s="25">
        <f t="shared" si="263"/>
        <v>8395.6297298201844</v>
      </c>
      <c r="K307" s="25">
        <f t="shared" si="264"/>
        <v>21655.303514578787</v>
      </c>
      <c r="L307" s="25"/>
      <c r="N307" s="25">
        <f>'Combined Retirement'!$C$18/12</f>
        <v>40940.569999999992</v>
      </c>
      <c r="O307" s="25">
        <f t="shared" si="265"/>
        <v>10889.636755601023</v>
      </c>
      <c r="P307" s="25">
        <f t="shared" si="266"/>
        <v>30050.93324439897</v>
      </c>
      <c r="Q307" s="25">
        <f t="array" aca="1" ref="Q307" ca="1">INDEX('Isaac 401k'!L:L,MATCH('Retirement Calculator'!A307,'Isaac 401k'!N:N,0),0)</f>
        <v>981916.01970255154</v>
      </c>
      <c r="R307" s="25">
        <f t="array" aca="1" ref="R307" ca="1">INDEX('Lorri 401b'!L:L,MATCH('Retirement Calculator'!A307,'Lorri 401b'!N:N,0),0)</f>
        <v>3156978.5044678343</v>
      </c>
      <c r="S307" s="25">
        <f t="shared" ca="1" si="267"/>
        <v>4138894.5241703857</v>
      </c>
    </row>
    <row r="308" spans="1:19" ht="15.75" customHeight="1" x14ac:dyDescent="0.3">
      <c r="A308" s="37">
        <v>60327</v>
      </c>
      <c r="B308" s="398">
        <f t="shared" ref="B308:C308" si="309">($A308-B$9)/365.25</f>
        <v>83.288158795345652</v>
      </c>
      <c r="C308" s="398">
        <f t="shared" si="309"/>
        <v>78.677618069815196</v>
      </c>
      <c r="E308" s="25">
        <f>IF(C308&gt;$B$7,0,'Combined Retirement'!$D$13/12)</f>
        <v>0</v>
      </c>
      <c r="F308" s="25">
        <f>IF(H308=0,'Combined Retirement'!$D$32,0)+'Combined Retirement'!$B$24</f>
        <v>2870.372285649099</v>
      </c>
      <c r="G308" s="25">
        <f>'Combined Retirement'!$C$24</f>
        <v>3254.2644699519233</v>
      </c>
      <c r="H308" s="25">
        <f>IF(B308&lt;62,0,'Combined Retirement'!$I$14)</f>
        <v>2345</v>
      </c>
      <c r="I308" s="25">
        <f>IF(C308&lt;62,0,'Combined Retirement'!$I$13)</f>
        <v>2420</v>
      </c>
      <c r="J308" s="25">
        <f t="shared" si="263"/>
        <v>8395.6297298201844</v>
      </c>
      <c r="K308" s="25">
        <f t="shared" si="264"/>
        <v>21655.303514578787</v>
      </c>
      <c r="L308" s="25"/>
      <c r="N308" s="25">
        <f>'Combined Retirement'!$C$18/12</f>
        <v>40940.569999999992</v>
      </c>
      <c r="O308" s="25">
        <f t="shared" si="265"/>
        <v>10889.636755601023</v>
      </c>
      <c r="P308" s="25">
        <f t="shared" si="266"/>
        <v>30050.93324439897</v>
      </c>
      <c r="Q308" s="25">
        <f t="array" aca="1" ref="Q308" ca="1">INDEX('Isaac 401k'!L:L,MATCH('Retirement Calculator'!A308,'Isaac 401k'!N:N,0),0)</f>
        <v>977576.72493095102</v>
      </c>
      <c r="R308" s="25">
        <f t="array" aca="1" ref="R308" ca="1">INDEX('Lorri 401b'!L:L,MATCH('Retirement Calculator'!A308,'Lorri 401b'!N:N,0),0)</f>
        <v>3148387.0476238942</v>
      </c>
      <c r="S308" s="25">
        <f t="shared" ca="1" si="267"/>
        <v>4125963.7725548451</v>
      </c>
    </row>
    <row r="309" spans="1:19" ht="15.75" customHeight="1" x14ac:dyDescent="0.3">
      <c r="A309" s="37">
        <v>60358</v>
      </c>
      <c r="B309" s="398">
        <f t="shared" ref="B309:C309" si="310">($A309-B$9)/365.25</f>
        <v>83.37303216974675</v>
      </c>
      <c r="C309" s="398">
        <f t="shared" si="310"/>
        <v>78.762491444216295</v>
      </c>
      <c r="E309" s="25">
        <f>IF(C309&gt;$B$7,0,'Combined Retirement'!$D$13/12)</f>
        <v>0</v>
      </c>
      <c r="F309" s="25">
        <f>IF(H309=0,'Combined Retirement'!$D$32,0)+'Combined Retirement'!$B$24</f>
        <v>2870.372285649099</v>
      </c>
      <c r="G309" s="25">
        <f>'Combined Retirement'!$C$24</f>
        <v>3254.2644699519233</v>
      </c>
      <c r="H309" s="25">
        <f>IF(B309&lt;62,0,'Combined Retirement'!$I$14)</f>
        <v>2345</v>
      </c>
      <c r="I309" s="25">
        <f>IF(C309&lt;62,0,'Combined Retirement'!$I$13)</f>
        <v>2420</v>
      </c>
      <c r="J309" s="25">
        <f t="shared" si="263"/>
        <v>8395.6297298201844</v>
      </c>
      <c r="K309" s="25">
        <f t="shared" si="264"/>
        <v>21655.303514578787</v>
      </c>
      <c r="L309" s="25"/>
      <c r="N309" s="25">
        <f>'Combined Retirement'!$C$18/12</f>
        <v>40940.569999999992</v>
      </c>
      <c r="O309" s="25">
        <f t="shared" si="265"/>
        <v>10889.636755601023</v>
      </c>
      <c r="P309" s="25">
        <f t="shared" si="266"/>
        <v>30050.93324439897</v>
      </c>
      <c r="Q309" s="25">
        <f t="array" aca="1" ref="Q309" ca="1">INDEX('Isaac 401k'!L:L,MATCH('Retirement Calculator'!A309,'Isaac 401k'!N:N,0),0)</f>
        <v>973219.34976446885</v>
      </c>
      <c r="R309" s="25">
        <f t="array" aca="1" ref="R309" ca="1">INDEX('Lorri 401b'!L:L,MATCH('Retirement Calculator'!A309,'Lorri 401b'!N:N,0),0)</f>
        <v>3139759.793043104</v>
      </c>
      <c r="S309" s="25">
        <f t="shared" ca="1" si="267"/>
        <v>4112979.1428075731</v>
      </c>
    </row>
    <row r="310" spans="1:19" ht="15.75" customHeight="1" x14ac:dyDescent="0.3">
      <c r="A310" s="37">
        <v>60388</v>
      </c>
      <c r="B310" s="398">
        <f t="shared" ref="B310:C310" si="311">($A310-B$9)/365.25</f>
        <v>83.455167693360707</v>
      </c>
      <c r="C310" s="398">
        <f t="shared" si="311"/>
        <v>78.844626967830251</v>
      </c>
      <c r="E310" s="25">
        <f>IF(C310&gt;$B$7,0,'Combined Retirement'!$D$13/12)</f>
        <v>0</v>
      </c>
      <c r="F310" s="25">
        <f>IF(H310=0,'Combined Retirement'!$D$32,0)+'Combined Retirement'!$B$24</f>
        <v>2870.372285649099</v>
      </c>
      <c r="G310" s="25">
        <f>'Combined Retirement'!$C$24</f>
        <v>3254.2644699519233</v>
      </c>
      <c r="H310" s="25">
        <f>IF(B310&lt;62,0,'Combined Retirement'!$I$14)</f>
        <v>2345</v>
      </c>
      <c r="I310" s="25">
        <f>IF(C310&lt;62,0,'Combined Retirement'!$I$13)</f>
        <v>2420</v>
      </c>
      <c r="J310" s="25">
        <f t="shared" si="263"/>
        <v>8395.6297298201844</v>
      </c>
      <c r="K310" s="25">
        <f t="shared" si="264"/>
        <v>21655.303514578787</v>
      </c>
      <c r="L310" s="25"/>
      <c r="N310" s="25">
        <f>'Combined Retirement'!$C$18/12</f>
        <v>40940.569999999992</v>
      </c>
      <c r="O310" s="25">
        <f t="shared" si="265"/>
        <v>10889.636755601023</v>
      </c>
      <c r="P310" s="25">
        <f t="shared" si="266"/>
        <v>30050.93324439897</v>
      </c>
      <c r="Q310" s="25">
        <f t="array" aca="1" ref="Q310" ca="1">INDEX('Isaac 401k'!L:L,MATCH('Retirement Calculator'!A310,'Isaac 401k'!N:N,0),0)</f>
        <v>968843.81886812637</v>
      </c>
      <c r="R310" s="25">
        <f t="array" aca="1" ref="R310" ca="1">INDEX('Lorri 401b'!L:L,MATCH('Retirement Calculator'!A310,'Lorri 401b'!N:N,0),0)</f>
        <v>3131096.5915682274</v>
      </c>
      <c r="S310" s="25">
        <f t="shared" ca="1" si="267"/>
        <v>4099940.4104363536</v>
      </c>
    </row>
    <row r="311" spans="1:19" ht="15.75" customHeight="1" x14ac:dyDescent="0.3">
      <c r="A311" s="37">
        <v>60419</v>
      </c>
      <c r="B311" s="398">
        <f t="shared" ref="B311:C311" si="312">($A311-B$9)/365.25</f>
        <v>83.540041067761805</v>
      </c>
      <c r="C311" s="398">
        <f t="shared" si="312"/>
        <v>78.92950034223135</v>
      </c>
      <c r="E311" s="25">
        <f>IF(C311&gt;$B$7,0,'Combined Retirement'!$D$13/12)</f>
        <v>0</v>
      </c>
      <c r="F311" s="25">
        <f>IF(H311=0,'Combined Retirement'!$D$32,0)+'Combined Retirement'!$B$24</f>
        <v>2870.372285649099</v>
      </c>
      <c r="G311" s="25">
        <f>'Combined Retirement'!$C$24</f>
        <v>3254.2644699519233</v>
      </c>
      <c r="H311" s="25">
        <f>IF(B311&lt;62,0,'Combined Retirement'!$I$14)</f>
        <v>2345</v>
      </c>
      <c r="I311" s="25">
        <f>IF(C311&lt;62,0,'Combined Retirement'!$I$13)</f>
        <v>2420</v>
      </c>
      <c r="J311" s="25">
        <f t="shared" si="263"/>
        <v>8395.6297298201844</v>
      </c>
      <c r="K311" s="25">
        <f t="shared" si="264"/>
        <v>21655.303514578787</v>
      </c>
      <c r="L311" s="25"/>
      <c r="N311" s="25">
        <f>'Combined Retirement'!$C$18/12</f>
        <v>40940.569999999992</v>
      </c>
      <c r="O311" s="25">
        <f t="shared" si="265"/>
        <v>10889.636755601023</v>
      </c>
      <c r="P311" s="25">
        <f t="shared" si="266"/>
        <v>30050.93324439897</v>
      </c>
      <c r="Q311" s="25">
        <f t="array" aca="1" ref="Q311" ca="1">INDEX('Isaac 401k'!L:L,MATCH('Retirement Calculator'!A311,'Isaac 401k'!N:N,0),0)</f>
        <v>964450.05659304908</v>
      </c>
      <c r="R311" s="25">
        <f t="array" aca="1" ref="R311" ca="1">INDEX('Lorri 401b'!L:L,MATCH('Retirement Calculator'!A311,'Lorri 401b'!N:N,0),0)</f>
        <v>3122397.2934205388</v>
      </c>
      <c r="S311" s="25">
        <f t="shared" ca="1" si="267"/>
        <v>4086847.3500135876</v>
      </c>
    </row>
    <row r="312" spans="1:19" ht="15.75" customHeight="1" x14ac:dyDescent="0.3">
      <c r="A312" s="37">
        <v>60449</v>
      </c>
      <c r="B312" s="398">
        <f t="shared" ref="B312:C312" si="313">($A312-B$9)/365.25</f>
        <v>83.622176591375776</v>
      </c>
      <c r="C312" s="398">
        <f t="shared" si="313"/>
        <v>79.011635865845307</v>
      </c>
      <c r="E312" s="25">
        <f>IF(C312&gt;$B$7,0,'Combined Retirement'!$D$13/12)</f>
        <v>0</v>
      </c>
      <c r="F312" s="25">
        <f>IF(H312=0,'Combined Retirement'!$D$32,0)+'Combined Retirement'!$B$24</f>
        <v>2870.372285649099</v>
      </c>
      <c r="G312" s="25">
        <f>'Combined Retirement'!$C$24</f>
        <v>3254.2644699519233</v>
      </c>
      <c r="H312" s="25">
        <f>IF(B312&lt;62,0,'Combined Retirement'!$I$14)</f>
        <v>2345</v>
      </c>
      <c r="I312" s="25">
        <f>IF(C312&lt;62,0,'Combined Retirement'!$I$13)</f>
        <v>2420</v>
      </c>
      <c r="J312" s="25">
        <f t="shared" si="263"/>
        <v>8395.6297298201844</v>
      </c>
      <c r="K312" s="25">
        <f t="shared" si="264"/>
        <v>21655.303514578787</v>
      </c>
      <c r="L312" s="25"/>
      <c r="N312" s="25">
        <f>'Combined Retirement'!$C$18/12</f>
        <v>40940.569999999992</v>
      </c>
      <c r="O312" s="25">
        <f t="shared" si="265"/>
        <v>10889.636755601023</v>
      </c>
      <c r="P312" s="25">
        <f t="shared" si="266"/>
        <v>30050.93324439897</v>
      </c>
      <c r="Q312" s="25">
        <f t="array" aca="1" ref="Q312" ca="1">INDEX('Isaac 401k'!L:L,MATCH('Retirement Calculator'!A312,'Isaac 401k'!N:N,0),0)</f>
        <v>960037.98697515903</v>
      </c>
      <c r="R312" s="25">
        <f t="array" aca="1" ref="R312" ca="1">INDEX('Lorri 401b'!L:L,MATCH('Retirement Calculator'!A312,'Lorri 401b'!N:N,0),0)</f>
        <v>3113661.7481972347</v>
      </c>
      <c r="S312" s="25">
        <f t="shared" ca="1" si="267"/>
        <v>4073699.7351723937</v>
      </c>
    </row>
    <row r="313" spans="1:19" ht="15.75" customHeight="1" x14ac:dyDescent="0.3">
      <c r="A313" s="37">
        <v>60480</v>
      </c>
      <c r="B313" s="398">
        <f t="shared" ref="B313:C313" si="314">($A313-B$9)/365.25</f>
        <v>83.707049965776861</v>
      </c>
      <c r="C313" s="398">
        <f t="shared" si="314"/>
        <v>79.096509240246405</v>
      </c>
      <c r="E313" s="25">
        <f>IF(C313&gt;$B$7,0,'Combined Retirement'!$D$13/12)</f>
        <v>0</v>
      </c>
      <c r="F313" s="25">
        <f>IF(H313=0,'Combined Retirement'!$D$32,0)+'Combined Retirement'!$B$24</f>
        <v>2870.372285649099</v>
      </c>
      <c r="G313" s="25">
        <f>'Combined Retirement'!$C$24</f>
        <v>3254.2644699519233</v>
      </c>
      <c r="H313" s="25">
        <f>IF(B313&lt;62,0,'Combined Retirement'!$I$14)</f>
        <v>2345</v>
      </c>
      <c r="I313" s="25">
        <f>IF(C313&lt;62,0,'Combined Retirement'!$I$13)</f>
        <v>2420</v>
      </c>
      <c r="J313" s="25">
        <f t="shared" si="263"/>
        <v>8395.6297298201844</v>
      </c>
      <c r="K313" s="25">
        <f t="shared" si="264"/>
        <v>21655.303514578787</v>
      </c>
      <c r="L313" s="25"/>
      <c r="N313" s="25">
        <f>'Combined Retirement'!$C$18/12</f>
        <v>40940.569999999992</v>
      </c>
      <c r="O313" s="25">
        <f t="shared" si="265"/>
        <v>10889.636755601023</v>
      </c>
      <c r="P313" s="25">
        <f t="shared" si="266"/>
        <v>30050.93324439897</v>
      </c>
      <c r="Q313" s="25">
        <f t="array" aca="1" ref="Q313" ca="1">INDEX('Isaac 401k'!L:L,MATCH('Retirement Calculator'!A313,'Isaac 401k'!N:N,0),0)</f>
        <v>955607.53373386106</v>
      </c>
      <c r="R313" s="25">
        <f t="array" aca="1" ref="R313" ca="1">INDEX('Lorri 401b'!L:L,MATCH('Retirement Calculator'!A313,'Lorri 401b'!N:N,0),0)</f>
        <v>3104889.8048688336</v>
      </c>
      <c r="S313" s="25">
        <f t="shared" ca="1" si="267"/>
        <v>4060497.3386026947</v>
      </c>
    </row>
    <row r="314" spans="1:19" ht="15.75" customHeight="1" x14ac:dyDescent="0.3">
      <c r="A314" s="37">
        <v>60511</v>
      </c>
      <c r="B314" s="398">
        <f t="shared" ref="B314:C314" si="315">($A314-B$9)/365.25</f>
        <v>83.791923340177959</v>
      </c>
      <c r="C314" s="398">
        <f t="shared" si="315"/>
        <v>79.181382614647504</v>
      </c>
      <c r="E314" s="25">
        <f>IF(C314&gt;$B$7,0,'Combined Retirement'!$D$13/12)</f>
        <v>0</v>
      </c>
      <c r="F314" s="25">
        <f>IF(H314=0,'Combined Retirement'!$D$32,0)+'Combined Retirement'!$B$24</f>
        <v>2870.372285649099</v>
      </c>
      <c r="G314" s="25">
        <f>'Combined Retirement'!$C$24</f>
        <v>3254.2644699519233</v>
      </c>
      <c r="H314" s="25">
        <f>IF(B314&lt;62,0,'Combined Retirement'!$I$14)</f>
        <v>2345</v>
      </c>
      <c r="I314" s="25">
        <f>IF(C314&lt;62,0,'Combined Retirement'!$I$13)</f>
        <v>2420</v>
      </c>
      <c r="J314" s="25">
        <f t="shared" si="263"/>
        <v>8395.6297298201844</v>
      </c>
      <c r="K314" s="25">
        <f t="shared" si="264"/>
        <v>21655.303514578787</v>
      </c>
      <c r="L314" s="25"/>
      <c r="N314" s="25">
        <f>'Combined Retirement'!$C$18/12</f>
        <v>40940.569999999992</v>
      </c>
      <c r="O314" s="25">
        <f t="shared" si="265"/>
        <v>10889.636755601023</v>
      </c>
      <c r="P314" s="25">
        <f t="shared" si="266"/>
        <v>30050.93324439897</v>
      </c>
      <c r="Q314" s="25">
        <f t="array" aca="1" ref="Q314" ca="1">INDEX('Isaac 401k'!L:L,MATCH('Retirement Calculator'!A314,'Isaac 401k'!N:N,0),0)</f>
        <v>951158.62027072441</v>
      </c>
      <c r="R314" s="25">
        <f t="array" aca="1" ref="R314" ca="1">INDEX('Lorri 401b'!L:L,MATCH('Retirement Calculator'!A314,'Lorri 401b'!N:N,0),0)</f>
        <v>3096081.311776564</v>
      </c>
      <c r="S314" s="25">
        <f t="shared" ca="1" si="267"/>
        <v>4047239.9320472884</v>
      </c>
    </row>
    <row r="315" spans="1:19" ht="15.75" customHeight="1" x14ac:dyDescent="0.3">
      <c r="A315" s="37">
        <v>60541</v>
      </c>
      <c r="B315" s="398">
        <f t="shared" ref="B315:C315" si="316">($A315-B$9)/365.25</f>
        <v>83.87405886379193</v>
      </c>
      <c r="C315" s="398">
        <f t="shared" si="316"/>
        <v>79.26351813826146</v>
      </c>
      <c r="E315" s="25">
        <f>IF(C315&gt;$B$7,0,'Combined Retirement'!$D$13/12)</f>
        <v>0</v>
      </c>
      <c r="F315" s="25">
        <f>IF(H315=0,'Combined Retirement'!$D$32,0)+'Combined Retirement'!$B$24</f>
        <v>2870.372285649099</v>
      </c>
      <c r="G315" s="25">
        <f>'Combined Retirement'!$C$24</f>
        <v>3254.2644699519233</v>
      </c>
      <c r="H315" s="25">
        <f>IF(B315&lt;62,0,'Combined Retirement'!$I$14)</f>
        <v>2345</v>
      </c>
      <c r="I315" s="25">
        <f>IF(C315&lt;62,0,'Combined Retirement'!$I$13)</f>
        <v>2420</v>
      </c>
      <c r="J315" s="25">
        <f t="shared" si="263"/>
        <v>8395.6297298201844</v>
      </c>
      <c r="K315" s="25">
        <f t="shared" si="264"/>
        <v>21655.303514578787</v>
      </c>
      <c r="L315" s="25"/>
      <c r="N315" s="25">
        <f>'Combined Retirement'!$C$18/12</f>
        <v>40940.569999999992</v>
      </c>
      <c r="O315" s="25">
        <f t="shared" si="265"/>
        <v>10889.636755601023</v>
      </c>
      <c r="P315" s="25">
        <f t="shared" si="266"/>
        <v>30050.93324439897</v>
      </c>
      <c r="Q315" s="25">
        <f t="array" aca="1" ref="Q315" ca="1">INDEX('Isaac 401k'!L:L,MATCH('Retirement Calculator'!A315,'Isaac 401k'!N:N,0),0)</f>
        <v>946691.16966815805</v>
      </c>
      <c r="R315" s="25">
        <f t="array" aca="1" ref="R315" ca="1">INDEX('Lorri 401b'!L:L,MATCH('Retirement Calculator'!A315,'Lorri 401b'!N:N,0),0)</f>
        <v>3087236.1166297435</v>
      </c>
      <c r="S315" s="25">
        <f t="shared" ca="1" si="267"/>
        <v>4033927.2862979015</v>
      </c>
    </row>
    <row r="316" spans="1:19" ht="15.75" customHeight="1" x14ac:dyDescent="0.3">
      <c r="A316" s="37">
        <v>60572</v>
      </c>
      <c r="B316" s="398">
        <f t="shared" ref="B316:C316" si="317">($A316-B$9)/365.25</f>
        <v>83.958932238193015</v>
      </c>
      <c r="C316" s="398">
        <f t="shared" si="317"/>
        <v>79.348391512662559</v>
      </c>
      <c r="E316" s="25">
        <f>IF(C316&gt;$B$7,0,'Combined Retirement'!$D$13/12)</f>
        <v>0</v>
      </c>
      <c r="F316" s="25">
        <f>IF(H316=0,'Combined Retirement'!$D$32,0)+'Combined Retirement'!$B$24</f>
        <v>2870.372285649099</v>
      </c>
      <c r="G316" s="25">
        <f>'Combined Retirement'!$C$24</f>
        <v>3254.2644699519233</v>
      </c>
      <c r="H316" s="25">
        <f>IF(B316&lt;62,0,'Combined Retirement'!$I$14)</f>
        <v>2345</v>
      </c>
      <c r="I316" s="25">
        <f>IF(C316&lt;62,0,'Combined Retirement'!$I$13)</f>
        <v>2420</v>
      </c>
      <c r="J316" s="25">
        <f t="shared" si="263"/>
        <v>8395.6297298201844</v>
      </c>
      <c r="K316" s="25">
        <f t="shared" si="264"/>
        <v>21655.303514578787</v>
      </c>
      <c r="L316" s="25"/>
      <c r="N316" s="25">
        <f>'Combined Retirement'!$C$18/12</f>
        <v>40940.569999999992</v>
      </c>
      <c r="O316" s="25">
        <f t="shared" si="265"/>
        <v>10889.636755601023</v>
      </c>
      <c r="P316" s="25">
        <f t="shared" si="266"/>
        <v>30050.93324439897</v>
      </c>
      <c r="Q316" s="25">
        <f t="array" aca="1" ref="Q316" ca="1">INDEX('Isaac 401k'!L:L,MATCH('Retirement Calculator'!A316,'Isaac 401k'!N:N,0),0)</f>
        <v>942205.10468808096</v>
      </c>
      <c r="R316" s="25">
        <f t="array" aca="1" ref="R316" ca="1">INDEX('Lorri 401b'!L:L,MATCH('Retirement Calculator'!A316,'Lorri 401b'!N:N,0),0)</f>
        <v>3078354.0665031443</v>
      </c>
      <c r="S316" s="25">
        <f t="shared" ca="1" si="267"/>
        <v>4020559.1711912253</v>
      </c>
    </row>
    <row r="317" spans="1:19" ht="15.75" customHeight="1" x14ac:dyDescent="0.3">
      <c r="A317" s="37">
        <v>60602</v>
      </c>
      <c r="B317" s="398">
        <f t="shared" ref="B317:C317" si="318">($A317-B$9)/365.25</f>
        <v>84.041067761806985</v>
      </c>
      <c r="C317" s="398">
        <f t="shared" si="318"/>
        <v>79.43052703627653</v>
      </c>
      <c r="E317" s="25">
        <f>IF(C317&gt;$B$7,0,'Combined Retirement'!$D$13/12)</f>
        <v>0</v>
      </c>
      <c r="F317" s="25">
        <f>IF(H317=0,'Combined Retirement'!$D$32,0)+'Combined Retirement'!$B$24</f>
        <v>2870.372285649099</v>
      </c>
      <c r="G317" s="25">
        <f>'Combined Retirement'!$C$24</f>
        <v>3254.2644699519233</v>
      </c>
      <c r="H317" s="25">
        <f>IF(B317&lt;62,0,'Combined Retirement'!$I$14)</f>
        <v>2345</v>
      </c>
      <c r="I317" s="25">
        <f>IF(C317&lt;62,0,'Combined Retirement'!$I$13)</f>
        <v>2420</v>
      </c>
      <c r="J317" s="25">
        <f t="shared" si="263"/>
        <v>8395.6297298201844</v>
      </c>
      <c r="K317" s="25">
        <f t="shared" si="264"/>
        <v>21655.303514578787</v>
      </c>
      <c r="L317" s="25"/>
      <c r="N317" s="25">
        <f>'Combined Retirement'!$C$18/12</f>
        <v>40940.569999999992</v>
      </c>
      <c r="O317" s="25">
        <f t="shared" si="265"/>
        <v>10889.636755601023</v>
      </c>
      <c r="P317" s="25">
        <f t="shared" si="266"/>
        <v>30050.93324439897</v>
      </c>
      <c r="Q317" s="25">
        <f t="array" aca="1" ref="Q317" ca="1">INDEX('Isaac 401k'!L:L,MATCH('Retirement Calculator'!A317,'Isaac 401k'!N:N,0),0)</f>
        <v>937700.34777058684</v>
      </c>
      <c r="R317" s="25">
        <f t="array" aca="1" ref="R317" ca="1">INDEX('Lorri 401b'!L:L,MATCH('Retirement Calculator'!A317,'Lorri 401b'!N:N,0),0)</f>
        <v>3069435.0078343512</v>
      </c>
      <c r="S317" s="25">
        <f t="shared" ca="1" si="267"/>
        <v>4007135.3556049382</v>
      </c>
    </row>
    <row r="318" spans="1:19" ht="15.75" customHeight="1" x14ac:dyDescent="0.3">
      <c r="A318" s="37">
        <v>60633</v>
      </c>
      <c r="B318" s="398">
        <f t="shared" ref="B318:C318" si="319">($A318-B$9)/365.25</f>
        <v>84.12594113620807</v>
      </c>
      <c r="C318" s="398">
        <f t="shared" si="319"/>
        <v>79.515400410677614</v>
      </c>
      <c r="E318" s="25">
        <f>IF(C318&gt;$B$7,0,'Combined Retirement'!$D$13/12)</f>
        <v>0</v>
      </c>
      <c r="F318" s="25">
        <f>IF(H318=0,'Combined Retirement'!$D$32,0)+'Combined Retirement'!$B$24</f>
        <v>2870.372285649099</v>
      </c>
      <c r="G318" s="25">
        <f>'Combined Retirement'!$C$24</f>
        <v>3254.2644699519233</v>
      </c>
      <c r="H318" s="25">
        <f>IF(B318&lt;62,0,'Combined Retirement'!$I$14)</f>
        <v>2345</v>
      </c>
      <c r="I318" s="25">
        <f>IF(C318&lt;62,0,'Combined Retirement'!$I$13)</f>
        <v>2420</v>
      </c>
      <c r="J318" s="25">
        <f t="shared" si="263"/>
        <v>8395.6297298201844</v>
      </c>
      <c r="K318" s="25">
        <f t="shared" si="264"/>
        <v>21655.303514578787</v>
      </c>
      <c r="L318" s="25"/>
      <c r="N318" s="25">
        <f>'Combined Retirement'!$C$18/12</f>
        <v>40940.569999999992</v>
      </c>
      <c r="O318" s="25">
        <f t="shared" si="265"/>
        <v>10889.636755601023</v>
      </c>
      <c r="P318" s="25">
        <f t="shared" si="266"/>
        <v>30050.93324439897</v>
      </c>
      <c r="Q318" s="25">
        <f t="array" aca="1" ref="Q318" ca="1">INDEX('Isaac 401k'!L:L,MATCH('Retirement Calculator'!A318,'Isaac 401k'!N:N,0),0)</f>
        <v>933176.82103260315</v>
      </c>
      <c r="R318" s="25">
        <f t="array" aca="1" ref="R318" ca="1">INDEX('Lorri 401b'!L:L,MATCH('Retirement Calculator'!A318,'Lorri 401b'!N:N,0),0)</f>
        <v>3060478.7864211048</v>
      </c>
      <c r="S318" s="25">
        <f t="shared" ca="1" si="267"/>
        <v>3993655.6074537081</v>
      </c>
    </row>
    <row r="319" spans="1:19" ht="15.75" customHeight="1" x14ac:dyDescent="0.3">
      <c r="A319" s="37">
        <v>60664</v>
      </c>
      <c r="B319" s="398">
        <f t="shared" ref="B319:C319" si="320">($A319-B$9)/365.25</f>
        <v>84.210814510609168</v>
      </c>
      <c r="C319" s="398">
        <f t="shared" si="320"/>
        <v>79.600273785078713</v>
      </c>
      <c r="E319" s="25">
        <f>IF(C319&gt;$B$7,0,'Combined Retirement'!$D$13/12)</f>
        <v>0</v>
      </c>
      <c r="F319" s="25">
        <f>IF(H319=0,'Combined Retirement'!$D$32,0)+'Combined Retirement'!$B$24</f>
        <v>2870.372285649099</v>
      </c>
      <c r="G319" s="25">
        <f>'Combined Retirement'!$C$24</f>
        <v>3254.2644699519233</v>
      </c>
      <c r="H319" s="25">
        <f>IF(B319&lt;62,0,'Combined Retirement'!$I$14)</f>
        <v>2345</v>
      </c>
      <c r="I319" s="25">
        <f>IF(C319&lt;62,0,'Combined Retirement'!$I$13)</f>
        <v>2420</v>
      </c>
      <c r="J319" s="25">
        <f t="shared" si="263"/>
        <v>8395.6297298201844</v>
      </c>
      <c r="K319" s="25">
        <f t="shared" si="264"/>
        <v>21655.303514578787</v>
      </c>
      <c r="L319" s="25"/>
      <c r="N319" s="25">
        <f>'Combined Retirement'!$C$18/12</f>
        <v>40940.569999999992</v>
      </c>
      <c r="O319" s="25">
        <f t="shared" si="265"/>
        <v>10889.636755601023</v>
      </c>
      <c r="P319" s="25">
        <f t="shared" si="266"/>
        <v>30050.93324439897</v>
      </c>
      <c r="Q319" s="25">
        <f t="array" aca="1" ref="Q319" ca="1">INDEX('Isaac 401k'!L:L,MATCH('Retirement Calculator'!A319,'Isaac 401k'!N:N,0),0)</f>
        <v>928634.44626654452</v>
      </c>
      <c r="R319" s="25">
        <f t="array" aca="1" ref="R319" ca="1">INDEX('Lorri 401b'!L:L,MATCH('Retirement Calculator'!A319,'Lorri 401b'!N:N,0),0)</f>
        <v>3051485.2474186365</v>
      </c>
      <c r="S319" s="25">
        <f t="shared" ca="1" si="267"/>
        <v>3980119.693685181</v>
      </c>
    </row>
    <row r="320" spans="1:19" ht="15.75" customHeight="1" x14ac:dyDescent="0.3">
      <c r="A320" s="37">
        <v>60692</v>
      </c>
      <c r="B320" s="398">
        <f t="shared" ref="B320:C320" si="321">($A320-B$9)/365.25</f>
        <v>84.28747433264887</v>
      </c>
      <c r="C320" s="398">
        <f t="shared" si="321"/>
        <v>79.676933607118414</v>
      </c>
      <c r="E320" s="25">
        <f>IF(C320&gt;$B$7,0,'Combined Retirement'!$D$13/12)</f>
        <v>0</v>
      </c>
      <c r="F320" s="25">
        <f>IF(H320=0,'Combined Retirement'!$D$32,0)+'Combined Retirement'!$B$24</f>
        <v>2870.372285649099</v>
      </c>
      <c r="G320" s="25">
        <f>'Combined Retirement'!$C$24</f>
        <v>3254.2644699519233</v>
      </c>
      <c r="H320" s="25">
        <f>IF(B320&lt;62,0,'Combined Retirement'!$I$14)</f>
        <v>2345</v>
      </c>
      <c r="I320" s="25">
        <f>IF(C320&lt;62,0,'Combined Retirement'!$I$13)</f>
        <v>2420</v>
      </c>
      <c r="J320" s="25">
        <f t="shared" si="263"/>
        <v>8395.6297298201844</v>
      </c>
      <c r="K320" s="25">
        <f t="shared" si="264"/>
        <v>21655.303514578787</v>
      </c>
      <c r="L320" s="25"/>
      <c r="N320" s="25">
        <f>'Combined Retirement'!$C$18/12</f>
        <v>40940.569999999992</v>
      </c>
      <c r="O320" s="25">
        <f t="shared" si="265"/>
        <v>10889.636755601023</v>
      </c>
      <c r="P320" s="25">
        <f t="shared" si="266"/>
        <v>30050.93324439897</v>
      </c>
      <c r="Q320" s="25">
        <f t="array" aca="1" ref="Q320" ca="1">INDEX('Isaac 401k'!L:L,MATCH('Retirement Calculator'!A320,'Isaac 401k'!N:N,0),0)</f>
        <v>924073.14493896067</v>
      </c>
      <c r="R320" s="25">
        <f t="array" aca="1" ref="R320" ca="1">INDEX('Lorri 401b'!L:L,MATCH('Retirement Calculator'!A320,'Lorri 401b'!N:N,0),0)</f>
        <v>3042454.235336991</v>
      </c>
      <c r="S320" s="25">
        <f t="shared" ca="1" si="267"/>
        <v>3966527.3802759517</v>
      </c>
    </row>
    <row r="321" spans="1:19" ht="15.75" customHeight="1" x14ac:dyDescent="0.3">
      <c r="A321" s="37">
        <v>60723</v>
      </c>
      <c r="B321" s="398">
        <f t="shared" ref="B321:C321" si="322">($A321-B$9)/365.25</f>
        <v>84.372347707049968</v>
      </c>
      <c r="C321" s="398">
        <f t="shared" si="322"/>
        <v>79.761806981519513</v>
      </c>
      <c r="E321" s="25">
        <f>IF(C321&gt;$B$7,0,'Combined Retirement'!$D$13/12)</f>
        <v>0</v>
      </c>
      <c r="F321" s="25">
        <f>IF(H321=0,'Combined Retirement'!$D$32,0)+'Combined Retirement'!$B$24</f>
        <v>2870.372285649099</v>
      </c>
      <c r="G321" s="25">
        <f>'Combined Retirement'!$C$24</f>
        <v>3254.2644699519233</v>
      </c>
      <c r="H321" s="25">
        <f>IF(B321&lt;62,0,'Combined Retirement'!$I$14)</f>
        <v>2345</v>
      </c>
      <c r="I321" s="25">
        <f>IF(C321&lt;62,0,'Combined Retirement'!$I$13)</f>
        <v>2420</v>
      </c>
      <c r="J321" s="25">
        <f t="shared" si="263"/>
        <v>8395.6297298201844</v>
      </c>
      <c r="K321" s="25">
        <f t="shared" si="264"/>
        <v>21655.303514578787</v>
      </c>
      <c r="L321" s="25"/>
      <c r="N321" s="25">
        <f>'Combined Retirement'!$C$18/12</f>
        <v>40940.569999999992</v>
      </c>
      <c r="O321" s="25">
        <f t="shared" si="265"/>
        <v>10889.636755601023</v>
      </c>
      <c r="P321" s="25">
        <f t="shared" si="266"/>
        <v>30050.93324439897</v>
      </c>
      <c r="Q321" s="25">
        <f t="array" aca="1" ref="Q321" ca="1">INDEX('Isaac 401k'!L:L,MATCH('Retirement Calculator'!A321,'Isaac 401k'!N:N,0),0)</f>
        <v>919492.83818917861</v>
      </c>
      <c r="R321" s="25">
        <f t="array" aca="1" ref="R321" ca="1">INDEX('Lorri 401b'!L:L,MATCH('Retirement Calculator'!A321,'Lorri 401b'!N:N,0),0)</f>
        <v>3033385.5940383389</v>
      </c>
      <c r="S321" s="25">
        <f t="shared" ca="1" si="267"/>
        <v>3952878.4322275175</v>
      </c>
    </row>
    <row r="322" spans="1:19" ht="15.75" customHeight="1" x14ac:dyDescent="0.3">
      <c r="A322" s="37">
        <v>60753</v>
      </c>
      <c r="B322" s="398">
        <f t="shared" ref="B322:C322" si="323">($A322-B$9)/365.25</f>
        <v>84.454483230663925</v>
      </c>
      <c r="C322" s="398">
        <f t="shared" si="323"/>
        <v>79.843942505133469</v>
      </c>
      <c r="E322" s="25">
        <f>IF(C322&gt;$B$7,0,'Combined Retirement'!$D$13/12)</f>
        <v>0</v>
      </c>
      <c r="F322" s="25">
        <f>IF(H322=0,'Combined Retirement'!$D$32,0)+'Combined Retirement'!$B$24</f>
        <v>2870.372285649099</v>
      </c>
      <c r="G322" s="25">
        <f>'Combined Retirement'!$C$24</f>
        <v>3254.2644699519233</v>
      </c>
      <c r="H322" s="25">
        <f>IF(B322&lt;62,0,'Combined Retirement'!$I$14)</f>
        <v>2345</v>
      </c>
      <c r="I322" s="25">
        <f>IF(C322&lt;62,0,'Combined Retirement'!$I$13)</f>
        <v>2420</v>
      </c>
      <c r="J322" s="25">
        <f t="shared" si="263"/>
        <v>8395.6297298201844</v>
      </c>
      <c r="K322" s="25">
        <f t="shared" si="264"/>
        <v>21655.303514578787</v>
      </c>
      <c r="L322" s="25"/>
      <c r="N322" s="25">
        <f>'Combined Retirement'!$C$18/12</f>
        <v>40940.569999999992</v>
      </c>
      <c r="O322" s="25">
        <f t="shared" si="265"/>
        <v>10889.636755601023</v>
      </c>
      <c r="P322" s="25">
        <f t="shared" si="266"/>
        <v>30050.93324439897</v>
      </c>
      <c r="Q322" s="25">
        <f t="array" aca="1" ref="Q322" ca="1">INDEX('Isaac 401k'!L:L,MATCH('Retirement Calculator'!A322,'Isaac 401k'!N:N,0),0)</f>
        <v>914893.44682793913</v>
      </c>
      <c r="R322" s="25">
        <f t="array" aca="1" ref="R322" ca="1">INDEX('Lorri 401b'!L:L,MATCH('Retirement Calculator'!A322,'Lorri 401b'!N:N,0),0)</f>
        <v>3024279.1667342759</v>
      </c>
      <c r="S322" s="25">
        <f t="shared" ca="1" si="267"/>
        <v>3939172.6135622151</v>
      </c>
    </row>
    <row r="323" spans="1:19" ht="15.75" customHeight="1" x14ac:dyDescent="0.3">
      <c r="A323" s="37">
        <v>60784</v>
      </c>
      <c r="B323" s="398">
        <f t="shared" ref="B323:C323" si="324">($A323-B$9)/365.25</f>
        <v>84.539356605065024</v>
      </c>
      <c r="C323" s="398">
        <f t="shared" si="324"/>
        <v>79.928815879534568</v>
      </c>
      <c r="E323" s="25">
        <f>IF(C323&gt;$B$7,0,'Combined Retirement'!$D$13/12)</f>
        <v>0</v>
      </c>
      <c r="F323" s="25">
        <f>IF(H323=0,'Combined Retirement'!$D$32,0)+'Combined Retirement'!$B$24</f>
        <v>2870.372285649099</v>
      </c>
      <c r="G323" s="25">
        <f>'Combined Retirement'!$C$24</f>
        <v>3254.2644699519233</v>
      </c>
      <c r="H323" s="25">
        <f>IF(B323&lt;62,0,'Combined Retirement'!$I$14)</f>
        <v>2345</v>
      </c>
      <c r="I323" s="25">
        <f>IF(C323&lt;62,0,'Combined Retirement'!$I$13)</f>
        <v>2420</v>
      </c>
      <c r="J323" s="25">
        <f t="shared" si="263"/>
        <v>8395.6297298201844</v>
      </c>
      <c r="K323" s="25">
        <f t="shared" si="264"/>
        <v>21655.303514578787</v>
      </c>
      <c r="L323" s="25"/>
      <c r="N323" s="25">
        <f>'Combined Retirement'!$C$18/12</f>
        <v>40940.569999999992</v>
      </c>
      <c r="O323" s="25">
        <f t="shared" si="265"/>
        <v>10889.636755601023</v>
      </c>
      <c r="P323" s="25">
        <f t="shared" si="266"/>
        <v>30050.93324439897</v>
      </c>
      <c r="Q323" s="25">
        <f t="array" aca="1" ref="Q323" ca="1">INDEX('Isaac 401k'!L:L,MATCH('Retirement Calculator'!A323,'Isaac 401k'!N:N,0),0)</f>
        <v>910274.89133602777</v>
      </c>
      <c r="R323" s="25">
        <f t="array" aca="1" ref="R323" ca="1">INDEX('Lorri 401b'!L:L,MATCH('Retirement Calculator'!A323,'Lorri 401b'!N:N,0),0)</f>
        <v>3015134.7959831124</v>
      </c>
      <c r="S323" s="25">
        <f t="shared" ca="1" si="267"/>
        <v>3925409.6873191399</v>
      </c>
    </row>
    <row r="324" spans="1:19" ht="15.75" customHeight="1" x14ac:dyDescent="0.3">
      <c r="A324" s="37">
        <v>60814</v>
      </c>
      <c r="B324" s="398">
        <f t="shared" ref="B324:C324" si="325">($A324-B$9)/365.25</f>
        <v>84.62149212867898</v>
      </c>
      <c r="C324" s="398">
        <f t="shared" si="325"/>
        <v>80.010951403148525</v>
      </c>
      <c r="E324" s="25">
        <f>IF(C324&gt;$B$7,0,'Combined Retirement'!$D$13/12)</f>
        <v>0</v>
      </c>
      <c r="F324" s="25">
        <f>IF(H324=0,'Combined Retirement'!$D$32,0)+'Combined Retirement'!$B$24</f>
        <v>2870.372285649099</v>
      </c>
      <c r="G324" s="25">
        <f>'Combined Retirement'!$C$24</f>
        <v>3254.2644699519233</v>
      </c>
      <c r="H324" s="25">
        <f>IF(B324&lt;62,0,'Combined Retirement'!$I$14)</f>
        <v>2345</v>
      </c>
      <c r="I324" s="25">
        <f>IF(C324&lt;62,0,'Combined Retirement'!$I$13)</f>
        <v>2420</v>
      </c>
      <c r="J324" s="25">
        <f t="shared" si="263"/>
        <v>8395.6297298201844</v>
      </c>
      <c r="K324" s="25">
        <f t="shared" si="264"/>
        <v>21655.303514578787</v>
      </c>
      <c r="L324" s="25"/>
      <c r="N324" s="25">
        <f>'Combined Retirement'!$C$18/12</f>
        <v>40940.569999999992</v>
      </c>
      <c r="O324" s="25">
        <f t="shared" si="265"/>
        <v>10889.636755601023</v>
      </c>
      <c r="P324" s="25">
        <f t="shared" si="266"/>
        <v>30050.93324439897</v>
      </c>
      <c r="Q324" s="25">
        <f t="array" aca="1" ref="Q324" ca="1">INDEX('Isaac 401k'!L:L,MATCH('Retirement Calculator'!A324,'Isaac 401k'!N:N,0),0)</f>
        <v>905637.09186290007</v>
      </c>
      <c r="R324" s="25">
        <f t="array" aca="1" ref="R324" ca="1">INDEX('Lorri 401b'!L:L,MATCH('Retirement Calculator'!A324,'Lorri 401b'!N:N,0),0)</f>
        <v>3005952.3236871525</v>
      </c>
      <c r="S324" s="25">
        <f t="shared" ca="1" si="267"/>
        <v>3911589.4155500527</v>
      </c>
    </row>
    <row r="325" spans="1:19" ht="15.75" customHeight="1" x14ac:dyDescent="0.3">
      <c r="A325" s="37">
        <v>60845</v>
      </c>
      <c r="B325" s="398">
        <f t="shared" ref="B325:C325" si="326">($A325-B$9)/365.25</f>
        <v>84.706365503080079</v>
      </c>
      <c r="C325" s="398">
        <f t="shared" si="326"/>
        <v>80.095824777549623</v>
      </c>
      <c r="E325" s="25">
        <f>IF(C325&gt;$B$7,0,'Combined Retirement'!$D$13/12)</f>
        <v>0</v>
      </c>
      <c r="F325" s="25">
        <f>IF(H325=0,'Combined Retirement'!$D$32,0)+'Combined Retirement'!$B$24</f>
        <v>2870.372285649099</v>
      </c>
      <c r="G325" s="25">
        <f>'Combined Retirement'!$C$24</f>
        <v>3254.2644699519233</v>
      </c>
      <c r="H325" s="25">
        <f>IF(B325&lt;62,0,'Combined Retirement'!$I$14)</f>
        <v>2345</v>
      </c>
      <c r="I325" s="25">
        <f>IF(C325&lt;62,0,'Combined Retirement'!$I$13)</f>
        <v>2420</v>
      </c>
      <c r="J325" s="25">
        <f t="shared" si="263"/>
        <v>8395.6297298201844</v>
      </c>
      <c r="K325" s="25">
        <f t="shared" si="264"/>
        <v>21655.303514578787</v>
      </c>
      <c r="L325" s="25"/>
      <c r="N325" s="25">
        <f>'Combined Retirement'!$C$18/12</f>
        <v>40940.569999999992</v>
      </c>
      <c r="O325" s="25">
        <f t="shared" si="265"/>
        <v>10889.636755601023</v>
      </c>
      <c r="P325" s="25">
        <f t="shared" si="266"/>
        <v>30050.93324439897</v>
      </c>
      <c r="Q325" s="25">
        <f t="array" aca="1" ref="Q325" ca="1">INDEX('Isaac 401k'!L:L,MATCH('Retirement Calculator'!A325,'Isaac 401k'!N:N,0),0)</f>
        <v>900979.96822530101</v>
      </c>
      <c r="R325" s="25">
        <f t="array" aca="1" ref="R325" ca="1">INDEX('Lorri 401b'!L:L,MATCH('Retirement Calculator'!A325,'Lorri 401b'!N:N,0),0)</f>
        <v>2996731.5910899593</v>
      </c>
      <c r="S325" s="25">
        <f t="shared" ca="1" si="267"/>
        <v>3897711.5593152605</v>
      </c>
    </row>
    <row r="326" spans="1:19" ht="15.75" customHeight="1" x14ac:dyDescent="0.3">
      <c r="A326" s="37">
        <v>60876</v>
      </c>
      <c r="B326" s="398">
        <f t="shared" ref="B326:C326" si="327">($A326-B$9)/365.25</f>
        <v>84.791238877481177</v>
      </c>
      <c r="C326" s="398">
        <f t="shared" si="327"/>
        <v>80.180698151950722</v>
      </c>
      <c r="E326" s="25">
        <f>IF(C326&gt;$B$7,0,'Combined Retirement'!$D$13/12)</f>
        <v>0</v>
      </c>
      <c r="F326" s="25">
        <f>IF(H326=0,'Combined Retirement'!$D$32,0)+'Combined Retirement'!$B$24</f>
        <v>2870.372285649099</v>
      </c>
      <c r="G326" s="25">
        <f>'Combined Retirement'!$C$24</f>
        <v>3254.2644699519233</v>
      </c>
      <c r="H326" s="25">
        <f>IF(B326&lt;62,0,'Combined Retirement'!$I$14)</f>
        <v>2345</v>
      </c>
      <c r="I326" s="25">
        <f>IF(C326&lt;62,0,'Combined Retirement'!$I$13)</f>
        <v>2420</v>
      </c>
      <c r="J326" s="25">
        <f t="shared" si="263"/>
        <v>8395.6297298201844</v>
      </c>
      <c r="K326" s="25">
        <f t="shared" si="264"/>
        <v>21655.303514578787</v>
      </c>
      <c r="L326" s="25"/>
      <c r="N326" s="25">
        <f>'Combined Retirement'!$C$18/12</f>
        <v>40940.569999999992</v>
      </c>
      <c r="O326" s="25">
        <f t="shared" si="265"/>
        <v>10889.636755601023</v>
      </c>
      <c r="P326" s="25">
        <f t="shared" si="266"/>
        <v>30050.93324439897</v>
      </c>
      <c r="Q326" s="25">
        <f t="array" aca="1" ref="Q326" ca="1">INDEX('Isaac 401k'!L:L,MATCH('Retirement Calculator'!A326,'Isaac 401k'!N:N,0),0)</f>
        <v>896303.43990587862</v>
      </c>
      <c r="R326" s="25">
        <f t="array" aca="1" ref="R326" ca="1">INDEX('Lorri 401b'!L:L,MATCH('Retirement Calculator'!A326,'Lorri 401b'!N:N,0),0)</f>
        <v>2987472.4387736111</v>
      </c>
      <c r="S326" s="25">
        <f t="shared" ca="1" si="267"/>
        <v>3883775.8786794897</v>
      </c>
    </row>
    <row r="327" spans="1:19" ht="15.75" customHeight="1" x14ac:dyDescent="0.3">
      <c r="A327" s="37">
        <v>60906</v>
      </c>
      <c r="B327" s="398">
        <f t="shared" ref="B327:C327" si="328">($A327-B$9)/365.25</f>
        <v>84.873374401095134</v>
      </c>
      <c r="C327" s="398">
        <f t="shared" si="328"/>
        <v>80.262833675564679</v>
      </c>
      <c r="E327" s="25">
        <f>IF(C327&gt;$B$7,0,'Combined Retirement'!$D$13/12)</f>
        <v>0</v>
      </c>
      <c r="F327" s="25">
        <f>IF(H327=0,'Combined Retirement'!$D$32,0)+'Combined Retirement'!$B$24</f>
        <v>2870.372285649099</v>
      </c>
      <c r="G327" s="25">
        <f>'Combined Retirement'!$C$24</f>
        <v>3254.2644699519233</v>
      </c>
      <c r="H327" s="25">
        <f>IF(B327&lt;62,0,'Combined Retirement'!$I$14)</f>
        <v>2345</v>
      </c>
      <c r="I327" s="25">
        <f>IF(C327&lt;62,0,'Combined Retirement'!$I$13)</f>
        <v>2420</v>
      </c>
      <c r="J327" s="25">
        <f t="shared" si="263"/>
        <v>8395.6297298201844</v>
      </c>
      <c r="K327" s="25">
        <f t="shared" si="264"/>
        <v>21655.303514578787</v>
      </c>
      <c r="L327" s="25"/>
      <c r="N327" s="25">
        <f>'Combined Retirement'!$C$18/12</f>
        <v>40940.569999999992</v>
      </c>
      <c r="O327" s="25">
        <f t="shared" si="265"/>
        <v>10889.636755601023</v>
      </c>
      <c r="P327" s="25">
        <f t="shared" si="266"/>
        <v>30050.93324439897</v>
      </c>
      <c r="Q327" s="25">
        <f t="array" aca="1" ref="Q327" ca="1">INDEX('Isaac 401k'!L:L,MATCH('Retirement Calculator'!A327,'Isaac 401k'!N:N,0),0)</f>
        <v>891607.42605179199</v>
      </c>
      <c r="R327" s="25">
        <f t="array" aca="1" ref="R327" ca="1">INDEX('Lorri 401b'!L:L,MATCH('Retirement Calculator'!A327,'Lorri 401b'!N:N,0),0)</f>
        <v>2978174.7066559447</v>
      </c>
      <c r="S327" s="25">
        <f t="shared" ca="1" si="267"/>
        <v>3869782.1327077365</v>
      </c>
    </row>
    <row r="328" spans="1:19" ht="15.75" customHeight="1" x14ac:dyDescent="0.3">
      <c r="A328" s="37">
        <v>60937</v>
      </c>
      <c r="B328" s="398">
        <f t="shared" ref="B328:C328" si="329">($A328-B$9)/365.25</f>
        <v>84.958247775496233</v>
      </c>
      <c r="C328" s="398">
        <f t="shared" si="329"/>
        <v>80.347707049965777</v>
      </c>
      <c r="E328" s="25">
        <f>IF(C328&gt;$B$7,0,'Combined Retirement'!$D$13/12)</f>
        <v>0</v>
      </c>
      <c r="F328" s="25">
        <f>IF(H328=0,'Combined Retirement'!$D$32,0)+'Combined Retirement'!$B$24</f>
        <v>2870.372285649099</v>
      </c>
      <c r="G328" s="25">
        <f>'Combined Retirement'!$C$24</f>
        <v>3254.2644699519233</v>
      </c>
      <c r="H328" s="25">
        <f>IF(B328&lt;62,0,'Combined Retirement'!$I$14)</f>
        <v>2345</v>
      </c>
      <c r="I328" s="25">
        <f>IF(C328&lt;62,0,'Combined Retirement'!$I$13)</f>
        <v>2420</v>
      </c>
      <c r="J328" s="25">
        <f t="shared" si="263"/>
        <v>8395.6297298201844</v>
      </c>
      <c r="K328" s="25">
        <f t="shared" si="264"/>
        <v>21655.303514578787</v>
      </c>
      <c r="L328" s="25"/>
      <c r="N328" s="25">
        <f>'Combined Retirement'!$C$18/12</f>
        <v>40940.569999999992</v>
      </c>
      <c r="O328" s="25">
        <f t="shared" si="265"/>
        <v>10889.636755601023</v>
      </c>
      <c r="P328" s="25">
        <f t="shared" si="266"/>
        <v>30050.93324439897</v>
      </c>
      <c r="Q328" s="25">
        <f t="array" aca="1" ref="Q328" ca="1">INDEX('Isaac 401k'!L:L,MATCH('Retirement Calculator'!A328,'Isaac 401k'!N:N,0),0)</f>
        <v>886891.84547331335</v>
      </c>
      <c r="R328" s="25">
        <f t="array" aca="1" ref="R328" ca="1">INDEX('Lorri 401b'!L:L,MATCH('Retirement Calculator'!A328,'Lorri 401b'!N:N,0),0)</f>
        <v>2968838.2339877882</v>
      </c>
      <c r="S328" s="25">
        <f t="shared" ca="1" si="267"/>
        <v>3855730.0794611014</v>
      </c>
    </row>
    <row r="329" spans="1:19" ht="15.75" customHeight="1" x14ac:dyDescent="0.3">
      <c r="A329" s="37">
        <v>60967</v>
      </c>
      <c r="B329" s="398">
        <f t="shared" ref="B329:C329" si="330">($A329-B$9)/365.25</f>
        <v>85.040383299110204</v>
      </c>
      <c r="C329" s="398">
        <f t="shared" si="330"/>
        <v>80.429842573579734</v>
      </c>
      <c r="E329" s="25">
        <f>IF(C329&gt;$B$7,0,'Combined Retirement'!$D$13/12)</f>
        <v>0</v>
      </c>
      <c r="F329" s="25">
        <f>IF(H329=0,'Combined Retirement'!$D$32,0)+'Combined Retirement'!$B$24</f>
        <v>2870.372285649099</v>
      </c>
      <c r="G329" s="25">
        <f>'Combined Retirement'!$C$24</f>
        <v>3254.2644699519233</v>
      </c>
      <c r="H329" s="25">
        <f>IF(B329&lt;62,0,'Combined Retirement'!$I$14)</f>
        <v>2345</v>
      </c>
      <c r="I329" s="25">
        <f>IF(C329&lt;62,0,'Combined Retirement'!$I$13)</f>
        <v>2420</v>
      </c>
      <c r="J329" s="25">
        <f t="shared" si="263"/>
        <v>8395.6297298201844</v>
      </c>
      <c r="K329" s="25">
        <f t="shared" si="264"/>
        <v>21655.303514578787</v>
      </c>
      <c r="L329" s="25"/>
      <c r="N329" s="25">
        <f>'Combined Retirement'!$C$18/12</f>
        <v>40940.569999999992</v>
      </c>
      <c r="O329" s="25">
        <f t="shared" si="265"/>
        <v>10889.636755601023</v>
      </c>
      <c r="P329" s="25">
        <f t="shared" si="266"/>
        <v>30050.93324439897</v>
      </c>
      <c r="Q329" s="25">
        <f t="array" aca="1" ref="Q329" ca="1">INDEX('Isaac 401k'!L:L,MATCH('Retirement Calculator'!A329,'Isaac 401k'!N:N,0),0)</f>
        <v>882156.61664242437</v>
      </c>
      <c r="R329" s="25">
        <f t="array" aca="1" ref="R329" ca="1">INDEX('Lorri 401b'!L:L,MATCH('Retirement Calculator'!A329,'Lorri 401b'!N:N,0),0)</f>
        <v>2959462.8593501812</v>
      </c>
      <c r="S329" s="25">
        <f t="shared" ca="1" si="267"/>
        <v>3841619.4759926056</v>
      </c>
    </row>
    <row r="330" spans="1:19" ht="15.75" customHeight="1" x14ac:dyDescent="0.3">
      <c r="A330" s="37">
        <v>60998</v>
      </c>
      <c r="B330" s="398">
        <f t="shared" ref="B330:C330" si="331">($A330-B$9)/365.25</f>
        <v>85.125256673511288</v>
      </c>
      <c r="C330" s="398">
        <f t="shared" si="331"/>
        <v>80.514715947980832</v>
      </c>
      <c r="E330" s="25">
        <f>IF(C330&gt;$B$7,0,'Combined Retirement'!$D$13/12)</f>
        <v>0</v>
      </c>
      <c r="F330" s="25">
        <f>IF(H330=0,'Combined Retirement'!$D$32,0)+'Combined Retirement'!$B$24</f>
        <v>2870.372285649099</v>
      </c>
      <c r="G330" s="25">
        <f>'Combined Retirement'!$C$24</f>
        <v>3254.2644699519233</v>
      </c>
      <c r="H330" s="25">
        <f>IF(B330&lt;62,0,'Combined Retirement'!$I$14)</f>
        <v>2345</v>
      </c>
      <c r="I330" s="25">
        <f>IF(C330&lt;62,0,'Combined Retirement'!$I$13)</f>
        <v>2420</v>
      </c>
      <c r="J330" s="25">
        <f t="shared" si="263"/>
        <v>8395.6297298201844</v>
      </c>
      <c r="K330" s="25">
        <f t="shared" si="264"/>
        <v>21655.303514578787</v>
      </c>
      <c r="L330" s="25"/>
      <c r="N330" s="25">
        <f>'Combined Retirement'!$C$18/12</f>
        <v>40940.569999999992</v>
      </c>
      <c r="O330" s="25">
        <f t="shared" si="265"/>
        <v>10889.636755601023</v>
      </c>
      <c r="P330" s="25">
        <f t="shared" si="266"/>
        <v>30050.93324439897</v>
      </c>
      <c r="Q330" s="25">
        <f t="array" aca="1" ref="Q330" ca="1">INDEX('Isaac 401k'!L:L,MATCH('Retirement Calculator'!A330,'Isaac 401k'!N:N,0),0)</f>
        <v>877401.65769140667</v>
      </c>
      <c r="R330" s="25">
        <f t="array" aca="1" ref="R330" ca="1">INDEX('Lorri 401b'!L:L,MATCH('Retirement Calculator'!A330,'Lorri 401b'!N:N,0),0)</f>
        <v>2950048.4206515839</v>
      </c>
      <c r="S330" s="25">
        <f t="shared" ca="1" si="267"/>
        <v>3827450.0783429905</v>
      </c>
    </row>
    <row r="331" spans="1:19" ht="15.75" customHeight="1" x14ac:dyDescent="0.3">
      <c r="A331" s="37">
        <v>61029</v>
      </c>
      <c r="B331" s="398">
        <f t="shared" ref="B331:C331" si="332">($A331-B$9)/365.25</f>
        <v>85.210130047912386</v>
      </c>
      <c r="C331" s="398">
        <f t="shared" si="332"/>
        <v>80.599589322381931</v>
      </c>
      <c r="E331" s="25">
        <f>IF(C331&gt;$B$7,0,'Combined Retirement'!$D$13/12)</f>
        <v>0</v>
      </c>
      <c r="F331" s="25">
        <f>IF(H331=0,'Combined Retirement'!$D$32,0)+'Combined Retirement'!$B$24</f>
        <v>2870.372285649099</v>
      </c>
      <c r="G331" s="25">
        <f>'Combined Retirement'!$C$24</f>
        <v>3254.2644699519233</v>
      </c>
      <c r="H331" s="25">
        <f>IF(B331&lt;62,0,'Combined Retirement'!$I$14)</f>
        <v>2345</v>
      </c>
      <c r="I331" s="25">
        <f>IF(C331&lt;62,0,'Combined Retirement'!$I$13)</f>
        <v>2420</v>
      </c>
      <c r="J331" s="25">
        <f t="shared" si="263"/>
        <v>8395.6297298201844</v>
      </c>
      <c r="K331" s="25">
        <f t="shared" si="264"/>
        <v>21655.303514578787</v>
      </c>
      <c r="L331" s="25"/>
      <c r="N331" s="25">
        <f>'Combined Retirement'!$C$18/12</f>
        <v>40940.569999999992</v>
      </c>
      <c r="O331" s="25">
        <f t="shared" si="265"/>
        <v>10889.636755601023</v>
      </c>
      <c r="P331" s="25">
        <f t="shared" si="266"/>
        <v>30050.93324439897</v>
      </c>
      <c r="Q331" s="25">
        <f t="array" aca="1" ref="Q331" ca="1">INDEX('Isaac 401k'!L:L,MATCH('Retirement Calculator'!A331,'Isaac 401k'!N:N,0),0)</f>
        <v>872626.88641142647</v>
      </c>
      <c r="R331" s="25">
        <f t="array" aca="1" ref="R331" ca="1">INDEX('Lorri 401b'!L:L,MATCH('Retirement Calculator'!A331,'Lorri 401b'!N:N,0),0)</f>
        <v>2940594.755125076</v>
      </c>
      <c r="S331" s="25">
        <f t="shared" ca="1" si="267"/>
        <v>3813221.6415365026</v>
      </c>
    </row>
    <row r="332" spans="1:19" ht="15.75" customHeight="1" x14ac:dyDescent="0.3">
      <c r="A332" s="37">
        <v>61057</v>
      </c>
      <c r="B332" s="398">
        <f t="shared" ref="B332:C332" si="333">($A332-B$9)/365.25</f>
        <v>85.286789869952088</v>
      </c>
      <c r="C332" s="398">
        <f t="shared" si="333"/>
        <v>80.676249144421632</v>
      </c>
      <c r="E332" s="25">
        <f>IF(C332&gt;$B$7,0,'Combined Retirement'!$D$13/12)</f>
        <v>0</v>
      </c>
      <c r="F332" s="25">
        <f>IF(H332=0,'Combined Retirement'!$D$32,0)+'Combined Retirement'!$B$24</f>
        <v>2870.372285649099</v>
      </c>
      <c r="G332" s="25">
        <f>'Combined Retirement'!$C$24</f>
        <v>3254.2644699519233</v>
      </c>
      <c r="H332" s="25">
        <f>IF(B332&lt;62,0,'Combined Retirement'!$I$14)</f>
        <v>2345</v>
      </c>
      <c r="I332" s="25">
        <f>IF(C332&lt;62,0,'Combined Retirement'!$I$13)</f>
        <v>2420</v>
      </c>
      <c r="J332" s="25">
        <f t="shared" si="263"/>
        <v>8395.6297298201844</v>
      </c>
      <c r="K332" s="25">
        <f t="shared" si="264"/>
        <v>21655.303514578787</v>
      </c>
      <c r="L332" s="25"/>
      <c r="N332" s="25">
        <f>'Combined Retirement'!$C$18/12</f>
        <v>40940.569999999992</v>
      </c>
      <c r="O332" s="25">
        <f t="shared" si="265"/>
        <v>10889.636755601023</v>
      </c>
      <c r="P332" s="25">
        <f t="shared" si="266"/>
        <v>30050.93324439897</v>
      </c>
      <c r="Q332" s="25">
        <f t="array" aca="1" ref="Q332" ca="1">INDEX('Isaac 401k'!L:L,MATCH('Retirement Calculator'!A332,'Isaac 401k'!N:N,0),0)</f>
        <v>867832.22025111294</v>
      </c>
      <c r="R332" s="25">
        <f t="array" aca="1" ref="R332" ca="1">INDEX('Lorri 401b'!L:L,MATCH('Retirement Calculator'!A332,'Lorri 401b'!N:N,0),0)</f>
        <v>2931101.699325541</v>
      </c>
      <c r="S332" s="25">
        <f t="shared" ca="1" si="267"/>
        <v>3798933.9195766542</v>
      </c>
    </row>
    <row r="333" spans="1:19" ht="15.75" customHeight="1" x14ac:dyDescent="0.3">
      <c r="A333" s="37">
        <v>61088</v>
      </c>
      <c r="B333" s="398">
        <f t="shared" ref="B333:C333" si="334">($A333-B$9)/365.25</f>
        <v>85.371663244353186</v>
      </c>
      <c r="C333" s="398">
        <f t="shared" si="334"/>
        <v>80.761122518822731</v>
      </c>
      <c r="E333" s="25">
        <f>IF(C333&gt;$B$7,0,'Combined Retirement'!$D$13/12)</f>
        <v>0</v>
      </c>
      <c r="F333" s="25">
        <f>IF(H333=0,'Combined Retirement'!$D$32,0)+'Combined Retirement'!$B$24</f>
        <v>2870.372285649099</v>
      </c>
      <c r="G333" s="25">
        <f>'Combined Retirement'!$C$24</f>
        <v>3254.2644699519233</v>
      </c>
      <c r="H333" s="25">
        <f>IF(B333&lt;62,0,'Combined Retirement'!$I$14)</f>
        <v>2345</v>
      </c>
      <c r="I333" s="25">
        <f>IF(C333&lt;62,0,'Combined Retirement'!$I$13)</f>
        <v>2420</v>
      </c>
      <c r="J333" s="25">
        <f t="shared" si="263"/>
        <v>8395.6297298201844</v>
      </c>
      <c r="K333" s="25">
        <f t="shared" si="264"/>
        <v>21655.303514578787</v>
      </c>
      <c r="L333" s="25"/>
      <c r="N333" s="25">
        <f>'Combined Retirement'!$C$18/12</f>
        <v>40940.569999999992</v>
      </c>
      <c r="O333" s="25">
        <f t="shared" si="265"/>
        <v>10889.636755601023</v>
      </c>
      <c r="P333" s="25">
        <f t="shared" si="266"/>
        <v>30050.93324439897</v>
      </c>
      <c r="Q333" s="25">
        <f t="array" aca="1" ref="Q333" ca="1">INDEX('Isaac 401k'!L:L,MATCH('Retirement Calculator'!A333,'Isaac 401k'!N:N,0),0)</f>
        <v>863017.5763151315</v>
      </c>
      <c r="R333" s="25">
        <f t="array" aca="1" ref="R333" ca="1">INDEX('Lorri 401b'!L:L,MATCH('Retirement Calculator'!A333,'Lorri 401b'!N:N,0),0)</f>
        <v>2921569.0891268412</v>
      </c>
      <c r="S333" s="25">
        <f t="shared" ca="1" si="267"/>
        <v>3784586.6654419727</v>
      </c>
    </row>
    <row r="334" spans="1:19" ht="15.75" customHeight="1" x14ac:dyDescent="0.3">
      <c r="A334" s="37">
        <v>61118</v>
      </c>
      <c r="B334" s="398">
        <f t="shared" ref="B334:C334" si="335">($A334-B$9)/365.25</f>
        <v>85.453798767967143</v>
      </c>
      <c r="C334" s="398">
        <f t="shared" si="335"/>
        <v>80.843258042436688</v>
      </c>
      <c r="E334" s="25">
        <f>IF(C334&gt;$B$7,0,'Combined Retirement'!$D$13/12)</f>
        <v>0</v>
      </c>
      <c r="F334" s="25">
        <f>IF(H334=0,'Combined Retirement'!$D$32,0)+'Combined Retirement'!$B$24</f>
        <v>2870.372285649099</v>
      </c>
      <c r="G334" s="25">
        <f>'Combined Retirement'!$C$24</f>
        <v>3254.2644699519233</v>
      </c>
      <c r="H334" s="25">
        <f>IF(B334&lt;62,0,'Combined Retirement'!$I$14)</f>
        <v>2345</v>
      </c>
      <c r="I334" s="25">
        <f>IF(C334&lt;62,0,'Combined Retirement'!$I$13)</f>
        <v>2420</v>
      </c>
      <c r="J334" s="25">
        <f t="shared" si="263"/>
        <v>8395.6297298201844</v>
      </c>
      <c r="K334" s="25">
        <f t="shared" si="264"/>
        <v>21655.303514578787</v>
      </c>
      <c r="L334" s="25"/>
      <c r="N334" s="25">
        <f>'Combined Retirement'!$C$18/12</f>
        <v>40940.569999999992</v>
      </c>
      <c r="O334" s="25">
        <f t="shared" si="265"/>
        <v>10889.636755601023</v>
      </c>
      <c r="P334" s="25">
        <f t="shared" si="266"/>
        <v>30050.93324439897</v>
      </c>
      <c r="Q334" s="25">
        <f t="array" aca="1" ref="Q334" ca="1">INDEX('Isaac 401k'!L:L,MATCH('Retirement Calculator'!A334,'Isaac 401k'!N:N,0),0)</f>
        <v>858182.87136275007</v>
      </c>
      <c r="R334" s="25">
        <f t="array" aca="1" ref="R334" ca="1">INDEX('Lorri 401b'!L:L,MATCH('Retirement Calculator'!A334,'Lorri 401b'!N:N,0),0)</f>
        <v>2911996.7597189802</v>
      </c>
      <c r="S334" s="25">
        <f t="shared" ca="1" si="267"/>
        <v>3770179.6310817301</v>
      </c>
    </row>
    <row r="335" spans="1:19" ht="15.75" customHeight="1" x14ac:dyDescent="0.3">
      <c r="A335" s="37">
        <v>61149</v>
      </c>
      <c r="B335" s="398">
        <f t="shared" ref="B335:C335" si="336">($A335-B$9)/365.25</f>
        <v>85.538672142368242</v>
      </c>
      <c r="C335" s="398">
        <f t="shared" si="336"/>
        <v>80.928131416837786</v>
      </c>
      <c r="E335" s="25">
        <f>IF(C335&gt;$B$7,0,'Combined Retirement'!$D$13/12)</f>
        <v>0</v>
      </c>
      <c r="F335" s="25">
        <f>IF(H335=0,'Combined Retirement'!$D$32,0)+'Combined Retirement'!$B$24</f>
        <v>2870.372285649099</v>
      </c>
      <c r="G335" s="25">
        <f>'Combined Retirement'!$C$24</f>
        <v>3254.2644699519233</v>
      </c>
      <c r="H335" s="25">
        <f>IF(B335&lt;62,0,'Combined Retirement'!$I$14)</f>
        <v>2345</v>
      </c>
      <c r="I335" s="25">
        <f>IF(C335&lt;62,0,'Combined Retirement'!$I$13)</f>
        <v>2420</v>
      </c>
      <c r="J335" s="25">
        <f t="shared" si="263"/>
        <v>8395.6297298201844</v>
      </c>
      <c r="K335" s="25">
        <f t="shared" si="264"/>
        <v>21655.303514578787</v>
      </c>
      <c r="L335" s="25"/>
      <c r="N335" s="25">
        <f>'Combined Retirement'!$C$18/12</f>
        <v>40940.569999999992</v>
      </c>
      <c r="O335" s="25">
        <f t="shared" si="265"/>
        <v>10889.636755601023</v>
      </c>
      <c r="P335" s="25">
        <f t="shared" si="266"/>
        <v>30050.93324439897</v>
      </c>
      <c r="Q335" s="25">
        <f t="array" aca="1" ref="Q335" ca="1">INDEX('Isaac 401k'!L:L,MATCH('Retirement Calculator'!A335,'Isaac 401k'!N:N,0),0)</f>
        <v>853328.02180640039</v>
      </c>
      <c r="R335" s="25">
        <f t="array" aca="1" ref="R335" ca="1">INDEX('Lorri 401b'!L:L,MATCH('Retirement Calculator'!A335,'Lorri 401b'!N:N,0),0)</f>
        <v>2902384.545605253</v>
      </c>
      <c r="S335" s="25">
        <f t="shared" ca="1" si="267"/>
        <v>3755712.5674116532</v>
      </c>
    </row>
    <row r="336" spans="1:19" ht="15.75" customHeight="1" x14ac:dyDescent="0.3">
      <c r="A336" s="37">
        <v>61179</v>
      </c>
      <c r="B336" s="398">
        <f t="shared" ref="B336:C336" si="337">($A336-B$9)/365.25</f>
        <v>85.620807665982198</v>
      </c>
      <c r="C336" s="398">
        <f t="shared" si="337"/>
        <v>81.010266940451743</v>
      </c>
      <c r="E336" s="25">
        <f>IF(C336&gt;$B$7,0,'Combined Retirement'!$D$13/12)</f>
        <v>0</v>
      </c>
      <c r="F336" s="25">
        <f>IF(H336=0,'Combined Retirement'!$D$32,0)+'Combined Retirement'!$B$24</f>
        <v>2870.372285649099</v>
      </c>
      <c r="G336" s="25">
        <f>'Combined Retirement'!$C$24</f>
        <v>3254.2644699519233</v>
      </c>
      <c r="H336" s="25">
        <f>IF(B336&lt;62,0,'Combined Retirement'!$I$14)</f>
        <v>2345</v>
      </c>
      <c r="I336" s="25">
        <f>IF(C336&lt;62,0,'Combined Retirement'!$I$13)</f>
        <v>2420</v>
      </c>
      <c r="J336" s="25">
        <f t="shared" si="263"/>
        <v>8395.6297298201844</v>
      </c>
      <c r="K336" s="25">
        <f t="shared" si="264"/>
        <v>21655.303514578787</v>
      </c>
      <c r="L336" s="25"/>
      <c r="N336" s="25">
        <f>'Combined Retirement'!$C$18/12</f>
        <v>40940.569999999992</v>
      </c>
      <c r="O336" s="25">
        <f t="shared" si="265"/>
        <v>10889.636755601023</v>
      </c>
      <c r="P336" s="25">
        <f t="shared" si="266"/>
        <v>30050.93324439897</v>
      </c>
      <c r="Q336" s="25">
        <f t="array" aca="1" ref="Q336" ca="1">INDEX('Isaac 401k'!L:L,MATCH('Retirement Calculator'!A336,'Isaac 401k'!N:N,0),0)</f>
        <v>848452.94371023262</v>
      </c>
      <c r="R336" s="25">
        <f t="array" aca="1" ref="R336" ca="1">INDEX('Lorri 401b'!L:L,MATCH('Retirement Calculator'!A336,'Lorri 401b'!N:N,0),0)</f>
        <v>2892732.280599385</v>
      </c>
      <c r="S336" s="25">
        <f t="shared" ca="1" si="267"/>
        <v>3741185.2243096177</v>
      </c>
    </row>
    <row r="337" spans="1:19" ht="15.75" customHeight="1" x14ac:dyDescent="0.3">
      <c r="A337" s="37">
        <v>61210</v>
      </c>
      <c r="B337" s="398">
        <f t="shared" ref="B337:C337" si="338">($A337-B$9)/365.25</f>
        <v>85.705681040383297</v>
      </c>
      <c r="C337" s="398">
        <f t="shared" si="338"/>
        <v>81.095140314852841</v>
      </c>
      <c r="E337" s="25">
        <f>IF(C337&gt;$B$7,0,'Combined Retirement'!$D$13/12)</f>
        <v>0</v>
      </c>
      <c r="F337" s="25">
        <f>IF(H337=0,'Combined Retirement'!$D$32,0)+'Combined Retirement'!$B$24</f>
        <v>2870.372285649099</v>
      </c>
      <c r="G337" s="25">
        <f>'Combined Retirement'!$C$24</f>
        <v>3254.2644699519233</v>
      </c>
      <c r="H337" s="25">
        <f>IF(B337&lt;62,0,'Combined Retirement'!$I$14)</f>
        <v>2345</v>
      </c>
      <c r="I337" s="25">
        <f>IF(C337&lt;62,0,'Combined Retirement'!$I$13)</f>
        <v>2420</v>
      </c>
      <c r="J337" s="25">
        <f t="shared" si="263"/>
        <v>8395.6297298201844</v>
      </c>
      <c r="K337" s="25">
        <f t="shared" si="264"/>
        <v>21655.303514578787</v>
      </c>
      <c r="L337" s="25"/>
      <c r="N337" s="25">
        <f>'Combined Retirement'!$C$18/12</f>
        <v>40940.569999999992</v>
      </c>
      <c r="O337" s="25">
        <f t="shared" si="265"/>
        <v>10889.636755601023</v>
      </c>
      <c r="P337" s="25">
        <f t="shared" si="266"/>
        <v>30050.93324439897</v>
      </c>
      <c r="Q337" s="25">
        <f t="array" aca="1" ref="Q337" ca="1">INDEX('Isaac 401k'!L:L,MATCH('Retirement Calculator'!A337,'Isaac 401k'!N:N,0),0)</f>
        <v>843557.55278866412</v>
      </c>
      <c r="R337" s="25">
        <f t="array" aca="1" ref="R337" ca="1">INDEX('Lorri 401b'!L:L,MATCH('Retirement Calculator'!A337,'Lorri 401b'!N:N,0),0)</f>
        <v>2883039.7978226594</v>
      </c>
      <c r="S337" s="25">
        <f t="shared" ca="1" si="267"/>
        <v>3726597.3506113235</v>
      </c>
    </row>
    <row r="338" spans="1:19" ht="15.75" customHeight="1" x14ac:dyDescent="0.3">
      <c r="A338" s="37">
        <v>61241</v>
      </c>
      <c r="B338" s="398">
        <f t="shared" ref="B338:C338" si="339">($A338-B$9)/365.25</f>
        <v>85.790554414784395</v>
      </c>
      <c r="C338" s="398">
        <f t="shared" si="339"/>
        <v>81.18001368925394</v>
      </c>
      <c r="E338" s="25">
        <f>IF(C338&gt;$B$7,0,'Combined Retirement'!$D$13/12)</f>
        <v>0</v>
      </c>
      <c r="F338" s="25">
        <f>IF(H338=0,'Combined Retirement'!$D$32,0)+'Combined Retirement'!$B$24</f>
        <v>2870.372285649099</v>
      </c>
      <c r="G338" s="25">
        <f>'Combined Retirement'!$C$24</f>
        <v>3254.2644699519233</v>
      </c>
      <c r="H338" s="25">
        <f>IF(B338&lt;62,0,'Combined Retirement'!$I$14)</f>
        <v>2345</v>
      </c>
      <c r="I338" s="25">
        <f>IF(C338&lt;62,0,'Combined Retirement'!$I$13)</f>
        <v>2420</v>
      </c>
      <c r="J338" s="25">
        <f t="shared" si="263"/>
        <v>8395.6297298201844</v>
      </c>
      <c r="K338" s="25">
        <f t="shared" si="264"/>
        <v>21655.303514578787</v>
      </c>
      <c r="L338" s="25"/>
      <c r="N338" s="25">
        <f>'Combined Retirement'!$C$18/12</f>
        <v>40940.569999999992</v>
      </c>
      <c r="O338" s="25">
        <f t="shared" si="265"/>
        <v>10889.636755601023</v>
      </c>
      <c r="P338" s="25">
        <f t="shared" si="266"/>
        <v>30050.93324439897</v>
      </c>
      <c r="Q338" s="25">
        <f t="array" aca="1" ref="Q338" ca="1">INDEX('Isaac 401k'!L:L,MATCH('Retirement Calculator'!A338,'Isaac 401k'!N:N,0),0)</f>
        <v>838641.76440492249</v>
      </c>
      <c r="R338" s="25">
        <f t="array" aca="1" ref="R338" ca="1">INDEX('Lorri 401b'!L:L,MATCH('Retirement Calculator'!A338,'Lorri 401b'!N:N,0),0)</f>
        <v>2873306.9297010307</v>
      </c>
      <c r="S338" s="25">
        <f t="shared" ca="1" si="267"/>
        <v>3711948.694105953</v>
      </c>
    </row>
    <row r="339" spans="1:19" ht="15.75" customHeight="1" x14ac:dyDescent="0.3">
      <c r="A339" s="37">
        <v>61271</v>
      </c>
      <c r="B339" s="398">
        <f t="shared" ref="B339:C339" si="340">($A339-B$9)/365.25</f>
        <v>85.872689938398352</v>
      </c>
      <c r="C339" s="398">
        <f t="shared" si="340"/>
        <v>81.262149212867897</v>
      </c>
      <c r="E339" s="25">
        <f>IF(C339&gt;$B$7,0,'Combined Retirement'!$D$13/12)</f>
        <v>0</v>
      </c>
      <c r="F339" s="25">
        <f>IF(H339=0,'Combined Retirement'!$D$32,0)+'Combined Retirement'!$B$24</f>
        <v>2870.372285649099</v>
      </c>
      <c r="G339" s="25">
        <f>'Combined Retirement'!$C$24</f>
        <v>3254.2644699519233</v>
      </c>
      <c r="H339" s="25">
        <f>IF(B339&lt;62,0,'Combined Retirement'!$I$14)</f>
        <v>2345</v>
      </c>
      <c r="I339" s="25">
        <f>IF(C339&lt;62,0,'Combined Retirement'!$I$13)</f>
        <v>2420</v>
      </c>
      <c r="J339" s="25">
        <f t="shared" si="263"/>
        <v>8395.6297298201844</v>
      </c>
      <c r="K339" s="25">
        <f t="shared" si="264"/>
        <v>21655.303514578787</v>
      </c>
      <c r="L339" s="25"/>
      <c r="N339" s="25">
        <f>'Combined Retirement'!$C$18/12</f>
        <v>40940.569999999992</v>
      </c>
      <c r="O339" s="25">
        <f t="shared" si="265"/>
        <v>10889.636755601023</v>
      </c>
      <c r="P339" s="25">
        <f t="shared" si="266"/>
        <v>30050.93324439897</v>
      </c>
      <c r="Q339" s="25">
        <f t="array" aca="1" ref="Q339" ca="1">INDEX('Isaac 401k'!L:L,MATCH('Retirement Calculator'!A339,'Isaac 401k'!N:N,0),0)</f>
        <v>833705.49356958189</v>
      </c>
      <c r="R339" s="25">
        <f t="array" aca="1" ref="R339" ca="1">INDEX('Lorri 401b'!L:L,MATCH('Retirement Calculator'!A339,'Lorri 401b'!N:N,0),0)</f>
        <v>2863533.5079622287</v>
      </c>
      <c r="S339" s="25">
        <f t="shared" ca="1" si="267"/>
        <v>3697239.0015318105</v>
      </c>
    </row>
    <row r="340" spans="1:19" ht="15.75" customHeight="1" x14ac:dyDescent="0.3">
      <c r="A340" s="37">
        <v>61302</v>
      </c>
      <c r="B340" s="398">
        <f t="shared" ref="B340:C340" si="341">($A340-B$9)/365.25</f>
        <v>85.957563312799451</v>
      </c>
      <c r="C340" s="398">
        <f t="shared" si="341"/>
        <v>81.347022587268995</v>
      </c>
      <c r="E340" s="25">
        <f>IF(C340&gt;$B$7,0,'Combined Retirement'!$D$13/12)</f>
        <v>0</v>
      </c>
      <c r="F340" s="25">
        <f>IF(H340=0,'Combined Retirement'!$D$32,0)+'Combined Retirement'!$B$24</f>
        <v>2870.372285649099</v>
      </c>
      <c r="G340" s="25">
        <f>'Combined Retirement'!$C$24</f>
        <v>3254.2644699519233</v>
      </c>
      <c r="H340" s="25">
        <f>IF(B340&lt;62,0,'Combined Retirement'!$I$14)</f>
        <v>2345</v>
      </c>
      <c r="I340" s="25">
        <f>IF(C340&lt;62,0,'Combined Retirement'!$I$13)</f>
        <v>2420</v>
      </c>
      <c r="J340" s="25">
        <f t="shared" si="263"/>
        <v>8395.6297298201844</v>
      </c>
      <c r="K340" s="25">
        <f t="shared" si="264"/>
        <v>21655.303514578787</v>
      </c>
      <c r="L340" s="25"/>
      <c r="N340" s="25">
        <f>'Combined Retirement'!$C$18/12</f>
        <v>40940.569999999992</v>
      </c>
      <c r="O340" s="25">
        <f t="shared" si="265"/>
        <v>10889.636755601023</v>
      </c>
      <c r="P340" s="25">
        <f t="shared" si="266"/>
        <v>30050.93324439897</v>
      </c>
      <c r="Q340" s="25">
        <f t="array" aca="1" ref="Q340" ca="1">INDEX('Isaac 401k'!L:L,MATCH('Retirement Calculator'!A340,'Isaac 401k'!N:N,0),0)</f>
        <v>828748.65493909409</v>
      </c>
      <c r="R340" s="25">
        <f t="array" aca="1" ref="R340" ca="1">INDEX('Lorri 401b'!L:L,MATCH('Retirement Calculator'!A340,'Lorri 401b'!N:N,0),0)</f>
        <v>2853719.3636328485</v>
      </c>
      <c r="S340" s="25">
        <f t="shared" ca="1" si="267"/>
        <v>3682468.0185719426</v>
      </c>
    </row>
    <row r="341" spans="1:19" ht="15.75" customHeight="1" x14ac:dyDescent="0.3">
      <c r="A341" s="37">
        <v>61332</v>
      </c>
      <c r="B341" s="398">
        <f t="shared" ref="B341:C341" si="342">($A341-B$9)/365.25</f>
        <v>86.039698836413422</v>
      </c>
      <c r="C341" s="398">
        <f t="shared" si="342"/>
        <v>81.429158110882952</v>
      </c>
      <c r="E341" s="25">
        <f>IF(C341&gt;$B$7,0,'Combined Retirement'!$D$13/12)</f>
        <v>0</v>
      </c>
      <c r="F341" s="25">
        <f>IF(H341=0,'Combined Retirement'!$D$32,0)+'Combined Retirement'!$B$24</f>
        <v>2870.372285649099</v>
      </c>
      <c r="G341" s="25">
        <f>'Combined Retirement'!$C$24</f>
        <v>3254.2644699519233</v>
      </c>
      <c r="H341" s="25">
        <f>IF(B341&lt;62,0,'Combined Retirement'!$I$14)</f>
        <v>2345</v>
      </c>
      <c r="I341" s="25">
        <f>IF(C341&lt;62,0,'Combined Retirement'!$I$13)</f>
        <v>2420</v>
      </c>
      <c r="J341" s="25">
        <f t="shared" si="263"/>
        <v>8395.6297298201844</v>
      </c>
      <c r="K341" s="25">
        <f t="shared" si="264"/>
        <v>21655.303514578787</v>
      </c>
      <c r="L341" s="25"/>
      <c r="N341" s="25">
        <f>'Combined Retirement'!$C$18/12</f>
        <v>40940.569999999992</v>
      </c>
      <c r="O341" s="25">
        <f t="shared" si="265"/>
        <v>10889.636755601023</v>
      </c>
      <c r="P341" s="25">
        <f t="shared" si="266"/>
        <v>30050.93324439897</v>
      </c>
      <c r="Q341" s="25">
        <f t="array" aca="1" ref="Q341" ca="1">INDEX('Isaac 401k'!L:L,MATCH('Retirement Calculator'!A341,'Isaac 401k'!N:N,0),0)</f>
        <v>823771.1628143125</v>
      </c>
      <c r="R341" s="25">
        <f t="array" aca="1" ref="R341" ca="1">INDEX('Lorri 401b'!L:L,MATCH('Retirement Calculator'!A341,'Lorri 401b'!N:N,0),0)</f>
        <v>2843864.327035429</v>
      </c>
      <c r="S341" s="25">
        <f t="shared" ca="1" si="267"/>
        <v>3667635.4898497416</v>
      </c>
    </row>
    <row r="342" spans="1:19" ht="15.75" customHeight="1" x14ac:dyDescent="0.3">
      <c r="A342" s="37">
        <v>61363</v>
      </c>
      <c r="B342" s="398">
        <f t="shared" ref="B342:C342" si="343">($A342-B$9)/365.25</f>
        <v>86.124572210814506</v>
      </c>
      <c r="C342" s="398">
        <f t="shared" si="343"/>
        <v>81.51403148528405</v>
      </c>
      <c r="E342" s="25">
        <f>IF(C342&gt;$B$7,0,'Combined Retirement'!$D$13/12)</f>
        <v>0</v>
      </c>
      <c r="F342" s="25">
        <f>IF(H342=0,'Combined Retirement'!$D$32,0)+'Combined Retirement'!$B$24</f>
        <v>2870.372285649099</v>
      </c>
      <c r="G342" s="25">
        <f>'Combined Retirement'!$C$24</f>
        <v>3254.2644699519233</v>
      </c>
      <c r="H342" s="25">
        <f>IF(B342&lt;62,0,'Combined Retirement'!$I$14)</f>
        <v>2345</v>
      </c>
      <c r="I342" s="25">
        <f>IF(C342&lt;62,0,'Combined Retirement'!$I$13)</f>
        <v>2420</v>
      </c>
      <c r="J342" s="25">
        <f t="shared" si="263"/>
        <v>8395.6297298201844</v>
      </c>
      <c r="K342" s="25">
        <f t="shared" si="264"/>
        <v>21655.303514578787</v>
      </c>
      <c r="L342" s="25"/>
      <c r="N342" s="25">
        <f>'Combined Retirement'!$C$18/12</f>
        <v>40940.569999999992</v>
      </c>
      <c r="O342" s="25">
        <f t="shared" si="265"/>
        <v>10889.636755601023</v>
      </c>
      <c r="P342" s="25">
        <f t="shared" si="266"/>
        <v>30050.93324439897</v>
      </c>
      <c r="Q342" s="25">
        <f t="array" aca="1" ref="Q342" ca="1">INDEX('Isaac 401k'!L:L,MATCH('Retirement Calculator'!A342,'Isaac 401k'!N:N,0),0)</f>
        <v>818772.93113901105</v>
      </c>
      <c r="R342" s="25">
        <f t="array" aca="1" ref="R342" ca="1">INDEX('Lorri 401b'!L:L,MATCH('Retirement Calculator'!A342,'Lorri 401b'!N:N,0),0)</f>
        <v>2833968.2277855203</v>
      </c>
      <c r="S342" s="25">
        <f t="shared" ca="1" si="267"/>
        <v>3652741.1589245312</v>
      </c>
    </row>
    <row r="343" spans="1:19" ht="15.75" customHeight="1" x14ac:dyDescent="0.3">
      <c r="A343" s="37">
        <v>61394</v>
      </c>
      <c r="B343" s="398">
        <f t="shared" ref="B343:C343" si="344">($A343-B$9)/365.25</f>
        <v>86.209445585215605</v>
      </c>
      <c r="C343" s="398">
        <f t="shared" si="344"/>
        <v>81.598904859685149</v>
      </c>
      <c r="E343" s="25">
        <f>IF(C343&gt;$B$7,0,'Combined Retirement'!$D$13/12)</f>
        <v>0</v>
      </c>
      <c r="F343" s="25">
        <f>IF(H343=0,'Combined Retirement'!$D$32,0)+'Combined Retirement'!$B$24</f>
        <v>2870.372285649099</v>
      </c>
      <c r="G343" s="25">
        <f>'Combined Retirement'!$C$24</f>
        <v>3254.2644699519233</v>
      </c>
      <c r="H343" s="25">
        <f>IF(B343&lt;62,0,'Combined Retirement'!$I$14)</f>
        <v>2345</v>
      </c>
      <c r="I343" s="25">
        <f>IF(C343&lt;62,0,'Combined Retirement'!$I$13)</f>
        <v>2420</v>
      </c>
      <c r="J343" s="25">
        <f t="shared" si="263"/>
        <v>8395.6297298201844</v>
      </c>
      <c r="K343" s="25">
        <f t="shared" si="264"/>
        <v>21655.303514578787</v>
      </c>
      <c r="L343" s="25"/>
      <c r="N343" s="25">
        <f>'Combined Retirement'!$C$18/12</f>
        <v>40940.569999999992</v>
      </c>
      <c r="O343" s="25">
        <f t="shared" si="265"/>
        <v>10889.636755601023</v>
      </c>
      <c r="P343" s="25">
        <f t="shared" si="266"/>
        <v>30050.93324439897</v>
      </c>
      <c r="Q343" s="25">
        <f t="array" aca="1" ref="Q343" ca="1">INDEX('Isaac 401k'!L:L,MATCH('Retirement Calculator'!A343,'Isaac 401k'!N:N,0),0)</f>
        <v>813753.87349839578</v>
      </c>
      <c r="R343" s="25">
        <f t="array" aca="1" ref="R343" ca="1">INDEX('Lorri 401b'!L:L,MATCH('Retirement Calculator'!A343,'Lorri 401b'!N:N,0),0)</f>
        <v>2824030.8947887369</v>
      </c>
      <c r="S343" s="25">
        <f t="shared" ca="1" si="267"/>
        <v>3637784.7682871325</v>
      </c>
    </row>
    <row r="344" spans="1:19" ht="15.75" customHeight="1" x14ac:dyDescent="0.3">
      <c r="A344" s="37">
        <v>61423</v>
      </c>
      <c r="B344" s="398">
        <f t="shared" ref="B344:C344" si="345">($A344-B$9)/365.25</f>
        <v>86.288843258042434</v>
      </c>
      <c r="C344" s="398">
        <f t="shared" si="345"/>
        <v>81.678302532511978</v>
      </c>
      <c r="E344" s="25">
        <f>IF(C344&gt;$B$7,0,'Combined Retirement'!$D$13/12)</f>
        <v>0</v>
      </c>
      <c r="F344" s="25">
        <f>IF(H344=0,'Combined Retirement'!$D$32,0)+'Combined Retirement'!$B$24</f>
        <v>2870.372285649099</v>
      </c>
      <c r="G344" s="25">
        <f>'Combined Retirement'!$C$24</f>
        <v>3254.2644699519233</v>
      </c>
      <c r="H344" s="25">
        <f>IF(B344&lt;62,0,'Combined Retirement'!$I$14)</f>
        <v>2345</v>
      </c>
      <c r="I344" s="25">
        <f>IF(C344&lt;62,0,'Combined Retirement'!$I$13)</f>
        <v>2420</v>
      </c>
      <c r="J344" s="25">
        <f t="shared" si="263"/>
        <v>8395.6297298201844</v>
      </c>
      <c r="K344" s="25">
        <f t="shared" si="264"/>
        <v>21655.303514578787</v>
      </c>
      <c r="L344" s="25"/>
      <c r="N344" s="25">
        <f>'Combined Retirement'!$C$18/12</f>
        <v>40940.569999999992</v>
      </c>
      <c r="O344" s="25">
        <f t="shared" si="265"/>
        <v>10889.636755601023</v>
      </c>
      <c r="P344" s="25">
        <f t="shared" si="266"/>
        <v>30050.93324439897</v>
      </c>
      <c r="Q344" s="25">
        <f t="array" aca="1" ref="Q344" ca="1">INDEX('Isaac 401k'!L:L,MATCH('Retirement Calculator'!A344,'Isaac 401k'!N:N,0),0)</f>
        <v>808713.90311761131</v>
      </c>
      <c r="R344" s="25">
        <f t="array" aca="1" ref="R344" ca="1">INDEX('Lorri 401b'!L:L,MATCH('Retirement Calculator'!A344,'Lorri 401b'!N:N,0),0)</f>
        <v>2814052.1562378006</v>
      </c>
      <c r="S344" s="25">
        <f t="shared" ca="1" si="267"/>
        <v>3622766.0593554117</v>
      </c>
    </row>
    <row r="345" spans="1:19" ht="15.75" customHeight="1" x14ac:dyDescent="0.3">
      <c r="A345" s="37">
        <v>61454</v>
      </c>
      <c r="B345" s="398">
        <f t="shared" ref="B345:C345" si="346">($A345-B$9)/365.25</f>
        <v>86.373716632443532</v>
      </c>
      <c r="C345" s="398">
        <f t="shared" si="346"/>
        <v>81.763175906913077</v>
      </c>
      <c r="E345" s="25">
        <f>IF(C345&gt;$B$7,0,'Combined Retirement'!$D$13/12)</f>
        <v>0</v>
      </c>
      <c r="F345" s="25">
        <f>IF(H345=0,'Combined Retirement'!$D$32,0)+'Combined Retirement'!$B$24</f>
        <v>2870.372285649099</v>
      </c>
      <c r="G345" s="25">
        <f>'Combined Retirement'!$C$24</f>
        <v>3254.2644699519233</v>
      </c>
      <c r="H345" s="25">
        <f>IF(B345&lt;62,0,'Combined Retirement'!$I$14)</f>
        <v>2345</v>
      </c>
      <c r="I345" s="25">
        <f>IF(C345&lt;62,0,'Combined Retirement'!$I$13)</f>
        <v>2420</v>
      </c>
      <c r="J345" s="25">
        <f t="shared" si="263"/>
        <v>8395.6297298201844</v>
      </c>
      <c r="K345" s="25">
        <f t="shared" si="264"/>
        <v>21655.303514578787</v>
      </c>
      <c r="L345" s="25"/>
      <c r="N345" s="25">
        <f>'Combined Retirement'!$C$18/12</f>
        <v>40940.569999999992</v>
      </c>
      <c r="O345" s="25">
        <f t="shared" si="265"/>
        <v>10889.636755601023</v>
      </c>
      <c r="P345" s="25">
        <f t="shared" si="266"/>
        <v>30050.93324439897</v>
      </c>
      <c r="Q345" s="25">
        <f t="array" aca="1" ref="Q345" ca="1">INDEX('Isaac 401k'!L:L,MATCH('Retirement Calculator'!A345,'Isaac 401k'!N:N,0),0)</f>
        <v>803652.93286024022</v>
      </c>
      <c r="R345" s="25">
        <f t="array" aca="1" ref="R345" ca="1">INDEX('Lorri 401b'!L:L,MATCH('Retirement Calculator'!A345,'Lorri 401b'!N:N,0),0)</f>
        <v>2804031.8396095685</v>
      </c>
      <c r="S345" s="25">
        <f t="shared" ca="1" si="267"/>
        <v>3607684.7724698088</v>
      </c>
    </row>
    <row r="346" spans="1:19" ht="15.75" customHeight="1" x14ac:dyDescent="0.3">
      <c r="A346" s="37">
        <v>61484</v>
      </c>
      <c r="B346" s="398">
        <f t="shared" ref="B346:C346" si="347">($A346-B$9)/365.25</f>
        <v>86.455852156057489</v>
      </c>
      <c r="C346" s="398">
        <f t="shared" si="347"/>
        <v>81.845311430527033</v>
      </c>
      <c r="E346" s="25">
        <f>IF(C346&gt;$B$7,0,'Combined Retirement'!$D$13/12)</f>
        <v>0</v>
      </c>
      <c r="F346" s="25">
        <f>IF(H346=0,'Combined Retirement'!$D$32,0)+'Combined Retirement'!$B$24</f>
        <v>2870.372285649099</v>
      </c>
      <c r="G346" s="25">
        <f>'Combined Retirement'!$C$24</f>
        <v>3254.2644699519233</v>
      </c>
      <c r="H346" s="25">
        <f>IF(B346&lt;62,0,'Combined Retirement'!$I$14)</f>
        <v>2345</v>
      </c>
      <c r="I346" s="25">
        <f>IF(C346&lt;62,0,'Combined Retirement'!$I$13)</f>
        <v>2420</v>
      </c>
      <c r="J346" s="25">
        <f t="shared" si="263"/>
        <v>8395.6297298201844</v>
      </c>
      <c r="K346" s="25">
        <f t="shared" si="264"/>
        <v>21655.303514578787</v>
      </c>
      <c r="L346" s="25"/>
      <c r="N346" s="25">
        <f>'Combined Retirement'!$C$18/12</f>
        <v>40940.569999999992</v>
      </c>
      <c r="O346" s="25">
        <f t="shared" si="265"/>
        <v>10889.636755601023</v>
      </c>
      <c r="P346" s="25">
        <f t="shared" si="266"/>
        <v>30050.93324439897</v>
      </c>
      <c r="Q346" s="25">
        <f t="array" aca="1" ref="Q346" ca="1">INDEX('Isaac 401k'!L:L,MATCH('Retirement Calculator'!A346,'Isaac 401k'!N:N,0),0)</f>
        <v>798570.87522679684</v>
      </c>
      <c r="R346" s="25">
        <f t="array" aca="1" ref="R346" ca="1">INDEX('Lorri 401b'!L:L,MATCH('Retirement Calculator'!A346,'Lorri 401b'!N:N,0),0)</f>
        <v>2793969.7716620523</v>
      </c>
      <c r="S346" s="25">
        <f t="shared" ca="1" si="267"/>
        <v>3592540.6468888493</v>
      </c>
    </row>
    <row r="347" spans="1:19" ht="15.75" customHeight="1" x14ac:dyDescent="0.3">
      <c r="A347" s="37">
        <v>61515</v>
      </c>
      <c r="B347" s="398">
        <f t="shared" ref="B347:C347" si="348">($A347-B$9)/365.25</f>
        <v>86.540725530458587</v>
      </c>
      <c r="C347" s="398">
        <f t="shared" si="348"/>
        <v>81.930184804928132</v>
      </c>
      <c r="E347" s="25">
        <f>IF(C347&gt;$B$7,0,'Combined Retirement'!$D$13/12)</f>
        <v>0</v>
      </c>
      <c r="F347" s="25">
        <f>IF(H347=0,'Combined Retirement'!$D$32,0)+'Combined Retirement'!$B$24</f>
        <v>2870.372285649099</v>
      </c>
      <c r="G347" s="25">
        <f>'Combined Retirement'!$C$24</f>
        <v>3254.2644699519233</v>
      </c>
      <c r="H347" s="25">
        <f>IF(B347&lt;62,0,'Combined Retirement'!$I$14)</f>
        <v>2345</v>
      </c>
      <c r="I347" s="25">
        <f>IF(C347&lt;62,0,'Combined Retirement'!$I$13)</f>
        <v>2420</v>
      </c>
      <c r="J347" s="25">
        <f t="shared" si="263"/>
        <v>8395.6297298201844</v>
      </c>
      <c r="K347" s="25">
        <f t="shared" si="264"/>
        <v>21655.303514578787</v>
      </c>
      <c r="L347" s="25"/>
      <c r="N347" s="25">
        <f>'Combined Retirement'!$C$18/12</f>
        <v>40940.569999999992</v>
      </c>
      <c r="O347" s="25">
        <f t="shared" si="265"/>
        <v>10889.636755601023</v>
      </c>
      <c r="P347" s="25">
        <f t="shared" si="266"/>
        <v>30050.93324439897</v>
      </c>
      <c r="Q347" s="25">
        <f t="array" aca="1" ref="Q347" ca="1">INDEX('Isaac 401k'!L:L,MATCH('Retirement Calculator'!A347,'Isaac 401k'!N:N,0),0)</f>
        <v>793467.64235321409</v>
      </c>
      <c r="R347" s="25">
        <f t="array" aca="1" ref="R347" ca="1">INDEX('Lorri 401b'!L:L,MATCH('Retirement Calculator'!A347,'Lorri 401b'!N:N,0),0)</f>
        <v>2783865.7784314211</v>
      </c>
      <c r="S347" s="25">
        <f t="shared" ca="1" si="267"/>
        <v>3577333.4207846355</v>
      </c>
    </row>
    <row r="348" spans="1:19" ht="15.75" customHeight="1" x14ac:dyDescent="0.3">
      <c r="A348" s="37">
        <v>61545</v>
      </c>
      <c r="B348" s="398">
        <f t="shared" ref="B348:C348" si="349">($A348-B$9)/365.25</f>
        <v>86.622861054072558</v>
      </c>
      <c r="C348" s="398">
        <f t="shared" si="349"/>
        <v>82.012320328542089</v>
      </c>
      <c r="E348" s="25">
        <f>IF(C348&gt;$B$7,0,'Combined Retirement'!$D$13/12)</f>
        <v>0</v>
      </c>
      <c r="F348" s="25">
        <f>IF(H348=0,'Combined Retirement'!$D$32,0)+'Combined Retirement'!$B$24</f>
        <v>2870.372285649099</v>
      </c>
      <c r="G348" s="25">
        <f>'Combined Retirement'!$C$24</f>
        <v>3254.2644699519233</v>
      </c>
      <c r="H348" s="25">
        <f>IF(B348&lt;62,0,'Combined Retirement'!$I$14)</f>
        <v>2345</v>
      </c>
      <c r="I348" s="25">
        <f>IF(C348&lt;62,0,'Combined Retirement'!$I$13)</f>
        <v>2420</v>
      </c>
      <c r="J348" s="25">
        <f t="shared" si="263"/>
        <v>8395.6297298201844</v>
      </c>
      <c r="K348" s="25">
        <f t="shared" si="264"/>
        <v>21655.303514578787</v>
      </c>
      <c r="L348" s="25"/>
      <c r="N348" s="25">
        <f>'Combined Retirement'!$C$18/12</f>
        <v>40940.569999999992</v>
      </c>
      <c r="O348" s="25">
        <f t="shared" si="265"/>
        <v>10889.636755601023</v>
      </c>
      <c r="P348" s="25">
        <f t="shared" si="266"/>
        <v>30050.93324439897</v>
      </c>
      <c r="Q348" s="25">
        <f t="array" aca="1" ref="Q348" ca="1">INDEX('Isaac 401k'!L:L,MATCH('Retirement Calculator'!A348,'Isaac 401k'!N:N,0),0)</f>
        <v>788343.1460093247</v>
      </c>
      <c r="R348" s="25">
        <f t="array" aca="1" ref="R348" ca="1">INDEX('Lorri 401b'!L:L,MATCH('Retirement Calculator'!A348,'Lorri 401b'!N:N,0),0)</f>
        <v>2773719.685228996</v>
      </c>
      <c r="S348" s="25">
        <f t="shared" ca="1" si="267"/>
        <v>3562062.8312383206</v>
      </c>
    </row>
    <row r="349" spans="1:19" ht="15.75" customHeight="1" x14ac:dyDescent="0.3">
      <c r="A349" s="37">
        <v>61576</v>
      </c>
      <c r="B349" s="398">
        <f t="shared" ref="B349:C349" si="350">($A349-B$9)/365.25</f>
        <v>86.707734428473643</v>
      </c>
      <c r="C349" s="398">
        <f t="shared" si="350"/>
        <v>82.097193702943187</v>
      </c>
      <c r="E349" s="25">
        <f>IF(C349&gt;$B$7,0,'Combined Retirement'!$D$13/12)</f>
        <v>0</v>
      </c>
      <c r="F349" s="25">
        <f>IF(H349=0,'Combined Retirement'!$D$32,0)+'Combined Retirement'!$B$24</f>
        <v>2870.372285649099</v>
      </c>
      <c r="G349" s="25">
        <f>'Combined Retirement'!$C$24</f>
        <v>3254.2644699519233</v>
      </c>
      <c r="H349" s="25">
        <f>IF(B349&lt;62,0,'Combined Retirement'!$I$14)</f>
        <v>2345</v>
      </c>
      <c r="I349" s="25">
        <f>IF(C349&lt;62,0,'Combined Retirement'!$I$13)</f>
        <v>2420</v>
      </c>
      <c r="J349" s="25">
        <f t="shared" si="263"/>
        <v>8395.6297298201844</v>
      </c>
      <c r="K349" s="25">
        <f t="shared" si="264"/>
        <v>21655.303514578787</v>
      </c>
      <c r="L349" s="25"/>
      <c r="N349" s="25">
        <f>'Combined Retirement'!$C$18/12</f>
        <v>40940.569999999992</v>
      </c>
      <c r="O349" s="25">
        <f t="shared" si="265"/>
        <v>10889.636755601023</v>
      </c>
      <c r="P349" s="25">
        <f t="shared" si="266"/>
        <v>30050.93324439897</v>
      </c>
      <c r="Q349" s="25">
        <f t="array" aca="1" ref="Q349" ca="1">INDEX('Isaac 401k'!L:L,MATCH('Retirement Calculator'!A349,'Isaac 401k'!N:N,0),0)</f>
        <v>783197.29759733577</v>
      </c>
      <c r="R349" s="25">
        <f t="array" aca="1" ref="R349" ca="1">INDEX('Lorri 401b'!L:L,MATCH('Retirement Calculator'!A349,'Lorri 401b'!N:N,0),0)</f>
        <v>2763531.3166382271</v>
      </c>
      <c r="S349" s="25">
        <f t="shared" ca="1" si="267"/>
        <v>3546728.6142355627</v>
      </c>
    </row>
    <row r="350" spans="1:19" ht="15.75" customHeight="1" x14ac:dyDescent="0.3">
      <c r="A350" s="37">
        <v>61607</v>
      </c>
      <c r="B350" s="398">
        <f t="shared" ref="B350:C350" si="351">($A350-B$9)/365.25</f>
        <v>86.792607802874741</v>
      </c>
      <c r="C350" s="398">
        <f t="shared" si="351"/>
        <v>82.182067077344286</v>
      </c>
      <c r="E350" s="25">
        <f>IF(C350&gt;$B$7,0,'Combined Retirement'!$D$13/12)</f>
        <v>0</v>
      </c>
      <c r="F350" s="25">
        <f>IF(H350=0,'Combined Retirement'!$D$32,0)+'Combined Retirement'!$B$24</f>
        <v>2870.372285649099</v>
      </c>
      <c r="G350" s="25">
        <f>'Combined Retirement'!$C$24</f>
        <v>3254.2644699519233</v>
      </c>
      <c r="H350" s="25">
        <f>IF(B350&lt;62,0,'Combined Retirement'!$I$14)</f>
        <v>2345</v>
      </c>
      <c r="I350" s="25">
        <f>IF(C350&lt;62,0,'Combined Retirement'!$I$13)</f>
        <v>2420</v>
      </c>
      <c r="J350" s="25">
        <f t="shared" si="263"/>
        <v>8395.6297298201844</v>
      </c>
      <c r="K350" s="25">
        <f t="shared" si="264"/>
        <v>21655.303514578787</v>
      </c>
      <c r="L350" s="25"/>
      <c r="N350" s="25">
        <f>'Combined Retirement'!$C$18/12</f>
        <v>40940.569999999992</v>
      </c>
      <c r="O350" s="25">
        <f t="shared" si="265"/>
        <v>10889.636755601023</v>
      </c>
      <c r="P350" s="25">
        <f t="shared" si="266"/>
        <v>30050.93324439897</v>
      </c>
      <c r="Q350" s="25">
        <f t="array" aca="1" ref="Q350" ca="1">INDEX('Isaac 401k'!L:L,MATCH('Retirement Calculator'!A350,'Isaac 401k'!N:N,0),0)</f>
        <v>778030.00815029687</v>
      </c>
      <c r="R350" s="25">
        <f t="array" aca="1" ref="R350" ca="1">INDEX('Lorri 401b'!L:L,MATCH('Retirement Calculator'!A350,'Lorri 401b'!N:N,0),0)</f>
        <v>2753300.4965116633</v>
      </c>
      <c r="S350" s="25">
        <f t="shared" ca="1" si="267"/>
        <v>3531330.5046619601</v>
      </c>
    </row>
    <row r="351" spans="1:19" ht="15.75" customHeight="1" x14ac:dyDescent="0.3">
      <c r="A351" s="37">
        <v>61637</v>
      </c>
      <c r="B351" s="398">
        <f t="shared" ref="B351:C351" si="352">($A351-B$9)/365.25</f>
        <v>86.874743326488712</v>
      </c>
      <c r="C351" s="398">
        <f t="shared" si="352"/>
        <v>82.264202600958242</v>
      </c>
      <c r="E351" s="25">
        <f>IF(C351&gt;$B$7,0,'Combined Retirement'!$D$13/12)</f>
        <v>0</v>
      </c>
      <c r="F351" s="25">
        <f>IF(H351=0,'Combined Retirement'!$D$32,0)+'Combined Retirement'!$B$24</f>
        <v>2870.372285649099</v>
      </c>
      <c r="G351" s="25">
        <f>'Combined Retirement'!$C$24</f>
        <v>3254.2644699519233</v>
      </c>
      <c r="H351" s="25">
        <f>IF(B351&lt;62,0,'Combined Retirement'!$I$14)</f>
        <v>2345</v>
      </c>
      <c r="I351" s="25">
        <f>IF(C351&lt;62,0,'Combined Retirement'!$I$13)</f>
        <v>2420</v>
      </c>
      <c r="J351" s="25">
        <f t="shared" si="263"/>
        <v>8395.6297298201844</v>
      </c>
      <c r="K351" s="25">
        <f t="shared" si="264"/>
        <v>21655.303514578787</v>
      </c>
      <c r="L351" s="25"/>
      <c r="N351" s="25">
        <f>'Combined Retirement'!$C$18/12</f>
        <v>40940.569999999992</v>
      </c>
      <c r="O351" s="25">
        <f t="shared" si="265"/>
        <v>10889.636755601023</v>
      </c>
      <c r="P351" s="25">
        <f t="shared" si="266"/>
        <v>30050.93324439897</v>
      </c>
      <c r="Q351" s="25">
        <f t="array" aca="1" ref="Q351" ca="1">INDEX('Isaac 401k'!L:L,MATCH('Retirement Calculator'!A351,'Isaac 401k'!N:N,0),0)</f>
        <v>772841.18833056197</v>
      </c>
      <c r="R351" s="25">
        <f t="array" aca="1" ref="R351" ca="1">INDEX('Lorri 401b'!L:L,MATCH('Retirement Calculator'!A351,'Lorri 401b'!N:N,0),0)</f>
        <v>2743027.0479679056</v>
      </c>
      <c r="S351" s="25">
        <f t="shared" ca="1" si="267"/>
        <v>3515868.2362984675</v>
      </c>
    </row>
    <row r="352" spans="1:19" ht="15.75" customHeight="1" x14ac:dyDescent="0.3">
      <c r="A352" s="37">
        <v>61668</v>
      </c>
      <c r="B352" s="398">
        <f t="shared" ref="B352:C352" si="353">($A352-B$9)/365.25</f>
        <v>86.959616700889796</v>
      </c>
      <c r="C352" s="398">
        <f t="shared" si="353"/>
        <v>82.349075975359341</v>
      </c>
      <c r="E352" s="25">
        <f>IF(C352&gt;$B$7,0,'Combined Retirement'!$D$13/12)</f>
        <v>0</v>
      </c>
      <c r="F352" s="25">
        <f>IF(H352=0,'Combined Retirement'!$D$32,0)+'Combined Retirement'!$B$24</f>
        <v>2870.372285649099</v>
      </c>
      <c r="G352" s="25">
        <f>'Combined Retirement'!$C$24</f>
        <v>3254.2644699519233</v>
      </c>
      <c r="H352" s="25">
        <f>IF(B352&lt;62,0,'Combined Retirement'!$I$14)</f>
        <v>2345</v>
      </c>
      <c r="I352" s="25">
        <f>IF(C352&lt;62,0,'Combined Retirement'!$I$13)</f>
        <v>2420</v>
      </c>
      <c r="J352" s="25">
        <f t="shared" si="263"/>
        <v>8395.6297298201844</v>
      </c>
      <c r="K352" s="25">
        <f t="shared" si="264"/>
        <v>21655.303514578787</v>
      </c>
      <c r="L352" s="25"/>
      <c r="N352" s="25">
        <f>'Combined Retirement'!$C$18/12</f>
        <v>40940.569999999992</v>
      </c>
      <c r="O352" s="25">
        <f t="shared" si="265"/>
        <v>10889.636755601023</v>
      </c>
      <c r="P352" s="25">
        <f t="shared" si="266"/>
        <v>30050.93324439897</v>
      </c>
      <c r="Q352" s="25">
        <f t="array" aca="1" ref="Q352" ca="1">INDEX('Isaac 401k'!L:L,MATCH('Retirement Calculator'!A352,'Isaac 401k'!N:N,0),0)</f>
        <v>767630.74842824484</v>
      </c>
      <c r="R352" s="25">
        <f t="array" aca="1" ref="R352" ca="1">INDEX('Lorri 401b'!L:L,MATCH('Retirement Calculator'!A352,'Lorri 401b'!N:N,0),0)</f>
        <v>2732710.7933885488</v>
      </c>
      <c r="S352" s="25">
        <f t="shared" ca="1" si="267"/>
        <v>3500341.5418167934</v>
      </c>
    </row>
    <row r="353" spans="1:19" ht="15.75" customHeight="1" x14ac:dyDescent="0.3">
      <c r="A353" s="37">
        <v>61698</v>
      </c>
      <c r="B353" s="398">
        <f t="shared" ref="B353:C353" si="354">($A353-B$9)/365.25</f>
        <v>87.041752224503767</v>
      </c>
      <c r="C353" s="398">
        <f t="shared" si="354"/>
        <v>82.431211498973312</v>
      </c>
      <c r="E353" s="25">
        <f>IF(C353&gt;$B$7,0,'Combined Retirement'!$D$13/12)</f>
        <v>0</v>
      </c>
      <c r="F353" s="25">
        <f>IF(H353=0,'Combined Retirement'!$D$32,0)+'Combined Retirement'!$B$24</f>
        <v>2870.372285649099</v>
      </c>
      <c r="G353" s="25">
        <f>'Combined Retirement'!$C$24</f>
        <v>3254.2644699519233</v>
      </c>
      <c r="H353" s="25">
        <f>IF(B353&lt;62,0,'Combined Retirement'!$I$14)</f>
        <v>2345</v>
      </c>
      <c r="I353" s="25">
        <f>IF(C353&lt;62,0,'Combined Retirement'!$I$13)</f>
        <v>2420</v>
      </c>
      <c r="J353" s="25">
        <f t="shared" si="263"/>
        <v>8395.6297298201844</v>
      </c>
      <c r="K353" s="25">
        <f t="shared" si="264"/>
        <v>21655.303514578787</v>
      </c>
      <c r="L353" s="25"/>
      <c r="N353" s="25">
        <f>'Combined Retirement'!$C$18/12</f>
        <v>40940.569999999992</v>
      </c>
      <c r="O353" s="25">
        <f t="shared" si="265"/>
        <v>10889.636755601023</v>
      </c>
      <c r="P353" s="25">
        <f t="shared" si="266"/>
        <v>30050.93324439897</v>
      </c>
      <c r="Q353" s="25">
        <f t="array" aca="1" ref="Q353" ca="1">INDEX('Isaac 401k'!L:L,MATCH('Retirement Calculator'!A353,'Isaac 401k'!N:N,0),0)</f>
        <v>762398.59835966805</v>
      </c>
      <c r="R353" s="25">
        <f t="array" aca="1" ref="R353" ca="1">INDEX('Lorri 401b'!L:L,MATCH('Retirement Calculator'!A353,'Lorri 401b'!N:N,0),0)</f>
        <v>2722351.5544151114</v>
      </c>
      <c r="S353" s="25">
        <f t="shared" ca="1" si="267"/>
        <v>3484750.1527747796</v>
      </c>
    </row>
    <row r="354" spans="1:19" ht="15.75" customHeight="1" x14ac:dyDescent="0.3">
      <c r="A354" s="37">
        <v>61729</v>
      </c>
      <c r="B354" s="398">
        <f t="shared" ref="B354:C354" si="355">($A354-B$9)/365.25</f>
        <v>87.126625598904866</v>
      </c>
      <c r="C354" s="398">
        <f t="shared" si="355"/>
        <v>82.516084873374396</v>
      </c>
      <c r="E354" s="25">
        <f>IF(C354&gt;$B$7,0,'Combined Retirement'!$D$13/12)</f>
        <v>0</v>
      </c>
      <c r="F354" s="25">
        <f>IF(H354=0,'Combined Retirement'!$D$32,0)+'Combined Retirement'!$B$24</f>
        <v>2870.372285649099</v>
      </c>
      <c r="G354" s="25">
        <f>'Combined Retirement'!$C$24</f>
        <v>3254.2644699519233</v>
      </c>
      <c r="H354" s="25">
        <f>IF(B354&lt;62,0,'Combined Retirement'!$I$14)</f>
        <v>2345</v>
      </c>
      <c r="I354" s="25">
        <f>IF(C354&lt;62,0,'Combined Retirement'!$I$13)</f>
        <v>2420</v>
      </c>
      <c r="J354" s="25">
        <f t="shared" si="263"/>
        <v>8395.6297298201844</v>
      </c>
      <c r="K354" s="25">
        <f t="shared" si="264"/>
        <v>21655.303514578787</v>
      </c>
      <c r="L354" s="25"/>
      <c r="N354" s="25">
        <f>'Combined Retirement'!$C$18/12</f>
        <v>40940.569999999992</v>
      </c>
      <c r="O354" s="25">
        <f t="shared" si="265"/>
        <v>10889.636755601023</v>
      </c>
      <c r="P354" s="25">
        <f t="shared" si="266"/>
        <v>30050.93324439897</v>
      </c>
      <c r="Q354" s="25">
        <f t="array" aca="1" ref="Q354" ca="1">INDEX('Isaac 401k'!L:L,MATCH('Retirement Calculator'!A354,'Isaac 401k'!N:N,0),0)</f>
        <v>757144.64766580553</v>
      </c>
      <c r="R354" s="25">
        <f t="array" aca="1" ref="R354" ca="1">INDEX('Lorri 401b'!L:L,MATCH('Retirement Calculator'!A354,'Lorri 401b'!N:N,0),0)</f>
        <v>2711949.1519459514</v>
      </c>
      <c r="S354" s="25">
        <f t="shared" ca="1" si="267"/>
        <v>3469093.799611757</v>
      </c>
    </row>
    <row r="355" spans="1:19" ht="15.75" customHeight="1" x14ac:dyDescent="0.3">
      <c r="A355" s="37">
        <v>61760</v>
      </c>
      <c r="B355" s="398">
        <f t="shared" ref="B355:C355" si="356">($A355-B$9)/365.25</f>
        <v>87.21149897330595</v>
      </c>
      <c r="C355" s="398">
        <f t="shared" si="356"/>
        <v>82.600958247775495</v>
      </c>
      <c r="E355" s="25">
        <f>IF(C355&gt;$B$7,0,'Combined Retirement'!$D$13/12)</f>
        <v>0</v>
      </c>
      <c r="F355" s="25">
        <f>IF(H355=0,'Combined Retirement'!$D$32,0)+'Combined Retirement'!$B$24</f>
        <v>2870.372285649099</v>
      </c>
      <c r="G355" s="25">
        <f>'Combined Retirement'!$C$24</f>
        <v>3254.2644699519233</v>
      </c>
      <c r="H355" s="25">
        <f>IF(B355&lt;62,0,'Combined Retirement'!$I$14)</f>
        <v>2345</v>
      </c>
      <c r="I355" s="25">
        <f>IF(C355&lt;62,0,'Combined Retirement'!$I$13)</f>
        <v>2420</v>
      </c>
      <c r="J355" s="25">
        <f t="shared" si="263"/>
        <v>8395.6297298201844</v>
      </c>
      <c r="K355" s="25">
        <f t="shared" si="264"/>
        <v>21655.303514578787</v>
      </c>
      <c r="L355" s="25"/>
      <c r="N355" s="25">
        <f>'Combined Retirement'!$C$18/12</f>
        <v>40940.569999999992</v>
      </c>
      <c r="O355" s="25">
        <f t="shared" si="265"/>
        <v>10889.636755601023</v>
      </c>
      <c r="P355" s="25">
        <f t="shared" si="266"/>
        <v>30050.93324439897</v>
      </c>
      <c r="Q355" s="25">
        <f t="array" aca="1" ref="Q355" ca="1">INDEX('Isaac 401k'!L:L,MATCH('Retirement Calculator'!A355,'Isaac 401k'!N:N,0),0)</f>
        <v>751868.80551071861</v>
      </c>
      <c r="R355" s="25">
        <f t="array" aca="1" ref="R355" ca="1">INDEX('Lorri 401b'!L:L,MATCH('Retirement Calculator'!A355,'Lorri 401b'!N:N,0),0)</f>
        <v>2701503.4061331698</v>
      </c>
      <c r="S355" s="25">
        <f t="shared" ca="1" si="267"/>
        <v>3453372.2116438886</v>
      </c>
    </row>
    <row r="356" spans="1:19" ht="15.75" customHeight="1" x14ac:dyDescent="0.3">
      <c r="A356" s="37">
        <v>61788</v>
      </c>
      <c r="B356" s="398">
        <f t="shared" ref="B356:C356" si="357">($A356-B$9)/365.25</f>
        <v>87.288158795345652</v>
      </c>
      <c r="C356" s="398">
        <f t="shared" si="357"/>
        <v>82.677618069815196</v>
      </c>
      <c r="E356" s="25">
        <f>IF(C356&gt;$B$7,0,'Combined Retirement'!$D$13/12)</f>
        <v>0</v>
      </c>
      <c r="F356" s="25">
        <f>IF(H356=0,'Combined Retirement'!$D$32,0)+'Combined Retirement'!$B$24</f>
        <v>2870.372285649099</v>
      </c>
      <c r="G356" s="25">
        <f>'Combined Retirement'!$C$24</f>
        <v>3254.2644699519233</v>
      </c>
      <c r="H356" s="25">
        <f>IF(B356&lt;62,0,'Combined Retirement'!$I$14)</f>
        <v>2345</v>
      </c>
      <c r="I356" s="25">
        <f>IF(C356&lt;62,0,'Combined Retirement'!$I$13)</f>
        <v>2420</v>
      </c>
      <c r="J356" s="25">
        <f t="shared" si="263"/>
        <v>8395.6297298201844</v>
      </c>
      <c r="K356" s="25">
        <f t="shared" si="264"/>
        <v>21655.303514578787</v>
      </c>
      <c r="L356" s="25"/>
      <c r="N356" s="25">
        <f>'Combined Retirement'!$C$18/12</f>
        <v>40940.569999999992</v>
      </c>
      <c r="O356" s="25">
        <f t="shared" si="265"/>
        <v>10889.636755601023</v>
      </c>
      <c r="P356" s="25">
        <f t="shared" si="266"/>
        <v>30050.93324439897</v>
      </c>
      <c r="Q356" s="25">
        <f t="array" aca="1" ref="Q356" ca="1">INDEX('Isaac 401k'!L:L,MATCH('Retirement Calculator'!A356,'Isaac 401k'!N:N,0),0)</f>
        <v>746570.98067998549</v>
      </c>
      <c r="R356" s="25">
        <f t="array" aca="1" ref="R356" ca="1">INDEX('Lorri 401b'!L:L,MATCH('Retirement Calculator'!A356,'Lorri 401b'!N:N,0),0)</f>
        <v>2691014.1363795018</v>
      </c>
      <c r="S356" s="25">
        <f t="shared" ca="1" si="267"/>
        <v>3437585.1170594874</v>
      </c>
    </row>
    <row r="357" spans="1:19" ht="15.75" customHeight="1" x14ac:dyDescent="0.3">
      <c r="A357" s="37">
        <v>61819</v>
      </c>
      <c r="B357" s="398">
        <f t="shared" ref="B357:C357" si="358">($A357-B$9)/365.25</f>
        <v>87.37303216974675</v>
      </c>
      <c r="C357" s="398">
        <f t="shared" si="358"/>
        <v>82.762491444216295</v>
      </c>
      <c r="E357" s="25">
        <f>IF(C357&gt;$B$7,0,'Combined Retirement'!$D$13/12)</f>
        <v>0</v>
      </c>
      <c r="F357" s="25">
        <f>IF(H357=0,'Combined Retirement'!$D$32,0)+'Combined Retirement'!$B$24</f>
        <v>2870.372285649099</v>
      </c>
      <c r="G357" s="25">
        <f>'Combined Retirement'!$C$24</f>
        <v>3254.2644699519233</v>
      </c>
      <c r="H357" s="25">
        <f>IF(B357&lt;62,0,'Combined Retirement'!$I$14)</f>
        <v>2345</v>
      </c>
      <c r="I357" s="25">
        <f>IF(C357&lt;62,0,'Combined Retirement'!$I$13)</f>
        <v>2420</v>
      </c>
      <c r="J357" s="25">
        <f t="shared" si="263"/>
        <v>8395.6297298201844</v>
      </c>
      <c r="K357" s="25">
        <f t="shared" si="264"/>
        <v>21655.303514578787</v>
      </c>
      <c r="L357" s="25"/>
      <c r="N357" s="25">
        <f>'Combined Retirement'!$C$18/12</f>
        <v>40940.569999999992</v>
      </c>
      <c r="O357" s="25">
        <f t="shared" si="265"/>
        <v>10889.636755601023</v>
      </c>
      <c r="P357" s="25">
        <f t="shared" si="266"/>
        <v>30050.93324439897</v>
      </c>
      <c r="Q357" s="25">
        <f t="array" aca="1" ref="Q357" ca="1">INDEX('Isaac 401k'!L:L,MATCH('Retirement Calculator'!A357,'Isaac 401k'!N:N,0),0)</f>
        <v>741251.08157912432</v>
      </c>
      <c r="R357" s="25">
        <f t="array" aca="1" ref="R357" ca="1">INDEX('Lorri 401b'!L:L,MATCH('Retirement Calculator'!A357,'Lorri 401b'!N:N,0),0)</f>
        <v>2680481.1613351936</v>
      </c>
      <c r="S357" s="25">
        <f t="shared" ca="1" si="267"/>
        <v>3421732.2429143181</v>
      </c>
    </row>
    <row r="358" spans="1:19" ht="15.75" customHeight="1" x14ac:dyDescent="0.3">
      <c r="A358" s="37">
        <v>61849</v>
      </c>
      <c r="B358" s="398">
        <f t="shared" ref="B358:C358" si="359">($A358-B$9)/365.25</f>
        <v>87.455167693360707</v>
      </c>
      <c r="C358" s="398">
        <f t="shared" si="359"/>
        <v>82.844626967830251</v>
      </c>
      <c r="E358" s="25">
        <f>IF(C358&gt;$B$7,0,'Combined Retirement'!$D$13/12)</f>
        <v>0</v>
      </c>
      <c r="F358" s="25">
        <f>IF(H358=0,'Combined Retirement'!$D$32,0)+'Combined Retirement'!$B$24</f>
        <v>2870.372285649099</v>
      </c>
      <c r="G358" s="25">
        <f>'Combined Retirement'!$C$24</f>
        <v>3254.2644699519233</v>
      </c>
      <c r="H358" s="25">
        <f>IF(B358&lt;62,0,'Combined Retirement'!$I$14)</f>
        <v>2345</v>
      </c>
      <c r="I358" s="25">
        <f>IF(C358&lt;62,0,'Combined Retirement'!$I$13)</f>
        <v>2420</v>
      </c>
      <c r="J358" s="25">
        <f t="shared" si="263"/>
        <v>8395.6297298201844</v>
      </c>
      <c r="K358" s="25">
        <f t="shared" si="264"/>
        <v>21655.303514578787</v>
      </c>
      <c r="L358" s="25"/>
      <c r="N358" s="25">
        <f>'Combined Retirement'!$C$18/12</f>
        <v>40940.569999999992</v>
      </c>
      <c r="O358" s="25">
        <f t="shared" si="265"/>
        <v>10889.636755601023</v>
      </c>
      <c r="P358" s="25">
        <f t="shared" si="266"/>
        <v>30050.93324439897</v>
      </c>
      <c r="Q358" s="25">
        <f t="array" aca="1" ref="Q358" ca="1">INDEX('Isaac 401k'!L:L,MATCH('Retirement Calculator'!A358,'Isaac 401k'!N:N,0),0)</f>
        <v>735909.01623200963</v>
      </c>
      <c r="R358" s="25">
        <f t="array" aca="1" ref="R358" ca="1">INDEX('Lorri 401b'!L:L,MATCH('Retirement Calculator'!A358,'Lorri 401b'!N:N,0),0)</f>
        <v>2669904.2988948673</v>
      </c>
      <c r="S358" s="25">
        <f t="shared" ca="1" si="267"/>
        <v>3405813.3151268768</v>
      </c>
    </row>
    <row r="359" spans="1:19" ht="15.75" customHeight="1" x14ac:dyDescent="0.3">
      <c r="A359" s="37">
        <v>61880</v>
      </c>
      <c r="B359" s="398">
        <f t="shared" ref="B359:C359" si="360">($A359-B$9)/365.25</f>
        <v>87.540041067761805</v>
      </c>
      <c r="C359" s="398">
        <f t="shared" si="360"/>
        <v>82.92950034223135</v>
      </c>
      <c r="E359" s="25">
        <f>IF(C359&gt;$B$7,0,'Combined Retirement'!$D$13/12)</f>
        <v>0</v>
      </c>
      <c r="F359" s="25">
        <f>IF(H359=0,'Combined Retirement'!$D$32,0)+'Combined Retirement'!$B$24</f>
        <v>2870.372285649099</v>
      </c>
      <c r="G359" s="25">
        <f>'Combined Retirement'!$C$24</f>
        <v>3254.2644699519233</v>
      </c>
      <c r="H359" s="25">
        <f>IF(B359&lt;62,0,'Combined Retirement'!$I$14)</f>
        <v>2345</v>
      </c>
      <c r="I359" s="25">
        <f>IF(C359&lt;62,0,'Combined Retirement'!$I$13)</f>
        <v>2420</v>
      </c>
      <c r="J359" s="25">
        <f t="shared" si="263"/>
        <v>8395.6297298201844</v>
      </c>
      <c r="K359" s="25">
        <f t="shared" si="264"/>
        <v>21655.303514578787</v>
      </c>
      <c r="L359" s="25"/>
      <c r="N359" s="25">
        <f>'Combined Retirement'!$C$18/12</f>
        <v>40940.569999999992</v>
      </c>
      <c r="O359" s="25">
        <f t="shared" si="265"/>
        <v>10889.636755601023</v>
      </c>
      <c r="P359" s="25">
        <f t="shared" si="266"/>
        <v>30050.93324439897</v>
      </c>
      <c r="Q359" s="25">
        <f t="array" aca="1" ref="Q359" ca="1">INDEX('Isaac 401k'!L:L,MATCH('Retirement Calculator'!A359,'Isaac 401k'!N:N,0),0)</f>
        <v>730544.69227928191</v>
      </c>
      <c r="R359" s="25">
        <f t="array" aca="1" ref="R359" ca="1">INDEX('Lorri 401b'!L:L,MATCH('Retirement Calculator'!A359,'Lorri 401b'!N:N,0),0)</f>
        <v>2659283.366194373</v>
      </c>
      <c r="S359" s="25">
        <f t="shared" ca="1" si="267"/>
        <v>3389828.058473655</v>
      </c>
    </row>
    <row r="360" spans="1:19" ht="15.75" customHeight="1" x14ac:dyDescent="0.3">
      <c r="A360" s="37">
        <v>61910</v>
      </c>
      <c r="B360" s="398">
        <f t="shared" ref="B360:C360" si="361">($A360-B$9)/365.25</f>
        <v>87.622176591375776</v>
      </c>
      <c r="C360" s="398">
        <f t="shared" si="361"/>
        <v>83.011635865845307</v>
      </c>
      <c r="E360" s="25">
        <f>IF(C360&gt;$B$7,0,'Combined Retirement'!$D$13/12)</f>
        <v>0</v>
      </c>
      <c r="F360" s="25">
        <f>IF(H360=0,'Combined Retirement'!$D$32,0)+'Combined Retirement'!$B$24</f>
        <v>2870.372285649099</v>
      </c>
      <c r="G360" s="25">
        <f>'Combined Retirement'!$C$24</f>
        <v>3254.2644699519233</v>
      </c>
      <c r="H360" s="25">
        <f>IF(B360&lt;62,0,'Combined Retirement'!$I$14)</f>
        <v>2345</v>
      </c>
      <c r="I360" s="25">
        <f>IF(C360&lt;62,0,'Combined Retirement'!$I$13)</f>
        <v>2420</v>
      </c>
      <c r="J360" s="25">
        <f t="shared" si="263"/>
        <v>8395.6297298201844</v>
      </c>
      <c r="K360" s="25">
        <f t="shared" si="264"/>
        <v>21655.303514578787</v>
      </c>
      <c r="L360" s="25"/>
      <c r="N360" s="25">
        <f>'Combined Retirement'!$C$18/12</f>
        <v>40940.569999999992</v>
      </c>
      <c r="O360" s="25">
        <f t="shared" si="265"/>
        <v>10889.636755601023</v>
      </c>
      <c r="P360" s="25">
        <f t="shared" si="266"/>
        <v>30050.93324439897</v>
      </c>
      <c r="Q360" s="25">
        <f t="array" aca="1" ref="Q360" ca="1">INDEX('Isaac 401k'!L:L,MATCH('Retirement Calculator'!A360,'Isaac 401k'!N:N,0),0)</f>
        <v>725158.01697675115</v>
      </c>
      <c r="R360" s="25">
        <f t="array" aca="1" ref="R360" ca="1">INDEX('Lorri 401b'!L:L,MATCH('Retirement Calculator'!A360,'Lorri 401b'!N:N,0),0)</f>
        <v>2648618.1796076265</v>
      </c>
      <c r="S360" s="25">
        <f t="shared" ca="1" si="267"/>
        <v>3373776.1965843774</v>
      </c>
    </row>
    <row r="361" spans="1:19" ht="15.75" customHeight="1" x14ac:dyDescent="0.3">
      <c r="A361" s="37">
        <v>61941</v>
      </c>
      <c r="B361" s="398">
        <f t="shared" ref="B361:C361" si="362">($A361-B$9)/365.25</f>
        <v>87.707049965776861</v>
      </c>
      <c r="C361" s="398">
        <f t="shared" si="362"/>
        <v>83.096509240246405</v>
      </c>
      <c r="E361" s="25">
        <f>IF(C361&gt;$B$7,0,'Combined Retirement'!$D$13/12)</f>
        <v>0</v>
      </c>
      <c r="F361" s="25">
        <f>IF(H361=0,'Combined Retirement'!$D$32,0)+'Combined Retirement'!$B$24</f>
        <v>2870.372285649099</v>
      </c>
      <c r="G361" s="25">
        <f>'Combined Retirement'!$C$24</f>
        <v>3254.2644699519233</v>
      </c>
      <c r="H361" s="25">
        <f>IF(B361&lt;62,0,'Combined Retirement'!$I$14)</f>
        <v>2345</v>
      </c>
      <c r="I361" s="25">
        <f>IF(C361&lt;62,0,'Combined Retirement'!$I$13)</f>
        <v>2420</v>
      </c>
      <c r="J361" s="25">
        <f t="shared" si="263"/>
        <v>8395.6297298201844</v>
      </c>
      <c r="K361" s="25">
        <f t="shared" si="264"/>
        <v>21655.303514578787</v>
      </c>
      <c r="L361" s="25"/>
      <c r="N361" s="25">
        <f>'Combined Retirement'!$C$18/12</f>
        <v>40940.569999999992</v>
      </c>
      <c r="O361" s="25">
        <f t="shared" si="265"/>
        <v>10889.636755601023</v>
      </c>
      <c r="P361" s="25">
        <f t="shared" si="266"/>
        <v>30050.93324439897</v>
      </c>
      <c r="Q361" s="25">
        <f t="array" aca="1" ref="Q361" ca="1">INDEX('Isaac 401k'!L:L,MATCH('Retirement Calculator'!A361,'Isaac 401k'!N:N,0),0)</f>
        <v>719748.89719379321</v>
      </c>
      <c r="R361" s="25">
        <f t="array" aca="1" ref="R361" ca="1">INDEX('Lorri 401b'!L:L,MATCH('Retirement Calculator'!A361,'Lorri 401b'!N:N,0),0)</f>
        <v>2637908.5547434352</v>
      </c>
      <c r="S361" s="25">
        <f t="shared" ca="1" si="267"/>
        <v>3357657.4519372284</v>
      </c>
    </row>
    <row r="362" spans="1:19" ht="15.75" customHeight="1" x14ac:dyDescent="0.3">
      <c r="A362" s="37">
        <v>61972</v>
      </c>
      <c r="B362" s="398">
        <f t="shared" ref="B362:C362" si="363">($A362-B$9)/365.25</f>
        <v>87.791923340177959</v>
      </c>
      <c r="C362" s="398">
        <f t="shared" si="363"/>
        <v>83.181382614647504</v>
      </c>
      <c r="E362" s="25">
        <f>IF(C362&gt;$B$7,0,'Combined Retirement'!$D$13/12)</f>
        <v>0</v>
      </c>
      <c r="F362" s="25">
        <f>IF(H362=0,'Combined Retirement'!$D$32,0)+'Combined Retirement'!$B$24</f>
        <v>2870.372285649099</v>
      </c>
      <c r="G362" s="25">
        <f>'Combined Retirement'!$C$24</f>
        <v>3254.2644699519233</v>
      </c>
      <c r="H362" s="25">
        <f>IF(B362&lt;62,0,'Combined Retirement'!$I$14)</f>
        <v>2345</v>
      </c>
      <c r="I362" s="25">
        <f>IF(C362&lt;62,0,'Combined Retirement'!$I$13)</f>
        <v>2420</v>
      </c>
      <c r="J362" s="25">
        <f t="shared" si="263"/>
        <v>8395.6297298201844</v>
      </c>
      <c r="K362" s="25">
        <f t="shared" si="264"/>
        <v>21655.303514578787</v>
      </c>
      <c r="L362" s="25"/>
      <c r="N362" s="25">
        <f>'Combined Retirement'!$C$18/12</f>
        <v>40940.569999999992</v>
      </c>
      <c r="O362" s="25">
        <f t="shared" si="265"/>
        <v>10889.636755601023</v>
      </c>
      <c r="P362" s="25">
        <f t="shared" si="266"/>
        <v>30050.93324439897</v>
      </c>
      <c r="Q362" s="25">
        <f t="array" aca="1" ref="Q362" ca="1">INDEX('Isaac 401k'!L:L,MATCH('Retirement Calculator'!A362,'Isaac 401k'!N:N,0),0)</f>
        <v>714317.23941173963</v>
      </c>
      <c r="R362" s="25">
        <f t="array" aca="1" ref="R362" ca="1">INDEX('Lorri 401b'!L:L,MATCH('Retirement Calculator'!A362,'Lorri 401b'!N:N,0),0)</f>
        <v>2627154.3064423101</v>
      </c>
      <c r="S362" s="25">
        <f t="shared" ca="1" si="267"/>
        <v>3341471.5458540497</v>
      </c>
    </row>
    <row r="363" spans="1:19" ht="15.75" customHeight="1" x14ac:dyDescent="0.3">
      <c r="A363" s="37">
        <v>62002</v>
      </c>
      <c r="B363" s="398">
        <f t="shared" ref="B363:C363" si="364">($A363-B$9)/365.25</f>
        <v>87.87405886379193</v>
      </c>
      <c r="C363" s="398">
        <f t="shared" si="364"/>
        <v>83.26351813826146</v>
      </c>
      <c r="E363" s="25">
        <f>IF(C363&gt;$B$7,0,'Combined Retirement'!$D$13/12)</f>
        <v>0</v>
      </c>
      <c r="F363" s="25">
        <f>IF(H363=0,'Combined Retirement'!$D$32,0)+'Combined Retirement'!$B$24</f>
        <v>2870.372285649099</v>
      </c>
      <c r="G363" s="25">
        <f>'Combined Retirement'!$C$24</f>
        <v>3254.2644699519233</v>
      </c>
      <c r="H363" s="25">
        <f>IF(B363&lt;62,0,'Combined Retirement'!$I$14)</f>
        <v>2345</v>
      </c>
      <c r="I363" s="25">
        <f>IF(C363&lt;62,0,'Combined Retirement'!$I$13)</f>
        <v>2420</v>
      </c>
      <c r="J363" s="25">
        <f t="shared" si="263"/>
        <v>8395.6297298201844</v>
      </c>
      <c r="K363" s="25">
        <f t="shared" si="264"/>
        <v>21655.303514578787</v>
      </c>
      <c r="L363" s="25"/>
      <c r="N363" s="25">
        <f>'Combined Retirement'!$C$18/12</f>
        <v>40940.569999999992</v>
      </c>
      <c r="O363" s="25">
        <f t="shared" si="265"/>
        <v>10889.636755601023</v>
      </c>
      <c r="P363" s="25">
        <f t="shared" si="266"/>
        <v>30050.93324439897</v>
      </c>
      <c r="Q363" s="25">
        <f t="array" aca="1" ref="Q363" ca="1">INDEX('Isaac 401k'!L:L,MATCH('Retirement Calculator'!A363,'Isaac 401k'!N:N,0),0)</f>
        <v>708862.94972226082</v>
      </c>
      <c r="R363" s="25">
        <f t="array" aca="1" ref="R363" ca="1">INDEX('Lorri 401b'!L:L,MATCH('Retirement Calculator'!A363,'Lorri 401b'!N:N,0),0)</f>
        <v>2616355.2487732633</v>
      </c>
      <c r="S363" s="25">
        <f t="shared" ca="1" si="267"/>
        <v>3325218.198495524</v>
      </c>
    </row>
    <row r="364" spans="1:19" ht="15.75" customHeight="1" x14ac:dyDescent="0.3">
      <c r="A364" s="37">
        <v>62033</v>
      </c>
      <c r="B364" s="398">
        <f t="shared" ref="B364:C364" si="365">($A364-B$9)/365.25</f>
        <v>87.958932238193015</v>
      </c>
      <c r="C364" s="398">
        <f t="shared" si="365"/>
        <v>83.348391512662559</v>
      </c>
      <c r="E364" s="25">
        <f>IF(C364&gt;$B$7,0,'Combined Retirement'!$D$13/12)</f>
        <v>0</v>
      </c>
      <c r="F364" s="25">
        <f>IF(H364=0,'Combined Retirement'!$D$32,0)+'Combined Retirement'!$B$24</f>
        <v>2870.372285649099</v>
      </c>
      <c r="G364" s="25">
        <f>'Combined Retirement'!$C$24</f>
        <v>3254.2644699519233</v>
      </c>
      <c r="H364" s="25">
        <f>IF(B364&lt;62,0,'Combined Retirement'!$I$14)</f>
        <v>2345</v>
      </c>
      <c r="I364" s="25">
        <f>IF(C364&lt;62,0,'Combined Retirement'!$I$13)</f>
        <v>2420</v>
      </c>
      <c r="J364" s="25">
        <f t="shared" si="263"/>
        <v>8395.6297298201844</v>
      </c>
      <c r="K364" s="25">
        <f t="shared" si="264"/>
        <v>21655.303514578787</v>
      </c>
      <c r="L364" s="25"/>
      <c r="N364" s="25">
        <f>'Combined Retirement'!$C$18/12</f>
        <v>40940.569999999992</v>
      </c>
      <c r="O364" s="25">
        <f t="shared" si="265"/>
        <v>10889.636755601023</v>
      </c>
      <c r="P364" s="25">
        <f t="shared" si="266"/>
        <v>30050.93324439897</v>
      </c>
      <c r="Q364" s="25">
        <f t="array" aca="1" ref="Q364" ca="1">INDEX('Isaac 401k'!L:L,MATCH('Retirement Calculator'!A364,'Isaac 401k'!N:N,0),0)</f>
        <v>703385.93382574245</v>
      </c>
      <c r="R364" s="25">
        <f t="array" aca="1" ref="R364" ca="1">INDEX('Lorri 401b'!L:L,MATCH('Retirement Calculator'!A364,'Lorri 401b'!N:N,0),0)</f>
        <v>2605511.1950305956</v>
      </c>
      <c r="S364" s="25">
        <f t="shared" ca="1" si="267"/>
        <v>3308897.1288563381</v>
      </c>
    </row>
    <row r="365" spans="1:19" ht="15.75" customHeight="1" x14ac:dyDescent="0.3">
      <c r="A365" s="37">
        <v>62063</v>
      </c>
      <c r="B365" s="398">
        <f t="shared" ref="B365:C365" si="366">($A365-B$9)/365.25</f>
        <v>88.041067761806985</v>
      </c>
      <c r="C365" s="398">
        <f t="shared" si="366"/>
        <v>83.43052703627653</v>
      </c>
      <c r="E365" s="25">
        <f>IF(C365&gt;$B$7,0,'Combined Retirement'!$D$13/12)</f>
        <v>0</v>
      </c>
      <c r="F365" s="25">
        <f>IF(H365=0,'Combined Retirement'!$D$32,0)+'Combined Retirement'!$B$24</f>
        <v>2870.372285649099</v>
      </c>
      <c r="G365" s="25">
        <f>'Combined Retirement'!$C$24</f>
        <v>3254.2644699519233</v>
      </c>
      <c r="H365" s="25">
        <f>IF(B365&lt;62,0,'Combined Retirement'!$I$14)</f>
        <v>2345</v>
      </c>
      <c r="I365" s="25">
        <f>IF(C365&lt;62,0,'Combined Retirement'!$I$13)</f>
        <v>2420</v>
      </c>
      <c r="J365" s="25">
        <f t="shared" si="263"/>
        <v>8395.6297298201844</v>
      </c>
      <c r="K365" s="25">
        <f t="shared" si="264"/>
        <v>21655.303514578787</v>
      </c>
      <c r="L365" s="25"/>
      <c r="N365" s="25">
        <f>'Combined Retirement'!$C$18/12</f>
        <v>40940.569999999992</v>
      </c>
      <c r="O365" s="25">
        <f t="shared" si="265"/>
        <v>10889.636755601023</v>
      </c>
      <c r="P365" s="25">
        <f t="shared" si="266"/>
        <v>30050.93324439897</v>
      </c>
      <c r="Q365" s="25">
        <f t="array" aca="1" ref="Q365" ca="1">INDEX('Isaac 401k'!L:L,MATCH('Retirement Calculator'!A365,'Isaac 401k'!N:N,0),0)</f>
        <v>697886.09702965524</v>
      </c>
      <c r="R365" s="25">
        <f t="array" aca="1" ref="R365" ca="1">INDEX('Lorri 401b'!L:L,MATCH('Retirement Calculator'!A365,'Lorri 401b'!N:N,0),0)</f>
        <v>2594621.9577306667</v>
      </c>
      <c r="S365" s="25">
        <f t="shared" ca="1" si="267"/>
        <v>3292508.054760322</v>
      </c>
    </row>
    <row r="366" spans="1:19" ht="15.75" customHeight="1" x14ac:dyDescent="0.3">
      <c r="A366" s="37">
        <v>62094</v>
      </c>
      <c r="B366" s="398">
        <f t="shared" ref="B366:C366" si="367">($A366-B$9)/365.25</f>
        <v>88.12594113620807</v>
      </c>
      <c r="C366" s="398">
        <f t="shared" si="367"/>
        <v>83.515400410677614</v>
      </c>
      <c r="E366" s="25">
        <f>IF(C366&gt;$B$7,0,'Combined Retirement'!$D$13/12)</f>
        <v>0</v>
      </c>
      <c r="F366" s="25">
        <f>IF(H366=0,'Combined Retirement'!$D$32,0)+'Combined Retirement'!$B$24</f>
        <v>2870.372285649099</v>
      </c>
      <c r="G366" s="25">
        <f>'Combined Retirement'!$C$24</f>
        <v>3254.2644699519233</v>
      </c>
      <c r="H366" s="25">
        <f>IF(B366&lt;62,0,'Combined Retirement'!$I$14)</f>
        <v>2345</v>
      </c>
      <c r="I366" s="25">
        <f>IF(C366&lt;62,0,'Combined Retirement'!$I$13)</f>
        <v>2420</v>
      </c>
      <c r="J366" s="25">
        <f t="shared" si="263"/>
        <v>8395.6297298201844</v>
      </c>
      <c r="K366" s="25">
        <f t="shared" si="264"/>
        <v>21655.303514578787</v>
      </c>
      <c r="L366" s="25"/>
      <c r="N366" s="25">
        <f>'Combined Retirement'!$C$18/12</f>
        <v>40940.569999999992</v>
      </c>
      <c r="O366" s="25">
        <f t="shared" si="265"/>
        <v>10889.636755601023</v>
      </c>
      <c r="P366" s="25">
        <f t="shared" si="266"/>
        <v>30050.93324439897</v>
      </c>
      <c r="Q366" s="25">
        <f t="array" aca="1" ref="Q366" ca="1">INDEX('Isaac 401k'!L:L,MATCH('Retirement Calculator'!A366,'Isaac 401k'!N:N,0),0)</f>
        <v>692363.34424691775</v>
      </c>
      <c r="R366" s="25">
        <f t="array" aca="1" ref="R366" ca="1">INDEX('Lorri 401b'!L:L,MATCH('Retirement Calculator'!A366,'Lorri 401b'!N:N,0),0)</f>
        <v>2583687.3486086549</v>
      </c>
      <c r="S366" s="25">
        <f t="shared" ca="1" si="267"/>
        <v>3276050.6928555728</v>
      </c>
    </row>
    <row r="367" spans="1:19" ht="15.75" customHeight="1" x14ac:dyDescent="0.3">
      <c r="A367" s="37">
        <v>62125</v>
      </c>
      <c r="B367" s="398">
        <f t="shared" ref="B367:C367" si="368">($A367-B$9)/365.25</f>
        <v>88.210814510609168</v>
      </c>
      <c r="C367" s="398">
        <f t="shared" si="368"/>
        <v>83.600273785078713</v>
      </c>
      <c r="E367" s="25">
        <f>IF(C367&gt;$B$7,0,'Combined Retirement'!$D$13/12)</f>
        <v>0</v>
      </c>
      <c r="F367" s="25">
        <f>IF(H367=0,'Combined Retirement'!$D$32,0)+'Combined Retirement'!$B$24</f>
        <v>2870.372285649099</v>
      </c>
      <c r="G367" s="25">
        <f>'Combined Retirement'!$C$24</f>
        <v>3254.2644699519233</v>
      </c>
      <c r="H367" s="25">
        <f>IF(B367&lt;62,0,'Combined Retirement'!$I$14)</f>
        <v>2345</v>
      </c>
      <c r="I367" s="25">
        <f>IF(C367&lt;62,0,'Combined Retirement'!$I$13)</f>
        <v>2420</v>
      </c>
      <c r="J367" s="25">
        <f t="shared" si="263"/>
        <v>8395.6297298201844</v>
      </c>
      <c r="K367" s="25">
        <f t="shared" si="264"/>
        <v>21655.303514578787</v>
      </c>
      <c r="L367" s="25"/>
      <c r="N367" s="25">
        <f>'Combined Retirement'!$C$18/12</f>
        <v>40940.569999999992</v>
      </c>
      <c r="O367" s="25">
        <f t="shared" si="265"/>
        <v>10889.636755601023</v>
      </c>
      <c r="P367" s="25">
        <f t="shared" si="266"/>
        <v>30050.93324439897</v>
      </c>
      <c r="Q367" s="25">
        <f t="array" aca="1" ref="Q367" ca="1">INDEX('Isaac 401k'!L:L,MATCH('Retirement Calculator'!A367,'Isaac 401k'!N:N,0),0)</f>
        <v>686817.57999425218</v>
      </c>
      <c r="R367" s="25">
        <f t="array" aca="1" ref="R367" ca="1">INDEX('Lorri 401b'!L:L,MATCH('Retirement Calculator'!A367,'Lorri 401b'!N:N,0),0)</f>
        <v>2572707.1786153014</v>
      </c>
      <c r="S367" s="25">
        <f t="shared" ca="1" si="267"/>
        <v>3259524.7586095538</v>
      </c>
    </row>
    <row r="368" spans="1:19" ht="15.75" customHeight="1" x14ac:dyDescent="0.3">
      <c r="A368" s="37">
        <v>62153</v>
      </c>
      <c r="B368" s="398">
        <f t="shared" ref="B368:C368" si="369">($A368-B$9)/365.25</f>
        <v>88.28747433264887</v>
      </c>
      <c r="C368" s="398">
        <f t="shared" si="369"/>
        <v>83.676933607118414</v>
      </c>
      <c r="E368" s="25">
        <f>IF(C368&gt;$B$7,0,'Combined Retirement'!$D$13/12)</f>
        <v>0</v>
      </c>
      <c r="F368" s="25">
        <f>IF(H368=0,'Combined Retirement'!$D$32,0)+'Combined Retirement'!$B$24</f>
        <v>2870.372285649099</v>
      </c>
      <c r="G368" s="25">
        <f>'Combined Retirement'!$C$24</f>
        <v>3254.2644699519233</v>
      </c>
      <c r="H368" s="25">
        <f>IF(B368&lt;62,0,'Combined Retirement'!$I$14)</f>
        <v>2345</v>
      </c>
      <c r="I368" s="25">
        <f>IF(C368&lt;62,0,'Combined Retirement'!$I$13)</f>
        <v>2420</v>
      </c>
      <c r="J368" s="25">
        <f t="shared" si="263"/>
        <v>8395.6297298201844</v>
      </c>
      <c r="K368" s="25">
        <f t="shared" si="264"/>
        <v>21655.303514578787</v>
      </c>
      <c r="L368" s="25"/>
      <c r="N368" s="25">
        <f>'Combined Retirement'!$C$18/12</f>
        <v>40940.569999999992</v>
      </c>
      <c r="O368" s="25">
        <f t="shared" si="265"/>
        <v>10889.636755601023</v>
      </c>
      <c r="P368" s="25">
        <f t="shared" si="266"/>
        <v>30050.93324439897</v>
      </c>
      <c r="Q368" s="25">
        <f t="array" aca="1" ref="Q368" ca="1">INDEX('Isaac 401k'!L:L,MATCH('Retirement Calculator'!A368,'Isaac 401k'!N:N,0),0)</f>
        <v>681248.70839053381</v>
      </c>
      <c r="R368" s="25">
        <f t="array" aca="1" ref="R368" ca="1">INDEX('Lorri 401b'!L:L,MATCH('Retirement Calculator'!A368,'Lorri 401b'!N:N,0),0)</f>
        <v>2561681.2579136421</v>
      </c>
      <c r="S368" s="25">
        <f t="shared" ca="1" si="267"/>
        <v>3242929.966304176</v>
      </c>
    </row>
    <row r="369" spans="1:19" ht="15.75" customHeight="1" x14ac:dyDescent="0.3">
      <c r="A369" s="37">
        <v>62184</v>
      </c>
      <c r="B369" s="398">
        <f t="shared" ref="B369:C369" si="370">($A369-B$9)/365.25</f>
        <v>88.372347707049968</v>
      </c>
      <c r="C369" s="398">
        <f t="shared" si="370"/>
        <v>83.761806981519513</v>
      </c>
      <c r="E369" s="25">
        <f>IF(C369&gt;$B$7,0,'Combined Retirement'!$D$13/12)</f>
        <v>0</v>
      </c>
      <c r="F369" s="25">
        <f>IF(H369=0,'Combined Retirement'!$D$32,0)+'Combined Retirement'!$B$24</f>
        <v>2870.372285649099</v>
      </c>
      <c r="G369" s="25">
        <f>'Combined Retirement'!$C$24</f>
        <v>3254.2644699519233</v>
      </c>
      <c r="H369" s="25">
        <f>IF(B369&lt;62,0,'Combined Retirement'!$I$14)</f>
        <v>2345</v>
      </c>
      <c r="I369" s="25">
        <f>IF(C369&lt;62,0,'Combined Retirement'!$I$13)</f>
        <v>2420</v>
      </c>
      <c r="J369" s="25">
        <f t="shared" si="263"/>
        <v>8395.6297298201844</v>
      </c>
      <c r="K369" s="25">
        <f t="shared" si="264"/>
        <v>21655.303514578787</v>
      </c>
      <c r="L369" s="25"/>
      <c r="N369" s="25">
        <f>'Combined Retirement'!$C$18/12</f>
        <v>40940.569999999992</v>
      </c>
      <c r="O369" s="25">
        <f t="shared" si="265"/>
        <v>10889.636755601023</v>
      </c>
      <c r="P369" s="25">
        <f t="shared" si="266"/>
        <v>30050.93324439897</v>
      </c>
      <c r="Q369" s="25">
        <f t="array" aca="1" ref="Q369" ca="1">INDEX('Isaac 401k'!L:L,MATCH('Retirement Calculator'!A369,'Isaac 401k'!N:N,0),0)</f>
        <v>675656.63315513323</v>
      </c>
      <c r="R369" s="25">
        <f t="array" aca="1" ref="R369" ca="1">INDEX('Lorri 401b'!L:L,MATCH('Retirement Calculator'!A369,'Lorri 401b'!N:N,0),0)</f>
        <v>2550609.3958757259</v>
      </c>
      <c r="S369" s="25">
        <f t="shared" ca="1" si="267"/>
        <v>3226266.029030859</v>
      </c>
    </row>
    <row r="370" spans="1:19" ht="15.75" customHeight="1" x14ac:dyDescent="0.3">
      <c r="A370" s="37">
        <v>62214</v>
      </c>
      <c r="B370" s="398">
        <f t="shared" ref="B370:C370" si="371">($A370-B$9)/365.25</f>
        <v>88.454483230663925</v>
      </c>
      <c r="C370" s="398">
        <f t="shared" si="371"/>
        <v>83.843942505133469</v>
      </c>
      <c r="E370" s="25">
        <f>IF(C370&gt;$B$7,0,'Combined Retirement'!$D$13/12)</f>
        <v>0</v>
      </c>
      <c r="F370" s="25">
        <f>IF(H370=0,'Combined Retirement'!$D$32,0)+'Combined Retirement'!$B$24</f>
        <v>2870.372285649099</v>
      </c>
      <c r="G370" s="25">
        <f>'Combined Retirement'!$C$24</f>
        <v>3254.2644699519233</v>
      </c>
      <c r="H370" s="25">
        <f>IF(B370&lt;62,0,'Combined Retirement'!$I$14)</f>
        <v>2345</v>
      </c>
      <c r="I370" s="25">
        <f>IF(C370&lt;62,0,'Combined Retirement'!$I$13)</f>
        <v>2420</v>
      </c>
      <c r="J370" s="25">
        <f t="shared" si="263"/>
        <v>8395.6297298201844</v>
      </c>
      <c r="K370" s="25">
        <f t="shared" si="264"/>
        <v>21655.303514578787</v>
      </c>
      <c r="L370" s="25"/>
      <c r="N370" s="25">
        <f>'Combined Retirement'!$C$18/12</f>
        <v>40940.569999999992</v>
      </c>
      <c r="O370" s="25">
        <f t="shared" si="265"/>
        <v>10889.636755601023</v>
      </c>
      <c r="P370" s="25">
        <f t="shared" si="266"/>
        <v>30050.93324439897</v>
      </c>
      <c r="Q370" s="25">
        <f t="array" aca="1" ref="Q370" ca="1">INDEX('Isaac 401k'!L:L,MATCH('Retirement Calculator'!A370,'Isaac 401k'!N:N,0),0)</f>
        <v>670041.25760625186</v>
      </c>
      <c r="R370" s="25">
        <f t="array" aca="1" ref="R370" ca="1">INDEX('Lorri 401b'!L:L,MATCH('Retirement Calculator'!A370,'Lorri 401b'!N:N,0),0)</f>
        <v>2539491.4010793185</v>
      </c>
      <c r="S370" s="25">
        <f t="shared" ca="1" si="267"/>
        <v>3209532.6586855706</v>
      </c>
    </row>
    <row r="371" spans="1:19" ht="15.75" customHeight="1" x14ac:dyDescent="0.3">
      <c r="A371" s="37">
        <v>62245</v>
      </c>
      <c r="B371" s="398">
        <f t="shared" ref="B371:C371" si="372">($A371-B$9)/365.25</f>
        <v>88.539356605065024</v>
      </c>
      <c r="C371" s="398">
        <f t="shared" si="372"/>
        <v>83.928815879534568</v>
      </c>
      <c r="E371" s="25">
        <f>IF(C371&gt;$B$7,0,'Combined Retirement'!$D$13/12)</f>
        <v>0</v>
      </c>
      <c r="F371" s="25">
        <f>IF(H371=0,'Combined Retirement'!$D$32,0)+'Combined Retirement'!$B$24</f>
        <v>2870.372285649099</v>
      </c>
      <c r="G371" s="25">
        <f>'Combined Retirement'!$C$24</f>
        <v>3254.2644699519233</v>
      </c>
      <c r="H371" s="25">
        <f>IF(B371&lt;62,0,'Combined Retirement'!$I$14)</f>
        <v>2345</v>
      </c>
      <c r="I371" s="25">
        <f>IF(C371&lt;62,0,'Combined Retirement'!$I$13)</f>
        <v>2420</v>
      </c>
      <c r="J371" s="25">
        <f t="shared" si="263"/>
        <v>8395.6297298201844</v>
      </c>
      <c r="K371" s="25">
        <f t="shared" si="264"/>
        <v>21655.303514578787</v>
      </c>
      <c r="L371" s="25"/>
      <c r="N371" s="25">
        <f>'Combined Retirement'!$C$18/12</f>
        <v>40940.569999999992</v>
      </c>
      <c r="O371" s="25">
        <f t="shared" si="265"/>
        <v>10889.636755601023</v>
      </c>
      <c r="P371" s="25">
        <f t="shared" si="266"/>
        <v>30050.93324439897</v>
      </c>
      <c r="Q371" s="25">
        <f t="array" aca="1" ref="Q371" ca="1">INDEX('Isaac 401k'!L:L,MATCH('Retirement Calculator'!A371,'Isaac 401k'!N:N,0),0)</f>
        <v>664402.48465925013</v>
      </c>
      <c r="R371" s="25">
        <f t="array" aca="1" ref="R371" ca="1">INDEX('Lorri 401b'!L:L,MATCH('Retirement Calculator'!A371,'Lorri 401b'!N:N,0),0)</f>
        <v>2528327.0813045925</v>
      </c>
      <c r="S371" s="25">
        <f t="shared" ca="1" si="267"/>
        <v>3192729.5659638429</v>
      </c>
    </row>
    <row r="372" spans="1:19" ht="15.75" customHeight="1" x14ac:dyDescent="0.3">
      <c r="A372" s="37">
        <v>62275</v>
      </c>
      <c r="B372" s="398">
        <f t="shared" ref="B372:C372" si="373">($A372-B$9)/365.25</f>
        <v>88.62149212867898</v>
      </c>
      <c r="C372" s="398">
        <f t="shared" si="373"/>
        <v>84.010951403148525</v>
      </c>
      <c r="E372" s="25">
        <f>IF(C372&gt;$B$7,0,'Combined Retirement'!$D$13/12)</f>
        <v>0</v>
      </c>
      <c r="F372" s="25">
        <f>IF(H372=0,'Combined Retirement'!$D$32,0)+'Combined Retirement'!$B$24</f>
        <v>2870.372285649099</v>
      </c>
      <c r="G372" s="25">
        <f>'Combined Retirement'!$C$24</f>
        <v>3254.2644699519233</v>
      </c>
      <c r="H372" s="25">
        <f>IF(B372&lt;62,0,'Combined Retirement'!$I$14)</f>
        <v>2345</v>
      </c>
      <c r="I372" s="25">
        <f>IF(C372&lt;62,0,'Combined Retirement'!$I$13)</f>
        <v>2420</v>
      </c>
      <c r="J372" s="25">
        <f t="shared" si="263"/>
        <v>8395.6297298201844</v>
      </c>
      <c r="K372" s="25">
        <f t="shared" si="264"/>
        <v>21655.303514578787</v>
      </c>
      <c r="L372" s="25"/>
      <c r="N372" s="25">
        <f>'Combined Retirement'!$C$18/12</f>
        <v>40940.569999999992</v>
      </c>
      <c r="O372" s="25">
        <f t="shared" si="265"/>
        <v>10889.636755601023</v>
      </c>
      <c r="P372" s="25">
        <f t="shared" si="266"/>
        <v>30050.93324439897</v>
      </c>
      <c r="Q372" s="25">
        <f t="array" aca="1" ref="Q372" ca="1">INDEX('Isaac 401k'!L:L,MATCH('Retirement Calculator'!A372,'Isaac 401k'!N:N,0),0)</f>
        <v>658740.21682496928</v>
      </c>
      <c r="R372" s="25">
        <f t="array" aca="1" ref="R372" ca="1">INDEX('Lorri 401b'!L:L,MATCH('Retirement Calculator'!A372,'Lorri 401b'!N:N,0),0)</f>
        <v>2517116.2435308052</v>
      </c>
      <c r="S372" s="25">
        <f t="shared" ca="1" si="267"/>
        <v>3175856.4603557745</v>
      </c>
    </row>
    <row r="373" spans="1:19" ht="15.75" customHeight="1" x14ac:dyDescent="0.3">
      <c r="A373" s="37">
        <v>62306</v>
      </c>
      <c r="B373" s="398">
        <f t="shared" ref="B373:C373" si="374">($A373-B$9)/365.25</f>
        <v>88.706365503080079</v>
      </c>
      <c r="C373" s="398">
        <f t="shared" si="374"/>
        <v>84.095824777549623</v>
      </c>
      <c r="E373" s="25">
        <f>IF(C373&gt;$B$7,0,'Combined Retirement'!$D$13/12)</f>
        <v>0</v>
      </c>
      <c r="F373" s="25">
        <f>IF(H373=0,'Combined Retirement'!$D$32,0)+'Combined Retirement'!$B$24</f>
        <v>2870.372285649099</v>
      </c>
      <c r="G373" s="25">
        <f>'Combined Retirement'!$C$24</f>
        <v>3254.2644699519233</v>
      </c>
      <c r="H373" s="25">
        <f>IF(B373&lt;62,0,'Combined Retirement'!$I$14)</f>
        <v>2345</v>
      </c>
      <c r="I373" s="25">
        <f>IF(C373&lt;62,0,'Combined Retirement'!$I$13)</f>
        <v>2420</v>
      </c>
      <c r="J373" s="25">
        <f t="shared" si="263"/>
        <v>8395.6297298201844</v>
      </c>
      <c r="K373" s="25">
        <f t="shared" si="264"/>
        <v>21655.303514578787</v>
      </c>
      <c r="L373" s="25"/>
      <c r="N373" s="25">
        <f>'Combined Retirement'!$C$18/12</f>
        <v>40940.569999999992</v>
      </c>
      <c r="O373" s="25">
        <f t="shared" si="265"/>
        <v>10889.636755601023</v>
      </c>
      <c r="P373" s="25">
        <f t="shared" si="266"/>
        <v>30050.93324439897</v>
      </c>
      <c r="Q373" s="25">
        <f t="array" aca="1" ref="Q373" ca="1">INDEX('Isaac 401k'!L:L,MATCH('Retirement Calculator'!A373,'Isaac 401k'!N:N,0),0)</f>
        <v>653054.3562080455</v>
      </c>
      <c r="R373" s="25">
        <f t="array" aca="1" ref="R373" ca="1">INDEX('Lorri 401b'!L:L,MATCH('Retirement Calculator'!A373,'Lorri 401b'!N:N,0),0)</f>
        <v>2505858.6939329607</v>
      </c>
      <c r="S373" s="25">
        <f t="shared" ca="1" si="267"/>
        <v>3158913.0501410062</v>
      </c>
    </row>
    <row r="374" spans="1:19" ht="15.75" customHeight="1" x14ac:dyDescent="0.3">
      <c r="A374" s="37">
        <v>62337</v>
      </c>
      <c r="B374" s="398">
        <f t="shared" ref="B374:C374" si="375">($A374-B$9)/365.25</f>
        <v>88.791238877481177</v>
      </c>
      <c r="C374" s="398">
        <f t="shared" si="375"/>
        <v>84.180698151950722</v>
      </c>
      <c r="E374" s="25">
        <f>IF(C374&gt;$B$7,0,'Combined Retirement'!$D$13/12)</f>
        <v>0</v>
      </c>
      <c r="F374" s="25">
        <f>IF(H374=0,'Combined Retirement'!$D$32,0)+'Combined Retirement'!$B$24</f>
        <v>2870.372285649099</v>
      </c>
      <c r="G374" s="25">
        <f>'Combined Retirement'!$C$24</f>
        <v>3254.2644699519233</v>
      </c>
      <c r="H374" s="25">
        <f>IF(B374&lt;62,0,'Combined Retirement'!$I$14)</f>
        <v>2345</v>
      </c>
      <c r="I374" s="25">
        <f>IF(C374&lt;62,0,'Combined Retirement'!$I$13)</f>
        <v>2420</v>
      </c>
      <c r="J374" s="25">
        <f t="shared" si="263"/>
        <v>8395.6297298201844</v>
      </c>
      <c r="K374" s="25">
        <f t="shared" si="264"/>
        <v>21655.303514578787</v>
      </c>
      <c r="L374" s="25"/>
      <c r="N374" s="25">
        <f>'Combined Retirement'!$C$18/12</f>
        <v>40940.569999999992</v>
      </c>
      <c r="O374" s="25">
        <f t="shared" si="265"/>
        <v>10889.636755601023</v>
      </c>
      <c r="P374" s="25">
        <f t="shared" si="266"/>
        <v>30050.93324439897</v>
      </c>
      <c r="Q374" s="25">
        <f t="array" aca="1" ref="Q374" ca="1">INDEX('Isaac 401k'!L:L,MATCH('Retirement Calculator'!A374,'Isaac 401k'!N:N,0),0)</f>
        <v>647344.80450521794</v>
      </c>
      <c r="R374" s="25">
        <f t="array" aca="1" ref="R374" ca="1">INDEX('Lorri 401b'!L:L,MATCH('Retirement Calculator'!A374,'Lorri 401b'!N:N,0),0)</f>
        <v>2494554.2378784586</v>
      </c>
      <c r="S374" s="25">
        <f t="shared" ca="1" si="267"/>
        <v>3141899.0423836764</v>
      </c>
    </row>
    <row r="375" spans="1:19" ht="15.75" customHeight="1" x14ac:dyDescent="0.3">
      <c r="A375" s="37">
        <v>62367</v>
      </c>
      <c r="B375" s="398">
        <f t="shared" ref="B375:C375" si="376">($A375-B$9)/365.25</f>
        <v>88.873374401095134</v>
      </c>
      <c r="C375" s="398">
        <f t="shared" si="376"/>
        <v>84.262833675564679</v>
      </c>
      <c r="E375" s="25">
        <f>IF(C375&gt;$B$7,0,'Combined Retirement'!$D$13/12)</f>
        <v>0</v>
      </c>
      <c r="F375" s="25">
        <f>IF(H375=0,'Combined Retirement'!$D$32,0)+'Combined Retirement'!$B$24</f>
        <v>2870.372285649099</v>
      </c>
      <c r="G375" s="25">
        <f>'Combined Retirement'!$C$24</f>
        <v>3254.2644699519233</v>
      </c>
      <c r="H375" s="25">
        <f>IF(B375&lt;62,0,'Combined Retirement'!$I$14)</f>
        <v>2345</v>
      </c>
      <c r="I375" s="25">
        <f>IF(C375&lt;62,0,'Combined Retirement'!$I$13)</f>
        <v>2420</v>
      </c>
      <c r="J375" s="25">
        <f t="shared" si="263"/>
        <v>8395.6297298201844</v>
      </c>
      <c r="K375" s="25">
        <f t="shared" si="264"/>
        <v>21655.303514578787</v>
      </c>
      <c r="L375" s="25"/>
      <c r="N375" s="25">
        <f>'Combined Retirement'!$C$18/12</f>
        <v>40940.569999999992</v>
      </c>
      <c r="O375" s="25">
        <f t="shared" si="265"/>
        <v>10889.636755601023</v>
      </c>
      <c r="P375" s="25">
        <f t="shared" si="266"/>
        <v>30050.93324439897</v>
      </c>
      <c r="Q375" s="25">
        <f t="array" aca="1" ref="Q375" ca="1">INDEX('Isaac 401k'!L:L,MATCH('Retirement Calculator'!A375,'Isaac 401k'!N:N,0),0)</f>
        <v>641611.46300362854</v>
      </c>
      <c r="R375" s="25">
        <f t="array" aca="1" ref="R375" ca="1">INDEX('Lorri 401b'!L:L,MATCH('Retirement Calculator'!A375,'Lorri 401b'!N:N,0),0)</f>
        <v>2483202.679923729</v>
      </c>
      <c r="S375" s="25">
        <f t="shared" ca="1" si="267"/>
        <v>3124814.1429273575</v>
      </c>
    </row>
    <row r="376" spans="1:19" ht="15.75" customHeight="1" x14ac:dyDescent="0.3">
      <c r="A376" s="37">
        <v>62398</v>
      </c>
      <c r="B376" s="398">
        <f t="shared" ref="B376:C376" si="377">($A376-B$9)/365.25</f>
        <v>88.958247775496233</v>
      </c>
      <c r="C376" s="398">
        <f t="shared" si="377"/>
        <v>84.347707049965777</v>
      </c>
      <c r="E376" s="25">
        <f>IF(C376&gt;$B$7,0,'Combined Retirement'!$D$13/12)</f>
        <v>0</v>
      </c>
      <c r="F376" s="25">
        <f>IF(H376=0,'Combined Retirement'!$D$32,0)+'Combined Retirement'!$B$24</f>
        <v>2870.372285649099</v>
      </c>
      <c r="G376" s="25">
        <f>'Combined Retirement'!$C$24</f>
        <v>3254.2644699519233</v>
      </c>
      <c r="H376" s="25">
        <f>IF(B376&lt;62,0,'Combined Retirement'!$I$14)</f>
        <v>2345</v>
      </c>
      <c r="I376" s="25">
        <f>IF(C376&lt;62,0,'Combined Retirement'!$I$13)</f>
        <v>2420</v>
      </c>
      <c r="J376" s="25">
        <f t="shared" si="263"/>
        <v>8395.6297298201844</v>
      </c>
      <c r="K376" s="25">
        <f t="shared" si="264"/>
        <v>21655.303514578787</v>
      </c>
      <c r="L376" s="25"/>
      <c r="N376" s="25">
        <f>'Combined Retirement'!$C$18/12</f>
        <v>40940.569999999992</v>
      </c>
      <c r="O376" s="25">
        <f t="shared" si="265"/>
        <v>10889.636755601023</v>
      </c>
      <c r="P376" s="25">
        <f t="shared" si="266"/>
        <v>30050.93324439897</v>
      </c>
      <c r="Q376" s="25">
        <f t="array" aca="1" ref="Q376" ca="1">INDEX('Isaac 401k'!L:L,MATCH('Retirement Calculator'!A376,'Isaac 401k'!N:N,0),0)</f>
        <v>635854.23257911589</v>
      </c>
      <c r="R376" s="25">
        <f t="array" aca="1" ref="R376" ca="1">INDEX('Lorri 401b'!L:L,MATCH('Retirement Calculator'!A376,'Lorri 401b'!N:N,0),0)</f>
        <v>2471803.8238108549</v>
      </c>
      <c r="S376" s="25">
        <f t="shared" ca="1" si="267"/>
        <v>3107658.0563899707</v>
      </c>
    </row>
    <row r="377" spans="1:19" ht="15.75" customHeight="1" x14ac:dyDescent="0.3">
      <c r="A377" s="37">
        <v>62428</v>
      </c>
      <c r="B377" s="398">
        <f t="shared" ref="B377:C377" si="378">($A377-B$9)/365.25</f>
        <v>89.040383299110204</v>
      </c>
      <c r="C377" s="398">
        <f t="shared" si="378"/>
        <v>84.429842573579734</v>
      </c>
      <c r="E377" s="25">
        <f>IF(C377&gt;$B$7,0,'Combined Retirement'!$D$13/12)</f>
        <v>0</v>
      </c>
      <c r="F377" s="25">
        <f>IF(H377=0,'Combined Retirement'!$D$32,0)+'Combined Retirement'!$B$24</f>
        <v>2870.372285649099</v>
      </c>
      <c r="G377" s="25">
        <f>'Combined Retirement'!$C$24</f>
        <v>3254.2644699519233</v>
      </c>
      <c r="H377" s="25">
        <f>IF(B377&lt;62,0,'Combined Retirement'!$I$14)</f>
        <v>2345</v>
      </c>
      <c r="I377" s="25">
        <f>IF(C377&lt;62,0,'Combined Retirement'!$I$13)</f>
        <v>2420</v>
      </c>
      <c r="J377" s="25">
        <f t="shared" si="263"/>
        <v>8395.6297298201844</v>
      </c>
      <c r="K377" s="25">
        <f t="shared" si="264"/>
        <v>21655.303514578787</v>
      </c>
      <c r="L377" s="25"/>
      <c r="N377" s="25">
        <f>'Combined Retirement'!$C$18/12</f>
        <v>40940.569999999992</v>
      </c>
      <c r="O377" s="25">
        <f t="shared" si="265"/>
        <v>10889.636755601023</v>
      </c>
      <c r="P377" s="25">
        <f t="shared" si="266"/>
        <v>30050.93324439897</v>
      </c>
      <c r="Q377" s="25">
        <f t="array" aca="1" ref="Q377" ca="1">INDEX('Isaac 401k'!L:L,MATCH('Retirement Calculator'!A377,'Isaac 401k'!N:N,0),0)</f>
        <v>630073.01369450113</v>
      </c>
      <c r="R377" s="25">
        <f t="array" aca="1" ref="R377" ca="1">INDEX('Lorri 401b'!L:L,MATCH('Retirement Calculator'!A377,'Lorri 401b'!N:N,0),0)</f>
        <v>2460357.4724641773</v>
      </c>
      <c r="S377" s="25">
        <f t="shared" ca="1" si="267"/>
        <v>3090430.4861586783</v>
      </c>
    </row>
    <row r="378" spans="1:19" ht="15.75" customHeight="1" x14ac:dyDescent="0.3">
      <c r="A378" s="37">
        <v>62459</v>
      </c>
      <c r="B378" s="398">
        <f t="shared" ref="B378:C378" si="379">($A378-B$9)/365.25</f>
        <v>89.125256673511288</v>
      </c>
      <c r="C378" s="398">
        <f t="shared" si="379"/>
        <v>84.514715947980832</v>
      </c>
      <c r="E378" s="25">
        <f>IF(C378&gt;$B$7,0,'Combined Retirement'!$D$13/12)</f>
        <v>0</v>
      </c>
      <c r="F378" s="25">
        <f>IF(H378=0,'Combined Retirement'!$D$32,0)+'Combined Retirement'!$B$24</f>
        <v>2870.372285649099</v>
      </c>
      <c r="G378" s="25">
        <f>'Combined Retirement'!$C$24</f>
        <v>3254.2644699519233</v>
      </c>
      <c r="H378" s="25">
        <f>IF(B378&lt;62,0,'Combined Retirement'!$I$14)</f>
        <v>2345</v>
      </c>
      <c r="I378" s="25">
        <f>IF(C378&lt;62,0,'Combined Retirement'!$I$13)</f>
        <v>2420</v>
      </c>
      <c r="J378" s="25">
        <f t="shared" si="263"/>
        <v>8395.6297298201844</v>
      </c>
      <c r="K378" s="25">
        <f t="shared" si="264"/>
        <v>21655.303514578787</v>
      </c>
      <c r="L378" s="25"/>
      <c r="N378" s="25">
        <f>'Combined Retirement'!$C$18/12</f>
        <v>40940.569999999992</v>
      </c>
      <c r="O378" s="25">
        <f t="shared" si="265"/>
        <v>10889.636755601023</v>
      </c>
      <c r="P378" s="25">
        <f t="shared" si="266"/>
        <v>30050.93324439897</v>
      </c>
      <c r="Q378" s="25">
        <f t="array" aca="1" ref="Q378" ca="1">INDEX('Isaac 401k'!L:L,MATCH('Retirement Calculator'!A378,'Isaac 401k'!N:N,0),0)</f>
        <v>624267.70639786706</v>
      </c>
      <c r="R378" s="25">
        <f t="array" aca="1" ref="R378" ca="1">INDEX('Lorri 401b'!L:L,MATCH('Retirement Calculator'!A378,'Lorri 401b'!N:N,0),0)</f>
        <v>2448863.4279868882</v>
      </c>
      <c r="S378" s="25">
        <f t="shared" ca="1" si="267"/>
        <v>3073131.134384755</v>
      </c>
    </row>
    <row r="379" spans="1:19" ht="15.75" customHeight="1" x14ac:dyDescent="0.3">
      <c r="A379" s="37">
        <v>62490</v>
      </c>
      <c r="B379" s="398">
        <f t="shared" ref="B379:C379" si="380">($A379-B$9)/365.25</f>
        <v>89.210130047912386</v>
      </c>
      <c r="C379" s="398">
        <f t="shared" si="380"/>
        <v>84.599589322381931</v>
      </c>
      <c r="E379" s="25">
        <f>IF(C379&gt;$B$7,0,'Combined Retirement'!$D$13/12)</f>
        <v>0</v>
      </c>
      <c r="F379" s="25">
        <f>IF(H379=0,'Combined Retirement'!$D$32,0)+'Combined Retirement'!$B$24</f>
        <v>2870.372285649099</v>
      </c>
      <c r="G379" s="25">
        <f>'Combined Retirement'!$C$24</f>
        <v>3254.2644699519233</v>
      </c>
      <c r="H379" s="25">
        <f>IF(B379&lt;62,0,'Combined Retirement'!$I$14)</f>
        <v>2345</v>
      </c>
      <c r="I379" s="25">
        <f>IF(C379&lt;62,0,'Combined Retirement'!$I$13)</f>
        <v>2420</v>
      </c>
      <c r="J379" s="25">
        <f t="shared" si="263"/>
        <v>8395.6297298201844</v>
      </c>
      <c r="K379" s="25">
        <f t="shared" si="264"/>
        <v>21655.303514578787</v>
      </c>
      <c r="L379" s="25"/>
      <c r="N379" s="25">
        <f>'Combined Retirement'!$C$18/12</f>
        <v>40940.569999999992</v>
      </c>
      <c r="O379" s="25">
        <f t="shared" si="265"/>
        <v>10889.636755601023</v>
      </c>
      <c r="P379" s="25">
        <f t="shared" si="266"/>
        <v>30050.93324439897</v>
      </c>
      <c r="Q379" s="25">
        <f t="array" aca="1" ref="Q379" ca="1">INDEX('Isaac 401k'!L:L,MATCH('Retirement Calculator'!A379,'Isaac 401k'!N:N,0),0)</f>
        <v>618438.21032083046</v>
      </c>
      <c r="R379" s="25">
        <f t="array" aca="1" ref="R379" ca="1">INDEX('Lorri 401b'!L:L,MATCH('Retirement Calculator'!A379,'Lorri 401b'!N:N,0),0)</f>
        <v>2437321.4916576105</v>
      </c>
      <c r="S379" s="25">
        <f t="shared" ca="1" si="267"/>
        <v>3055759.7019784409</v>
      </c>
    </row>
    <row r="380" spans="1:19" ht="15.75" customHeight="1" x14ac:dyDescent="0.3">
      <c r="A380" s="37">
        <v>62518</v>
      </c>
      <c r="B380" s="398">
        <f t="shared" ref="B380:C380" si="381">($A380-B$9)/365.25</f>
        <v>89.286789869952088</v>
      </c>
      <c r="C380" s="398">
        <f t="shared" si="381"/>
        <v>84.676249144421632</v>
      </c>
      <c r="E380" s="25">
        <f>IF(C380&gt;$B$7,0,'Combined Retirement'!$D$13/12)</f>
        <v>0</v>
      </c>
      <c r="F380" s="25">
        <f>IF(H380=0,'Combined Retirement'!$D$32,0)+'Combined Retirement'!$B$24</f>
        <v>2870.372285649099</v>
      </c>
      <c r="G380" s="25">
        <f>'Combined Retirement'!$C$24</f>
        <v>3254.2644699519233</v>
      </c>
      <c r="H380" s="25">
        <f>IF(B380&lt;62,0,'Combined Retirement'!$I$14)</f>
        <v>2345</v>
      </c>
      <c r="I380" s="25">
        <f>IF(C380&lt;62,0,'Combined Retirement'!$I$13)</f>
        <v>2420</v>
      </c>
      <c r="J380" s="25">
        <f t="shared" si="263"/>
        <v>8395.6297298201844</v>
      </c>
      <c r="K380" s="25">
        <f t="shared" si="264"/>
        <v>21655.303514578787</v>
      </c>
      <c r="L380" s="25"/>
      <c r="N380" s="25">
        <f>'Combined Retirement'!$C$18/12</f>
        <v>40940.569999999992</v>
      </c>
      <c r="O380" s="25">
        <f t="shared" si="265"/>
        <v>10889.636755601023</v>
      </c>
      <c r="P380" s="25">
        <f t="shared" si="266"/>
        <v>30050.93324439897</v>
      </c>
      <c r="Q380" s="25">
        <f t="array" aca="1" ref="Q380" ca="1">INDEX('Isaac 401k'!L:L,MATCH('Retirement Calculator'!A380,'Isaac 401k'!N:N,0),0)</f>
        <v>612584.4246768062</v>
      </c>
      <c r="R380" s="25">
        <f t="array" aca="1" ref="R380" ca="1">INDEX('Lorri 401b'!L:L,MATCH('Retirement Calculator'!A380,'Lorri 401b'!N:N,0),0)</f>
        <v>2425731.4639269612</v>
      </c>
      <c r="S380" s="25">
        <f t="shared" ca="1" si="267"/>
        <v>3038315.8886037674</v>
      </c>
    </row>
    <row r="381" spans="1:19" ht="15.75" customHeight="1" x14ac:dyDescent="0.3">
      <c r="A381" s="37">
        <v>62549</v>
      </c>
      <c r="B381" s="398">
        <f t="shared" ref="B381:C381" si="382">($A381-B$9)/365.25</f>
        <v>89.371663244353186</v>
      </c>
      <c r="C381" s="398">
        <f t="shared" si="382"/>
        <v>84.761122518822731</v>
      </c>
      <c r="E381" s="25">
        <f>IF(C381&gt;$B$7,0,'Combined Retirement'!$D$13/12)</f>
        <v>0</v>
      </c>
      <c r="F381" s="25">
        <f>IF(H381=0,'Combined Retirement'!$D$32,0)+'Combined Retirement'!$B$24</f>
        <v>2870.372285649099</v>
      </c>
      <c r="G381" s="25">
        <f>'Combined Retirement'!$C$24</f>
        <v>3254.2644699519233</v>
      </c>
      <c r="H381" s="25">
        <f>IF(B381&lt;62,0,'Combined Retirement'!$I$14)</f>
        <v>2345</v>
      </c>
      <c r="I381" s="25">
        <f>IF(C381&lt;62,0,'Combined Retirement'!$I$13)</f>
        <v>2420</v>
      </c>
      <c r="J381" s="25">
        <f t="shared" si="263"/>
        <v>8395.6297298201844</v>
      </c>
      <c r="K381" s="25">
        <f t="shared" si="264"/>
        <v>21655.303514578787</v>
      </c>
      <c r="L381" s="25"/>
      <c r="N381" s="25">
        <f>'Combined Retirement'!$C$18/12</f>
        <v>40940.569999999992</v>
      </c>
      <c r="O381" s="25">
        <f t="shared" si="265"/>
        <v>10889.636755601023</v>
      </c>
      <c r="P381" s="25">
        <f t="shared" si="266"/>
        <v>30050.93324439897</v>
      </c>
      <c r="Q381" s="25">
        <f t="array" aca="1" ref="Q381" ca="1">INDEX('Isaac 401k'!L:L,MATCH('Retirement Calculator'!A381,'Isaac 401k'!N:N,0),0)</f>
        <v>606706.24825926509</v>
      </c>
      <c r="R381" s="25">
        <f t="array" aca="1" ref="R381" ca="1">INDEX('Lorri 401b'!L:L,MATCH('Retirement Calculator'!A381,'Lorri 401b'!N:N,0),0)</f>
        <v>2414093.1444141008</v>
      </c>
      <c r="S381" s="25">
        <f t="shared" ca="1" si="267"/>
        <v>3020799.3926733658</v>
      </c>
    </row>
    <row r="382" spans="1:19" ht="15.75" customHeight="1" x14ac:dyDescent="0.3">
      <c r="A382" s="37">
        <v>62579</v>
      </c>
      <c r="B382" s="398">
        <f t="shared" ref="B382:C382" si="383">($A382-B$9)/365.25</f>
        <v>89.453798767967143</v>
      </c>
      <c r="C382" s="398">
        <f t="shared" si="383"/>
        <v>84.843258042436688</v>
      </c>
      <c r="E382" s="25">
        <f>IF(C382&gt;$B$7,0,'Combined Retirement'!$D$13/12)</f>
        <v>0</v>
      </c>
      <c r="F382" s="25">
        <f>IF(H382=0,'Combined Retirement'!$D$32,0)+'Combined Retirement'!$B$24</f>
        <v>2870.372285649099</v>
      </c>
      <c r="G382" s="25">
        <f>'Combined Retirement'!$C$24</f>
        <v>3254.2644699519233</v>
      </c>
      <c r="H382" s="25">
        <f>IF(B382&lt;62,0,'Combined Retirement'!$I$14)</f>
        <v>2345</v>
      </c>
      <c r="I382" s="25">
        <f>IF(C382&lt;62,0,'Combined Retirement'!$I$13)</f>
        <v>2420</v>
      </c>
      <c r="J382" s="25">
        <f t="shared" si="263"/>
        <v>8395.6297298201844</v>
      </c>
      <c r="K382" s="25">
        <f t="shared" si="264"/>
        <v>21655.303514578787</v>
      </c>
      <c r="L382" s="25"/>
      <c r="N382" s="25">
        <f>'Combined Retirement'!$C$18/12</f>
        <v>40940.569999999992</v>
      </c>
      <c r="O382" s="25">
        <f t="shared" si="265"/>
        <v>10889.636755601023</v>
      </c>
      <c r="P382" s="25">
        <f t="shared" si="266"/>
        <v>30050.93324439897</v>
      </c>
      <c r="Q382" s="25">
        <f t="array" aca="1" ref="Q382" ca="1">INDEX('Isaac 401k'!L:L,MATCH('Retirement Calculator'!A382,'Isaac 401k'!N:N,0),0)</f>
        <v>600803.57943998429</v>
      </c>
      <c r="R382" s="25">
        <f t="array" aca="1" ref="R382" ca="1">INDEX('Lorri 401b'!L:L,MATCH('Retirement Calculator'!A382,'Lorri 401b'!N:N,0),0)</f>
        <v>2402406.33190327</v>
      </c>
      <c r="S382" s="25">
        <f t="shared" ca="1" si="267"/>
        <v>3003209.9113432541</v>
      </c>
    </row>
    <row r="383" spans="1:19" ht="15.75" customHeight="1" x14ac:dyDescent="0.3">
      <c r="A383" s="37">
        <v>62610</v>
      </c>
      <c r="B383" s="398">
        <f t="shared" ref="B383:C383" si="384">($A383-B$9)/365.25</f>
        <v>89.538672142368242</v>
      </c>
      <c r="C383" s="398">
        <f t="shared" si="384"/>
        <v>84.928131416837786</v>
      </c>
      <c r="E383" s="25">
        <f>IF(C383&gt;$B$7,0,'Combined Retirement'!$D$13/12)</f>
        <v>0</v>
      </c>
      <c r="F383" s="25">
        <f>IF(H383=0,'Combined Retirement'!$D$32,0)+'Combined Retirement'!$B$24</f>
        <v>2870.372285649099</v>
      </c>
      <c r="G383" s="25">
        <f>'Combined Retirement'!$C$24</f>
        <v>3254.2644699519233</v>
      </c>
      <c r="H383" s="25">
        <f>IF(B383&lt;62,0,'Combined Retirement'!$I$14)</f>
        <v>2345</v>
      </c>
      <c r="I383" s="25">
        <f>IF(C383&lt;62,0,'Combined Retirement'!$I$13)</f>
        <v>2420</v>
      </c>
      <c r="J383" s="25">
        <f t="shared" si="263"/>
        <v>8395.6297298201844</v>
      </c>
      <c r="K383" s="25">
        <f t="shared" si="264"/>
        <v>21655.303514578787</v>
      </c>
      <c r="L383" s="25"/>
      <c r="N383" s="25">
        <f>'Combined Retirement'!$C$18/12</f>
        <v>40940.569999999992</v>
      </c>
      <c r="O383" s="25">
        <f t="shared" si="265"/>
        <v>10889.636755601023</v>
      </c>
      <c r="P383" s="25">
        <f t="shared" si="266"/>
        <v>30050.93324439897</v>
      </c>
      <c r="Q383" s="25">
        <f t="array" aca="1" ref="Q383" ca="1">INDEX('Isaac 401k'!L:L,MATCH('Retirement Calculator'!A383,'Isaac 401k'!N:N,0),0)</f>
        <v>594876.31616728974</v>
      </c>
      <c r="R383" s="25">
        <f t="array" aca="1" ref="R383" ca="1">INDEX('Lorri 401b'!L:L,MATCH('Retirement Calculator'!A383,'Lorri 401b'!N:N,0),0)</f>
        <v>2390670.8243403109</v>
      </c>
      <c r="S383" s="25">
        <f t="shared" ca="1" si="267"/>
        <v>2985547.1405076007</v>
      </c>
    </row>
    <row r="384" spans="1:19" ht="15.75" customHeight="1" x14ac:dyDescent="0.3">
      <c r="A384" s="37">
        <v>62640</v>
      </c>
      <c r="B384" s="398">
        <f t="shared" ref="B384:C384" si="385">($A384-B$9)/365.25</f>
        <v>89.620807665982198</v>
      </c>
      <c r="C384" s="398">
        <f t="shared" si="385"/>
        <v>85.010266940451743</v>
      </c>
      <c r="E384" s="25">
        <f>IF(C384&gt;$B$7,0,'Combined Retirement'!$D$13/12)</f>
        <v>0</v>
      </c>
      <c r="F384" s="25">
        <f>IF(H384=0,'Combined Retirement'!$D$32,0)+'Combined Retirement'!$B$24</f>
        <v>2870.372285649099</v>
      </c>
      <c r="G384" s="25">
        <f>'Combined Retirement'!$C$24</f>
        <v>3254.2644699519233</v>
      </c>
      <c r="H384" s="25">
        <f>IF(B384&lt;62,0,'Combined Retirement'!$I$14)</f>
        <v>2345</v>
      </c>
      <c r="I384" s="25">
        <f>IF(C384&lt;62,0,'Combined Retirement'!$I$13)</f>
        <v>2420</v>
      </c>
      <c r="J384" s="25">
        <f t="shared" si="263"/>
        <v>8395.6297298201844</v>
      </c>
      <c r="K384" s="25">
        <f t="shared" si="264"/>
        <v>21655.303514578787</v>
      </c>
      <c r="L384" s="25"/>
      <c r="N384" s="25">
        <f>'Combined Retirement'!$C$18/12</f>
        <v>40940.569999999992</v>
      </c>
      <c r="O384" s="25">
        <f t="shared" si="265"/>
        <v>10889.636755601023</v>
      </c>
      <c r="P384" s="25">
        <f t="shared" si="266"/>
        <v>30050.93324439897</v>
      </c>
      <c r="Q384" s="25">
        <f t="array" aca="1" ref="Q384" ca="1">INDEX('Isaac 401k'!L:L,MATCH('Retirement Calculator'!A384,'Isaac 401k'!N:N,0),0)</f>
        <v>588924.35596429231</v>
      </c>
      <c r="R384" s="25">
        <f t="array" aca="1" ref="R384" ca="1">INDEX('Lorri 401b'!L:L,MATCH('Retirement Calculator'!A384,'Lorri 401b'!N:N,0),0)</f>
        <v>2378886.4188291724</v>
      </c>
      <c r="S384" s="25">
        <f t="shared" ca="1" si="267"/>
        <v>2967810.7747934647</v>
      </c>
    </row>
    <row r="385" spans="1:19" ht="15.75" customHeight="1" x14ac:dyDescent="0.3">
      <c r="A385" s="37">
        <v>62671</v>
      </c>
      <c r="B385" s="398">
        <f t="shared" ref="B385:C385" si="386">($A385-B$9)/365.25</f>
        <v>89.705681040383297</v>
      </c>
      <c r="C385" s="398">
        <f t="shared" si="386"/>
        <v>85.095140314852841</v>
      </c>
      <c r="E385" s="25">
        <f>IF(C385&gt;$B$7,0,'Combined Retirement'!$D$13/12)</f>
        <v>0</v>
      </c>
      <c r="F385" s="25">
        <f>IF(H385=0,'Combined Retirement'!$D$32,0)+'Combined Retirement'!$B$24</f>
        <v>2870.372285649099</v>
      </c>
      <c r="G385" s="25">
        <f>'Combined Retirement'!$C$24</f>
        <v>3254.2644699519233</v>
      </c>
      <c r="H385" s="25">
        <f>IF(B385&lt;62,0,'Combined Retirement'!$I$14)</f>
        <v>2345</v>
      </c>
      <c r="I385" s="25">
        <f>IF(C385&lt;62,0,'Combined Retirement'!$I$13)</f>
        <v>2420</v>
      </c>
      <c r="J385" s="25">
        <f t="shared" si="263"/>
        <v>8395.6297298201844</v>
      </c>
      <c r="K385" s="25">
        <f t="shared" si="264"/>
        <v>21655.303514578787</v>
      </c>
      <c r="L385" s="25"/>
      <c r="N385" s="25">
        <f>'Combined Retirement'!$C$18/12</f>
        <v>40940.569999999992</v>
      </c>
      <c r="O385" s="25">
        <f t="shared" si="265"/>
        <v>10889.636755601023</v>
      </c>
      <c r="P385" s="25">
        <f t="shared" si="266"/>
        <v>30050.93324439897</v>
      </c>
      <c r="Q385" s="25">
        <f t="array" aca="1" ref="Q385" ca="1">INDEX('Isaac 401k'!L:L,MATCH('Retirement Calculator'!A385,'Isaac 401k'!N:N,0),0)</f>
        <v>582947.59592711576</v>
      </c>
      <c r="R385" s="25">
        <f t="array" aca="1" ref="R385" ca="1">INDEX('Lorri 401b'!L:L,MATCH('Retirement Calculator'!A385,'Lorri 401b'!N:N,0),0)</f>
        <v>2367052.9116284042</v>
      </c>
      <c r="S385" s="25">
        <f t="shared" ca="1" si="267"/>
        <v>2950000.5075555202</v>
      </c>
    </row>
    <row r="386" spans="1:19" ht="15.75" customHeight="1" x14ac:dyDescent="0.3">
      <c r="A386" s="37">
        <v>62702</v>
      </c>
      <c r="B386" s="398">
        <f t="shared" ref="B386:C386" si="387">($A386-B$9)/365.25</f>
        <v>89.790554414784395</v>
      </c>
      <c r="C386" s="398">
        <f t="shared" si="387"/>
        <v>85.18001368925394</v>
      </c>
      <c r="E386" s="25">
        <f>IF(C386&gt;$B$7,0,'Combined Retirement'!$D$13/12)</f>
        <v>0</v>
      </c>
      <c r="F386" s="25">
        <f>IF(H386=0,'Combined Retirement'!$D$32,0)+'Combined Retirement'!$B$24</f>
        <v>2870.372285649099</v>
      </c>
      <c r="G386" s="25">
        <f>'Combined Retirement'!$C$24</f>
        <v>3254.2644699519233</v>
      </c>
      <c r="H386" s="25">
        <f>IF(B386&lt;62,0,'Combined Retirement'!$I$14)</f>
        <v>2345</v>
      </c>
      <c r="I386" s="25">
        <f>IF(C386&lt;62,0,'Combined Retirement'!$I$13)</f>
        <v>2420</v>
      </c>
      <c r="J386" s="25">
        <f t="shared" si="263"/>
        <v>8395.6297298201844</v>
      </c>
      <c r="K386" s="25">
        <f t="shared" si="264"/>
        <v>21655.303514578787</v>
      </c>
      <c r="L386" s="25"/>
      <c r="N386" s="25">
        <f>'Combined Retirement'!$C$18/12</f>
        <v>40940.569999999992</v>
      </c>
      <c r="O386" s="25">
        <f t="shared" si="265"/>
        <v>10889.636755601023</v>
      </c>
      <c r="P386" s="25">
        <f t="shared" si="266"/>
        <v>30050.93324439897</v>
      </c>
      <c r="Q386" s="25">
        <f t="array" aca="1" ref="Q386" ca="1">INDEX('Isaac 401k'!L:L,MATCH('Retirement Calculator'!A386,'Isaac 401k'!N:N,0),0)</f>
        <v>576945.93272311764</v>
      </c>
      <c r="R386" s="25">
        <f t="array" aca="1" ref="R386" ca="1">INDEX('Lorri 401b'!L:L,MATCH('Retirement Calculator'!A386,'Lorri 401b'!N:N,0),0)</f>
        <v>2355170.098147633</v>
      </c>
      <c r="S386" s="25">
        <f t="shared" ca="1" si="267"/>
        <v>2932116.0308707505</v>
      </c>
    </row>
    <row r="387" spans="1:19" ht="15.75" customHeight="1" x14ac:dyDescent="0.3">
      <c r="A387" s="37">
        <v>62732</v>
      </c>
      <c r="B387" s="398">
        <f t="shared" ref="B387:C387" si="388">($A387-B$9)/365.25</f>
        <v>89.872689938398352</v>
      </c>
      <c r="C387" s="398">
        <f t="shared" si="388"/>
        <v>85.262149212867897</v>
      </c>
      <c r="E387" s="25">
        <f>IF(C387&gt;$B$7,0,'Combined Retirement'!$D$13/12)</f>
        <v>0</v>
      </c>
      <c r="F387" s="25">
        <f>IF(H387=0,'Combined Retirement'!$D$32,0)+'Combined Retirement'!$B$24</f>
        <v>2870.372285649099</v>
      </c>
      <c r="G387" s="25">
        <f>'Combined Retirement'!$C$24</f>
        <v>3254.2644699519233</v>
      </c>
      <c r="H387" s="25">
        <f>IF(B387&lt;62,0,'Combined Retirement'!$I$14)</f>
        <v>2345</v>
      </c>
      <c r="I387" s="25">
        <f>IF(C387&lt;62,0,'Combined Retirement'!$I$13)</f>
        <v>2420</v>
      </c>
      <c r="J387" s="25">
        <f t="shared" si="263"/>
        <v>8395.6297298201844</v>
      </c>
      <c r="K387" s="25">
        <f t="shared" si="264"/>
        <v>21655.303514578787</v>
      </c>
      <c r="L387" s="25"/>
      <c r="N387" s="25">
        <f>'Combined Retirement'!$C$18/12</f>
        <v>40940.569999999992</v>
      </c>
      <c r="O387" s="25">
        <f t="shared" si="265"/>
        <v>10889.636755601023</v>
      </c>
      <c r="P387" s="25">
        <f t="shared" si="266"/>
        <v>30050.93324439897</v>
      </c>
      <c r="Q387" s="25">
        <f t="array" aca="1" ref="Q387" ca="1">INDEX('Isaac 401k'!L:L,MATCH('Retirement Calculator'!A387,'Isaac 401k'!N:N,0),0)</f>
        <v>570919.26258910284</v>
      </c>
      <c r="R387" s="25">
        <f t="array" aca="1" ref="R387" ca="1">INDEX('Lorri 401b'!L:L,MATCH('Retirement Calculator'!A387,'Lorri 401b'!N:N,0),0)</f>
        <v>2343237.7729440252</v>
      </c>
      <c r="S387" s="25">
        <f t="shared" ca="1" si="267"/>
        <v>2914157.0355331283</v>
      </c>
    </row>
    <row r="388" spans="1:19" ht="15.75" customHeight="1" x14ac:dyDescent="0.3">
      <c r="A388" s="37">
        <v>62763</v>
      </c>
      <c r="B388" s="398">
        <f t="shared" ref="B388:C388" si="389">($A388-B$9)/365.25</f>
        <v>89.957563312799451</v>
      </c>
      <c r="C388" s="398">
        <f t="shared" si="389"/>
        <v>85.347022587268995</v>
      </c>
      <c r="E388" s="25">
        <f>IF(C388&gt;$B$7,0,'Combined Retirement'!$D$13/12)</f>
        <v>0</v>
      </c>
      <c r="F388" s="25">
        <f>IF(H388=0,'Combined Retirement'!$D$32,0)+'Combined Retirement'!$B$24</f>
        <v>2870.372285649099</v>
      </c>
      <c r="G388" s="25">
        <f>'Combined Retirement'!$C$24</f>
        <v>3254.2644699519233</v>
      </c>
      <c r="H388" s="25">
        <f>IF(B388&lt;62,0,'Combined Retirement'!$I$14)</f>
        <v>2345</v>
      </c>
      <c r="I388" s="25">
        <f>IF(C388&lt;62,0,'Combined Retirement'!$I$13)</f>
        <v>2420</v>
      </c>
      <c r="J388" s="25">
        <f t="shared" si="263"/>
        <v>8395.6297298201844</v>
      </c>
      <c r="K388" s="25">
        <f t="shared" si="264"/>
        <v>21655.303514578787</v>
      </c>
      <c r="L388" s="25"/>
      <c r="N388" s="25">
        <f>'Combined Retirement'!$C$18/12</f>
        <v>40940.569999999992</v>
      </c>
      <c r="O388" s="25">
        <f t="shared" si="265"/>
        <v>10889.636755601023</v>
      </c>
      <c r="P388" s="25">
        <f t="shared" si="266"/>
        <v>30050.93324439897</v>
      </c>
      <c r="Q388" s="25">
        <f t="array" aca="1" ref="Q388" ca="1">INDEX('Isaac 401k'!L:L,MATCH('Retirement Calculator'!A388,'Isaac 401k'!N:N,0),0)</f>
        <v>564867.48132952966</v>
      </c>
      <c r="R388" s="25">
        <f t="array" aca="1" ref="R388" ca="1">INDEX('Lorri 401b'!L:L,MATCH('Retirement Calculator'!A388,'Lorri 401b'!N:N,0),0)</f>
        <v>2331255.7297187359</v>
      </c>
      <c r="S388" s="25">
        <f t="shared" ca="1" si="267"/>
        <v>2896123.2110482655</v>
      </c>
    </row>
    <row r="389" spans="1:19" ht="15.75" customHeight="1" x14ac:dyDescent="0.3">
      <c r="A389" s="37">
        <v>62793</v>
      </c>
      <c r="B389" s="398">
        <f t="shared" ref="B389:C389" si="390">($A389-B$9)/365.25</f>
        <v>90.039698836413422</v>
      </c>
      <c r="C389" s="398">
        <f t="shared" si="390"/>
        <v>85.429158110882952</v>
      </c>
      <c r="E389" s="25">
        <f>IF(C389&gt;$B$7,0,'Combined Retirement'!$D$13/12)</f>
        <v>0</v>
      </c>
      <c r="F389" s="25">
        <f>IF(H389=0,'Combined Retirement'!$D$32,0)+'Combined Retirement'!$B$24</f>
        <v>2870.372285649099</v>
      </c>
      <c r="G389" s="25">
        <f>'Combined Retirement'!$C$24</f>
        <v>3254.2644699519233</v>
      </c>
      <c r="H389" s="25">
        <f>IF(B389&lt;62,0,'Combined Retirement'!$I$14)</f>
        <v>2345</v>
      </c>
      <c r="I389" s="25">
        <f>IF(C389&lt;62,0,'Combined Retirement'!$I$13)</f>
        <v>2420</v>
      </c>
      <c r="J389" s="25">
        <f t="shared" si="263"/>
        <v>8395.6297298201844</v>
      </c>
      <c r="K389" s="25">
        <f t="shared" si="264"/>
        <v>21655.303514578787</v>
      </c>
      <c r="L389" s="25"/>
      <c r="N389" s="25">
        <f>'Combined Retirement'!$C$18/12</f>
        <v>40940.569999999992</v>
      </c>
      <c r="O389" s="25">
        <f t="shared" si="265"/>
        <v>10889.636755601023</v>
      </c>
      <c r="P389" s="25">
        <f t="shared" si="266"/>
        <v>30050.93324439897</v>
      </c>
      <c r="Q389" s="25">
        <f t="array" aca="1" ref="Q389" ca="1">INDEX('Isaac 401k'!L:L,MATCH('Retirement Calculator'!A389,'Isaac 401k'!N:N,0),0)</f>
        <v>558790.48431470827</v>
      </c>
      <c r="R389" s="25">
        <f t="array" aca="1" ref="R389" ca="1">INDEX('Lorri 401b'!L:L,MATCH('Retirement Calculator'!A389,'Lorri 401b'!N:N,0),0)</f>
        <v>2319223.7613133411</v>
      </c>
      <c r="S389" s="25">
        <f t="shared" ca="1" si="267"/>
        <v>2878014.2456280496</v>
      </c>
    </row>
    <row r="390" spans="1:19" ht="15.75" customHeight="1" x14ac:dyDescent="0.3">
      <c r="A390" s="37">
        <v>62824</v>
      </c>
      <c r="B390" s="398">
        <f t="shared" ref="B390:C390" si="391">($A390-B$9)/365.25</f>
        <v>90.124572210814506</v>
      </c>
      <c r="C390" s="398">
        <f t="shared" si="391"/>
        <v>85.51403148528405</v>
      </c>
      <c r="E390" s="25">
        <f>IF(C390&gt;$B$7,0,'Combined Retirement'!$D$13/12)</f>
        <v>0</v>
      </c>
      <c r="F390" s="25">
        <f>IF(H390=0,'Combined Retirement'!$D$32,0)+'Combined Retirement'!$B$24</f>
        <v>2870.372285649099</v>
      </c>
      <c r="G390" s="25">
        <f>'Combined Retirement'!$C$24</f>
        <v>3254.2644699519233</v>
      </c>
      <c r="H390" s="25">
        <f>IF(B390&lt;62,0,'Combined Retirement'!$I$14)</f>
        <v>2345</v>
      </c>
      <c r="I390" s="25">
        <f>IF(C390&lt;62,0,'Combined Retirement'!$I$13)</f>
        <v>2420</v>
      </c>
      <c r="J390" s="25">
        <f t="shared" si="263"/>
        <v>8395.6297298201844</v>
      </c>
      <c r="K390" s="25">
        <f t="shared" si="264"/>
        <v>21655.303514578787</v>
      </c>
      <c r="L390" s="25"/>
      <c r="N390" s="25">
        <f>'Combined Retirement'!$C$18/12</f>
        <v>40940.569999999992</v>
      </c>
      <c r="O390" s="25">
        <f t="shared" si="265"/>
        <v>10889.636755601023</v>
      </c>
      <c r="P390" s="25">
        <f t="shared" si="266"/>
        <v>30050.93324439897</v>
      </c>
      <c r="Q390" s="25">
        <f t="array" aca="1" ref="Q390" ca="1">INDEX('Isaac 401k'!L:L,MATCH('Retirement Calculator'!A390,'Isaac 401k'!N:N,0),0)</f>
        <v>552688.16647899174</v>
      </c>
      <c r="R390" s="25">
        <f t="array" aca="1" ref="R390" ca="1">INDEX('Lorri 401b'!L:L,MATCH('Retirement Calculator'!A390,'Lorri 401b'!N:N,0),0)</f>
        <v>2307141.6597062573</v>
      </c>
      <c r="S390" s="25">
        <f t="shared" ca="1" si="267"/>
        <v>2859829.8261852488</v>
      </c>
    </row>
    <row r="391" spans="1:19" ht="15.75" customHeight="1" x14ac:dyDescent="0.3">
      <c r="A391" s="37">
        <v>62855</v>
      </c>
      <c r="B391" s="398">
        <f t="shared" ref="B391:C391" si="392">($A391-B$9)/365.25</f>
        <v>90.209445585215605</v>
      </c>
      <c r="C391" s="398">
        <f t="shared" si="392"/>
        <v>85.598904859685149</v>
      </c>
      <c r="E391" s="25">
        <f>IF(C391&gt;$B$7,0,'Combined Retirement'!$D$13/12)</f>
        <v>0</v>
      </c>
      <c r="F391" s="25">
        <f>IF(H391=0,'Combined Retirement'!$D$32,0)+'Combined Retirement'!$B$24</f>
        <v>2870.372285649099</v>
      </c>
      <c r="G391" s="25">
        <f>'Combined Retirement'!$C$24</f>
        <v>3254.2644699519233</v>
      </c>
      <c r="H391" s="25">
        <f>IF(B391&lt;62,0,'Combined Retirement'!$I$14)</f>
        <v>2345</v>
      </c>
      <c r="I391" s="25">
        <f>IF(C391&lt;62,0,'Combined Retirement'!$I$13)</f>
        <v>2420</v>
      </c>
      <c r="J391" s="25">
        <f t="shared" si="263"/>
        <v>8395.6297298201844</v>
      </c>
      <c r="K391" s="25">
        <f t="shared" si="264"/>
        <v>21655.303514578787</v>
      </c>
      <c r="L391" s="25"/>
      <c r="N391" s="25">
        <f>'Combined Retirement'!$C$18/12</f>
        <v>40940.569999999992</v>
      </c>
      <c r="O391" s="25">
        <f t="shared" si="265"/>
        <v>10889.636755601023</v>
      </c>
      <c r="P391" s="25">
        <f t="shared" si="266"/>
        <v>30050.93324439897</v>
      </c>
      <c r="Q391" s="25">
        <f t="array" aca="1" ref="Q391" ca="1">INDEX('Isaac 401k'!L:L,MATCH('Retirement Calculator'!A391,'Isaac 401k'!N:N,0),0)</f>
        <v>546560.42231895973</v>
      </c>
      <c r="R391" s="25">
        <f t="array" aca="1" ref="R391" ca="1">INDEX('Lorri 401b'!L:L,MATCH('Retirement Calculator'!A391,'Lorri 401b'!N:N,0),0)</f>
        <v>2295009.2160091437</v>
      </c>
      <c r="S391" s="25">
        <f t="shared" ca="1" si="267"/>
        <v>2841569.6383281033</v>
      </c>
    </row>
    <row r="392" spans="1:19" ht="15.75" customHeight="1" x14ac:dyDescent="0.3">
      <c r="A392" s="37">
        <v>62884</v>
      </c>
      <c r="B392" s="398">
        <f t="shared" ref="B392:C392" si="393">($A392-B$9)/365.25</f>
        <v>90.288843258042434</v>
      </c>
      <c r="C392" s="398">
        <f t="shared" si="393"/>
        <v>85.678302532511978</v>
      </c>
      <c r="E392" s="25">
        <f>IF(C392&gt;$B$7,0,'Combined Retirement'!$D$13/12)</f>
        <v>0</v>
      </c>
      <c r="F392" s="25">
        <f>IF(H392=0,'Combined Retirement'!$D$32,0)+'Combined Retirement'!$B$24</f>
        <v>2870.372285649099</v>
      </c>
      <c r="G392" s="25">
        <f>'Combined Retirement'!$C$24</f>
        <v>3254.2644699519233</v>
      </c>
      <c r="H392" s="25">
        <f>IF(B392&lt;62,0,'Combined Retirement'!$I$14)</f>
        <v>2345</v>
      </c>
      <c r="I392" s="25">
        <f>IF(C392&lt;62,0,'Combined Retirement'!$I$13)</f>
        <v>2420</v>
      </c>
      <c r="J392" s="25">
        <f t="shared" si="263"/>
        <v>8395.6297298201844</v>
      </c>
      <c r="K392" s="25">
        <f t="shared" si="264"/>
        <v>21655.303514578787</v>
      </c>
      <c r="L392" s="25"/>
      <c r="N392" s="25">
        <f>'Combined Retirement'!$C$18/12</f>
        <v>40940.569999999992</v>
      </c>
      <c r="O392" s="25">
        <f t="shared" si="265"/>
        <v>10889.636755601023</v>
      </c>
      <c r="P392" s="25">
        <f t="shared" si="266"/>
        <v>30050.93324439897</v>
      </c>
      <c r="Q392" s="25">
        <f t="array" aca="1" ref="Q392" ca="1">INDEX('Isaac 401k'!L:L,MATCH('Retirement Calculator'!A392,'Isaac 401k'!N:N,0),0)</f>
        <v>540407.14589159423</v>
      </c>
      <c r="R392" s="25">
        <f t="array" aca="1" ref="R392" ca="1">INDEX('Lorri 401b'!L:L,MATCH('Retirement Calculator'!A392,'Lorri 401b'!N:N,0),0)</f>
        <v>2282826.2204632922</v>
      </c>
      <c r="S392" s="25">
        <f t="shared" ca="1" si="267"/>
        <v>2823233.3663548864</v>
      </c>
    </row>
    <row r="393" spans="1:19" ht="15.75" customHeight="1" x14ac:dyDescent="0.3">
      <c r="A393" s="37">
        <v>62915</v>
      </c>
      <c r="B393" s="398">
        <f t="shared" ref="B393:C393" si="394">($A393-B$9)/365.25</f>
        <v>90.373716632443532</v>
      </c>
      <c r="C393" s="398">
        <f t="shared" si="394"/>
        <v>85.763175906913077</v>
      </c>
      <c r="E393" s="25">
        <f>IF(C393&gt;$B$7,0,'Combined Retirement'!$D$13/12)</f>
        <v>0</v>
      </c>
      <c r="F393" s="25">
        <f>IF(H393=0,'Combined Retirement'!$D$32,0)+'Combined Retirement'!$B$24</f>
        <v>2870.372285649099</v>
      </c>
      <c r="G393" s="25">
        <f>'Combined Retirement'!$C$24</f>
        <v>3254.2644699519233</v>
      </c>
      <c r="H393" s="25">
        <f>IF(B393&lt;62,0,'Combined Retirement'!$I$14)</f>
        <v>2345</v>
      </c>
      <c r="I393" s="25">
        <f>IF(C393&lt;62,0,'Combined Retirement'!$I$13)</f>
        <v>2420</v>
      </c>
      <c r="J393" s="25">
        <f t="shared" si="263"/>
        <v>8395.6297298201844</v>
      </c>
      <c r="K393" s="25">
        <f t="shared" si="264"/>
        <v>21655.303514578787</v>
      </c>
      <c r="L393" s="25"/>
      <c r="N393" s="25">
        <f>'Combined Retirement'!$C$18/12</f>
        <v>40940.569999999992</v>
      </c>
      <c r="O393" s="25">
        <f t="shared" si="265"/>
        <v>10889.636755601023</v>
      </c>
      <c r="P393" s="25">
        <f t="shared" si="266"/>
        <v>30050.93324439897</v>
      </c>
      <c r="Q393" s="25">
        <f t="array" aca="1" ref="Q393" ca="1">INDEX('Isaac 401k'!L:L,MATCH('Retirement Calculator'!A393,'Isaac 401k'!N:N,0),0)</f>
        <v>534228.23081244808</v>
      </c>
      <c r="R393" s="25">
        <f t="array" aca="1" ref="R393" ca="1">INDEX('Lorri 401b'!L:L,MATCH('Retirement Calculator'!A393,'Lorri 401b'!N:N,0),0)</f>
        <v>2270592.4624359999</v>
      </c>
      <c r="S393" s="25">
        <f t="shared" ca="1" si="267"/>
        <v>2804820.693248448</v>
      </c>
    </row>
    <row r="394" spans="1:19" ht="15.75" customHeight="1" x14ac:dyDescent="0.3">
      <c r="A394" s="37">
        <v>62945</v>
      </c>
      <c r="B394" s="398">
        <f t="shared" ref="B394:C394" si="395">($A394-B$9)/365.25</f>
        <v>90.455852156057489</v>
      </c>
      <c r="C394" s="398">
        <f t="shared" si="395"/>
        <v>85.845311430527033</v>
      </c>
      <c r="E394" s="25">
        <f>IF(C394&gt;$B$7,0,'Combined Retirement'!$D$13/12)</f>
        <v>0</v>
      </c>
      <c r="F394" s="25">
        <f>IF(H394=0,'Combined Retirement'!$D$32,0)+'Combined Retirement'!$B$24</f>
        <v>2870.372285649099</v>
      </c>
      <c r="G394" s="25">
        <f>'Combined Retirement'!$C$24</f>
        <v>3254.2644699519233</v>
      </c>
      <c r="H394" s="25">
        <f>IF(B394&lt;62,0,'Combined Retirement'!$I$14)</f>
        <v>2345</v>
      </c>
      <c r="I394" s="25">
        <f>IF(C394&lt;62,0,'Combined Retirement'!$I$13)</f>
        <v>2420</v>
      </c>
      <c r="J394" s="25">
        <f t="shared" si="263"/>
        <v>8395.6297298201844</v>
      </c>
      <c r="K394" s="25">
        <f t="shared" si="264"/>
        <v>21655.303514578787</v>
      </c>
      <c r="L394" s="25"/>
      <c r="N394" s="25">
        <f>'Combined Retirement'!$C$18/12</f>
        <v>40940.569999999992</v>
      </c>
      <c r="O394" s="25">
        <f t="shared" si="265"/>
        <v>10889.636755601023</v>
      </c>
      <c r="P394" s="25">
        <f t="shared" si="266"/>
        <v>30050.93324439897</v>
      </c>
      <c r="Q394" s="25">
        <f t="array" aca="1" ref="Q394" ca="1">INDEX('Isaac 401k'!L:L,MATCH('Retirement Calculator'!A394,'Isaac 401k'!N:N,0),0)</f>
        <v>528023.57025380549</v>
      </c>
      <c r="R394" s="25">
        <f t="array" aca="1" ref="R394" ca="1">INDEX('Lorri 401b'!L:L,MATCH('Retirement Calculator'!A394,'Lorri 401b'!N:N,0),0)</f>
        <v>2258307.730416927</v>
      </c>
      <c r="S394" s="25">
        <f t="shared" ca="1" si="267"/>
        <v>2786331.3006707327</v>
      </c>
    </row>
    <row r="395" spans="1:19" ht="15.75" customHeight="1" x14ac:dyDescent="0.3">
      <c r="A395" s="37">
        <v>62976</v>
      </c>
      <c r="B395" s="398">
        <f t="shared" ref="B395:C395" si="396">($A395-B$9)/365.25</f>
        <v>90.540725530458587</v>
      </c>
      <c r="C395" s="398">
        <f t="shared" si="396"/>
        <v>85.930184804928132</v>
      </c>
      <c r="E395" s="25">
        <f>IF(C395&gt;$B$7,0,'Combined Retirement'!$D$13/12)</f>
        <v>0</v>
      </c>
      <c r="F395" s="25">
        <f>IF(H395=0,'Combined Retirement'!$D$32,0)+'Combined Retirement'!$B$24</f>
        <v>2870.372285649099</v>
      </c>
      <c r="G395" s="25">
        <f>'Combined Retirement'!$C$24</f>
        <v>3254.2644699519233</v>
      </c>
      <c r="H395" s="25">
        <f>IF(B395&lt;62,0,'Combined Retirement'!$I$14)</f>
        <v>2345</v>
      </c>
      <c r="I395" s="25">
        <f>IF(C395&lt;62,0,'Combined Retirement'!$I$13)</f>
        <v>2420</v>
      </c>
      <c r="J395" s="25">
        <f t="shared" si="263"/>
        <v>8395.6297298201844</v>
      </c>
      <c r="K395" s="25">
        <f t="shared" si="264"/>
        <v>21655.303514578787</v>
      </c>
      <c r="L395" s="25"/>
      <c r="N395" s="25">
        <f>'Combined Retirement'!$C$18/12</f>
        <v>40940.569999999992</v>
      </c>
      <c r="O395" s="25">
        <f t="shared" si="265"/>
        <v>10889.636755601023</v>
      </c>
      <c r="P395" s="25">
        <f t="shared" si="266"/>
        <v>30050.93324439897</v>
      </c>
      <c r="Q395" s="25">
        <f t="array" aca="1" ref="Q395" ca="1">INDEX('Isaac 401k'!L:L,MATCH('Retirement Calculator'!A395,'Isaac 401k'!N:N,0),0)</f>
        <v>521793.05694283522</v>
      </c>
      <c r="R395" s="25">
        <f t="array" aca="1" ref="R395" ca="1">INDEX('Lorri 401b'!L:L,MATCH('Retirement Calculator'!A395,'Lorri 401b'!N:N,0),0)</f>
        <v>2245971.8120144415</v>
      </c>
      <c r="S395" s="25">
        <f t="shared" ca="1" si="267"/>
        <v>2767764.8689572765</v>
      </c>
    </row>
    <row r="396" spans="1:19" ht="15.75" customHeight="1" x14ac:dyDescent="0.3">
      <c r="A396" s="37">
        <v>63006</v>
      </c>
      <c r="B396" s="398">
        <f t="shared" ref="B396:C396" si="397">($A396-B$9)/365.25</f>
        <v>90.622861054072558</v>
      </c>
      <c r="C396" s="398">
        <f t="shared" si="397"/>
        <v>86.012320328542089</v>
      </c>
      <c r="E396" s="25">
        <f>IF(C396&gt;$B$7,0,'Combined Retirement'!$D$13/12)</f>
        <v>0</v>
      </c>
      <c r="F396" s="25">
        <f>IF(H396=0,'Combined Retirement'!$D$32,0)+'Combined Retirement'!$B$24</f>
        <v>2870.372285649099</v>
      </c>
      <c r="G396" s="25">
        <f>'Combined Retirement'!$C$24</f>
        <v>3254.2644699519233</v>
      </c>
      <c r="H396" s="25">
        <f>IF(B396&lt;62,0,'Combined Retirement'!$I$14)</f>
        <v>2345</v>
      </c>
      <c r="I396" s="25">
        <f>IF(C396&lt;62,0,'Combined Retirement'!$I$13)</f>
        <v>2420</v>
      </c>
      <c r="J396" s="25">
        <f t="shared" si="263"/>
        <v>8395.6297298201844</v>
      </c>
      <c r="K396" s="25">
        <f t="shared" si="264"/>
        <v>21655.303514578787</v>
      </c>
      <c r="L396" s="25"/>
      <c r="N396" s="25">
        <f>'Combined Retirement'!$C$18/12</f>
        <v>40940.569999999992</v>
      </c>
      <c r="O396" s="25">
        <f t="shared" si="265"/>
        <v>10889.636755601023</v>
      </c>
      <c r="P396" s="25">
        <f t="shared" si="266"/>
        <v>30050.93324439897</v>
      </c>
      <c r="Q396" s="25">
        <f t="array" aca="1" ref="Q396" ca="1">INDEX('Isaac 401k'!L:L,MATCH('Retirement Calculator'!A396,'Isaac 401k'!N:N,0),0)</f>
        <v>515536.58315973595</v>
      </c>
      <c r="R396" s="25">
        <f t="array" aca="1" ref="R396" ca="1">INDEX('Lorri 401b'!L:L,MATCH('Retirement Calculator'!A396,'Lorri 401b'!N:N,0),0)</f>
        <v>2233584.4939519456</v>
      </c>
      <c r="S396" s="25">
        <f t="shared" ca="1" si="267"/>
        <v>2749121.0771116815</v>
      </c>
    </row>
    <row r="397" spans="1:19" ht="15.75" customHeight="1" x14ac:dyDescent="0.3">
      <c r="A397" s="37">
        <v>63037</v>
      </c>
      <c r="B397" s="398">
        <f t="shared" ref="B397:C397" si="398">($A397-B$9)/365.25</f>
        <v>90.707734428473643</v>
      </c>
      <c r="C397" s="398">
        <f t="shared" si="398"/>
        <v>86.097193702943187</v>
      </c>
      <c r="E397" s="25">
        <f>IF(C397&gt;$B$7,0,'Combined Retirement'!$D$13/12)</f>
        <v>0</v>
      </c>
      <c r="F397" s="25">
        <f>IF(H397=0,'Combined Retirement'!$D$32,0)+'Combined Retirement'!$B$24</f>
        <v>2870.372285649099</v>
      </c>
      <c r="G397" s="25">
        <f>'Combined Retirement'!$C$24</f>
        <v>3254.2644699519233</v>
      </c>
      <c r="H397" s="25">
        <f>IF(B397&lt;62,0,'Combined Retirement'!$I$14)</f>
        <v>2345</v>
      </c>
      <c r="I397" s="25">
        <f>IF(C397&lt;62,0,'Combined Retirement'!$I$13)</f>
        <v>2420</v>
      </c>
      <c r="J397" s="25">
        <f t="shared" si="263"/>
        <v>8395.6297298201844</v>
      </c>
      <c r="K397" s="25">
        <f t="shared" si="264"/>
        <v>21655.303514578787</v>
      </c>
      <c r="L397" s="25"/>
      <c r="N397" s="25">
        <f>'Combined Retirement'!$C$18/12</f>
        <v>40940.569999999992</v>
      </c>
      <c r="O397" s="25">
        <f t="shared" si="265"/>
        <v>10889.636755601023</v>
      </c>
      <c r="P397" s="25">
        <f t="shared" si="266"/>
        <v>30050.93324439897</v>
      </c>
      <c r="Q397" s="25">
        <f t="array" aca="1" ref="Q397" ca="1">INDEX('Isaac 401k'!L:L,MATCH('Retirement Calculator'!A397,'Isaac 401k'!N:N,0),0)</f>
        <v>509254.04073587374</v>
      </c>
      <c r="R397" s="25">
        <f t="array" aca="1" ref="R397" ca="1">INDEX('Lorri 401b'!L:L,MATCH('Retirement Calculator'!A397,'Lorri 401b'!N:N,0),0)</f>
        <v>2221145.562064189</v>
      </c>
      <c r="S397" s="25">
        <f t="shared" ca="1" si="267"/>
        <v>2730399.6028000629</v>
      </c>
    </row>
    <row r="398" spans="1:19" ht="15.75" customHeight="1" x14ac:dyDescent="0.3">
      <c r="A398" s="37">
        <v>63068</v>
      </c>
      <c r="B398" s="398">
        <f t="shared" ref="B398:C398" si="399">($A398-B$9)/365.25</f>
        <v>90.792607802874741</v>
      </c>
      <c r="C398" s="398">
        <f t="shared" si="399"/>
        <v>86.182067077344286</v>
      </c>
      <c r="E398" s="25">
        <f>IF(C398&gt;$B$7,0,'Combined Retirement'!$D$13/12)</f>
        <v>0</v>
      </c>
      <c r="F398" s="25">
        <f>IF(H398=0,'Combined Retirement'!$D$32,0)+'Combined Retirement'!$B$24</f>
        <v>2870.372285649099</v>
      </c>
      <c r="G398" s="25">
        <f>'Combined Retirement'!$C$24</f>
        <v>3254.2644699519233</v>
      </c>
      <c r="H398" s="25">
        <f>IF(B398&lt;62,0,'Combined Retirement'!$I$14)</f>
        <v>2345</v>
      </c>
      <c r="I398" s="25">
        <f>IF(C398&lt;62,0,'Combined Retirement'!$I$13)</f>
        <v>2420</v>
      </c>
      <c r="J398" s="25">
        <f t="shared" si="263"/>
        <v>8395.6297298201844</v>
      </c>
      <c r="K398" s="25">
        <f t="shared" si="264"/>
        <v>21655.303514578787</v>
      </c>
      <c r="L398" s="25"/>
      <c r="N398" s="25">
        <f>'Combined Retirement'!$C$18/12</f>
        <v>40940.569999999992</v>
      </c>
      <c r="O398" s="25">
        <f t="shared" si="265"/>
        <v>10889.636755601023</v>
      </c>
      <c r="P398" s="25">
        <f t="shared" si="266"/>
        <v>30050.93324439897</v>
      </c>
      <c r="Q398" s="25">
        <f t="array" aca="1" ref="Q398" ca="1">INDEX('Isaac 401k'!L:L,MATCH('Retirement Calculator'!A398,'Isaac 401k'!N:N,0),0)</f>
        <v>502945.32105191209</v>
      </c>
      <c r="R398" s="25">
        <f t="array" aca="1" ref="R398" ca="1">INDEX('Lorri 401b'!L:L,MATCH('Retirement Calculator'!A398,'Lorri 401b'!N:N,0),0)</f>
        <v>2208654.8012935668</v>
      </c>
      <c r="S398" s="25">
        <f t="shared" ca="1" si="267"/>
        <v>2711600.1223454787</v>
      </c>
    </row>
    <row r="399" spans="1:19" ht="15.75" customHeight="1" x14ac:dyDescent="0.3">
      <c r="A399" s="37">
        <v>63098</v>
      </c>
      <c r="B399" s="398">
        <f t="shared" ref="B399:C399" si="400">($A399-B$9)/365.25</f>
        <v>90.874743326488712</v>
      </c>
      <c r="C399" s="398">
        <f t="shared" si="400"/>
        <v>86.264202600958242</v>
      </c>
      <c r="E399" s="25">
        <f>IF(C399&gt;$B$7,0,'Combined Retirement'!$D$13/12)</f>
        <v>0</v>
      </c>
      <c r="F399" s="25">
        <f>IF(H399=0,'Combined Retirement'!$D$32,0)+'Combined Retirement'!$B$24</f>
        <v>2870.372285649099</v>
      </c>
      <c r="G399" s="25">
        <f>'Combined Retirement'!$C$24</f>
        <v>3254.2644699519233</v>
      </c>
      <c r="H399" s="25">
        <f>IF(B399&lt;62,0,'Combined Retirement'!$I$14)</f>
        <v>2345</v>
      </c>
      <c r="I399" s="25">
        <f>IF(C399&lt;62,0,'Combined Retirement'!$I$13)</f>
        <v>2420</v>
      </c>
      <c r="J399" s="25">
        <f t="shared" si="263"/>
        <v>8395.6297298201844</v>
      </c>
      <c r="K399" s="25">
        <f t="shared" si="264"/>
        <v>21655.303514578787</v>
      </c>
      <c r="L399" s="25"/>
      <c r="N399" s="25">
        <f>'Combined Retirement'!$C$18/12</f>
        <v>40940.569999999992</v>
      </c>
      <c r="O399" s="25">
        <f t="shared" si="265"/>
        <v>10889.636755601023</v>
      </c>
      <c r="P399" s="25">
        <f t="shared" si="266"/>
        <v>30050.93324439897</v>
      </c>
      <c r="Q399" s="25">
        <f t="array" aca="1" ref="Q399" ca="1">INDEX('Isaac 401k'!L:L,MATCH('Retirement Calculator'!A399,'Isaac 401k'!N:N,0),0)</f>
        <v>496610.31503593398</v>
      </c>
      <c r="R399" s="25">
        <f t="array" aca="1" ref="R399" ca="1">INDEX('Lorri 401b'!L:L,MATCH('Retirement Calculator'!A399,'Lorri 401b'!N:N,0),0)</f>
        <v>2196111.9956864002</v>
      </c>
      <c r="S399" s="25">
        <f t="shared" ca="1" si="267"/>
        <v>2692722.3107223343</v>
      </c>
    </row>
    <row r="400" spans="1:19" ht="15.75" customHeight="1" x14ac:dyDescent="0.3">
      <c r="A400" s="37">
        <v>63129</v>
      </c>
      <c r="B400" s="398">
        <f t="shared" ref="B400:C400" si="401">($A400-B$9)/365.25</f>
        <v>90.959616700889796</v>
      </c>
      <c r="C400" s="398">
        <f t="shared" si="401"/>
        <v>86.349075975359341</v>
      </c>
      <c r="E400" s="25">
        <f>IF(C400&gt;$B$7,0,'Combined Retirement'!$D$13/12)</f>
        <v>0</v>
      </c>
      <c r="F400" s="25">
        <f>IF(H400=0,'Combined Retirement'!$D$32,0)+'Combined Retirement'!$B$24</f>
        <v>2870.372285649099</v>
      </c>
      <c r="G400" s="25">
        <f>'Combined Retirement'!$C$24</f>
        <v>3254.2644699519233</v>
      </c>
      <c r="H400" s="25">
        <f>IF(B400&lt;62,0,'Combined Retirement'!$I$14)</f>
        <v>2345</v>
      </c>
      <c r="I400" s="25">
        <f>IF(C400&lt;62,0,'Combined Retirement'!$I$13)</f>
        <v>2420</v>
      </c>
      <c r="J400" s="25">
        <f t="shared" si="263"/>
        <v>8395.6297298201844</v>
      </c>
      <c r="K400" s="25">
        <f t="shared" si="264"/>
        <v>21655.303514578787</v>
      </c>
      <c r="L400" s="25"/>
      <c r="N400" s="25">
        <f>'Combined Retirement'!$C$18/12</f>
        <v>40940.569999999992</v>
      </c>
      <c r="O400" s="25">
        <f t="shared" si="265"/>
        <v>10889.636755601023</v>
      </c>
      <c r="P400" s="25">
        <f t="shared" si="266"/>
        <v>30050.93324439897</v>
      </c>
      <c r="Q400" s="25">
        <f t="array" aca="1" ref="Q400" ca="1">INDEX('Isaac 401k'!L:L,MATCH('Retirement Calculator'!A400,'Isaac 401k'!N:N,0),0)</f>
        <v>490248.91316155595</v>
      </c>
      <c r="R400" s="25">
        <f t="array" aca="1" ref="R400" ca="1">INDEX('Lorri 401b'!L:L,MATCH('Retirement Calculator'!A400,'Lorri 401b'!N:N,0),0)</f>
        <v>2183516.9283892037</v>
      </c>
      <c r="S400" s="25">
        <f t="shared" ca="1" si="267"/>
        <v>2673765.8415507595</v>
      </c>
    </row>
    <row r="401" spans="1:19" ht="15.75" customHeight="1" x14ac:dyDescent="0.3">
      <c r="A401" s="37">
        <v>63159</v>
      </c>
      <c r="B401" s="398">
        <f t="shared" ref="B401:C401" si="402">($A401-B$9)/365.25</f>
        <v>91.041752224503767</v>
      </c>
      <c r="C401" s="398">
        <f t="shared" si="402"/>
        <v>86.431211498973312</v>
      </c>
      <c r="E401" s="25">
        <f>IF(C401&gt;$B$7,0,'Combined Retirement'!$D$13/12)</f>
        <v>0</v>
      </c>
      <c r="F401" s="25">
        <f>IF(H401=0,'Combined Retirement'!$D$32,0)+'Combined Retirement'!$B$24</f>
        <v>2870.372285649099</v>
      </c>
      <c r="G401" s="25">
        <f>'Combined Retirement'!$C$24</f>
        <v>3254.2644699519233</v>
      </c>
      <c r="H401" s="25">
        <f>IF(B401&lt;62,0,'Combined Retirement'!$I$14)</f>
        <v>2345</v>
      </c>
      <c r="I401" s="25">
        <f>IF(C401&lt;62,0,'Combined Retirement'!$I$13)</f>
        <v>2420</v>
      </c>
      <c r="J401" s="25">
        <f t="shared" si="263"/>
        <v>8395.6297298201844</v>
      </c>
      <c r="K401" s="25">
        <f t="shared" si="264"/>
        <v>21655.303514578787</v>
      </c>
      <c r="L401" s="25"/>
      <c r="N401" s="25">
        <f>'Combined Retirement'!$C$18/12</f>
        <v>40940.569999999992</v>
      </c>
      <c r="O401" s="25">
        <f t="shared" si="265"/>
        <v>10889.636755601023</v>
      </c>
      <c r="P401" s="25">
        <f t="shared" si="266"/>
        <v>30050.93324439897</v>
      </c>
      <c r="Q401" s="25">
        <f t="array" aca="1" ref="Q401" ca="1">INDEX('Isaac 401k'!L:L,MATCH('Retirement Calculator'!A401,'Isaac 401k'!N:N,0),0)</f>
        <v>483861.00544603466</v>
      </c>
      <c r="R401" s="25">
        <f t="array" aca="1" ref="R401" ca="1">INDEX('Lorri 401b'!L:L,MATCH('Retirement Calculator'!A401,'Lorri 401b'!N:N,0),0)</f>
        <v>2170869.3816449358</v>
      </c>
      <c r="S401" s="25">
        <f t="shared" ca="1" si="267"/>
        <v>2654730.3870909703</v>
      </c>
    </row>
    <row r="402" spans="1:19" ht="15.75" customHeight="1" x14ac:dyDescent="0.3">
      <c r="A402" s="37">
        <v>63190</v>
      </c>
      <c r="B402" s="398">
        <f t="shared" ref="B402:C402" si="403">($A402-B$9)/365.25</f>
        <v>91.126625598904866</v>
      </c>
      <c r="C402" s="398">
        <f t="shared" si="403"/>
        <v>86.516084873374396</v>
      </c>
      <c r="E402" s="25">
        <f>IF(C402&gt;$B$7,0,'Combined Retirement'!$D$13/12)</f>
        <v>0</v>
      </c>
      <c r="F402" s="25">
        <f>IF(H402=0,'Combined Retirement'!$D$32,0)+'Combined Retirement'!$B$24</f>
        <v>2870.372285649099</v>
      </c>
      <c r="G402" s="25">
        <f>'Combined Retirement'!$C$24</f>
        <v>3254.2644699519233</v>
      </c>
      <c r="H402" s="25">
        <f>IF(B402&lt;62,0,'Combined Retirement'!$I$14)</f>
        <v>2345</v>
      </c>
      <c r="I402" s="25">
        <f>IF(C402&lt;62,0,'Combined Retirement'!$I$13)</f>
        <v>2420</v>
      </c>
      <c r="J402" s="25">
        <f t="shared" si="263"/>
        <v>8395.6297298201844</v>
      </c>
      <c r="K402" s="25">
        <f t="shared" si="264"/>
        <v>21655.303514578787</v>
      </c>
      <c r="L402" s="25"/>
      <c r="N402" s="25">
        <f>'Combined Retirement'!$C$18/12</f>
        <v>40940.569999999992</v>
      </c>
      <c r="O402" s="25">
        <f t="shared" si="265"/>
        <v>10889.636755601023</v>
      </c>
      <c r="P402" s="25">
        <f t="shared" si="266"/>
        <v>30050.93324439897</v>
      </c>
      <c r="Q402" s="25">
        <f t="array" aca="1" ref="Q402" ca="1">INDEX('Isaac 401k'!L:L,MATCH('Retirement Calculator'!A402,'Isaac 401k'!N:N,0),0)</f>
        <v>477446.48144836538</v>
      </c>
      <c r="R402" s="25">
        <f t="array" aca="1" ref="R402" ca="1">INDEX('Lorri 401b'!L:L,MATCH('Retirement Calculator'!A402,'Lorri 401b'!N:N,0),0)</f>
        <v>2158169.1367892334</v>
      </c>
      <c r="S402" s="25">
        <f t="shared" ca="1" si="267"/>
        <v>2635615.6182375988</v>
      </c>
    </row>
    <row r="403" spans="1:19" ht="15.75" customHeight="1" x14ac:dyDescent="0.3">
      <c r="A403" s="37">
        <v>63221</v>
      </c>
      <c r="B403" s="398">
        <f t="shared" ref="B403:C403" si="404">($A403-B$9)/365.25</f>
        <v>91.21149897330595</v>
      </c>
      <c r="C403" s="398">
        <f t="shared" si="404"/>
        <v>86.600958247775495</v>
      </c>
      <c r="E403" s="25">
        <f>IF(C403&gt;$B$7,0,'Combined Retirement'!$D$13/12)</f>
        <v>0</v>
      </c>
      <c r="F403" s="25">
        <f>IF(H403=0,'Combined Retirement'!$D$32,0)+'Combined Retirement'!$B$24</f>
        <v>2870.372285649099</v>
      </c>
      <c r="G403" s="25">
        <f>'Combined Retirement'!$C$24</f>
        <v>3254.2644699519233</v>
      </c>
      <c r="H403" s="25">
        <f>IF(B403&lt;62,0,'Combined Retirement'!$I$14)</f>
        <v>2345</v>
      </c>
      <c r="I403" s="25">
        <f>IF(C403&lt;62,0,'Combined Retirement'!$I$13)</f>
        <v>2420</v>
      </c>
      <c r="J403" s="25">
        <f t="shared" si="263"/>
        <v>8395.6297298201844</v>
      </c>
      <c r="K403" s="25">
        <f t="shared" si="264"/>
        <v>21655.303514578787</v>
      </c>
      <c r="L403" s="25"/>
      <c r="N403" s="25">
        <f>'Combined Retirement'!$C$18/12</f>
        <v>40940.569999999992</v>
      </c>
      <c r="O403" s="25">
        <f t="shared" si="265"/>
        <v>10889.636755601023</v>
      </c>
      <c r="P403" s="25">
        <f t="shared" si="266"/>
        <v>30050.93324439897</v>
      </c>
      <c r="Q403" s="25">
        <f t="array" aca="1" ref="Q403" ca="1">INDEX('Isaac 401k'!L:L,MATCH('Retirement Calculator'!A403,'Isaac 401k'!N:N,0),0)</f>
        <v>471005.23026737245</v>
      </c>
      <c r="R403" s="25">
        <f t="array" aca="1" ref="R403" ca="1">INDEX('Lorri 401b'!L:L,MATCH('Retirement Calculator'!A403,'Lorri 401b'!N:N,0),0)</f>
        <v>2145415.9742466323</v>
      </c>
      <c r="S403" s="25">
        <f t="shared" ca="1" si="267"/>
        <v>2616421.2045140048</v>
      </c>
    </row>
    <row r="404" spans="1:19" ht="15.75" customHeight="1" x14ac:dyDescent="0.3">
      <c r="A404" s="37">
        <v>63249</v>
      </c>
      <c r="B404" s="398">
        <f t="shared" ref="B404:C404" si="405">($A404-B$9)/365.25</f>
        <v>91.288158795345652</v>
      </c>
      <c r="C404" s="398">
        <f t="shared" si="405"/>
        <v>86.677618069815196</v>
      </c>
      <c r="E404" s="25">
        <f>IF(C404&gt;$B$7,0,'Combined Retirement'!$D$13/12)</f>
        <v>0</v>
      </c>
      <c r="F404" s="25">
        <f>IF(H404=0,'Combined Retirement'!$D$32,0)+'Combined Retirement'!$B$24</f>
        <v>2870.372285649099</v>
      </c>
      <c r="G404" s="25">
        <f>'Combined Retirement'!$C$24</f>
        <v>3254.2644699519233</v>
      </c>
      <c r="H404" s="25">
        <f>IF(B404&lt;62,0,'Combined Retirement'!$I$14)</f>
        <v>2345</v>
      </c>
      <c r="I404" s="25">
        <f>IF(C404&lt;62,0,'Combined Retirement'!$I$13)</f>
        <v>2420</v>
      </c>
      <c r="J404" s="25">
        <f t="shared" si="263"/>
        <v>8395.6297298201844</v>
      </c>
      <c r="K404" s="25">
        <f t="shared" si="264"/>
        <v>21655.303514578787</v>
      </c>
      <c r="L404" s="25"/>
      <c r="N404" s="25">
        <f>'Combined Retirement'!$C$18/12</f>
        <v>40940.569999999992</v>
      </c>
      <c r="O404" s="25">
        <f t="shared" si="265"/>
        <v>10889.636755601023</v>
      </c>
      <c r="P404" s="25">
        <f t="shared" si="266"/>
        <v>30050.93324439897</v>
      </c>
      <c r="Q404" s="25">
        <f t="array" aca="1" ref="Q404" ca="1">INDEX('Isaac 401k'!L:L,MATCH('Retirement Calculator'!A404,'Isaac 401k'!N:N,0),0)</f>
        <v>464537.14053979208</v>
      </c>
      <c r="R404" s="25">
        <f t="array" aca="1" ref="R404" ca="1">INDEX('Lorri 401b'!L:L,MATCH('Retirement Calculator'!A404,'Lorri 401b'!N:N,0),0)</f>
        <v>2132609.6735267704</v>
      </c>
      <c r="S404" s="25">
        <f t="shared" ca="1" si="267"/>
        <v>2597146.8140665623</v>
      </c>
    </row>
    <row r="405" spans="1:19" ht="15.75" customHeight="1" x14ac:dyDescent="0.3">
      <c r="A405" s="37">
        <v>63280</v>
      </c>
      <c r="B405" s="398">
        <f t="shared" ref="B405:C405" si="406">($A405-B$9)/365.25</f>
        <v>91.37303216974675</v>
      </c>
      <c r="C405" s="398">
        <f t="shared" si="406"/>
        <v>86.762491444216295</v>
      </c>
      <c r="E405" s="25">
        <f>IF(C405&gt;$B$7,0,'Combined Retirement'!$D$13/12)</f>
        <v>0</v>
      </c>
      <c r="F405" s="25">
        <f>IF(H405=0,'Combined Retirement'!$D$32,0)+'Combined Retirement'!$B$24</f>
        <v>2870.372285649099</v>
      </c>
      <c r="G405" s="25">
        <f>'Combined Retirement'!$C$24</f>
        <v>3254.2644699519233</v>
      </c>
      <c r="H405" s="25">
        <f>IF(B405&lt;62,0,'Combined Retirement'!$I$14)</f>
        <v>2345</v>
      </c>
      <c r="I405" s="25">
        <f>IF(C405&lt;62,0,'Combined Retirement'!$I$13)</f>
        <v>2420</v>
      </c>
      <c r="J405" s="25">
        <f t="shared" si="263"/>
        <v>8395.6297298201844</v>
      </c>
      <c r="K405" s="25">
        <f t="shared" si="264"/>
        <v>21655.303514578787</v>
      </c>
      <c r="L405" s="25"/>
      <c r="N405" s="25">
        <f>'Combined Retirement'!$C$18/12</f>
        <v>40940.569999999992</v>
      </c>
      <c r="O405" s="25">
        <f t="shared" si="265"/>
        <v>10889.636755601023</v>
      </c>
      <c r="P405" s="25">
        <f t="shared" si="266"/>
        <v>30050.93324439897</v>
      </c>
      <c r="Q405" s="25">
        <f t="array" aca="1" ref="Q405" ca="1">INDEX('Isaac 401k'!L:L,MATCH('Retirement Calculator'!A405,'Isaac 401k'!N:N,0),0)</f>
        <v>458042.1004383468</v>
      </c>
      <c r="R405" s="25">
        <f t="array" aca="1" ref="R405" ca="1">INDEX('Lorri 401b'!L:L,MATCH('Retirement Calculator'!A405,'Lorri 401b'!N:N,0),0)</f>
        <v>2119750.0132205756</v>
      </c>
      <c r="S405" s="25">
        <f t="shared" ca="1" si="267"/>
        <v>2577792.1136589223</v>
      </c>
    </row>
    <row r="406" spans="1:19" ht="15.75" customHeight="1" x14ac:dyDescent="0.3">
      <c r="A406" s="37">
        <v>63310</v>
      </c>
      <c r="B406" s="398">
        <f t="shared" ref="B406:C406" si="407">($A406-B$9)/365.25</f>
        <v>91.455167693360707</v>
      </c>
      <c r="C406" s="398">
        <f t="shared" si="407"/>
        <v>86.844626967830251</v>
      </c>
      <c r="E406" s="25">
        <f>IF(C406&gt;$B$7,0,'Combined Retirement'!$D$13/12)</f>
        <v>0</v>
      </c>
      <c r="F406" s="25">
        <f>IF(H406=0,'Combined Retirement'!$D$32,0)+'Combined Retirement'!$B$24</f>
        <v>2870.372285649099</v>
      </c>
      <c r="G406" s="25">
        <f>'Combined Retirement'!$C$24</f>
        <v>3254.2644699519233</v>
      </c>
      <c r="H406" s="25">
        <f>IF(B406&lt;62,0,'Combined Retirement'!$I$14)</f>
        <v>2345</v>
      </c>
      <c r="I406" s="25">
        <f>IF(C406&lt;62,0,'Combined Retirement'!$I$13)</f>
        <v>2420</v>
      </c>
      <c r="J406" s="25">
        <f t="shared" si="263"/>
        <v>8395.6297298201844</v>
      </c>
      <c r="K406" s="25">
        <f t="shared" si="264"/>
        <v>21655.303514578787</v>
      </c>
      <c r="L406" s="25"/>
      <c r="N406" s="25">
        <f>'Combined Retirement'!$C$18/12</f>
        <v>40940.569999999992</v>
      </c>
      <c r="O406" s="25">
        <f t="shared" si="265"/>
        <v>10889.636755601023</v>
      </c>
      <c r="P406" s="25">
        <f t="shared" si="266"/>
        <v>30050.93324439897</v>
      </c>
      <c r="Q406" s="25">
        <f t="array" aca="1" ref="Q406" ca="1">INDEX('Isaac 401k'!L:L,MATCH('Retirement Calculator'!A406,'Isaac 401k'!N:N,0),0)</f>
        <v>451519.99766981212</v>
      </c>
      <c r="R406" s="25">
        <f t="array" aca="1" ref="R406" ca="1">INDEX('Lorri 401b'!L:L,MATCH('Retirement Calculator'!A406,'Lorri 401b'!N:N,0),0)</f>
        <v>2106836.7709964383</v>
      </c>
      <c r="S406" s="25">
        <f t="shared" ca="1" si="267"/>
        <v>2558356.7686662506</v>
      </c>
    </row>
    <row r="407" spans="1:19" ht="15.75" customHeight="1" x14ac:dyDescent="0.3">
      <c r="A407" s="37">
        <v>63341</v>
      </c>
      <c r="B407" s="398">
        <f t="shared" ref="B407:C407" si="408">($A407-B$9)/365.25</f>
        <v>91.540041067761805</v>
      </c>
      <c r="C407" s="398">
        <f t="shared" si="408"/>
        <v>86.92950034223135</v>
      </c>
      <c r="E407" s="25">
        <f>IF(C407&gt;$B$7,0,'Combined Retirement'!$D$13/12)</f>
        <v>0</v>
      </c>
      <c r="F407" s="25">
        <f>IF(H407=0,'Combined Retirement'!$D$32,0)+'Combined Retirement'!$B$24</f>
        <v>2870.372285649099</v>
      </c>
      <c r="G407" s="25">
        <f>'Combined Retirement'!$C$24</f>
        <v>3254.2644699519233</v>
      </c>
      <c r="H407" s="25">
        <f>IF(B407&lt;62,0,'Combined Retirement'!$I$14)</f>
        <v>2345</v>
      </c>
      <c r="I407" s="25">
        <f>IF(C407&lt;62,0,'Combined Retirement'!$I$13)</f>
        <v>2420</v>
      </c>
      <c r="J407" s="25">
        <f t="shared" si="263"/>
        <v>8395.6297298201844</v>
      </c>
      <c r="K407" s="25">
        <f t="shared" si="264"/>
        <v>21655.303514578787</v>
      </c>
      <c r="L407" s="25"/>
      <c r="N407" s="25">
        <f>'Combined Retirement'!$C$18/12</f>
        <v>40940.569999999992</v>
      </c>
      <c r="O407" s="25">
        <f t="shared" si="265"/>
        <v>10889.636755601023</v>
      </c>
      <c r="P407" s="25">
        <f t="shared" si="266"/>
        <v>30050.93324439897</v>
      </c>
      <c r="Q407" s="25">
        <f t="array" aca="1" ref="Q407" ca="1">INDEX('Isaac 401k'!L:L,MATCH('Retirement Calculator'!A407,'Isaac 401k'!N:N,0),0)</f>
        <v>444970.71947307524</v>
      </c>
      <c r="R407" s="25">
        <f t="array" aca="1" ref="R407" ca="1">INDEX('Lorri 401b'!L:L,MATCH('Retirement Calculator'!A407,'Lorri 401b'!N:N,0),0)</f>
        <v>2093869.7235963673</v>
      </c>
      <c r="S407" s="25">
        <f t="shared" ca="1" si="267"/>
        <v>2538840.4430694426</v>
      </c>
    </row>
    <row r="408" spans="1:19" ht="15.75" customHeight="1" x14ac:dyDescent="0.3">
      <c r="A408" s="37">
        <v>63371</v>
      </c>
      <c r="B408" s="398">
        <f t="shared" ref="B408:C408" si="409">($A408-B$9)/365.25</f>
        <v>91.622176591375776</v>
      </c>
      <c r="C408" s="398">
        <f t="shared" si="409"/>
        <v>87.011635865845307</v>
      </c>
      <c r="E408" s="25">
        <f>IF(C408&gt;$B$7,0,'Combined Retirement'!$D$13/12)</f>
        <v>0</v>
      </c>
      <c r="F408" s="25">
        <f>IF(H408=0,'Combined Retirement'!$D$32,0)+'Combined Retirement'!$B$24</f>
        <v>2870.372285649099</v>
      </c>
      <c r="G408" s="25">
        <f>'Combined Retirement'!$C$24</f>
        <v>3254.2644699519233</v>
      </c>
      <c r="H408" s="25">
        <f>IF(B408&lt;62,0,'Combined Retirement'!$I$14)</f>
        <v>2345</v>
      </c>
      <c r="I408" s="25">
        <f>IF(C408&lt;62,0,'Combined Retirement'!$I$13)</f>
        <v>2420</v>
      </c>
      <c r="J408" s="25">
        <f t="shared" si="263"/>
        <v>8395.6297298201844</v>
      </c>
      <c r="K408" s="25">
        <f t="shared" si="264"/>
        <v>21655.303514578787</v>
      </c>
      <c r="L408" s="25"/>
      <c r="N408" s="25">
        <f>'Combined Retirement'!$C$18/12</f>
        <v>40940.569999999992</v>
      </c>
      <c r="O408" s="25">
        <f t="shared" si="265"/>
        <v>10889.636755601023</v>
      </c>
      <c r="P408" s="25">
        <f t="shared" si="266"/>
        <v>30050.93324439897</v>
      </c>
      <c r="Q408" s="25">
        <f t="array" aca="1" ref="Q408" ca="1">INDEX('Isaac 401k'!L:L,MATCH('Retirement Calculator'!A408,'Isaac 401k'!N:N,0),0)</f>
        <v>438394.15261718526</v>
      </c>
      <c r="R408" s="25">
        <f t="array" aca="1" ref="R408" ca="1">INDEX('Lorri 401b'!L:L,MATCH('Retirement Calculator'!A408,'Lorri 401b'!N:N,0),0)</f>
        <v>2080848.6468321292</v>
      </c>
      <c r="S408" s="25">
        <f t="shared" ca="1" si="267"/>
        <v>2519242.7994493144</v>
      </c>
    </row>
    <row r="409" spans="1:19" ht="15.75" customHeight="1" x14ac:dyDescent="0.3">
      <c r="A409" s="37">
        <v>63402</v>
      </c>
      <c r="B409" s="398">
        <f t="shared" ref="B409:C409" si="410">($A409-B$9)/365.25</f>
        <v>91.707049965776861</v>
      </c>
      <c r="C409" s="398">
        <f t="shared" si="410"/>
        <v>87.096509240246405</v>
      </c>
      <c r="E409" s="25">
        <f>IF(C409&gt;$B$7,0,'Combined Retirement'!$D$13/12)</f>
        <v>0</v>
      </c>
      <c r="F409" s="25">
        <f>IF(H409=0,'Combined Retirement'!$D$32,0)+'Combined Retirement'!$B$24</f>
        <v>2870.372285649099</v>
      </c>
      <c r="G409" s="25">
        <f>'Combined Retirement'!$C$24</f>
        <v>3254.2644699519233</v>
      </c>
      <c r="H409" s="25">
        <f>IF(B409&lt;62,0,'Combined Retirement'!$I$14)</f>
        <v>2345</v>
      </c>
      <c r="I409" s="25">
        <f>IF(C409&lt;62,0,'Combined Retirement'!$I$13)</f>
        <v>2420</v>
      </c>
      <c r="J409" s="25">
        <f t="shared" si="263"/>
        <v>8395.6297298201844</v>
      </c>
      <c r="K409" s="25">
        <f t="shared" si="264"/>
        <v>21655.303514578787</v>
      </c>
      <c r="L409" s="25"/>
      <c r="N409" s="25">
        <f>'Combined Retirement'!$C$18/12</f>
        <v>40940.569999999992</v>
      </c>
      <c r="O409" s="25">
        <f t="shared" si="265"/>
        <v>10889.636755601023</v>
      </c>
      <c r="P409" s="25">
        <f t="shared" si="266"/>
        <v>30050.93324439897</v>
      </c>
      <c r="Q409" s="25">
        <f t="array" aca="1" ref="Q409" ca="1">INDEX('Isaac 401k'!L:L,MATCH('Retirement Calculator'!A409,'Isaac 401k'!N:N,0),0)</f>
        <v>431790.18339939578</v>
      </c>
      <c r="R409" s="25">
        <f t="array" aca="1" ref="R409" ca="1">INDEX('Lorri 401b'!L:L,MATCH('Retirement Calculator'!A409,'Lorri 401b'!N:N,0),0)</f>
        <v>2067773.3155813734</v>
      </c>
      <c r="S409" s="25">
        <f t="shared" ca="1" si="267"/>
        <v>2499563.498980769</v>
      </c>
    </row>
    <row r="410" spans="1:19" ht="15.75" customHeight="1" x14ac:dyDescent="0.3">
      <c r="A410" s="37">
        <v>63433</v>
      </c>
      <c r="B410" s="398">
        <f t="shared" ref="B410:C410" si="411">($A410-B$9)/365.25</f>
        <v>91.791923340177959</v>
      </c>
      <c r="C410" s="398">
        <f t="shared" si="411"/>
        <v>87.181382614647504</v>
      </c>
      <c r="E410" s="25">
        <f>IF(C410&gt;$B$7,0,'Combined Retirement'!$D$13/12)</f>
        <v>0</v>
      </c>
      <c r="F410" s="25">
        <f>IF(H410=0,'Combined Retirement'!$D$32,0)+'Combined Retirement'!$B$24</f>
        <v>2870.372285649099</v>
      </c>
      <c r="G410" s="25">
        <f>'Combined Retirement'!$C$24</f>
        <v>3254.2644699519233</v>
      </c>
      <c r="H410" s="25">
        <f>IF(B410&lt;62,0,'Combined Retirement'!$I$14)</f>
        <v>2345</v>
      </c>
      <c r="I410" s="25">
        <f>IF(C410&lt;62,0,'Combined Retirement'!$I$13)</f>
        <v>2420</v>
      </c>
      <c r="J410" s="25">
        <f t="shared" si="263"/>
        <v>8395.6297298201844</v>
      </c>
      <c r="K410" s="25">
        <f t="shared" si="264"/>
        <v>21655.303514578787</v>
      </c>
      <c r="L410" s="25"/>
      <c r="N410" s="25">
        <f>'Combined Retirement'!$C$18/12</f>
        <v>40940.569999999992</v>
      </c>
      <c r="O410" s="25">
        <f t="shared" si="265"/>
        <v>10889.636755601023</v>
      </c>
      <c r="P410" s="25">
        <f t="shared" si="266"/>
        <v>30050.93324439897</v>
      </c>
      <c r="Q410" s="25">
        <f t="array" aca="1" ref="Q410" ca="1">INDEX('Isaac 401k'!L:L,MATCH('Retirement Calculator'!A410,'Isaac 401k'!N:N,0),0)</f>
        <v>425158.69764319883</v>
      </c>
      <c r="R410" s="25">
        <f t="array" aca="1" ref="R410" ca="1">INDEX('Lorri 401b'!L:L,MATCH('Retirement Calculator'!A410,'Lorri 401b'!N:N,0),0)</f>
        <v>2054643.5037837396</v>
      </c>
      <c r="S410" s="25">
        <f t="shared" ca="1" si="267"/>
        <v>2479802.2014269386</v>
      </c>
    </row>
    <row r="411" spans="1:19" ht="15.75" customHeight="1" x14ac:dyDescent="0.3">
      <c r="A411" s="37">
        <v>63463</v>
      </c>
      <c r="B411" s="398">
        <f t="shared" ref="B411:C411" si="412">($A411-B$9)/365.25</f>
        <v>91.87405886379193</v>
      </c>
      <c r="C411" s="398">
        <f t="shared" si="412"/>
        <v>87.26351813826146</v>
      </c>
      <c r="E411" s="25">
        <f>IF(C411&gt;$B$7,0,'Combined Retirement'!$D$13/12)</f>
        <v>0</v>
      </c>
      <c r="F411" s="25">
        <f>IF(H411=0,'Combined Retirement'!$D$32,0)+'Combined Retirement'!$B$24</f>
        <v>2870.372285649099</v>
      </c>
      <c r="G411" s="25">
        <f>'Combined Retirement'!$C$24</f>
        <v>3254.2644699519233</v>
      </c>
      <c r="H411" s="25">
        <f>IF(B411&lt;62,0,'Combined Retirement'!$I$14)</f>
        <v>2345</v>
      </c>
      <c r="I411" s="25">
        <f>IF(C411&lt;62,0,'Combined Retirement'!$I$13)</f>
        <v>2420</v>
      </c>
      <c r="J411" s="25">
        <f t="shared" si="263"/>
        <v>8395.6297298201844</v>
      </c>
      <c r="K411" s="25">
        <f t="shared" si="264"/>
        <v>21655.303514578787</v>
      </c>
      <c r="L411" s="25"/>
      <c r="N411" s="25">
        <f>'Combined Retirement'!$C$18/12</f>
        <v>40940.569999999992</v>
      </c>
      <c r="O411" s="25">
        <f t="shared" si="265"/>
        <v>10889.636755601023</v>
      </c>
      <c r="P411" s="25">
        <f t="shared" si="266"/>
        <v>30050.93324439897</v>
      </c>
      <c r="Q411" s="25">
        <f t="array" aca="1" ref="Q411" ca="1">INDEX('Isaac 401k'!L:L,MATCH('Retirement Calculator'!A411,'Isaac 401k'!N:N,0),0)</f>
        <v>418499.58069635107</v>
      </c>
      <c r="R411" s="25">
        <f t="array" aca="1" ref="R411" ca="1">INDEX('Lorri 401b'!L:L,MATCH('Retirement Calculator'!A411,'Lorri 401b'!N:N,0),0)</f>
        <v>2041458.984436949</v>
      </c>
      <c r="S411" s="25">
        <f t="shared" ca="1" si="267"/>
        <v>2459958.5651333001</v>
      </c>
    </row>
    <row r="412" spans="1:19" ht="15.75" customHeight="1" x14ac:dyDescent="0.3">
      <c r="A412" s="37">
        <v>63494</v>
      </c>
      <c r="B412" s="398">
        <f t="shared" ref="B412:C412" si="413">($A412-B$9)/365.25</f>
        <v>91.958932238193015</v>
      </c>
      <c r="C412" s="398">
        <f t="shared" si="413"/>
        <v>87.348391512662559</v>
      </c>
      <c r="E412" s="25">
        <f>IF(C412&gt;$B$7,0,'Combined Retirement'!$D$13/12)</f>
        <v>0</v>
      </c>
      <c r="F412" s="25">
        <f>IF(H412=0,'Combined Retirement'!$D$32,0)+'Combined Retirement'!$B$24</f>
        <v>2870.372285649099</v>
      </c>
      <c r="G412" s="25">
        <f>'Combined Retirement'!$C$24</f>
        <v>3254.2644699519233</v>
      </c>
      <c r="H412" s="25">
        <f>IF(B412&lt;62,0,'Combined Retirement'!$I$14)</f>
        <v>2345</v>
      </c>
      <c r="I412" s="25">
        <f>IF(C412&lt;62,0,'Combined Retirement'!$I$13)</f>
        <v>2420</v>
      </c>
      <c r="J412" s="25">
        <f t="shared" si="263"/>
        <v>8395.6297298201844</v>
      </c>
      <c r="K412" s="25">
        <f t="shared" si="264"/>
        <v>21655.303514578787</v>
      </c>
      <c r="L412" s="25"/>
      <c r="N412" s="25">
        <f>'Combined Retirement'!$C$18/12</f>
        <v>40940.569999999992</v>
      </c>
      <c r="O412" s="25">
        <f t="shared" si="265"/>
        <v>10889.636755601023</v>
      </c>
      <c r="P412" s="25">
        <f t="shared" si="266"/>
        <v>30050.93324439897</v>
      </c>
      <c r="Q412" s="25">
        <f t="array" aca="1" ref="Q412" ca="1">INDEX('Isaac 401k'!L:L,MATCH('Retirement Calculator'!A412,'Isaac 401k'!N:N,0),0)</f>
        <v>411812.71742889145</v>
      </c>
      <c r="R412" s="25">
        <f t="array" aca="1" ref="R412" ca="1">INDEX('Lorri 401b'!L:L,MATCH('Retirement Calculator'!A412,'Lorri 401b'!N:N,0),0)</f>
        <v>2028219.52959288</v>
      </c>
      <c r="S412" s="25">
        <f t="shared" ca="1" si="267"/>
        <v>2440032.2470217715</v>
      </c>
    </row>
    <row r="413" spans="1:19" ht="15.75" customHeight="1" x14ac:dyDescent="0.3">
      <c r="A413" s="37">
        <v>63524</v>
      </c>
      <c r="B413" s="398">
        <f t="shared" ref="B413:C413" si="414">($A413-B$9)/365.25</f>
        <v>92.041067761806985</v>
      </c>
      <c r="C413" s="398">
        <f t="shared" si="414"/>
        <v>87.43052703627653</v>
      </c>
      <c r="E413" s="25">
        <f>IF(C413&gt;$B$7,0,'Combined Retirement'!$D$13/12)</f>
        <v>0</v>
      </c>
      <c r="F413" s="25">
        <f>IF(H413=0,'Combined Retirement'!$D$32,0)+'Combined Retirement'!$B$24</f>
        <v>2870.372285649099</v>
      </c>
      <c r="G413" s="25">
        <f>'Combined Retirement'!$C$24</f>
        <v>3254.2644699519233</v>
      </c>
      <c r="H413" s="25">
        <f>IF(B413&lt;62,0,'Combined Retirement'!$I$14)</f>
        <v>2345</v>
      </c>
      <c r="I413" s="25">
        <f>IF(C413&lt;62,0,'Combined Retirement'!$I$13)</f>
        <v>2420</v>
      </c>
      <c r="J413" s="25">
        <f t="shared" si="263"/>
        <v>8395.6297298201844</v>
      </c>
      <c r="K413" s="25">
        <f t="shared" si="264"/>
        <v>21655.303514578787</v>
      </c>
      <c r="L413" s="25"/>
      <c r="N413" s="25">
        <f>'Combined Retirement'!$C$18/12</f>
        <v>40940.569999999992</v>
      </c>
      <c r="O413" s="25">
        <f t="shared" si="265"/>
        <v>10889.636755601023</v>
      </c>
      <c r="P413" s="25">
        <f t="shared" si="266"/>
        <v>30050.93324439897</v>
      </c>
      <c r="Q413" s="25">
        <f t="array" aca="1" ref="Q413" ca="1">INDEX('Isaac 401k'!L:L,MATCH('Retirement Calculator'!A413,'Isaac 401k'!N:N,0),0)</f>
        <v>405097.99223115074</v>
      </c>
      <c r="R413" s="25">
        <f t="array" aca="1" ref="R413" ca="1">INDEX('Lorri 401b'!L:L,MATCH('Retirement Calculator'!A413,'Lorri 401b'!N:N,0),0)</f>
        <v>2014924.9103536275</v>
      </c>
      <c r="S413" s="25">
        <f t="shared" ca="1" si="267"/>
        <v>2420022.9025847781</v>
      </c>
    </row>
    <row r="414" spans="1:19" ht="15.75" customHeight="1" x14ac:dyDescent="0.3">
      <c r="A414" s="37">
        <v>63555</v>
      </c>
      <c r="B414" s="398">
        <f t="shared" ref="B414:C414" si="415">($A414-B$9)/365.25</f>
        <v>92.12594113620807</v>
      </c>
      <c r="C414" s="398">
        <f t="shared" si="415"/>
        <v>87.515400410677614</v>
      </c>
      <c r="E414" s="25">
        <f>IF(C414&gt;$B$7,0,'Combined Retirement'!$D$13/12)</f>
        <v>0</v>
      </c>
      <c r="F414" s="25">
        <f>IF(H414=0,'Combined Retirement'!$D$32,0)+'Combined Retirement'!$B$24</f>
        <v>2870.372285649099</v>
      </c>
      <c r="G414" s="25">
        <f>'Combined Retirement'!$C$24</f>
        <v>3254.2644699519233</v>
      </c>
      <c r="H414" s="25">
        <f>IF(B414&lt;62,0,'Combined Retirement'!$I$14)</f>
        <v>2345</v>
      </c>
      <c r="I414" s="25">
        <f>IF(C414&lt;62,0,'Combined Retirement'!$I$13)</f>
        <v>2420</v>
      </c>
      <c r="J414" s="25">
        <f t="shared" si="263"/>
        <v>8395.6297298201844</v>
      </c>
      <c r="K414" s="25">
        <f t="shared" si="264"/>
        <v>21655.303514578787</v>
      </c>
      <c r="L414" s="25"/>
      <c r="N414" s="25">
        <f>'Combined Retirement'!$C$18/12</f>
        <v>40940.569999999992</v>
      </c>
      <c r="O414" s="25">
        <f t="shared" si="265"/>
        <v>10889.636755601023</v>
      </c>
      <c r="P414" s="25">
        <f t="shared" si="266"/>
        <v>30050.93324439897</v>
      </c>
      <c r="Q414" s="25">
        <f t="array" aca="1" ref="Q414" ca="1">INDEX('Isaac 401k'!L:L,MATCH('Retirement Calculator'!A414,'Isaac 401k'!N:N,0),0)</f>
        <v>398355.28901175276</v>
      </c>
      <c r="R414" s="25">
        <f t="array" aca="1" ref="R414" ca="1">INDEX('Lorri 401b'!L:L,MATCH('Retirement Calculator'!A414,'Lorri 401b'!N:N,0),0)</f>
        <v>2001574.8968675446</v>
      </c>
      <c r="S414" s="25">
        <f t="shared" ca="1" si="267"/>
        <v>2399930.1858792976</v>
      </c>
    </row>
    <row r="415" spans="1:19" ht="15.75" customHeight="1" x14ac:dyDescent="0.3">
      <c r="A415" s="37">
        <v>63586</v>
      </c>
      <c r="B415" s="398">
        <f t="shared" ref="B415:C415" si="416">($A415-B$9)/365.25</f>
        <v>92.210814510609168</v>
      </c>
      <c r="C415" s="398">
        <f t="shared" si="416"/>
        <v>87.600273785078713</v>
      </c>
      <c r="E415" s="25">
        <f>IF(C415&gt;$B$7,0,'Combined Retirement'!$D$13/12)</f>
        <v>0</v>
      </c>
      <c r="F415" s="25">
        <f>IF(H415=0,'Combined Retirement'!$D$32,0)+'Combined Retirement'!$B$24</f>
        <v>2870.372285649099</v>
      </c>
      <c r="G415" s="25">
        <f>'Combined Retirement'!$C$24</f>
        <v>3254.2644699519233</v>
      </c>
      <c r="H415" s="25">
        <f>IF(B415&lt;62,0,'Combined Retirement'!$I$14)</f>
        <v>2345</v>
      </c>
      <c r="I415" s="25">
        <f>IF(C415&lt;62,0,'Combined Retirement'!$I$13)</f>
        <v>2420</v>
      </c>
      <c r="J415" s="25">
        <f t="shared" si="263"/>
        <v>8395.6297298201844</v>
      </c>
      <c r="K415" s="25">
        <f t="shared" si="264"/>
        <v>21655.303514578787</v>
      </c>
      <c r="L415" s="25"/>
      <c r="N415" s="25">
        <f>'Combined Retirement'!$C$18/12</f>
        <v>40940.569999999992</v>
      </c>
      <c r="O415" s="25">
        <f t="shared" si="265"/>
        <v>10889.636755601023</v>
      </c>
      <c r="P415" s="25">
        <f t="shared" si="266"/>
        <v>30050.93324439897</v>
      </c>
      <c r="Q415" s="25">
        <f t="array" aca="1" ref="Q415" ca="1">INDEX('Isaac 401k'!L:L,MATCH('Retirement Calculator'!A415,'Isaac 401k'!N:N,0),0)</f>
        <v>391584.49119560729</v>
      </c>
      <c r="R415" s="25">
        <f t="array" aca="1" ref="R415" ca="1">INDEX('Lorri 401b'!L:L,MATCH('Retirement Calculator'!A415,'Lorri 401b'!N:N,0),0)</f>
        <v>1988169.2583252699</v>
      </c>
      <c r="S415" s="25">
        <f t="shared" ca="1" si="267"/>
        <v>2379753.7495208774</v>
      </c>
    </row>
    <row r="416" spans="1:19" ht="15.75" customHeight="1" x14ac:dyDescent="0.3">
      <c r="A416" s="37">
        <v>63614</v>
      </c>
      <c r="B416" s="398">
        <f t="shared" ref="B416:C416" si="417">($A416-B$9)/365.25</f>
        <v>92.28747433264887</v>
      </c>
      <c r="C416" s="398">
        <f t="shared" si="417"/>
        <v>87.676933607118414</v>
      </c>
      <c r="E416" s="25">
        <f>IF(C416&gt;$B$7,0,'Combined Retirement'!$D$13/12)</f>
        <v>0</v>
      </c>
      <c r="F416" s="25">
        <f>IF(H416=0,'Combined Retirement'!$D$32,0)+'Combined Retirement'!$B$24</f>
        <v>2870.372285649099</v>
      </c>
      <c r="G416" s="25">
        <f>'Combined Retirement'!$C$24</f>
        <v>3254.2644699519233</v>
      </c>
      <c r="H416" s="25">
        <f>IF(B416&lt;62,0,'Combined Retirement'!$I$14)</f>
        <v>2345</v>
      </c>
      <c r="I416" s="25">
        <f>IF(C416&lt;62,0,'Combined Retirement'!$I$13)</f>
        <v>2420</v>
      </c>
      <c r="J416" s="25">
        <f t="shared" si="263"/>
        <v>8395.6297298201844</v>
      </c>
      <c r="K416" s="25">
        <f t="shared" si="264"/>
        <v>21655.303514578787</v>
      </c>
      <c r="L416" s="25"/>
      <c r="N416" s="25">
        <f>'Combined Retirement'!$C$18/12</f>
        <v>40940.569999999992</v>
      </c>
      <c r="O416" s="25">
        <f t="shared" si="265"/>
        <v>10889.636755601023</v>
      </c>
      <c r="P416" s="25">
        <f t="shared" si="266"/>
        <v>30050.93324439897</v>
      </c>
      <c r="Q416" s="25">
        <f t="array" aca="1" ref="Q416" ca="1">INDEX('Isaac 401k'!L:L,MATCH('Retirement Calculator'!A416,'Isaac 401k'!N:N,0),0)</f>
        <v>384785.48172189458</v>
      </c>
      <c r="R416" s="25">
        <f t="array" aca="1" ref="R416" ca="1">INDEX('Lorri 401b'!L:L,MATCH('Retirement Calculator'!A416,'Lorri 401b'!N:N,0),0)</f>
        <v>1974707.7629557357</v>
      </c>
      <c r="S416" s="25">
        <f t="shared" ca="1" si="267"/>
        <v>2359493.2446776303</v>
      </c>
    </row>
    <row r="417" spans="1:19" ht="15.75" customHeight="1" x14ac:dyDescent="0.3">
      <c r="A417" s="37">
        <v>63645</v>
      </c>
      <c r="B417" s="398">
        <f t="shared" ref="B417:C417" si="418">($A417-B$9)/365.25</f>
        <v>92.372347707049968</v>
      </c>
      <c r="C417" s="398">
        <f t="shared" si="418"/>
        <v>87.761806981519513</v>
      </c>
      <c r="E417" s="25">
        <f>IF(C417&gt;$B$7,0,'Combined Retirement'!$D$13/12)</f>
        <v>0</v>
      </c>
      <c r="F417" s="25">
        <f>IF(H417=0,'Combined Retirement'!$D$32,0)+'Combined Retirement'!$B$24</f>
        <v>2870.372285649099</v>
      </c>
      <c r="G417" s="25">
        <f>'Combined Retirement'!$C$24</f>
        <v>3254.2644699519233</v>
      </c>
      <c r="H417" s="25">
        <f>IF(B417&lt;62,0,'Combined Retirement'!$I$14)</f>
        <v>2345</v>
      </c>
      <c r="I417" s="25">
        <f>IF(C417&lt;62,0,'Combined Retirement'!$I$13)</f>
        <v>2420</v>
      </c>
      <c r="J417" s="25">
        <f t="shared" si="263"/>
        <v>8395.6297298201844</v>
      </c>
      <c r="K417" s="25">
        <f t="shared" si="264"/>
        <v>21655.303514578787</v>
      </c>
      <c r="L417" s="25"/>
      <c r="N417" s="25">
        <f>'Combined Retirement'!$C$18/12</f>
        <v>40940.569999999992</v>
      </c>
      <c r="O417" s="25">
        <f t="shared" si="265"/>
        <v>10889.636755601023</v>
      </c>
      <c r="P417" s="25">
        <f t="shared" si="266"/>
        <v>30050.93324439897</v>
      </c>
      <c r="Q417" s="25">
        <f t="array" aca="1" ref="Q417" ca="1">INDEX('Isaac 401k'!L:L,MATCH('Retirement Calculator'!A417,'Isaac 401k'!N:N,0),0)</f>
        <v>377958.1430420414</v>
      </c>
      <c r="R417" s="25">
        <f t="array" aca="1" ref="R417" ca="1">INDEX('Lorri 401b'!L:L,MATCH('Retirement Calculator'!A417,'Lorri 401b'!N:N,0),0)</f>
        <v>1961190.1780221616</v>
      </c>
      <c r="S417" s="25">
        <f t="shared" ca="1" si="267"/>
        <v>2339148.321064203</v>
      </c>
    </row>
    <row r="418" spans="1:19" ht="15.75" customHeight="1" x14ac:dyDescent="0.3">
      <c r="A418" s="37">
        <v>63675</v>
      </c>
      <c r="B418" s="398">
        <f t="shared" ref="B418:C418" si="419">($A418-B$9)/365.25</f>
        <v>92.454483230663925</v>
      </c>
      <c r="C418" s="398">
        <f t="shared" si="419"/>
        <v>87.843942505133469</v>
      </c>
      <c r="E418" s="25">
        <f>IF(C418&gt;$B$7,0,'Combined Retirement'!$D$13/12)</f>
        <v>0</v>
      </c>
      <c r="F418" s="25">
        <f>IF(H418=0,'Combined Retirement'!$D$32,0)+'Combined Retirement'!$B$24</f>
        <v>2870.372285649099</v>
      </c>
      <c r="G418" s="25">
        <f>'Combined Retirement'!$C$24</f>
        <v>3254.2644699519233</v>
      </c>
      <c r="H418" s="25">
        <f>IF(B418&lt;62,0,'Combined Retirement'!$I$14)</f>
        <v>2345</v>
      </c>
      <c r="I418" s="25">
        <f>IF(C418&lt;62,0,'Combined Retirement'!$I$13)</f>
        <v>2420</v>
      </c>
      <c r="J418" s="25">
        <f t="shared" si="263"/>
        <v>8395.6297298201844</v>
      </c>
      <c r="K418" s="25">
        <f t="shared" si="264"/>
        <v>21655.303514578787</v>
      </c>
      <c r="L418" s="25"/>
      <c r="N418" s="25">
        <f>'Combined Retirement'!$C$18/12</f>
        <v>40940.569999999992</v>
      </c>
      <c r="O418" s="25">
        <f t="shared" si="265"/>
        <v>10889.636755601023</v>
      </c>
      <c r="P418" s="25">
        <f t="shared" si="266"/>
        <v>30050.93324439897</v>
      </c>
      <c r="Q418" s="25">
        <f t="array" aca="1" ref="Q418" ca="1">INDEX('Isaac 401k'!L:L,MATCH('Retirement Calculator'!A418,'Isaac 401k'!N:N,0),0)</f>
        <v>371102.35711768881</v>
      </c>
      <c r="R418" s="25">
        <f t="array" aca="1" ref="R418" ca="1">INDEX('Lorri 401b'!L:L,MATCH('Retirement Calculator'!A418,'Lorri 401b'!N:N,0),0)</f>
        <v>1947616.269818031</v>
      </c>
      <c r="S418" s="25">
        <f t="shared" ca="1" si="267"/>
        <v>2318718.62693572</v>
      </c>
    </row>
    <row r="419" spans="1:19" ht="15.75" customHeight="1" x14ac:dyDescent="0.3">
      <c r="A419" s="37">
        <v>63706</v>
      </c>
      <c r="B419" s="398">
        <f t="shared" ref="B419:C419" si="420">($A419-B$9)/365.25</f>
        <v>92.539356605065024</v>
      </c>
      <c r="C419" s="398">
        <f t="shared" si="420"/>
        <v>87.928815879534568</v>
      </c>
      <c r="E419" s="25">
        <f>IF(C419&gt;$B$7,0,'Combined Retirement'!$D$13/12)</f>
        <v>0</v>
      </c>
      <c r="F419" s="25">
        <f>IF(H419=0,'Combined Retirement'!$D$32,0)+'Combined Retirement'!$B$24</f>
        <v>2870.372285649099</v>
      </c>
      <c r="G419" s="25">
        <f>'Combined Retirement'!$C$24</f>
        <v>3254.2644699519233</v>
      </c>
      <c r="H419" s="25">
        <f>IF(B419&lt;62,0,'Combined Retirement'!$I$14)</f>
        <v>2345</v>
      </c>
      <c r="I419" s="25">
        <f>IF(C419&lt;62,0,'Combined Retirement'!$I$13)</f>
        <v>2420</v>
      </c>
      <c r="J419" s="25">
        <f t="shared" si="263"/>
        <v>8395.6297298201844</v>
      </c>
      <c r="K419" s="25">
        <f t="shared" si="264"/>
        <v>21655.303514578787</v>
      </c>
      <c r="L419" s="25"/>
      <c r="N419" s="25">
        <f>'Combined Retirement'!$C$18/12</f>
        <v>40940.569999999992</v>
      </c>
      <c r="O419" s="25">
        <f t="shared" si="265"/>
        <v>10889.636755601023</v>
      </c>
      <c r="P419" s="25">
        <f t="shared" si="266"/>
        <v>30050.93324439897</v>
      </c>
      <c r="Q419" s="25">
        <f t="array" aca="1" ref="Q419" ca="1">INDEX('Isaac 401k'!L:L,MATCH('Retirement Calculator'!A419,'Isaac 401k'!N:N,0),0)</f>
        <v>364218.00541865139</v>
      </c>
      <c r="R419" s="25">
        <f t="array" aca="1" ref="R419" ca="1">INDEX('Lorri 401b'!L:L,MATCH('Retirement Calculator'!A419,'Lorri 401b'!N:N,0),0)</f>
        <v>1933985.8036630498</v>
      </c>
      <c r="S419" s="25">
        <f t="shared" ca="1" si="267"/>
        <v>2298203.8090817011</v>
      </c>
    </row>
    <row r="420" spans="1:19" ht="15.75" customHeight="1" x14ac:dyDescent="0.3">
      <c r="A420" s="37">
        <v>63736</v>
      </c>
      <c r="B420" s="398">
        <f t="shared" ref="B420:C420" si="421">($A420-B$9)/365.25</f>
        <v>92.62149212867898</v>
      </c>
      <c r="C420" s="398">
        <f t="shared" si="421"/>
        <v>88.010951403148525</v>
      </c>
      <c r="E420" s="25">
        <f>IF(C420&gt;$B$7,0,'Combined Retirement'!$D$13/12)</f>
        <v>0</v>
      </c>
      <c r="F420" s="25">
        <f>IF(H420=0,'Combined Retirement'!$D$32,0)+'Combined Retirement'!$B$24</f>
        <v>2870.372285649099</v>
      </c>
      <c r="G420" s="25">
        <f>'Combined Retirement'!$C$24</f>
        <v>3254.2644699519233</v>
      </c>
      <c r="H420" s="25">
        <f>IF(B420&lt;62,0,'Combined Retirement'!$I$14)</f>
        <v>2345</v>
      </c>
      <c r="I420" s="25">
        <f>IF(C420&lt;62,0,'Combined Retirement'!$I$13)</f>
        <v>2420</v>
      </c>
      <c r="J420" s="25">
        <f t="shared" si="263"/>
        <v>8395.6297298201844</v>
      </c>
      <c r="K420" s="25">
        <f t="shared" si="264"/>
        <v>21655.303514578787</v>
      </c>
      <c r="L420" s="25"/>
      <c r="N420" s="25">
        <f>'Combined Retirement'!$C$18/12</f>
        <v>40940.569999999992</v>
      </c>
      <c r="O420" s="25">
        <f t="shared" si="265"/>
        <v>10889.636755601023</v>
      </c>
      <c r="P420" s="25">
        <f t="shared" si="266"/>
        <v>30050.93324439897</v>
      </c>
      <c r="Q420" s="25">
        <f t="array" aca="1" ref="Q420" ca="1">INDEX('Isaac 401k'!L:L,MATCH('Retirement Calculator'!A420,'Isaac 401k'!N:N,0),0)</f>
        <v>357304.96892086801</v>
      </c>
      <c r="R420" s="25">
        <f t="array" aca="1" ref="R420" ca="1">INDEX('Lorri 401b'!L:L,MATCH('Retirement Calculator'!A420,'Lorri 401b'!N:N,0),0)</f>
        <v>1920298.5438990896</v>
      </c>
      <c r="S420" s="25">
        <f t="shared" ca="1" si="267"/>
        <v>2277603.5128199575</v>
      </c>
    </row>
    <row r="421" spans="1:19" ht="15.75" customHeight="1" x14ac:dyDescent="0.3">
      <c r="A421" s="37">
        <v>63767</v>
      </c>
      <c r="B421" s="398">
        <f t="shared" ref="B421:C421" si="422">($A421-B$9)/365.25</f>
        <v>92.706365503080079</v>
      </c>
      <c r="C421" s="398">
        <f t="shared" si="422"/>
        <v>88.095824777549623</v>
      </c>
      <c r="E421" s="25">
        <f>IF(C421&gt;$B$7,0,'Combined Retirement'!$D$13/12)</f>
        <v>0</v>
      </c>
      <c r="F421" s="25">
        <f>IF(H421=0,'Combined Retirement'!$D$32,0)+'Combined Retirement'!$B$24</f>
        <v>2870.372285649099</v>
      </c>
      <c r="G421" s="25">
        <f>'Combined Retirement'!$C$24</f>
        <v>3254.2644699519233</v>
      </c>
      <c r="H421" s="25">
        <f>IF(B421&lt;62,0,'Combined Retirement'!$I$14)</f>
        <v>2345</v>
      </c>
      <c r="I421" s="25">
        <f>IF(C421&lt;62,0,'Combined Retirement'!$I$13)</f>
        <v>2420</v>
      </c>
      <c r="J421" s="25">
        <f t="shared" si="263"/>
        <v>8395.6297298201844</v>
      </c>
      <c r="K421" s="25">
        <f t="shared" si="264"/>
        <v>21655.303514578787</v>
      </c>
      <c r="L421" s="25"/>
      <c r="N421" s="25">
        <f>'Combined Retirement'!$C$18/12</f>
        <v>40940.569999999992</v>
      </c>
      <c r="O421" s="25">
        <f t="shared" si="265"/>
        <v>10889.636755601023</v>
      </c>
      <c r="P421" s="25">
        <f t="shared" si="266"/>
        <v>30050.93324439897</v>
      </c>
      <c r="Q421" s="25">
        <f t="array" aca="1" ref="Q421" ca="1">INDEX('Isaac 401k'!L:L,MATCH('Retirement Calculator'!A421,'Isaac 401k'!N:N,0),0)</f>
        <v>350363.12810434384</v>
      </c>
      <c r="R421" s="25">
        <f t="array" aca="1" ref="R421" ca="1">INDEX('Lorri 401b'!L:L,MATCH('Retirement Calculator'!A421,'Lorri 401b'!N:N,0),0)</f>
        <v>1906554.2538861129</v>
      </c>
      <c r="S421" s="25">
        <f t="shared" ca="1" si="267"/>
        <v>2256917.381990457</v>
      </c>
    </row>
    <row r="422" spans="1:19" ht="15.75" customHeight="1" x14ac:dyDescent="0.3">
      <c r="A422" s="37">
        <v>63798</v>
      </c>
      <c r="B422" s="398">
        <f t="shared" ref="B422:C422" si="423">($A422-B$9)/365.25</f>
        <v>92.791238877481177</v>
      </c>
      <c r="C422" s="398">
        <f t="shared" si="423"/>
        <v>88.180698151950722</v>
      </c>
      <c r="E422" s="25">
        <f>IF(C422&gt;$B$7,0,'Combined Retirement'!$D$13/12)</f>
        <v>0</v>
      </c>
      <c r="F422" s="25">
        <f>IF(H422=0,'Combined Retirement'!$D$32,0)+'Combined Retirement'!$B$24</f>
        <v>2870.372285649099</v>
      </c>
      <c r="G422" s="25">
        <f>'Combined Retirement'!$C$24</f>
        <v>3254.2644699519233</v>
      </c>
      <c r="H422" s="25">
        <f>IF(B422&lt;62,0,'Combined Retirement'!$I$14)</f>
        <v>2345</v>
      </c>
      <c r="I422" s="25">
        <f>IF(C422&lt;62,0,'Combined Retirement'!$I$13)</f>
        <v>2420</v>
      </c>
      <c r="J422" s="25">
        <f t="shared" si="263"/>
        <v>8395.6297298201844</v>
      </c>
      <c r="K422" s="25">
        <f t="shared" si="264"/>
        <v>21655.303514578787</v>
      </c>
      <c r="L422" s="25"/>
      <c r="N422" s="25">
        <f>'Combined Retirement'!$C$18/12</f>
        <v>40940.569999999992</v>
      </c>
      <c r="O422" s="25">
        <f t="shared" si="265"/>
        <v>10889.636755601023</v>
      </c>
      <c r="P422" s="25">
        <f t="shared" si="266"/>
        <v>30050.93324439897</v>
      </c>
      <c r="Q422" s="25">
        <f t="array" aca="1" ref="Q422" ca="1">INDEX('Isaac 401k'!L:L,MATCH('Retirement Calculator'!A422,'Isaac 401k'!N:N,0),0)</f>
        <v>343392.36295108416</v>
      </c>
      <c r="R422" s="25">
        <f t="array" aca="1" ref="R422" ca="1">INDEX('Lorri 401b'!L:L,MATCH('Retirement Calculator'!A422,'Lorri 401b'!N:N,0),0)</f>
        <v>1892752.6959980822</v>
      </c>
      <c r="S422" s="25">
        <f t="shared" ca="1" si="267"/>
        <v>2236145.0589491664</v>
      </c>
    </row>
    <row r="423" spans="1:19" ht="15.75" customHeight="1" x14ac:dyDescent="0.3">
      <c r="A423" s="37">
        <v>63828</v>
      </c>
      <c r="B423" s="398">
        <f t="shared" ref="B423:C423" si="424">($A423-B$9)/365.25</f>
        <v>92.873374401095134</v>
      </c>
      <c r="C423" s="398">
        <f t="shared" si="424"/>
        <v>88.262833675564679</v>
      </c>
      <c r="E423" s="25">
        <f>IF(C423&gt;$B$7,0,'Combined Retirement'!$D$13/12)</f>
        <v>0</v>
      </c>
      <c r="F423" s="25">
        <f>IF(H423=0,'Combined Retirement'!$D$32,0)+'Combined Retirement'!$B$24</f>
        <v>2870.372285649099</v>
      </c>
      <c r="G423" s="25">
        <f>'Combined Retirement'!$C$24</f>
        <v>3254.2644699519233</v>
      </c>
      <c r="H423" s="25">
        <f>IF(B423&lt;62,0,'Combined Retirement'!$I$14)</f>
        <v>2345</v>
      </c>
      <c r="I423" s="25">
        <f>IF(C423&lt;62,0,'Combined Retirement'!$I$13)</f>
        <v>2420</v>
      </c>
      <c r="J423" s="25">
        <f t="shared" si="263"/>
        <v>8395.6297298201844</v>
      </c>
      <c r="K423" s="25">
        <f t="shared" si="264"/>
        <v>21655.303514578787</v>
      </c>
      <c r="L423" s="25"/>
      <c r="N423" s="25">
        <f>'Combined Retirement'!$C$18/12</f>
        <v>40940.569999999992</v>
      </c>
      <c r="O423" s="25">
        <f t="shared" si="265"/>
        <v>10889.636755601023</v>
      </c>
      <c r="P423" s="25">
        <f t="shared" si="266"/>
        <v>30050.93324439897</v>
      </c>
      <c r="Q423" s="25">
        <f t="array" aca="1" ref="Q423" ca="1">INDEX('Isaac 401k'!L:L,MATCH('Retirement Calculator'!A423,'Isaac 401k'!N:N,0),0)</f>
        <v>336392.55294301925</v>
      </c>
      <c r="R423" s="25">
        <f t="array" aca="1" ref="R423" ca="1">INDEX('Lorri 401b'!L:L,MATCH('Retirement Calculator'!A423,'Lorri 401b'!N:N,0),0)</f>
        <v>1878893.6316188513</v>
      </c>
      <c r="S423" s="25">
        <f t="shared" ca="1" si="267"/>
        <v>2215286.1845618705</v>
      </c>
    </row>
    <row r="424" spans="1:19" ht="15.75" customHeight="1" x14ac:dyDescent="0.3">
      <c r="A424" s="37">
        <v>63859</v>
      </c>
      <c r="B424" s="398">
        <f t="shared" ref="B424:C424" si="425">($A424-B$9)/365.25</f>
        <v>92.958247775496233</v>
      </c>
      <c r="C424" s="398">
        <f t="shared" si="425"/>
        <v>88.347707049965777</v>
      </c>
      <c r="E424" s="25">
        <f>IF(C424&gt;$B$7,0,'Combined Retirement'!$D$13/12)</f>
        <v>0</v>
      </c>
      <c r="F424" s="25">
        <f>IF(H424=0,'Combined Retirement'!$D$32,0)+'Combined Retirement'!$B$24</f>
        <v>2870.372285649099</v>
      </c>
      <c r="G424" s="25">
        <f>'Combined Retirement'!$C$24</f>
        <v>3254.2644699519233</v>
      </c>
      <c r="H424" s="25">
        <f>IF(B424&lt;62,0,'Combined Retirement'!$I$14)</f>
        <v>2345</v>
      </c>
      <c r="I424" s="25">
        <f>IF(C424&lt;62,0,'Combined Retirement'!$I$13)</f>
        <v>2420</v>
      </c>
      <c r="J424" s="25">
        <f t="shared" si="263"/>
        <v>8395.6297298201844</v>
      </c>
      <c r="K424" s="25">
        <f t="shared" si="264"/>
        <v>21655.303514578787</v>
      </c>
      <c r="L424" s="25"/>
      <c r="N424" s="25">
        <f>'Combined Retirement'!$C$18/12</f>
        <v>40940.569999999992</v>
      </c>
      <c r="O424" s="25">
        <f t="shared" si="265"/>
        <v>10889.636755601023</v>
      </c>
      <c r="P424" s="25">
        <f t="shared" si="266"/>
        <v>30050.93324439897</v>
      </c>
      <c r="Q424" s="25">
        <f t="array" aca="1" ref="Q424" ca="1">INDEX('Isaac 401k'!L:L,MATCH('Retirement Calculator'!A424,'Isaac 401k'!N:N,0),0)</f>
        <v>329363.57705992076</v>
      </c>
      <c r="R424" s="25">
        <f t="array" aca="1" ref="R424" ca="1">INDEX('Lorri 401b'!L:L,MATCH('Retirement Calculator'!A424,'Lorri 401b'!N:N,0),0)</f>
        <v>1864976.8211380404</v>
      </c>
      <c r="S424" s="25">
        <f t="shared" ca="1" si="267"/>
        <v>2194340.398197961</v>
      </c>
    </row>
    <row r="425" spans="1:19" ht="15.75" customHeight="1" x14ac:dyDescent="0.3">
      <c r="A425" s="37">
        <v>63889</v>
      </c>
      <c r="B425" s="398">
        <f t="shared" ref="B425:C425" si="426">($A425-B$9)/365.25</f>
        <v>93.040383299110204</v>
      </c>
      <c r="C425" s="398">
        <f t="shared" si="426"/>
        <v>88.429842573579734</v>
      </c>
      <c r="E425" s="25">
        <f>IF(C425&gt;$B$7,0,'Combined Retirement'!$D$13/12)</f>
        <v>0</v>
      </c>
      <c r="F425" s="25">
        <f>IF(H425=0,'Combined Retirement'!$D$32,0)+'Combined Retirement'!$B$24</f>
        <v>2870.372285649099</v>
      </c>
      <c r="G425" s="25">
        <f>'Combined Retirement'!$C$24</f>
        <v>3254.2644699519233</v>
      </c>
      <c r="H425" s="25">
        <f>IF(B425&lt;62,0,'Combined Retirement'!$I$14)</f>
        <v>2345</v>
      </c>
      <c r="I425" s="25">
        <f>IF(C425&lt;62,0,'Combined Retirement'!$I$13)</f>
        <v>2420</v>
      </c>
      <c r="J425" s="25">
        <f t="shared" si="263"/>
        <v>8395.6297298201844</v>
      </c>
      <c r="K425" s="25">
        <f t="shared" si="264"/>
        <v>21655.303514578787</v>
      </c>
      <c r="L425" s="25"/>
      <c r="N425" s="25">
        <f>'Combined Retirement'!$C$18/12</f>
        <v>40940.569999999992</v>
      </c>
      <c r="O425" s="25">
        <f t="shared" si="265"/>
        <v>10889.636755601023</v>
      </c>
      <c r="P425" s="25">
        <f t="shared" si="266"/>
        <v>30050.93324439897</v>
      </c>
      <c r="Q425" s="25">
        <f t="array" aca="1" ref="Q425" ca="1">INDEX('Isaac 401k'!L:L,MATCH('Retirement Calculator'!A425,'Isaac 401k'!N:N,0),0)</f>
        <v>322305.31377730932</v>
      </c>
      <c r="R425" s="25">
        <f t="array" aca="1" ref="R425" ca="1">INDEX('Lorri 401b'!L:L,MATCH('Retirement Calculator'!A425,'Lorri 401b'!N:N,0),0)</f>
        <v>1851002.0239468927</v>
      </c>
      <c r="S425" s="25">
        <f t="shared" ca="1" si="267"/>
        <v>2173307.3377242018</v>
      </c>
    </row>
    <row r="426" spans="1:19" ht="15.75" customHeight="1" x14ac:dyDescent="0.3">
      <c r="A426" s="37">
        <v>63920</v>
      </c>
      <c r="B426" s="398">
        <f t="shared" ref="B426:C426" si="427">($A426-B$9)/365.25</f>
        <v>93.125256673511288</v>
      </c>
      <c r="C426" s="398">
        <f t="shared" si="427"/>
        <v>88.514715947980832</v>
      </c>
      <c r="E426" s="25">
        <f>IF(C426&gt;$B$7,0,'Combined Retirement'!$D$13/12)</f>
        <v>0</v>
      </c>
      <c r="F426" s="25">
        <f>IF(H426=0,'Combined Retirement'!$D$32,0)+'Combined Retirement'!$B$24</f>
        <v>2870.372285649099</v>
      </c>
      <c r="G426" s="25">
        <f>'Combined Retirement'!$C$24</f>
        <v>3254.2644699519233</v>
      </c>
      <c r="H426" s="25">
        <f>IF(B426&lt;62,0,'Combined Retirement'!$I$14)</f>
        <v>2345</v>
      </c>
      <c r="I426" s="25">
        <f>IF(C426&lt;62,0,'Combined Retirement'!$I$13)</f>
        <v>2420</v>
      </c>
      <c r="J426" s="25">
        <f t="shared" si="263"/>
        <v>8395.6297298201844</v>
      </c>
      <c r="K426" s="25">
        <f t="shared" si="264"/>
        <v>21655.303514578787</v>
      </c>
      <c r="L426" s="25"/>
      <c r="N426" s="25">
        <f>'Combined Retirement'!$C$18/12</f>
        <v>40940.569999999992</v>
      </c>
      <c r="O426" s="25">
        <f t="shared" si="265"/>
        <v>10889.636755601023</v>
      </c>
      <c r="P426" s="25">
        <f t="shared" si="266"/>
        <v>30050.93324439897</v>
      </c>
      <c r="Q426" s="25">
        <f t="array" aca="1" ref="Q426" ca="1">INDEX('Isaac 401k'!L:L,MATCH('Retirement Calculator'!A426,'Isaac 401k'!N:N,0),0)</f>
        <v>315217.64106435369</v>
      </c>
      <c r="R426" s="25">
        <f t="array" aca="1" ref="R426" ca="1">INDEX('Lorri 401b'!L:L,MATCH('Retirement Calculator'!A426,'Lorri 401b'!N:N,0),0)</f>
        <v>1836968.9984341152</v>
      </c>
      <c r="S426" s="25">
        <f t="shared" ca="1" si="267"/>
        <v>2152186.639498469</v>
      </c>
    </row>
    <row r="427" spans="1:19" ht="15.75" customHeight="1" x14ac:dyDescent="0.3">
      <c r="A427" s="37">
        <v>63951</v>
      </c>
      <c r="B427" s="398">
        <f t="shared" ref="B427:C427" si="428">($A427-B$9)/365.25</f>
        <v>93.210130047912386</v>
      </c>
      <c r="C427" s="398">
        <f t="shared" si="428"/>
        <v>88.599589322381931</v>
      </c>
      <c r="E427" s="25">
        <f>IF(C427&gt;$B$7,0,'Combined Retirement'!$D$13/12)</f>
        <v>0</v>
      </c>
      <c r="F427" s="25">
        <f>IF(H427=0,'Combined Retirement'!$D$32,0)+'Combined Retirement'!$B$24</f>
        <v>2870.372285649099</v>
      </c>
      <c r="G427" s="25">
        <f>'Combined Retirement'!$C$24</f>
        <v>3254.2644699519233</v>
      </c>
      <c r="H427" s="25">
        <f>IF(B427&lt;62,0,'Combined Retirement'!$I$14)</f>
        <v>2345</v>
      </c>
      <c r="I427" s="25">
        <f>IF(C427&lt;62,0,'Combined Retirement'!$I$13)</f>
        <v>2420</v>
      </c>
      <c r="J427" s="25">
        <f t="shared" si="263"/>
        <v>8395.6297298201844</v>
      </c>
      <c r="K427" s="25">
        <f t="shared" si="264"/>
        <v>21655.303514578787</v>
      </c>
      <c r="L427" s="25"/>
      <c r="N427" s="25">
        <f>'Combined Retirement'!$C$18/12</f>
        <v>40940.569999999992</v>
      </c>
      <c r="O427" s="25">
        <f t="shared" si="265"/>
        <v>10889.636755601023</v>
      </c>
      <c r="P427" s="25">
        <f t="shared" si="266"/>
        <v>30050.93324439897</v>
      </c>
      <c r="Q427" s="25">
        <f t="array" aca="1" ref="Q427" ca="1">INDEX('Isaac 401k'!L:L,MATCH('Retirement Calculator'!A427,'Isaac 401k'!N:N,0),0)</f>
        <v>308100.43638176075</v>
      </c>
      <c r="R427" s="25">
        <f t="array" aca="1" ref="R427" ca="1">INDEX('Lorri 401b'!L:L,MATCH('Retirement Calculator'!A427,'Lorri 401b'!N:N,0),0)</f>
        <v>1822877.501981701</v>
      </c>
      <c r="S427" s="25">
        <f t="shared" ca="1" si="267"/>
        <v>2130977.9383634618</v>
      </c>
    </row>
    <row r="428" spans="1:19" ht="15.75" customHeight="1" x14ac:dyDescent="0.3">
      <c r="A428" s="37">
        <v>63979</v>
      </c>
      <c r="B428" s="398">
        <f t="shared" ref="B428:C428" si="429">($A428-B$9)/365.25</f>
        <v>93.286789869952088</v>
      </c>
      <c r="C428" s="398">
        <f t="shared" si="429"/>
        <v>88.676249144421632</v>
      </c>
      <c r="E428" s="25">
        <f>IF(C428&gt;$B$7,0,'Combined Retirement'!$D$13/12)</f>
        <v>0</v>
      </c>
      <c r="F428" s="25">
        <f>IF(H428=0,'Combined Retirement'!$D$32,0)+'Combined Retirement'!$B$24</f>
        <v>2870.372285649099</v>
      </c>
      <c r="G428" s="25">
        <f>'Combined Retirement'!$C$24</f>
        <v>3254.2644699519233</v>
      </c>
      <c r="H428" s="25">
        <f>IF(B428&lt;62,0,'Combined Retirement'!$I$14)</f>
        <v>2345</v>
      </c>
      <c r="I428" s="25">
        <f>IF(C428&lt;62,0,'Combined Retirement'!$I$13)</f>
        <v>2420</v>
      </c>
      <c r="J428" s="25">
        <f t="shared" si="263"/>
        <v>8395.6297298201844</v>
      </c>
      <c r="K428" s="25">
        <f t="shared" si="264"/>
        <v>21655.303514578787</v>
      </c>
      <c r="L428" s="25"/>
      <c r="N428" s="25">
        <f>'Combined Retirement'!$C$18/12</f>
        <v>40940.569999999992</v>
      </c>
      <c r="O428" s="25">
        <f t="shared" si="265"/>
        <v>10889.636755601023</v>
      </c>
      <c r="P428" s="25">
        <f t="shared" si="266"/>
        <v>30050.93324439897</v>
      </c>
      <c r="Q428" s="25">
        <f t="array" aca="1" ref="Q428" ca="1">INDEX('Isaac 401k'!L:L,MATCH('Retirement Calculator'!A428,'Isaac 401k'!N:N,0),0)</f>
        <v>300953.57667965698</v>
      </c>
      <c r="R428" s="25">
        <f t="array" aca="1" ref="R428" ca="1">INDEX('Lorri 401b'!L:L,MATCH('Retirement Calculator'!A428,'Lorri 401b'!N:N,0),0)</f>
        <v>1808727.2909607352</v>
      </c>
      <c r="S428" s="25">
        <f t="shared" ca="1" si="267"/>
        <v>2109680.8676403919</v>
      </c>
    </row>
    <row r="429" spans="1:19" ht="15.75" customHeight="1" x14ac:dyDescent="0.3">
      <c r="A429" s="37">
        <v>64010</v>
      </c>
      <c r="B429" s="398">
        <f t="shared" ref="B429:C429" si="430">($A429-B$9)/365.25</f>
        <v>93.371663244353186</v>
      </c>
      <c r="C429" s="398">
        <f t="shared" si="430"/>
        <v>88.761122518822731</v>
      </c>
      <c r="E429" s="25">
        <f>IF(C429&gt;$B$7,0,'Combined Retirement'!$D$13/12)</f>
        <v>0</v>
      </c>
      <c r="F429" s="25">
        <f>IF(H429=0,'Combined Retirement'!$D$32,0)+'Combined Retirement'!$B$24</f>
        <v>2870.372285649099</v>
      </c>
      <c r="G429" s="25">
        <f>'Combined Retirement'!$C$24</f>
        <v>3254.2644699519233</v>
      </c>
      <c r="H429" s="25">
        <f>IF(B429&lt;62,0,'Combined Retirement'!$I$14)</f>
        <v>2345</v>
      </c>
      <c r="I429" s="25">
        <f>IF(C429&lt;62,0,'Combined Retirement'!$I$13)</f>
        <v>2420</v>
      </c>
      <c r="J429" s="25">
        <f t="shared" si="263"/>
        <v>8395.6297298201844</v>
      </c>
      <c r="K429" s="25">
        <f t="shared" si="264"/>
        <v>21655.303514578787</v>
      </c>
      <c r="L429" s="25"/>
      <c r="N429" s="25">
        <f>'Combined Retirement'!$C$18/12</f>
        <v>40940.569999999992</v>
      </c>
      <c r="O429" s="25">
        <f t="shared" si="265"/>
        <v>10889.636755601023</v>
      </c>
      <c r="P429" s="25">
        <f t="shared" si="266"/>
        <v>30050.93324439897</v>
      </c>
      <c r="Q429" s="25">
        <f t="array" aca="1" ref="Q429" ca="1">INDEX('Isaac 401k'!L:L,MATCH('Retirement Calculator'!A429,'Isaac 401k'!N:N,0),0)</f>
        <v>293776.93839546113</v>
      </c>
      <c r="R429" s="25">
        <f t="array" aca="1" ref="R429" ca="1">INDEX('Lorri 401b'!L:L,MATCH('Retirement Calculator'!A429,'Lorri 401b'!N:N,0),0)</f>
        <v>1794518.1207271819</v>
      </c>
      <c r="S429" s="25">
        <f t="shared" ca="1" si="267"/>
        <v>2088295.059122643</v>
      </c>
    </row>
    <row r="430" spans="1:19" ht="15.75" customHeight="1" x14ac:dyDescent="0.3">
      <c r="A430" s="37">
        <v>64040</v>
      </c>
      <c r="B430" s="398">
        <f t="shared" ref="B430:C430" si="431">($A430-B$9)/365.25</f>
        <v>93.453798767967143</v>
      </c>
      <c r="C430" s="398">
        <f t="shared" si="431"/>
        <v>88.843258042436688</v>
      </c>
      <c r="E430" s="25">
        <f>IF(C430&gt;$B$7,0,'Combined Retirement'!$D$13/12)</f>
        <v>0</v>
      </c>
      <c r="F430" s="25">
        <f>IF(H430=0,'Combined Retirement'!$D$32,0)+'Combined Retirement'!$B$24</f>
        <v>2870.372285649099</v>
      </c>
      <c r="G430" s="25">
        <f>'Combined Retirement'!$C$24</f>
        <v>3254.2644699519233</v>
      </c>
      <c r="H430" s="25">
        <f>IF(B430&lt;62,0,'Combined Retirement'!$I$14)</f>
        <v>2345</v>
      </c>
      <c r="I430" s="25">
        <f>IF(C430&lt;62,0,'Combined Retirement'!$I$13)</f>
        <v>2420</v>
      </c>
      <c r="J430" s="25">
        <f t="shared" si="263"/>
        <v>8395.6297298201844</v>
      </c>
      <c r="K430" s="25">
        <f t="shared" si="264"/>
        <v>21655.303514578787</v>
      </c>
      <c r="L430" s="25"/>
      <c r="N430" s="25">
        <f>'Combined Retirement'!$C$18/12</f>
        <v>40940.569999999992</v>
      </c>
      <c r="O430" s="25">
        <f t="shared" si="265"/>
        <v>10889.636755601023</v>
      </c>
      <c r="P430" s="25">
        <f t="shared" si="266"/>
        <v>30050.93324439897</v>
      </c>
      <c r="Q430" s="25">
        <f t="array" aca="1" ref="Q430" ca="1">INDEX('Isaac 401k'!L:L,MATCH('Retirement Calculator'!A430,'Isaac 401k'!N:N,0),0)</f>
        <v>286570.39745174779</v>
      </c>
      <c r="R430" s="25">
        <f t="array" aca="1" ref="R430" ca="1">INDEX('Lorri 401b'!L:L,MATCH('Retirement Calculator'!A430,'Lorri 401b'!N:N,0),0)</f>
        <v>1780249.7456176556</v>
      </c>
      <c r="S430" s="25">
        <f t="shared" ca="1" si="267"/>
        <v>2066820.1430694032</v>
      </c>
    </row>
    <row r="431" spans="1:19" ht="15.75" customHeight="1" x14ac:dyDescent="0.3">
      <c r="A431" s="37">
        <v>64071</v>
      </c>
      <c r="B431" s="398">
        <f t="shared" ref="B431:C431" si="432">($A431-B$9)/365.25</f>
        <v>93.538672142368242</v>
      </c>
      <c r="C431" s="398">
        <f t="shared" si="432"/>
        <v>88.928131416837786</v>
      </c>
      <c r="E431" s="25">
        <f>IF(C431&gt;$B$7,0,'Combined Retirement'!$D$13/12)</f>
        <v>0</v>
      </c>
      <c r="F431" s="25">
        <f>IF(H431=0,'Combined Retirement'!$D$32,0)+'Combined Retirement'!$B$24</f>
        <v>2870.372285649099</v>
      </c>
      <c r="G431" s="25">
        <f>'Combined Retirement'!$C$24</f>
        <v>3254.2644699519233</v>
      </c>
      <c r="H431" s="25">
        <f>IF(B431&lt;62,0,'Combined Retirement'!$I$14)</f>
        <v>2345</v>
      </c>
      <c r="I431" s="25">
        <f>IF(C431&lt;62,0,'Combined Retirement'!$I$13)</f>
        <v>2420</v>
      </c>
      <c r="J431" s="25">
        <f t="shared" si="263"/>
        <v>8395.6297298201844</v>
      </c>
      <c r="K431" s="25">
        <f t="shared" si="264"/>
        <v>21655.303514578787</v>
      </c>
      <c r="L431" s="25"/>
      <c r="N431" s="25">
        <f>'Combined Retirement'!$C$18/12</f>
        <v>40940.569999999992</v>
      </c>
      <c r="O431" s="25">
        <f t="shared" si="265"/>
        <v>10889.636755601023</v>
      </c>
      <c r="P431" s="25">
        <f t="shared" si="266"/>
        <v>30050.93324439897</v>
      </c>
      <c r="Q431" s="25">
        <f t="array" aca="1" ref="Q431" ca="1">INDEX('Isaac 401k'!L:L,MATCH('Retirement Calculator'!A431,'Isaac 401k'!N:N,0),0)</f>
        <v>279333.82925410231</v>
      </c>
      <c r="R431" s="25">
        <f t="array" aca="1" ref="R431" ca="1">INDEX('Lorri 401b'!L:L,MATCH('Retirement Calculator'!A431,'Lorri 401b'!N:N,0),0)</f>
        <v>1765921.9189451728</v>
      </c>
      <c r="S431" s="25">
        <f t="shared" ca="1" si="267"/>
        <v>2045255.7481992752</v>
      </c>
    </row>
    <row r="432" spans="1:19" ht="15.75" customHeight="1" x14ac:dyDescent="0.3">
      <c r="A432" s="37">
        <v>64101</v>
      </c>
      <c r="B432" s="398">
        <f t="shared" ref="B432:C432" si="433">($A432-B$9)/365.25</f>
        <v>93.620807665982198</v>
      </c>
      <c r="C432" s="398">
        <f t="shared" si="433"/>
        <v>89.010266940451743</v>
      </c>
      <c r="E432" s="25">
        <f>IF(C432&gt;$B$7,0,'Combined Retirement'!$D$13/12)</f>
        <v>0</v>
      </c>
      <c r="F432" s="25">
        <f>IF(H432=0,'Combined Retirement'!$D$32,0)+'Combined Retirement'!$B$24</f>
        <v>2870.372285649099</v>
      </c>
      <c r="G432" s="25">
        <f>'Combined Retirement'!$C$24</f>
        <v>3254.2644699519233</v>
      </c>
      <c r="H432" s="25">
        <f>IF(B432&lt;62,0,'Combined Retirement'!$I$14)</f>
        <v>2345</v>
      </c>
      <c r="I432" s="25">
        <f>IF(C432&lt;62,0,'Combined Retirement'!$I$13)</f>
        <v>2420</v>
      </c>
      <c r="J432" s="25">
        <f t="shared" si="263"/>
        <v>8395.6297298201844</v>
      </c>
      <c r="K432" s="25">
        <f t="shared" si="264"/>
        <v>21655.303514578787</v>
      </c>
      <c r="L432" s="25"/>
      <c r="N432" s="25">
        <f>'Combined Retirement'!$C$18/12</f>
        <v>40940.569999999992</v>
      </c>
      <c r="O432" s="25">
        <f t="shared" si="265"/>
        <v>10889.636755601023</v>
      </c>
      <c r="P432" s="25">
        <f t="shared" si="266"/>
        <v>30050.93324439897</v>
      </c>
      <c r="Q432" s="25">
        <f t="array" aca="1" ref="Q432" ca="1">INDEX('Isaac 401k'!L:L,MATCH('Retirement Calculator'!A432,'Isaac 401k'!N:N,0),0)</f>
        <v>272067.10868896666</v>
      </c>
      <c r="R432" s="25">
        <f t="array" aca="1" ref="R432" ca="1">INDEX('Lorri 401b'!L:L,MATCH('Retirement Calculator'!A432,'Lorri 401b'!N:N,0),0)</f>
        <v>1751534.3929948881</v>
      </c>
      <c r="S432" s="25">
        <f t="shared" ca="1" si="267"/>
        <v>2023601.5016838547</v>
      </c>
    </row>
    <row r="433" spans="1:19" ht="15.75" customHeight="1" x14ac:dyDescent="0.3">
      <c r="A433" s="37">
        <v>64132</v>
      </c>
      <c r="B433" s="398">
        <f t="shared" ref="B433:C433" si="434">($A433-B$9)/365.25</f>
        <v>93.705681040383297</v>
      </c>
      <c r="C433" s="398">
        <f t="shared" si="434"/>
        <v>89.095140314852841</v>
      </c>
      <c r="E433" s="25">
        <f>IF(C433&gt;$B$7,0,'Combined Retirement'!$D$13/12)</f>
        <v>0</v>
      </c>
      <c r="F433" s="25">
        <f>IF(H433=0,'Combined Retirement'!$D$32,0)+'Combined Retirement'!$B$24</f>
        <v>2870.372285649099</v>
      </c>
      <c r="G433" s="25">
        <f>'Combined Retirement'!$C$24</f>
        <v>3254.2644699519233</v>
      </c>
      <c r="H433" s="25">
        <f>IF(B433&lt;62,0,'Combined Retirement'!$I$14)</f>
        <v>2345</v>
      </c>
      <c r="I433" s="25">
        <f>IF(C433&lt;62,0,'Combined Retirement'!$I$13)</f>
        <v>2420</v>
      </c>
      <c r="J433" s="25">
        <f t="shared" si="263"/>
        <v>8395.6297298201844</v>
      </c>
      <c r="K433" s="25">
        <f t="shared" si="264"/>
        <v>21655.303514578787</v>
      </c>
      <c r="L433" s="25"/>
      <c r="N433" s="25">
        <f>'Combined Retirement'!$C$18/12</f>
        <v>40940.569999999992</v>
      </c>
      <c r="O433" s="25">
        <f t="shared" si="265"/>
        <v>10889.636755601023</v>
      </c>
      <c r="P433" s="25">
        <f t="shared" si="266"/>
        <v>30050.93324439897</v>
      </c>
      <c r="Q433" s="25">
        <f t="array" aca="1" ref="Q433" ca="1">INDEX('Isaac 401k'!L:L,MATCH('Retirement Calculator'!A433,'Isaac 401k'!N:N,0),0)</f>
        <v>264770.11012147623</v>
      </c>
      <c r="R433" s="25">
        <f t="array" aca="1" ref="R433" ca="1">INDEX('Lorri 401b'!L:L,MATCH('Retirement Calculator'!A433,'Lorri 401b'!N:N,0),0)</f>
        <v>1737086.9190198106</v>
      </c>
      <c r="S433" s="25">
        <f t="shared" ca="1" si="267"/>
        <v>2001857.0291412869</v>
      </c>
    </row>
    <row r="434" spans="1:19" ht="15.75" customHeight="1" x14ac:dyDescent="0.3">
      <c r="A434" s="37">
        <v>64163</v>
      </c>
      <c r="B434" s="398">
        <f t="shared" ref="B434:C434" si="435">($A434-B$9)/365.25</f>
        <v>93.790554414784395</v>
      </c>
      <c r="C434" s="398">
        <f t="shared" si="435"/>
        <v>89.18001368925394</v>
      </c>
      <c r="E434" s="25">
        <f>IF(C434&gt;$B$7,0,'Combined Retirement'!$D$13/12)</f>
        <v>0</v>
      </c>
      <c r="F434" s="25">
        <f>IF(H434=0,'Combined Retirement'!$D$32,0)+'Combined Retirement'!$B$24</f>
        <v>2870.372285649099</v>
      </c>
      <c r="G434" s="25">
        <f>'Combined Retirement'!$C$24</f>
        <v>3254.2644699519233</v>
      </c>
      <c r="H434" s="25">
        <f>IF(B434&lt;62,0,'Combined Retirement'!$I$14)</f>
        <v>2345</v>
      </c>
      <c r="I434" s="25">
        <f>IF(C434&lt;62,0,'Combined Retirement'!$I$13)</f>
        <v>2420</v>
      </c>
      <c r="J434" s="25">
        <f t="shared" si="263"/>
        <v>8395.6297298201844</v>
      </c>
      <c r="K434" s="25">
        <f t="shared" si="264"/>
        <v>21655.303514578787</v>
      </c>
      <c r="L434" s="25"/>
      <c r="N434" s="25">
        <f>'Combined Retirement'!$C$18/12</f>
        <v>40940.569999999992</v>
      </c>
      <c r="O434" s="25">
        <f t="shared" si="265"/>
        <v>10889.636755601023</v>
      </c>
      <c r="P434" s="25">
        <f t="shared" si="266"/>
        <v>30050.93324439897</v>
      </c>
      <c r="Q434" s="25">
        <f t="array" aca="1" ref="Q434" ca="1">INDEX('Isaac 401k'!L:L,MATCH('Retirement Calculator'!A434,'Isaac 401k'!N:N,0),0)</f>
        <v>257442.70739328794</v>
      </c>
      <c r="R434" s="25">
        <f t="array" aca="1" ref="R434" ca="1">INDEX('Lorri 401b'!L:L,MATCH('Retirement Calculator'!A434,'Lorri 401b'!N:N,0),0)</f>
        <v>1722579.2472365035</v>
      </c>
      <c r="S434" s="25">
        <f t="shared" ca="1" si="267"/>
        <v>1980021.9546297914</v>
      </c>
    </row>
    <row r="435" spans="1:19" ht="15.75" customHeight="1" x14ac:dyDescent="0.3">
      <c r="A435" s="37">
        <v>64193</v>
      </c>
      <c r="B435" s="398">
        <f t="shared" ref="B435:C435" si="436">($A435-B$9)/365.25</f>
        <v>93.872689938398352</v>
      </c>
      <c r="C435" s="398">
        <f t="shared" si="436"/>
        <v>89.262149212867897</v>
      </c>
      <c r="E435" s="25">
        <f>IF(C435&gt;$B$7,0,'Combined Retirement'!$D$13/12)</f>
        <v>0</v>
      </c>
      <c r="F435" s="25">
        <f>IF(H435=0,'Combined Retirement'!$D$32,0)+'Combined Retirement'!$B$24</f>
        <v>2870.372285649099</v>
      </c>
      <c r="G435" s="25">
        <f>'Combined Retirement'!$C$24</f>
        <v>3254.2644699519233</v>
      </c>
      <c r="H435" s="25">
        <f>IF(B435&lt;62,0,'Combined Retirement'!$I$14)</f>
        <v>2345</v>
      </c>
      <c r="I435" s="25">
        <f>IF(C435&lt;62,0,'Combined Retirement'!$I$13)</f>
        <v>2420</v>
      </c>
      <c r="J435" s="25">
        <f t="shared" si="263"/>
        <v>8395.6297298201844</v>
      </c>
      <c r="K435" s="25">
        <f t="shared" si="264"/>
        <v>21655.303514578787</v>
      </c>
      <c r="L435" s="25"/>
      <c r="N435" s="25">
        <f>'Combined Retirement'!$C$18/12</f>
        <v>40940.569999999992</v>
      </c>
      <c r="O435" s="25">
        <f t="shared" si="265"/>
        <v>10889.636755601023</v>
      </c>
      <c r="P435" s="25">
        <f t="shared" si="266"/>
        <v>30050.93324439897</v>
      </c>
      <c r="Q435" s="25">
        <f t="array" aca="1" ref="Q435" ca="1">INDEX('Isaac 401k'!L:L,MATCH('Retirement Calculator'!A435,'Isaac 401k'!N:N,0),0)</f>
        <v>250084.77382039887</v>
      </c>
      <c r="R435" s="25">
        <f t="array" aca="1" ref="R435" ca="1">INDEX('Lorri 401b'!L:L,MATCH('Retirement Calculator'!A435,'Lorri 401b'!N:N,0),0)</f>
        <v>1708011.1268207661</v>
      </c>
      <c r="S435" s="25">
        <f t="shared" ca="1" si="267"/>
        <v>1958095.900641165</v>
      </c>
    </row>
    <row r="436" spans="1:19" ht="15.75" customHeight="1" x14ac:dyDescent="0.3">
      <c r="A436" s="37">
        <v>64224</v>
      </c>
      <c r="B436" s="398">
        <f t="shared" ref="B436:C436" si="437">($A436-B$9)/365.25</f>
        <v>93.957563312799451</v>
      </c>
      <c r="C436" s="398">
        <f t="shared" si="437"/>
        <v>89.347022587268995</v>
      </c>
      <c r="E436" s="25">
        <f>IF(C436&gt;$B$7,0,'Combined Retirement'!$D$13/12)</f>
        <v>0</v>
      </c>
      <c r="F436" s="25">
        <f>IF(H436=0,'Combined Retirement'!$D$32,0)+'Combined Retirement'!$B$24</f>
        <v>2870.372285649099</v>
      </c>
      <c r="G436" s="25">
        <f>'Combined Retirement'!$C$24</f>
        <v>3254.2644699519233</v>
      </c>
      <c r="H436" s="25">
        <f>IF(B436&lt;62,0,'Combined Retirement'!$I$14)</f>
        <v>2345</v>
      </c>
      <c r="I436" s="25">
        <f>IF(C436&lt;62,0,'Combined Retirement'!$I$13)</f>
        <v>2420</v>
      </c>
      <c r="J436" s="25">
        <f t="shared" si="263"/>
        <v>8395.6297298201844</v>
      </c>
      <c r="K436" s="25">
        <f t="shared" si="264"/>
        <v>21655.303514578787</v>
      </c>
      <c r="L436" s="25"/>
      <c r="N436" s="25">
        <f>'Combined Retirement'!$C$18/12</f>
        <v>40940.569999999992</v>
      </c>
      <c r="O436" s="25">
        <f t="shared" si="265"/>
        <v>10889.636755601023</v>
      </c>
      <c r="P436" s="25">
        <f t="shared" si="266"/>
        <v>30050.93324439897</v>
      </c>
      <c r="Q436" s="25">
        <f t="array" aca="1" ref="Q436" ca="1">INDEX('Isaac 401k'!L:L,MATCH('Retirement Calculator'!A436,'Isaac 401k'!N:N,0),0)</f>
        <v>242696.18219095611</v>
      </c>
      <c r="R436" s="25">
        <f t="array" aca="1" ref="R436" ca="1">INDEX('Lorri 401b'!L:L,MATCH('Retirement Calculator'!A436,'Lorri 401b'!N:N,0),0)</f>
        <v>1693382.3059032965</v>
      </c>
      <c r="S436" s="25">
        <f t="shared" ca="1" si="267"/>
        <v>1936078.4880942525</v>
      </c>
    </row>
    <row r="437" spans="1:19" ht="15.75" customHeight="1" x14ac:dyDescent="0.3">
      <c r="A437" s="37">
        <v>64254</v>
      </c>
      <c r="B437" s="398">
        <f t="shared" ref="B437:C437" si="438">($A437-B$9)/365.25</f>
        <v>94.039698836413422</v>
      </c>
      <c r="C437" s="398">
        <f t="shared" si="438"/>
        <v>89.429158110882952</v>
      </c>
      <c r="E437" s="25">
        <f>IF(C437&gt;$B$7,0,'Combined Retirement'!$D$13/12)</f>
        <v>0</v>
      </c>
      <c r="F437" s="25">
        <f>IF(H437=0,'Combined Retirement'!$D$32,0)+'Combined Retirement'!$B$24</f>
        <v>2870.372285649099</v>
      </c>
      <c r="G437" s="25">
        <f>'Combined Retirement'!$C$24</f>
        <v>3254.2644699519233</v>
      </c>
      <c r="H437" s="25">
        <f>IF(B437&lt;62,0,'Combined Retirement'!$I$14)</f>
        <v>2345</v>
      </c>
      <c r="I437" s="25">
        <f>IF(C437&lt;62,0,'Combined Retirement'!$I$13)</f>
        <v>2420</v>
      </c>
      <c r="J437" s="25">
        <f t="shared" si="263"/>
        <v>8395.6297298201844</v>
      </c>
      <c r="K437" s="25">
        <f t="shared" si="264"/>
        <v>21655.303514578787</v>
      </c>
      <c r="L437" s="25"/>
      <c r="N437" s="25">
        <f>'Combined Retirement'!$C$18/12</f>
        <v>40940.569999999992</v>
      </c>
      <c r="O437" s="25">
        <f t="shared" si="265"/>
        <v>10889.636755601023</v>
      </c>
      <c r="P437" s="25">
        <f t="shared" si="266"/>
        <v>30050.93324439897</v>
      </c>
      <c r="Q437" s="25">
        <f t="array" aca="1" ref="Q437" ca="1">INDEX('Isaac 401k'!L:L,MATCH('Retirement Calculator'!A437,'Isaac 401k'!N:N,0),0)</f>
        <v>235276.80476305733</v>
      </c>
      <c r="R437" s="25">
        <f t="array" aca="1" ref="R437" ca="1">INDEX('Lorri 401b'!L:L,MATCH('Retirement Calculator'!A437,'Lorri 401b'!N:N,0),0)</f>
        <v>1678692.5315653372</v>
      </c>
      <c r="S437" s="25">
        <f t="shared" ca="1" si="267"/>
        <v>1913969.3363283945</v>
      </c>
    </row>
    <row r="438" spans="1:19" ht="15.75" customHeight="1" x14ac:dyDescent="0.3">
      <c r="A438" s="37">
        <v>64285</v>
      </c>
      <c r="B438" s="398">
        <f t="shared" ref="B438:C438" si="439">($A438-B$9)/365.25</f>
        <v>94.124572210814506</v>
      </c>
      <c r="C438" s="398">
        <f t="shared" si="439"/>
        <v>89.51403148528405</v>
      </c>
      <c r="E438" s="25">
        <f>IF(C438&gt;$B$7,0,'Combined Retirement'!$D$13/12)</f>
        <v>0</v>
      </c>
      <c r="F438" s="25">
        <f>IF(H438=0,'Combined Retirement'!$D$32,0)+'Combined Retirement'!$B$24</f>
        <v>2870.372285649099</v>
      </c>
      <c r="G438" s="25">
        <f>'Combined Retirement'!$C$24</f>
        <v>3254.2644699519233</v>
      </c>
      <c r="H438" s="25">
        <f>IF(B438&lt;62,0,'Combined Retirement'!$I$14)</f>
        <v>2345</v>
      </c>
      <c r="I438" s="25">
        <f>IF(C438&lt;62,0,'Combined Retirement'!$I$13)</f>
        <v>2420</v>
      </c>
      <c r="J438" s="25">
        <f t="shared" si="263"/>
        <v>8395.6297298201844</v>
      </c>
      <c r="K438" s="25">
        <f t="shared" si="264"/>
        <v>21655.303514578787</v>
      </c>
      <c r="L438" s="25"/>
      <c r="N438" s="25">
        <f>'Combined Retirement'!$C$18/12</f>
        <v>40940.569999999992</v>
      </c>
      <c r="O438" s="25">
        <f t="shared" si="265"/>
        <v>10889.636755601023</v>
      </c>
      <c r="P438" s="25">
        <f t="shared" si="266"/>
        <v>30050.93324439897</v>
      </c>
      <c r="Q438" s="25">
        <f t="array" aca="1" ref="Q438" ca="1">INDEX('Isaac 401k'!L:L,MATCH('Retirement Calculator'!A438,'Isaac 401k'!N:N,0),0)</f>
        <v>227826.51326254231</v>
      </c>
      <c r="R438" s="25">
        <f t="array" aca="1" ref="R438" ca="1">INDEX('Lorri 401b'!L:L,MATCH('Retirement Calculator'!A438,'Lorri 401b'!N:N,0),0)</f>
        <v>1663941.5498343031</v>
      </c>
      <c r="S438" s="25">
        <f t="shared" ca="1" si="267"/>
        <v>1891768.0630968455</v>
      </c>
    </row>
    <row r="439" spans="1:19" ht="15.75" customHeight="1" x14ac:dyDescent="0.3">
      <c r="A439" s="37">
        <v>64316</v>
      </c>
      <c r="B439" s="398">
        <f t="shared" ref="B439:C439" si="440">($A439-B$9)/365.25</f>
        <v>94.209445585215605</v>
      </c>
      <c r="C439" s="398">
        <f t="shared" si="440"/>
        <v>89.598904859685149</v>
      </c>
      <c r="E439" s="25">
        <f>IF(C439&gt;$B$7,0,'Combined Retirement'!$D$13/12)</f>
        <v>0</v>
      </c>
      <c r="F439" s="25">
        <f>IF(H439=0,'Combined Retirement'!$D$32,0)+'Combined Retirement'!$B$24</f>
        <v>2870.372285649099</v>
      </c>
      <c r="G439" s="25">
        <f>'Combined Retirement'!$C$24</f>
        <v>3254.2644699519233</v>
      </c>
      <c r="H439" s="25">
        <f>IF(B439&lt;62,0,'Combined Retirement'!$I$14)</f>
        <v>2345</v>
      </c>
      <c r="I439" s="25">
        <f>IF(C439&lt;62,0,'Combined Retirement'!$I$13)</f>
        <v>2420</v>
      </c>
      <c r="J439" s="25">
        <f t="shared" si="263"/>
        <v>8395.6297298201844</v>
      </c>
      <c r="K439" s="25">
        <f t="shared" si="264"/>
        <v>21655.303514578787</v>
      </c>
      <c r="L439" s="25"/>
      <c r="N439" s="25">
        <f>'Combined Retirement'!$C$18/12</f>
        <v>40940.569999999992</v>
      </c>
      <c r="O439" s="25">
        <f t="shared" si="265"/>
        <v>10889.636755601023</v>
      </c>
      <c r="P439" s="25">
        <f t="shared" si="266"/>
        <v>30050.93324439897</v>
      </c>
      <c r="Q439" s="25">
        <f t="array" aca="1" ref="Q439" ca="1">INDEX('Isaac 401k'!L:L,MATCH('Retirement Calculator'!A439,'Isaac 401k'!N:N,0),0)</f>
        <v>220345.17888077514</v>
      </c>
      <c r="R439" s="25">
        <f t="array" aca="1" ref="R439" ca="1">INDEX('Lorri 401b'!L:L,MATCH('Retirement Calculator'!A439,'Lorri 401b'!N:N,0),0)</f>
        <v>1649129.1056793898</v>
      </c>
      <c r="S439" s="25">
        <f t="shared" ca="1" si="267"/>
        <v>1869474.2845601649</v>
      </c>
    </row>
    <row r="440" spans="1:19" ht="15.75" customHeight="1" x14ac:dyDescent="0.3">
      <c r="A440" s="37">
        <v>64345</v>
      </c>
      <c r="B440" s="398">
        <f t="shared" ref="B440:C440" si="441">($A440-B$9)/365.25</f>
        <v>94.288843258042434</v>
      </c>
      <c r="C440" s="398">
        <f t="shared" si="441"/>
        <v>89.678302532511978</v>
      </c>
      <c r="E440" s="25">
        <f>IF(C440&gt;$B$7,0,'Combined Retirement'!$D$13/12)</f>
        <v>0</v>
      </c>
      <c r="F440" s="25">
        <f>IF(H440=0,'Combined Retirement'!$D$32,0)+'Combined Retirement'!$B$24</f>
        <v>2870.372285649099</v>
      </c>
      <c r="G440" s="25">
        <f>'Combined Retirement'!$C$24</f>
        <v>3254.2644699519233</v>
      </c>
      <c r="H440" s="25">
        <f>IF(B440&lt;62,0,'Combined Retirement'!$I$14)</f>
        <v>2345</v>
      </c>
      <c r="I440" s="25">
        <f>IF(C440&lt;62,0,'Combined Retirement'!$I$13)</f>
        <v>2420</v>
      </c>
      <c r="J440" s="25">
        <f t="shared" si="263"/>
        <v>8395.6297298201844</v>
      </c>
      <c r="K440" s="25">
        <f t="shared" si="264"/>
        <v>21655.303514578787</v>
      </c>
      <c r="L440" s="25"/>
      <c r="N440" s="25">
        <f>'Combined Retirement'!$C$18/12</f>
        <v>40940.569999999992</v>
      </c>
      <c r="O440" s="25">
        <f t="shared" si="265"/>
        <v>10889.636755601023</v>
      </c>
      <c r="P440" s="25">
        <f t="shared" si="266"/>
        <v>30050.93324439897</v>
      </c>
      <c r="Q440" s="25">
        <f t="array" aca="1" ref="Q440" ca="1">INDEX('Isaac 401k'!L:L,MATCH('Retirement Calculator'!A440,'Isaac 401k'!N:N,0),0)</f>
        <v>212832.67227241729</v>
      </c>
      <c r="R440" s="25">
        <f t="array" aca="1" ref="R440" ca="1">INDEX('Lorri 401b'!L:L,MATCH('Retirement Calculator'!A440,'Lorri 401b'!N:N,0),0)</f>
        <v>1634254.9430071644</v>
      </c>
      <c r="S440" s="25">
        <f t="shared" ca="1" si="267"/>
        <v>1847087.6152795816</v>
      </c>
    </row>
    <row r="441" spans="1:19" ht="15.75" customHeight="1" x14ac:dyDescent="0.3">
      <c r="A441" s="37">
        <v>64376</v>
      </c>
      <c r="B441" s="398">
        <f t="shared" ref="B441:C441" si="442">($A441-B$9)/365.25</f>
        <v>94.373716632443532</v>
      </c>
      <c r="C441" s="398">
        <f t="shared" si="442"/>
        <v>89.763175906913077</v>
      </c>
      <c r="E441" s="25">
        <f>IF(C441&gt;$B$7,0,'Combined Retirement'!$D$13/12)</f>
        <v>0</v>
      </c>
      <c r="F441" s="25">
        <f>IF(H441=0,'Combined Retirement'!$D$32,0)+'Combined Retirement'!$B$24</f>
        <v>2870.372285649099</v>
      </c>
      <c r="G441" s="25">
        <f>'Combined Retirement'!$C$24</f>
        <v>3254.2644699519233</v>
      </c>
      <c r="H441" s="25">
        <f>IF(B441&lt;62,0,'Combined Retirement'!$I$14)</f>
        <v>2345</v>
      </c>
      <c r="I441" s="25">
        <f>IF(C441&lt;62,0,'Combined Retirement'!$I$13)</f>
        <v>2420</v>
      </c>
      <c r="J441" s="25">
        <f t="shared" si="263"/>
        <v>8395.6297298201844</v>
      </c>
      <c r="K441" s="25">
        <f t="shared" si="264"/>
        <v>21655.303514578787</v>
      </c>
      <c r="L441" s="25"/>
      <c r="N441" s="25">
        <f>'Combined Retirement'!$C$18/12</f>
        <v>40940.569999999992</v>
      </c>
      <c r="O441" s="25">
        <f t="shared" si="265"/>
        <v>10889.636755601023</v>
      </c>
      <c r="P441" s="25">
        <f t="shared" si="266"/>
        <v>30050.93324439897</v>
      </c>
      <c r="Q441" s="25">
        <f t="array" aca="1" ref="Q441" ca="1">INDEX('Isaac 401k'!L:L,MATCH('Retirement Calculator'!A441,'Isaac 401k'!N:N,0),0)</f>
        <v>205288.86355319127</v>
      </c>
      <c r="R441" s="25">
        <f t="array" aca="1" ref="R441" ca="1">INDEX('Lorri 401b'!L:L,MATCH('Retirement Calculator'!A441,'Lorri 401b'!N:N,0),0)</f>
        <v>1619318.804657138</v>
      </c>
      <c r="S441" s="25">
        <f t="shared" ca="1" si="267"/>
        <v>1824607.6682103293</v>
      </c>
    </row>
    <row r="442" spans="1:19" ht="15.75" customHeight="1" x14ac:dyDescent="0.3">
      <c r="A442" s="37">
        <v>64406</v>
      </c>
      <c r="B442" s="398">
        <f t="shared" ref="B442:C442" si="443">($A442-B$9)/365.25</f>
        <v>94.455852156057489</v>
      </c>
      <c r="C442" s="398">
        <f t="shared" si="443"/>
        <v>89.845311430527033</v>
      </c>
      <c r="E442" s="25">
        <f>IF(C442&gt;$B$7,0,'Combined Retirement'!$D$13/12)</f>
        <v>0</v>
      </c>
      <c r="F442" s="25">
        <f>IF(H442=0,'Combined Retirement'!$D$32,0)+'Combined Retirement'!$B$24</f>
        <v>2870.372285649099</v>
      </c>
      <c r="G442" s="25">
        <f>'Combined Retirement'!$C$24</f>
        <v>3254.2644699519233</v>
      </c>
      <c r="H442" s="25">
        <f>IF(B442&lt;62,0,'Combined Retirement'!$I$14)</f>
        <v>2345</v>
      </c>
      <c r="I442" s="25">
        <f>IF(C442&lt;62,0,'Combined Retirement'!$I$13)</f>
        <v>2420</v>
      </c>
      <c r="J442" s="25">
        <f t="shared" si="263"/>
        <v>8395.6297298201844</v>
      </c>
      <c r="K442" s="25">
        <f t="shared" si="264"/>
        <v>21655.303514578787</v>
      </c>
      <c r="L442" s="25"/>
      <c r="N442" s="25">
        <f>'Combined Retirement'!$C$18/12</f>
        <v>40940.569999999992</v>
      </c>
      <c r="O442" s="25">
        <f t="shared" si="265"/>
        <v>10889.636755601023</v>
      </c>
      <c r="P442" s="25">
        <f t="shared" si="266"/>
        <v>30050.93324439897</v>
      </c>
      <c r="Q442" s="25">
        <f t="array" aca="1" ref="Q442" ca="1">INDEX('Isaac 401k'!L:L,MATCH('Retirement Calculator'!A442,'Isaac 401k'!N:N,0),0)</f>
        <v>197713.62229763513</v>
      </c>
      <c r="R442" s="25">
        <f t="array" aca="1" ref="R442" ca="1">INDEX('Lorri 401b'!L:L,MATCH('Retirement Calculator'!A442,'Lorri 401b'!N:N,0),0)</f>
        <v>1604320.4323973197</v>
      </c>
      <c r="S442" s="25">
        <f t="shared" ca="1" si="267"/>
        <v>1802034.0546949548</v>
      </c>
    </row>
    <row r="443" spans="1:19" ht="15.75" customHeight="1" x14ac:dyDescent="0.3">
      <c r="A443" s="37">
        <v>64437</v>
      </c>
      <c r="B443" s="398">
        <f t="shared" ref="B443:C443" si="444">($A443-B$9)/365.25</f>
        <v>94.540725530458587</v>
      </c>
      <c r="C443" s="398">
        <f t="shared" si="444"/>
        <v>89.930184804928132</v>
      </c>
      <c r="E443" s="25">
        <f>IF(C443&gt;$B$7,0,'Combined Retirement'!$D$13/12)</f>
        <v>0</v>
      </c>
      <c r="F443" s="25">
        <f>IF(H443=0,'Combined Retirement'!$D$32,0)+'Combined Retirement'!$B$24</f>
        <v>2870.372285649099</v>
      </c>
      <c r="G443" s="25">
        <f>'Combined Retirement'!$C$24</f>
        <v>3254.2644699519233</v>
      </c>
      <c r="H443" s="25">
        <f>IF(B443&lt;62,0,'Combined Retirement'!$I$14)</f>
        <v>2345</v>
      </c>
      <c r="I443" s="25">
        <f>IF(C443&lt;62,0,'Combined Retirement'!$I$13)</f>
        <v>2420</v>
      </c>
      <c r="J443" s="25">
        <f t="shared" si="263"/>
        <v>8395.6297298201844</v>
      </c>
      <c r="K443" s="25">
        <f t="shared" si="264"/>
        <v>21655.303514578787</v>
      </c>
      <c r="L443" s="25"/>
      <c r="N443" s="25">
        <f>'Combined Retirement'!$C$18/12</f>
        <v>40940.569999999992</v>
      </c>
      <c r="O443" s="25">
        <f t="shared" si="265"/>
        <v>10889.636755601023</v>
      </c>
      <c r="P443" s="25">
        <f t="shared" si="266"/>
        <v>30050.93324439897</v>
      </c>
      <c r="Q443" s="25">
        <f t="array" aca="1" ref="Q443" ca="1">INDEX('Isaac 401k'!L:L,MATCH('Retirement Calculator'!A443,'Isaac 401k'!N:N,0),0)</f>
        <v>190106.81753684752</v>
      </c>
      <c r="R443" s="25">
        <f t="array" aca="1" ref="R443" ca="1">INDEX('Lorri 401b'!L:L,MATCH('Retirement Calculator'!A443,'Lorri 401b'!N:N,0),0)</f>
        <v>1589259.5669197522</v>
      </c>
      <c r="S443" s="25">
        <f t="shared" ca="1" si="267"/>
        <v>1779366.3844565996</v>
      </c>
    </row>
    <row r="444" spans="1:19" ht="15.75" customHeight="1" x14ac:dyDescent="0.3">
      <c r="A444" s="37">
        <v>64467</v>
      </c>
      <c r="B444" s="398">
        <f t="shared" ref="B444:C444" si="445">($A444-B$9)/365.25</f>
        <v>94.622861054072558</v>
      </c>
      <c r="C444" s="398">
        <f t="shared" si="445"/>
        <v>90.012320328542089</v>
      </c>
      <c r="E444" s="25">
        <f>IF(C444&gt;$B$7,0,'Combined Retirement'!$D$13/12)</f>
        <v>0</v>
      </c>
      <c r="F444" s="25">
        <f>IF(H444=0,'Combined Retirement'!$D$32,0)+'Combined Retirement'!$B$24</f>
        <v>2870.372285649099</v>
      </c>
      <c r="G444" s="25">
        <f>'Combined Retirement'!$C$24</f>
        <v>3254.2644699519233</v>
      </c>
      <c r="H444" s="25">
        <f>IF(B444&lt;62,0,'Combined Retirement'!$I$14)</f>
        <v>2345</v>
      </c>
      <c r="I444" s="25">
        <f>IF(C444&lt;62,0,'Combined Retirement'!$I$13)</f>
        <v>2420</v>
      </c>
      <c r="J444" s="25">
        <f t="shared" si="263"/>
        <v>8395.6297298201844</v>
      </c>
      <c r="K444" s="25">
        <f t="shared" si="264"/>
        <v>21655.303514578787</v>
      </c>
      <c r="L444" s="25"/>
      <c r="N444" s="25">
        <f>'Combined Retirement'!$C$18/12</f>
        <v>40940.569999999992</v>
      </c>
      <c r="O444" s="25">
        <f t="shared" si="265"/>
        <v>10889.636755601023</v>
      </c>
      <c r="P444" s="25">
        <f t="shared" si="266"/>
        <v>30050.93324439897</v>
      </c>
      <c r="Q444" s="25">
        <f t="array" aca="1" ref="Q444" ca="1">INDEX('Isaac 401k'!L:L,MATCH('Retirement Calculator'!A444,'Isaac 401k'!N:N,0),0)</f>
        <v>182468.31775622329</v>
      </c>
      <c r="R444" s="25">
        <f t="array" aca="1" ref="R444" ca="1">INDEX('Lorri 401b'!L:L,MATCH('Retirement Calculator'!A444,'Lorri 401b'!N:N,0),0)</f>
        <v>1574135.9478360282</v>
      </c>
      <c r="S444" s="25">
        <f t="shared" ca="1" si="267"/>
        <v>1756604.2655922514</v>
      </c>
    </row>
    <row r="445" spans="1:19" ht="15.75" customHeight="1" x14ac:dyDescent="0.3">
      <c r="A445" s="37">
        <v>64498</v>
      </c>
      <c r="B445" s="398">
        <f t="shared" ref="B445:C445" si="446">($A445-B$9)/365.25</f>
        <v>94.707734428473643</v>
      </c>
      <c r="C445" s="398">
        <f t="shared" si="446"/>
        <v>90.097193702943187</v>
      </c>
      <c r="E445" s="25">
        <f>IF(C445&gt;$B$7,0,'Combined Retirement'!$D$13/12)</f>
        <v>0</v>
      </c>
      <c r="F445" s="25">
        <f>IF(H445=0,'Combined Retirement'!$D$32,0)+'Combined Retirement'!$B$24</f>
        <v>2870.372285649099</v>
      </c>
      <c r="G445" s="25">
        <f>'Combined Retirement'!$C$24</f>
        <v>3254.2644699519233</v>
      </c>
      <c r="H445" s="25">
        <f>IF(B445&lt;62,0,'Combined Retirement'!$I$14)</f>
        <v>2345</v>
      </c>
      <c r="I445" s="25">
        <f>IF(C445&lt;62,0,'Combined Retirement'!$I$13)</f>
        <v>2420</v>
      </c>
      <c r="J445" s="25">
        <f t="shared" si="263"/>
        <v>8395.6297298201844</v>
      </c>
      <c r="K445" s="25">
        <f t="shared" si="264"/>
        <v>21655.303514578787</v>
      </c>
      <c r="L445" s="25"/>
      <c r="N445" s="25">
        <f>'Combined Retirement'!$C$18/12</f>
        <v>40940.569999999992</v>
      </c>
      <c r="O445" s="25">
        <f t="shared" si="265"/>
        <v>10889.636755601023</v>
      </c>
      <c r="P445" s="25">
        <f t="shared" si="266"/>
        <v>30050.93324439897</v>
      </c>
      <c r="Q445" s="25">
        <f t="array" aca="1" ref="Q445" ca="1">INDEX('Isaac 401k'!L:L,MATCH('Retirement Calculator'!A445,'Isaac 401k'!N:N,0),0)</f>
        <v>174797.99089317978</v>
      </c>
      <c r="R445" s="25">
        <f t="array" aca="1" ref="R445" ca="1">INDEX('Lorri 401b'!L:L,MATCH('Retirement Calculator'!A445,'Lorri 401b'!N:N,0),0)</f>
        <v>1558949.3136727887</v>
      </c>
      <c r="S445" s="25">
        <f t="shared" ca="1" si="267"/>
        <v>1733747.3045659685</v>
      </c>
    </row>
    <row r="446" spans="1:19" ht="15.75" customHeight="1" x14ac:dyDescent="0.3">
      <c r="A446" s="37">
        <v>64529</v>
      </c>
      <c r="B446" s="398">
        <f t="shared" ref="B446:C446" si="447">($A446-B$9)/365.25</f>
        <v>94.792607802874741</v>
      </c>
      <c r="C446" s="398">
        <f t="shared" si="447"/>
        <v>90.182067077344286</v>
      </c>
      <c r="E446" s="25">
        <f>IF(C446&gt;$B$7,0,'Combined Retirement'!$D$13/12)</f>
        <v>0</v>
      </c>
      <c r="F446" s="25">
        <f>IF(H446=0,'Combined Retirement'!$D$32,0)+'Combined Retirement'!$B$24</f>
        <v>2870.372285649099</v>
      </c>
      <c r="G446" s="25">
        <f>'Combined Retirement'!$C$24</f>
        <v>3254.2644699519233</v>
      </c>
      <c r="H446" s="25">
        <f>IF(B446&lt;62,0,'Combined Retirement'!$I$14)</f>
        <v>2345</v>
      </c>
      <c r="I446" s="25">
        <f>IF(C446&lt;62,0,'Combined Retirement'!$I$13)</f>
        <v>2420</v>
      </c>
      <c r="J446" s="25">
        <f t="shared" si="263"/>
        <v>8395.6297298201844</v>
      </c>
      <c r="K446" s="25">
        <f t="shared" si="264"/>
        <v>21655.303514578787</v>
      </c>
      <c r="L446" s="25"/>
      <c r="N446" s="25">
        <f>'Combined Retirement'!$C$18/12</f>
        <v>40940.569999999992</v>
      </c>
      <c r="O446" s="25">
        <f t="shared" si="265"/>
        <v>10889.636755601023</v>
      </c>
      <c r="P446" s="25">
        <f t="shared" si="266"/>
        <v>30050.93324439897</v>
      </c>
      <c r="Q446" s="25">
        <f t="array" aca="1" ref="Q446" ca="1">INDEX('Isaac 401k'!L:L,MATCH('Retirement Calculator'!A446,'Isaac 401k'!N:N,0),0)</f>
        <v>167095.70433487359</v>
      </c>
      <c r="R446" s="25">
        <f t="array" aca="1" ref="R446" ca="1">INDEX('Lorri 401b'!L:L,MATCH('Retirement Calculator'!A446,'Lorri 401b'!N:N,0),0)</f>
        <v>1543699.4018672025</v>
      </c>
      <c r="S446" s="25">
        <f t="shared" ca="1" si="267"/>
        <v>1710795.1062020762</v>
      </c>
    </row>
    <row r="447" spans="1:19" ht="15.75" customHeight="1" x14ac:dyDescent="0.3">
      <c r="A447" s="37">
        <v>64559</v>
      </c>
      <c r="B447" s="398">
        <f t="shared" ref="B447:C447" si="448">($A447-B$9)/365.25</f>
        <v>94.874743326488712</v>
      </c>
      <c r="C447" s="398">
        <f t="shared" si="448"/>
        <v>90.264202600958242</v>
      </c>
      <c r="E447" s="25">
        <f>IF(C447&gt;$B$7,0,'Combined Retirement'!$D$13/12)</f>
        <v>0</v>
      </c>
      <c r="F447" s="25">
        <f>IF(H447=0,'Combined Retirement'!$D$32,0)+'Combined Retirement'!$B$24</f>
        <v>2870.372285649099</v>
      </c>
      <c r="G447" s="25">
        <f>'Combined Retirement'!$C$24</f>
        <v>3254.2644699519233</v>
      </c>
      <c r="H447" s="25">
        <f>IF(B447&lt;62,0,'Combined Retirement'!$I$14)</f>
        <v>2345</v>
      </c>
      <c r="I447" s="25">
        <f>IF(C447&lt;62,0,'Combined Retirement'!$I$13)</f>
        <v>2420</v>
      </c>
      <c r="J447" s="25">
        <f t="shared" si="263"/>
        <v>8395.6297298201844</v>
      </c>
      <c r="K447" s="25">
        <f t="shared" si="264"/>
        <v>21655.303514578787</v>
      </c>
      <c r="L447" s="25"/>
      <c r="N447" s="25">
        <f>'Combined Retirement'!$C$18/12</f>
        <v>40940.569999999992</v>
      </c>
      <c r="O447" s="25">
        <f t="shared" si="265"/>
        <v>10889.636755601023</v>
      </c>
      <c r="P447" s="25">
        <f t="shared" si="266"/>
        <v>30050.93324439897</v>
      </c>
      <c r="Q447" s="25">
        <f t="array" aca="1" ref="Q447" ca="1">INDEX('Isaac 401k'!L:L,MATCH('Retirement Calculator'!A447,'Isaac 401k'!N:N,0),0)</f>
        <v>159361.32491590778</v>
      </c>
      <c r="R447" s="25">
        <f t="array" aca="1" ref="R447" ca="1">INDEX('Lorri 401b'!L:L,MATCH('Retirement Calculator'!A447,'Lorri 401b'!N:N,0),0)</f>
        <v>1528385.9487624262</v>
      </c>
      <c r="S447" s="25">
        <f t="shared" ca="1" si="267"/>
        <v>1687747.273678334</v>
      </c>
    </row>
    <row r="448" spans="1:19" ht="15.75" customHeight="1" x14ac:dyDescent="0.3">
      <c r="A448" s="37">
        <v>64590</v>
      </c>
      <c r="B448" s="398">
        <f t="shared" ref="B448:C448" si="449">($A448-B$9)/365.25</f>
        <v>94.959616700889796</v>
      </c>
      <c r="C448" s="398">
        <f t="shared" si="449"/>
        <v>90.349075975359341</v>
      </c>
      <c r="E448" s="25">
        <f>IF(C448&gt;$B$7,0,'Combined Retirement'!$D$13/12)</f>
        <v>0</v>
      </c>
      <c r="F448" s="25">
        <f>IF(H448=0,'Combined Retirement'!$D$32,0)+'Combined Retirement'!$B$24</f>
        <v>2870.372285649099</v>
      </c>
      <c r="G448" s="25">
        <f>'Combined Retirement'!$C$24</f>
        <v>3254.2644699519233</v>
      </c>
      <c r="H448" s="25">
        <f>IF(B448&lt;62,0,'Combined Retirement'!$I$14)</f>
        <v>2345</v>
      </c>
      <c r="I448" s="25">
        <f>IF(C448&lt;62,0,'Combined Retirement'!$I$13)</f>
        <v>2420</v>
      </c>
      <c r="J448" s="25">
        <f t="shared" si="263"/>
        <v>8395.6297298201844</v>
      </c>
      <c r="K448" s="25">
        <f t="shared" si="264"/>
        <v>21655.303514578787</v>
      </c>
      <c r="L448" s="25"/>
      <c r="N448" s="25">
        <f>'Combined Retirement'!$C$18/12</f>
        <v>40940.569999999992</v>
      </c>
      <c r="O448" s="25">
        <f t="shared" si="265"/>
        <v>10889.636755601023</v>
      </c>
      <c r="P448" s="25">
        <f t="shared" si="266"/>
        <v>30050.93324439897</v>
      </c>
      <c r="Q448" s="25">
        <f t="array" aca="1" ref="Q448" ca="1">INDEX('Isaac 401k'!L:L,MATCH('Retirement Calculator'!A448,'Isaac 401k'!N:N,0),0)</f>
        <v>151594.71891602964</v>
      </c>
      <c r="R448" s="25">
        <f t="array" aca="1" ref="R448" ca="1">INDEX('Lorri 401b'!L:L,MATCH('Retirement Calculator'!A448,'Lorri 401b'!N:N,0),0)</f>
        <v>1513008.6896030467</v>
      </c>
      <c r="S448" s="25">
        <f t="shared" ca="1" si="267"/>
        <v>1664603.4085190764</v>
      </c>
    </row>
    <row r="449" spans="1:19" ht="15.75" customHeight="1" x14ac:dyDescent="0.3">
      <c r="A449" s="37">
        <v>64620</v>
      </c>
      <c r="B449" s="398">
        <f t="shared" ref="B449:C449" si="450">($A449-B$9)/365.25</f>
        <v>95.041752224503767</v>
      </c>
      <c r="C449" s="398">
        <f t="shared" si="450"/>
        <v>90.431211498973312</v>
      </c>
      <c r="E449" s="25">
        <f>IF(C449&gt;$B$7,0,'Combined Retirement'!$D$13/12)</f>
        <v>0</v>
      </c>
      <c r="F449" s="25">
        <f>IF(H449=0,'Combined Retirement'!$D$32,0)+'Combined Retirement'!$B$24</f>
        <v>2870.372285649099</v>
      </c>
      <c r="G449" s="25">
        <f>'Combined Retirement'!$C$24</f>
        <v>3254.2644699519233</v>
      </c>
      <c r="H449" s="25">
        <f>IF(B449&lt;62,0,'Combined Retirement'!$I$14)</f>
        <v>2345</v>
      </c>
      <c r="I449" s="25">
        <f>IF(C449&lt;62,0,'Combined Retirement'!$I$13)</f>
        <v>2420</v>
      </c>
      <c r="J449" s="25">
        <f t="shared" si="263"/>
        <v>8395.6297298201844</v>
      </c>
      <c r="K449" s="25">
        <f t="shared" si="264"/>
        <v>21655.303514578787</v>
      </c>
      <c r="L449" s="25"/>
      <c r="N449" s="25">
        <f>'Combined Retirement'!$C$18/12</f>
        <v>40940.569999999992</v>
      </c>
      <c r="O449" s="25">
        <f t="shared" si="265"/>
        <v>10889.636755601023</v>
      </c>
      <c r="P449" s="25">
        <f t="shared" si="266"/>
        <v>30050.93324439897</v>
      </c>
      <c r="Q449" s="25">
        <f t="array" aca="1" ref="Q449" ca="1">INDEX('Isaac 401k'!L:L,MATCH('Retirement Calculator'!A449,'Isaac 401k'!N:N,0),0)</f>
        <v>143795.75205781867</v>
      </c>
      <c r="R449" s="25">
        <f t="array" aca="1" ref="R449" ca="1">INDEX('Lorri 401b'!L:L,MATCH('Retirement Calculator'!A449,'Lorri 401b'!N:N,0),0)</f>
        <v>1497567.3585305032</v>
      </c>
      <c r="S449" s="25">
        <f t="shared" ca="1" si="267"/>
        <v>1641363.1105883219</v>
      </c>
    </row>
    <row r="450" spans="1:19" ht="15.75" customHeight="1" x14ac:dyDescent="0.3">
      <c r="A450" s="37">
        <v>64651</v>
      </c>
      <c r="B450" s="398">
        <f t="shared" ref="B450:C450" si="451">($A450-B$9)/365.25</f>
        <v>95.126625598904866</v>
      </c>
      <c r="C450" s="398">
        <f t="shared" si="451"/>
        <v>90.516084873374396</v>
      </c>
      <c r="E450" s="25">
        <f>IF(C450&gt;$B$7,0,'Combined Retirement'!$D$13/12)</f>
        <v>0</v>
      </c>
      <c r="F450" s="25">
        <f>IF(H450=0,'Combined Retirement'!$D$32,0)+'Combined Retirement'!$B$24</f>
        <v>2870.372285649099</v>
      </c>
      <c r="G450" s="25">
        <f>'Combined Retirement'!$C$24</f>
        <v>3254.2644699519233</v>
      </c>
      <c r="H450" s="25">
        <f>IF(B450&lt;62,0,'Combined Retirement'!$I$14)</f>
        <v>2345</v>
      </c>
      <c r="I450" s="25">
        <f>IF(C450&lt;62,0,'Combined Retirement'!$I$13)</f>
        <v>2420</v>
      </c>
      <c r="J450" s="25">
        <f t="shared" si="263"/>
        <v>8395.6297298201844</v>
      </c>
      <c r="K450" s="25">
        <f t="shared" si="264"/>
        <v>21655.303514578787</v>
      </c>
      <c r="L450" s="25"/>
      <c r="N450" s="25">
        <f>'Combined Retirement'!$C$18/12</f>
        <v>40940.569999999992</v>
      </c>
      <c r="O450" s="25">
        <f t="shared" si="265"/>
        <v>10889.636755601023</v>
      </c>
      <c r="P450" s="25">
        <f t="shared" si="266"/>
        <v>30050.93324439897</v>
      </c>
      <c r="Q450" s="25">
        <f t="array" aca="1" ref="Q450" ca="1">INDEX('Isaac 401k'!L:L,MATCH('Retirement Calculator'!A450,'Isaac 401k'!N:N,0),0)</f>
        <v>135964.28950436515</v>
      </c>
      <c r="R450" s="25">
        <f t="array" aca="1" ref="R450" ca="1">INDEX('Lorri 401b'!L:L,MATCH('Retirement Calculator'!A450,'Lorri 401b'!N:N,0),0)</f>
        <v>1482061.6885784906</v>
      </c>
      <c r="S450" s="25">
        <f t="shared" ca="1" si="267"/>
        <v>1618025.9780828557</v>
      </c>
    </row>
    <row r="451" spans="1:19" ht="15.75" customHeight="1" x14ac:dyDescent="0.3">
      <c r="A451" s="37">
        <v>64682</v>
      </c>
      <c r="B451" s="398">
        <f t="shared" ref="B451:C451" si="452">($A451-B$9)/365.25</f>
        <v>95.21149897330595</v>
      </c>
      <c r="C451" s="398">
        <f t="shared" si="452"/>
        <v>90.600958247775495</v>
      </c>
      <c r="E451" s="25">
        <f>IF(C451&gt;$B$7,0,'Combined Retirement'!$D$13/12)</f>
        <v>0</v>
      </c>
      <c r="F451" s="25">
        <f>IF(H451=0,'Combined Retirement'!$D$32,0)+'Combined Retirement'!$B$24</f>
        <v>2870.372285649099</v>
      </c>
      <c r="G451" s="25">
        <f>'Combined Retirement'!$C$24</f>
        <v>3254.2644699519233</v>
      </c>
      <c r="H451" s="25">
        <f>IF(B451&lt;62,0,'Combined Retirement'!$I$14)</f>
        <v>2345</v>
      </c>
      <c r="I451" s="25">
        <f>IF(C451&lt;62,0,'Combined Retirement'!$I$13)</f>
        <v>2420</v>
      </c>
      <c r="J451" s="25">
        <f t="shared" si="263"/>
        <v>8395.6297298201844</v>
      </c>
      <c r="K451" s="25">
        <f t="shared" si="264"/>
        <v>21655.303514578787</v>
      </c>
      <c r="L451" s="25"/>
      <c r="N451" s="25">
        <f>'Combined Retirement'!$C$18/12</f>
        <v>40940.569999999992</v>
      </c>
      <c r="O451" s="25">
        <f t="shared" si="265"/>
        <v>10889.636755601023</v>
      </c>
      <c r="P451" s="25">
        <f t="shared" si="266"/>
        <v>30050.93324439897</v>
      </c>
      <c r="Q451" s="25">
        <f t="array" aca="1" ref="Q451" ca="1">INDEX('Isaac 401k'!L:L,MATCH('Retirement Calculator'!A451,'Isaac 401k'!N:N,0),0)</f>
        <v>128100.19585693891</v>
      </c>
      <c r="R451" s="25">
        <f t="array" aca="1" ref="R451" ca="1">INDEX('Lorri 401b'!L:L,MATCH('Retirement Calculator'!A451,'Lorri 401b'!N:N,0),0)</f>
        <v>1466491.4116683449</v>
      </c>
      <c r="S451" s="25">
        <f t="shared" ca="1" si="267"/>
        <v>1594591.6075252837</v>
      </c>
    </row>
    <row r="452" spans="1:19" ht="15.75" customHeight="1" x14ac:dyDescent="0.3">
      <c r="A452" s="37">
        <v>64710</v>
      </c>
      <c r="B452" s="398">
        <f t="shared" ref="B452:C452" si="453">($A452-B$9)/365.25</f>
        <v>95.288158795345652</v>
      </c>
      <c r="C452" s="398">
        <f t="shared" si="453"/>
        <v>90.677618069815196</v>
      </c>
      <c r="E452" s="25">
        <f>IF(C452&gt;$B$7,0,'Combined Retirement'!$D$13/12)</f>
        <v>0</v>
      </c>
      <c r="F452" s="25">
        <f>IF(H452=0,'Combined Retirement'!$D$32,0)+'Combined Retirement'!$B$24</f>
        <v>2870.372285649099</v>
      </c>
      <c r="G452" s="25">
        <f>'Combined Retirement'!$C$24</f>
        <v>3254.2644699519233</v>
      </c>
      <c r="H452" s="25">
        <f>IF(B452&lt;62,0,'Combined Retirement'!$I$14)</f>
        <v>2345</v>
      </c>
      <c r="I452" s="25">
        <f>IF(C452&lt;62,0,'Combined Retirement'!$I$13)</f>
        <v>2420</v>
      </c>
      <c r="J452" s="25">
        <f t="shared" si="263"/>
        <v>8395.6297298201844</v>
      </c>
      <c r="K452" s="25">
        <f t="shared" si="264"/>
        <v>21655.303514578787</v>
      </c>
      <c r="L452" s="25"/>
      <c r="N452" s="25">
        <f>'Combined Retirement'!$C$18/12</f>
        <v>40940.569999999992</v>
      </c>
      <c r="O452" s="25">
        <f t="shared" si="265"/>
        <v>10889.636755601023</v>
      </c>
      <c r="P452" s="25">
        <f t="shared" si="266"/>
        <v>30050.93324439897</v>
      </c>
      <c r="Q452" s="25">
        <f t="array" aca="1" ref="Q452" ca="1">INDEX('Isaac 401k'!L:L,MATCH('Retirement Calculator'!A452,'Isaac 401k'!N:N,0),0)</f>
        <v>120203.33515264839</v>
      </c>
      <c r="R452" s="25">
        <f t="array" aca="1" ref="R452" ca="1">INDEX('Lorri 401b'!L:L,MATCH('Retirement Calculator'!A452,'Lorri 401b'!N:N,0),0)</f>
        <v>1450856.2586044066</v>
      </c>
      <c r="S452" s="25">
        <f t="shared" ca="1" si="267"/>
        <v>1571059.593757055</v>
      </c>
    </row>
    <row r="453" spans="1:19" ht="15.75" customHeight="1" x14ac:dyDescent="0.3">
      <c r="A453" s="37">
        <v>64741</v>
      </c>
      <c r="B453" s="398">
        <f t="shared" ref="B453:C453" si="454">($A453-B$9)/365.25</f>
        <v>95.37303216974675</v>
      </c>
      <c r="C453" s="398">
        <f t="shared" si="454"/>
        <v>90.762491444216295</v>
      </c>
      <c r="E453" s="25">
        <f>IF(C453&gt;$B$7,0,'Combined Retirement'!$D$13/12)</f>
        <v>0</v>
      </c>
      <c r="F453" s="25">
        <f>IF(H453=0,'Combined Retirement'!$D$32,0)+'Combined Retirement'!$B$24</f>
        <v>2870.372285649099</v>
      </c>
      <c r="G453" s="25">
        <f>'Combined Retirement'!$C$24</f>
        <v>3254.2644699519233</v>
      </c>
      <c r="H453" s="25">
        <f>IF(B453&lt;62,0,'Combined Retirement'!$I$14)</f>
        <v>2345</v>
      </c>
      <c r="I453" s="25">
        <f>IF(C453&lt;62,0,'Combined Retirement'!$I$13)</f>
        <v>2420</v>
      </c>
      <c r="J453" s="25">
        <f t="shared" si="263"/>
        <v>8395.6297298201844</v>
      </c>
      <c r="K453" s="25">
        <f t="shared" si="264"/>
        <v>21655.303514578787</v>
      </c>
      <c r="L453" s="25"/>
      <c r="N453" s="25">
        <f>'Combined Retirement'!$C$18/12</f>
        <v>40940.569999999992</v>
      </c>
      <c r="O453" s="25">
        <f t="shared" si="265"/>
        <v>10889.636755601023</v>
      </c>
      <c r="P453" s="25">
        <f t="shared" si="266"/>
        <v>30050.93324439897</v>
      </c>
      <c r="Q453" s="25">
        <f t="array" aca="1" ref="Q453" ca="1">INDEX('Isaac 401k'!L:L,MATCH('Retirement Calculator'!A453,'Isaac 401k'!N:N,0),0)</f>
        <v>112273.57086209</v>
      </c>
      <c r="R453" s="25">
        <f t="array" aca="1" ref="R453" ca="1">INDEX('Lorri 401b'!L:L,MATCH('Retirement Calculator'!A453,'Lorri 401b'!N:N,0),0)</f>
        <v>1435155.9590693687</v>
      </c>
      <c r="S453" s="25">
        <f t="shared" ca="1" si="267"/>
        <v>1547429.5299314586</v>
      </c>
    </row>
    <row r="454" spans="1:19" ht="15.75" customHeight="1" x14ac:dyDescent="0.3">
      <c r="A454" s="37">
        <v>64771</v>
      </c>
      <c r="B454" s="398">
        <f t="shared" ref="B454:C454" si="455">($A454-B$9)/365.25</f>
        <v>95.455167693360707</v>
      </c>
      <c r="C454" s="398">
        <f t="shared" si="455"/>
        <v>90.844626967830251</v>
      </c>
      <c r="E454" s="25">
        <f>IF(C454&gt;$B$7,0,'Combined Retirement'!$D$13/12)</f>
        <v>0</v>
      </c>
      <c r="F454" s="25">
        <f>IF(H454=0,'Combined Retirement'!$D$32,0)+'Combined Retirement'!$B$24</f>
        <v>2870.372285649099</v>
      </c>
      <c r="G454" s="25">
        <f>'Combined Retirement'!$C$24</f>
        <v>3254.2644699519233</v>
      </c>
      <c r="H454" s="25">
        <f>IF(B454&lt;62,0,'Combined Retirement'!$I$14)</f>
        <v>2345</v>
      </c>
      <c r="I454" s="25">
        <f>IF(C454&lt;62,0,'Combined Retirement'!$I$13)</f>
        <v>2420</v>
      </c>
      <c r="J454" s="25">
        <f t="shared" si="263"/>
        <v>8395.6297298201844</v>
      </c>
      <c r="K454" s="25">
        <f t="shared" si="264"/>
        <v>21655.303514578787</v>
      </c>
      <c r="L454" s="25"/>
      <c r="N454" s="25">
        <f>'Combined Retirement'!$C$18/12</f>
        <v>40940.569999999992</v>
      </c>
      <c r="O454" s="25">
        <f t="shared" si="265"/>
        <v>10889.636755601023</v>
      </c>
      <c r="P454" s="25">
        <f t="shared" si="266"/>
        <v>30050.93324439897</v>
      </c>
      <c r="Q454" s="25">
        <f t="array" aca="1" ref="Q454" ca="1">INDEX('Isaac 401k'!L:L,MATCH('Retirement Calculator'!A454,'Isaac 401k'!N:N,0),0)</f>
        <v>104310.7658869876</v>
      </c>
      <c r="R454" s="25">
        <f t="array" aca="1" ref="R454" ca="1">INDEX('Lorri 401b'!L:L,MATCH('Retirement Calculator'!A454,'Lorri 401b'!N:N,0),0)</f>
        <v>1419390.2416196014</v>
      </c>
      <c r="S454" s="25">
        <f t="shared" ca="1" si="267"/>
        <v>1523701.0075065889</v>
      </c>
    </row>
    <row r="455" spans="1:19" ht="15.75" customHeight="1" x14ac:dyDescent="0.3">
      <c r="A455" s="37">
        <v>64802</v>
      </c>
      <c r="B455" s="398">
        <f t="shared" ref="B455:C455" si="456">($A455-B$9)/365.25</f>
        <v>95.540041067761805</v>
      </c>
      <c r="C455" s="398">
        <f t="shared" si="456"/>
        <v>90.92950034223135</v>
      </c>
      <c r="E455" s="25">
        <f>IF(C455&gt;$B$7,0,'Combined Retirement'!$D$13/12)</f>
        <v>0</v>
      </c>
      <c r="F455" s="25">
        <f>IF(H455=0,'Combined Retirement'!$D$32,0)+'Combined Retirement'!$B$24</f>
        <v>2870.372285649099</v>
      </c>
      <c r="G455" s="25">
        <f>'Combined Retirement'!$C$24</f>
        <v>3254.2644699519233</v>
      </c>
      <c r="H455" s="25">
        <f>IF(B455&lt;62,0,'Combined Retirement'!$I$14)</f>
        <v>2345</v>
      </c>
      <c r="I455" s="25">
        <f>IF(C455&lt;62,0,'Combined Retirement'!$I$13)</f>
        <v>2420</v>
      </c>
      <c r="J455" s="25">
        <f t="shared" si="263"/>
        <v>8395.6297298201844</v>
      </c>
      <c r="K455" s="25">
        <f t="shared" si="264"/>
        <v>21655.303514578787</v>
      </c>
      <c r="L455" s="25"/>
      <c r="N455" s="25">
        <f>'Combined Retirement'!$C$18/12</f>
        <v>40940.569999999992</v>
      </c>
      <c r="O455" s="25">
        <f t="shared" si="265"/>
        <v>10889.636755601023</v>
      </c>
      <c r="P455" s="25">
        <f t="shared" si="266"/>
        <v>30050.93324439897</v>
      </c>
      <c r="Q455" s="25">
        <f t="array" aca="1" ref="Q455" ca="1">INDEX('Isaac 401k'!L:L,MATCH('Retirement Calculator'!A455,'Isaac 401k'!N:N,0),0)</f>
        <v>96314.782557822284</v>
      </c>
      <c r="R455" s="25">
        <f t="array" aca="1" ref="R455" ca="1">INDEX('Lorri 401b'!L:L,MATCH('Retirement Calculator'!A455,'Lorri 401b'!N:N,0),0)</f>
        <v>1403558.8336804602</v>
      </c>
      <c r="S455" s="25">
        <f t="shared" ca="1" si="267"/>
        <v>1499873.6162382825</v>
      </c>
    </row>
    <row r="456" spans="1:19" ht="15.75" customHeight="1" x14ac:dyDescent="0.3">
      <c r="A456" s="37">
        <v>64832</v>
      </c>
      <c r="B456" s="398">
        <f t="shared" ref="B456:C456" si="457">($A456-B$9)/365.25</f>
        <v>95.622176591375776</v>
      </c>
      <c r="C456" s="398">
        <f t="shared" si="457"/>
        <v>91.011635865845307</v>
      </c>
      <c r="E456" s="25">
        <f>IF(C456&gt;$B$7,0,'Combined Retirement'!$D$13/12)</f>
        <v>0</v>
      </c>
      <c r="F456" s="25">
        <f>IF(H456=0,'Combined Retirement'!$D$32,0)+'Combined Retirement'!$B$24</f>
        <v>2870.372285649099</v>
      </c>
      <c r="G456" s="25">
        <f>'Combined Retirement'!$C$24</f>
        <v>3254.2644699519233</v>
      </c>
      <c r="H456" s="25">
        <f>IF(B456&lt;62,0,'Combined Retirement'!$I$14)</f>
        <v>2345</v>
      </c>
      <c r="I456" s="25">
        <f>IF(C456&lt;62,0,'Combined Retirement'!$I$13)</f>
        <v>2420</v>
      </c>
      <c r="J456" s="25">
        <f t="shared" si="263"/>
        <v>8395.6297298201844</v>
      </c>
      <c r="K456" s="25">
        <f t="shared" si="264"/>
        <v>21655.303514578787</v>
      </c>
      <c r="L456" s="25"/>
      <c r="N456" s="25">
        <f>'Combined Retirement'!$C$18/12</f>
        <v>40940.569999999992</v>
      </c>
      <c r="O456" s="25">
        <f t="shared" si="265"/>
        <v>10889.636755601023</v>
      </c>
      <c r="P456" s="25">
        <f t="shared" si="266"/>
        <v>30050.93324439897</v>
      </c>
      <c r="Q456" s="25">
        <f t="array" aca="1" ref="Q456" ca="1">INDEX('Isaac 401k'!L:L,MATCH('Retirement Calculator'!A456,'Isaac 401k'!N:N,0),0)</f>
        <v>88285.482631452105</v>
      </c>
      <c r="R456" s="25">
        <f t="array" aca="1" ref="R456" ca="1">INDEX('Lorri 401b'!L:L,MATCH('Retirement Calculator'!A456,'Lorri 401b'!N:N,0),0)</f>
        <v>1387661.4615415726</v>
      </c>
      <c r="S456" s="25">
        <f t="shared" ca="1" si="267"/>
        <v>1475946.9441730247</v>
      </c>
    </row>
    <row r="457" spans="1:19" ht="15.75" customHeight="1" x14ac:dyDescent="0.3">
      <c r="A457" s="37">
        <v>64863</v>
      </c>
      <c r="B457" s="398">
        <f t="shared" ref="B457:C457" si="458">($A457-B$9)/365.25</f>
        <v>95.707049965776861</v>
      </c>
      <c r="C457" s="398">
        <f t="shared" si="458"/>
        <v>91.096509240246405</v>
      </c>
      <c r="E457" s="25">
        <f>IF(C457&gt;$B$7,0,'Combined Retirement'!$D$13/12)</f>
        <v>0</v>
      </c>
      <c r="F457" s="25">
        <f>IF(H457=0,'Combined Retirement'!$D$32,0)+'Combined Retirement'!$B$24</f>
        <v>2870.372285649099</v>
      </c>
      <c r="G457" s="25">
        <f>'Combined Retirement'!$C$24</f>
        <v>3254.2644699519233</v>
      </c>
      <c r="H457" s="25">
        <f>IF(B457&lt;62,0,'Combined Retirement'!$I$14)</f>
        <v>2345</v>
      </c>
      <c r="I457" s="25">
        <f>IF(C457&lt;62,0,'Combined Retirement'!$I$13)</f>
        <v>2420</v>
      </c>
      <c r="J457" s="25">
        <f t="shared" si="263"/>
        <v>8395.6297298201844</v>
      </c>
      <c r="K457" s="25">
        <f t="shared" si="264"/>
        <v>21655.303514578787</v>
      </c>
      <c r="L457" s="25"/>
      <c r="N457" s="25">
        <f>'Combined Retirement'!$C$18/12</f>
        <v>40940.569999999992</v>
      </c>
      <c r="O457" s="25">
        <f t="shared" si="265"/>
        <v>10889.636755601023</v>
      </c>
      <c r="P457" s="25">
        <f t="shared" si="266"/>
        <v>30050.93324439897</v>
      </c>
      <c r="Q457" s="25">
        <f t="array" aca="1" ref="Q457" ca="1">INDEX('Isaac 401k'!L:L,MATCH('Retirement Calculator'!A457,'Isaac 401k'!N:N,0),0)</f>
        <v>80222.727288722061</v>
      </c>
      <c r="R457" s="25">
        <f t="array" aca="1" ref="R457" ca="1">INDEX('Lorri 401b'!L:L,MATCH('Retirement Calculator'!A457,'Lorri 401b'!N:N,0),0)</f>
        <v>1371697.8503521062</v>
      </c>
      <c r="S457" s="25">
        <f t="shared" ca="1" si="267"/>
        <v>1451920.5776408282</v>
      </c>
    </row>
    <row r="458" spans="1:19" ht="15.75" customHeight="1" x14ac:dyDescent="0.3">
      <c r="A458" s="37">
        <v>64894</v>
      </c>
      <c r="B458" s="398">
        <f t="shared" ref="B458:C458" si="459">($A458-B$9)/365.25</f>
        <v>95.791923340177959</v>
      </c>
      <c r="C458" s="398">
        <f t="shared" si="459"/>
        <v>91.181382614647504</v>
      </c>
      <c r="E458" s="25">
        <f>IF(C458&gt;$B$7,0,'Combined Retirement'!$D$13/12)</f>
        <v>0</v>
      </c>
      <c r="F458" s="25">
        <f>IF(H458=0,'Combined Retirement'!$D$32,0)+'Combined Retirement'!$B$24</f>
        <v>2870.372285649099</v>
      </c>
      <c r="G458" s="25">
        <f>'Combined Retirement'!$C$24</f>
        <v>3254.2644699519233</v>
      </c>
      <c r="H458" s="25">
        <f>IF(B458&lt;62,0,'Combined Retirement'!$I$14)</f>
        <v>2345</v>
      </c>
      <c r="I458" s="25">
        <f>IF(C458&lt;62,0,'Combined Retirement'!$I$13)</f>
        <v>2420</v>
      </c>
      <c r="J458" s="25">
        <f t="shared" si="263"/>
        <v>8395.6297298201844</v>
      </c>
      <c r="K458" s="25">
        <f t="shared" si="264"/>
        <v>21655.303514578787</v>
      </c>
      <c r="L458" s="25"/>
      <c r="N458" s="25">
        <f>'Combined Retirement'!$C$18/12</f>
        <v>40940.569999999992</v>
      </c>
      <c r="O458" s="25">
        <f t="shared" si="265"/>
        <v>10889.636755601023</v>
      </c>
      <c r="P458" s="25">
        <f t="shared" si="266"/>
        <v>30050.93324439897</v>
      </c>
      <c r="Q458" s="25">
        <f t="array" aca="1" ref="Q458" ca="1">INDEX('Isaac 401k'!L:L,MATCH('Retirement Calculator'!A458,'Isaac 401k'!N:N,0),0)</f>
        <v>72126.377132063964</v>
      </c>
      <c r="R458" s="25">
        <f t="array" aca="1" ref="R458" ca="1">INDEX('Lorri 401b'!L:L,MATCH('Retirement Calculator'!A458,'Lorri 401b'!N:N,0),0)</f>
        <v>1355667.7241160171</v>
      </c>
      <c r="S458" s="25">
        <f t="shared" ca="1" si="267"/>
        <v>1427794.1012480811</v>
      </c>
    </row>
    <row r="459" spans="1:19" ht="15.75" customHeight="1" x14ac:dyDescent="0.3">
      <c r="A459" s="37">
        <v>64924</v>
      </c>
      <c r="B459" s="398">
        <f t="shared" ref="B459:C459" si="460">($A459-B$9)/365.25</f>
        <v>95.87405886379193</v>
      </c>
      <c r="C459" s="398">
        <f t="shared" si="460"/>
        <v>91.26351813826146</v>
      </c>
      <c r="E459" s="25">
        <f>IF(C459&gt;$B$7,0,'Combined Retirement'!$D$13/12)</f>
        <v>0</v>
      </c>
      <c r="F459" s="25">
        <f>IF(H459=0,'Combined Retirement'!$D$32,0)+'Combined Retirement'!$B$24</f>
        <v>2870.372285649099</v>
      </c>
      <c r="G459" s="25">
        <f>'Combined Retirement'!$C$24</f>
        <v>3254.2644699519233</v>
      </c>
      <c r="H459" s="25">
        <f>IF(B459&lt;62,0,'Combined Retirement'!$I$14)</f>
        <v>2345</v>
      </c>
      <c r="I459" s="25">
        <f>IF(C459&lt;62,0,'Combined Retirement'!$I$13)</f>
        <v>2420</v>
      </c>
      <c r="J459" s="25">
        <f t="shared" si="263"/>
        <v>8395.6297298201844</v>
      </c>
      <c r="K459" s="25">
        <f t="shared" si="264"/>
        <v>21655.303514578787</v>
      </c>
      <c r="L459" s="25"/>
      <c r="N459" s="25">
        <f>'Combined Retirement'!$C$18/12</f>
        <v>40940.569999999992</v>
      </c>
      <c r="O459" s="25">
        <f t="shared" si="265"/>
        <v>10889.636755601023</v>
      </c>
      <c r="P459" s="25">
        <f t="shared" si="266"/>
        <v>30050.93324439897</v>
      </c>
      <c r="Q459" s="25">
        <f t="array" aca="1" ref="Q459" ca="1">INDEX('Isaac 401k'!L:L,MATCH('Retirement Calculator'!A459,'Isaac 401k'!N:N,0),0)</f>
        <v>63996.292183086465</v>
      </c>
      <c r="R459" s="25">
        <f t="array" aca="1" ref="R459" ca="1">INDEX('Lorri 401b'!L:L,MATCH('Retirement Calculator'!A459,'Lorri 401b'!N:N,0),0)</f>
        <v>1339570.8056872776</v>
      </c>
      <c r="S459" s="25">
        <f t="shared" ca="1" si="267"/>
        <v>1403567.0978703641</v>
      </c>
    </row>
    <row r="460" spans="1:19" ht="15.75" customHeight="1" x14ac:dyDescent="0.3">
      <c r="A460" s="37">
        <v>64955</v>
      </c>
      <c r="B460" s="398">
        <f t="shared" ref="B460:C460" si="461">($A460-B$9)/365.25</f>
        <v>95.958932238193015</v>
      </c>
      <c r="C460" s="398">
        <f t="shared" si="461"/>
        <v>91.348391512662559</v>
      </c>
      <c r="E460" s="25">
        <f>IF(C460&gt;$B$7,0,'Combined Retirement'!$D$13/12)</f>
        <v>0</v>
      </c>
      <c r="F460" s="25">
        <f>IF(H460=0,'Combined Retirement'!$D$32,0)+'Combined Retirement'!$B$24</f>
        <v>2870.372285649099</v>
      </c>
      <c r="G460" s="25">
        <f>'Combined Retirement'!$C$24</f>
        <v>3254.2644699519233</v>
      </c>
      <c r="H460" s="25">
        <f>IF(B460&lt;62,0,'Combined Retirement'!$I$14)</f>
        <v>2345</v>
      </c>
      <c r="I460" s="25">
        <f>IF(C460&lt;62,0,'Combined Retirement'!$I$13)</f>
        <v>2420</v>
      </c>
      <c r="J460" s="25">
        <f t="shared" si="263"/>
        <v>8395.6297298201844</v>
      </c>
      <c r="K460" s="25">
        <f t="shared" si="264"/>
        <v>21655.303514578787</v>
      </c>
      <c r="L460" s="25"/>
      <c r="N460" s="25">
        <f>'Combined Retirement'!$C$18/12</f>
        <v>40940.569999999992</v>
      </c>
      <c r="O460" s="25">
        <f t="shared" si="265"/>
        <v>10889.636755601023</v>
      </c>
      <c r="P460" s="25">
        <f t="shared" si="266"/>
        <v>30050.93324439897</v>
      </c>
      <c r="Q460" s="25">
        <f t="array" aca="1" ref="Q460" ca="1">INDEX('Isaac 401k'!L:L,MATCH('Retirement Calculator'!A460,'Isaac 401k'!N:N,0),0)</f>
        <v>55832.331880154896</v>
      </c>
      <c r="R460" s="25">
        <f t="array" aca="1" ref="R460" ca="1">INDEX('Lorri 401b'!L:L,MATCH('Retirement Calculator'!A460,'Lorri 401b'!N:N,0),0)</f>
        <v>1323406.8167650849</v>
      </c>
      <c r="S460" s="25">
        <f t="shared" ca="1" si="267"/>
        <v>1379239.1486452396</v>
      </c>
    </row>
    <row r="461" spans="1:19" ht="15.75" customHeight="1" x14ac:dyDescent="0.3">
      <c r="A461" s="37">
        <v>64985</v>
      </c>
      <c r="B461" s="398">
        <f t="shared" ref="B461:C461" si="462">($A461-B$9)/365.25</f>
        <v>96.041067761806985</v>
      </c>
      <c r="C461" s="398">
        <f t="shared" si="462"/>
        <v>91.43052703627653</v>
      </c>
      <c r="E461" s="25">
        <f>IF(C461&gt;$B$7,0,'Combined Retirement'!$D$13/12)</f>
        <v>0</v>
      </c>
      <c r="F461" s="25">
        <f>IF(H461=0,'Combined Retirement'!$D$32,0)+'Combined Retirement'!$B$24</f>
        <v>2870.372285649099</v>
      </c>
      <c r="G461" s="25">
        <f>'Combined Retirement'!$C$24</f>
        <v>3254.2644699519233</v>
      </c>
      <c r="H461" s="25">
        <f>IF(B461&lt;62,0,'Combined Retirement'!$I$14)</f>
        <v>2345</v>
      </c>
      <c r="I461" s="25">
        <f>IF(C461&lt;62,0,'Combined Retirement'!$I$13)</f>
        <v>2420</v>
      </c>
      <c r="J461" s="25">
        <f t="shared" si="263"/>
        <v>8395.6297298201844</v>
      </c>
      <c r="K461" s="25">
        <f t="shared" si="264"/>
        <v>21655.303514578787</v>
      </c>
      <c r="L461" s="25"/>
      <c r="N461" s="25">
        <f>'Combined Retirement'!$C$18/12</f>
        <v>40940.569999999992</v>
      </c>
      <c r="O461" s="25">
        <f t="shared" si="265"/>
        <v>10889.636755601023</v>
      </c>
      <c r="P461" s="25">
        <f t="shared" si="266"/>
        <v>30050.93324439897</v>
      </c>
      <c r="Q461" s="25">
        <f t="array" aca="1" ref="Q461" ca="1">INDEX('Isaac 401k'!L:L,MATCH('Retirement Calculator'!A461,'Isaac 401k'!N:N,0),0)</f>
        <v>47634.35507596111</v>
      </c>
      <c r="R461" s="25">
        <f t="array" aca="1" ref="R461" ca="1">INDEX('Lorri 401b'!L:L,MATCH('Retirement Calculator'!A461,'Lorri 401b'!N:N,0),0)</f>
        <v>1307175.4778890498</v>
      </c>
      <c r="S461" s="25">
        <f t="shared" ca="1" si="267"/>
        <v>1354809.832965011</v>
      </c>
    </row>
    <row r="462" spans="1:19" ht="15.75" customHeight="1" x14ac:dyDescent="0.3">
      <c r="A462" s="37">
        <v>65016</v>
      </c>
      <c r="B462" s="398">
        <f t="shared" ref="B462:C462" si="463">($A462-B$9)/365.25</f>
        <v>96.12594113620807</v>
      </c>
      <c r="C462" s="398">
        <f t="shared" si="463"/>
        <v>91.515400410677614</v>
      </c>
      <c r="E462" s="25">
        <f>IF(C462&gt;$B$7,0,'Combined Retirement'!$D$13/12)</f>
        <v>0</v>
      </c>
      <c r="F462" s="25">
        <f>IF(H462=0,'Combined Retirement'!$D$32,0)+'Combined Retirement'!$B$24</f>
        <v>2870.372285649099</v>
      </c>
      <c r="G462" s="25">
        <f>'Combined Retirement'!$C$24</f>
        <v>3254.2644699519233</v>
      </c>
      <c r="H462" s="25">
        <f>IF(B462&lt;62,0,'Combined Retirement'!$I$14)</f>
        <v>2345</v>
      </c>
      <c r="I462" s="25">
        <f>IF(C462&lt;62,0,'Combined Retirement'!$I$13)</f>
        <v>2420</v>
      </c>
      <c r="J462" s="25">
        <f t="shared" si="263"/>
        <v>8395.6297298201844</v>
      </c>
      <c r="K462" s="25">
        <f t="shared" si="264"/>
        <v>21655.303514578787</v>
      </c>
      <c r="L462" s="25"/>
      <c r="N462" s="25">
        <f>'Combined Retirement'!$C$18/12</f>
        <v>40940.569999999992</v>
      </c>
      <c r="O462" s="25">
        <f t="shared" si="265"/>
        <v>10889.636755601023</v>
      </c>
      <c r="P462" s="25">
        <f t="shared" si="266"/>
        <v>30050.93324439897</v>
      </c>
      <c r="Q462" s="25">
        <f t="array" aca="1" ref="Q462" ca="1">INDEX('Isaac 401k'!L:L,MATCH('Retirement Calculator'!A462,'Isaac 401k'!N:N,0),0)</f>
        <v>39402.220035083184</v>
      </c>
      <c r="R462" s="25">
        <f t="array" aca="1" ref="R462" ca="1">INDEX('Lorri 401b'!L:L,MATCH('Retirement Calculator'!A462,'Lorri 401b'!N:N,0),0)</f>
        <v>1290876.5084343646</v>
      </c>
      <c r="S462" s="25">
        <f t="shared" ca="1" si="267"/>
        <v>1330278.7284694477</v>
      </c>
    </row>
    <row r="463" spans="1:19" ht="15.75" customHeight="1" x14ac:dyDescent="0.3">
      <c r="A463" s="37">
        <v>65047</v>
      </c>
      <c r="B463" s="398">
        <f t="shared" ref="B463:C463" si="464">($A463-B$9)/365.25</f>
        <v>96.210814510609168</v>
      </c>
      <c r="C463" s="398">
        <f t="shared" si="464"/>
        <v>91.600273785078713</v>
      </c>
      <c r="E463" s="25">
        <f>IF(C463&gt;$B$7,0,'Combined Retirement'!$D$13/12)</f>
        <v>0</v>
      </c>
      <c r="F463" s="25">
        <f>IF(H463=0,'Combined Retirement'!$D$32,0)+'Combined Retirement'!$B$24</f>
        <v>2870.372285649099</v>
      </c>
      <c r="G463" s="25">
        <f>'Combined Retirement'!$C$24</f>
        <v>3254.2644699519233</v>
      </c>
      <c r="H463" s="25">
        <f>IF(B463&lt;62,0,'Combined Retirement'!$I$14)</f>
        <v>2345</v>
      </c>
      <c r="I463" s="25">
        <f>IF(C463&lt;62,0,'Combined Retirement'!$I$13)</f>
        <v>2420</v>
      </c>
      <c r="J463" s="25">
        <f t="shared" si="263"/>
        <v>8395.6297298201844</v>
      </c>
      <c r="K463" s="25">
        <f t="shared" si="264"/>
        <v>21655.303514578787</v>
      </c>
      <c r="L463" s="25"/>
      <c r="N463" s="25">
        <f>'Combined Retirement'!$C$18/12</f>
        <v>40940.569999999992</v>
      </c>
      <c r="O463" s="25">
        <f t="shared" si="265"/>
        <v>10889.636755601023</v>
      </c>
      <c r="P463" s="25">
        <f t="shared" si="266"/>
        <v>30050.93324439897</v>
      </c>
      <c r="Q463" s="25">
        <f t="array" aca="1" ref="Q463" ca="1">INDEX('Isaac 401k'!L:L,MATCH('Retirement Calculator'!A463,'Isaac 401k'!N:N,0),0)</f>
        <v>31135.784431534932</v>
      </c>
      <c r="R463" s="25">
        <f t="array" aca="1" ref="R463" ca="1">INDEX('Lorri 401b'!L:L,MATCH('Retirement Calculator'!A463,'Lorri 401b'!N:N,0),0)</f>
        <v>1274509.6266069515</v>
      </c>
      <c r="S463" s="25">
        <f t="shared" ca="1" si="267"/>
        <v>1305645.4110384863</v>
      </c>
    </row>
    <row r="464" spans="1:19" ht="15.75" customHeight="1" x14ac:dyDescent="0.3">
      <c r="A464" s="37">
        <v>65075</v>
      </c>
      <c r="B464" s="398">
        <f t="shared" ref="B464:C464" si="465">($A464-B$9)/365.25</f>
        <v>96.28747433264887</v>
      </c>
      <c r="C464" s="398">
        <f t="shared" si="465"/>
        <v>91.676933607118414</v>
      </c>
      <c r="E464" s="25">
        <f>IF(C464&gt;$B$7,0,'Combined Retirement'!$D$13/12)</f>
        <v>0</v>
      </c>
      <c r="F464" s="25">
        <f>IF(H464=0,'Combined Retirement'!$D$32,0)+'Combined Retirement'!$B$24</f>
        <v>2870.372285649099</v>
      </c>
      <c r="G464" s="25">
        <f>'Combined Retirement'!$C$24</f>
        <v>3254.2644699519233</v>
      </c>
      <c r="H464" s="25">
        <f>IF(B464&lt;62,0,'Combined Retirement'!$I$14)</f>
        <v>2345</v>
      </c>
      <c r="I464" s="25">
        <f>IF(C464&lt;62,0,'Combined Retirement'!$I$13)</f>
        <v>2420</v>
      </c>
      <c r="J464" s="25">
        <f t="shared" si="263"/>
        <v>8395.6297298201844</v>
      </c>
      <c r="K464" s="25">
        <f t="shared" si="264"/>
        <v>21655.303514578787</v>
      </c>
      <c r="L464" s="25"/>
      <c r="N464" s="25">
        <f>'Combined Retirement'!$C$18/12</f>
        <v>40940.569999999992</v>
      </c>
      <c r="O464" s="25">
        <f t="shared" si="265"/>
        <v>10889.636755601023</v>
      </c>
      <c r="P464" s="25">
        <f t="shared" si="266"/>
        <v>30050.93324439897</v>
      </c>
      <c r="Q464" s="25">
        <f t="array" aca="1" ref="Q464" ca="1">INDEX('Isaac 401k'!L:L,MATCH('Retirement Calculator'!A464,'Isaac 401k'!N:N,0),0)</f>
        <v>22834.905346305222</v>
      </c>
      <c r="R464" s="25">
        <f t="array" aca="1" ref="R464" ca="1">INDEX('Lorri 401b'!L:L,MATCH('Retirement Calculator'!A464,'Lorri 401b'!N:N,0),0)</f>
        <v>1258074.5494385909</v>
      </c>
      <c r="S464" s="25">
        <f t="shared" ca="1" si="267"/>
        <v>1280909.454784896</v>
      </c>
    </row>
    <row r="465" spans="1:19" ht="15.75" customHeight="1" x14ac:dyDescent="0.3">
      <c r="A465" s="37">
        <v>65106</v>
      </c>
      <c r="B465" s="398">
        <f t="shared" ref="B465:C465" si="466">($A465-B$9)/365.25</f>
        <v>96.372347707049968</v>
      </c>
      <c r="C465" s="398">
        <f t="shared" si="466"/>
        <v>91.761806981519513</v>
      </c>
      <c r="E465" s="25">
        <f>IF(C465&gt;$B$7,0,'Combined Retirement'!$D$13/12)</f>
        <v>0</v>
      </c>
      <c r="F465" s="25">
        <f>IF(H465=0,'Combined Retirement'!$D$32,0)+'Combined Retirement'!$B$24</f>
        <v>2870.372285649099</v>
      </c>
      <c r="G465" s="25">
        <f>'Combined Retirement'!$C$24</f>
        <v>3254.2644699519233</v>
      </c>
      <c r="H465" s="25">
        <f>IF(B465&lt;62,0,'Combined Retirement'!$I$14)</f>
        <v>2345</v>
      </c>
      <c r="I465" s="25">
        <f>IF(C465&lt;62,0,'Combined Retirement'!$I$13)</f>
        <v>2420</v>
      </c>
      <c r="J465" s="25">
        <f t="shared" si="263"/>
        <v>8395.6297298201844</v>
      </c>
      <c r="K465" s="25">
        <f t="shared" si="264"/>
        <v>21655.303514578787</v>
      </c>
      <c r="L465" s="25"/>
      <c r="N465" s="25">
        <f>'Combined Retirement'!$C$18/12</f>
        <v>40940.569999999992</v>
      </c>
      <c r="O465" s="25">
        <f t="shared" si="265"/>
        <v>10889.636755601023</v>
      </c>
      <c r="P465" s="25">
        <f t="shared" si="266"/>
        <v>30050.93324439897</v>
      </c>
      <c r="Q465" s="25">
        <f t="array" aca="1" ref="Q465" ca="1">INDEX('Isaac 401k'!L:L,MATCH('Retirement Calculator'!A465,'Isaac 401k'!N:N,0),0)</f>
        <v>14499.43926488706</v>
      </c>
      <c r="R465" s="25">
        <f t="array" aca="1" ref="R465" ca="1">INDEX('Lorri 401b'!L:L,MATCH('Retirement Calculator'!A465,'Lorri 401b'!N:N,0),0)</f>
        <v>1241570.9927820289</v>
      </c>
      <c r="S465" s="25">
        <f t="shared" ca="1" si="267"/>
        <v>1256070.4320469159</v>
      </c>
    </row>
    <row r="466" spans="1:19" ht="15.75" customHeight="1" x14ac:dyDescent="0.3">
      <c r="A466" s="37">
        <v>65136</v>
      </c>
      <c r="B466" s="398">
        <f t="shared" ref="B466:C466" si="467">($A466-B$9)/365.25</f>
        <v>96.454483230663925</v>
      </c>
      <c r="C466" s="398">
        <f t="shared" si="467"/>
        <v>91.843942505133469</v>
      </c>
      <c r="E466" s="25">
        <f>IF(C466&gt;$B$7,0,'Combined Retirement'!$D$13/12)</f>
        <v>0</v>
      </c>
      <c r="F466" s="25">
        <f>IF(H466=0,'Combined Retirement'!$D$32,0)+'Combined Retirement'!$B$24</f>
        <v>2870.372285649099</v>
      </c>
      <c r="G466" s="25">
        <f>'Combined Retirement'!$C$24</f>
        <v>3254.2644699519233</v>
      </c>
      <c r="H466" s="25">
        <f>IF(B466&lt;62,0,'Combined Retirement'!$I$14)</f>
        <v>2345</v>
      </c>
      <c r="I466" s="25">
        <f>IF(C466&lt;62,0,'Combined Retirement'!$I$13)</f>
        <v>2420</v>
      </c>
      <c r="J466" s="25">
        <f t="shared" si="263"/>
        <v>8395.6297298201844</v>
      </c>
      <c r="K466" s="25">
        <f t="shared" si="264"/>
        <v>21655.303514578787</v>
      </c>
      <c r="L466" s="25"/>
      <c r="N466" s="25">
        <f>'Combined Retirement'!$C$18/12</f>
        <v>40940.569999999992</v>
      </c>
      <c r="O466" s="25">
        <f t="shared" si="265"/>
        <v>10889.636755601023</v>
      </c>
      <c r="P466" s="25">
        <f t="shared" si="266"/>
        <v>30050.93324439897</v>
      </c>
      <c r="Q466" s="25">
        <f t="array" aca="1" ref="Q466" ca="1">INDEX('Isaac 401k'!L:L,MATCH('Retirement Calculator'!A466,'Isaac 401k'!N:N,0),0)</f>
        <v>6129.2420747963206</v>
      </c>
      <c r="R466" s="25">
        <f t="array" aca="1" ref="R466" ca="1">INDEX('Lorri 401b'!L:L,MATCH('Retirement Calculator'!A466,'Lorri 401b'!N:N,0),0)</f>
        <v>1224998.6713060644</v>
      </c>
      <c r="S466" s="25">
        <f t="shared" ca="1" si="267"/>
        <v>1231127.9133808606</v>
      </c>
    </row>
    <row r="467" spans="1:19" ht="15.75" customHeight="1" x14ac:dyDescent="0.3">
      <c r="A467" s="37">
        <v>65167</v>
      </c>
      <c r="B467" s="398">
        <f t="shared" ref="B467:C467" si="468">($A467-B$9)/365.25</f>
        <v>96.539356605065024</v>
      </c>
      <c r="C467" s="398">
        <f t="shared" si="468"/>
        <v>91.928815879534568</v>
      </c>
      <c r="E467" s="25">
        <f>IF(C467&gt;$B$7,0,'Combined Retirement'!$D$13/12)</f>
        <v>0</v>
      </c>
      <c r="F467" s="25">
        <f>IF(H467=0,'Combined Retirement'!$D$32,0)+'Combined Retirement'!$B$24</f>
        <v>2870.372285649099</v>
      </c>
      <c r="G467" s="25">
        <f>'Combined Retirement'!$C$24</f>
        <v>3254.2644699519233</v>
      </c>
      <c r="H467" s="25">
        <f>IF(B467&lt;62,0,'Combined Retirement'!$I$14)</f>
        <v>2345</v>
      </c>
      <c r="I467" s="25">
        <f>IF(C467&lt;62,0,'Combined Retirement'!$I$13)</f>
        <v>2420</v>
      </c>
      <c r="J467" s="25">
        <f t="shared" si="263"/>
        <v>8395.6297298201844</v>
      </c>
      <c r="K467" s="25">
        <f t="shared" si="264"/>
        <v>21655.303514578787</v>
      </c>
      <c r="L467" s="25"/>
      <c r="N467" s="25">
        <f>'Combined Retirement'!$C$18/12</f>
        <v>40940.569999999992</v>
      </c>
      <c r="O467" s="25">
        <f t="shared" si="265"/>
        <v>10889.636755601023</v>
      </c>
      <c r="P467" s="25">
        <f t="shared" si="266"/>
        <v>30050.93324439897</v>
      </c>
      <c r="Q467" s="25">
        <f t="array" aca="1" ref="Q467" ca="1">INDEX('Isaac 401k'!L:L,MATCH('Retirement Calculator'!A467,'Isaac 401k'!N:N,0),0)</f>
        <v>-2275.8309369197964</v>
      </c>
      <c r="R467" s="25">
        <f t="array" aca="1" ref="R467" ca="1">INDEX('Lorri 401b'!L:L,MATCH('Retirement Calculator'!A467,'Lorri 401b'!N:N,0),0)</f>
        <v>1208357.2984906167</v>
      </c>
      <c r="S467" s="25">
        <f t="shared" ca="1" si="267"/>
        <v>1206081.4675536968</v>
      </c>
    </row>
    <row r="468" spans="1:19" ht="15.75" customHeight="1" x14ac:dyDescent="0.3">
      <c r="A468" s="37">
        <v>65197</v>
      </c>
      <c r="B468" s="398">
        <f t="shared" ref="B468:C468" si="469">($A468-B$9)/365.25</f>
        <v>96.62149212867898</v>
      </c>
      <c r="C468" s="398">
        <f t="shared" si="469"/>
        <v>92.010951403148525</v>
      </c>
      <c r="E468" s="25">
        <f>IF(C468&gt;$B$7,0,'Combined Retirement'!$D$13/12)</f>
        <v>0</v>
      </c>
      <c r="F468" s="25">
        <f>IF(H468=0,'Combined Retirement'!$D$32,0)+'Combined Retirement'!$B$24</f>
        <v>2870.372285649099</v>
      </c>
      <c r="G468" s="25">
        <f>'Combined Retirement'!$C$24</f>
        <v>3254.2644699519233</v>
      </c>
      <c r="H468" s="25">
        <f>IF(B468&lt;62,0,'Combined Retirement'!$I$14)</f>
        <v>2345</v>
      </c>
      <c r="I468" s="25">
        <f>IF(C468&lt;62,0,'Combined Retirement'!$I$13)</f>
        <v>2420</v>
      </c>
      <c r="J468" s="25">
        <f t="shared" si="263"/>
        <v>8395.6297298201844</v>
      </c>
      <c r="K468" s="25">
        <f t="shared" si="264"/>
        <v>21655.303514578787</v>
      </c>
      <c r="L468" s="25"/>
      <c r="N468" s="25">
        <f>'Combined Retirement'!$C$18/12</f>
        <v>40940.569999999992</v>
      </c>
      <c r="O468" s="25">
        <f t="shared" si="265"/>
        <v>10889.636755601023</v>
      </c>
      <c r="P468" s="25">
        <f t="shared" si="266"/>
        <v>30050.93324439897</v>
      </c>
      <c r="Q468" s="25">
        <f t="array" aca="1" ref="Q468" ca="1">INDEX('Isaac 401k'!L:L,MATCH('Retirement Calculator'!A468,'Isaac 401k'!N:N,0),0)</f>
        <v>-10715.92508618473</v>
      </c>
      <c r="R468" s="25">
        <f t="array" aca="1" ref="R468" ca="1">INDEX('Lorri 401b'!L:L,MATCH('Retirement Calculator'!A468,'Lorri 401b'!N:N,0),0)</f>
        <v>1191646.5866217713</v>
      </c>
      <c r="S468" s="25">
        <f t="shared" ca="1" si="267"/>
        <v>1180930.6615355867</v>
      </c>
    </row>
    <row r="469" spans="1:19" ht="15.75" customHeight="1" x14ac:dyDescent="0.3">
      <c r="A469" s="37">
        <v>65228</v>
      </c>
      <c r="B469" s="398">
        <f t="shared" ref="B469:C469" si="470">($A469-B$9)/365.25</f>
        <v>96.706365503080079</v>
      </c>
      <c r="C469" s="398">
        <f t="shared" si="470"/>
        <v>92.095824777549623</v>
      </c>
      <c r="E469" s="25">
        <f>IF(C469&gt;$B$7,0,'Combined Retirement'!$D$13/12)</f>
        <v>0</v>
      </c>
      <c r="F469" s="25">
        <f>IF(H469=0,'Combined Retirement'!$D$32,0)+'Combined Retirement'!$B$24</f>
        <v>2870.372285649099</v>
      </c>
      <c r="G469" s="25">
        <f>'Combined Retirement'!$C$24</f>
        <v>3254.2644699519233</v>
      </c>
      <c r="H469" s="25">
        <f>IF(B469&lt;62,0,'Combined Retirement'!$I$14)</f>
        <v>2345</v>
      </c>
      <c r="I469" s="25">
        <f>IF(C469&lt;62,0,'Combined Retirement'!$I$13)</f>
        <v>2420</v>
      </c>
      <c r="J469" s="25">
        <f t="shared" si="263"/>
        <v>8395.6297298201844</v>
      </c>
      <c r="K469" s="25">
        <f t="shared" si="264"/>
        <v>21655.303514578787</v>
      </c>
      <c r="L469" s="25"/>
      <c r="N469" s="25">
        <f>'Combined Retirement'!$C$18/12</f>
        <v>40940.569999999992</v>
      </c>
      <c r="O469" s="25">
        <f t="shared" si="265"/>
        <v>10889.636755601023</v>
      </c>
      <c r="P469" s="25">
        <f t="shared" si="266"/>
        <v>30050.93324439897</v>
      </c>
      <c r="Q469" s="25">
        <f t="array" aca="1" ref="Q469" ca="1">INDEX('Isaac 401k'!L:L,MATCH('Retirement Calculator'!A469,'Isaac 401k'!N:N,0),0)</f>
        <v>-19191.186294404935</v>
      </c>
      <c r="R469" s="25">
        <f t="array" aca="1" ref="R469" ca="1">INDEX('Lorri 401b'!L:L,MATCH('Retirement Calculator'!A469,'Lorri 401b'!N:N,0),0)</f>
        <v>1174866.2467868058</v>
      </c>
      <c r="S469" s="25">
        <f t="shared" ca="1" si="267"/>
        <v>1155675.0604924008</v>
      </c>
    </row>
    <row r="470" spans="1:19" ht="15.75" customHeight="1" x14ac:dyDescent="0.3">
      <c r="A470" s="37">
        <v>65259</v>
      </c>
      <c r="B470" s="398">
        <f t="shared" ref="B470:C470" si="471">($A470-B$9)/365.25</f>
        <v>96.791238877481177</v>
      </c>
      <c r="C470" s="398">
        <f t="shared" si="471"/>
        <v>92.180698151950722</v>
      </c>
      <c r="E470" s="25">
        <f>IF(C470&gt;$B$7,0,'Combined Retirement'!$D$13/12)</f>
        <v>0</v>
      </c>
      <c r="F470" s="25">
        <f>IF(H470=0,'Combined Retirement'!$D$32,0)+'Combined Retirement'!$B$24</f>
        <v>2870.372285649099</v>
      </c>
      <c r="G470" s="25">
        <f>'Combined Retirement'!$C$24</f>
        <v>3254.2644699519233</v>
      </c>
      <c r="H470" s="25">
        <f>IF(B470&lt;62,0,'Combined Retirement'!$I$14)</f>
        <v>2345</v>
      </c>
      <c r="I470" s="25">
        <f>IF(C470&lt;62,0,'Combined Retirement'!$I$13)</f>
        <v>2420</v>
      </c>
      <c r="J470" s="25">
        <f t="shared" si="263"/>
        <v>8395.6297298201844</v>
      </c>
      <c r="K470" s="25">
        <f t="shared" si="264"/>
        <v>21655.303514578787</v>
      </c>
      <c r="L470" s="25"/>
      <c r="N470" s="25">
        <f>'Combined Retirement'!$C$18/12</f>
        <v>40940.569999999992</v>
      </c>
      <c r="O470" s="25">
        <f t="shared" si="265"/>
        <v>10889.636755601023</v>
      </c>
      <c r="P470" s="25">
        <f t="shared" si="266"/>
        <v>30050.93324439897</v>
      </c>
      <c r="Q470" s="25">
        <f t="array" aca="1" ref="Q470" ca="1">INDEX('Isaac 401k'!L:L,MATCH('Retirement Calculator'!A470,'Isaac 401k'!N:N,0),0)</f>
        <v>-27701.761090992724</v>
      </c>
      <c r="R470" s="25">
        <f t="array" aca="1" ref="R470" ca="1">INDEX('Lorri 401b'!L:L,MATCH('Retirement Calculator'!A470,'Lorri 401b'!N:N,0),0)</f>
        <v>1158015.9888691946</v>
      </c>
      <c r="S470" s="25">
        <f t="shared" ca="1" si="267"/>
        <v>1130314.2277782019</v>
      </c>
    </row>
    <row r="471" spans="1:19" ht="15.75" customHeight="1" x14ac:dyDescent="0.3">
      <c r="A471" s="37">
        <v>65289</v>
      </c>
      <c r="B471" s="398">
        <f t="shared" ref="B471:C471" si="472">($A471-B$9)/365.25</f>
        <v>96.873374401095134</v>
      </c>
      <c r="C471" s="398">
        <f t="shared" si="472"/>
        <v>92.262833675564679</v>
      </c>
      <c r="E471" s="25">
        <f>IF(C471&gt;$B$7,0,'Combined Retirement'!$D$13/12)</f>
        <v>0</v>
      </c>
      <c r="F471" s="25">
        <f>IF(H471=0,'Combined Retirement'!$D$32,0)+'Combined Retirement'!$B$24</f>
        <v>2870.372285649099</v>
      </c>
      <c r="G471" s="25">
        <f>'Combined Retirement'!$C$24</f>
        <v>3254.2644699519233</v>
      </c>
      <c r="H471" s="25">
        <f>IF(B471&lt;62,0,'Combined Retirement'!$I$14)</f>
        <v>2345</v>
      </c>
      <c r="I471" s="25">
        <f>IF(C471&lt;62,0,'Combined Retirement'!$I$13)</f>
        <v>2420</v>
      </c>
      <c r="J471" s="25">
        <f t="shared" si="263"/>
        <v>8395.6297298201844</v>
      </c>
      <c r="K471" s="25">
        <f t="shared" si="264"/>
        <v>21655.303514578787</v>
      </c>
      <c r="L471" s="25"/>
      <c r="N471" s="25">
        <f>'Combined Retirement'!$C$18/12</f>
        <v>40940.569999999992</v>
      </c>
      <c r="O471" s="25">
        <f t="shared" si="265"/>
        <v>10889.636755601023</v>
      </c>
      <c r="P471" s="25">
        <f t="shared" si="266"/>
        <v>30050.93324439897</v>
      </c>
      <c r="Q471" s="25">
        <f t="array" aca="1" ref="Q471" ca="1">INDEX('Isaac 401k'!L:L,MATCH('Retirement Calculator'!A471,'Isaac 401k'!N:N,0),0)</f>
        <v>-36247.796615899628</v>
      </c>
      <c r="R471" s="25">
        <f t="array" aca="1" ref="R471" ca="1">INDEX('Lorri 401b'!L:L,MATCH('Retirement Calculator'!A471,'Lorri 401b'!N:N,0),0)</f>
        <v>1141095.5215435934</v>
      </c>
      <c r="S471" s="25">
        <f t="shared" ca="1" si="267"/>
        <v>1104847.7249276938</v>
      </c>
    </row>
    <row r="472" spans="1:19" ht="15.75" customHeight="1" x14ac:dyDescent="0.3">
      <c r="A472" s="37">
        <v>65320</v>
      </c>
      <c r="B472" s="398">
        <f t="shared" ref="B472:C472" si="473">($A472-B$9)/365.25</f>
        <v>96.958247775496233</v>
      </c>
      <c r="C472" s="398">
        <f t="shared" si="473"/>
        <v>92.347707049965777</v>
      </c>
      <c r="E472" s="25">
        <f>IF(C472&gt;$B$7,0,'Combined Retirement'!$D$13/12)</f>
        <v>0</v>
      </c>
      <c r="F472" s="25">
        <f>IF(H472=0,'Combined Retirement'!$D$32,0)+'Combined Retirement'!$B$24</f>
        <v>2870.372285649099</v>
      </c>
      <c r="G472" s="25">
        <f>'Combined Retirement'!$C$24</f>
        <v>3254.2644699519233</v>
      </c>
      <c r="H472" s="25">
        <f>IF(B472&lt;62,0,'Combined Retirement'!$I$14)</f>
        <v>2345</v>
      </c>
      <c r="I472" s="25">
        <f>IF(C472&lt;62,0,'Combined Retirement'!$I$13)</f>
        <v>2420</v>
      </c>
      <c r="J472" s="25">
        <f t="shared" si="263"/>
        <v>8395.6297298201844</v>
      </c>
      <c r="K472" s="25">
        <f t="shared" si="264"/>
        <v>21655.303514578787</v>
      </c>
      <c r="L472" s="25"/>
      <c r="N472" s="25">
        <f>'Combined Retirement'!$C$18/12</f>
        <v>40940.569999999992</v>
      </c>
      <c r="O472" s="25">
        <f t="shared" si="265"/>
        <v>10889.636755601023</v>
      </c>
      <c r="P472" s="25">
        <f t="shared" si="266"/>
        <v>30050.93324439897</v>
      </c>
      <c r="Q472" s="25">
        <f t="array" aca="1" ref="Q472" ca="1">INDEX('Isaac 401k'!L:L,MATCH('Retirement Calculator'!A472,'Isaac 401k'!N:N,0),0)</f>
        <v>-44829.440622160313</v>
      </c>
      <c r="R472" s="25">
        <f t="array" aca="1" ref="R472" ca="1">INDEX('Lorri 401b'!L:L,MATCH('Retirement Calculator'!A472,'Lorri 401b'!N:N,0),0)</f>
        <v>1124104.5522708022</v>
      </c>
      <c r="S472" s="25">
        <f t="shared" ca="1" si="267"/>
        <v>1079275.111648642</v>
      </c>
    </row>
    <row r="473" spans="1:19" ht="15.75" customHeight="1" x14ac:dyDescent="0.3">
      <c r="A473" s="37">
        <v>65350</v>
      </c>
      <c r="B473" s="398">
        <f t="shared" ref="B473:C473" si="474">($A473-B$9)/365.25</f>
        <v>97.040383299110204</v>
      </c>
      <c r="C473" s="398">
        <f t="shared" si="474"/>
        <v>92.429842573579734</v>
      </c>
      <c r="E473" s="25">
        <f>IF(C473&gt;$B$7,0,'Combined Retirement'!$D$13/12)</f>
        <v>0</v>
      </c>
      <c r="F473" s="25">
        <f>IF(H473=0,'Combined Retirement'!$D$32,0)+'Combined Retirement'!$B$24</f>
        <v>2870.372285649099</v>
      </c>
      <c r="G473" s="25">
        <f>'Combined Retirement'!$C$24</f>
        <v>3254.2644699519233</v>
      </c>
      <c r="H473" s="25">
        <f>IF(B473&lt;62,0,'Combined Retirement'!$I$14)</f>
        <v>2345</v>
      </c>
      <c r="I473" s="25">
        <f>IF(C473&lt;62,0,'Combined Retirement'!$I$13)</f>
        <v>2420</v>
      </c>
      <c r="J473" s="25">
        <f t="shared" si="263"/>
        <v>8395.6297298201844</v>
      </c>
      <c r="K473" s="25">
        <f t="shared" si="264"/>
        <v>21655.303514578787</v>
      </c>
      <c r="L473" s="25"/>
      <c r="N473" s="25">
        <f>'Combined Retirement'!$C$18/12</f>
        <v>40940.569999999992</v>
      </c>
      <c r="O473" s="25">
        <f t="shared" si="265"/>
        <v>10889.636755601023</v>
      </c>
      <c r="P473" s="25">
        <f t="shared" si="266"/>
        <v>30050.93324439897</v>
      </c>
      <c r="Q473" s="25">
        <f t="array" aca="1" ref="Q473" ca="1">INDEX('Isaac 401k'!L:L,MATCH('Retirement Calculator'!A473,'Isaac 401k'!N:N,0),0)</f>
        <v>-53446.841478447081</v>
      </c>
      <c r="R473" s="25">
        <f t="array" aca="1" ref="R473" ca="1">INDEX('Lorri 401b'!L:L,MATCH('Retirement Calculator'!A473,'Lorri 401b'!N:N,0),0)</f>
        <v>1107042.7872927077</v>
      </c>
      <c r="S473" s="25">
        <f t="shared" ca="1" si="267"/>
        <v>1053595.9458142607</v>
      </c>
    </row>
    <row r="474" spans="1:19" ht="15.75" customHeight="1" x14ac:dyDescent="0.3">
      <c r="A474" s="37">
        <v>65381</v>
      </c>
      <c r="B474" s="398">
        <f t="shared" ref="B474:C474" si="475">($A474-B$9)/365.25</f>
        <v>97.125256673511288</v>
      </c>
      <c r="C474" s="398">
        <f t="shared" si="475"/>
        <v>92.514715947980832</v>
      </c>
      <c r="E474" s="25">
        <f>IF(C474&gt;$B$7,0,'Combined Retirement'!$D$13/12)</f>
        <v>0</v>
      </c>
      <c r="F474" s="25">
        <f>IF(H474=0,'Combined Retirement'!$D$32,0)+'Combined Retirement'!$B$24</f>
        <v>2870.372285649099</v>
      </c>
      <c r="G474" s="25">
        <f>'Combined Retirement'!$C$24</f>
        <v>3254.2644699519233</v>
      </c>
      <c r="H474" s="25">
        <f>IF(B474&lt;62,0,'Combined Retirement'!$I$14)</f>
        <v>2345</v>
      </c>
      <c r="I474" s="25">
        <f>IF(C474&lt;62,0,'Combined Retirement'!$I$13)</f>
        <v>2420</v>
      </c>
      <c r="J474" s="25">
        <f t="shared" si="263"/>
        <v>8395.6297298201844</v>
      </c>
      <c r="K474" s="25">
        <f t="shared" si="264"/>
        <v>21655.303514578787</v>
      </c>
      <c r="L474" s="25"/>
      <c r="N474" s="25">
        <f>'Combined Retirement'!$C$18/12</f>
        <v>40940.569999999992</v>
      </c>
      <c r="O474" s="25">
        <f t="shared" si="265"/>
        <v>10889.636755601023</v>
      </c>
      <c r="P474" s="25">
        <f t="shared" si="266"/>
        <v>30050.93324439897</v>
      </c>
      <c r="Q474" s="25">
        <f t="array" aca="1" ref="Q474" ca="1">INDEX('Isaac 401k'!L:L,MATCH('Retirement Calculator'!A474,'Isaac 401k'!N:N,0),0)</f>
        <v>-62100.148171635046</v>
      </c>
      <c r="R474" s="25">
        <f t="array" aca="1" ref="R474" ca="1">INDEX('Lorri 401b'!L:L,MATCH('Retirement Calculator'!A474,'Lorri 401b'!N:N,0),0)</f>
        <v>1089909.9316272044</v>
      </c>
      <c r="S474" s="25">
        <f t="shared" ca="1" si="267"/>
        <v>1027809.7834555694</v>
      </c>
    </row>
    <row r="475" spans="1:19" ht="15.75" customHeight="1" x14ac:dyDescent="0.3">
      <c r="A475" s="37">
        <v>65412</v>
      </c>
      <c r="B475" s="398">
        <f t="shared" ref="B475:C475" si="476">($A475-B$9)/365.25</f>
        <v>97.210130047912386</v>
      </c>
      <c r="C475" s="398">
        <f t="shared" si="476"/>
        <v>92.599589322381931</v>
      </c>
      <c r="E475" s="25">
        <f>IF(C475&gt;$B$7,0,'Combined Retirement'!$D$13/12)</f>
        <v>0</v>
      </c>
      <c r="F475" s="25">
        <f>IF(H475=0,'Combined Retirement'!$D$32,0)+'Combined Retirement'!$B$24</f>
        <v>2870.372285649099</v>
      </c>
      <c r="G475" s="25">
        <f>'Combined Retirement'!$C$24</f>
        <v>3254.2644699519233</v>
      </c>
      <c r="H475" s="25">
        <f>IF(B475&lt;62,0,'Combined Retirement'!$I$14)</f>
        <v>2345</v>
      </c>
      <c r="I475" s="25">
        <f>IF(C475&lt;62,0,'Combined Retirement'!$I$13)</f>
        <v>2420</v>
      </c>
      <c r="J475" s="25">
        <f t="shared" si="263"/>
        <v>8395.6297298201844</v>
      </c>
      <c r="K475" s="25">
        <f t="shared" si="264"/>
        <v>21655.303514578787</v>
      </c>
      <c r="L475" s="25"/>
      <c r="N475" s="25">
        <f>'Combined Retirement'!$C$18/12</f>
        <v>40940.569999999992</v>
      </c>
      <c r="O475" s="25">
        <f t="shared" si="265"/>
        <v>10889.636755601023</v>
      </c>
      <c r="P475" s="25">
        <f t="shared" si="266"/>
        <v>30050.93324439897</v>
      </c>
      <c r="Q475" s="25">
        <f t="array" aca="1" ref="Q475" ca="1">INDEX('Isaac 401k'!L:L,MATCH('Retirement Calculator'!A475,'Isaac 401k'!N:N,0),0)</f>
        <v>-70789.510309377962</v>
      </c>
      <c r="R475" s="25">
        <f t="array" aca="1" ref="R475" ca="1">INDEX('Lorri 401b'!L:L,MATCH('Retirement Calculator'!A475,'Lorri 401b'!N:N,0),0)</f>
        <v>1072705.6890630948</v>
      </c>
      <c r="S475" s="25">
        <f t="shared" ca="1" si="267"/>
        <v>1001916.1787537169</v>
      </c>
    </row>
    <row r="476" spans="1:19" ht="15.75" customHeight="1" x14ac:dyDescent="0.3">
      <c r="A476" s="37">
        <v>65440</v>
      </c>
      <c r="B476" s="398">
        <f t="shared" ref="B476:C476" si="477">($A476-B$9)/365.25</f>
        <v>97.286789869952088</v>
      </c>
      <c r="C476" s="398">
        <f t="shared" si="477"/>
        <v>92.676249144421632</v>
      </c>
      <c r="E476" s="25">
        <f>IF(C476&gt;$B$7,0,'Combined Retirement'!$D$13/12)</f>
        <v>0</v>
      </c>
      <c r="F476" s="25">
        <f>IF(H476=0,'Combined Retirement'!$D$32,0)+'Combined Retirement'!$B$24</f>
        <v>2870.372285649099</v>
      </c>
      <c r="G476" s="25">
        <f>'Combined Retirement'!$C$24</f>
        <v>3254.2644699519233</v>
      </c>
      <c r="H476" s="25">
        <f>IF(B476&lt;62,0,'Combined Retirement'!$I$14)</f>
        <v>2345</v>
      </c>
      <c r="I476" s="25">
        <f>IF(C476&lt;62,0,'Combined Retirement'!$I$13)</f>
        <v>2420</v>
      </c>
      <c r="J476" s="25">
        <f t="shared" si="263"/>
        <v>8395.6297298201844</v>
      </c>
      <c r="K476" s="25">
        <f t="shared" si="264"/>
        <v>21655.303514578787</v>
      </c>
      <c r="L476" s="25"/>
      <c r="N476" s="25">
        <f>'Combined Retirement'!$C$18/12</f>
        <v>40940.569999999992</v>
      </c>
      <c r="O476" s="25">
        <f t="shared" si="265"/>
        <v>10889.636755601023</v>
      </c>
      <c r="P476" s="25">
        <f t="shared" si="266"/>
        <v>30050.93324439897</v>
      </c>
      <c r="Q476" s="25">
        <f t="array" aca="1" ref="Q476" ca="1">INDEX('Isaac 401k'!L:L,MATCH('Retirement Calculator'!A476,'Isaac 401k'!N:N,0),0)</f>
        <v>-79515.078122694802</v>
      </c>
      <c r="R476" s="25">
        <f t="array" aca="1" ref="R476" ca="1">INDEX('Lorri 401b'!L:L,MATCH('Retirement Calculator'!A476,'Lorri 401b'!N:N,0),0)</f>
        <v>1055429.762154968</v>
      </c>
      <c r="S476" s="25">
        <f t="shared" ca="1" si="267"/>
        <v>975914.68403227325</v>
      </c>
    </row>
    <row r="477" spans="1:19" ht="15.75" customHeight="1" x14ac:dyDescent="0.3">
      <c r="A477" s="37">
        <v>65471</v>
      </c>
      <c r="B477" s="398">
        <f t="shared" ref="B477:C477" si="478">($A477-B$9)/365.25</f>
        <v>97.371663244353186</v>
      </c>
      <c r="C477" s="398">
        <f t="shared" si="478"/>
        <v>92.761122518822731</v>
      </c>
      <c r="E477" s="25">
        <f>IF(C477&gt;$B$7,0,'Combined Retirement'!$D$13/12)</f>
        <v>0</v>
      </c>
      <c r="F477" s="25">
        <f>IF(H477=0,'Combined Retirement'!$D$32,0)+'Combined Retirement'!$B$24</f>
        <v>2870.372285649099</v>
      </c>
      <c r="G477" s="25">
        <f>'Combined Retirement'!$C$24</f>
        <v>3254.2644699519233</v>
      </c>
      <c r="H477" s="25">
        <f>IF(B477&lt;62,0,'Combined Retirement'!$I$14)</f>
        <v>2345</v>
      </c>
      <c r="I477" s="25">
        <f>IF(C477&lt;62,0,'Combined Retirement'!$I$13)</f>
        <v>2420</v>
      </c>
      <c r="J477" s="25">
        <f t="shared" si="263"/>
        <v>8395.6297298201844</v>
      </c>
      <c r="K477" s="25">
        <f t="shared" si="264"/>
        <v>21655.303514578787</v>
      </c>
      <c r="L477" s="25"/>
      <c r="N477" s="25">
        <f>'Combined Retirement'!$C$18/12</f>
        <v>40940.569999999992</v>
      </c>
      <c r="O477" s="25">
        <f t="shared" si="265"/>
        <v>10889.636755601023</v>
      </c>
      <c r="P477" s="25">
        <f t="shared" si="266"/>
        <v>30050.93324439897</v>
      </c>
      <c r="Q477" s="25">
        <f t="array" aca="1" ref="Q477" ca="1">INDEX('Isaac 401k'!L:L,MATCH('Retirement Calculator'!A477,'Isaac 401k'!N:N,0),0)</f>
        <v>-88277.002468567123</v>
      </c>
      <c r="R477" s="25">
        <f t="array" aca="1" ref="R477" ca="1">INDEX('Lorri 401b'!L:L,MATCH('Retirement Calculator'!A477,'Lorri 401b'!N:N,0),0)</f>
        <v>1038081.8522180574</v>
      </c>
      <c r="S477" s="25">
        <f t="shared" ca="1" si="267"/>
        <v>949804.84974949027</v>
      </c>
    </row>
    <row r="478" spans="1:19" ht="15.75" customHeight="1" x14ac:dyDescent="0.3">
      <c r="A478" s="37">
        <v>65501</v>
      </c>
      <c r="B478" s="398">
        <f t="shared" ref="B478:C478" si="479">($A478-B$9)/365.25</f>
        <v>97.453798767967143</v>
      </c>
      <c r="C478" s="398">
        <f t="shared" si="479"/>
        <v>92.843258042436688</v>
      </c>
      <c r="E478" s="25">
        <f>IF(C478&gt;$B$7,0,'Combined Retirement'!$D$13/12)</f>
        <v>0</v>
      </c>
      <c r="F478" s="25">
        <f>IF(H478=0,'Combined Retirement'!$D$32,0)+'Combined Retirement'!$B$24</f>
        <v>2870.372285649099</v>
      </c>
      <c r="G478" s="25">
        <f>'Combined Retirement'!$C$24</f>
        <v>3254.2644699519233</v>
      </c>
      <c r="H478" s="25">
        <f>IF(B478&lt;62,0,'Combined Retirement'!$I$14)</f>
        <v>2345</v>
      </c>
      <c r="I478" s="25">
        <f>IF(C478&lt;62,0,'Combined Retirement'!$I$13)</f>
        <v>2420</v>
      </c>
      <c r="J478" s="25">
        <f t="shared" si="263"/>
        <v>8395.6297298201844</v>
      </c>
      <c r="K478" s="25">
        <f t="shared" si="264"/>
        <v>21655.303514578787</v>
      </c>
      <c r="L478" s="25"/>
      <c r="N478" s="25">
        <f>'Combined Retirement'!$C$18/12</f>
        <v>40940.569999999992</v>
      </c>
      <c r="O478" s="25">
        <f t="shared" si="265"/>
        <v>10889.636755601023</v>
      </c>
      <c r="P478" s="25">
        <f t="shared" si="266"/>
        <v>30050.93324439897</v>
      </c>
      <c r="Q478" s="25">
        <f t="array" aca="1" ref="Q478" ca="1">INDEX('Isaac 401k'!L:L,MATCH('Retirement Calculator'!A478,'Isaac 401k'!N:N,0),0)</f>
        <v>-97075.434832547253</v>
      </c>
      <c r="R478" s="25">
        <f t="array" aca="1" ref="R478" ca="1">INDEX('Lorri 401b'!L:L,MATCH('Retirement Calculator'!A478,'Lorri 401b'!N:N,0),0)</f>
        <v>1020661.6593230765</v>
      </c>
      <c r="S478" s="25">
        <f t="shared" ca="1" si="267"/>
        <v>923586.22449052928</v>
      </c>
    </row>
    <row r="479" spans="1:19" ht="15.75" customHeight="1" x14ac:dyDescent="0.3">
      <c r="A479" s="37">
        <v>65532</v>
      </c>
      <c r="B479" s="398">
        <f t="shared" ref="B479:C479" si="480">($A479-B$9)/365.25</f>
        <v>97.538672142368242</v>
      </c>
      <c r="C479" s="398">
        <f t="shared" si="480"/>
        <v>92.928131416837786</v>
      </c>
      <c r="E479" s="25">
        <f>IF(C479&gt;$B$7,0,'Combined Retirement'!$D$13/12)</f>
        <v>0</v>
      </c>
      <c r="F479" s="25">
        <f>IF(H479=0,'Combined Retirement'!$D$32,0)+'Combined Retirement'!$B$24</f>
        <v>2870.372285649099</v>
      </c>
      <c r="G479" s="25">
        <f>'Combined Retirement'!$C$24</f>
        <v>3254.2644699519233</v>
      </c>
      <c r="H479" s="25">
        <f>IF(B479&lt;62,0,'Combined Retirement'!$I$14)</f>
        <v>2345</v>
      </c>
      <c r="I479" s="25">
        <f>IF(C479&lt;62,0,'Combined Retirement'!$I$13)</f>
        <v>2420</v>
      </c>
      <c r="J479" s="25">
        <f t="shared" si="263"/>
        <v>8395.6297298201844</v>
      </c>
      <c r="K479" s="25">
        <f t="shared" si="264"/>
        <v>21655.303514578787</v>
      </c>
      <c r="L479" s="25"/>
      <c r="N479" s="25">
        <f>'Combined Retirement'!$C$18/12</f>
        <v>40940.569999999992</v>
      </c>
      <c r="O479" s="25">
        <f t="shared" si="265"/>
        <v>10889.636755601023</v>
      </c>
      <c r="P479" s="25">
        <f t="shared" si="266"/>
        <v>30050.93324439897</v>
      </c>
      <c r="Q479" s="25">
        <f t="array" aca="1" ref="Q479" ca="1">INDEX('Isaac 401k'!L:L,MATCH('Retirement Calculator'!A479,'Isaac 401k'!N:N,0),0)</f>
        <v>-105910.52733137731</v>
      </c>
      <c r="R479" s="25">
        <f t="array" aca="1" ref="R479" ca="1">INDEX('Lorri 401b'!L:L,MATCH('Retirement Calculator'!A479,'Lorri 401b'!N:N,0),0)</f>
        <v>1003168.882291033</v>
      </c>
      <c r="S479" s="25">
        <f t="shared" ca="1" si="267"/>
        <v>897258.35495965579</v>
      </c>
    </row>
    <row r="480" spans="1:19" ht="15.75" customHeight="1" x14ac:dyDescent="0.3">
      <c r="A480" s="37">
        <v>65562</v>
      </c>
      <c r="B480" s="398">
        <f t="shared" ref="B480:C480" si="481">($A480-B$9)/365.25</f>
        <v>97.620807665982198</v>
      </c>
      <c r="C480" s="398">
        <f t="shared" si="481"/>
        <v>93.010266940451743</v>
      </c>
      <c r="E480" s="25">
        <f>IF(C480&gt;$B$7,0,'Combined Retirement'!$D$13/12)</f>
        <v>0</v>
      </c>
      <c r="F480" s="25">
        <f>IF(H480=0,'Combined Retirement'!$D$32,0)+'Combined Retirement'!$B$24</f>
        <v>2870.372285649099</v>
      </c>
      <c r="G480" s="25">
        <f>'Combined Retirement'!$C$24</f>
        <v>3254.2644699519233</v>
      </c>
      <c r="H480" s="25">
        <f>IF(B480&lt;62,0,'Combined Retirement'!$I$14)</f>
        <v>2345</v>
      </c>
      <c r="I480" s="25">
        <f>IF(C480&lt;62,0,'Combined Retirement'!$I$13)</f>
        <v>2420</v>
      </c>
      <c r="J480" s="25">
        <f t="shared" si="263"/>
        <v>8395.6297298201844</v>
      </c>
      <c r="K480" s="25">
        <f t="shared" si="264"/>
        <v>21655.303514578787</v>
      </c>
      <c r="L480" s="25"/>
      <c r="N480" s="25">
        <f>'Combined Retirement'!$C$18/12</f>
        <v>40940.569999999992</v>
      </c>
      <c r="O480" s="25">
        <f t="shared" si="265"/>
        <v>10889.636755601023</v>
      </c>
      <c r="P480" s="25">
        <f t="shared" si="266"/>
        <v>30050.93324439897</v>
      </c>
      <c r="Q480" s="25">
        <f t="array" aca="1" ref="Q480" ca="1">INDEX('Isaac 401k'!L:L,MATCH('Retirement Calculator'!A480,'Isaac 401k'!N:N,0),0)</f>
        <v>-114782.43271561914</v>
      </c>
      <c r="R480" s="25">
        <f t="array" aca="1" ref="R480" ca="1">INDEX('Lorri 401b'!L:L,MATCH('Retirement Calculator'!A480,'Lorri 401b'!N:N,0),0)</f>
        <v>985603.21868802293</v>
      </c>
      <c r="S480" s="25">
        <f t="shared" ca="1" si="267"/>
        <v>870820.78597240383</v>
      </c>
    </row>
    <row r="481" spans="1:19" ht="15.75" customHeight="1" x14ac:dyDescent="0.3">
      <c r="A481" s="37">
        <v>65593</v>
      </c>
      <c r="B481" s="398">
        <f t="shared" ref="B481:C481" si="482">($A481-B$9)/365.25</f>
        <v>97.705681040383297</v>
      </c>
      <c r="C481" s="398">
        <f t="shared" si="482"/>
        <v>93.095140314852841</v>
      </c>
      <c r="E481" s="25">
        <f>IF(C481&gt;$B$7,0,'Combined Retirement'!$D$13/12)</f>
        <v>0</v>
      </c>
      <c r="F481" s="25">
        <f>IF(H481=0,'Combined Retirement'!$D$32,0)+'Combined Retirement'!$B$24</f>
        <v>2870.372285649099</v>
      </c>
      <c r="G481" s="25">
        <f>'Combined Retirement'!$C$24</f>
        <v>3254.2644699519233</v>
      </c>
      <c r="H481" s="25">
        <f>IF(B481&lt;62,0,'Combined Retirement'!$I$14)</f>
        <v>2345</v>
      </c>
      <c r="I481" s="25">
        <f>IF(C481&lt;62,0,'Combined Retirement'!$I$13)</f>
        <v>2420</v>
      </c>
      <c r="J481" s="25">
        <f t="shared" si="263"/>
        <v>8395.6297298201844</v>
      </c>
      <c r="K481" s="25">
        <f t="shared" si="264"/>
        <v>21655.303514578787</v>
      </c>
      <c r="L481" s="25"/>
      <c r="N481" s="25">
        <f>'Combined Retirement'!$C$18/12</f>
        <v>40940.569999999992</v>
      </c>
      <c r="O481" s="25">
        <f t="shared" si="265"/>
        <v>10889.636755601023</v>
      </c>
      <c r="P481" s="25">
        <f t="shared" si="266"/>
        <v>30050.93324439897</v>
      </c>
      <c r="Q481" s="25">
        <f t="array" aca="1" ref="Q481" ca="1">INDEX('Isaac 401k'!L:L,MATCH('Retirement Calculator'!A481,'Isaac 401k'!N:N,0),0)</f>
        <v>-123691.30437229533</v>
      </c>
      <c r="R481" s="25">
        <f t="array" aca="1" ref="R481" ca="1">INDEX('Lorri 401b'!L:L,MATCH('Retirement Calculator'!A481,'Lorri 401b'!N:N,0),0)</f>
        <v>967964.36482000025</v>
      </c>
      <c r="S481" s="25">
        <f t="shared" ca="1" si="267"/>
        <v>844273.06044770498</v>
      </c>
    </row>
    <row r="482" spans="1:19" ht="15.75" customHeight="1" x14ac:dyDescent="0.3">
      <c r="A482" s="37">
        <v>65624</v>
      </c>
      <c r="B482" s="398">
        <f t="shared" ref="B482:C482" si="483">($A482-B$9)/365.25</f>
        <v>97.790554414784395</v>
      </c>
      <c r="C482" s="398">
        <f t="shared" si="483"/>
        <v>93.18001368925394</v>
      </c>
      <c r="E482" s="25">
        <f>IF(C482&gt;$B$7,0,'Combined Retirement'!$D$13/12)</f>
        <v>0</v>
      </c>
      <c r="F482" s="25">
        <f>IF(H482=0,'Combined Retirement'!$D$32,0)+'Combined Retirement'!$B$24</f>
        <v>2870.372285649099</v>
      </c>
      <c r="G482" s="25">
        <f>'Combined Retirement'!$C$24</f>
        <v>3254.2644699519233</v>
      </c>
      <c r="H482" s="25">
        <f>IF(B482&lt;62,0,'Combined Retirement'!$I$14)</f>
        <v>2345</v>
      </c>
      <c r="I482" s="25">
        <f>IF(C482&lt;62,0,'Combined Retirement'!$I$13)</f>
        <v>2420</v>
      </c>
      <c r="J482" s="25">
        <f t="shared" si="263"/>
        <v>8395.6297298201844</v>
      </c>
      <c r="K482" s="25">
        <f t="shared" si="264"/>
        <v>21655.303514578787</v>
      </c>
      <c r="L482" s="25"/>
      <c r="N482" s="25">
        <f>'Combined Retirement'!$C$18/12</f>
        <v>40940.569999999992</v>
      </c>
      <c r="O482" s="25">
        <f t="shared" si="265"/>
        <v>10889.636755601023</v>
      </c>
      <c r="P482" s="25">
        <f t="shared" si="266"/>
        <v>30050.93324439897</v>
      </c>
      <c r="Q482" s="25">
        <f t="array" aca="1" ref="Q482" ca="1">INDEX('Isaac 401k'!L:L,MATCH('Retirement Calculator'!A482,'Isaac 401k'!N:N,0),0)</f>
        <v>-132637.296327541</v>
      </c>
      <c r="R482" s="25">
        <f t="array" aca="1" ref="R482" ca="1">INDEX('Lorri 401b'!L:L,MATCH('Retirement Calculator'!A482,'Lorri 401b'!N:N,0),0)</f>
        <v>950252.01572752732</v>
      </c>
      <c r="S482" s="25">
        <f t="shared" ca="1" si="267"/>
        <v>817614.71939998632</v>
      </c>
    </row>
    <row r="483" spans="1:19" ht="15.75" customHeight="1" x14ac:dyDescent="0.3">
      <c r="A483" s="37">
        <v>65654</v>
      </c>
      <c r="B483" s="398">
        <f t="shared" ref="B483:C483" si="484">($A483-B$9)/365.25</f>
        <v>97.872689938398352</v>
      </c>
      <c r="C483" s="398">
        <f t="shared" si="484"/>
        <v>93.262149212867897</v>
      </c>
      <c r="E483" s="25">
        <f>IF(C483&gt;$B$7,0,'Combined Retirement'!$D$13/12)</f>
        <v>0</v>
      </c>
      <c r="F483" s="25">
        <f>IF(H483=0,'Combined Retirement'!$D$32,0)+'Combined Retirement'!$B$24</f>
        <v>2870.372285649099</v>
      </c>
      <c r="G483" s="25">
        <f>'Combined Retirement'!$C$24</f>
        <v>3254.2644699519233</v>
      </c>
      <c r="H483" s="25">
        <f>IF(B483&lt;62,0,'Combined Retirement'!$I$14)</f>
        <v>2345</v>
      </c>
      <c r="I483" s="25">
        <f>IF(C483&lt;62,0,'Combined Retirement'!$I$13)</f>
        <v>2420</v>
      </c>
      <c r="J483" s="25">
        <f t="shared" si="263"/>
        <v>8395.6297298201844</v>
      </c>
      <c r="K483" s="25">
        <f t="shared" si="264"/>
        <v>21655.303514578787</v>
      </c>
      <c r="L483" s="25"/>
      <c r="N483" s="25">
        <f>'Combined Retirement'!$C$18/12</f>
        <v>40940.569999999992</v>
      </c>
      <c r="O483" s="25">
        <f t="shared" si="265"/>
        <v>10889.636755601023</v>
      </c>
      <c r="P483" s="25">
        <f t="shared" si="266"/>
        <v>30050.93324439897</v>
      </c>
      <c r="Q483" s="25">
        <f t="array" aca="1" ref="Q483" ca="1">INDEX('Isaac 401k'!L:L,MATCH('Retirement Calculator'!A483,'Isaac 401k'!N:N,0),0)</f>
        <v>-141620.56324926685</v>
      </c>
      <c r="R483" s="25">
        <f t="array" aca="1" ref="R483" ca="1">INDEX('Lorri 401b'!L:L,MATCH('Retirement Calculator'!A483,'Lorri 401b'!N:N,0),0)</f>
        <v>932465.86518050253</v>
      </c>
      <c r="S483" s="25">
        <f t="shared" ca="1" si="267"/>
        <v>790845.30193123571</v>
      </c>
    </row>
    <row r="484" spans="1:19" ht="15.75" customHeight="1" x14ac:dyDescent="0.3">
      <c r="A484" s="37">
        <v>65685</v>
      </c>
      <c r="B484" s="398">
        <f t="shared" ref="B484:C484" si="485">($A484-B$9)/365.25</f>
        <v>97.957563312799451</v>
      </c>
      <c r="C484" s="398">
        <f t="shared" si="485"/>
        <v>93.347022587268995</v>
      </c>
      <c r="E484" s="25">
        <f>IF(C484&gt;$B$7,0,'Combined Retirement'!$D$13/12)</f>
        <v>0</v>
      </c>
      <c r="F484" s="25">
        <f>IF(H484=0,'Combined Retirement'!$D$32,0)+'Combined Retirement'!$B$24</f>
        <v>2870.372285649099</v>
      </c>
      <c r="G484" s="25">
        <f>'Combined Retirement'!$C$24</f>
        <v>3254.2644699519233</v>
      </c>
      <c r="H484" s="25">
        <f>IF(B484&lt;62,0,'Combined Retirement'!$I$14)</f>
        <v>2345</v>
      </c>
      <c r="I484" s="25">
        <f>IF(C484&lt;62,0,'Combined Retirement'!$I$13)</f>
        <v>2420</v>
      </c>
      <c r="J484" s="25">
        <f t="shared" si="263"/>
        <v>8395.6297298201844</v>
      </c>
      <c r="K484" s="25">
        <f t="shared" si="264"/>
        <v>21655.303514578787</v>
      </c>
      <c r="L484" s="25"/>
      <c r="N484" s="25">
        <f>'Combined Retirement'!$C$18/12</f>
        <v>40940.569999999992</v>
      </c>
      <c r="O484" s="25">
        <f t="shared" si="265"/>
        <v>10889.636755601023</v>
      </c>
      <c r="P484" s="25">
        <f t="shared" si="266"/>
        <v>30050.93324439897</v>
      </c>
      <c r="Q484" s="25">
        <f t="array" aca="1" ref="Q484" ca="1">INDEX('Isaac 401k'!L:L,MATCH('Retirement Calculator'!A484,'Isaac 401k'!N:N,0),0)</f>
        <v>-150641.26044983324</v>
      </c>
      <c r="R484" s="25">
        <f t="array" aca="1" ref="R484" ca="1">INDEX('Lorri 401b'!L:L,MATCH('Retirement Calculator'!A484,'Lorri 401b'!N:N,0),0)</f>
        <v>914605.60567286517</v>
      </c>
      <c r="S484" s="25">
        <f t="shared" ca="1" si="267"/>
        <v>763964.34522303194</v>
      </c>
    </row>
    <row r="485" spans="1:19" ht="15.75" customHeight="1" x14ac:dyDescent="0.3">
      <c r="A485" s="37">
        <v>65715</v>
      </c>
      <c r="B485" s="398">
        <f t="shared" ref="B485:C485" si="486">($A485-B$9)/365.25</f>
        <v>98.039698836413422</v>
      </c>
      <c r="C485" s="398">
        <f t="shared" si="486"/>
        <v>93.429158110882952</v>
      </c>
      <c r="E485" s="25">
        <f>IF(C485&gt;$B$7,0,'Combined Retirement'!$D$13/12)</f>
        <v>0</v>
      </c>
      <c r="F485" s="25">
        <f>IF(H485=0,'Combined Retirement'!$D$32,0)+'Combined Retirement'!$B$24</f>
        <v>2870.372285649099</v>
      </c>
      <c r="G485" s="25">
        <f>'Combined Retirement'!$C$24</f>
        <v>3254.2644699519233</v>
      </c>
      <c r="H485" s="25">
        <f>IF(B485&lt;62,0,'Combined Retirement'!$I$14)</f>
        <v>2345</v>
      </c>
      <c r="I485" s="25">
        <f>IF(C485&lt;62,0,'Combined Retirement'!$I$13)</f>
        <v>2420</v>
      </c>
      <c r="J485" s="25">
        <f t="shared" si="263"/>
        <v>8395.6297298201844</v>
      </c>
      <c r="K485" s="25">
        <f t="shared" si="264"/>
        <v>21655.303514578787</v>
      </c>
      <c r="L485" s="25"/>
      <c r="N485" s="25">
        <f>'Combined Retirement'!$C$18/12</f>
        <v>40940.569999999992</v>
      </c>
      <c r="O485" s="25">
        <f t="shared" si="265"/>
        <v>10889.636755601023</v>
      </c>
      <c r="P485" s="25">
        <f t="shared" si="266"/>
        <v>30050.93324439897</v>
      </c>
      <c r="Q485" s="25">
        <f t="array" aca="1" ref="Q485" ca="1">INDEX('Isaac 401k'!L:L,MATCH('Retirement Calculator'!A485,'Isaac 401k'!N:N,0),0)</f>
        <v>-159699.54388873529</v>
      </c>
      <c r="R485" s="25">
        <f t="array" aca="1" ref="R485" ca="1">INDEX('Lorri 401b'!L:L,MATCH('Retirement Calculator'!A485,'Lorri 401b'!N:N,0),0)</f>
        <v>896670.92841727915</v>
      </c>
      <c r="S485" s="25">
        <f t="shared" ca="1" si="267"/>
        <v>736971.3845285438</v>
      </c>
    </row>
    <row r="486" spans="1:19" ht="15.75" customHeight="1" x14ac:dyDescent="0.3">
      <c r="A486" s="37">
        <v>65746</v>
      </c>
      <c r="B486" s="398">
        <f t="shared" ref="B486:C486" si="487">($A486-B$9)/365.25</f>
        <v>98.124572210814506</v>
      </c>
      <c r="C486" s="398">
        <f t="shared" si="487"/>
        <v>93.51403148528405</v>
      </c>
      <c r="E486" s="25">
        <f>IF(C486&gt;$B$7,0,'Combined Retirement'!$D$13/12)</f>
        <v>0</v>
      </c>
      <c r="F486" s="25">
        <f>IF(H486=0,'Combined Retirement'!$D$32,0)+'Combined Retirement'!$B$24</f>
        <v>2870.372285649099</v>
      </c>
      <c r="G486" s="25">
        <f>'Combined Retirement'!$C$24</f>
        <v>3254.2644699519233</v>
      </c>
      <c r="H486" s="25">
        <f>IF(B486&lt;62,0,'Combined Retirement'!$I$14)</f>
        <v>2345</v>
      </c>
      <c r="I486" s="25">
        <f>IF(C486&lt;62,0,'Combined Retirement'!$I$13)</f>
        <v>2420</v>
      </c>
      <c r="J486" s="25">
        <f t="shared" si="263"/>
        <v>8395.6297298201844</v>
      </c>
      <c r="K486" s="25">
        <f t="shared" si="264"/>
        <v>21655.303514578787</v>
      </c>
      <c r="L486" s="25"/>
      <c r="N486" s="25">
        <f>'Combined Retirement'!$C$18/12</f>
        <v>40940.569999999992</v>
      </c>
      <c r="O486" s="25">
        <f t="shared" si="265"/>
        <v>10889.636755601023</v>
      </c>
      <c r="P486" s="25">
        <f t="shared" si="266"/>
        <v>30050.93324439897</v>
      </c>
      <c r="Q486" s="25">
        <f t="array" aca="1" ref="Q486" ca="1">INDEX('Isaac 401k'!L:L,MATCH('Retirement Calculator'!A486,'Isaac 401k'!N:N,0),0)</f>
        <v>-168795.57017529945</v>
      </c>
      <c r="R486" s="25">
        <f t="array" aca="1" ref="R486" ca="1">INDEX('Lorri 401b'!L:L,MATCH('Retirement Calculator'!A486,'Lorri 401b'!N:N,0),0)</f>
        <v>878661.52333979495</v>
      </c>
      <c r="S486" s="25">
        <f t="shared" ca="1" si="267"/>
        <v>709865.95316449553</v>
      </c>
    </row>
    <row r="487" spans="1:19" ht="15.75" customHeight="1" x14ac:dyDescent="0.3">
      <c r="A487" s="37">
        <v>65777</v>
      </c>
      <c r="B487" s="398">
        <f t="shared" ref="B487:C487" si="488">($A487-B$9)/365.25</f>
        <v>98.209445585215605</v>
      </c>
      <c r="C487" s="398">
        <f t="shared" si="488"/>
        <v>93.598904859685149</v>
      </c>
      <c r="E487" s="25">
        <f>IF(C487&gt;$B$7,0,'Combined Retirement'!$D$13/12)</f>
        <v>0</v>
      </c>
      <c r="F487" s="25">
        <f>IF(H487=0,'Combined Retirement'!$D$32,0)+'Combined Retirement'!$B$24</f>
        <v>2870.372285649099</v>
      </c>
      <c r="G487" s="25">
        <f>'Combined Retirement'!$C$24</f>
        <v>3254.2644699519233</v>
      </c>
      <c r="H487" s="25">
        <f>IF(B487&lt;62,0,'Combined Retirement'!$I$14)</f>
        <v>2345</v>
      </c>
      <c r="I487" s="25">
        <f>IF(C487&lt;62,0,'Combined Retirement'!$I$13)</f>
        <v>2420</v>
      </c>
      <c r="J487" s="25">
        <f t="shared" si="263"/>
        <v>8395.6297298201844</v>
      </c>
      <c r="K487" s="25">
        <f t="shared" si="264"/>
        <v>21655.303514578787</v>
      </c>
      <c r="L487" s="25"/>
      <c r="N487" s="25">
        <f>'Combined Retirement'!$C$18/12</f>
        <v>40940.569999999992</v>
      </c>
      <c r="O487" s="25">
        <f t="shared" si="265"/>
        <v>10889.636755601023</v>
      </c>
      <c r="P487" s="25">
        <f t="shared" si="266"/>
        <v>30050.93324439897</v>
      </c>
      <c r="Q487" s="25">
        <f t="array" aca="1" ref="Q487" ca="1">INDEX('Isaac 401k'!L:L,MATCH('Retirement Calculator'!A487,'Isaac 401k'!N:N,0),0)</f>
        <v>-177929.49657139098</v>
      </c>
      <c r="R487" s="25">
        <f t="array" aca="1" ref="R487" ca="1">INDEX('Lorri 401b'!L:L,MATCH('Retirement Calculator'!A487,'Lorri 401b'!N:N,0),0)</f>
        <v>860577.07907448779</v>
      </c>
      <c r="S487" s="25">
        <f t="shared" ca="1" si="267"/>
        <v>682647.58250309678</v>
      </c>
    </row>
    <row r="488" spans="1:19" ht="15.75" customHeight="1" x14ac:dyDescent="0.3">
      <c r="A488" s="37">
        <v>65806</v>
      </c>
      <c r="B488" s="398">
        <f t="shared" ref="B488:C488" si="489">($A488-B$9)/365.25</f>
        <v>98.288843258042434</v>
      </c>
      <c r="C488" s="398">
        <f t="shared" si="489"/>
        <v>93.678302532511978</v>
      </c>
      <c r="E488" s="25">
        <f>IF(C488&gt;$B$7,0,'Combined Retirement'!$D$13/12)</f>
        <v>0</v>
      </c>
      <c r="F488" s="25">
        <f>IF(H488=0,'Combined Retirement'!$D$32,0)+'Combined Retirement'!$B$24</f>
        <v>2870.372285649099</v>
      </c>
      <c r="G488" s="25">
        <f>'Combined Retirement'!$C$24</f>
        <v>3254.2644699519233</v>
      </c>
      <c r="H488" s="25">
        <f>IF(B488&lt;62,0,'Combined Retirement'!$I$14)</f>
        <v>2345</v>
      </c>
      <c r="I488" s="25">
        <f>IF(C488&lt;62,0,'Combined Retirement'!$I$13)</f>
        <v>2420</v>
      </c>
      <c r="J488" s="25">
        <f t="shared" si="263"/>
        <v>8395.6297298201844</v>
      </c>
      <c r="K488" s="25">
        <f t="shared" si="264"/>
        <v>21655.303514578787</v>
      </c>
      <c r="L488" s="25"/>
      <c r="N488" s="25">
        <f>'Combined Retirement'!$C$18/12</f>
        <v>40940.569999999992</v>
      </c>
      <c r="O488" s="25">
        <f t="shared" si="265"/>
        <v>10889.636755601023</v>
      </c>
      <c r="P488" s="25">
        <f t="shared" si="266"/>
        <v>30050.93324439897</v>
      </c>
      <c r="Q488" s="25">
        <f t="array" aca="1" ref="Q488" ca="1">INDEX('Isaac 401k'!L:L,MATCH('Retirement Calculator'!A488,'Isaac 401k'!N:N,0),0)</f>
        <v>-187101.48099413287</v>
      </c>
      <c r="R488" s="25">
        <f t="array" aca="1" ref="R488" ca="1">INDEX('Lorri 401b'!L:L,MATCH('Retirement Calculator'!A488,'Lorri 401b'!N:N,0),0)</f>
        <v>842417.28295807529</v>
      </c>
      <c r="S488" s="25">
        <f t="shared" ca="1" si="267"/>
        <v>655315.80196394236</v>
      </c>
    </row>
    <row r="489" spans="1:19" ht="15.75" customHeight="1" x14ac:dyDescent="0.3">
      <c r="A489" s="37">
        <v>65837</v>
      </c>
      <c r="B489" s="398">
        <f t="shared" ref="B489:C489" si="490">($A489-B$9)/365.25</f>
        <v>98.373716632443532</v>
      </c>
      <c r="C489" s="398">
        <f t="shared" si="490"/>
        <v>93.763175906913077</v>
      </c>
      <c r="E489" s="25">
        <f>IF(C489&gt;$B$7,0,'Combined Retirement'!$D$13/12)</f>
        <v>0</v>
      </c>
      <c r="F489" s="25">
        <f>IF(H489=0,'Combined Retirement'!$D$32,0)+'Combined Retirement'!$B$24</f>
        <v>2870.372285649099</v>
      </c>
      <c r="G489" s="25">
        <f>'Combined Retirement'!$C$24</f>
        <v>3254.2644699519233</v>
      </c>
      <c r="H489" s="25">
        <f>IF(B489&lt;62,0,'Combined Retirement'!$I$14)</f>
        <v>2345</v>
      </c>
      <c r="I489" s="25">
        <f>IF(C489&lt;62,0,'Combined Retirement'!$I$13)</f>
        <v>2420</v>
      </c>
      <c r="J489" s="25">
        <f t="shared" si="263"/>
        <v>8395.6297298201844</v>
      </c>
      <c r="K489" s="25">
        <f t="shared" si="264"/>
        <v>21655.303514578787</v>
      </c>
      <c r="L489" s="25"/>
      <c r="N489" s="25">
        <f>'Combined Retirement'!$C$18/12</f>
        <v>40940.569999999992</v>
      </c>
      <c r="O489" s="25">
        <f t="shared" si="265"/>
        <v>10889.636755601023</v>
      </c>
      <c r="P489" s="25">
        <f t="shared" si="266"/>
        <v>30050.93324439897</v>
      </c>
      <c r="Q489" s="25">
        <f t="array" aca="1" ref="Q489" ca="1">INDEX('Isaac 401k'!L:L,MATCH('Retirement Calculator'!A489,'Isaac 401k'!N:N,0),0)</f>
        <v>-196311.6820186362</v>
      </c>
      <c r="R489" s="25">
        <f t="array" aca="1" ref="R489" ca="1">INDEX('Lorri 401b'!L:L,MATCH('Retirement Calculator'!A489,'Lorri 401b'!N:N,0),0)</f>
        <v>824181.82102451113</v>
      </c>
      <c r="S489" s="25">
        <f t="shared" ca="1" si="267"/>
        <v>627870.13900587498</v>
      </c>
    </row>
    <row r="490" spans="1:19" ht="15.75" customHeight="1" x14ac:dyDescent="0.3">
      <c r="A490" s="37">
        <v>65867</v>
      </c>
      <c r="B490" s="398">
        <f t="shared" ref="B490:C490" si="491">($A490-B$9)/365.25</f>
        <v>98.455852156057489</v>
      </c>
      <c r="C490" s="398">
        <f t="shared" si="491"/>
        <v>93.845311430527033</v>
      </c>
      <c r="E490" s="25">
        <f>IF(C490&gt;$B$7,0,'Combined Retirement'!$D$13/12)</f>
        <v>0</v>
      </c>
      <c r="F490" s="25">
        <f>IF(H490=0,'Combined Retirement'!$D$32,0)+'Combined Retirement'!$B$24</f>
        <v>2870.372285649099</v>
      </c>
      <c r="G490" s="25">
        <f>'Combined Retirement'!$C$24</f>
        <v>3254.2644699519233</v>
      </c>
      <c r="H490" s="25">
        <f>IF(B490&lt;62,0,'Combined Retirement'!$I$14)</f>
        <v>2345</v>
      </c>
      <c r="I490" s="25">
        <f>IF(C490&lt;62,0,'Combined Retirement'!$I$13)</f>
        <v>2420</v>
      </c>
      <c r="J490" s="25">
        <f t="shared" si="263"/>
        <v>8395.6297298201844</v>
      </c>
      <c r="K490" s="25">
        <f t="shared" si="264"/>
        <v>21655.303514578787</v>
      </c>
      <c r="L490" s="25"/>
      <c r="N490" s="25">
        <f>'Combined Retirement'!$C$18/12</f>
        <v>40940.569999999992</v>
      </c>
      <c r="O490" s="25">
        <f t="shared" si="265"/>
        <v>10889.636755601023</v>
      </c>
      <c r="P490" s="25">
        <f t="shared" si="266"/>
        <v>30050.93324439897</v>
      </c>
      <c r="Q490" s="25">
        <f t="array" aca="1" ref="Q490" ca="1">INDEX('Isaac 401k'!L:L,MATCH('Retirement Calculator'!A490,'Isaac 401k'!N:N,0),0)</f>
        <v>-205560.25888074163</v>
      </c>
      <c r="R490" s="25">
        <f t="array" aca="1" ref="R490" ca="1">INDEX('Lorri 401b'!L:L,MATCH('Retirement Calculator'!A490,'Lorri 401b'!N:N,0),0)</f>
        <v>805870.37799955707</v>
      </c>
      <c r="S490" s="25">
        <f t="shared" ca="1" si="267"/>
        <v>600310.1191188154</v>
      </c>
    </row>
    <row r="491" spans="1:19" ht="15.75" customHeight="1" x14ac:dyDescent="0.3">
      <c r="A491" s="37">
        <v>65898</v>
      </c>
      <c r="B491" s="398">
        <f t="shared" ref="B491:C491" si="492">($A491-B$9)/365.25</f>
        <v>98.540725530458587</v>
      </c>
      <c r="C491" s="398">
        <f t="shared" si="492"/>
        <v>93.930184804928132</v>
      </c>
      <c r="E491" s="25">
        <f>IF(C491&gt;$B$7,0,'Combined Retirement'!$D$13/12)</f>
        <v>0</v>
      </c>
      <c r="F491" s="25">
        <f>IF(H491=0,'Combined Retirement'!$D$32,0)+'Combined Retirement'!$B$24</f>
        <v>2870.372285649099</v>
      </c>
      <c r="G491" s="25">
        <f>'Combined Retirement'!$C$24</f>
        <v>3254.2644699519233</v>
      </c>
      <c r="H491" s="25">
        <f>IF(B491&lt;62,0,'Combined Retirement'!$I$14)</f>
        <v>2345</v>
      </c>
      <c r="I491" s="25">
        <f>IF(C491&lt;62,0,'Combined Retirement'!$I$13)</f>
        <v>2420</v>
      </c>
      <c r="J491" s="25">
        <f t="shared" si="263"/>
        <v>8395.6297298201844</v>
      </c>
      <c r="K491" s="25">
        <f t="shared" si="264"/>
        <v>21655.303514578787</v>
      </c>
      <c r="L491" s="25"/>
      <c r="N491" s="25">
        <f>'Combined Retirement'!$C$18/12</f>
        <v>40940.569999999992</v>
      </c>
      <c r="O491" s="25">
        <f t="shared" si="265"/>
        <v>10889.636755601023</v>
      </c>
      <c r="P491" s="25">
        <f t="shared" si="266"/>
        <v>30050.93324439897</v>
      </c>
      <c r="Q491" s="25">
        <f t="array" aca="1" ref="Q491" ca="1">INDEX('Isaac 401k'!L:L,MATCH('Retirement Calculator'!A491,'Isaac 401k'!N:N,0),0)</f>
        <v>-214847.3714797725</v>
      </c>
      <c r="R491" s="25">
        <f t="array" aca="1" ref="R491" ca="1">INDEX('Lorri 401b'!L:L,MATCH('Retirement Calculator'!A491,'Lorri 401b'!N:N,0),0)</f>
        <v>787482.63729533239</v>
      </c>
      <c r="S491" s="25">
        <f t="shared" ca="1" si="267"/>
        <v>572635.26581555989</v>
      </c>
    </row>
    <row r="492" spans="1:19" ht="15.75" customHeight="1" x14ac:dyDescent="0.3">
      <c r="A492" s="37">
        <v>65928</v>
      </c>
      <c r="B492" s="398">
        <f t="shared" ref="B492:C492" si="493">($A492-B$9)/365.25</f>
        <v>98.622861054072558</v>
      </c>
      <c r="C492" s="398">
        <f t="shared" si="493"/>
        <v>94.012320328542089</v>
      </c>
      <c r="E492" s="25">
        <f>IF(C492&gt;$B$7,0,'Combined Retirement'!$D$13/12)</f>
        <v>0</v>
      </c>
      <c r="F492" s="25">
        <f>IF(H492=0,'Combined Retirement'!$D$32,0)+'Combined Retirement'!$B$24</f>
        <v>2870.372285649099</v>
      </c>
      <c r="G492" s="25">
        <f>'Combined Retirement'!$C$24</f>
        <v>3254.2644699519233</v>
      </c>
      <c r="H492" s="25">
        <f>IF(B492&lt;62,0,'Combined Retirement'!$I$14)</f>
        <v>2345</v>
      </c>
      <c r="I492" s="25">
        <f>IF(C492&lt;62,0,'Combined Retirement'!$I$13)</f>
        <v>2420</v>
      </c>
      <c r="J492" s="25">
        <f t="shared" si="263"/>
        <v>8395.6297298201844</v>
      </c>
      <c r="K492" s="25">
        <f t="shared" si="264"/>
        <v>21655.303514578787</v>
      </c>
      <c r="L492" s="25"/>
      <c r="N492" s="25">
        <f>'Combined Retirement'!$C$18/12</f>
        <v>40940.569999999992</v>
      </c>
      <c r="O492" s="25">
        <f t="shared" si="265"/>
        <v>10889.636755601023</v>
      </c>
      <c r="P492" s="25">
        <f t="shared" si="266"/>
        <v>30050.93324439897</v>
      </c>
      <c r="Q492" s="25">
        <f t="array" aca="1" ref="Q492" ca="1">INDEX('Isaac 401k'!L:L,MATCH('Retirement Calculator'!A492,'Isaac 401k'!N:N,0),0)</f>
        <v>-224173.18038129932</v>
      </c>
      <c r="R492" s="25">
        <f t="array" aca="1" ref="R492" ca="1">INDEX('Lorri 401b'!L:L,MATCH('Retirement Calculator'!A492,'Lorri 401b'!N:N,0),0)</f>
        <v>769018.28100484016</v>
      </c>
      <c r="S492" s="25">
        <f t="shared" ca="1" si="267"/>
        <v>544845.10062354081</v>
      </c>
    </row>
    <row r="493" spans="1:19" ht="15.75" customHeight="1" x14ac:dyDescent="0.3">
      <c r="A493" s="37">
        <v>65959</v>
      </c>
      <c r="B493" s="398">
        <f t="shared" ref="B493:C493" si="494">($A493-B$9)/365.25</f>
        <v>98.707734428473643</v>
      </c>
      <c r="C493" s="398">
        <f t="shared" si="494"/>
        <v>94.097193702943187</v>
      </c>
      <c r="E493" s="25">
        <f>IF(C493&gt;$B$7,0,'Combined Retirement'!$D$13/12)</f>
        <v>0</v>
      </c>
      <c r="F493" s="25">
        <f>IF(H493=0,'Combined Retirement'!$D$32,0)+'Combined Retirement'!$B$24</f>
        <v>2870.372285649099</v>
      </c>
      <c r="G493" s="25">
        <f>'Combined Retirement'!$C$24</f>
        <v>3254.2644699519233</v>
      </c>
      <c r="H493" s="25">
        <f>IF(B493&lt;62,0,'Combined Retirement'!$I$14)</f>
        <v>2345</v>
      </c>
      <c r="I493" s="25">
        <f>IF(C493&lt;62,0,'Combined Retirement'!$I$13)</f>
        <v>2420</v>
      </c>
      <c r="J493" s="25">
        <f t="shared" si="263"/>
        <v>8395.6297298201844</v>
      </c>
      <c r="K493" s="25">
        <f t="shared" si="264"/>
        <v>21655.303514578787</v>
      </c>
      <c r="L493" s="25"/>
      <c r="N493" s="25">
        <f>'Combined Retirement'!$C$18/12</f>
        <v>40940.569999999992</v>
      </c>
      <c r="O493" s="25">
        <f t="shared" si="265"/>
        <v>10889.636755601023</v>
      </c>
      <c r="P493" s="25">
        <f t="shared" si="266"/>
        <v>30050.93324439897</v>
      </c>
      <c r="Q493" s="25">
        <f t="array" aca="1" ref="Q493" ca="1">INDEX('Isaac 401k'!L:L,MATCH('Retirement Calculator'!A493,'Isaac 401k'!N:N,0),0)</f>
        <v>-233537.84681991584</v>
      </c>
      <c r="R493" s="25">
        <f t="array" aca="1" ref="R493" ca="1">INDEX('Lorri 401b'!L:L,MATCH('Retirement Calculator'!A493,'Lorri 401b'!N:N,0),0)</f>
        <v>750476.9898964708</v>
      </c>
      <c r="S493" s="25">
        <f t="shared" ca="1" si="267"/>
        <v>516939.14307655499</v>
      </c>
    </row>
    <row r="494" spans="1:19" ht="15.75" customHeight="1" x14ac:dyDescent="0.3">
      <c r="A494" s="37">
        <v>65990</v>
      </c>
      <c r="B494" s="398">
        <f t="shared" ref="B494:C494" si="495">($A494-B$9)/365.25</f>
        <v>98.792607802874741</v>
      </c>
      <c r="C494" s="398">
        <f t="shared" si="495"/>
        <v>94.182067077344286</v>
      </c>
      <c r="E494" s="25">
        <f>IF(C494&gt;$B$7,0,'Combined Retirement'!$D$13/12)</f>
        <v>0</v>
      </c>
      <c r="F494" s="25">
        <f>IF(H494=0,'Combined Retirement'!$D$32,0)+'Combined Retirement'!$B$24</f>
        <v>2870.372285649099</v>
      </c>
      <c r="G494" s="25">
        <f>'Combined Retirement'!$C$24</f>
        <v>3254.2644699519233</v>
      </c>
      <c r="H494" s="25">
        <f>IF(B494&lt;62,0,'Combined Retirement'!$I$14)</f>
        <v>2345</v>
      </c>
      <c r="I494" s="25">
        <f>IF(C494&lt;62,0,'Combined Retirement'!$I$13)</f>
        <v>2420</v>
      </c>
      <c r="J494" s="25">
        <f t="shared" si="263"/>
        <v>8395.6297298201844</v>
      </c>
      <c r="K494" s="25">
        <f t="shared" si="264"/>
        <v>21655.303514578787</v>
      </c>
      <c r="L494" s="25"/>
      <c r="N494" s="25">
        <f>'Combined Retirement'!$C$18/12</f>
        <v>40940.569999999992</v>
      </c>
      <c r="O494" s="25">
        <f t="shared" si="265"/>
        <v>10889.636755601023</v>
      </c>
      <c r="P494" s="25">
        <f t="shared" si="266"/>
        <v>30050.93324439897</v>
      </c>
      <c r="Q494" s="25">
        <f t="array" aca="1" ref="Q494" ca="1">INDEX('Isaac 401k'!L:L,MATCH('Retirement Calculator'!A494,'Isaac 401k'!N:N,0),0)</f>
        <v>-242941.5327020266</v>
      </c>
      <c r="R494" s="25">
        <f t="array" aca="1" ref="R494" ca="1">INDEX('Lorri 401b'!L:L,MATCH('Retirement Calculator'!A494,'Lorri 401b'!N:N,0),0)</f>
        <v>731858.44340848329</v>
      </c>
      <c r="S494" s="25">
        <f t="shared" ca="1" si="267"/>
        <v>488916.91070645669</v>
      </c>
    </row>
    <row r="495" spans="1:19" ht="15.75" customHeight="1" x14ac:dyDescent="0.3">
      <c r="A495" s="37">
        <v>66020</v>
      </c>
      <c r="B495" s="398">
        <f t="shared" ref="B495:C495" si="496">($A495-B$9)/365.25</f>
        <v>98.874743326488712</v>
      </c>
      <c r="C495" s="398">
        <f t="shared" si="496"/>
        <v>94.264202600958242</v>
      </c>
      <c r="E495" s="25">
        <f>IF(C495&gt;$B$7,0,'Combined Retirement'!$D$13/12)</f>
        <v>0</v>
      </c>
      <c r="F495" s="25">
        <f>IF(H495=0,'Combined Retirement'!$D$32,0)+'Combined Retirement'!$B$24</f>
        <v>2870.372285649099</v>
      </c>
      <c r="G495" s="25">
        <f>'Combined Retirement'!$C$24</f>
        <v>3254.2644699519233</v>
      </c>
      <c r="H495" s="25">
        <f>IF(B495&lt;62,0,'Combined Retirement'!$I$14)</f>
        <v>2345</v>
      </c>
      <c r="I495" s="25">
        <f>IF(C495&lt;62,0,'Combined Retirement'!$I$13)</f>
        <v>2420</v>
      </c>
      <c r="J495" s="25">
        <f t="shared" si="263"/>
        <v>8395.6297298201844</v>
      </c>
      <c r="K495" s="25">
        <f t="shared" si="264"/>
        <v>21655.303514578787</v>
      </c>
      <c r="L495" s="25"/>
      <c r="N495" s="25">
        <f>'Combined Retirement'!$C$18/12</f>
        <v>40940.569999999992</v>
      </c>
      <c r="O495" s="25">
        <f t="shared" si="265"/>
        <v>10889.636755601023</v>
      </c>
      <c r="P495" s="25">
        <f t="shared" si="266"/>
        <v>30050.93324439897</v>
      </c>
      <c r="Q495" s="25">
        <f t="array" aca="1" ref="Q495" ca="1">INDEX('Isaac 401k'!L:L,MATCH('Retirement Calculator'!A495,'Isaac 401k'!N:N,0),0)</f>
        <v>-252384.40060864613</v>
      </c>
      <c r="R495" s="25">
        <f t="array" aca="1" ref="R495" ca="1">INDEX('Lorri 401b'!L:L,MATCH('Retirement Calculator'!A495,'Lorri 401b'!N:N,0),0)</f>
        <v>713162.31964346254</v>
      </c>
      <c r="S495" s="25">
        <f t="shared" ca="1" si="267"/>
        <v>460777.91903481644</v>
      </c>
    </row>
    <row r="496" spans="1:19" ht="15.75" customHeight="1" x14ac:dyDescent="0.3">
      <c r="A496" s="37">
        <v>66051</v>
      </c>
      <c r="B496" s="398">
        <f t="shared" ref="B496:C496" si="497">($A496-B$9)/365.25</f>
        <v>98.959616700889796</v>
      </c>
      <c r="C496" s="398">
        <f t="shared" si="497"/>
        <v>94.349075975359341</v>
      </c>
      <c r="E496" s="25">
        <f>IF(C496&gt;$B$7,0,'Combined Retirement'!$D$13/12)</f>
        <v>0</v>
      </c>
      <c r="F496" s="25">
        <f>IF(H496=0,'Combined Retirement'!$D$32,0)+'Combined Retirement'!$B$24</f>
        <v>2870.372285649099</v>
      </c>
      <c r="G496" s="25">
        <f>'Combined Retirement'!$C$24</f>
        <v>3254.2644699519233</v>
      </c>
      <c r="H496" s="25">
        <f>IF(B496&lt;62,0,'Combined Retirement'!$I$14)</f>
        <v>2345</v>
      </c>
      <c r="I496" s="25">
        <f>IF(C496&lt;62,0,'Combined Retirement'!$I$13)</f>
        <v>2420</v>
      </c>
      <c r="J496" s="25">
        <f t="shared" si="263"/>
        <v>8395.6297298201844</v>
      </c>
      <c r="K496" s="25">
        <f t="shared" si="264"/>
        <v>21655.303514578787</v>
      </c>
      <c r="L496" s="25"/>
      <c r="N496" s="25">
        <f>'Combined Retirement'!$C$18/12</f>
        <v>40940.569999999992</v>
      </c>
      <c r="O496" s="25">
        <f t="shared" si="265"/>
        <v>10889.636755601023</v>
      </c>
      <c r="P496" s="25">
        <f t="shared" si="266"/>
        <v>30050.93324439897</v>
      </c>
      <c r="Q496" s="25">
        <f t="array" aca="1" ref="Q496" ca="1">INDEX('Isaac 401k'!L:L,MATCH('Retirement Calculator'!A496,'Isaac 401k'!N:N,0),0)</f>
        <v>-261866.61379820993</v>
      </c>
      <c r="R496" s="25">
        <f t="array" aca="1" ref="R496" ca="1">INDEX('Lorri 401b'!L:L,MATCH('Retirement Calculator'!A496,'Lorri 401b'!N:N,0),0)</f>
        <v>694388.29536275403</v>
      </c>
      <c r="S496" s="25">
        <f t="shared" ca="1" si="267"/>
        <v>432521.68156454409</v>
      </c>
    </row>
    <row r="497" spans="1:19" ht="15.75" customHeight="1" x14ac:dyDescent="0.3">
      <c r="A497" s="37">
        <v>66081</v>
      </c>
      <c r="B497" s="398">
        <f t="shared" ref="B497:C497" si="498">($A497-B$9)/365.25</f>
        <v>99.041752224503767</v>
      </c>
      <c r="C497" s="398">
        <f t="shared" si="498"/>
        <v>94.431211498973312</v>
      </c>
      <c r="E497" s="25">
        <f>IF(C497&gt;$B$7,0,'Combined Retirement'!$D$13/12)</f>
        <v>0</v>
      </c>
      <c r="F497" s="25">
        <f>IF(H497=0,'Combined Retirement'!$D$32,0)+'Combined Retirement'!$B$24</f>
        <v>2870.372285649099</v>
      </c>
      <c r="G497" s="25">
        <f>'Combined Retirement'!$C$24</f>
        <v>3254.2644699519233</v>
      </c>
      <c r="H497" s="25">
        <f>IF(B497&lt;62,0,'Combined Retirement'!$I$14)</f>
        <v>2345</v>
      </c>
      <c r="I497" s="25">
        <f>IF(C497&lt;62,0,'Combined Retirement'!$I$13)</f>
        <v>2420</v>
      </c>
      <c r="J497" s="25">
        <f t="shared" si="263"/>
        <v>8395.6297298201844</v>
      </c>
      <c r="K497" s="25">
        <f t="shared" si="264"/>
        <v>21655.303514578787</v>
      </c>
      <c r="L497" s="25"/>
      <c r="N497" s="25">
        <f>'Combined Retirement'!$C$18/12</f>
        <v>40940.569999999992</v>
      </c>
      <c r="O497" s="25">
        <f t="shared" si="265"/>
        <v>10889.636755601023</v>
      </c>
      <c r="P497" s="25">
        <f t="shared" si="266"/>
        <v>30050.93324439897</v>
      </c>
      <c r="Q497" s="25">
        <f t="array" aca="1" ref="Q497" ca="1">INDEX('Isaac 401k'!L:L,MATCH('Retirement Calculator'!A497,'Isaac 401k'!N:N,0),0)</f>
        <v>-271388.33620939689</v>
      </c>
      <c r="R497" s="25">
        <f t="array" aca="1" ref="R497" ca="1">INDEX('Lorri 401b'!L:L,MATCH('Retirement Calculator'!A497,'Lorri 401b'!N:N,0),0)</f>
        <v>675536.04598087596</v>
      </c>
      <c r="S497" s="25">
        <f t="shared" ca="1" si="267"/>
        <v>404147.70977147907</v>
      </c>
    </row>
    <row r="498" spans="1:19" ht="15.75" customHeight="1" x14ac:dyDescent="0.3">
      <c r="A498" s="37">
        <v>66112</v>
      </c>
      <c r="B498" s="398">
        <f t="shared" ref="B498:C498" si="499">($A498-B$9)/365.25</f>
        <v>99.126625598904866</v>
      </c>
      <c r="C498" s="398">
        <f t="shared" si="499"/>
        <v>94.516084873374396</v>
      </c>
      <c r="E498" s="25">
        <f>IF(C498&gt;$B$7,0,'Combined Retirement'!$D$13/12)</f>
        <v>0</v>
      </c>
      <c r="F498" s="25">
        <f>IF(H498=0,'Combined Retirement'!$D$32,0)+'Combined Retirement'!$B$24</f>
        <v>2870.372285649099</v>
      </c>
      <c r="G498" s="25">
        <f>'Combined Retirement'!$C$24</f>
        <v>3254.2644699519233</v>
      </c>
      <c r="H498" s="25">
        <f>IF(B498&lt;62,0,'Combined Retirement'!$I$14)</f>
        <v>2345</v>
      </c>
      <c r="I498" s="25">
        <f>IF(C498&lt;62,0,'Combined Retirement'!$I$13)</f>
        <v>2420</v>
      </c>
      <c r="J498" s="25">
        <f t="shared" si="263"/>
        <v>8395.6297298201844</v>
      </c>
      <c r="K498" s="25">
        <f t="shared" si="264"/>
        <v>21655.303514578787</v>
      </c>
      <c r="L498" s="25"/>
      <c r="N498" s="25">
        <f>'Combined Retirement'!$C$18/12</f>
        <v>40940.569999999992</v>
      </c>
      <c r="O498" s="25">
        <f t="shared" si="265"/>
        <v>10889.636755601023</v>
      </c>
      <c r="P498" s="25">
        <f t="shared" si="266"/>
        <v>30050.93324439897</v>
      </c>
      <c r="Q498" s="25">
        <f t="array" aca="1" ref="Q498" ca="1">INDEX('Isaac 401k'!L:L,MATCH('Retirement Calculator'!A498,'Isaac 401k'!N:N,0),0)</f>
        <v>-280949.7324639638</v>
      </c>
      <c r="R498" s="25">
        <f t="array" aca="1" ref="R498" ca="1">INDEX('Lorri 401b'!L:L,MATCH('Retirement Calculator'!A498,'Lorri 401b'!N:N,0),0)</f>
        <v>656605.24555990682</v>
      </c>
      <c r="S498" s="25">
        <f t="shared" ca="1" si="267"/>
        <v>375655.51309594302</v>
      </c>
    </row>
    <row r="499" spans="1:19" ht="15.75" customHeight="1" x14ac:dyDescent="0.3">
      <c r="A499" s="37">
        <v>66143</v>
      </c>
      <c r="B499" s="398">
        <f t="shared" ref="B499:C499" si="500">($A499-B$9)/365.25</f>
        <v>99.21149897330595</v>
      </c>
      <c r="C499" s="398">
        <f t="shared" si="500"/>
        <v>94.600958247775495</v>
      </c>
      <c r="E499" s="25">
        <f>IF(C499&gt;$B$7,0,'Combined Retirement'!$D$13/12)</f>
        <v>0</v>
      </c>
      <c r="F499" s="25">
        <f>IF(H499=0,'Combined Retirement'!$D$32,0)+'Combined Retirement'!$B$24</f>
        <v>2870.372285649099</v>
      </c>
      <c r="G499" s="25">
        <f>'Combined Retirement'!$C$24</f>
        <v>3254.2644699519233</v>
      </c>
      <c r="H499" s="25">
        <f>IF(B499&lt;62,0,'Combined Retirement'!$I$14)</f>
        <v>2345</v>
      </c>
      <c r="I499" s="25">
        <f>IF(C499&lt;62,0,'Combined Retirement'!$I$13)</f>
        <v>2420</v>
      </c>
      <c r="J499" s="25">
        <f t="shared" si="263"/>
        <v>8395.6297298201844</v>
      </c>
      <c r="K499" s="25">
        <f t="shared" si="264"/>
        <v>21655.303514578787</v>
      </c>
      <c r="L499" s="25"/>
      <c r="N499" s="25">
        <f>'Combined Retirement'!$C$18/12</f>
        <v>40940.569999999992</v>
      </c>
      <c r="O499" s="25">
        <f t="shared" si="265"/>
        <v>10889.636755601023</v>
      </c>
      <c r="P499" s="25">
        <f t="shared" si="266"/>
        <v>30050.93324439897</v>
      </c>
      <c r="Q499" s="25">
        <f t="array" aca="1" ref="Q499" ca="1">INDEX('Isaac 401k'!L:L,MATCH('Retirement Calculator'!A499,'Isaac 401k'!N:N,0),0)</f>
        <v>-290550.96786959143</v>
      </c>
      <c r="R499" s="25">
        <f t="array" aca="1" ref="R499" ca="1">INDEX('Lorri 401b'!L:L,MATCH('Retirement Calculator'!A499,'Lorri 401b'!N:N,0),0)</f>
        <v>637595.56680385012</v>
      </c>
      <c r="S499" s="25">
        <f t="shared" ca="1" si="267"/>
        <v>347044.59893425868</v>
      </c>
    </row>
    <row r="500" spans="1:19" ht="15.75" customHeight="1" x14ac:dyDescent="0.3">
      <c r="A500" s="37">
        <v>66171</v>
      </c>
      <c r="B500" s="398">
        <f t="shared" ref="B500:C500" si="501">($A500-B$9)/365.25</f>
        <v>99.288158795345652</v>
      </c>
      <c r="C500" s="398">
        <f t="shared" si="501"/>
        <v>94.677618069815196</v>
      </c>
      <c r="E500" s="25">
        <f>IF(C500&gt;$B$7,0,'Combined Retirement'!$D$13/12)</f>
        <v>0</v>
      </c>
      <c r="F500" s="25">
        <f>IF(H500=0,'Combined Retirement'!$D$32,0)+'Combined Retirement'!$B$24</f>
        <v>2870.372285649099</v>
      </c>
      <c r="G500" s="25">
        <f>'Combined Retirement'!$C$24</f>
        <v>3254.2644699519233</v>
      </c>
      <c r="H500" s="25">
        <f>IF(B500&lt;62,0,'Combined Retirement'!$I$14)</f>
        <v>2345</v>
      </c>
      <c r="I500" s="25">
        <f>IF(C500&lt;62,0,'Combined Retirement'!$I$13)</f>
        <v>2420</v>
      </c>
      <c r="J500" s="25">
        <f t="shared" si="263"/>
        <v>8395.6297298201844</v>
      </c>
      <c r="K500" s="25">
        <f t="shared" si="264"/>
        <v>21655.303514578787</v>
      </c>
      <c r="L500" s="25"/>
      <c r="N500" s="25">
        <f>'Combined Retirement'!$C$18/12</f>
        <v>40940.569999999992</v>
      </c>
      <c r="O500" s="25">
        <f t="shared" si="265"/>
        <v>10889.636755601023</v>
      </c>
      <c r="P500" s="25">
        <f t="shared" si="266"/>
        <v>30050.93324439897</v>
      </c>
      <c r="Q500" s="25">
        <f t="array" aca="1" ref="Q500" ca="1">INDEX('Isaac 401k'!L:L,MATCH('Retirement Calculator'!A500,'Isaac 401k'!N:N,0),0)</f>
        <v>-300192.20842274249</v>
      </c>
      <c r="R500" s="25">
        <f t="array" aca="1" ref="R500" ca="1">INDEX('Lorri 401b'!L:L,MATCH('Retirement Calculator'!A500,'Lorri 401b'!N:N,0),0)</f>
        <v>618506.68105297664</v>
      </c>
      <c r="S500" s="25">
        <f t="shared" ca="1" si="267"/>
        <v>318314.47263023414</v>
      </c>
    </row>
    <row r="501" spans="1:19" ht="15.75" customHeight="1" x14ac:dyDescent="0.3">
      <c r="A501" s="37">
        <v>66202</v>
      </c>
      <c r="B501" s="398">
        <f t="shared" ref="B501:C501" si="502">($A501-B$9)/365.25</f>
        <v>99.37303216974675</v>
      </c>
      <c r="C501" s="398">
        <f t="shared" si="502"/>
        <v>94.762491444216295</v>
      </c>
      <c r="E501" s="25">
        <f>IF(C501&gt;$B$7,0,'Combined Retirement'!$D$13/12)</f>
        <v>0</v>
      </c>
      <c r="F501" s="25">
        <f>IF(H501=0,'Combined Retirement'!$D$32,0)+'Combined Retirement'!$B$24</f>
        <v>2870.372285649099</v>
      </c>
      <c r="G501" s="25">
        <f>'Combined Retirement'!$C$24</f>
        <v>3254.2644699519233</v>
      </c>
      <c r="H501" s="25">
        <f>IF(B501&lt;62,0,'Combined Retirement'!$I$14)</f>
        <v>2345</v>
      </c>
      <c r="I501" s="25">
        <f>IF(C501&lt;62,0,'Combined Retirement'!$I$13)</f>
        <v>2420</v>
      </c>
      <c r="J501" s="25">
        <f t="shared" si="263"/>
        <v>8395.6297298201844</v>
      </c>
      <c r="K501" s="25">
        <f t="shared" si="264"/>
        <v>21655.303514578787</v>
      </c>
      <c r="L501" s="25"/>
      <c r="N501" s="25">
        <f>'Combined Retirement'!$C$18/12</f>
        <v>40940.569999999992</v>
      </c>
      <c r="O501" s="25">
        <f t="shared" si="265"/>
        <v>10889.636755601023</v>
      </c>
      <c r="P501" s="25">
        <f t="shared" si="266"/>
        <v>30050.93324439897</v>
      </c>
      <c r="Q501" s="25">
        <f t="array" aca="1" ref="Q501" ca="1">INDEX('Isaac 401k'!L:L,MATCH('Retirement Calculator'!A501,'Isaac 401k'!N:N,0),0)</f>
        <v>-309873.62081153167</v>
      </c>
      <c r="R501" s="25">
        <f t="array" aca="1" ref="R501" ca="1">INDEX('Lorri 401b'!L:L,MATCH('Retirement Calculator'!A501,'Lorri 401b'!N:N,0),0)</f>
        <v>599338.25827814126</v>
      </c>
      <c r="S501" s="25">
        <f t="shared" ca="1" si="267"/>
        <v>289464.63746660959</v>
      </c>
    </row>
    <row r="502" spans="1:19" ht="15.75" customHeight="1" x14ac:dyDescent="0.3">
      <c r="A502" s="37">
        <v>66232</v>
      </c>
      <c r="B502" s="398">
        <f t="shared" ref="B502:C502" si="503">($A502-B$9)/365.25</f>
        <v>99.455167693360707</v>
      </c>
      <c r="C502" s="398">
        <f t="shared" si="503"/>
        <v>94.844626967830251</v>
      </c>
      <c r="E502" s="25">
        <f>IF(C502&gt;$B$7,0,'Combined Retirement'!$D$13/12)</f>
        <v>0</v>
      </c>
      <c r="F502" s="25">
        <f>IF(H502=0,'Combined Retirement'!$D$32,0)+'Combined Retirement'!$B$24</f>
        <v>2870.372285649099</v>
      </c>
      <c r="G502" s="25">
        <f>'Combined Retirement'!$C$24</f>
        <v>3254.2644699519233</v>
      </c>
      <c r="H502" s="25">
        <f>IF(B502&lt;62,0,'Combined Retirement'!$I$14)</f>
        <v>2345</v>
      </c>
      <c r="I502" s="25">
        <f>IF(C502&lt;62,0,'Combined Retirement'!$I$13)</f>
        <v>2420</v>
      </c>
      <c r="J502" s="25">
        <f t="shared" si="263"/>
        <v>8395.6297298201844</v>
      </c>
      <c r="K502" s="25">
        <f t="shared" si="264"/>
        <v>21655.303514578787</v>
      </c>
      <c r="L502" s="25"/>
      <c r="N502" s="25">
        <f>'Combined Retirement'!$C$18/12</f>
        <v>40940.569999999992</v>
      </c>
      <c r="O502" s="25">
        <f t="shared" si="265"/>
        <v>10889.636755601023</v>
      </c>
      <c r="P502" s="25">
        <f t="shared" si="266"/>
        <v>30050.93324439897</v>
      </c>
      <c r="Q502" s="25">
        <f t="array" aca="1" ref="Q502" ca="1">INDEX('Isaac 401k'!L:L,MATCH('Retirement Calculator'!A502,'Isaac 401k'!N:N,0),0)</f>
        <v>-319595.37241860747</v>
      </c>
      <c r="R502" s="25">
        <f t="array" aca="1" ref="R502" ca="1">INDEX('Lorri 401b'!L:L,MATCH('Retirement Calculator'!A502,'Lorri 401b'!N:N,0),0)</f>
        <v>580089.96707507723</v>
      </c>
      <c r="S502" s="25">
        <f t="shared" ca="1" si="267"/>
        <v>260494.59465646977</v>
      </c>
    </row>
    <row r="503" spans="1:19" ht="15.75" customHeight="1" x14ac:dyDescent="0.3">
      <c r="A503" s="37">
        <v>66263</v>
      </c>
      <c r="B503" s="398">
        <f t="shared" ref="B503:C503" si="504">($A503-B$9)/365.25</f>
        <v>99.540041067761805</v>
      </c>
      <c r="C503" s="398">
        <f t="shared" si="504"/>
        <v>94.92950034223135</v>
      </c>
      <c r="E503" s="25">
        <f>IF(C503&gt;$B$7,0,'Combined Retirement'!$D$13/12)</f>
        <v>0</v>
      </c>
      <c r="F503" s="25">
        <f>IF(H503=0,'Combined Retirement'!$D$32,0)+'Combined Retirement'!$B$24</f>
        <v>2870.372285649099</v>
      </c>
      <c r="G503" s="25">
        <f>'Combined Retirement'!$C$24</f>
        <v>3254.2644699519233</v>
      </c>
      <c r="H503" s="25">
        <f>IF(B503&lt;62,0,'Combined Retirement'!$I$14)</f>
        <v>2345</v>
      </c>
      <c r="I503" s="25">
        <f>IF(C503&lt;62,0,'Combined Retirement'!$I$13)</f>
        <v>2420</v>
      </c>
      <c r="J503" s="25">
        <f t="shared" si="263"/>
        <v>8395.6297298201844</v>
      </c>
      <c r="K503" s="25">
        <f t="shared" si="264"/>
        <v>21655.303514578787</v>
      </c>
      <c r="L503" s="25"/>
      <c r="N503" s="25">
        <f>'Combined Retirement'!$C$18/12</f>
        <v>40940.569999999992</v>
      </c>
      <c r="O503" s="25">
        <f t="shared" si="265"/>
        <v>10889.636755601023</v>
      </c>
      <c r="P503" s="25">
        <f t="shared" si="266"/>
        <v>30050.93324439897</v>
      </c>
      <c r="Q503" s="25">
        <f t="array" aca="1" ref="Q503" ca="1">INDEX('Isaac 401k'!L:L,MATCH('Retirement Calculator'!A503,'Isaac 401k'!N:N,0),0)</f>
        <v>-329357.63132404612</v>
      </c>
      <c r="R503" s="25">
        <f t="array" aca="1" ref="R503" ca="1">INDEX('Lorri 401b'!L:L,MATCH('Retirement Calculator'!A503,'Lorri 401b'!N:N,0),0)</f>
        <v>560761.47465866723</v>
      </c>
      <c r="S503" s="25">
        <f t="shared" ca="1" si="267"/>
        <v>231403.84333462111</v>
      </c>
    </row>
    <row r="504" spans="1:19" ht="15.75" customHeight="1" x14ac:dyDescent="0.3">
      <c r="A504" s="37">
        <v>66293</v>
      </c>
      <c r="B504" s="398">
        <f t="shared" ref="B504:C504" si="505">($A504-B$9)/365.25</f>
        <v>99.622176591375776</v>
      </c>
      <c r="C504" s="398">
        <f t="shared" si="505"/>
        <v>95.011635865845307</v>
      </c>
      <c r="E504" s="25">
        <f>IF(C504&gt;$B$7,0,'Combined Retirement'!$D$13/12)</f>
        <v>0</v>
      </c>
      <c r="F504" s="25">
        <f>IF(H504=0,'Combined Retirement'!$D$32,0)+'Combined Retirement'!$B$24</f>
        <v>2870.372285649099</v>
      </c>
      <c r="G504" s="25">
        <f>'Combined Retirement'!$C$24</f>
        <v>3254.2644699519233</v>
      </c>
      <c r="H504" s="25">
        <f>IF(B504&lt;62,0,'Combined Retirement'!$I$14)</f>
        <v>2345</v>
      </c>
      <c r="I504" s="25">
        <f>IF(C504&lt;62,0,'Combined Retirement'!$I$13)</f>
        <v>2420</v>
      </c>
      <c r="J504" s="25">
        <f t="shared" si="263"/>
        <v>8395.6297298201844</v>
      </c>
      <c r="K504" s="25">
        <f t="shared" si="264"/>
        <v>21655.303514578787</v>
      </c>
      <c r="L504" s="25"/>
      <c r="N504" s="25">
        <f>'Combined Retirement'!$C$18/12</f>
        <v>40940.569999999992</v>
      </c>
      <c r="O504" s="25">
        <f t="shared" si="265"/>
        <v>10889.636755601023</v>
      </c>
      <c r="P504" s="25">
        <f t="shared" si="266"/>
        <v>30050.93324439897</v>
      </c>
      <c r="Q504" s="25">
        <f t="array" aca="1" ref="Q504" ca="1">INDEX('Isaac 401k'!L:L,MATCH('Retirement Calculator'!A504,'Isaac 401k'!N:N,0),0)</f>
        <v>-339160.5663082574</v>
      </c>
      <c r="R504" s="25">
        <f t="array" aca="1" ref="R504" ca="1">INDEX('Lorri 401b'!L:L,MATCH('Retirement Calculator'!A504,'Lorri 401b'!N:N,0),0)</f>
        <v>541352.44685718883</v>
      </c>
      <c r="S504" s="25">
        <f t="shared" ca="1" si="267"/>
        <v>202191.88054893143</v>
      </c>
    </row>
    <row r="505" spans="1:19" ht="15.75" customHeight="1" x14ac:dyDescent="0.3">
      <c r="A505" s="37">
        <v>66324</v>
      </c>
      <c r="B505" s="398">
        <f t="shared" ref="B505:C505" si="506">($A505-B$9)/365.25</f>
        <v>99.707049965776861</v>
      </c>
      <c r="C505" s="398">
        <f t="shared" si="506"/>
        <v>95.096509240246405</v>
      </c>
      <c r="E505" s="25">
        <f>IF(C505&gt;$B$7,0,'Combined Retirement'!$D$13/12)</f>
        <v>0</v>
      </c>
      <c r="F505" s="25">
        <f>IF(H505=0,'Combined Retirement'!$D$32,0)+'Combined Retirement'!$B$24</f>
        <v>2870.372285649099</v>
      </c>
      <c r="G505" s="25">
        <f>'Combined Retirement'!$C$24</f>
        <v>3254.2644699519233</v>
      </c>
      <c r="H505" s="25">
        <f>IF(B505&lt;62,0,'Combined Retirement'!$I$14)</f>
        <v>2345</v>
      </c>
      <c r="I505" s="25">
        <f>IF(C505&lt;62,0,'Combined Retirement'!$I$13)</f>
        <v>2420</v>
      </c>
      <c r="J505" s="25">
        <f t="shared" si="263"/>
        <v>8395.6297298201844</v>
      </c>
      <c r="K505" s="25">
        <f t="shared" si="264"/>
        <v>21655.303514578787</v>
      </c>
      <c r="L505" s="25"/>
      <c r="N505" s="25">
        <f>'Combined Retirement'!$C$18/12</f>
        <v>40940.569999999992</v>
      </c>
      <c r="O505" s="25">
        <f t="shared" si="265"/>
        <v>10889.636755601023</v>
      </c>
      <c r="P505" s="25">
        <f t="shared" si="266"/>
        <v>30050.93324439897</v>
      </c>
      <c r="Q505" s="25">
        <f t="array" aca="1" ref="Q505" ca="1">INDEX('Isaac 401k'!L:L,MATCH('Retirement Calculator'!A505,'Isaac 401k'!N:N,0),0)</f>
        <v>-349004.34685490292</v>
      </c>
      <c r="R505" s="25">
        <f t="array" aca="1" ref="R505" ca="1">INDEX('Lorri 401b'!L:L,MATCH('Retirement Calculator'!A505,'Lorri 401b'!N:N,0),0)</f>
        <v>521862.54810653761</v>
      </c>
      <c r="S505" s="25">
        <f t="shared" ca="1" si="267"/>
        <v>172858.20125163469</v>
      </c>
    </row>
    <row r="506" spans="1:19" ht="15.75" customHeight="1" x14ac:dyDescent="0.3">
      <c r="A506" s="37">
        <v>66355</v>
      </c>
      <c r="B506" s="398">
        <f t="shared" ref="B506:C506" si="507">($A506-B$9)/365.25</f>
        <v>99.791923340177959</v>
      </c>
      <c r="C506" s="398">
        <f t="shared" si="507"/>
        <v>95.181382614647504</v>
      </c>
      <c r="E506" s="25">
        <f>IF(C506&gt;$B$7,0,'Combined Retirement'!$D$13/12)</f>
        <v>0</v>
      </c>
      <c r="F506" s="25">
        <f>IF(H506=0,'Combined Retirement'!$D$32,0)+'Combined Retirement'!$B$24</f>
        <v>2870.372285649099</v>
      </c>
      <c r="G506" s="25">
        <f>'Combined Retirement'!$C$24</f>
        <v>3254.2644699519233</v>
      </c>
      <c r="H506" s="25">
        <f>IF(B506&lt;62,0,'Combined Retirement'!$I$14)</f>
        <v>2345</v>
      </c>
      <c r="I506" s="25">
        <f>IF(C506&lt;62,0,'Combined Retirement'!$I$13)</f>
        <v>2420</v>
      </c>
      <c r="J506" s="25">
        <f t="shared" si="263"/>
        <v>8395.6297298201844</v>
      </c>
      <c r="K506" s="25">
        <f t="shared" si="264"/>
        <v>21655.303514578787</v>
      </c>
      <c r="L506" s="25"/>
      <c r="N506" s="25">
        <f>'Combined Retirement'!$C$18/12</f>
        <v>40940.569999999992</v>
      </c>
      <c r="O506" s="25">
        <f t="shared" si="265"/>
        <v>10889.636755601023</v>
      </c>
      <c r="P506" s="25">
        <f t="shared" si="266"/>
        <v>30050.93324439897</v>
      </c>
      <c r="Q506" s="25">
        <f t="array" aca="1" ref="Q506" ca="1">INDEX('Isaac 401k'!L:L,MATCH('Retirement Calculator'!A506,'Isaac 401k'!N:N,0),0)</f>
        <v>-358889.14315382612</v>
      </c>
      <c r="R506" s="25">
        <f t="array" aca="1" ref="R506" ca="1">INDEX('Lorri 401b'!L:L,MATCH('Retirement Calculator'!A506,'Lorri 401b'!N:N,0),0)</f>
        <v>502291.44144442532</v>
      </c>
      <c r="S506" s="25">
        <f t="shared" ca="1" si="267"/>
        <v>143402.2982905992</v>
      </c>
    </row>
    <row r="507" spans="1:19" ht="15.75" customHeight="1" x14ac:dyDescent="0.3">
      <c r="A507" s="37">
        <v>66385</v>
      </c>
      <c r="B507" s="398">
        <f t="shared" ref="B507:C507" si="508">($A507-B$9)/365.25</f>
        <v>99.87405886379193</v>
      </c>
      <c r="C507" s="398">
        <f t="shared" si="508"/>
        <v>95.26351813826146</v>
      </c>
      <c r="E507" s="25">
        <f>IF(C507&gt;$B$7,0,'Combined Retirement'!$D$13/12)</f>
        <v>0</v>
      </c>
      <c r="F507" s="25">
        <f>IF(H507=0,'Combined Retirement'!$D$32,0)+'Combined Retirement'!$B$24</f>
        <v>2870.372285649099</v>
      </c>
      <c r="G507" s="25">
        <f>'Combined Retirement'!$C$24</f>
        <v>3254.2644699519233</v>
      </c>
      <c r="H507" s="25">
        <f>IF(B507&lt;62,0,'Combined Retirement'!$I$14)</f>
        <v>2345</v>
      </c>
      <c r="I507" s="25">
        <f>IF(C507&lt;62,0,'Combined Retirement'!$I$13)</f>
        <v>2420</v>
      </c>
      <c r="J507" s="25">
        <f t="shared" si="263"/>
        <v>8395.6297298201844</v>
      </c>
      <c r="K507" s="25">
        <f t="shared" si="264"/>
        <v>21655.303514578787</v>
      </c>
      <c r="L507" s="25"/>
      <c r="N507" s="25">
        <f>'Combined Retirement'!$C$18/12</f>
        <v>40940.569999999992</v>
      </c>
      <c r="O507" s="25">
        <f t="shared" si="265"/>
        <v>10889.636755601023</v>
      </c>
      <c r="P507" s="25">
        <f t="shared" si="266"/>
        <v>30050.93324439897</v>
      </c>
      <c r="Q507" s="25">
        <f t="array" aca="1" ref="Q507" ca="1">INDEX('Isaac 401k'!L:L,MATCH('Retirement Calculator'!A507,'Isaac 401k'!N:N,0),0)</f>
        <v>-368815.12610399484</v>
      </c>
      <c r="R507" s="25">
        <f t="array" aca="1" ref="R507" ca="1">INDEX('Lorri 401b'!L:L,MATCH('Retirement Calculator'!A507,'Lorri 401b'!N:N,0),0)</f>
        <v>482638.78850455425</v>
      </c>
      <c r="S507" s="25">
        <f t="shared" ca="1" si="267"/>
        <v>113823.66240055941</v>
      </c>
    </row>
    <row r="508" spans="1:19" ht="15.75" customHeight="1" x14ac:dyDescent="0.3">
      <c r="A508" s="37">
        <v>66416</v>
      </c>
      <c r="B508" s="398">
        <f t="shared" ref="B508:C508" si="509">($A508-B$9)/365.25</f>
        <v>99.958932238193015</v>
      </c>
      <c r="C508" s="398">
        <f t="shared" si="509"/>
        <v>95.348391512662559</v>
      </c>
      <c r="E508" s="25">
        <f>IF(C508&gt;$B$7,0,'Combined Retirement'!$D$13/12)</f>
        <v>0</v>
      </c>
      <c r="F508" s="25">
        <f>IF(H508=0,'Combined Retirement'!$D$32,0)+'Combined Retirement'!$B$24</f>
        <v>2870.372285649099</v>
      </c>
      <c r="G508" s="25">
        <f>'Combined Retirement'!$C$24</f>
        <v>3254.2644699519233</v>
      </c>
      <c r="H508" s="25">
        <f>IF(B508&lt;62,0,'Combined Retirement'!$I$14)</f>
        <v>2345</v>
      </c>
      <c r="I508" s="25">
        <f>IF(C508&lt;62,0,'Combined Retirement'!$I$13)</f>
        <v>2420</v>
      </c>
      <c r="J508" s="25">
        <f t="shared" si="263"/>
        <v>8395.6297298201844</v>
      </c>
      <c r="K508" s="25">
        <f t="shared" si="264"/>
        <v>21655.303514578787</v>
      </c>
      <c r="L508" s="25"/>
      <c r="N508" s="25">
        <f>'Combined Retirement'!$C$18/12</f>
        <v>40940.569999999992</v>
      </c>
      <c r="O508" s="25">
        <f t="shared" si="265"/>
        <v>10889.636755601023</v>
      </c>
      <c r="P508" s="25">
        <f t="shared" si="266"/>
        <v>30050.93324439897</v>
      </c>
      <c r="Q508" s="25">
        <f t="array" aca="1" ref="Q508" ca="1">INDEX('Isaac 401k'!L:L,MATCH('Retirement Calculator'!A508,'Isaac 401k'!N:N,0),0)</f>
        <v>-378782.46731645591</v>
      </c>
      <c r="R508" s="25">
        <f t="array" aca="1" ref="R508" ca="1">INDEX('Lorri 401b'!L:L,MATCH('Retirement Calculator'!A508,'Lorri 401b'!N:N,0),0)</f>
        <v>462904.24951076705</v>
      </c>
      <c r="S508" s="25">
        <f t="shared" ca="1" si="267"/>
        <v>84121.782194311148</v>
      </c>
    </row>
    <row r="509" spans="1:19" ht="15.75" customHeight="1" x14ac:dyDescent="0.3">
      <c r="A509" s="37">
        <v>66446</v>
      </c>
      <c r="B509" s="398">
        <f t="shared" ref="B509:C509" si="510">($A509-B$9)/365.25</f>
        <v>100.04106776180699</v>
      </c>
      <c r="C509" s="398">
        <f t="shared" si="510"/>
        <v>95.43052703627653</v>
      </c>
      <c r="E509" s="25">
        <f>IF(C509&gt;$B$7,0,'Combined Retirement'!$D$13/12)</f>
        <v>0</v>
      </c>
      <c r="F509" s="25">
        <f>IF(H509=0,'Combined Retirement'!$D$32,0)+'Combined Retirement'!$B$24</f>
        <v>2870.372285649099</v>
      </c>
      <c r="G509" s="25">
        <f>'Combined Retirement'!$C$24</f>
        <v>3254.2644699519233</v>
      </c>
      <c r="H509" s="25">
        <f>IF(B509&lt;62,0,'Combined Retirement'!$I$14)</f>
        <v>2345</v>
      </c>
      <c r="I509" s="25">
        <f>IF(C509&lt;62,0,'Combined Retirement'!$I$13)</f>
        <v>2420</v>
      </c>
      <c r="J509" s="25">
        <f t="shared" si="263"/>
        <v>8395.6297298201844</v>
      </c>
      <c r="K509" s="25">
        <f t="shared" si="264"/>
        <v>21655.303514578787</v>
      </c>
      <c r="L509" s="25"/>
      <c r="N509" s="25">
        <f>'Combined Retirement'!$C$18/12</f>
        <v>40940.569999999992</v>
      </c>
      <c r="O509" s="25">
        <f t="shared" si="265"/>
        <v>10889.636755601023</v>
      </c>
      <c r="P509" s="25">
        <f t="shared" si="266"/>
        <v>30050.93324439897</v>
      </c>
      <c r="Q509" s="25">
        <f t="array" aca="1" ref="Q509" ca="1">INDEX('Isaac 401k'!L:L,MATCH('Retirement Calculator'!A509,'Isaac 401k'!N:N,0),0)</f>
        <v>-388791.33911730221</v>
      </c>
      <c r="R509" s="25">
        <f t="array" aca="1" ref="R509" ca="1">INDEX('Lorri 401b'!L:L,MATCH('Retirement Calculator'!A509,'Lorri 401b'!N:N,0),0)</f>
        <v>443087.48327117239</v>
      </c>
      <c r="S509" s="25">
        <f t="shared" ca="1" si="267"/>
        <v>54296.144153870177</v>
      </c>
    </row>
    <row r="510" spans="1:19" ht="15.75" customHeight="1" x14ac:dyDescent="0.3">
      <c r="A510" s="37">
        <v>66477</v>
      </c>
      <c r="B510" s="398">
        <f t="shared" ref="B510:C510" si="511">($A510-B$9)/365.25</f>
        <v>100.12594113620807</v>
      </c>
      <c r="C510" s="398">
        <f t="shared" si="511"/>
        <v>95.515400410677614</v>
      </c>
      <c r="E510" s="25">
        <f>IF(C510&gt;$B$7,0,'Combined Retirement'!$D$13/12)</f>
        <v>0</v>
      </c>
      <c r="F510" s="25">
        <f>IF(H510=0,'Combined Retirement'!$D$32,0)+'Combined Retirement'!$B$24</f>
        <v>2870.372285649099</v>
      </c>
      <c r="G510" s="25">
        <f>'Combined Retirement'!$C$24</f>
        <v>3254.2644699519233</v>
      </c>
      <c r="H510" s="25">
        <f>IF(B510&lt;62,0,'Combined Retirement'!$I$14)</f>
        <v>2345</v>
      </c>
      <c r="I510" s="25">
        <f>IF(C510&lt;62,0,'Combined Retirement'!$I$13)</f>
        <v>2420</v>
      </c>
      <c r="J510" s="25">
        <f t="shared" si="263"/>
        <v>8395.6297298201844</v>
      </c>
      <c r="K510" s="25">
        <f t="shared" si="264"/>
        <v>21655.303514578787</v>
      </c>
      <c r="L510" s="25"/>
      <c r="N510" s="25">
        <f>'Combined Retirement'!$C$18/12</f>
        <v>40940.569999999992</v>
      </c>
      <c r="O510" s="25">
        <f t="shared" si="265"/>
        <v>10889.636755601023</v>
      </c>
      <c r="P510" s="25">
        <f t="shared" si="266"/>
        <v>30050.93324439897</v>
      </c>
      <c r="Q510" s="25">
        <f t="array" aca="1" ref="Q510" ca="1">INDEX('Isaac 401k'!L:L,MATCH('Retirement Calculator'!A510,'Isaac 401k'!N:N,0),0)</f>
        <v>-398841.91455065209</v>
      </c>
      <c r="R510" s="25">
        <f t="array" aca="1" ref="R510" ca="1">INDEX('Lorri 401b'!L:L,MATCH('Retirement Calculator'!A510,'Lorri 401b'!N:N,0),0)</f>
        <v>423188.14717224607</v>
      </c>
      <c r="S510" s="25">
        <f t="shared" ca="1" si="267"/>
        <v>24346.232621593983</v>
      </c>
    </row>
    <row r="511" spans="1:19" ht="15.75" customHeight="1" x14ac:dyDescent="0.3">
      <c r="A511" s="37">
        <v>66508</v>
      </c>
      <c r="B511" s="398">
        <f t="shared" ref="B511:C511" si="512">($A511-B$9)/365.25</f>
        <v>100.21081451060917</v>
      </c>
      <c r="C511" s="398">
        <f t="shared" si="512"/>
        <v>95.600273785078713</v>
      </c>
      <c r="E511" s="25">
        <f>IF(C511&gt;$B$7,0,'Combined Retirement'!$D$13/12)</f>
        <v>0</v>
      </c>
      <c r="F511" s="25">
        <f>IF(H511=0,'Combined Retirement'!$D$32,0)+'Combined Retirement'!$B$24</f>
        <v>2870.372285649099</v>
      </c>
      <c r="G511" s="25">
        <f>'Combined Retirement'!$C$24</f>
        <v>3254.2644699519233</v>
      </c>
      <c r="H511" s="25">
        <f>IF(B511&lt;62,0,'Combined Retirement'!$I$14)</f>
        <v>2345</v>
      </c>
      <c r="I511" s="25">
        <f>IF(C511&lt;62,0,'Combined Retirement'!$I$13)</f>
        <v>2420</v>
      </c>
      <c r="J511" s="25">
        <f t="shared" si="263"/>
        <v>8395.6297298201844</v>
      </c>
      <c r="K511" s="25">
        <f t="shared" si="264"/>
        <v>21655.303514578787</v>
      </c>
      <c r="L511" s="25"/>
      <c r="N511" s="25">
        <f>'Combined Retirement'!$C$18/12</f>
        <v>40940.569999999992</v>
      </c>
      <c r="O511" s="25">
        <f t="shared" si="265"/>
        <v>10889.636755601023</v>
      </c>
      <c r="P511" s="25">
        <f t="shared" si="266"/>
        <v>30050.93324439897</v>
      </c>
      <c r="Q511" s="25">
        <f t="array" aca="1" ref="Q511" ca="1">INDEX('Isaac 401k'!L:L,MATCH('Retirement Calculator'!A511,'Isaac 401k'!N:N,0),0)</f>
        <v>-408934.36738164088</v>
      </c>
      <c r="R511" s="25">
        <f t="array" aca="1" ref="R511" ca="1">INDEX('Lorri 401b'!L:L,MATCH('Retirement Calculator'!A511,'Lorri 401b'!N:N,0),0)</f>
        <v>403205.89717290754</v>
      </c>
      <c r="S511" s="25">
        <f t="shared" ca="1" si="267"/>
        <v>-5728.4702087333426</v>
      </c>
    </row>
    <row r="512" spans="1:19" ht="15.75" customHeight="1" x14ac:dyDescent="0.3">
      <c r="A512" s="37">
        <v>66536</v>
      </c>
      <c r="B512" s="398">
        <f t="shared" ref="B512:C512" si="513">($A512-B$9)/365.25</f>
        <v>100.28747433264887</v>
      </c>
      <c r="C512" s="398">
        <f t="shared" si="513"/>
        <v>95.676933607118414</v>
      </c>
      <c r="E512" s="25">
        <f>IF(C512&gt;$B$7,0,'Combined Retirement'!$D$13/12)</f>
        <v>0</v>
      </c>
      <c r="F512" s="25">
        <f>IF(H512=0,'Combined Retirement'!$D$32,0)+'Combined Retirement'!$B$24</f>
        <v>2870.372285649099</v>
      </c>
      <c r="G512" s="25">
        <f>'Combined Retirement'!$C$24</f>
        <v>3254.2644699519233</v>
      </c>
      <c r="H512" s="25">
        <f>IF(B512&lt;62,0,'Combined Retirement'!$I$14)</f>
        <v>2345</v>
      </c>
      <c r="I512" s="25">
        <f>IF(C512&lt;62,0,'Combined Retirement'!$I$13)</f>
        <v>2420</v>
      </c>
      <c r="J512" s="25">
        <f t="shared" si="263"/>
        <v>8395.6297298201844</v>
      </c>
      <c r="K512" s="25">
        <f t="shared" si="264"/>
        <v>21655.303514578787</v>
      </c>
      <c r="L512" s="25"/>
      <c r="N512" s="25">
        <f>'Combined Retirement'!$C$18/12</f>
        <v>40940.569999999992</v>
      </c>
      <c r="O512" s="25">
        <f t="shared" si="265"/>
        <v>10889.636755601023</v>
      </c>
      <c r="P512" s="25">
        <f t="shared" si="266"/>
        <v>30050.93324439897</v>
      </c>
      <c r="Q512" s="25">
        <f t="array" aca="1" ref="Q512" ca="1">INDEX('Isaac 401k'!L:L,MATCH('Retirement Calculator'!A512,'Isaac 401k'!N:N,0),0)</f>
        <v>-419068.87209942547</v>
      </c>
      <c r="R512" s="25">
        <f t="array" aca="1" ref="R512" ca="1">INDEX('Lorri 401b'!L:L,MATCH('Retirement Calculator'!A512,'Lorri 401b'!N:N,0),0)</f>
        <v>383140.38779857178</v>
      </c>
      <c r="S512" s="25">
        <f t="shared" ca="1" si="267"/>
        <v>-35928.484300853685</v>
      </c>
    </row>
    <row r="513" spans="1:19" ht="15.75" customHeight="1" x14ac:dyDescent="0.3">
      <c r="A513" s="37">
        <v>66567</v>
      </c>
      <c r="B513" s="398">
        <f t="shared" ref="B513:C513" si="514">($A513-B$9)/365.25</f>
        <v>100.37234770704997</v>
      </c>
      <c r="C513" s="398">
        <f t="shared" si="514"/>
        <v>95.761806981519513</v>
      </c>
      <c r="E513" s="25">
        <f>IF(C513&gt;$B$7,0,'Combined Retirement'!$D$13/12)</f>
        <v>0</v>
      </c>
      <c r="F513" s="25">
        <f>IF(H513=0,'Combined Retirement'!$D$32,0)+'Combined Retirement'!$B$24</f>
        <v>2870.372285649099</v>
      </c>
      <c r="G513" s="25">
        <f>'Combined Retirement'!$C$24</f>
        <v>3254.2644699519233</v>
      </c>
      <c r="H513" s="25">
        <f>IF(B513&lt;62,0,'Combined Retirement'!$I$14)</f>
        <v>2345</v>
      </c>
      <c r="I513" s="25">
        <f>IF(C513&lt;62,0,'Combined Retirement'!$I$13)</f>
        <v>2420</v>
      </c>
      <c r="J513" s="25">
        <f t="shared" si="263"/>
        <v>8395.6297298201844</v>
      </c>
      <c r="K513" s="25">
        <f t="shared" si="264"/>
        <v>21655.303514578787</v>
      </c>
      <c r="L513" s="25"/>
      <c r="N513" s="25">
        <f>'Combined Retirement'!$C$18/12</f>
        <v>40940.569999999992</v>
      </c>
      <c r="O513" s="25">
        <f t="shared" si="265"/>
        <v>10889.636755601023</v>
      </c>
      <c r="P513" s="25">
        <f t="shared" si="266"/>
        <v>30050.93324439897</v>
      </c>
      <c r="Q513" s="25">
        <f t="array" aca="1" ref="Q513" ca="1">INDEX('Isaac 401k'!L:L,MATCH('Retirement Calculator'!A513,'Isaac 401k'!N:N,0),0)</f>
        <v>-429245.60392020084</v>
      </c>
      <c r="R513" s="25">
        <f t="array" aca="1" ref="R513" ca="1">INDEX('Lorri 401b'!L:L,MATCH('Retirement Calculator'!A513,'Lorri 401b'!N:N,0),0)</f>
        <v>362991.27213517629</v>
      </c>
      <c r="S513" s="25">
        <f t="shared" ca="1" si="267"/>
        <v>-66254.331785024551</v>
      </c>
    </row>
    <row r="514" spans="1:19" ht="15.75" customHeight="1" x14ac:dyDescent="0.3">
      <c r="A514" s="37">
        <v>66597</v>
      </c>
      <c r="B514" s="398">
        <f t="shared" ref="B514:C514" si="515">($A514-B$9)/365.25</f>
        <v>100.45448323066393</v>
      </c>
      <c r="C514" s="398">
        <f t="shared" si="515"/>
        <v>95.843942505133469</v>
      </c>
      <c r="E514" s="25">
        <f>IF(C514&gt;$B$7,0,'Combined Retirement'!$D$13/12)</f>
        <v>0</v>
      </c>
      <c r="F514" s="25">
        <f>IF(H514=0,'Combined Retirement'!$D$32,0)+'Combined Retirement'!$B$24</f>
        <v>2870.372285649099</v>
      </c>
      <c r="G514" s="25">
        <f>'Combined Retirement'!$C$24</f>
        <v>3254.2644699519233</v>
      </c>
      <c r="H514" s="25">
        <f>IF(B514&lt;62,0,'Combined Retirement'!$I$14)</f>
        <v>2345</v>
      </c>
      <c r="I514" s="25">
        <f>IF(C514&lt;62,0,'Combined Retirement'!$I$13)</f>
        <v>2420</v>
      </c>
      <c r="J514" s="25">
        <f t="shared" si="263"/>
        <v>8395.6297298201844</v>
      </c>
      <c r="K514" s="25">
        <f t="shared" si="264"/>
        <v>21655.303514578787</v>
      </c>
      <c r="L514" s="25"/>
      <c r="N514" s="25">
        <f>'Combined Retirement'!$C$18/12</f>
        <v>40940.569999999992</v>
      </c>
      <c r="O514" s="25">
        <f t="shared" si="265"/>
        <v>10889.636755601023</v>
      </c>
      <c r="P514" s="25">
        <f t="shared" si="266"/>
        <v>30050.93324439897</v>
      </c>
      <c r="Q514" s="25">
        <f t="array" aca="1" ref="Q514" ca="1">INDEX('Isaac 401k'!L:L,MATCH('Retirement Calculator'!A514,'Isaac 401k'!N:N,0),0)</f>
        <v>-439464.73879022943</v>
      </c>
      <c r="R514" s="25">
        <f t="array" aca="1" ref="R514" ca="1">INDEX('Lorri 401b'!L:L,MATCH('Retirement Calculator'!A514,'Lorri 401b'!N:N,0),0)</f>
        <v>342758.20182318334</v>
      </c>
      <c r="S514" s="25">
        <f t="shared" ca="1" si="267"/>
        <v>-96706.536967046093</v>
      </c>
    </row>
    <row r="515" spans="1:19" ht="15.75" customHeight="1" x14ac:dyDescent="0.3">
      <c r="A515" s="37">
        <v>66628</v>
      </c>
      <c r="B515" s="398">
        <f t="shared" ref="B515:C515" si="516">($A515-B$9)/365.25</f>
        <v>100.53935660506502</v>
      </c>
      <c r="C515" s="398">
        <f t="shared" si="516"/>
        <v>95.928815879534568</v>
      </c>
      <c r="E515" s="25">
        <f>IF(C515&gt;$B$7,0,'Combined Retirement'!$D$13/12)</f>
        <v>0</v>
      </c>
      <c r="F515" s="25">
        <f>IF(H515=0,'Combined Retirement'!$D$32,0)+'Combined Retirement'!$B$24</f>
        <v>2870.372285649099</v>
      </c>
      <c r="G515" s="25">
        <f>'Combined Retirement'!$C$24</f>
        <v>3254.2644699519233</v>
      </c>
      <c r="H515" s="25">
        <f>IF(B515&lt;62,0,'Combined Retirement'!$I$14)</f>
        <v>2345</v>
      </c>
      <c r="I515" s="25">
        <f>IF(C515&lt;62,0,'Combined Retirement'!$I$13)</f>
        <v>2420</v>
      </c>
      <c r="J515" s="25">
        <f t="shared" si="263"/>
        <v>8395.6297298201844</v>
      </c>
      <c r="K515" s="25">
        <f t="shared" si="264"/>
        <v>21655.303514578787</v>
      </c>
      <c r="L515" s="25"/>
      <c r="N515" s="25">
        <f>'Combined Retirement'!$C$18/12</f>
        <v>40940.569999999992</v>
      </c>
      <c r="O515" s="25">
        <f t="shared" si="265"/>
        <v>10889.636755601023</v>
      </c>
      <c r="P515" s="25">
        <f t="shared" si="266"/>
        <v>30050.93324439897</v>
      </c>
      <c r="Q515" s="25">
        <f t="array" aca="1" ref="Q515" ca="1">INDEX('Isaac 401k'!L:L,MATCH('Retirement Calculator'!A515,'Isaac 401k'!N:N,0),0)</f>
        <v>-449726.45338888315</v>
      </c>
      <c r="R515" s="25">
        <f t="array" aca="1" ref="R515" ca="1">INDEX('Lorri 401b'!L:L,MATCH('Retirement Calculator'!A515,'Lorri 401b'!N:N,0),0)</f>
        <v>322440.82705155708</v>
      </c>
      <c r="S515" s="25">
        <f t="shared" ca="1" si="267"/>
        <v>-127285.62633732607</v>
      </c>
    </row>
    <row r="516" spans="1:19" ht="15.75" customHeight="1" x14ac:dyDescent="0.3">
      <c r="A516" s="37">
        <v>66658</v>
      </c>
      <c r="B516" s="398">
        <f t="shared" ref="B516:C516" si="517">($A516-B$9)/365.25</f>
        <v>100.62149212867898</v>
      </c>
      <c r="C516" s="398">
        <f t="shared" si="517"/>
        <v>96.010951403148525</v>
      </c>
      <c r="E516" s="25">
        <f>IF(C516&gt;$B$7,0,'Combined Retirement'!$D$13/12)</f>
        <v>0</v>
      </c>
      <c r="F516" s="25">
        <f>IF(H516=0,'Combined Retirement'!$D$32,0)+'Combined Retirement'!$B$24</f>
        <v>2870.372285649099</v>
      </c>
      <c r="G516" s="25">
        <f>'Combined Retirement'!$C$24</f>
        <v>3254.2644699519233</v>
      </c>
      <c r="H516" s="25">
        <f>IF(B516&lt;62,0,'Combined Retirement'!$I$14)</f>
        <v>2345</v>
      </c>
      <c r="I516" s="25">
        <f>IF(C516&lt;62,0,'Combined Retirement'!$I$13)</f>
        <v>2420</v>
      </c>
      <c r="J516" s="25">
        <f t="shared" si="263"/>
        <v>8395.6297298201844</v>
      </c>
      <c r="K516" s="25">
        <f t="shared" si="264"/>
        <v>21655.303514578787</v>
      </c>
      <c r="L516" s="25"/>
      <c r="N516" s="25">
        <f>'Combined Retirement'!$C$18/12</f>
        <v>40940.569999999992</v>
      </c>
      <c r="O516" s="25">
        <f t="shared" si="265"/>
        <v>10889.636755601023</v>
      </c>
      <c r="P516" s="25">
        <f t="shared" si="266"/>
        <v>30050.93324439897</v>
      </c>
      <c r="Q516" s="25">
        <f t="array" aca="1" ref="Q516" ca="1">INDEX('Isaac 401k'!L:L,MATCH('Retirement Calculator'!A516,'Isaac 401k'!N:N,0),0)</f>
        <v>-460030.92513169791</v>
      </c>
      <c r="R516" s="25">
        <f t="array" aca="1" ref="R516" ca="1">INDEX('Lorri 401b'!L:L,MATCH('Retirement Calculator'!A516,'Lorri 401b'!N:N,0),0)</f>
        <v>302038.7965517157</v>
      </c>
      <c r="S516" s="25">
        <f t="shared" ca="1" si="267"/>
        <v>-157992.12857998221</v>
      </c>
    </row>
    <row r="517" spans="1:19" ht="15.75" customHeight="1" x14ac:dyDescent="0.3">
      <c r="A517" s="37">
        <v>66689</v>
      </c>
      <c r="B517" s="398">
        <f t="shared" ref="B517:C517" si="518">($A517-B$9)/365.25</f>
        <v>100.70636550308008</v>
      </c>
      <c r="C517" s="398">
        <f t="shared" si="518"/>
        <v>96.095824777549623</v>
      </c>
      <c r="E517" s="25">
        <f>IF(C517&gt;$B$7,0,'Combined Retirement'!$D$13/12)</f>
        <v>0</v>
      </c>
      <c r="F517" s="25">
        <f>IF(H517=0,'Combined Retirement'!$D$32,0)+'Combined Retirement'!$B$24</f>
        <v>2870.372285649099</v>
      </c>
      <c r="G517" s="25">
        <f>'Combined Retirement'!$C$24</f>
        <v>3254.2644699519233</v>
      </c>
      <c r="H517" s="25">
        <f>IF(B517&lt;62,0,'Combined Retirement'!$I$14)</f>
        <v>2345</v>
      </c>
      <c r="I517" s="25">
        <f>IF(C517&lt;62,0,'Combined Retirement'!$I$13)</f>
        <v>2420</v>
      </c>
      <c r="J517" s="25">
        <f t="shared" si="263"/>
        <v>8395.6297298201844</v>
      </c>
      <c r="K517" s="25">
        <f t="shared" si="264"/>
        <v>21655.303514578787</v>
      </c>
      <c r="L517" s="25"/>
      <c r="N517" s="25">
        <f>'Combined Retirement'!$C$18/12</f>
        <v>40940.569999999992</v>
      </c>
      <c r="O517" s="25">
        <f t="shared" si="265"/>
        <v>10889.636755601023</v>
      </c>
      <c r="P517" s="25">
        <f t="shared" si="266"/>
        <v>30050.93324439897</v>
      </c>
      <c r="Q517" s="25">
        <f t="array" aca="1" ref="Q517" ca="1">INDEX('Isaac 401k'!L:L,MATCH('Retirement Calculator'!A517,'Isaac 401k'!N:N,0),0)</f>
        <v>-470378.33217344107</v>
      </c>
      <c r="R517" s="25">
        <f t="array" aca="1" ref="R517" ca="1">INDEX('Lorri 401b'!L:L,MATCH('Retirement Calculator'!A517,'Lorri 401b'!N:N,0),0)</f>
        <v>281551.75759145833</v>
      </c>
      <c r="S517" s="25">
        <f t="shared" ca="1" si="267"/>
        <v>-188826.57458198274</v>
      </c>
    </row>
    <row r="518" spans="1:19" ht="15.75" customHeight="1" x14ac:dyDescent="0.3">
      <c r="A518" s="37">
        <v>66720</v>
      </c>
      <c r="B518" s="398">
        <f t="shared" ref="B518:C518" si="519">($A518-B$9)/365.25</f>
        <v>100.79123887748118</v>
      </c>
      <c r="C518" s="398">
        <f t="shared" si="519"/>
        <v>96.180698151950722</v>
      </c>
      <c r="E518" s="25">
        <f>IF(C518&gt;$B$7,0,'Combined Retirement'!$D$13/12)</f>
        <v>0</v>
      </c>
      <c r="F518" s="25">
        <f>IF(H518=0,'Combined Retirement'!$D$32,0)+'Combined Retirement'!$B$24</f>
        <v>2870.372285649099</v>
      </c>
      <c r="G518" s="25">
        <f>'Combined Retirement'!$C$24</f>
        <v>3254.2644699519233</v>
      </c>
      <c r="H518" s="25">
        <f>IF(B518&lt;62,0,'Combined Retirement'!$I$14)</f>
        <v>2345</v>
      </c>
      <c r="I518" s="25">
        <f>IF(C518&lt;62,0,'Combined Retirement'!$I$13)</f>
        <v>2420</v>
      </c>
      <c r="J518" s="25">
        <f t="shared" si="263"/>
        <v>8395.6297298201844</v>
      </c>
      <c r="K518" s="25">
        <f t="shared" si="264"/>
        <v>21655.303514578787</v>
      </c>
      <c r="L518" s="25"/>
      <c r="N518" s="25">
        <f>'Combined Retirement'!$C$18/12</f>
        <v>40940.569999999992</v>
      </c>
      <c r="O518" s="25">
        <f t="shared" si="265"/>
        <v>10889.636755601023</v>
      </c>
      <c r="P518" s="25">
        <f t="shared" si="266"/>
        <v>30050.93324439897</v>
      </c>
      <c r="Q518" s="25">
        <f t="array" aca="1" ref="Q518" ca="1">INDEX('Isaac 401k'!L:L,MATCH('Retirement Calculator'!A518,'Isaac 401k'!N:N,0),0)</f>
        <v>-480768.85341119149</v>
      </c>
      <c r="R518" s="25">
        <f t="array" aca="1" ref="R518" ca="1">INDEX('Lorri 401b'!L:L,MATCH('Retirement Calculator'!A518,'Lorri 401b'!N:N,0),0)</f>
        <v>260979.35596886653</v>
      </c>
      <c r="S518" s="25">
        <f t="shared" ca="1" si="267"/>
        <v>-219789.49744232497</v>
      </c>
    </row>
    <row r="519" spans="1:19" ht="15.75" customHeight="1" x14ac:dyDescent="0.3">
      <c r="A519" s="37">
        <v>66750</v>
      </c>
      <c r="B519" s="398">
        <f t="shared" ref="B519:C519" si="520">($A519-B$9)/365.25</f>
        <v>100.87337440109513</v>
      </c>
      <c r="C519" s="398">
        <f t="shared" si="520"/>
        <v>96.262833675564679</v>
      </c>
      <c r="E519" s="25">
        <f>IF(C519&gt;$B$7,0,'Combined Retirement'!$D$13/12)</f>
        <v>0</v>
      </c>
      <c r="F519" s="25">
        <f>IF(H519=0,'Combined Retirement'!$D$32,0)+'Combined Retirement'!$B$24</f>
        <v>2870.372285649099</v>
      </c>
      <c r="G519" s="25">
        <f>'Combined Retirement'!$C$24</f>
        <v>3254.2644699519233</v>
      </c>
      <c r="H519" s="25">
        <f>IF(B519&lt;62,0,'Combined Retirement'!$I$14)</f>
        <v>2345</v>
      </c>
      <c r="I519" s="25">
        <f>IF(C519&lt;62,0,'Combined Retirement'!$I$13)</f>
        <v>2420</v>
      </c>
      <c r="J519" s="25">
        <f t="shared" si="263"/>
        <v>8395.6297298201844</v>
      </c>
      <c r="K519" s="25">
        <f t="shared" si="264"/>
        <v>21655.303514578787</v>
      </c>
      <c r="L519" s="25"/>
      <c r="N519" s="25">
        <f>'Combined Retirement'!$C$18/12</f>
        <v>40940.569999999992</v>
      </c>
      <c r="O519" s="25">
        <f t="shared" si="265"/>
        <v>10889.636755601023</v>
      </c>
      <c r="P519" s="25">
        <f t="shared" si="266"/>
        <v>30050.93324439897</v>
      </c>
      <c r="Q519" s="25">
        <f t="array" aca="1" ref="Q519" ca="1">INDEX('Isaac 401k'!L:L,MATCH('Retirement Calculator'!A519,'Isaac 401k'!N:N,0),0)</f>
        <v>-491202.66848743253</v>
      </c>
      <c r="R519" s="25">
        <f t="array" aca="1" ref="R519" ca="1">INDEX('Lorri 401b'!L:L,MATCH('Retirement Calculator'!A519,'Lorri 401b'!N:N,0),0)</f>
        <v>240321.23600618061</v>
      </c>
      <c r="S519" s="25">
        <f t="shared" ca="1" si="267"/>
        <v>-250881.43248125192</v>
      </c>
    </row>
    <row r="520" spans="1:19" ht="15.75" customHeight="1" x14ac:dyDescent="0.3">
      <c r="A520" s="37">
        <v>66781</v>
      </c>
      <c r="B520" s="398">
        <f t="shared" ref="B520:C520" si="521">($A520-B$9)/365.25</f>
        <v>100.95824777549623</v>
      </c>
      <c r="C520" s="398">
        <f t="shared" si="521"/>
        <v>96.347707049965777</v>
      </c>
      <c r="E520" s="25">
        <f>IF(C520&gt;$B$7,0,'Combined Retirement'!$D$13/12)</f>
        <v>0</v>
      </c>
      <c r="F520" s="25">
        <f>IF(H520=0,'Combined Retirement'!$D$32,0)+'Combined Retirement'!$B$24</f>
        <v>2870.372285649099</v>
      </c>
      <c r="G520" s="25">
        <f>'Combined Retirement'!$C$24</f>
        <v>3254.2644699519233</v>
      </c>
      <c r="H520" s="25">
        <f>IF(B520&lt;62,0,'Combined Retirement'!$I$14)</f>
        <v>2345</v>
      </c>
      <c r="I520" s="25">
        <f>IF(C520&lt;62,0,'Combined Retirement'!$I$13)</f>
        <v>2420</v>
      </c>
      <c r="J520" s="25">
        <f t="shared" si="263"/>
        <v>8395.6297298201844</v>
      </c>
      <c r="K520" s="25">
        <f t="shared" si="264"/>
        <v>21655.303514578787</v>
      </c>
      <c r="L520" s="25"/>
      <c r="N520" s="25">
        <f>'Combined Retirement'!$C$18/12</f>
        <v>40940.569999999992</v>
      </c>
      <c r="O520" s="25">
        <f t="shared" si="265"/>
        <v>10889.636755601023</v>
      </c>
      <c r="P520" s="25">
        <f t="shared" si="266"/>
        <v>30050.93324439897</v>
      </c>
      <c r="Q520" s="25">
        <f t="array" aca="1" ref="Q520" ca="1">INDEX('Isaac 401k'!L:L,MATCH('Retirement Calculator'!A520,'Isaac 401k'!N:N,0),0)</f>
        <v>-501679.95779315796</v>
      </c>
      <c r="R520" s="25">
        <f t="array" aca="1" ref="R520" ca="1">INDEX('Lorri 401b'!L:L,MATCH('Retirement Calculator'!A520,'Lorri 401b'!N:N,0),0)</f>
        <v>219577.04054365016</v>
      </c>
      <c r="S520" s="25">
        <f t="shared" ca="1" si="267"/>
        <v>-282102.91724950779</v>
      </c>
    </row>
    <row r="521" spans="1:19" ht="15.75" customHeight="1" x14ac:dyDescent="0.3">
      <c r="A521" s="37">
        <v>66811</v>
      </c>
      <c r="B521" s="398">
        <f t="shared" ref="B521:C521" si="522">($A521-B$9)/365.25</f>
        <v>101.0403832991102</v>
      </c>
      <c r="C521" s="398">
        <f t="shared" si="522"/>
        <v>96.429842573579734</v>
      </c>
      <c r="E521" s="25">
        <f>IF(C521&gt;$B$7,0,'Combined Retirement'!$D$13/12)</f>
        <v>0</v>
      </c>
      <c r="F521" s="25">
        <f>IF(H521=0,'Combined Retirement'!$D$32,0)+'Combined Retirement'!$B$24</f>
        <v>2870.372285649099</v>
      </c>
      <c r="G521" s="25">
        <f>'Combined Retirement'!$C$24</f>
        <v>3254.2644699519233</v>
      </c>
      <c r="H521" s="25">
        <f>IF(B521&lt;62,0,'Combined Retirement'!$I$14)</f>
        <v>2345</v>
      </c>
      <c r="I521" s="25">
        <f>IF(C521&lt;62,0,'Combined Retirement'!$I$13)</f>
        <v>2420</v>
      </c>
      <c r="J521" s="25">
        <f t="shared" ref="J521:J775" si="523">IF(C521&lt;59.5,P521,P521*$J$7)</f>
        <v>8395.6297298201844</v>
      </c>
      <c r="K521" s="25">
        <f t="shared" ref="K521:K775" si="524">IF(C521&lt;59.5,0,IF(C521&lt;$B$7,0,P521*$K$7))</f>
        <v>21655.303514578787</v>
      </c>
      <c r="L521" s="25"/>
      <c r="N521" s="25">
        <f>'Combined Retirement'!$C$18/12</f>
        <v>40940.569999999992</v>
      </c>
      <c r="O521" s="25">
        <f t="shared" ref="O521:O775" si="525">SUM(E521:I521)</f>
        <v>10889.636755601023</v>
      </c>
      <c r="P521" s="25">
        <f t="shared" ref="P521:P775" si="526">N521-O521</f>
        <v>30050.93324439897</v>
      </c>
      <c r="Q521" s="25">
        <f t="array" aca="1" ref="Q521" ca="1">INDEX('Isaac 401k'!L:L,MATCH('Retirement Calculator'!A521,'Isaac 401k'!N:N,0),0)</f>
        <v>-512200.90247099055</v>
      </c>
      <c r="R521" s="25">
        <f t="array" aca="1" ref="R521" ca="1">INDEX('Lorri 401b'!L:L,MATCH('Retirement Calculator'!A521,'Lorri 401b'!N:N,0),0)</f>
        <v>198746.41093335918</v>
      </c>
      <c r="S521" s="25">
        <f t="shared" ref="S521:S775" ca="1" si="527">SUM(Q521:R521)</f>
        <v>-313454.49153763137</v>
      </c>
    </row>
    <row r="522" spans="1:19" ht="15.75" customHeight="1" x14ac:dyDescent="0.3">
      <c r="A522" s="37">
        <v>66842</v>
      </c>
      <c r="B522" s="398">
        <f t="shared" ref="B522:C522" si="528">($A522-B$9)/365.25</f>
        <v>101.12525667351129</v>
      </c>
      <c r="C522" s="398">
        <f t="shared" si="528"/>
        <v>96.514715947980832</v>
      </c>
      <c r="E522" s="25">
        <f>IF(C522&gt;$B$7,0,'Combined Retirement'!$D$13/12)</f>
        <v>0</v>
      </c>
      <c r="F522" s="25">
        <f>IF(H522=0,'Combined Retirement'!$D$32,0)+'Combined Retirement'!$B$24</f>
        <v>2870.372285649099</v>
      </c>
      <c r="G522" s="25">
        <f>'Combined Retirement'!$C$24</f>
        <v>3254.2644699519233</v>
      </c>
      <c r="H522" s="25">
        <f>IF(B522&lt;62,0,'Combined Retirement'!$I$14)</f>
        <v>2345</v>
      </c>
      <c r="I522" s="25">
        <f>IF(C522&lt;62,0,'Combined Retirement'!$I$13)</f>
        <v>2420</v>
      </c>
      <c r="J522" s="25">
        <f t="shared" si="523"/>
        <v>8395.6297298201844</v>
      </c>
      <c r="K522" s="25">
        <f t="shared" si="524"/>
        <v>21655.303514578787</v>
      </c>
      <c r="L522" s="25"/>
      <c r="N522" s="25">
        <f>'Combined Retirement'!$C$18/12</f>
        <v>40940.569999999992</v>
      </c>
      <c r="O522" s="25">
        <f t="shared" si="525"/>
        <v>10889.636755601023</v>
      </c>
      <c r="P522" s="25">
        <f t="shared" si="526"/>
        <v>30050.93324439897</v>
      </c>
      <c r="Q522" s="25">
        <f t="array" aca="1" ref="Q522" ca="1">INDEX('Isaac 401k'!L:L,MATCH('Retirement Calculator'!A522,'Isaac 401k'!N:N,0),0)</f>
        <v>-522765.68441831414</v>
      </c>
      <c r="R522" s="25">
        <f t="array" aca="1" ref="R522" ca="1">INDEX('Lorri 401b'!L:L,MATCH('Retirement Calculator'!A522,'Lorri 401b'!N:N,0),0)</f>
        <v>177828.9870330253</v>
      </c>
      <c r="S522" s="25">
        <f t="shared" ca="1" si="527"/>
        <v>-344936.69738528883</v>
      </c>
    </row>
    <row r="523" spans="1:19" ht="15.75" customHeight="1" x14ac:dyDescent="0.3">
      <c r="A523" s="37">
        <v>66873</v>
      </c>
      <c r="B523" s="398">
        <f t="shared" ref="B523:C523" si="529">($A523-B$9)/365.25</f>
        <v>101.21013004791239</v>
      </c>
      <c r="C523" s="398">
        <f t="shared" si="529"/>
        <v>96.599589322381931</v>
      </c>
      <c r="E523" s="25">
        <f>IF(C523&gt;$B$7,0,'Combined Retirement'!$D$13/12)</f>
        <v>0</v>
      </c>
      <c r="F523" s="25">
        <f>IF(H523=0,'Combined Retirement'!$D$32,0)+'Combined Retirement'!$B$24</f>
        <v>2870.372285649099</v>
      </c>
      <c r="G523" s="25">
        <f>'Combined Retirement'!$C$24</f>
        <v>3254.2644699519233</v>
      </c>
      <c r="H523" s="25">
        <f>IF(B523&lt;62,0,'Combined Retirement'!$I$14)</f>
        <v>2345</v>
      </c>
      <c r="I523" s="25">
        <f>IF(C523&lt;62,0,'Combined Retirement'!$I$13)</f>
        <v>2420</v>
      </c>
      <c r="J523" s="25">
        <f t="shared" si="523"/>
        <v>8395.6297298201844</v>
      </c>
      <c r="K523" s="25">
        <f t="shared" si="524"/>
        <v>21655.303514578787</v>
      </c>
      <c r="L523" s="25"/>
      <c r="N523" s="25">
        <f>'Combined Retirement'!$C$18/12</f>
        <v>40940.569999999992</v>
      </c>
      <c r="O523" s="25">
        <f t="shared" si="525"/>
        <v>10889.636755601023</v>
      </c>
      <c r="P523" s="25">
        <f t="shared" si="526"/>
        <v>30050.93324439897</v>
      </c>
      <c r="Q523" s="25">
        <f t="array" aca="1" ref="Q523" ca="1">INDEX('Isaac 401k'!L:L,MATCH('Retirement Calculator'!A523,'Isaac 401k'!N:N,0),0)</f>
        <v>-533374.48629041819</v>
      </c>
      <c r="R523" s="25">
        <f t="array" aca="1" ref="R523" ca="1">INDEX('Lorri 401b'!L:L,MATCH('Retirement Calculator'!A523,'Lorri 401b'!N:N,0),0)</f>
        <v>156824.40719977338</v>
      </c>
      <c r="S523" s="25">
        <f t="shared" ca="1" si="527"/>
        <v>-376550.07909064484</v>
      </c>
    </row>
    <row r="524" spans="1:19" ht="15.75" customHeight="1" x14ac:dyDescent="0.3">
      <c r="A524" s="37">
        <v>66901</v>
      </c>
      <c r="B524" s="398">
        <f t="shared" ref="B524:C524" si="530">($A524-B$9)/365.25</f>
        <v>101.28678986995209</v>
      </c>
      <c r="C524" s="398">
        <f t="shared" si="530"/>
        <v>96.676249144421632</v>
      </c>
      <c r="E524" s="25">
        <f>IF(C524&gt;$B$7,0,'Combined Retirement'!$D$13/12)</f>
        <v>0</v>
      </c>
      <c r="F524" s="25">
        <f>IF(H524=0,'Combined Retirement'!$D$32,0)+'Combined Retirement'!$B$24</f>
        <v>2870.372285649099</v>
      </c>
      <c r="G524" s="25">
        <f>'Combined Retirement'!$C$24</f>
        <v>3254.2644699519233</v>
      </c>
      <c r="H524" s="25">
        <f>IF(B524&lt;62,0,'Combined Retirement'!$I$14)</f>
        <v>2345</v>
      </c>
      <c r="I524" s="25">
        <f>IF(C524&lt;62,0,'Combined Retirement'!$I$13)</f>
        <v>2420</v>
      </c>
      <c r="J524" s="25">
        <f t="shared" si="523"/>
        <v>8395.6297298201844</v>
      </c>
      <c r="K524" s="25">
        <f t="shared" si="524"/>
        <v>21655.303514578787</v>
      </c>
      <c r="L524" s="25"/>
      <c r="N524" s="25">
        <f>'Combined Retirement'!$C$18/12</f>
        <v>40940.569999999992</v>
      </c>
      <c r="O524" s="25">
        <f t="shared" si="525"/>
        <v>10889.636755601023</v>
      </c>
      <c r="P524" s="25">
        <f t="shared" si="526"/>
        <v>30050.93324439897</v>
      </c>
      <c r="Q524" s="25">
        <f t="array" aca="1" ref="Q524" ca="1">INDEX('Isaac 401k'!L:L,MATCH('Retirement Calculator'!A524,'Isaac 401k'!N:N,0),0)</f>
        <v>-544027.49150365603</v>
      </c>
      <c r="R524" s="25">
        <f t="array" aca="1" ref="R524" ca="1">INDEX('Lorri 401b'!L:L,MATCH('Retirement Calculator'!A524,'Lorri 401b'!N:N,0),0)</f>
        <v>135732.30828388291</v>
      </c>
      <c r="S524" s="25">
        <f t="shared" ca="1" si="527"/>
        <v>-408295.18321977311</v>
      </c>
    </row>
    <row r="525" spans="1:19" ht="15.75" customHeight="1" x14ac:dyDescent="0.3">
      <c r="A525" s="37">
        <v>66932</v>
      </c>
      <c r="B525" s="398">
        <f t="shared" ref="B525:C525" si="531">($A525-B$9)/365.25</f>
        <v>101.37166324435319</v>
      </c>
      <c r="C525" s="398">
        <f t="shared" si="531"/>
        <v>96.761122518822731</v>
      </c>
      <c r="E525" s="25">
        <f>IF(C525&gt;$B$7,0,'Combined Retirement'!$D$13/12)</f>
        <v>0</v>
      </c>
      <c r="F525" s="25">
        <f>IF(H525=0,'Combined Retirement'!$D$32,0)+'Combined Retirement'!$B$24</f>
        <v>2870.372285649099</v>
      </c>
      <c r="G525" s="25">
        <f>'Combined Retirement'!$C$24</f>
        <v>3254.2644699519233</v>
      </c>
      <c r="H525" s="25">
        <f>IF(B525&lt;62,0,'Combined Retirement'!$I$14)</f>
        <v>2345</v>
      </c>
      <c r="I525" s="25">
        <f>IF(C525&lt;62,0,'Combined Retirement'!$I$13)</f>
        <v>2420</v>
      </c>
      <c r="J525" s="25">
        <f t="shared" si="523"/>
        <v>8395.6297298201844</v>
      </c>
      <c r="K525" s="25">
        <f t="shared" si="524"/>
        <v>21655.303514578787</v>
      </c>
      <c r="L525" s="25"/>
      <c r="N525" s="25">
        <f>'Combined Retirement'!$C$18/12</f>
        <v>40940.569999999992</v>
      </c>
      <c r="O525" s="25">
        <f t="shared" si="525"/>
        <v>10889.636755601023</v>
      </c>
      <c r="P525" s="25">
        <f t="shared" si="526"/>
        <v>30050.93324439897</v>
      </c>
      <c r="Q525" s="25">
        <f t="array" aca="1" ref="Q525" ca="1">INDEX('Isaac 401k'!L:L,MATCH('Retirement Calculator'!A525,'Isaac 401k'!N:N,0),0)</f>
        <v>-554724.88423861575</v>
      </c>
      <c r="R525" s="25">
        <f t="array" aca="1" ref="R525" ca="1">INDEX('Lorri 401b'!L:L,MATCH('Retirement Calculator'!A525,'Lorri 401b'!N:N,0),0)</f>
        <v>114552.32562250955</v>
      </c>
      <c r="S525" s="25">
        <f t="shared" ca="1" si="527"/>
        <v>-440172.55861610617</v>
      </c>
    </row>
    <row r="526" spans="1:19" ht="15.75" customHeight="1" x14ac:dyDescent="0.3">
      <c r="A526" s="37">
        <v>66962</v>
      </c>
      <c r="B526" s="398">
        <f t="shared" ref="B526:C526" si="532">($A526-B$9)/365.25</f>
        <v>101.45379876796714</v>
      </c>
      <c r="C526" s="398">
        <f t="shared" si="532"/>
        <v>96.843258042436688</v>
      </c>
      <c r="E526" s="25">
        <f>IF(C526&gt;$B$7,0,'Combined Retirement'!$D$13/12)</f>
        <v>0</v>
      </c>
      <c r="F526" s="25">
        <f>IF(H526=0,'Combined Retirement'!$D$32,0)+'Combined Retirement'!$B$24</f>
        <v>2870.372285649099</v>
      </c>
      <c r="G526" s="25">
        <f>'Combined Retirement'!$C$24</f>
        <v>3254.2644699519233</v>
      </c>
      <c r="H526" s="25">
        <f>IF(B526&lt;62,0,'Combined Retirement'!$I$14)</f>
        <v>2345</v>
      </c>
      <c r="I526" s="25">
        <f>IF(C526&lt;62,0,'Combined Retirement'!$I$13)</f>
        <v>2420</v>
      </c>
      <c r="J526" s="25">
        <f t="shared" si="523"/>
        <v>8395.6297298201844</v>
      </c>
      <c r="K526" s="25">
        <f t="shared" si="524"/>
        <v>21655.303514578787</v>
      </c>
      <c r="L526" s="25"/>
      <c r="N526" s="25">
        <f>'Combined Retirement'!$C$18/12</f>
        <v>40940.569999999992</v>
      </c>
      <c r="O526" s="25">
        <f t="shared" si="525"/>
        <v>10889.636755601023</v>
      </c>
      <c r="P526" s="25">
        <f t="shared" si="526"/>
        <v>30050.93324439897</v>
      </c>
      <c r="Q526" s="25">
        <f t="array" aca="1" ref="Q526" ca="1">INDEX('Isaac 401k'!L:L,MATCH('Retirement Calculator'!A526,'Isaac 401k'!N:N,0),0)</f>
        <v>-565466.84944330447</v>
      </c>
      <c r="R526" s="25">
        <f t="array" aca="1" ref="R526" ca="1">INDEX('Lorri 401b'!L:L,MATCH('Retirement Calculator'!A526,'Lorri 401b'!N:N,0),0)</f>
        <v>93284.093033380472</v>
      </c>
      <c r="S526" s="25">
        <f t="shared" ca="1" si="527"/>
        <v>-472182.75640992401</v>
      </c>
    </row>
    <row r="527" spans="1:19" ht="15.75" customHeight="1" x14ac:dyDescent="0.3">
      <c r="A527" s="37">
        <v>66993</v>
      </c>
      <c r="B527" s="398">
        <f t="shared" ref="B527:C527" si="533">($A527-B$9)/365.25</f>
        <v>101.53867214236824</v>
      </c>
      <c r="C527" s="398">
        <f t="shared" si="533"/>
        <v>96.928131416837786</v>
      </c>
      <c r="E527" s="25">
        <f>IF(C527&gt;$B$7,0,'Combined Retirement'!$D$13/12)</f>
        <v>0</v>
      </c>
      <c r="F527" s="25">
        <f>IF(H527=0,'Combined Retirement'!$D$32,0)+'Combined Retirement'!$B$24</f>
        <v>2870.372285649099</v>
      </c>
      <c r="G527" s="25">
        <f>'Combined Retirement'!$C$24</f>
        <v>3254.2644699519233</v>
      </c>
      <c r="H527" s="25">
        <f>IF(B527&lt;62,0,'Combined Retirement'!$I$14)</f>
        <v>2345</v>
      </c>
      <c r="I527" s="25">
        <f>IF(C527&lt;62,0,'Combined Retirement'!$I$13)</f>
        <v>2420</v>
      </c>
      <c r="J527" s="25">
        <f t="shared" si="523"/>
        <v>8395.6297298201844</v>
      </c>
      <c r="K527" s="25">
        <f t="shared" si="524"/>
        <v>21655.303514578787</v>
      </c>
      <c r="L527" s="25"/>
      <c r="N527" s="25">
        <f>'Combined Retirement'!$C$18/12</f>
        <v>40940.569999999992</v>
      </c>
      <c r="O527" s="25">
        <f t="shared" si="525"/>
        <v>10889.636755601023</v>
      </c>
      <c r="P527" s="25">
        <f t="shared" si="526"/>
        <v>30050.93324439897</v>
      </c>
      <c r="Q527" s="25">
        <f t="array" aca="1" ref="Q527" ca="1">INDEX('Isaac 401k'!L:L,MATCH('Retirement Calculator'!A527,'Isaac 401k'!N:N,0),0)</f>
        <v>-576253.57283634599</v>
      </c>
      <c r="R527" s="25">
        <f t="array" aca="1" ref="R527" ca="1">INDEX('Lorri 401b'!L:L,MATCH('Retirement Calculator'!A527,'Lorri 401b'!N:N,0),0)</f>
        <v>71927.242808463358</v>
      </c>
      <c r="S527" s="25">
        <f t="shared" ca="1" si="527"/>
        <v>-504326.33002788265</v>
      </c>
    </row>
    <row r="528" spans="1:19" ht="15.75" customHeight="1" x14ac:dyDescent="0.3">
      <c r="A528" s="37">
        <v>67023</v>
      </c>
      <c r="B528" s="398">
        <f t="shared" ref="B528:C528" si="534">($A528-B$9)/365.25</f>
        <v>101.6208076659822</v>
      </c>
      <c r="C528" s="398">
        <f t="shared" si="534"/>
        <v>97.010266940451743</v>
      </c>
      <c r="E528" s="25">
        <f>IF(C528&gt;$B$7,0,'Combined Retirement'!$D$13/12)</f>
        <v>0</v>
      </c>
      <c r="F528" s="25">
        <f>IF(H528=0,'Combined Retirement'!$D$32,0)+'Combined Retirement'!$B$24</f>
        <v>2870.372285649099</v>
      </c>
      <c r="G528" s="25">
        <f>'Combined Retirement'!$C$24</f>
        <v>3254.2644699519233</v>
      </c>
      <c r="H528" s="25">
        <f>IF(B528&lt;62,0,'Combined Retirement'!$I$14)</f>
        <v>2345</v>
      </c>
      <c r="I528" s="25">
        <f>IF(C528&lt;62,0,'Combined Retirement'!$I$13)</f>
        <v>2420</v>
      </c>
      <c r="J528" s="25">
        <f t="shared" si="523"/>
        <v>8395.6297298201844</v>
      </c>
      <c r="K528" s="25">
        <f t="shared" si="524"/>
        <v>21655.303514578787</v>
      </c>
      <c r="L528" s="25"/>
      <c r="N528" s="25">
        <f>'Combined Retirement'!$C$18/12</f>
        <v>40940.569999999992</v>
      </c>
      <c r="O528" s="25">
        <f t="shared" si="525"/>
        <v>10889.636755601023</v>
      </c>
      <c r="P528" s="25">
        <f t="shared" si="526"/>
        <v>30050.93324439897</v>
      </c>
      <c r="Q528" s="25">
        <f t="array" aca="1" ref="Q528" ca="1">INDEX('Isaac 401k'!L:L,MATCH('Retirement Calculator'!A528,'Isaac 401k'!N:N,0),0)</f>
        <v>-587085.2409101919</v>
      </c>
      <c r="R528" s="25">
        <f t="array" aca="1" ref="R528" ca="1">INDEX('Lorri 401b'!L:L,MATCH('Retirement Calculator'!A528,'Lorri 401b'!N:N,0),0)</f>
        <v>50481.40570760909</v>
      </c>
      <c r="S528" s="25">
        <f t="shared" ca="1" si="527"/>
        <v>-536603.83520258276</v>
      </c>
    </row>
    <row r="529" spans="1:19" ht="15.75" customHeight="1" x14ac:dyDescent="0.3">
      <c r="A529" s="37">
        <v>67054</v>
      </c>
      <c r="B529" s="398">
        <f t="shared" ref="B529:C529" si="535">($A529-B$9)/365.25</f>
        <v>101.7056810403833</v>
      </c>
      <c r="C529" s="398">
        <f t="shared" si="535"/>
        <v>97.095140314852841</v>
      </c>
      <c r="E529" s="25">
        <f>IF(C529&gt;$B$7,0,'Combined Retirement'!$D$13/12)</f>
        <v>0</v>
      </c>
      <c r="F529" s="25">
        <f>IF(H529=0,'Combined Retirement'!$D$32,0)+'Combined Retirement'!$B$24</f>
        <v>2870.372285649099</v>
      </c>
      <c r="G529" s="25">
        <f>'Combined Retirement'!$C$24</f>
        <v>3254.2644699519233</v>
      </c>
      <c r="H529" s="25">
        <f>IF(B529&lt;62,0,'Combined Retirement'!$I$14)</f>
        <v>2345</v>
      </c>
      <c r="I529" s="25">
        <f>IF(C529&lt;62,0,'Combined Retirement'!$I$13)</f>
        <v>2420</v>
      </c>
      <c r="J529" s="25">
        <f t="shared" si="523"/>
        <v>8395.6297298201844</v>
      </c>
      <c r="K529" s="25">
        <f t="shared" si="524"/>
        <v>21655.303514578787</v>
      </c>
      <c r="L529" s="25"/>
      <c r="N529" s="25">
        <f>'Combined Retirement'!$C$18/12</f>
        <v>40940.569999999992</v>
      </c>
      <c r="O529" s="25">
        <f t="shared" si="525"/>
        <v>10889.636755601023</v>
      </c>
      <c r="P529" s="25">
        <f t="shared" si="526"/>
        <v>30050.93324439897</v>
      </c>
      <c r="Q529" s="25">
        <f t="array" aca="1" ref="Q529" ca="1">INDEX('Isaac 401k'!L:L,MATCH('Retirement Calculator'!A529,'Isaac 401k'!N:N,0),0)</f>
        <v>-597962.04093434545</v>
      </c>
      <c r="R529" s="25">
        <f t="array" aca="1" ref="R529" ca="1">INDEX('Lorri 401b'!L:L,MATCH('Retirement Calculator'!A529,'Lorri 401b'!N:N,0),0)</f>
        <v>28946.21095216793</v>
      </c>
      <c r="S529" s="25">
        <f t="shared" ca="1" si="527"/>
        <v>-569015.82998217747</v>
      </c>
    </row>
    <row r="530" spans="1:19" ht="15.75" customHeight="1" x14ac:dyDescent="0.3">
      <c r="A530" s="37">
        <v>67085</v>
      </c>
      <c r="B530" s="398">
        <f t="shared" ref="B530:C530" si="536">($A530-B$9)/365.25</f>
        <v>101.7905544147844</v>
      </c>
      <c r="C530" s="398">
        <f t="shared" si="536"/>
        <v>97.18001368925394</v>
      </c>
      <c r="E530" s="25">
        <f>IF(C530&gt;$B$7,0,'Combined Retirement'!$D$13/12)</f>
        <v>0</v>
      </c>
      <c r="F530" s="25">
        <f>IF(H530=0,'Combined Retirement'!$D$32,0)+'Combined Retirement'!$B$24</f>
        <v>2870.372285649099</v>
      </c>
      <c r="G530" s="25">
        <f>'Combined Retirement'!$C$24</f>
        <v>3254.2644699519233</v>
      </c>
      <c r="H530" s="25">
        <f>IF(B530&lt;62,0,'Combined Retirement'!$I$14)</f>
        <v>2345</v>
      </c>
      <c r="I530" s="25">
        <f>IF(C530&lt;62,0,'Combined Retirement'!$I$13)</f>
        <v>2420</v>
      </c>
      <c r="J530" s="25">
        <f t="shared" si="523"/>
        <v>8395.6297298201844</v>
      </c>
      <c r="K530" s="25">
        <f t="shared" si="524"/>
        <v>21655.303514578787</v>
      </c>
      <c r="L530" s="25"/>
      <c r="N530" s="25">
        <f>'Combined Retirement'!$C$18/12</f>
        <v>40940.569999999992</v>
      </c>
      <c r="O530" s="25">
        <f t="shared" si="525"/>
        <v>10889.636755601023</v>
      </c>
      <c r="P530" s="25">
        <f t="shared" si="526"/>
        <v>30050.93324439897</v>
      </c>
      <c r="Q530" s="25">
        <f t="array" aca="1" ref="Q530" ca="1">INDEX('Isaac 401k'!L:L,MATCH('Retirement Calculator'!A530,'Isaac 401k'!N:N,0),0)</f>
        <v>-608884.16095859965</v>
      </c>
      <c r="R530" s="25">
        <f t="array" aca="1" ref="R530" ca="1">INDEX('Lorri 401b'!L:L,MATCH('Retirement Calculator'!A530,'Lorri 401b'!N:N,0),0)</f>
        <v>7321.2862185790982</v>
      </c>
      <c r="S530" s="25">
        <f t="shared" ca="1" si="527"/>
        <v>-601562.8747400206</v>
      </c>
    </row>
    <row r="531" spans="1:19" ht="15.75" customHeight="1" x14ac:dyDescent="0.3">
      <c r="A531" s="37">
        <v>67115</v>
      </c>
      <c r="B531" s="398">
        <f t="shared" ref="B531:C531" si="537">($A531-B$9)/365.25</f>
        <v>101.87268993839835</v>
      </c>
      <c r="C531" s="398">
        <f t="shared" si="537"/>
        <v>97.262149212867897</v>
      </c>
      <c r="E531" s="25">
        <f>IF(C531&gt;$B$7,0,'Combined Retirement'!$D$13/12)</f>
        <v>0</v>
      </c>
      <c r="F531" s="25">
        <f>IF(H531=0,'Combined Retirement'!$D$32,0)+'Combined Retirement'!$B$24</f>
        <v>2870.372285649099</v>
      </c>
      <c r="G531" s="25">
        <f>'Combined Retirement'!$C$24</f>
        <v>3254.2644699519233</v>
      </c>
      <c r="H531" s="25">
        <f>IF(B531&lt;62,0,'Combined Retirement'!$I$14)</f>
        <v>2345</v>
      </c>
      <c r="I531" s="25">
        <f>IF(C531&lt;62,0,'Combined Retirement'!$I$13)</f>
        <v>2420</v>
      </c>
      <c r="J531" s="25">
        <f t="shared" si="523"/>
        <v>8395.6297298201844</v>
      </c>
      <c r="K531" s="25">
        <f t="shared" si="524"/>
        <v>21655.303514578787</v>
      </c>
      <c r="L531" s="25"/>
      <c r="N531" s="25">
        <f>'Combined Retirement'!$C$18/12</f>
        <v>40940.569999999992</v>
      </c>
      <c r="O531" s="25">
        <f t="shared" si="525"/>
        <v>10889.636755601023</v>
      </c>
      <c r="P531" s="25">
        <f t="shared" si="526"/>
        <v>30050.93324439897</v>
      </c>
      <c r="Q531" s="25">
        <f t="array" aca="1" ref="Q531" ca="1">INDEX('Isaac 401k'!L:L,MATCH('Retirement Calculator'!A531,'Isaac 401k'!N:N,0),0)</f>
        <v>-619851.78981628828</v>
      </c>
      <c r="R531" s="25">
        <f t="array" aca="1" ref="R531" ca="1">INDEX('Lorri 401b'!L:L,MATCH('Retirement Calculator'!A531,'Lorri 401b'!N:N,0),0)</f>
        <v>-14393.742368066354</v>
      </c>
      <c r="S531" s="25">
        <f t="shared" ca="1" si="527"/>
        <v>-634245.53218435461</v>
      </c>
    </row>
    <row r="532" spans="1:19" ht="15.75" customHeight="1" x14ac:dyDescent="0.3">
      <c r="A532" s="37">
        <v>67146</v>
      </c>
      <c r="B532" s="398">
        <f t="shared" ref="B532:C532" si="538">($A532-B$9)/365.25</f>
        <v>101.95756331279945</v>
      </c>
      <c r="C532" s="398">
        <f t="shared" si="538"/>
        <v>97.347022587268995</v>
      </c>
      <c r="E532" s="25">
        <f>IF(C532&gt;$B$7,0,'Combined Retirement'!$D$13/12)</f>
        <v>0</v>
      </c>
      <c r="F532" s="25">
        <f>IF(H532=0,'Combined Retirement'!$D$32,0)+'Combined Retirement'!$B$24</f>
        <v>2870.372285649099</v>
      </c>
      <c r="G532" s="25">
        <f>'Combined Retirement'!$C$24</f>
        <v>3254.2644699519233</v>
      </c>
      <c r="H532" s="25">
        <f>IF(B532&lt;62,0,'Combined Retirement'!$I$14)</f>
        <v>2345</v>
      </c>
      <c r="I532" s="25">
        <f>IF(C532&lt;62,0,'Combined Retirement'!$I$13)</f>
        <v>2420</v>
      </c>
      <c r="J532" s="25">
        <f t="shared" si="523"/>
        <v>8395.6297298201844</v>
      </c>
      <c r="K532" s="25">
        <f t="shared" si="524"/>
        <v>21655.303514578787</v>
      </c>
      <c r="L532" s="25"/>
      <c r="N532" s="25">
        <f>'Combined Retirement'!$C$18/12</f>
        <v>40940.569999999992</v>
      </c>
      <c r="O532" s="25">
        <f t="shared" si="525"/>
        <v>10889.636755601023</v>
      </c>
      <c r="P532" s="25">
        <f t="shared" si="526"/>
        <v>30050.93324439897</v>
      </c>
      <c r="Q532" s="25">
        <f t="array" aca="1" ref="Q532" ca="1">INDEX('Isaac 401k'!L:L,MATCH('Retirement Calculator'!A532,'Isaac 401k'!N:N,0),0)</f>
        <v>-630865.11712755053</v>
      </c>
      <c r="R532" s="25">
        <f t="array" aca="1" ref="R532" ca="1">INDEX('Lorri 401b'!L:L,MATCH('Retirement Calculator'!A532,'Lorri 401b'!N:N,0),0)</f>
        <v>-36199.250240489499</v>
      </c>
      <c r="S532" s="25">
        <f t="shared" ca="1" si="527"/>
        <v>-667064.36736804002</v>
      </c>
    </row>
    <row r="533" spans="1:19" ht="15.75" customHeight="1" x14ac:dyDescent="0.3">
      <c r="A533" s="37">
        <v>67176</v>
      </c>
      <c r="B533" s="398">
        <f t="shared" ref="B533:C533" si="539">($A533-B$9)/365.25</f>
        <v>102.03969883641342</v>
      </c>
      <c r="C533" s="398">
        <f t="shared" si="539"/>
        <v>97.429158110882952</v>
      </c>
      <c r="E533" s="25">
        <f>IF(C533&gt;$B$7,0,'Combined Retirement'!$D$13/12)</f>
        <v>0</v>
      </c>
      <c r="F533" s="25">
        <f>IF(H533=0,'Combined Retirement'!$D$32,0)+'Combined Retirement'!$B$24</f>
        <v>2870.372285649099</v>
      </c>
      <c r="G533" s="25">
        <f>'Combined Retirement'!$C$24</f>
        <v>3254.2644699519233</v>
      </c>
      <c r="H533" s="25">
        <f>IF(B533&lt;62,0,'Combined Retirement'!$I$14)</f>
        <v>2345</v>
      </c>
      <c r="I533" s="25">
        <f>IF(C533&lt;62,0,'Combined Retirement'!$I$13)</f>
        <v>2420</v>
      </c>
      <c r="J533" s="25">
        <f t="shared" si="523"/>
        <v>8395.6297298201844</v>
      </c>
      <c r="K533" s="25">
        <f t="shared" si="524"/>
        <v>21655.303514578787</v>
      </c>
      <c r="L533" s="25"/>
      <c r="N533" s="25">
        <f>'Combined Retirement'!$C$18/12</f>
        <v>40940.569999999992</v>
      </c>
      <c r="O533" s="25">
        <f t="shared" si="525"/>
        <v>10889.636755601023</v>
      </c>
      <c r="P533" s="25">
        <f t="shared" si="526"/>
        <v>30050.93324439897</v>
      </c>
      <c r="Q533" s="25">
        <f t="array" aca="1" ref="Q533" ca="1">INDEX('Isaac 401k'!L:L,MATCH('Retirement Calculator'!A533,'Isaac 401k'!N:N,0),0)</f>
        <v>-641924.33330260974</v>
      </c>
      <c r="R533" s="25">
        <f t="array" aca="1" ref="R533" ca="1">INDEX('Lorri 401b'!L:L,MATCH('Retirement Calculator'!A533,'Lorri 401b'!N:N,0),0)</f>
        <v>-58095.614395714401</v>
      </c>
      <c r="S533" s="25">
        <f t="shared" ca="1" si="527"/>
        <v>-700019.9476983241</v>
      </c>
    </row>
    <row r="534" spans="1:19" ht="15.75" customHeight="1" x14ac:dyDescent="0.3">
      <c r="A534" s="37">
        <v>67207</v>
      </c>
      <c r="B534" s="398">
        <f t="shared" ref="B534:C534" si="540">($A534-B$9)/365.25</f>
        <v>102.12457221081451</v>
      </c>
      <c r="C534" s="398">
        <f t="shared" si="540"/>
        <v>97.51403148528405</v>
      </c>
      <c r="E534" s="25">
        <f>IF(C534&gt;$B$7,0,'Combined Retirement'!$D$13/12)</f>
        <v>0</v>
      </c>
      <c r="F534" s="25">
        <f>IF(H534=0,'Combined Retirement'!$D$32,0)+'Combined Retirement'!$B$24</f>
        <v>2870.372285649099</v>
      </c>
      <c r="G534" s="25">
        <f>'Combined Retirement'!$C$24</f>
        <v>3254.2644699519233</v>
      </c>
      <c r="H534" s="25">
        <f>IF(B534&lt;62,0,'Combined Retirement'!$I$14)</f>
        <v>2345</v>
      </c>
      <c r="I534" s="25">
        <f>IF(C534&lt;62,0,'Combined Retirement'!$I$13)</f>
        <v>2420</v>
      </c>
      <c r="J534" s="25">
        <f t="shared" si="523"/>
        <v>8395.6297298201844</v>
      </c>
      <c r="K534" s="25">
        <f t="shared" si="524"/>
        <v>21655.303514578787</v>
      </c>
      <c r="L534" s="25"/>
      <c r="N534" s="25">
        <f>'Combined Retirement'!$C$18/12</f>
        <v>40940.569999999992</v>
      </c>
      <c r="O534" s="25">
        <f t="shared" si="525"/>
        <v>10889.636755601023</v>
      </c>
      <c r="P534" s="25">
        <f t="shared" si="526"/>
        <v>30050.93324439897</v>
      </c>
      <c r="Q534" s="25">
        <f t="array" aca="1" ref="Q534" ca="1">INDEX('Isaac 401k'!L:L,MATCH('Retirement Calculator'!A534,'Isaac 401k'!N:N,0),0)</f>
        <v>-653029.62954506499</v>
      </c>
      <c r="R534" s="25">
        <f t="array" aca="1" ref="R534" ca="1">INDEX('Lorri 401b'!L:L,MATCH('Retirement Calculator'!A534,'Lorri 401b'!N:N,0),0)</f>
        <v>-80083.213401586065</v>
      </c>
      <c r="S534" s="25">
        <f t="shared" ca="1" si="527"/>
        <v>-733112.84294665104</v>
      </c>
    </row>
    <row r="535" spans="1:19" ht="15.75" customHeight="1" x14ac:dyDescent="0.3">
      <c r="A535" s="37">
        <v>67238</v>
      </c>
      <c r="B535" s="398">
        <f t="shared" ref="B535:C535" si="541">($A535-B$9)/365.25</f>
        <v>102.2094455852156</v>
      </c>
      <c r="C535" s="398">
        <f t="shared" si="541"/>
        <v>97.598904859685149</v>
      </c>
      <c r="E535" s="25">
        <f>IF(C535&gt;$B$7,0,'Combined Retirement'!$D$13/12)</f>
        <v>0</v>
      </c>
      <c r="F535" s="25">
        <f>IF(H535=0,'Combined Retirement'!$D$32,0)+'Combined Retirement'!$B$24</f>
        <v>2870.372285649099</v>
      </c>
      <c r="G535" s="25">
        <f>'Combined Retirement'!$C$24</f>
        <v>3254.2644699519233</v>
      </c>
      <c r="H535" s="25">
        <f>IF(B535&lt;62,0,'Combined Retirement'!$I$14)</f>
        <v>2345</v>
      </c>
      <c r="I535" s="25">
        <f>IF(C535&lt;62,0,'Combined Retirement'!$I$13)</f>
        <v>2420</v>
      </c>
      <c r="J535" s="25">
        <f t="shared" si="523"/>
        <v>8395.6297298201844</v>
      </c>
      <c r="K535" s="25">
        <f t="shared" si="524"/>
        <v>21655.303514578787</v>
      </c>
      <c r="L535" s="25"/>
      <c r="N535" s="25">
        <f>'Combined Retirement'!$C$18/12</f>
        <v>40940.569999999992</v>
      </c>
      <c r="O535" s="25">
        <f t="shared" si="525"/>
        <v>10889.636755601023</v>
      </c>
      <c r="P535" s="25">
        <f t="shared" si="526"/>
        <v>30050.93324439897</v>
      </c>
      <c r="Q535" s="25">
        <f t="array" aca="1" ref="Q535" ca="1">INDEX('Isaac 401k'!L:L,MATCH('Retirement Calculator'!A535,'Isaac 401k'!N:N,0),0)</f>
        <v>-664181.19785519724</v>
      </c>
      <c r="R535" s="25">
        <f t="array" aca="1" ref="R535" ca="1">INDEX('Lorri 401b'!L:L,MATCH('Retirement Calculator'!A535,'Lorri 401b'!N:N,0),0)</f>
        <v>-102162.42740331554</v>
      </c>
      <c r="S535" s="25">
        <f t="shared" ca="1" si="527"/>
        <v>-766343.62525851279</v>
      </c>
    </row>
    <row r="536" spans="1:19" ht="15.75" customHeight="1" x14ac:dyDescent="0.3">
      <c r="A536" s="37">
        <v>67267</v>
      </c>
      <c r="B536" s="398">
        <f t="shared" ref="B536:C536" si="542">($A536-B$9)/365.25</f>
        <v>102.28884325804243</v>
      </c>
      <c r="C536" s="398">
        <f t="shared" si="542"/>
        <v>97.678302532511978</v>
      </c>
      <c r="E536" s="25">
        <f>IF(C536&gt;$B$7,0,'Combined Retirement'!$D$13/12)</f>
        <v>0</v>
      </c>
      <c r="F536" s="25">
        <f>IF(H536=0,'Combined Retirement'!$D$32,0)+'Combined Retirement'!$B$24</f>
        <v>2870.372285649099</v>
      </c>
      <c r="G536" s="25">
        <f>'Combined Retirement'!$C$24</f>
        <v>3254.2644699519233</v>
      </c>
      <c r="H536" s="25">
        <f>IF(B536&lt;62,0,'Combined Retirement'!$I$14)</f>
        <v>2345</v>
      </c>
      <c r="I536" s="25">
        <f>IF(C536&lt;62,0,'Combined Retirement'!$I$13)</f>
        <v>2420</v>
      </c>
      <c r="J536" s="25">
        <f t="shared" si="523"/>
        <v>8395.6297298201844</v>
      </c>
      <c r="K536" s="25">
        <f t="shared" si="524"/>
        <v>21655.303514578787</v>
      </c>
      <c r="L536" s="25"/>
      <c r="N536" s="25">
        <f>'Combined Retirement'!$C$18/12</f>
        <v>40940.569999999992</v>
      </c>
      <c r="O536" s="25">
        <f t="shared" si="525"/>
        <v>10889.636755601023</v>
      </c>
      <c r="P536" s="25">
        <f t="shared" si="526"/>
        <v>30050.93324439897</v>
      </c>
      <c r="Q536" s="25">
        <f t="array" aca="1" ref="Q536" ca="1">INDEX('Isaac 401k'!L:L,MATCH('Retirement Calculator'!A536,'Isaac 401k'!N:N,0),0)</f>
        <v>-675379.23103328829</v>
      </c>
      <c r="R536" s="25">
        <f t="array" aca="1" ref="R536" ca="1">INDEX('Lorri 401b'!L:L,MATCH('Retirement Calculator'!A536,'Lorri 401b'!N:N,0),0)</f>
        <v>-124333.63813005222</v>
      </c>
      <c r="S536" s="25">
        <f t="shared" ca="1" si="527"/>
        <v>-799712.86916334054</v>
      </c>
    </row>
    <row r="537" spans="1:19" ht="15.75" customHeight="1" x14ac:dyDescent="0.3">
      <c r="A537" s="37">
        <v>67298</v>
      </c>
      <c r="B537" s="398">
        <f t="shared" ref="B537:C537" si="543">($A537-B$9)/365.25</f>
        <v>102.37371663244353</v>
      </c>
      <c r="C537" s="398">
        <f t="shared" si="543"/>
        <v>97.763175906913077</v>
      </c>
      <c r="E537" s="25">
        <f>IF(C537&gt;$B$7,0,'Combined Retirement'!$D$13/12)</f>
        <v>0</v>
      </c>
      <c r="F537" s="25">
        <f>IF(H537=0,'Combined Retirement'!$D$32,0)+'Combined Retirement'!$B$24</f>
        <v>2870.372285649099</v>
      </c>
      <c r="G537" s="25">
        <f>'Combined Retirement'!$C$24</f>
        <v>3254.2644699519233</v>
      </c>
      <c r="H537" s="25">
        <f>IF(B537&lt;62,0,'Combined Retirement'!$I$14)</f>
        <v>2345</v>
      </c>
      <c r="I537" s="25">
        <f>IF(C537&lt;62,0,'Combined Retirement'!$I$13)</f>
        <v>2420</v>
      </c>
      <c r="J537" s="25">
        <f t="shared" si="523"/>
        <v>8395.6297298201844</v>
      </c>
      <c r="K537" s="25">
        <f t="shared" si="524"/>
        <v>21655.303514578787</v>
      </c>
      <c r="L537" s="25"/>
      <c r="N537" s="25">
        <f>'Combined Retirement'!$C$18/12</f>
        <v>40940.569999999992</v>
      </c>
      <c r="O537" s="25">
        <f t="shared" si="525"/>
        <v>10889.636755601023</v>
      </c>
      <c r="P537" s="25">
        <f t="shared" si="526"/>
        <v>30050.93324439897</v>
      </c>
      <c r="Q537" s="25">
        <f t="array" aca="1" ref="Q537" ca="1">INDEX('Isaac 401k'!L:L,MATCH('Retirement Calculator'!A537,'Isaac 401k'!N:N,0),0)</f>
        <v>-686623.92268295481</v>
      </c>
      <c r="R537" s="25">
        <f t="array" aca="1" ref="R537" ca="1">INDEX('Lorri 401b'!L:L,MATCH('Retirement Calculator'!A537,'Lorri 401b'!N:N,0),0)</f>
        <v>-146597.22890148364</v>
      </c>
      <c r="S537" s="25">
        <f t="shared" ca="1" si="527"/>
        <v>-833221.15158443851</v>
      </c>
    </row>
    <row r="538" spans="1:19" ht="15.75" customHeight="1" x14ac:dyDescent="0.3">
      <c r="A538" s="37">
        <v>67328</v>
      </c>
      <c r="B538" s="398">
        <f t="shared" ref="B538:C538" si="544">($A538-B$9)/365.25</f>
        <v>102.45585215605749</v>
      </c>
      <c r="C538" s="398">
        <f t="shared" si="544"/>
        <v>97.845311430527033</v>
      </c>
      <c r="E538" s="25">
        <f>IF(C538&gt;$B$7,0,'Combined Retirement'!$D$13/12)</f>
        <v>0</v>
      </c>
      <c r="F538" s="25">
        <f>IF(H538=0,'Combined Retirement'!$D$32,0)+'Combined Retirement'!$B$24</f>
        <v>2870.372285649099</v>
      </c>
      <c r="G538" s="25">
        <f>'Combined Retirement'!$C$24</f>
        <v>3254.2644699519233</v>
      </c>
      <c r="H538" s="25">
        <f>IF(B538&lt;62,0,'Combined Retirement'!$I$14)</f>
        <v>2345</v>
      </c>
      <c r="I538" s="25">
        <f>IF(C538&lt;62,0,'Combined Retirement'!$I$13)</f>
        <v>2420</v>
      </c>
      <c r="J538" s="25">
        <f t="shared" si="523"/>
        <v>8395.6297298201844</v>
      </c>
      <c r="K538" s="25">
        <f t="shared" si="524"/>
        <v>21655.303514578787</v>
      </c>
      <c r="L538" s="25"/>
      <c r="N538" s="25">
        <f>'Combined Retirement'!$C$18/12</f>
        <v>40940.569999999992</v>
      </c>
      <c r="O538" s="25">
        <f t="shared" si="525"/>
        <v>10889.636755601023</v>
      </c>
      <c r="P538" s="25">
        <f t="shared" si="526"/>
        <v>30050.93324439897</v>
      </c>
      <c r="Q538" s="25">
        <f t="array" aca="1" ref="Q538" ca="1">INDEX('Isaac 401k'!L:L,MATCH('Retirement Calculator'!A538,'Isaac 401k'!N:N,0),0)</f>
        <v>-697915.46721449494</v>
      </c>
      <c r="R538" s="25">
        <f t="array" aca="1" ref="R538" ca="1">INDEX('Lorri 401b'!L:L,MATCH('Retirement Calculator'!A538,'Lorri 401b'!N:N,0),0)</f>
        <v>-168953.58463446269</v>
      </c>
      <c r="S538" s="25">
        <f t="shared" ca="1" si="527"/>
        <v>-866869.05184895766</v>
      </c>
    </row>
    <row r="539" spans="1:19" ht="15.75" customHeight="1" x14ac:dyDescent="0.3">
      <c r="A539" s="37">
        <v>67359</v>
      </c>
      <c r="B539" s="398">
        <f t="shared" ref="B539:C539" si="545">($A539-B$9)/365.25</f>
        <v>102.54072553045859</v>
      </c>
      <c r="C539" s="398">
        <f t="shared" si="545"/>
        <v>97.930184804928132</v>
      </c>
      <c r="E539" s="25">
        <f>IF(C539&gt;$B$7,0,'Combined Retirement'!$D$13/12)</f>
        <v>0</v>
      </c>
      <c r="F539" s="25">
        <f>IF(H539=0,'Combined Retirement'!$D$32,0)+'Combined Retirement'!$B$24</f>
        <v>2870.372285649099</v>
      </c>
      <c r="G539" s="25">
        <f>'Combined Retirement'!$C$24</f>
        <v>3254.2644699519233</v>
      </c>
      <c r="H539" s="25">
        <f>IF(B539&lt;62,0,'Combined Retirement'!$I$14)</f>
        <v>2345</v>
      </c>
      <c r="I539" s="25">
        <f>IF(C539&lt;62,0,'Combined Retirement'!$I$13)</f>
        <v>2420</v>
      </c>
      <c r="J539" s="25">
        <f t="shared" si="523"/>
        <v>8395.6297298201844</v>
      </c>
      <c r="K539" s="25">
        <f t="shared" si="524"/>
        <v>21655.303514578787</v>
      </c>
      <c r="L539" s="25"/>
      <c r="N539" s="25">
        <f>'Combined Retirement'!$C$18/12</f>
        <v>40940.569999999992</v>
      </c>
      <c r="O539" s="25">
        <f t="shared" si="525"/>
        <v>10889.636755601023</v>
      </c>
      <c r="P539" s="25">
        <f t="shared" si="526"/>
        <v>30050.93324439897</v>
      </c>
      <c r="Q539" s="25">
        <f t="array" aca="1" ref="Q539" ca="1">INDEX('Isaac 401k'!L:L,MATCH('Retirement Calculator'!A539,'Isaac 401k'!N:N,0),0)</f>
        <v>-709254.05984824977</v>
      </c>
      <c r="R539" s="25">
        <f t="array" aca="1" ref="R539" ca="1">INDEX('Lorri 401b'!L:L,MATCH('Retirement Calculator'!A539,'Lorri 401b'!N:N,0),0)</f>
        <v>-191403.09184966248</v>
      </c>
      <c r="S539" s="25">
        <f t="shared" ca="1" si="527"/>
        <v>-900657.15169791225</v>
      </c>
    </row>
    <row r="540" spans="1:19" ht="15.75" customHeight="1" x14ac:dyDescent="0.3">
      <c r="A540" s="37">
        <v>67389</v>
      </c>
      <c r="B540" s="398">
        <f t="shared" ref="B540:C540" si="546">($A540-B$9)/365.25</f>
        <v>102.62286105407256</v>
      </c>
      <c r="C540" s="398">
        <f t="shared" si="546"/>
        <v>98.012320328542089</v>
      </c>
      <c r="E540" s="25">
        <f>IF(C540&gt;$B$7,0,'Combined Retirement'!$D$13/12)</f>
        <v>0</v>
      </c>
      <c r="F540" s="25">
        <f>IF(H540=0,'Combined Retirement'!$D$32,0)+'Combined Retirement'!$B$24</f>
        <v>2870.372285649099</v>
      </c>
      <c r="G540" s="25">
        <f>'Combined Retirement'!$C$24</f>
        <v>3254.2644699519233</v>
      </c>
      <c r="H540" s="25">
        <f>IF(B540&lt;62,0,'Combined Retirement'!$I$14)</f>
        <v>2345</v>
      </c>
      <c r="I540" s="25">
        <f>IF(C540&lt;62,0,'Combined Retirement'!$I$13)</f>
        <v>2420</v>
      </c>
      <c r="J540" s="25">
        <f t="shared" si="523"/>
        <v>8395.6297298201844</v>
      </c>
      <c r="K540" s="25">
        <f t="shared" si="524"/>
        <v>21655.303514578787</v>
      </c>
      <c r="L540" s="25"/>
      <c r="N540" s="25">
        <f>'Combined Retirement'!$C$18/12</f>
        <v>40940.569999999992</v>
      </c>
      <c r="O540" s="25">
        <f t="shared" si="525"/>
        <v>10889.636755601023</v>
      </c>
      <c r="P540" s="25">
        <f t="shared" si="526"/>
        <v>30050.93324439897</v>
      </c>
      <c r="Q540" s="25">
        <f t="array" aca="1" ref="Q540" ca="1">INDEX('Isaac 401k'!L:L,MATCH('Retirement Calculator'!A540,'Isaac 401k'!N:N,0),0)</f>
        <v>-720639.89661797858</v>
      </c>
      <c r="R540" s="25">
        <f t="array" aca="1" ref="R540" ca="1">INDEX('Lorri 401b'!L:L,MATCH('Retirement Calculator'!A540,'Lorri 401b'!N:N,0),0)</f>
        <v>-213946.13867825893</v>
      </c>
      <c r="S540" s="25">
        <f t="shared" ca="1" si="527"/>
        <v>-934586.03529623756</v>
      </c>
    </row>
    <row r="541" spans="1:19" ht="15.75" customHeight="1" x14ac:dyDescent="0.3">
      <c r="A541" s="37">
        <v>67420</v>
      </c>
      <c r="B541" s="398">
        <f t="shared" ref="B541:C541" si="547">($A541-B$9)/365.25</f>
        <v>102.70773442847364</v>
      </c>
      <c r="C541" s="398">
        <f t="shared" si="547"/>
        <v>98.097193702943187</v>
      </c>
      <c r="E541" s="25">
        <f>IF(C541&gt;$B$7,0,'Combined Retirement'!$D$13/12)</f>
        <v>0</v>
      </c>
      <c r="F541" s="25">
        <f>IF(H541=0,'Combined Retirement'!$D$32,0)+'Combined Retirement'!$B$24</f>
        <v>2870.372285649099</v>
      </c>
      <c r="G541" s="25">
        <f>'Combined Retirement'!$C$24</f>
        <v>3254.2644699519233</v>
      </c>
      <c r="H541" s="25">
        <f>IF(B541&lt;62,0,'Combined Retirement'!$I$14)</f>
        <v>2345</v>
      </c>
      <c r="I541" s="25">
        <f>IF(C541&lt;62,0,'Combined Retirement'!$I$13)</f>
        <v>2420</v>
      </c>
      <c r="J541" s="25">
        <f t="shared" si="523"/>
        <v>8395.6297298201844</v>
      </c>
      <c r="K541" s="25">
        <f t="shared" si="524"/>
        <v>21655.303514578787</v>
      </c>
      <c r="L541" s="25"/>
      <c r="N541" s="25">
        <f>'Combined Retirement'!$C$18/12</f>
        <v>40940.569999999992</v>
      </c>
      <c r="O541" s="25">
        <f t="shared" si="525"/>
        <v>10889.636755601023</v>
      </c>
      <c r="P541" s="25">
        <f t="shared" si="526"/>
        <v>30050.93324439897</v>
      </c>
      <c r="Q541" s="25">
        <f t="array" aca="1" ref="Q541" ca="1">INDEX('Isaac 401k'!L:L,MATCH('Retirement Calculator'!A541,'Isaac 401k'!N:N,0),0)</f>
        <v>-732073.1743742479</v>
      </c>
      <c r="R541" s="25">
        <f t="array" aca="1" ref="R541" ca="1">INDEX('Lorri 401b'!L:L,MATCH('Retirement Calculator'!A541,'Lorri 401b'!N:N,0),0)</f>
        <v>-236583.11486864119</v>
      </c>
      <c r="S541" s="25">
        <f t="shared" ca="1" si="527"/>
        <v>-968656.28924288903</v>
      </c>
    </row>
    <row r="542" spans="1:19" ht="15.75" customHeight="1" x14ac:dyDescent="0.3">
      <c r="A542" s="37">
        <v>67451</v>
      </c>
      <c r="B542" s="398">
        <f t="shared" ref="B542:C542" si="548">($A542-B$9)/365.25</f>
        <v>102.79260780287474</v>
      </c>
      <c r="C542" s="398">
        <f t="shared" si="548"/>
        <v>98.182067077344286</v>
      </c>
      <c r="E542" s="25">
        <f>IF(C542&gt;$B$7,0,'Combined Retirement'!$D$13/12)</f>
        <v>0</v>
      </c>
      <c r="F542" s="25">
        <f>IF(H542=0,'Combined Retirement'!$D$32,0)+'Combined Retirement'!$B$24</f>
        <v>2870.372285649099</v>
      </c>
      <c r="G542" s="25">
        <f>'Combined Retirement'!$C$24</f>
        <v>3254.2644699519233</v>
      </c>
      <c r="H542" s="25">
        <f>IF(B542&lt;62,0,'Combined Retirement'!$I$14)</f>
        <v>2345</v>
      </c>
      <c r="I542" s="25">
        <f>IF(C542&lt;62,0,'Combined Retirement'!$I$13)</f>
        <v>2420</v>
      </c>
      <c r="J542" s="25">
        <f t="shared" si="523"/>
        <v>8395.6297298201844</v>
      </c>
      <c r="K542" s="25">
        <f t="shared" si="524"/>
        <v>21655.303514578787</v>
      </c>
      <c r="L542" s="25"/>
      <c r="N542" s="25">
        <f>'Combined Retirement'!$C$18/12</f>
        <v>40940.569999999992</v>
      </c>
      <c r="O542" s="25">
        <f t="shared" si="525"/>
        <v>10889.636755601023</v>
      </c>
      <c r="P542" s="25">
        <f t="shared" si="526"/>
        <v>30050.93324439897</v>
      </c>
      <c r="Q542" s="25">
        <f t="array" aca="1" ref="Q542" ca="1">INDEX('Isaac 401k'!L:L,MATCH('Retirement Calculator'!A542,'Isaac 401k'!N:N,0),0)</f>
        <v>-743554.09078783507</v>
      </c>
      <c r="R542" s="25">
        <f t="array" aca="1" ref="R542" ca="1">INDEX('Lorri 401b'!L:L,MATCH('Retirement Calculator'!A542,'Lorri 401b'!N:N,0),0)</f>
        <v>-259314.41179315007</v>
      </c>
      <c r="S542" s="25">
        <f t="shared" ca="1" si="527"/>
        <v>-1002868.5025809852</v>
      </c>
    </row>
    <row r="543" spans="1:19" ht="15.75" customHeight="1" x14ac:dyDescent="0.3">
      <c r="A543" s="37">
        <v>67481</v>
      </c>
      <c r="B543" s="398">
        <f t="shared" ref="B543:C543" si="549">($A543-B$9)/365.25</f>
        <v>102.87474332648871</v>
      </c>
      <c r="C543" s="398">
        <f t="shared" si="549"/>
        <v>98.264202600958242</v>
      </c>
      <c r="E543" s="25">
        <f>IF(C543&gt;$B$7,0,'Combined Retirement'!$D$13/12)</f>
        <v>0</v>
      </c>
      <c r="F543" s="25">
        <f>IF(H543=0,'Combined Retirement'!$D$32,0)+'Combined Retirement'!$B$24</f>
        <v>2870.372285649099</v>
      </c>
      <c r="G543" s="25">
        <f>'Combined Retirement'!$C$24</f>
        <v>3254.2644699519233</v>
      </c>
      <c r="H543" s="25">
        <f>IF(B543&lt;62,0,'Combined Retirement'!$I$14)</f>
        <v>2345</v>
      </c>
      <c r="I543" s="25">
        <f>IF(C543&lt;62,0,'Combined Retirement'!$I$13)</f>
        <v>2420</v>
      </c>
      <c r="J543" s="25">
        <f t="shared" si="523"/>
        <v>8395.6297298201844</v>
      </c>
      <c r="K543" s="25">
        <f t="shared" si="524"/>
        <v>21655.303514578787</v>
      </c>
      <c r="L543" s="25"/>
      <c r="N543" s="25">
        <f>'Combined Retirement'!$C$18/12</f>
        <v>40940.569999999992</v>
      </c>
      <c r="O543" s="25">
        <f t="shared" si="525"/>
        <v>10889.636755601023</v>
      </c>
      <c r="P543" s="25">
        <f t="shared" si="526"/>
        <v>30050.93324439897</v>
      </c>
      <c r="Q543" s="25">
        <f t="array" aca="1" ref="Q543" ca="1">INDEX('Isaac 401k'!L:L,MATCH('Retirement Calculator'!A543,'Isaac 401k'!N:N,0),0)</f>
        <v>-755082.84435314545</v>
      </c>
      <c r="R543" s="25">
        <f t="array" aca="1" ref="R543" ca="1">INDEX('Lorri 401b'!L:L,MATCH('Retirement Calculator'!A543,'Lorri 401b'!N:N,0),0)</f>
        <v>-282140.4224548444</v>
      </c>
      <c r="S543" s="25">
        <f t="shared" ca="1" si="527"/>
        <v>-1037223.2668079899</v>
      </c>
    </row>
    <row r="544" spans="1:19" ht="15.75" customHeight="1" x14ac:dyDescent="0.3">
      <c r="A544" s="37">
        <v>67512</v>
      </c>
      <c r="B544" s="398">
        <f t="shared" ref="B544:C544" si="550">($A544-B$9)/365.25</f>
        <v>102.9596167008898</v>
      </c>
      <c r="C544" s="398">
        <f t="shared" si="550"/>
        <v>98.349075975359341</v>
      </c>
      <c r="E544" s="25">
        <f>IF(C544&gt;$B$7,0,'Combined Retirement'!$D$13/12)</f>
        <v>0</v>
      </c>
      <c r="F544" s="25">
        <f>IF(H544=0,'Combined Retirement'!$D$32,0)+'Combined Retirement'!$B$24</f>
        <v>2870.372285649099</v>
      </c>
      <c r="G544" s="25">
        <f>'Combined Retirement'!$C$24</f>
        <v>3254.2644699519233</v>
      </c>
      <c r="H544" s="25">
        <f>IF(B544&lt;62,0,'Combined Retirement'!$I$14)</f>
        <v>2345</v>
      </c>
      <c r="I544" s="25">
        <f>IF(C544&lt;62,0,'Combined Retirement'!$I$13)</f>
        <v>2420</v>
      </c>
      <c r="J544" s="25">
        <f t="shared" si="523"/>
        <v>8395.6297298201844</v>
      </c>
      <c r="K544" s="25">
        <f t="shared" si="524"/>
        <v>21655.303514578787</v>
      </c>
      <c r="L544" s="25"/>
      <c r="N544" s="25">
        <f>'Combined Retirement'!$C$18/12</f>
        <v>40940.569999999992</v>
      </c>
      <c r="O544" s="25">
        <f t="shared" si="525"/>
        <v>10889.636755601023</v>
      </c>
      <c r="P544" s="25">
        <f t="shared" si="526"/>
        <v>30050.93324439897</v>
      </c>
      <c r="Q544" s="25">
        <f t="array" aca="1" ref="Q544" ca="1">INDEX('Isaac 401k'!L:L,MATCH('Retirement Calculator'!A544,'Isaac 401k'!N:N,0),0)</f>
        <v>-766659.63439164462</v>
      </c>
      <c r="R544" s="25">
        <f t="array" aca="1" ref="R544" ca="1">INDEX('Lorri 401b'!L:L,MATCH('Retirement Calculator'!A544,'Lorri 401b'!N:N,0),0)</f>
        <v>-305061.54149429582</v>
      </c>
      <c r="S544" s="25">
        <f t="shared" ca="1" si="527"/>
        <v>-1071721.1758859404</v>
      </c>
    </row>
    <row r="545" spans="1:19" ht="15.75" customHeight="1" x14ac:dyDescent="0.3">
      <c r="A545" s="37">
        <v>67542</v>
      </c>
      <c r="B545" s="398">
        <f t="shared" ref="B545:C545" si="551">($A545-B$9)/365.25</f>
        <v>103.04175222450377</v>
      </c>
      <c r="C545" s="398">
        <f t="shared" si="551"/>
        <v>98.431211498973312</v>
      </c>
      <c r="E545" s="25">
        <f>IF(C545&gt;$B$7,0,'Combined Retirement'!$D$13/12)</f>
        <v>0</v>
      </c>
      <c r="F545" s="25">
        <f>IF(H545=0,'Combined Retirement'!$D$32,0)+'Combined Retirement'!$B$24</f>
        <v>2870.372285649099</v>
      </c>
      <c r="G545" s="25">
        <f>'Combined Retirement'!$C$24</f>
        <v>3254.2644699519233</v>
      </c>
      <c r="H545" s="25">
        <f>IF(B545&lt;62,0,'Combined Retirement'!$I$14)</f>
        <v>2345</v>
      </c>
      <c r="I545" s="25">
        <f>IF(C545&lt;62,0,'Combined Retirement'!$I$13)</f>
        <v>2420</v>
      </c>
      <c r="J545" s="25">
        <f t="shared" si="523"/>
        <v>8395.6297298201844</v>
      </c>
      <c r="K545" s="25">
        <f t="shared" si="524"/>
        <v>21655.303514578787</v>
      </c>
      <c r="L545" s="25"/>
      <c r="N545" s="25">
        <f>'Combined Retirement'!$C$18/12</f>
        <v>40940.569999999992</v>
      </c>
      <c r="O545" s="25">
        <f t="shared" si="525"/>
        <v>10889.636755601023</v>
      </c>
      <c r="P545" s="25">
        <f t="shared" si="526"/>
        <v>30050.93324439897</v>
      </c>
      <c r="Q545" s="25">
        <f t="array" aca="1" ref="Q545" ca="1">INDEX('Isaac 401k'!L:L,MATCH('Retirement Calculator'!A545,'Isaac 401k'!N:N,0),0)</f>
        <v>-778284.66105530423</v>
      </c>
      <c r="R545" s="25">
        <f t="array" aca="1" ref="R545" ca="1">INDEX('Lorri 401b'!L:L,MATCH('Retirement Calculator'!A545,'Lorri 401b'!N:N,0),0)</f>
        <v>-328078.1651964116</v>
      </c>
      <c r="S545" s="25">
        <f t="shared" ca="1" si="527"/>
        <v>-1106362.8262517159</v>
      </c>
    </row>
    <row r="546" spans="1:19" ht="15.75" customHeight="1" x14ac:dyDescent="0.3">
      <c r="A546" s="37">
        <v>67573</v>
      </c>
      <c r="B546" s="398">
        <f t="shared" ref="B546:C546" si="552">($A546-B$9)/365.25</f>
        <v>103.12662559890487</v>
      </c>
      <c r="C546" s="398">
        <f t="shared" si="552"/>
        <v>98.516084873374396</v>
      </c>
      <c r="E546" s="25">
        <f>IF(C546&gt;$B$7,0,'Combined Retirement'!$D$13/12)</f>
        <v>0</v>
      </c>
      <c r="F546" s="25">
        <f>IF(H546=0,'Combined Retirement'!$D$32,0)+'Combined Retirement'!$B$24</f>
        <v>2870.372285649099</v>
      </c>
      <c r="G546" s="25">
        <f>'Combined Retirement'!$C$24</f>
        <v>3254.2644699519233</v>
      </c>
      <c r="H546" s="25">
        <f>IF(B546&lt;62,0,'Combined Retirement'!$I$14)</f>
        <v>2345</v>
      </c>
      <c r="I546" s="25">
        <f>IF(C546&lt;62,0,'Combined Retirement'!$I$13)</f>
        <v>2420</v>
      </c>
      <c r="J546" s="25">
        <f t="shared" si="523"/>
        <v>8395.6297298201844</v>
      </c>
      <c r="K546" s="25">
        <f t="shared" si="524"/>
        <v>21655.303514578787</v>
      </c>
      <c r="L546" s="25"/>
      <c r="N546" s="25">
        <f>'Combined Retirement'!$C$18/12</f>
        <v>40940.569999999992</v>
      </c>
      <c r="O546" s="25">
        <f t="shared" si="525"/>
        <v>10889.636755601023</v>
      </c>
      <c r="P546" s="25">
        <f t="shared" si="526"/>
        <v>30050.93324439897</v>
      </c>
      <c r="Q546" s="25">
        <f t="array" aca="1" ref="Q546" ca="1">INDEX('Isaac 401k'!L:L,MATCH('Retirement Calculator'!A546,'Isaac 401k'!N:N,0),0)</f>
        <v>-789958.12533006247</v>
      </c>
      <c r="R546" s="25">
        <f t="array" aca="1" ref="R546" ca="1">INDEX('Lorri 401b'!L:L,MATCH('Retirement Calculator'!A546,'Lorri 401b'!N:N,0),0)</f>
        <v>-351190.6914972862</v>
      </c>
      <c r="S546" s="25">
        <f t="shared" ca="1" si="527"/>
        <v>-1141148.8168273487</v>
      </c>
    </row>
    <row r="547" spans="1:19" ht="15.75" customHeight="1" x14ac:dyDescent="0.3">
      <c r="A547" s="37">
        <v>67604</v>
      </c>
      <c r="B547" s="398">
        <f t="shared" ref="B547:C547" si="553">($A547-B$9)/365.25</f>
        <v>103.21149897330595</v>
      </c>
      <c r="C547" s="398">
        <f t="shared" si="553"/>
        <v>98.600958247775495</v>
      </c>
      <c r="E547" s="25">
        <f>IF(C547&gt;$B$7,0,'Combined Retirement'!$D$13/12)</f>
        <v>0</v>
      </c>
      <c r="F547" s="25">
        <f>IF(H547=0,'Combined Retirement'!$D$32,0)+'Combined Retirement'!$B$24</f>
        <v>2870.372285649099</v>
      </c>
      <c r="G547" s="25">
        <f>'Combined Retirement'!$C$24</f>
        <v>3254.2644699519233</v>
      </c>
      <c r="H547" s="25">
        <f>IF(B547&lt;62,0,'Combined Retirement'!$I$14)</f>
        <v>2345</v>
      </c>
      <c r="I547" s="25">
        <f>IF(C547&lt;62,0,'Combined Retirement'!$I$13)</f>
        <v>2420</v>
      </c>
      <c r="J547" s="25">
        <f t="shared" si="523"/>
        <v>8395.6297298201844</v>
      </c>
      <c r="K547" s="25">
        <f t="shared" si="524"/>
        <v>21655.303514578787</v>
      </c>
      <c r="L547" s="25"/>
      <c r="N547" s="25">
        <f>'Combined Retirement'!$C$18/12</f>
        <v>40940.569999999992</v>
      </c>
      <c r="O547" s="25">
        <f t="shared" si="525"/>
        <v>10889.636755601023</v>
      </c>
      <c r="P547" s="25">
        <f t="shared" si="526"/>
        <v>30050.93324439897</v>
      </c>
      <c r="Q547" s="25">
        <f t="array" aca="1" ref="Q547" ca="1">INDEX('Isaac 401k'!L:L,MATCH('Retirement Calculator'!A547,'Isaac 401k'!N:N,0),0)</f>
        <v>-801680.22903929884</v>
      </c>
      <c r="R547" s="25">
        <f t="array" aca="1" ref="R547" ca="1">INDEX('Lorri 401b'!L:L,MATCH('Retirement Calculator'!A547,'Lorri 401b'!N:N,0),0)</f>
        <v>-374399.51999108109</v>
      </c>
      <c r="S547" s="25">
        <f t="shared" ca="1" si="527"/>
        <v>-1176079.74903038</v>
      </c>
    </row>
    <row r="548" spans="1:19" ht="15.75" customHeight="1" x14ac:dyDescent="0.3">
      <c r="A548" s="37">
        <v>67632</v>
      </c>
      <c r="B548" s="398">
        <f t="shared" ref="B548:C548" si="554">($A548-B$9)/365.25</f>
        <v>103.28815879534565</v>
      </c>
      <c r="C548" s="398">
        <f t="shared" si="554"/>
        <v>98.677618069815196</v>
      </c>
      <c r="E548" s="25">
        <f>IF(C548&gt;$B$7,0,'Combined Retirement'!$D$13/12)</f>
        <v>0</v>
      </c>
      <c r="F548" s="25">
        <f>IF(H548=0,'Combined Retirement'!$D$32,0)+'Combined Retirement'!$B$24</f>
        <v>2870.372285649099</v>
      </c>
      <c r="G548" s="25">
        <f>'Combined Retirement'!$C$24</f>
        <v>3254.2644699519233</v>
      </c>
      <c r="H548" s="25">
        <f>IF(B548&lt;62,0,'Combined Retirement'!$I$14)</f>
        <v>2345</v>
      </c>
      <c r="I548" s="25">
        <f>IF(C548&lt;62,0,'Combined Retirement'!$I$13)</f>
        <v>2420</v>
      </c>
      <c r="J548" s="25">
        <f t="shared" si="523"/>
        <v>8395.6297298201844</v>
      </c>
      <c r="K548" s="25">
        <f t="shared" si="524"/>
        <v>21655.303514578787</v>
      </c>
      <c r="L548" s="25"/>
      <c r="N548" s="25">
        <f>'Combined Retirement'!$C$18/12</f>
        <v>40940.569999999992</v>
      </c>
      <c r="O548" s="25">
        <f t="shared" si="525"/>
        <v>10889.636755601023</v>
      </c>
      <c r="P548" s="25">
        <f t="shared" si="526"/>
        <v>30050.93324439897</v>
      </c>
      <c r="Q548" s="25">
        <f t="array" aca="1" ref="Q548" ca="1">INDEX('Isaac 401k'!L:L,MATCH('Retirement Calculator'!A548,'Isaac 401k'!N:N,0),0)</f>
        <v>-813451.17484732368</v>
      </c>
      <c r="R548" s="25">
        <f t="array" aca="1" ref="R548" ca="1">INDEX('Lorri 401b'!L:L,MATCH('Retirement Calculator'!A548,'Lorri 401b'!N:N,0),0)</f>
        <v>-397705.05193693348</v>
      </c>
      <c r="S548" s="25">
        <f t="shared" ca="1" si="527"/>
        <v>-1211156.2267842572</v>
      </c>
    </row>
    <row r="549" spans="1:19" ht="15.75" customHeight="1" x14ac:dyDescent="0.3">
      <c r="A549" s="37">
        <v>67663</v>
      </c>
      <c r="B549" s="398">
        <f t="shared" ref="B549:C549" si="555">($A549-B$9)/365.25</f>
        <v>103.37303216974675</v>
      </c>
      <c r="C549" s="398">
        <f t="shared" si="555"/>
        <v>98.762491444216295</v>
      </c>
      <c r="E549" s="25">
        <f>IF(C549&gt;$B$7,0,'Combined Retirement'!$D$13/12)</f>
        <v>0</v>
      </c>
      <c r="F549" s="25">
        <f>IF(H549=0,'Combined Retirement'!$D$32,0)+'Combined Retirement'!$B$24</f>
        <v>2870.372285649099</v>
      </c>
      <c r="G549" s="25">
        <f>'Combined Retirement'!$C$24</f>
        <v>3254.2644699519233</v>
      </c>
      <c r="H549" s="25">
        <f>IF(B549&lt;62,0,'Combined Retirement'!$I$14)</f>
        <v>2345</v>
      </c>
      <c r="I549" s="25">
        <f>IF(C549&lt;62,0,'Combined Retirement'!$I$13)</f>
        <v>2420</v>
      </c>
      <c r="J549" s="25">
        <f t="shared" si="523"/>
        <v>8395.6297298201844</v>
      </c>
      <c r="K549" s="25">
        <f t="shared" si="524"/>
        <v>21655.303514578787</v>
      </c>
      <c r="L549" s="25"/>
      <c r="N549" s="25">
        <f>'Combined Retirement'!$C$18/12</f>
        <v>40940.569999999992</v>
      </c>
      <c r="O549" s="25">
        <f t="shared" si="525"/>
        <v>10889.636755601023</v>
      </c>
      <c r="P549" s="25">
        <f t="shared" si="526"/>
        <v>30050.93324439897</v>
      </c>
      <c r="Q549" s="25">
        <f t="array" aca="1" ref="Q549" ca="1">INDEX('Isaac 401k'!L:L,MATCH('Retirement Calculator'!A549,'Isaac 401k'!N:N,0),0)</f>
        <v>-825271.16626288195</v>
      </c>
      <c r="R549" s="25">
        <f t="array" aca="1" ref="R549" ca="1">INDEX('Lorri 401b'!L:L,MATCH('Retirement Calculator'!A549,'Lorri 401b'!N:N,0),0)</f>
        <v>-421107.69026589359</v>
      </c>
      <c r="S549" s="25">
        <f t="shared" ca="1" si="527"/>
        <v>-1246378.8565287755</v>
      </c>
    </row>
    <row r="550" spans="1:19" ht="15.75" customHeight="1" x14ac:dyDescent="0.3">
      <c r="A550" s="37">
        <v>67693</v>
      </c>
      <c r="B550" s="398">
        <f t="shared" ref="B550:C550" si="556">($A550-B$9)/365.25</f>
        <v>103.45516769336071</v>
      </c>
      <c r="C550" s="398">
        <f t="shared" si="556"/>
        <v>98.844626967830251</v>
      </c>
      <c r="E550" s="25">
        <f>IF(C550&gt;$B$7,0,'Combined Retirement'!$D$13/12)</f>
        <v>0</v>
      </c>
      <c r="F550" s="25">
        <f>IF(H550=0,'Combined Retirement'!$D$32,0)+'Combined Retirement'!$B$24</f>
        <v>2870.372285649099</v>
      </c>
      <c r="G550" s="25">
        <f>'Combined Retirement'!$C$24</f>
        <v>3254.2644699519233</v>
      </c>
      <c r="H550" s="25">
        <f>IF(B550&lt;62,0,'Combined Retirement'!$I$14)</f>
        <v>2345</v>
      </c>
      <c r="I550" s="25">
        <f>IF(C550&lt;62,0,'Combined Retirement'!$I$13)</f>
        <v>2420</v>
      </c>
      <c r="J550" s="25">
        <f t="shared" si="523"/>
        <v>8395.6297298201844</v>
      </c>
      <c r="K550" s="25">
        <f t="shared" si="524"/>
        <v>21655.303514578787</v>
      </c>
      <c r="L550" s="25"/>
      <c r="N550" s="25">
        <f>'Combined Retirement'!$C$18/12</f>
        <v>40940.569999999992</v>
      </c>
      <c r="O550" s="25">
        <f t="shared" si="525"/>
        <v>10889.636755601023</v>
      </c>
      <c r="P550" s="25">
        <f t="shared" si="526"/>
        <v>30050.93324439897</v>
      </c>
      <c r="Q550" s="25">
        <f t="array" aca="1" ref="Q550" ca="1">INDEX('Isaac 401k'!L:L,MATCH('Retirement Calculator'!A550,'Isaac 401k'!N:N,0),0)</f>
        <v>-837140.40764267172</v>
      </c>
      <c r="R550" s="25">
        <f t="array" aca="1" ref="R550" ca="1">INDEX('Lorri 401b'!L:L,MATCH('Retirement Calculator'!A550,'Lorri 401b'!N:N,0),0)</f>
        <v>-444607.83958789101</v>
      </c>
      <c r="S550" s="25">
        <f t="shared" ca="1" si="527"/>
        <v>-1281748.2472305628</v>
      </c>
    </row>
    <row r="551" spans="1:19" ht="15.75" customHeight="1" x14ac:dyDescent="0.3">
      <c r="A551" s="37">
        <v>67724</v>
      </c>
      <c r="B551" s="398">
        <f t="shared" ref="B551:C551" si="557">($A551-B$9)/365.25</f>
        <v>103.54004106776181</v>
      </c>
      <c r="C551" s="398">
        <f t="shared" si="557"/>
        <v>98.92950034223135</v>
      </c>
      <c r="E551" s="25">
        <f>IF(C551&gt;$B$7,0,'Combined Retirement'!$D$13/12)</f>
        <v>0</v>
      </c>
      <c r="F551" s="25">
        <f>IF(H551=0,'Combined Retirement'!$D$32,0)+'Combined Retirement'!$B$24</f>
        <v>2870.372285649099</v>
      </c>
      <c r="G551" s="25">
        <f>'Combined Retirement'!$C$24</f>
        <v>3254.2644699519233</v>
      </c>
      <c r="H551" s="25">
        <f>IF(B551&lt;62,0,'Combined Retirement'!$I$14)</f>
        <v>2345</v>
      </c>
      <c r="I551" s="25">
        <f>IF(C551&lt;62,0,'Combined Retirement'!$I$13)</f>
        <v>2420</v>
      </c>
      <c r="J551" s="25">
        <f t="shared" si="523"/>
        <v>8395.6297298201844</v>
      </c>
      <c r="K551" s="25">
        <f t="shared" si="524"/>
        <v>21655.303514578787</v>
      </c>
      <c r="L551" s="25"/>
      <c r="N551" s="25">
        <f>'Combined Retirement'!$C$18/12</f>
        <v>40940.569999999992</v>
      </c>
      <c r="O551" s="25">
        <f t="shared" si="525"/>
        <v>10889.636755601023</v>
      </c>
      <c r="P551" s="25">
        <f t="shared" si="526"/>
        <v>30050.93324439897</v>
      </c>
      <c r="Q551" s="25">
        <f t="array" aca="1" ref="Q551" ca="1">INDEX('Isaac 401k'!L:L,MATCH('Retirement Calculator'!A551,'Isaac 401k'!N:N,0),0)</f>
        <v>-849059.10419487732</v>
      </c>
      <c r="R551" s="25">
        <f t="array" aca="1" ref="R551" ca="1">INDEX('Lorri 401b'!L:L,MATCH('Retirement Calculator'!A551,'Lorri 401b'!N:N,0),0)</f>
        <v>-468205.90619873011</v>
      </c>
      <c r="S551" s="25">
        <f t="shared" ca="1" si="527"/>
        <v>-1317265.0103936074</v>
      </c>
    </row>
    <row r="552" spans="1:19" ht="15.75" customHeight="1" x14ac:dyDescent="0.3">
      <c r="A552" s="37">
        <v>67754</v>
      </c>
      <c r="B552" s="398">
        <f t="shared" ref="B552:C552" si="558">($A552-B$9)/365.25</f>
        <v>103.62217659137578</v>
      </c>
      <c r="C552" s="398">
        <f t="shared" si="558"/>
        <v>99.011635865845307</v>
      </c>
      <c r="E552" s="25">
        <f>IF(C552&gt;$B$7,0,'Combined Retirement'!$D$13/12)</f>
        <v>0</v>
      </c>
      <c r="F552" s="25">
        <f>IF(H552=0,'Combined Retirement'!$D$32,0)+'Combined Retirement'!$B$24</f>
        <v>2870.372285649099</v>
      </c>
      <c r="G552" s="25">
        <f>'Combined Retirement'!$C$24</f>
        <v>3254.2644699519233</v>
      </c>
      <c r="H552" s="25">
        <f>IF(B552&lt;62,0,'Combined Retirement'!$I$14)</f>
        <v>2345</v>
      </c>
      <c r="I552" s="25">
        <f>IF(C552&lt;62,0,'Combined Retirement'!$I$13)</f>
        <v>2420</v>
      </c>
      <c r="J552" s="25">
        <f t="shared" si="523"/>
        <v>8395.6297298201844</v>
      </c>
      <c r="K552" s="25">
        <f t="shared" si="524"/>
        <v>21655.303514578787</v>
      </c>
      <c r="L552" s="25"/>
      <c r="N552" s="25">
        <f>'Combined Retirement'!$C$18/12</f>
        <v>40940.569999999992</v>
      </c>
      <c r="O552" s="25">
        <f t="shared" si="525"/>
        <v>10889.636755601023</v>
      </c>
      <c r="P552" s="25">
        <f t="shared" si="526"/>
        <v>30050.93324439897</v>
      </c>
      <c r="Q552" s="25">
        <f t="array" aca="1" ref="Q552" ca="1">INDEX('Isaac 401k'!L:L,MATCH('Retirement Calculator'!A552,'Isaac 401k'!N:N,0),0)</f>
        <v>-861027.46198271704</v>
      </c>
      <c r="R552" s="25">
        <f t="array" aca="1" ref="R552" ca="1">INDEX('Lorri 401b'!L:L,MATCH('Retirement Calculator'!A552,'Lorri 401b'!N:N,0),0)</f>
        <v>-491902.29808711435</v>
      </c>
      <c r="S552" s="25">
        <f t="shared" ca="1" si="527"/>
        <v>-1352929.7600698313</v>
      </c>
    </row>
    <row r="553" spans="1:19" ht="15.75" customHeight="1" x14ac:dyDescent="0.3">
      <c r="A553" s="37">
        <v>67785</v>
      </c>
      <c r="B553" s="398">
        <f t="shared" ref="B553:C553" si="559">($A553-B$9)/365.25</f>
        <v>103.70704996577686</v>
      </c>
      <c r="C553" s="398">
        <f t="shared" si="559"/>
        <v>99.096509240246405</v>
      </c>
      <c r="E553" s="25">
        <f>IF(C553&gt;$B$7,0,'Combined Retirement'!$D$13/12)</f>
        <v>0</v>
      </c>
      <c r="F553" s="25">
        <f>IF(H553=0,'Combined Retirement'!$D$32,0)+'Combined Retirement'!$B$24</f>
        <v>2870.372285649099</v>
      </c>
      <c r="G553" s="25">
        <f>'Combined Retirement'!$C$24</f>
        <v>3254.2644699519233</v>
      </c>
      <c r="H553" s="25">
        <f>IF(B553&lt;62,0,'Combined Retirement'!$I$14)</f>
        <v>2345</v>
      </c>
      <c r="I553" s="25">
        <f>IF(C553&lt;62,0,'Combined Retirement'!$I$13)</f>
        <v>2420</v>
      </c>
      <c r="J553" s="25">
        <f t="shared" si="523"/>
        <v>8395.6297298201844</v>
      </c>
      <c r="K553" s="25">
        <f t="shared" si="524"/>
        <v>21655.303514578787</v>
      </c>
      <c r="L553" s="25"/>
      <c r="N553" s="25">
        <f>'Combined Retirement'!$C$18/12</f>
        <v>40940.569999999992</v>
      </c>
      <c r="O553" s="25">
        <f t="shared" si="525"/>
        <v>10889.636755601023</v>
      </c>
      <c r="P553" s="25">
        <f t="shared" si="526"/>
        <v>30050.93324439897</v>
      </c>
      <c r="Q553" s="25">
        <f t="array" aca="1" ref="Q553" ca="1">INDEX('Isaac 401k'!L:L,MATCH('Retirement Calculator'!A553,'Isaac 401k'!N:N,0),0)</f>
        <v>-873045.68792800617</v>
      </c>
      <c r="R553" s="25">
        <f t="array" aca="1" ref="R553" ca="1">INDEX('Lorri 401b'!L:L,MATCH('Retirement Calculator'!A553,'Lorri 401b'!N:N,0),0)</f>
        <v>-515697.42494170018</v>
      </c>
      <c r="S553" s="25">
        <f t="shared" ca="1" si="527"/>
        <v>-1388743.1128697065</v>
      </c>
    </row>
    <row r="554" spans="1:19" ht="15.75" customHeight="1" x14ac:dyDescent="0.3">
      <c r="A554" s="37">
        <v>67816</v>
      </c>
      <c r="B554" s="398">
        <f t="shared" ref="B554:C554" si="560">($A554-B$9)/365.25</f>
        <v>103.79192334017796</v>
      </c>
      <c r="C554" s="398">
        <f t="shared" si="560"/>
        <v>99.181382614647504</v>
      </c>
      <c r="E554" s="25">
        <f>IF(C554&gt;$B$7,0,'Combined Retirement'!$D$13/12)</f>
        <v>0</v>
      </c>
      <c r="F554" s="25">
        <f>IF(H554=0,'Combined Retirement'!$D$32,0)+'Combined Retirement'!$B$24</f>
        <v>2870.372285649099</v>
      </c>
      <c r="G554" s="25">
        <f>'Combined Retirement'!$C$24</f>
        <v>3254.2644699519233</v>
      </c>
      <c r="H554" s="25">
        <f>IF(B554&lt;62,0,'Combined Retirement'!$I$14)</f>
        <v>2345</v>
      </c>
      <c r="I554" s="25">
        <f>IF(C554&lt;62,0,'Combined Retirement'!$I$13)</f>
        <v>2420</v>
      </c>
      <c r="J554" s="25">
        <f t="shared" si="523"/>
        <v>8395.6297298201844</v>
      </c>
      <c r="K554" s="25">
        <f t="shared" si="524"/>
        <v>21655.303514578787</v>
      </c>
      <c r="L554" s="25"/>
      <c r="N554" s="25">
        <f>'Combined Retirement'!$C$18/12</f>
        <v>40940.569999999992</v>
      </c>
      <c r="O554" s="25">
        <f t="shared" si="525"/>
        <v>10889.636755601023</v>
      </c>
      <c r="P554" s="25">
        <f t="shared" si="526"/>
        <v>30050.93324439897</v>
      </c>
      <c r="Q554" s="25">
        <f t="array" aca="1" ref="Q554" ca="1">INDEX('Isaac 401k'!L:L,MATCH('Retirement Calculator'!A554,'Isaac 401k'!N:N,0),0)</f>
        <v>-885113.98981473397</v>
      </c>
      <c r="R554" s="25">
        <f t="array" aca="1" ref="R554" ca="1">INDEX('Lorri 401b'!L:L,MATCH('Retirement Calculator'!A554,'Lorri 401b'!N:N,0),0)</f>
        <v>-539591.69815818022</v>
      </c>
      <c r="S554" s="25">
        <f t="shared" ca="1" si="527"/>
        <v>-1424705.6879729142</v>
      </c>
    </row>
    <row r="555" spans="1:19" ht="15.75" customHeight="1" x14ac:dyDescent="0.3">
      <c r="A555" s="37">
        <v>67846</v>
      </c>
      <c r="B555" s="398">
        <f t="shared" ref="B555:C555" si="561">($A555-B$9)/365.25</f>
        <v>103.87405886379193</v>
      </c>
      <c r="C555" s="398">
        <f t="shared" si="561"/>
        <v>99.26351813826146</v>
      </c>
      <c r="E555" s="25">
        <f>IF(C555&gt;$B$7,0,'Combined Retirement'!$D$13/12)</f>
        <v>0</v>
      </c>
      <c r="F555" s="25">
        <f>IF(H555=0,'Combined Retirement'!$D$32,0)+'Combined Retirement'!$B$24</f>
        <v>2870.372285649099</v>
      </c>
      <c r="G555" s="25">
        <f>'Combined Retirement'!$C$24</f>
        <v>3254.2644699519233</v>
      </c>
      <c r="H555" s="25">
        <f>IF(B555&lt;62,0,'Combined Retirement'!$I$14)</f>
        <v>2345</v>
      </c>
      <c r="I555" s="25">
        <f>IF(C555&lt;62,0,'Combined Retirement'!$I$13)</f>
        <v>2420</v>
      </c>
      <c r="J555" s="25">
        <f t="shared" si="523"/>
        <v>8395.6297298201844</v>
      </c>
      <c r="K555" s="25">
        <f t="shared" si="524"/>
        <v>21655.303514578787</v>
      </c>
      <c r="L555" s="25"/>
      <c r="N555" s="25">
        <f>'Combined Retirement'!$C$18/12</f>
        <v>40940.569999999992</v>
      </c>
      <c r="O555" s="25">
        <f t="shared" si="525"/>
        <v>10889.636755601023</v>
      </c>
      <c r="P555" s="25">
        <f t="shared" si="526"/>
        <v>30050.93324439897</v>
      </c>
      <c r="Q555" s="25">
        <f t="array" aca="1" ref="Q555" ca="1">INDEX('Isaac 401k'!L:L,MATCH('Retirement Calculator'!A555,'Isaac 401k'!N:N,0),0)</f>
        <v>-897232.57629265648</v>
      </c>
      <c r="R555" s="25">
        <f t="array" aca="1" ref="R555" ca="1">INDEX('Lorri 401b'!L:L,MATCH('Retirement Calculator'!A555,'Lorri 401b'!N:N,0),0)</f>
        <v>-563585.53084639541</v>
      </c>
      <c r="S555" s="25">
        <f t="shared" ca="1" si="527"/>
        <v>-1460818.1071390519</v>
      </c>
    </row>
    <row r="556" spans="1:19" ht="15.75" customHeight="1" x14ac:dyDescent="0.3">
      <c r="A556" s="37">
        <v>67877</v>
      </c>
      <c r="B556" s="398">
        <f t="shared" ref="B556:C556" si="562">($A556-B$9)/365.25</f>
        <v>103.95893223819301</v>
      </c>
      <c r="C556" s="398">
        <f t="shared" si="562"/>
        <v>99.348391512662559</v>
      </c>
      <c r="E556" s="25">
        <f>IF(C556&gt;$B$7,0,'Combined Retirement'!$D$13/12)</f>
        <v>0</v>
      </c>
      <c r="F556" s="25">
        <f>IF(H556=0,'Combined Retirement'!$D$32,0)+'Combined Retirement'!$B$24</f>
        <v>2870.372285649099</v>
      </c>
      <c r="G556" s="25">
        <f>'Combined Retirement'!$C$24</f>
        <v>3254.2644699519233</v>
      </c>
      <c r="H556" s="25">
        <f>IF(B556&lt;62,0,'Combined Retirement'!$I$14)</f>
        <v>2345</v>
      </c>
      <c r="I556" s="25">
        <f>IF(C556&lt;62,0,'Combined Retirement'!$I$13)</f>
        <v>2420</v>
      </c>
      <c r="J556" s="25">
        <f t="shared" si="523"/>
        <v>8395.6297298201844</v>
      </c>
      <c r="K556" s="25">
        <f t="shared" si="524"/>
        <v>21655.303514578787</v>
      </c>
      <c r="L556" s="25"/>
      <c r="N556" s="25">
        <f>'Combined Retirement'!$C$18/12</f>
        <v>40940.569999999992</v>
      </c>
      <c r="O556" s="25">
        <f t="shared" si="525"/>
        <v>10889.636755601023</v>
      </c>
      <c r="P556" s="25">
        <f t="shared" si="526"/>
        <v>30050.93324439897</v>
      </c>
      <c r="Q556" s="25">
        <f t="array" aca="1" ref="Q556" ca="1">INDEX('Isaac 401k'!L:L,MATCH('Retirement Calculator'!A556,'Isaac 401k'!N:N,0),0)</f>
        <v>-909401.65688090364</v>
      </c>
      <c r="R556" s="25">
        <f t="array" aca="1" ref="R556" ca="1">INDEX('Lorri 401b'!L:L,MATCH('Retirement Calculator'!A556,'Lorri 401b'!N:N,0),0)</f>
        <v>-587679.33783747815</v>
      </c>
      <c r="S556" s="25">
        <f t="shared" ca="1" si="527"/>
        <v>-1497080.9947183817</v>
      </c>
    </row>
    <row r="557" spans="1:19" ht="15.75" customHeight="1" x14ac:dyDescent="0.3">
      <c r="A557" s="37">
        <v>67907</v>
      </c>
      <c r="B557" s="398">
        <f t="shared" ref="B557:C557" si="563">($A557-B$9)/365.25</f>
        <v>104.04106776180699</v>
      </c>
      <c r="C557" s="398">
        <f t="shared" si="563"/>
        <v>99.43052703627653</v>
      </c>
      <c r="E557" s="25">
        <f>IF(C557&gt;$B$7,0,'Combined Retirement'!$D$13/12)</f>
        <v>0</v>
      </c>
      <c r="F557" s="25">
        <f>IF(H557=0,'Combined Retirement'!$D$32,0)+'Combined Retirement'!$B$24</f>
        <v>2870.372285649099</v>
      </c>
      <c r="G557" s="25">
        <f>'Combined Retirement'!$C$24</f>
        <v>3254.2644699519233</v>
      </c>
      <c r="H557" s="25">
        <f>IF(B557&lt;62,0,'Combined Retirement'!$I$14)</f>
        <v>2345</v>
      </c>
      <c r="I557" s="25">
        <f>IF(C557&lt;62,0,'Combined Retirement'!$I$13)</f>
        <v>2420</v>
      </c>
      <c r="J557" s="25">
        <f t="shared" si="523"/>
        <v>8395.6297298201844</v>
      </c>
      <c r="K557" s="25">
        <f t="shared" si="524"/>
        <v>21655.303514578787</v>
      </c>
      <c r="L557" s="25"/>
      <c r="N557" s="25">
        <f>'Combined Retirement'!$C$18/12</f>
        <v>40940.569999999992</v>
      </c>
      <c r="O557" s="25">
        <f t="shared" si="525"/>
        <v>10889.636755601023</v>
      </c>
      <c r="P557" s="25">
        <f t="shared" si="526"/>
        <v>30050.93324439897</v>
      </c>
      <c r="Q557" s="25">
        <f t="array" aca="1" ref="Q557" ca="1">INDEX('Isaac 401k'!L:L,MATCH('Retirement Calculator'!A557,'Isaac 401k'!N:N,0),0)</f>
        <v>-921621.4419716018</v>
      </c>
      <c r="R557" s="25">
        <f t="array" aca="1" ref="R557" ca="1">INDEX('Lorri 401b'!L:L,MATCH('Retirement Calculator'!A557,'Lorri 401b'!N:N,0),0)</f>
        <v>-611873.53569102392</v>
      </c>
      <c r="S557" s="25">
        <f t="shared" ca="1" si="527"/>
        <v>-1533494.9776626257</v>
      </c>
    </row>
    <row r="558" spans="1:19" ht="15.75" customHeight="1" x14ac:dyDescent="0.3">
      <c r="A558" s="37">
        <v>67938</v>
      </c>
      <c r="B558" s="398">
        <f t="shared" ref="B558:C558" si="564">($A558-B$9)/365.25</f>
        <v>104.12594113620807</v>
      </c>
      <c r="C558" s="398">
        <f t="shared" si="564"/>
        <v>99.515400410677614</v>
      </c>
      <c r="E558" s="25">
        <f>IF(C558&gt;$B$7,0,'Combined Retirement'!$D$13/12)</f>
        <v>0</v>
      </c>
      <c r="F558" s="25">
        <f>IF(H558=0,'Combined Retirement'!$D$32,0)+'Combined Retirement'!$B$24</f>
        <v>2870.372285649099</v>
      </c>
      <c r="G558" s="25">
        <f>'Combined Retirement'!$C$24</f>
        <v>3254.2644699519233</v>
      </c>
      <c r="H558" s="25">
        <f>IF(B558&lt;62,0,'Combined Retirement'!$I$14)</f>
        <v>2345</v>
      </c>
      <c r="I558" s="25">
        <f>IF(C558&lt;62,0,'Combined Retirement'!$I$13)</f>
        <v>2420</v>
      </c>
      <c r="J558" s="25">
        <f t="shared" si="523"/>
        <v>8395.6297298201844</v>
      </c>
      <c r="K558" s="25">
        <f t="shared" si="524"/>
        <v>21655.303514578787</v>
      </c>
      <c r="L558" s="25"/>
      <c r="N558" s="25">
        <f>'Combined Retirement'!$C$18/12</f>
        <v>40940.569999999992</v>
      </c>
      <c r="O558" s="25">
        <f t="shared" si="525"/>
        <v>10889.636755601023</v>
      </c>
      <c r="P558" s="25">
        <f t="shared" si="526"/>
        <v>30050.93324439897</v>
      </c>
      <c r="Q558" s="25">
        <f t="array" aca="1" ref="Q558" ca="1">INDEX('Isaac 401k'!L:L,MATCH('Retirement Calculator'!A558,'Isaac 401k'!N:N,0),0)</f>
        <v>-933892.14283351123</v>
      </c>
      <c r="R558" s="25">
        <f t="array" aca="1" ref="R558" ca="1">INDEX('Lorri 401b'!L:L,MATCH('Retirement Calculator'!A558,'Lorri 401b'!N:N,0),0)</f>
        <v>-636168.54270229267</v>
      </c>
      <c r="S558" s="25">
        <f t="shared" ca="1" si="527"/>
        <v>-1570060.6855358039</v>
      </c>
    </row>
    <row r="559" spans="1:19" ht="15.75" customHeight="1" x14ac:dyDescent="0.3">
      <c r="A559" s="37">
        <v>67969</v>
      </c>
      <c r="B559" s="398">
        <f t="shared" ref="B559:C559" si="565">($A559-B$9)/365.25</f>
        <v>104.21081451060917</v>
      </c>
      <c r="C559" s="398">
        <f t="shared" si="565"/>
        <v>99.600273785078713</v>
      </c>
      <c r="E559" s="25">
        <f>IF(C559&gt;$B$7,0,'Combined Retirement'!$D$13/12)</f>
        <v>0</v>
      </c>
      <c r="F559" s="25">
        <f>IF(H559=0,'Combined Retirement'!$D$32,0)+'Combined Retirement'!$B$24</f>
        <v>2870.372285649099</v>
      </c>
      <c r="G559" s="25">
        <f>'Combined Retirement'!$C$24</f>
        <v>3254.2644699519233</v>
      </c>
      <c r="H559" s="25">
        <f>IF(B559&lt;62,0,'Combined Retirement'!$I$14)</f>
        <v>2345</v>
      </c>
      <c r="I559" s="25">
        <f>IF(C559&lt;62,0,'Combined Retirement'!$I$13)</f>
        <v>2420</v>
      </c>
      <c r="J559" s="25">
        <f t="shared" si="523"/>
        <v>8395.6297298201844</v>
      </c>
      <c r="K559" s="25">
        <f t="shared" si="524"/>
        <v>21655.303514578787</v>
      </c>
      <c r="L559" s="25"/>
      <c r="N559" s="25">
        <f>'Combined Retirement'!$C$18/12</f>
        <v>40940.569999999992</v>
      </c>
      <c r="O559" s="25">
        <f t="shared" si="525"/>
        <v>10889.636755601023</v>
      </c>
      <c r="P559" s="25">
        <f t="shared" si="526"/>
        <v>30050.93324439897</v>
      </c>
      <c r="Q559" s="25">
        <f t="array" aca="1" ref="Q559" ca="1">INDEX('Isaac 401k'!L:L,MATCH('Retirement Calculator'!A559,'Isaac 401k'!N:N,0),0)</f>
        <v>-946213.97161567863</v>
      </c>
      <c r="R559" s="25">
        <f t="array" aca="1" ref="R559" ca="1">INDEX('Lorri 401b'!L:L,MATCH('Retirement Calculator'!A559,'Lorri 401b'!N:N,0),0)</f>
        <v>-660564.77890944167</v>
      </c>
      <c r="S559" s="25">
        <f t="shared" ca="1" si="527"/>
        <v>-1606778.7505251202</v>
      </c>
    </row>
    <row r="560" spans="1:19" ht="15.75" customHeight="1" x14ac:dyDescent="0.3">
      <c r="A560" s="37">
        <v>67997</v>
      </c>
      <c r="B560" s="398">
        <f t="shared" ref="B560:C560" si="566">($A560-B$9)/365.25</f>
        <v>104.28747433264887</v>
      </c>
      <c r="C560" s="398">
        <f t="shared" si="566"/>
        <v>99.676933607118414</v>
      </c>
      <c r="E560" s="25">
        <f>IF(C560&gt;$B$7,0,'Combined Retirement'!$D$13/12)</f>
        <v>0</v>
      </c>
      <c r="F560" s="25">
        <f>IF(H560=0,'Combined Retirement'!$D$32,0)+'Combined Retirement'!$B$24</f>
        <v>2870.372285649099</v>
      </c>
      <c r="G560" s="25">
        <f>'Combined Retirement'!$C$24</f>
        <v>3254.2644699519233</v>
      </c>
      <c r="H560" s="25">
        <f>IF(B560&lt;62,0,'Combined Retirement'!$I$14)</f>
        <v>2345</v>
      </c>
      <c r="I560" s="25">
        <f>IF(C560&lt;62,0,'Combined Retirement'!$I$13)</f>
        <v>2420</v>
      </c>
      <c r="J560" s="25">
        <f t="shared" si="523"/>
        <v>8395.6297298201844</v>
      </c>
      <c r="K560" s="25">
        <f t="shared" si="524"/>
        <v>21655.303514578787</v>
      </c>
      <c r="L560" s="25"/>
      <c r="N560" s="25">
        <f>'Combined Retirement'!$C$18/12</f>
        <v>40940.569999999992</v>
      </c>
      <c r="O560" s="25">
        <f t="shared" si="525"/>
        <v>10889.636755601023</v>
      </c>
      <c r="P560" s="25">
        <f t="shared" si="526"/>
        <v>30050.93324439897</v>
      </c>
      <c r="Q560" s="25">
        <f t="array" aca="1" ref="Q560" ca="1">INDEX('Isaac 401k'!L:L,MATCH('Retirement Calculator'!A560,'Isaac 401k'!N:N,0),0)</f>
        <v>-958587.14135110506</v>
      </c>
      <c r="R560" s="25">
        <f t="array" aca="1" ref="R560" ca="1">INDEX('Lorri 401b'!L:L,MATCH('Retirement Calculator'!A560,'Lorri 401b'!N:N,0),0)</f>
        <v>-685062.66610078712</v>
      </c>
      <c r="S560" s="25">
        <f t="shared" ca="1" si="527"/>
        <v>-1643649.8074518922</v>
      </c>
    </row>
    <row r="561" spans="1:19" ht="15.75" customHeight="1" x14ac:dyDescent="0.3">
      <c r="A561" s="37">
        <v>68028</v>
      </c>
      <c r="B561" s="398">
        <f t="shared" ref="B561:C561" si="567">($A561-B$9)/365.25</f>
        <v>104.37234770704997</v>
      </c>
      <c r="C561" s="398">
        <f t="shared" si="567"/>
        <v>99.761806981519513</v>
      </c>
      <c r="E561" s="25">
        <f>IF(C561&gt;$B$7,0,'Combined Retirement'!$D$13/12)</f>
        <v>0</v>
      </c>
      <c r="F561" s="25">
        <f>IF(H561=0,'Combined Retirement'!$D$32,0)+'Combined Retirement'!$B$24</f>
        <v>2870.372285649099</v>
      </c>
      <c r="G561" s="25">
        <f>'Combined Retirement'!$C$24</f>
        <v>3254.2644699519233</v>
      </c>
      <c r="H561" s="25">
        <f>IF(B561&lt;62,0,'Combined Retirement'!$I$14)</f>
        <v>2345</v>
      </c>
      <c r="I561" s="25">
        <f>IF(C561&lt;62,0,'Combined Retirement'!$I$13)</f>
        <v>2420</v>
      </c>
      <c r="J561" s="25">
        <f t="shared" si="523"/>
        <v>8395.6297298201844</v>
      </c>
      <c r="K561" s="25">
        <f t="shared" si="524"/>
        <v>21655.303514578787</v>
      </c>
      <c r="L561" s="25"/>
      <c r="N561" s="25">
        <f>'Combined Retirement'!$C$18/12</f>
        <v>40940.569999999992</v>
      </c>
      <c r="O561" s="25">
        <f t="shared" si="525"/>
        <v>10889.636755601023</v>
      </c>
      <c r="P561" s="25">
        <f t="shared" si="526"/>
        <v>30050.93324439897</v>
      </c>
      <c r="Q561" s="25">
        <f t="array" aca="1" ref="Q561" ca="1">INDEX('Isaac 401k'!L:L,MATCH('Retirement Calculator'!A561,'Isaac 401k'!N:N,0),0)</f>
        <v>-971011.86596042907</v>
      </c>
      <c r="R561" s="25">
        <f t="array" aca="1" ref="R561" ca="1">INDEX('Lorri 401b'!L:L,MATCH('Retirement Calculator'!A561,'Lorri 401b'!N:N,0),0)</f>
        <v>-709662.62782209658</v>
      </c>
      <c r="S561" s="25">
        <f t="shared" ca="1" si="527"/>
        <v>-1680674.4937825256</v>
      </c>
    </row>
    <row r="562" spans="1:19" ht="15.75" customHeight="1" x14ac:dyDescent="0.3">
      <c r="A562" s="37">
        <v>68058</v>
      </c>
      <c r="B562" s="398">
        <f t="shared" ref="B562:C562" si="568">($A562-B$9)/365.25</f>
        <v>104.45448323066393</v>
      </c>
      <c r="C562" s="398">
        <f t="shared" si="568"/>
        <v>99.843942505133469</v>
      </c>
      <c r="E562" s="25">
        <f>IF(C562&gt;$B$7,0,'Combined Retirement'!$D$13/12)</f>
        <v>0</v>
      </c>
      <c r="F562" s="25">
        <f>IF(H562=0,'Combined Retirement'!$D$32,0)+'Combined Retirement'!$B$24</f>
        <v>2870.372285649099</v>
      </c>
      <c r="G562" s="25">
        <f>'Combined Retirement'!$C$24</f>
        <v>3254.2644699519233</v>
      </c>
      <c r="H562" s="25">
        <f>IF(B562&lt;62,0,'Combined Retirement'!$I$14)</f>
        <v>2345</v>
      </c>
      <c r="I562" s="25">
        <f>IF(C562&lt;62,0,'Combined Retirement'!$I$13)</f>
        <v>2420</v>
      </c>
      <c r="J562" s="25">
        <f t="shared" si="523"/>
        <v>8395.6297298201844</v>
      </c>
      <c r="K562" s="25">
        <f t="shared" si="524"/>
        <v>21655.303514578787</v>
      </c>
      <c r="L562" s="25"/>
      <c r="N562" s="25">
        <f>'Combined Retirement'!$C$18/12</f>
        <v>40940.569999999992</v>
      </c>
      <c r="O562" s="25">
        <f t="shared" si="525"/>
        <v>10889.636755601023</v>
      </c>
      <c r="P562" s="25">
        <f t="shared" si="526"/>
        <v>30050.93324439897</v>
      </c>
      <c r="Q562" s="25">
        <f t="array" aca="1" ref="Q562" ca="1">INDEX('Isaac 401k'!L:L,MATCH('Retirement Calculator'!A562,'Isaac 401k'!N:N,0),0)</f>
        <v>-983488.36025562533</v>
      </c>
      <c r="R562" s="25">
        <f t="array" aca="1" ref="R562" ca="1">INDEX('Lorri 401b'!L:L,MATCH('Retirement Calculator'!A562,'Lorri 401b'!N:N,0),0)</f>
        <v>-734365.08938391146</v>
      </c>
      <c r="S562" s="25">
        <f t="shared" ca="1" si="527"/>
        <v>-1717853.4496395369</v>
      </c>
    </row>
    <row r="563" spans="1:19" ht="15.75" customHeight="1" x14ac:dyDescent="0.3">
      <c r="A563" s="37">
        <v>68089</v>
      </c>
      <c r="B563" s="398">
        <f t="shared" ref="B563:C563" si="569">($A563-B$9)/365.25</f>
        <v>104.53935660506502</v>
      </c>
      <c r="C563" s="398">
        <f t="shared" si="569"/>
        <v>99.928815879534568</v>
      </c>
      <c r="E563" s="25">
        <f>IF(C563&gt;$B$7,0,'Combined Retirement'!$D$13/12)</f>
        <v>0</v>
      </c>
      <c r="F563" s="25">
        <f>IF(H563=0,'Combined Retirement'!$D$32,0)+'Combined Retirement'!$B$24</f>
        <v>2870.372285649099</v>
      </c>
      <c r="G563" s="25">
        <f>'Combined Retirement'!$C$24</f>
        <v>3254.2644699519233</v>
      </c>
      <c r="H563" s="25">
        <f>IF(B563&lt;62,0,'Combined Retirement'!$I$14)</f>
        <v>2345</v>
      </c>
      <c r="I563" s="25">
        <f>IF(C563&lt;62,0,'Combined Retirement'!$I$13)</f>
        <v>2420</v>
      </c>
      <c r="J563" s="25">
        <f t="shared" si="523"/>
        <v>8395.6297298201844</v>
      </c>
      <c r="K563" s="25">
        <f t="shared" si="524"/>
        <v>21655.303514578787</v>
      </c>
      <c r="L563" s="25"/>
      <c r="N563" s="25">
        <f>'Combined Retirement'!$C$18/12</f>
        <v>40940.569999999992</v>
      </c>
      <c r="O563" s="25">
        <f t="shared" si="525"/>
        <v>10889.636755601023</v>
      </c>
      <c r="P563" s="25">
        <f t="shared" si="526"/>
        <v>30050.93324439897</v>
      </c>
      <c r="Q563" s="25">
        <f t="array" aca="1" ref="Q563" ca="1">INDEX('Isaac 401k'!L:L,MATCH('Retirement Calculator'!A563,'Isaac 401k'!N:N,0),0)</f>
        <v>-996016.83994371817</v>
      </c>
      <c r="R563" s="25">
        <f t="array" aca="1" ref="R563" ca="1">INDEX('Lorri 401b'!L:L,MATCH('Retirement Calculator'!A563,'Lorri 401b'!N:N,0),0)</f>
        <v>-759170.47786890052</v>
      </c>
      <c r="S563" s="25">
        <f t="shared" ca="1" si="527"/>
        <v>-1755187.3178126188</v>
      </c>
    </row>
    <row r="564" spans="1:19" ht="15.75" customHeight="1" x14ac:dyDescent="0.3">
      <c r="A564" s="37">
        <v>68119</v>
      </c>
      <c r="B564" s="398">
        <f t="shared" ref="B564:C564" si="570">($A564-B$9)/365.25</f>
        <v>104.62149212867898</v>
      </c>
      <c r="C564" s="398">
        <f t="shared" si="570"/>
        <v>100.01095140314852</v>
      </c>
      <c r="E564" s="25">
        <f>IF(C564&gt;$B$7,0,'Combined Retirement'!$D$13/12)</f>
        <v>0</v>
      </c>
      <c r="F564" s="25">
        <f>IF(H564=0,'Combined Retirement'!$D$32,0)+'Combined Retirement'!$B$24</f>
        <v>2870.372285649099</v>
      </c>
      <c r="G564" s="25">
        <f>'Combined Retirement'!$C$24</f>
        <v>3254.2644699519233</v>
      </c>
      <c r="H564" s="25">
        <f>IF(B564&lt;62,0,'Combined Retirement'!$I$14)</f>
        <v>2345</v>
      </c>
      <c r="I564" s="25">
        <f>IF(C564&lt;62,0,'Combined Retirement'!$I$13)</f>
        <v>2420</v>
      </c>
      <c r="J564" s="25">
        <f t="shared" si="523"/>
        <v>8395.6297298201844</v>
      </c>
      <c r="K564" s="25">
        <f t="shared" si="524"/>
        <v>21655.303514578787</v>
      </c>
      <c r="L564" s="25"/>
      <c r="N564" s="25">
        <f>'Combined Retirement'!$C$18/12</f>
        <v>40940.569999999992</v>
      </c>
      <c r="O564" s="25">
        <f t="shared" si="525"/>
        <v>10889.636755601023</v>
      </c>
      <c r="P564" s="25">
        <f t="shared" si="526"/>
        <v>30050.93324439897</v>
      </c>
      <c r="Q564" s="25">
        <f t="array" aca="1" ref="Q564" ca="1">INDEX('Isaac 401k'!L:L,MATCH('Retirement Calculator'!A564,'Isaac 401k'!N:N,0),0)</f>
        <v>-1008597.5216305114</v>
      </c>
      <c r="R564" s="25">
        <f t="array" aca="1" ref="R564" ca="1">INDEX('Lorri 401b'!L:L,MATCH('Retirement Calculator'!A564,'Lorri 401b'!N:N,0),0)</f>
        <v>-784079.22213924374</v>
      </c>
      <c r="S564" s="25">
        <f t="shared" ca="1" si="527"/>
        <v>-1792676.7437697551</v>
      </c>
    </row>
    <row r="565" spans="1:19" ht="15.75" customHeight="1" x14ac:dyDescent="0.3">
      <c r="A565" s="37">
        <v>68150</v>
      </c>
      <c r="B565" s="398">
        <f t="shared" ref="B565:C565" si="571">($A565-B$9)/365.25</f>
        <v>104.70636550308008</v>
      </c>
      <c r="C565" s="398">
        <f t="shared" si="571"/>
        <v>100.09582477754962</v>
      </c>
      <c r="E565" s="25">
        <f>IF(C565&gt;$B$7,0,'Combined Retirement'!$D$13/12)</f>
        <v>0</v>
      </c>
      <c r="F565" s="25">
        <f>IF(H565=0,'Combined Retirement'!$D$32,0)+'Combined Retirement'!$B$24</f>
        <v>2870.372285649099</v>
      </c>
      <c r="G565" s="25">
        <f>'Combined Retirement'!$C$24</f>
        <v>3254.2644699519233</v>
      </c>
      <c r="H565" s="25">
        <f>IF(B565&lt;62,0,'Combined Retirement'!$I$14)</f>
        <v>2345</v>
      </c>
      <c r="I565" s="25">
        <f>IF(C565&lt;62,0,'Combined Retirement'!$I$13)</f>
        <v>2420</v>
      </c>
      <c r="J565" s="25">
        <f t="shared" si="523"/>
        <v>8395.6297298201844</v>
      </c>
      <c r="K565" s="25">
        <f t="shared" si="524"/>
        <v>21655.303514578787</v>
      </c>
      <c r="L565" s="25"/>
      <c r="N565" s="25">
        <f>'Combined Retirement'!$C$18/12</f>
        <v>40940.569999999992</v>
      </c>
      <c r="O565" s="25">
        <f t="shared" si="525"/>
        <v>10889.636755601023</v>
      </c>
      <c r="P565" s="25">
        <f t="shared" si="526"/>
        <v>30050.93324439897</v>
      </c>
      <c r="Q565" s="25">
        <f t="array" aca="1" ref="Q565" ca="1">INDEX('Isaac 401k'!L:L,MATCH('Retirement Calculator'!A565,'Isaac 401k'!N:N,0),0)</f>
        <v>-1021230.6228243329</v>
      </c>
      <c r="R565" s="25">
        <f t="array" aca="1" ref="R565" ca="1">INDEX('Lorri 401b'!L:L,MATCH('Retirement Calculator'!A565,'Lorri 401b'!N:N,0),0)</f>
        <v>-809091.7528440468</v>
      </c>
      <c r="S565" s="25">
        <f t="shared" ca="1" si="527"/>
        <v>-1830322.3756683797</v>
      </c>
    </row>
    <row r="566" spans="1:19" ht="15.75" customHeight="1" x14ac:dyDescent="0.3">
      <c r="A566" s="37">
        <v>68181</v>
      </c>
      <c r="B566" s="398">
        <f t="shared" ref="B566:C566" si="572">($A566-B$9)/365.25</f>
        <v>104.79123887748118</v>
      </c>
      <c r="C566" s="398">
        <f t="shared" si="572"/>
        <v>100.18069815195072</v>
      </c>
      <c r="E566" s="25">
        <f>IF(C566&gt;$B$7,0,'Combined Retirement'!$D$13/12)</f>
        <v>0</v>
      </c>
      <c r="F566" s="25">
        <f>IF(H566=0,'Combined Retirement'!$D$32,0)+'Combined Retirement'!$B$24</f>
        <v>2870.372285649099</v>
      </c>
      <c r="G566" s="25">
        <f>'Combined Retirement'!$C$24</f>
        <v>3254.2644699519233</v>
      </c>
      <c r="H566" s="25">
        <f>IF(B566&lt;62,0,'Combined Retirement'!$I$14)</f>
        <v>2345</v>
      </c>
      <c r="I566" s="25">
        <f>IF(C566&lt;62,0,'Combined Retirement'!$I$13)</f>
        <v>2420</v>
      </c>
      <c r="J566" s="25">
        <f t="shared" si="523"/>
        <v>8395.6297298201844</v>
      </c>
      <c r="K566" s="25">
        <f t="shared" si="524"/>
        <v>21655.303514578787</v>
      </c>
      <c r="L566" s="25"/>
      <c r="N566" s="25">
        <f>'Combined Retirement'!$C$18/12</f>
        <v>40940.569999999992</v>
      </c>
      <c r="O566" s="25">
        <f t="shared" si="525"/>
        <v>10889.636755601023</v>
      </c>
      <c r="P566" s="25">
        <f t="shared" si="526"/>
        <v>30050.93324439897</v>
      </c>
      <c r="Q566" s="25">
        <f t="array" aca="1" ref="Q566" ca="1">INDEX('Isaac 401k'!L:L,MATCH('Retirement Calculator'!A566,'Isaac 401k'!N:N,0),0)</f>
        <v>-1033916.3619397954</v>
      </c>
      <c r="R566" s="25">
        <f t="array" aca="1" ref="R566" ca="1">INDEX('Lorri 401b'!L:L,MATCH('Retirement Calculator'!A566,'Lorri 401b'!N:N,0),0)</f>
        <v>-834208.50242678658</v>
      </c>
      <c r="S566" s="25">
        <f t="shared" ca="1" si="527"/>
        <v>-1868124.8643665821</v>
      </c>
    </row>
    <row r="567" spans="1:19" ht="15.75" customHeight="1" x14ac:dyDescent="0.3">
      <c r="A567" s="37">
        <v>68211</v>
      </c>
      <c r="B567" s="398">
        <f t="shared" ref="B567:C567" si="573">($A567-B$9)/365.25</f>
        <v>104.87337440109513</v>
      </c>
      <c r="C567" s="398">
        <f t="shared" si="573"/>
        <v>100.26283367556468</v>
      </c>
      <c r="E567" s="25">
        <f>IF(C567&gt;$B$7,0,'Combined Retirement'!$D$13/12)</f>
        <v>0</v>
      </c>
      <c r="F567" s="25">
        <f>IF(H567=0,'Combined Retirement'!$D$32,0)+'Combined Retirement'!$B$24</f>
        <v>2870.372285649099</v>
      </c>
      <c r="G567" s="25">
        <f>'Combined Retirement'!$C$24</f>
        <v>3254.2644699519233</v>
      </c>
      <c r="H567" s="25">
        <f>IF(B567&lt;62,0,'Combined Retirement'!$I$14)</f>
        <v>2345</v>
      </c>
      <c r="I567" s="25">
        <f>IF(C567&lt;62,0,'Combined Retirement'!$I$13)</f>
        <v>2420</v>
      </c>
      <c r="J567" s="25">
        <f t="shared" si="523"/>
        <v>8395.6297298201844</v>
      </c>
      <c r="K567" s="25">
        <f t="shared" si="524"/>
        <v>21655.303514578787</v>
      </c>
      <c r="L567" s="25"/>
      <c r="N567" s="25">
        <f>'Combined Retirement'!$C$18/12</f>
        <v>40940.569999999992</v>
      </c>
      <c r="O567" s="25">
        <f t="shared" si="525"/>
        <v>10889.636755601023</v>
      </c>
      <c r="P567" s="25">
        <f t="shared" si="526"/>
        <v>30050.93324439897</v>
      </c>
      <c r="Q567" s="25">
        <f t="array" aca="1" ref="Q567" ca="1">INDEX('Isaac 401k'!L:L,MATCH('Retirement Calculator'!A567,'Isaac 401k'!N:N,0),0)</f>
        <v>-1046654.9583015724</v>
      </c>
      <c r="R567" s="25">
        <f t="array" aca="1" ref="R567" ca="1">INDEX('Lorri 401b'!L:L,MATCH('Retirement Calculator'!A567,'Lorri 401b'!N:N,0),0)</f>
        <v>-859429.90513278777</v>
      </c>
      <c r="S567" s="25">
        <f t="shared" ca="1" si="527"/>
        <v>-1906084.8634343601</v>
      </c>
    </row>
    <row r="568" spans="1:19" ht="15.75" customHeight="1" x14ac:dyDescent="0.3">
      <c r="A568" s="37">
        <v>68242</v>
      </c>
      <c r="B568" s="398">
        <f t="shared" ref="B568:C568" si="574">($A568-B$9)/365.25</f>
        <v>104.95824777549623</v>
      </c>
      <c r="C568" s="398">
        <f t="shared" si="574"/>
        <v>100.34770704996578</v>
      </c>
      <c r="E568" s="25">
        <f>IF(C568&gt;$B$7,0,'Combined Retirement'!$D$13/12)</f>
        <v>0</v>
      </c>
      <c r="F568" s="25">
        <f>IF(H568=0,'Combined Retirement'!$D$32,0)+'Combined Retirement'!$B$24</f>
        <v>2870.372285649099</v>
      </c>
      <c r="G568" s="25">
        <f>'Combined Retirement'!$C$24</f>
        <v>3254.2644699519233</v>
      </c>
      <c r="H568" s="25">
        <f>IF(B568&lt;62,0,'Combined Retirement'!$I$14)</f>
        <v>2345</v>
      </c>
      <c r="I568" s="25">
        <f>IF(C568&lt;62,0,'Combined Retirement'!$I$13)</f>
        <v>2420</v>
      </c>
      <c r="J568" s="25">
        <f t="shared" si="523"/>
        <v>8395.6297298201844</v>
      </c>
      <c r="K568" s="25">
        <f t="shared" si="524"/>
        <v>21655.303514578787</v>
      </c>
      <c r="L568" s="25"/>
      <c r="N568" s="25">
        <f>'Combined Retirement'!$C$18/12</f>
        <v>40940.569999999992</v>
      </c>
      <c r="O568" s="25">
        <f t="shared" si="525"/>
        <v>10889.636755601023</v>
      </c>
      <c r="P568" s="25">
        <f t="shared" si="526"/>
        <v>30050.93324439897</v>
      </c>
      <c r="Q568" s="25">
        <f t="array" aca="1" ref="Q568" ca="1">INDEX('Isaac 401k'!L:L,MATCH('Retirement Calculator'!A568,'Isaac 401k'!N:N,0),0)</f>
        <v>-1059446.6321481899</v>
      </c>
      <c r="R568" s="25">
        <f t="array" aca="1" ref="R568" ca="1">INDEX('Lorri 401b'!L:L,MATCH('Retirement Calculator'!A568,'Lorri 401b'!N:N,0),0)</f>
        <v>-884756.39701673063</v>
      </c>
      <c r="S568" s="25">
        <f t="shared" ca="1" si="527"/>
        <v>-1944203.0291649206</v>
      </c>
    </row>
    <row r="569" spans="1:19" ht="15.75" customHeight="1" x14ac:dyDescent="0.3">
      <c r="A569" s="37">
        <v>68272</v>
      </c>
      <c r="B569" s="398">
        <f t="shared" ref="B569:C569" si="575">($A569-B$9)/365.25</f>
        <v>105.0403832991102</v>
      </c>
      <c r="C569" s="398">
        <f t="shared" si="575"/>
        <v>100.42984257357973</v>
      </c>
      <c r="E569" s="25">
        <f>IF(C569&gt;$B$7,0,'Combined Retirement'!$D$13/12)</f>
        <v>0</v>
      </c>
      <c r="F569" s="25">
        <f>IF(H569=0,'Combined Retirement'!$D$32,0)+'Combined Retirement'!$B$24</f>
        <v>2870.372285649099</v>
      </c>
      <c r="G569" s="25">
        <f>'Combined Retirement'!$C$24</f>
        <v>3254.2644699519233</v>
      </c>
      <c r="H569" s="25">
        <f>IF(B569&lt;62,0,'Combined Retirement'!$I$14)</f>
        <v>2345</v>
      </c>
      <c r="I569" s="25">
        <f>IF(C569&lt;62,0,'Combined Retirement'!$I$13)</f>
        <v>2420</v>
      </c>
      <c r="J569" s="25">
        <f t="shared" si="523"/>
        <v>8395.6297298201844</v>
      </c>
      <c r="K569" s="25">
        <f t="shared" si="524"/>
        <v>21655.303514578787</v>
      </c>
      <c r="L569" s="25"/>
      <c r="N569" s="25">
        <f>'Combined Retirement'!$C$18/12</f>
        <v>40940.569999999992</v>
      </c>
      <c r="O569" s="25">
        <f t="shared" si="525"/>
        <v>10889.636755601023</v>
      </c>
      <c r="P569" s="25">
        <f t="shared" si="526"/>
        <v>30050.93324439897</v>
      </c>
      <c r="Q569" s="25">
        <f t="array" aca="1" ref="Q569" ca="1">INDEX('Isaac 401k'!L:L,MATCH('Retirement Calculator'!A569,'Isaac 401k'!N:N,0),0)</f>
        <v>-1072291.6046358352</v>
      </c>
      <c r="R569" s="25">
        <f t="array" aca="1" ref="R569" ca="1">INDEX('Lorri 401b'!L:L,MATCH('Retirement Calculator'!A569,'Lorri 401b'!N:N,0),0)</f>
        <v>-910188.41595018993</v>
      </c>
      <c r="S569" s="25">
        <f t="shared" ca="1" si="527"/>
        <v>-1982480.020586025</v>
      </c>
    </row>
    <row r="570" spans="1:19" ht="15.75" customHeight="1" x14ac:dyDescent="0.3">
      <c r="A570" s="37">
        <v>68303</v>
      </c>
      <c r="B570" s="398">
        <f t="shared" ref="B570:C570" si="576">($A570-B$9)/365.25</f>
        <v>105.12525667351129</v>
      </c>
      <c r="C570" s="398">
        <f t="shared" si="576"/>
        <v>100.51471594798083</v>
      </c>
      <c r="E570" s="25">
        <f>IF(C570&gt;$B$7,0,'Combined Retirement'!$D$13/12)</f>
        <v>0</v>
      </c>
      <c r="F570" s="25">
        <f>IF(H570=0,'Combined Retirement'!$D$32,0)+'Combined Retirement'!$B$24</f>
        <v>2870.372285649099</v>
      </c>
      <c r="G570" s="25">
        <f>'Combined Retirement'!$C$24</f>
        <v>3254.2644699519233</v>
      </c>
      <c r="H570" s="25">
        <f>IF(B570&lt;62,0,'Combined Retirement'!$I$14)</f>
        <v>2345</v>
      </c>
      <c r="I570" s="25">
        <f>IF(C570&lt;62,0,'Combined Retirement'!$I$13)</f>
        <v>2420</v>
      </c>
      <c r="J570" s="25">
        <f t="shared" si="523"/>
        <v>8395.6297298201844</v>
      </c>
      <c r="K570" s="25">
        <f t="shared" si="524"/>
        <v>21655.303514578787</v>
      </c>
      <c r="L570" s="25"/>
      <c r="N570" s="25">
        <f>'Combined Retirement'!$C$18/12</f>
        <v>40940.569999999992</v>
      </c>
      <c r="O570" s="25">
        <f t="shared" si="525"/>
        <v>10889.636755601023</v>
      </c>
      <c r="P570" s="25">
        <f t="shared" si="526"/>
        <v>30050.93324439897</v>
      </c>
      <c r="Q570" s="25">
        <f t="array" aca="1" ref="Q570" ca="1">INDEX('Isaac 401k'!L:L,MATCH('Retirement Calculator'!A570,'Isaac 401k'!N:N,0),0)</f>
        <v>-1085190.097842179</v>
      </c>
      <c r="R570" s="25">
        <f t="array" aca="1" ref="R570" ca="1">INDEX('Lorri 401b'!L:L,MATCH('Retirement Calculator'!A570,'Lorri 401b'!N:N,0),0)</f>
        <v>-935726.40162920521</v>
      </c>
      <c r="S570" s="25">
        <f t="shared" ca="1" si="527"/>
        <v>-2020916.4994713841</v>
      </c>
    </row>
    <row r="571" spans="1:19" ht="15.75" customHeight="1" x14ac:dyDescent="0.3">
      <c r="A571" s="37">
        <v>68334</v>
      </c>
      <c r="B571" s="398">
        <f t="shared" ref="B571:C571" si="577">($A571-B$9)/365.25</f>
        <v>105.21013004791239</v>
      </c>
      <c r="C571" s="398">
        <f t="shared" si="577"/>
        <v>100.59958932238193</v>
      </c>
      <c r="E571" s="25">
        <f>IF(C571&gt;$B$7,0,'Combined Retirement'!$D$13/12)</f>
        <v>0</v>
      </c>
      <c r="F571" s="25">
        <f>IF(H571=0,'Combined Retirement'!$D$32,0)+'Combined Retirement'!$B$24</f>
        <v>2870.372285649099</v>
      </c>
      <c r="G571" s="25">
        <f>'Combined Retirement'!$C$24</f>
        <v>3254.2644699519233</v>
      </c>
      <c r="H571" s="25">
        <f>IF(B571&lt;62,0,'Combined Retirement'!$I$14)</f>
        <v>2345</v>
      </c>
      <c r="I571" s="25">
        <f>IF(C571&lt;62,0,'Combined Retirement'!$I$13)</f>
        <v>2420</v>
      </c>
      <c r="J571" s="25">
        <f t="shared" si="523"/>
        <v>8395.6297298201844</v>
      </c>
      <c r="K571" s="25">
        <f t="shared" si="524"/>
        <v>21655.303514578787</v>
      </c>
      <c r="L571" s="25"/>
      <c r="N571" s="25">
        <f>'Combined Retirement'!$C$18/12</f>
        <v>40940.569999999992</v>
      </c>
      <c r="O571" s="25">
        <f t="shared" si="525"/>
        <v>10889.636755601023</v>
      </c>
      <c r="P571" s="25">
        <f t="shared" si="526"/>
        <v>30050.93324439897</v>
      </c>
      <c r="Q571" s="25">
        <f t="array" aca="1" ref="Q571" ca="1">INDEX('Isaac 401k'!L:L,MATCH('Retirement Calculator'!A571,'Isaac 401k'!N:N,0),0)</f>
        <v>-1098142.3347702159</v>
      </c>
      <c r="R571" s="25">
        <f t="array" aca="1" ref="R571" ca="1">INDEX('Lorri 401b'!L:L,MATCH('Retirement Calculator'!A571,'Lorri 401b'!N:N,0),0)</f>
        <v>-961370.79558188305</v>
      </c>
      <c r="S571" s="25">
        <f t="shared" ca="1" si="527"/>
        <v>-2059513.130352099</v>
      </c>
    </row>
    <row r="572" spans="1:19" ht="15.75" customHeight="1" x14ac:dyDescent="0.3">
      <c r="A572" s="37">
        <v>68362</v>
      </c>
      <c r="B572" s="398">
        <f t="shared" ref="B572:C572" si="578">($A572-B$9)/365.25</f>
        <v>105.28678986995209</v>
      </c>
      <c r="C572" s="398">
        <f t="shared" si="578"/>
        <v>100.67624914442163</v>
      </c>
      <c r="E572" s="25">
        <f>IF(C572&gt;$B$7,0,'Combined Retirement'!$D$13/12)</f>
        <v>0</v>
      </c>
      <c r="F572" s="25">
        <f>IF(H572=0,'Combined Retirement'!$D$32,0)+'Combined Retirement'!$B$24</f>
        <v>2870.372285649099</v>
      </c>
      <c r="G572" s="25">
        <f>'Combined Retirement'!$C$24</f>
        <v>3254.2644699519233</v>
      </c>
      <c r="H572" s="25">
        <f>IF(B572&lt;62,0,'Combined Retirement'!$I$14)</f>
        <v>2345</v>
      </c>
      <c r="I572" s="25">
        <f>IF(C572&lt;62,0,'Combined Retirement'!$I$13)</f>
        <v>2420</v>
      </c>
      <c r="J572" s="25">
        <f t="shared" si="523"/>
        <v>8395.6297298201844</v>
      </c>
      <c r="K572" s="25">
        <f t="shared" si="524"/>
        <v>21655.303514578787</v>
      </c>
      <c r="L572" s="25"/>
      <c r="N572" s="25">
        <f>'Combined Retirement'!$C$18/12</f>
        <v>40940.569999999992</v>
      </c>
      <c r="O572" s="25">
        <f t="shared" si="525"/>
        <v>10889.636755601023</v>
      </c>
      <c r="P572" s="25">
        <f t="shared" si="526"/>
        <v>30050.93324439897</v>
      </c>
      <c r="Q572" s="25">
        <f t="array" aca="1" ref="Q572" ca="1">INDEX('Isaac 401k'!L:L,MATCH('Retirement Calculator'!A572,'Isaac 401k'!N:N,0),0)</f>
        <v>-1111148.5393521197</v>
      </c>
      <c r="R572" s="25">
        <f t="array" aca="1" ref="R572" ca="1">INDEX('Lorri 401b'!L:L,MATCH('Retirement Calculator'!A572,'Lorri 401b'!N:N,0),0)</f>
        <v>-987122.04117603053</v>
      </c>
      <c r="S572" s="25">
        <f t="shared" ca="1" si="527"/>
        <v>-2098270.5805281503</v>
      </c>
    </row>
    <row r="573" spans="1:19" ht="15.75" customHeight="1" x14ac:dyDescent="0.3">
      <c r="A573" s="37">
        <v>68393</v>
      </c>
      <c r="B573" s="398">
        <f t="shared" ref="B573:C573" si="579">($A573-B$9)/365.25</f>
        <v>105.37166324435319</v>
      </c>
      <c r="C573" s="398">
        <f t="shared" si="579"/>
        <v>100.76112251882273</v>
      </c>
      <c r="E573" s="25">
        <f>IF(C573&gt;$B$7,0,'Combined Retirement'!$D$13/12)</f>
        <v>0</v>
      </c>
      <c r="F573" s="25">
        <f>IF(H573=0,'Combined Retirement'!$D$32,0)+'Combined Retirement'!$B$24</f>
        <v>2870.372285649099</v>
      </c>
      <c r="G573" s="25">
        <f>'Combined Retirement'!$C$24</f>
        <v>3254.2644699519233</v>
      </c>
      <c r="H573" s="25">
        <f>IF(B573&lt;62,0,'Combined Retirement'!$I$14)</f>
        <v>2345</v>
      </c>
      <c r="I573" s="25">
        <f>IF(C573&lt;62,0,'Combined Retirement'!$I$13)</f>
        <v>2420</v>
      </c>
      <c r="J573" s="25">
        <f t="shared" si="523"/>
        <v>8395.6297298201844</v>
      </c>
      <c r="K573" s="25">
        <f t="shared" si="524"/>
        <v>21655.303514578787</v>
      </c>
      <c r="L573" s="25"/>
      <c r="N573" s="25">
        <f>'Combined Retirement'!$C$18/12</f>
        <v>40940.569999999992</v>
      </c>
      <c r="O573" s="25">
        <f t="shared" si="525"/>
        <v>10889.636755601023</v>
      </c>
      <c r="P573" s="25">
        <f t="shared" si="526"/>
        <v>30050.93324439897</v>
      </c>
      <c r="Q573" s="25">
        <f t="array" aca="1" ref="Q573" ca="1">INDEX('Isaac 401k'!L:L,MATCH('Retirement Calculator'!A573,'Isaac 401k'!N:N,0),0)</f>
        <v>-1124208.9364531145</v>
      </c>
      <c r="R573" s="25">
        <f t="array" aca="1" ref="R573" ca="1">INDEX('Lorri 401b'!L:L,MATCH('Retirement Calculator'!A573,'Lorri 401b'!N:N,0),0)</f>
        <v>-1012980.5836268201</v>
      </c>
      <c r="S573" s="25">
        <f t="shared" ca="1" si="527"/>
        <v>-2137189.5200799345</v>
      </c>
    </row>
    <row r="574" spans="1:19" ht="15.75" customHeight="1" x14ac:dyDescent="0.3">
      <c r="A574" s="37">
        <v>68423</v>
      </c>
      <c r="B574" s="398">
        <f t="shared" ref="B574:C574" si="580">($A574-B$9)/365.25</f>
        <v>105.45379876796714</v>
      </c>
      <c r="C574" s="398">
        <f t="shared" si="580"/>
        <v>100.84325804243669</v>
      </c>
      <c r="E574" s="25">
        <f>IF(C574&gt;$B$7,0,'Combined Retirement'!$D$13/12)</f>
        <v>0</v>
      </c>
      <c r="F574" s="25">
        <f>IF(H574=0,'Combined Retirement'!$D$32,0)+'Combined Retirement'!$B$24</f>
        <v>2870.372285649099</v>
      </c>
      <c r="G574" s="25">
        <f>'Combined Retirement'!$C$24</f>
        <v>3254.2644699519233</v>
      </c>
      <c r="H574" s="25">
        <f>IF(B574&lt;62,0,'Combined Retirement'!$I$14)</f>
        <v>2345</v>
      </c>
      <c r="I574" s="25">
        <f>IF(C574&lt;62,0,'Combined Retirement'!$I$13)</f>
        <v>2420</v>
      </c>
      <c r="J574" s="25">
        <f t="shared" si="523"/>
        <v>8395.6297298201844</v>
      </c>
      <c r="K574" s="25">
        <f t="shared" si="524"/>
        <v>21655.303514578787</v>
      </c>
      <c r="L574" s="25"/>
      <c r="N574" s="25">
        <f>'Combined Retirement'!$C$18/12</f>
        <v>40940.569999999992</v>
      </c>
      <c r="O574" s="25">
        <f t="shared" si="525"/>
        <v>10889.636755601023</v>
      </c>
      <c r="P574" s="25">
        <f t="shared" si="526"/>
        <v>30050.93324439897</v>
      </c>
      <c r="Q574" s="25">
        <f t="array" aca="1" ref="Q574" ca="1">INDEX('Isaac 401k'!L:L,MATCH('Retirement Calculator'!A574,'Isaac 401k'!N:N,0),0)</f>
        <v>-1137323.7518753635</v>
      </c>
      <c r="R574" s="25">
        <f t="array" aca="1" ref="R574" ca="1">INDEX('Lorri 401b'!L:L,MATCH('Retirement Calculator'!A574,'Lorri 401b'!N:N,0),0)</f>
        <v>-1038946.870004488</v>
      </c>
      <c r="S574" s="25">
        <f t="shared" ca="1" si="527"/>
        <v>-2176270.6218798514</v>
      </c>
    </row>
    <row r="575" spans="1:19" ht="15.75" customHeight="1" x14ac:dyDescent="0.3">
      <c r="A575" s="37">
        <v>68454</v>
      </c>
      <c r="B575" s="398">
        <f t="shared" ref="B575:C575" si="581">($A575-B$9)/365.25</f>
        <v>105.53867214236824</v>
      </c>
      <c r="C575" s="398">
        <f t="shared" si="581"/>
        <v>100.92813141683779</v>
      </c>
      <c r="E575" s="25">
        <f>IF(C575&gt;$B$7,0,'Combined Retirement'!$D$13/12)</f>
        <v>0</v>
      </c>
      <c r="F575" s="25">
        <f>IF(H575=0,'Combined Retirement'!$D$32,0)+'Combined Retirement'!$B$24</f>
        <v>2870.372285649099</v>
      </c>
      <c r="G575" s="25">
        <f>'Combined Retirement'!$C$24</f>
        <v>3254.2644699519233</v>
      </c>
      <c r="H575" s="25">
        <f>IF(B575&lt;62,0,'Combined Retirement'!$I$14)</f>
        <v>2345</v>
      </c>
      <c r="I575" s="25">
        <f>IF(C575&lt;62,0,'Combined Retirement'!$I$13)</f>
        <v>2420</v>
      </c>
      <c r="J575" s="25">
        <f t="shared" si="523"/>
        <v>8395.6297298201844</v>
      </c>
      <c r="K575" s="25">
        <f t="shared" si="524"/>
        <v>21655.303514578787</v>
      </c>
      <c r="L575" s="25"/>
      <c r="N575" s="25">
        <f>'Combined Retirement'!$C$18/12</f>
        <v>40940.569999999992</v>
      </c>
      <c r="O575" s="25">
        <f t="shared" si="525"/>
        <v>10889.636755601023</v>
      </c>
      <c r="P575" s="25">
        <f t="shared" si="526"/>
        <v>30050.93324439897</v>
      </c>
      <c r="Q575" s="25">
        <f t="array" aca="1" ref="Q575" ca="1">INDEX('Isaac 401k'!L:L,MATCH('Retirement Calculator'!A575,'Isaac 401k'!N:N,0),0)</f>
        <v>-1150493.212361872</v>
      </c>
      <c r="R575" s="25">
        <f t="array" aca="1" ref="R575" ca="1">INDEX('Lorri 401b'!L:L,MATCH('Retirement Calculator'!A575,'Lorri 401b'!N:N,0),0)</f>
        <v>-1065021.3492420628</v>
      </c>
      <c r="S575" s="25">
        <f t="shared" ca="1" si="527"/>
        <v>-2215514.5616039345</v>
      </c>
    </row>
    <row r="576" spans="1:19" ht="15.75" customHeight="1" x14ac:dyDescent="0.3">
      <c r="A576" s="37">
        <v>68484</v>
      </c>
      <c r="B576" s="398">
        <f t="shared" ref="B576:C576" si="582">($A576-B$9)/365.25</f>
        <v>105.6208076659822</v>
      </c>
      <c r="C576" s="398">
        <f t="shared" si="582"/>
        <v>101.01026694045174</v>
      </c>
      <c r="E576" s="25">
        <f>IF(C576&gt;$B$7,0,'Combined Retirement'!$D$13/12)</f>
        <v>0</v>
      </c>
      <c r="F576" s="25">
        <f>IF(H576=0,'Combined Retirement'!$D$32,0)+'Combined Retirement'!$B$24</f>
        <v>2870.372285649099</v>
      </c>
      <c r="G576" s="25">
        <f>'Combined Retirement'!$C$24</f>
        <v>3254.2644699519233</v>
      </c>
      <c r="H576" s="25">
        <f>IF(B576&lt;62,0,'Combined Retirement'!$I$14)</f>
        <v>2345</v>
      </c>
      <c r="I576" s="25">
        <f>IF(C576&lt;62,0,'Combined Retirement'!$I$13)</f>
        <v>2420</v>
      </c>
      <c r="J576" s="25">
        <f t="shared" si="523"/>
        <v>8395.6297298201844</v>
      </c>
      <c r="K576" s="25">
        <f t="shared" si="524"/>
        <v>21655.303514578787</v>
      </c>
      <c r="L576" s="25"/>
      <c r="N576" s="25">
        <f>'Combined Retirement'!$C$18/12</f>
        <v>40940.569999999992</v>
      </c>
      <c r="O576" s="25">
        <f t="shared" si="525"/>
        <v>10889.636755601023</v>
      </c>
      <c r="P576" s="25">
        <f t="shared" si="526"/>
        <v>30050.93324439897</v>
      </c>
      <c r="Q576" s="25">
        <f t="array" aca="1" ref="Q576" ca="1">INDEX('Isaac 401k'!L:L,MATCH('Retirement Calculator'!A576,'Isaac 401k'!N:N,0),0)</f>
        <v>-1163717.5456004075</v>
      </c>
      <c r="R576" s="25">
        <f t="array" aca="1" ref="R576" ca="1">INDEX('Lorri 401b'!L:L,MATCH('Retirement Calculator'!A576,'Lorri 401b'!N:N,0),0)</f>
        <v>-1091204.4721431276</v>
      </c>
      <c r="S576" s="25">
        <f t="shared" ca="1" si="527"/>
        <v>-2254922.0177435353</v>
      </c>
    </row>
    <row r="577" spans="1:19" ht="15.75" customHeight="1" x14ac:dyDescent="0.3">
      <c r="A577" s="37">
        <v>68515</v>
      </c>
      <c r="B577" s="398">
        <f t="shared" ref="B577:C577" si="583">($A577-B$9)/365.25</f>
        <v>105.7056810403833</v>
      </c>
      <c r="C577" s="398">
        <f t="shared" si="583"/>
        <v>101.09514031485284</v>
      </c>
      <c r="E577" s="25">
        <f>IF(C577&gt;$B$7,0,'Combined Retirement'!$D$13/12)</f>
        <v>0</v>
      </c>
      <c r="F577" s="25">
        <f>IF(H577=0,'Combined Retirement'!$D$32,0)+'Combined Retirement'!$B$24</f>
        <v>2870.372285649099</v>
      </c>
      <c r="G577" s="25">
        <f>'Combined Retirement'!$C$24</f>
        <v>3254.2644699519233</v>
      </c>
      <c r="H577" s="25">
        <f>IF(B577&lt;62,0,'Combined Retirement'!$I$14)</f>
        <v>2345</v>
      </c>
      <c r="I577" s="25">
        <f>IF(C577&lt;62,0,'Combined Retirement'!$I$13)</f>
        <v>2420</v>
      </c>
      <c r="J577" s="25">
        <f t="shared" si="523"/>
        <v>8395.6297298201844</v>
      </c>
      <c r="K577" s="25">
        <f t="shared" si="524"/>
        <v>21655.303514578787</v>
      </c>
      <c r="L577" s="25"/>
      <c r="N577" s="25">
        <f>'Combined Retirement'!$C$18/12</f>
        <v>40940.569999999992</v>
      </c>
      <c r="O577" s="25">
        <f t="shared" si="525"/>
        <v>10889.636755601023</v>
      </c>
      <c r="P577" s="25">
        <f t="shared" si="526"/>
        <v>30050.93324439897</v>
      </c>
      <c r="Q577" s="25">
        <f t="array" aca="1" ref="Q577" ca="1">INDEX('Isaac 401k'!L:L,MATCH('Retirement Calculator'!A577,'Isaac 401k'!N:N,0),0)</f>
        <v>-1176996.9802274371</v>
      </c>
      <c r="R577" s="25">
        <f t="array" aca="1" ref="R577" ca="1">INDEX('Lorri 401b'!L:L,MATCH('Retirement Calculator'!A577,'Lorri 401b'!N:N,0),0)</f>
        <v>-1117496.6913896136</v>
      </c>
      <c r="S577" s="25">
        <f t="shared" ca="1" si="527"/>
        <v>-2294493.6716170507</v>
      </c>
    </row>
    <row r="578" spans="1:19" ht="15.75" customHeight="1" x14ac:dyDescent="0.3">
      <c r="A578" s="37">
        <v>68546</v>
      </c>
      <c r="B578" s="398">
        <f t="shared" ref="B578:C578" si="584">($A578-B$9)/365.25</f>
        <v>105.7905544147844</v>
      </c>
      <c r="C578" s="398">
        <f t="shared" si="584"/>
        <v>101.18001368925394</v>
      </c>
      <c r="E578" s="25">
        <f>IF(C578&gt;$B$7,0,'Combined Retirement'!$D$13/12)</f>
        <v>0</v>
      </c>
      <c r="F578" s="25">
        <f>IF(H578=0,'Combined Retirement'!$D$32,0)+'Combined Retirement'!$B$24</f>
        <v>2870.372285649099</v>
      </c>
      <c r="G578" s="25">
        <f>'Combined Retirement'!$C$24</f>
        <v>3254.2644699519233</v>
      </c>
      <c r="H578" s="25">
        <f>IF(B578&lt;62,0,'Combined Retirement'!$I$14)</f>
        <v>2345</v>
      </c>
      <c r="I578" s="25">
        <f>IF(C578&lt;62,0,'Combined Retirement'!$I$13)</f>
        <v>2420</v>
      </c>
      <c r="J578" s="25">
        <f t="shared" si="523"/>
        <v>8395.6297298201844</v>
      </c>
      <c r="K578" s="25">
        <f t="shared" si="524"/>
        <v>21655.303514578787</v>
      </c>
      <c r="L578" s="25"/>
      <c r="N578" s="25">
        <f>'Combined Retirement'!$C$18/12</f>
        <v>40940.569999999992</v>
      </c>
      <c r="O578" s="25">
        <f t="shared" si="525"/>
        <v>10889.636755601023</v>
      </c>
      <c r="P578" s="25">
        <f t="shared" si="526"/>
        <v>30050.93324439897</v>
      </c>
      <c r="Q578" s="25">
        <f t="array" aca="1" ref="Q578" ca="1">INDEX('Isaac 401k'!L:L,MATCH('Retirement Calculator'!A578,'Isaac 401k'!N:N,0),0)</f>
        <v>-1190331.7458320791</v>
      </c>
      <c r="R578" s="25">
        <f t="array" aca="1" ref="R578" ca="1">INDEX('Lorri 401b'!L:L,MATCH('Retirement Calculator'!A578,'Lorri 401b'!N:N,0),0)</f>
        <v>-1143898.4615496264</v>
      </c>
      <c r="S578" s="25">
        <f t="shared" ca="1" si="527"/>
        <v>-2334230.2073817058</v>
      </c>
    </row>
    <row r="579" spans="1:19" ht="15.75" customHeight="1" x14ac:dyDescent="0.3">
      <c r="A579" s="37">
        <v>68576</v>
      </c>
      <c r="B579" s="398">
        <f t="shared" ref="B579:C579" si="585">($A579-B$9)/365.25</f>
        <v>105.87268993839835</v>
      </c>
      <c r="C579" s="398">
        <f t="shared" si="585"/>
        <v>101.2621492128679</v>
      </c>
      <c r="E579" s="25">
        <f>IF(C579&gt;$B$7,0,'Combined Retirement'!$D$13/12)</f>
        <v>0</v>
      </c>
      <c r="F579" s="25">
        <f>IF(H579=0,'Combined Retirement'!$D$32,0)+'Combined Retirement'!$B$24</f>
        <v>2870.372285649099</v>
      </c>
      <c r="G579" s="25">
        <f>'Combined Retirement'!$C$24</f>
        <v>3254.2644699519233</v>
      </c>
      <c r="H579" s="25">
        <f>IF(B579&lt;62,0,'Combined Retirement'!$I$14)</f>
        <v>2345</v>
      </c>
      <c r="I579" s="25">
        <f>IF(C579&lt;62,0,'Combined Retirement'!$I$13)</f>
        <v>2420</v>
      </c>
      <c r="J579" s="25">
        <f t="shared" si="523"/>
        <v>8395.6297298201844</v>
      </c>
      <c r="K579" s="25">
        <f t="shared" si="524"/>
        <v>21655.303514578787</v>
      </c>
      <c r="L579" s="25"/>
      <c r="N579" s="25">
        <f>'Combined Retirement'!$C$18/12</f>
        <v>40940.569999999992</v>
      </c>
      <c r="O579" s="25">
        <f t="shared" si="525"/>
        <v>10889.636755601023</v>
      </c>
      <c r="P579" s="25">
        <f t="shared" si="526"/>
        <v>30050.93324439897</v>
      </c>
      <c r="Q579" s="25">
        <f t="array" aca="1" ref="Q579" ca="1">INDEX('Isaac 401k'!L:L,MATCH('Retirement Calculator'!A579,'Isaac 401k'!N:N,0),0)</f>
        <v>-1203722.0729600738</v>
      </c>
      <c r="R579" s="25">
        <f t="array" aca="1" ref="R579" ca="1">INDEX('Lorri 401b'!L:L,MATCH('Retirement Calculator'!A579,'Lorri 401b'!N:N,0),0)</f>
        <v>-1170410.2390853062</v>
      </c>
      <c r="S579" s="25">
        <f t="shared" ca="1" si="527"/>
        <v>-2374132.31204538</v>
      </c>
    </row>
    <row r="580" spans="1:19" ht="15.75" customHeight="1" x14ac:dyDescent="0.3">
      <c r="A580" s="37">
        <v>68607</v>
      </c>
      <c r="B580" s="398">
        <f t="shared" ref="B580:C580" si="586">($A580-B$9)/365.25</f>
        <v>105.95756331279945</v>
      </c>
      <c r="C580" s="398">
        <f t="shared" si="586"/>
        <v>101.347022587269</v>
      </c>
      <c r="E580" s="25">
        <f>IF(C580&gt;$B$7,0,'Combined Retirement'!$D$13/12)</f>
        <v>0</v>
      </c>
      <c r="F580" s="25">
        <f>IF(H580=0,'Combined Retirement'!$D$32,0)+'Combined Retirement'!$B$24</f>
        <v>2870.372285649099</v>
      </c>
      <c r="G580" s="25">
        <f>'Combined Retirement'!$C$24</f>
        <v>3254.2644699519233</v>
      </c>
      <c r="H580" s="25">
        <f>IF(B580&lt;62,0,'Combined Retirement'!$I$14)</f>
        <v>2345</v>
      </c>
      <c r="I580" s="25">
        <f>IF(C580&lt;62,0,'Combined Retirement'!$I$13)</f>
        <v>2420</v>
      </c>
      <c r="J580" s="25">
        <f t="shared" si="523"/>
        <v>8395.6297298201844</v>
      </c>
      <c r="K580" s="25">
        <f t="shared" si="524"/>
        <v>21655.303514578787</v>
      </c>
      <c r="L580" s="25"/>
      <c r="N580" s="25">
        <f>'Combined Retirement'!$C$18/12</f>
        <v>40940.569999999992</v>
      </c>
      <c r="O580" s="25">
        <f t="shared" si="525"/>
        <v>10889.636755601023</v>
      </c>
      <c r="P580" s="25">
        <f t="shared" si="526"/>
        <v>30050.93324439897</v>
      </c>
      <c r="Q580" s="25">
        <f t="array" aca="1" ref="Q580" ca="1">INDEX('Isaac 401k'!L:L,MATCH('Retirement Calculator'!A580,'Isaac 401k'!N:N,0),0)</f>
        <v>-1217168.1931177685</v>
      </c>
      <c r="R580" s="25">
        <f t="array" aca="1" ref="R580" ca="1">INDEX('Lorri 401b'!L:L,MATCH('Retirement Calculator'!A580,'Lorri 401b'!N:N,0),0)</f>
        <v>-1197032.4823607178</v>
      </c>
      <c r="S580" s="25">
        <f t="shared" ca="1" si="527"/>
        <v>-2414200.6754784863</v>
      </c>
    </row>
    <row r="581" spans="1:19" ht="15.75" customHeight="1" x14ac:dyDescent="0.3">
      <c r="A581" s="37">
        <v>68637</v>
      </c>
      <c r="B581" s="398">
        <f t="shared" ref="B581:C581" si="587">($A581-B$9)/365.25</f>
        <v>106.03969883641342</v>
      </c>
      <c r="C581" s="398">
        <f t="shared" si="587"/>
        <v>101.42915811088295</v>
      </c>
      <c r="E581" s="25">
        <f>IF(C581&gt;$B$7,0,'Combined Retirement'!$D$13/12)</f>
        <v>0</v>
      </c>
      <c r="F581" s="25">
        <f>IF(H581=0,'Combined Retirement'!$D$32,0)+'Combined Retirement'!$B$24</f>
        <v>2870.372285649099</v>
      </c>
      <c r="G581" s="25">
        <f>'Combined Retirement'!$C$24</f>
        <v>3254.2644699519233</v>
      </c>
      <c r="H581" s="25">
        <f>IF(B581&lt;62,0,'Combined Retirement'!$I$14)</f>
        <v>2345</v>
      </c>
      <c r="I581" s="25">
        <f>IF(C581&lt;62,0,'Combined Retirement'!$I$13)</f>
        <v>2420</v>
      </c>
      <c r="J581" s="25">
        <f t="shared" si="523"/>
        <v>8395.6297298201844</v>
      </c>
      <c r="K581" s="25">
        <f t="shared" si="524"/>
        <v>21655.303514578787</v>
      </c>
      <c r="L581" s="25"/>
      <c r="N581" s="25">
        <f>'Combined Retirement'!$C$18/12</f>
        <v>40940.569999999992</v>
      </c>
      <c r="O581" s="25">
        <f t="shared" si="525"/>
        <v>10889.636755601023</v>
      </c>
      <c r="P581" s="25">
        <f t="shared" si="526"/>
        <v>30050.93324439897</v>
      </c>
      <c r="Q581" s="25">
        <f t="array" aca="1" ref="Q581" ca="1">INDEX('Isaac 401k'!L:L,MATCH('Retirement Calculator'!A581,'Isaac 401k'!N:N,0),0)</f>
        <v>-1230670.3387761202</v>
      </c>
      <c r="R581" s="25">
        <f t="array" aca="1" ref="R581" ca="1">INDEX('Lorri 401b'!L:L,MATCH('Retirement Calculator'!A581,'Lorri 401b'!N:N,0),0)</f>
        <v>-1223765.6516497771</v>
      </c>
      <c r="S581" s="25">
        <f t="shared" ca="1" si="527"/>
        <v>-2454435.9904258973</v>
      </c>
    </row>
    <row r="582" spans="1:19" ht="15.75" customHeight="1" x14ac:dyDescent="0.3">
      <c r="A582" s="37">
        <v>68668</v>
      </c>
      <c r="B582" s="398">
        <f t="shared" ref="B582:C582" si="588">($A582-B$9)/365.25</f>
        <v>106.12457221081451</v>
      </c>
      <c r="C582" s="398">
        <f t="shared" si="588"/>
        <v>101.51403148528405</v>
      </c>
      <c r="E582" s="25">
        <f>IF(C582&gt;$B$7,0,'Combined Retirement'!$D$13/12)</f>
        <v>0</v>
      </c>
      <c r="F582" s="25">
        <f>IF(H582=0,'Combined Retirement'!$D$32,0)+'Combined Retirement'!$B$24</f>
        <v>2870.372285649099</v>
      </c>
      <c r="G582" s="25">
        <f>'Combined Retirement'!$C$24</f>
        <v>3254.2644699519233</v>
      </c>
      <c r="H582" s="25">
        <f>IF(B582&lt;62,0,'Combined Retirement'!$I$14)</f>
        <v>2345</v>
      </c>
      <c r="I582" s="25">
        <f>IF(C582&lt;62,0,'Combined Retirement'!$I$13)</f>
        <v>2420</v>
      </c>
      <c r="J582" s="25">
        <f t="shared" si="523"/>
        <v>8395.6297298201844</v>
      </c>
      <c r="K582" s="25">
        <f t="shared" si="524"/>
        <v>21655.303514578787</v>
      </c>
      <c r="L582" s="25"/>
      <c r="N582" s="25">
        <f>'Combined Retirement'!$C$18/12</f>
        <v>40940.569999999992</v>
      </c>
      <c r="O582" s="25">
        <f t="shared" si="525"/>
        <v>10889.636755601023</v>
      </c>
      <c r="P582" s="25">
        <f t="shared" si="526"/>
        <v>30050.93324439897</v>
      </c>
      <c r="Q582" s="25">
        <f t="array" aca="1" ref="Q582" ca="1">INDEX('Isaac 401k'!L:L,MATCH('Retirement Calculator'!A582,'Isaac 401k'!N:N,0),0)</f>
        <v>-1244228.7433747151</v>
      </c>
      <c r="R582" s="25">
        <f t="array" aca="1" ref="R582" ca="1">INDEX('Lorri 401b'!L:L,MATCH('Retirement Calculator'!A582,'Lorri 401b'!N:N,0),0)</f>
        <v>-1250610.2091442074</v>
      </c>
      <c r="S582" s="25">
        <f t="shared" ca="1" si="527"/>
        <v>-2494838.9525189223</v>
      </c>
    </row>
    <row r="583" spans="1:19" ht="15.75" customHeight="1" x14ac:dyDescent="0.3">
      <c r="A583" s="37">
        <v>68699</v>
      </c>
      <c r="B583" s="398">
        <f t="shared" ref="B583:C583" si="589">($A583-B$9)/365.25</f>
        <v>106.2094455852156</v>
      </c>
      <c r="C583" s="398">
        <f t="shared" si="589"/>
        <v>101.59890485968515</v>
      </c>
      <c r="E583" s="25">
        <f>IF(C583&gt;$B$7,0,'Combined Retirement'!$D$13/12)</f>
        <v>0</v>
      </c>
      <c r="F583" s="25">
        <f>IF(H583=0,'Combined Retirement'!$D$32,0)+'Combined Retirement'!$B$24</f>
        <v>2870.372285649099</v>
      </c>
      <c r="G583" s="25">
        <f>'Combined Retirement'!$C$24</f>
        <v>3254.2644699519233</v>
      </c>
      <c r="H583" s="25">
        <f>IF(B583&lt;62,0,'Combined Retirement'!$I$14)</f>
        <v>2345</v>
      </c>
      <c r="I583" s="25">
        <f>IF(C583&lt;62,0,'Combined Retirement'!$I$13)</f>
        <v>2420</v>
      </c>
      <c r="J583" s="25">
        <f t="shared" si="523"/>
        <v>8395.6297298201844</v>
      </c>
      <c r="K583" s="25">
        <f t="shared" si="524"/>
        <v>21655.303514578787</v>
      </c>
      <c r="L583" s="25"/>
      <c r="N583" s="25">
        <f>'Combined Retirement'!$C$18/12</f>
        <v>40940.569999999992</v>
      </c>
      <c r="O583" s="25">
        <f t="shared" si="525"/>
        <v>10889.636755601023</v>
      </c>
      <c r="P583" s="25">
        <f t="shared" si="526"/>
        <v>30050.93324439897</v>
      </c>
      <c r="Q583" s="25">
        <f t="array" aca="1" ref="Q583" ca="1">INDEX('Isaac 401k'!L:L,MATCH('Retirement Calculator'!A583,'Isaac 401k'!N:N,0),0)</f>
        <v>-1257843.6413258042</v>
      </c>
      <c r="R583" s="25">
        <f t="array" aca="1" ref="R583" ca="1">INDEX('Lorri 401b'!L:L,MATCH('Retirement Calculator'!A583,'Lorri 401b'!N:N,0),0)</f>
        <v>-1277566.6189615312</v>
      </c>
      <c r="S583" s="25">
        <f t="shared" ca="1" si="527"/>
        <v>-2535410.2602873351</v>
      </c>
    </row>
    <row r="584" spans="1:19" ht="15.75" customHeight="1" x14ac:dyDescent="0.3">
      <c r="A584" s="37">
        <v>68728</v>
      </c>
      <c r="B584" s="398">
        <f t="shared" ref="B584:C584" si="590">($A584-B$9)/365.25</f>
        <v>106.28884325804243</v>
      </c>
      <c r="C584" s="398">
        <f t="shared" si="590"/>
        <v>101.67830253251198</v>
      </c>
      <c r="E584" s="25">
        <f>IF(C584&gt;$B$7,0,'Combined Retirement'!$D$13/12)</f>
        <v>0</v>
      </c>
      <c r="F584" s="25">
        <f>IF(H584=0,'Combined Retirement'!$D$32,0)+'Combined Retirement'!$B$24</f>
        <v>2870.372285649099</v>
      </c>
      <c r="G584" s="25">
        <f>'Combined Retirement'!$C$24</f>
        <v>3254.2644699519233</v>
      </c>
      <c r="H584" s="25">
        <f>IF(B584&lt;62,0,'Combined Retirement'!$I$14)</f>
        <v>2345</v>
      </c>
      <c r="I584" s="25">
        <f>IF(C584&lt;62,0,'Combined Retirement'!$I$13)</f>
        <v>2420</v>
      </c>
      <c r="J584" s="25">
        <f t="shared" si="523"/>
        <v>8395.6297298201844</v>
      </c>
      <c r="K584" s="25">
        <f t="shared" si="524"/>
        <v>21655.303514578787</v>
      </c>
      <c r="L584" s="25"/>
      <c r="N584" s="25">
        <f>'Combined Retirement'!$C$18/12</f>
        <v>40940.569999999992</v>
      </c>
      <c r="O584" s="25">
        <f t="shared" si="525"/>
        <v>10889.636755601023</v>
      </c>
      <c r="P584" s="25">
        <f t="shared" si="526"/>
        <v>30050.93324439897</v>
      </c>
      <c r="Q584" s="25">
        <f t="array" aca="1" ref="Q584" ca="1">INDEX('Isaac 401k'!L:L,MATCH('Retirement Calculator'!A584,'Isaac 401k'!N:N,0),0)</f>
        <v>-1271515.2680183561</v>
      </c>
      <c r="R584" s="25">
        <f t="array" aca="1" ref="R584" ca="1">INDEX('Lorri 401b'!L:L,MATCH('Retirement Calculator'!A584,'Lorri 401b'!N:N,0),0)</f>
        <v>-1304635.3471530939</v>
      </c>
      <c r="S584" s="25">
        <f t="shared" ca="1" si="527"/>
        <v>-2576150.6151714502</v>
      </c>
    </row>
    <row r="585" spans="1:19" ht="15.75" customHeight="1" x14ac:dyDescent="0.3">
      <c r="A585" s="37">
        <v>68759</v>
      </c>
      <c r="B585" s="398">
        <f t="shared" ref="B585:C585" si="591">($A585-B$9)/365.25</f>
        <v>106.37371663244353</v>
      </c>
      <c r="C585" s="398">
        <f t="shared" si="591"/>
        <v>101.76317590691308</v>
      </c>
      <c r="E585" s="25">
        <f>IF(C585&gt;$B$7,0,'Combined Retirement'!$D$13/12)</f>
        <v>0</v>
      </c>
      <c r="F585" s="25">
        <f>IF(H585=0,'Combined Retirement'!$D$32,0)+'Combined Retirement'!$B$24</f>
        <v>2870.372285649099</v>
      </c>
      <c r="G585" s="25">
        <f>'Combined Retirement'!$C$24</f>
        <v>3254.2644699519233</v>
      </c>
      <c r="H585" s="25">
        <f>IF(B585&lt;62,0,'Combined Retirement'!$I$14)</f>
        <v>2345</v>
      </c>
      <c r="I585" s="25">
        <f>IF(C585&lt;62,0,'Combined Retirement'!$I$13)</f>
        <v>2420</v>
      </c>
      <c r="J585" s="25">
        <f t="shared" si="523"/>
        <v>8395.6297298201844</v>
      </c>
      <c r="K585" s="25">
        <f t="shared" si="524"/>
        <v>21655.303514578787</v>
      </c>
      <c r="L585" s="25"/>
      <c r="N585" s="25">
        <f>'Combined Retirement'!$C$18/12</f>
        <v>40940.569999999992</v>
      </c>
      <c r="O585" s="25">
        <f t="shared" si="525"/>
        <v>10889.636755601023</v>
      </c>
      <c r="P585" s="25">
        <f t="shared" si="526"/>
        <v>30050.93324439897</v>
      </c>
      <c r="Q585" s="25">
        <f t="array" aca="1" ref="Q585" ca="1">INDEX('Isaac 401k'!L:L,MATCH('Retirement Calculator'!A585,'Isaac 401k'!N:N,0),0)</f>
        <v>-1285243.859822127</v>
      </c>
      <c r="R585" s="25">
        <f t="array" aca="1" ref="R585" ca="1">INDEX('Lorri 401b'!L:L,MATCH('Retirement Calculator'!A585,'Lorri 401b'!N:N,0),0)</f>
        <v>-1331816.8617121214</v>
      </c>
      <c r="S585" s="25">
        <f t="shared" ca="1" si="527"/>
        <v>-2617060.7215342484</v>
      </c>
    </row>
    <row r="586" spans="1:19" ht="15.75" customHeight="1" x14ac:dyDescent="0.3">
      <c r="A586" s="37">
        <v>68789</v>
      </c>
      <c r="B586" s="398">
        <f t="shared" ref="B586:C586" si="592">($A586-B$9)/365.25</f>
        <v>106.45585215605749</v>
      </c>
      <c r="C586" s="398">
        <f t="shared" si="592"/>
        <v>101.84531143052703</v>
      </c>
      <c r="E586" s="25">
        <f>IF(C586&gt;$B$7,0,'Combined Retirement'!$D$13/12)</f>
        <v>0</v>
      </c>
      <c r="F586" s="25">
        <f>IF(H586=0,'Combined Retirement'!$D$32,0)+'Combined Retirement'!$B$24</f>
        <v>2870.372285649099</v>
      </c>
      <c r="G586" s="25">
        <f>'Combined Retirement'!$C$24</f>
        <v>3254.2644699519233</v>
      </c>
      <c r="H586" s="25">
        <f>IF(B586&lt;62,0,'Combined Retirement'!$I$14)</f>
        <v>2345</v>
      </c>
      <c r="I586" s="25">
        <f>IF(C586&lt;62,0,'Combined Retirement'!$I$13)</f>
        <v>2420</v>
      </c>
      <c r="J586" s="25">
        <f t="shared" si="523"/>
        <v>8395.6297298201844</v>
      </c>
      <c r="K586" s="25">
        <f t="shared" si="524"/>
        <v>21655.303514578787</v>
      </c>
      <c r="L586" s="25"/>
      <c r="N586" s="25">
        <f>'Combined Retirement'!$C$18/12</f>
        <v>40940.569999999992</v>
      </c>
      <c r="O586" s="25">
        <f t="shared" si="525"/>
        <v>10889.636755601023</v>
      </c>
      <c r="P586" s="25">
        <f t="shared" si="526"/>
        <v>30050.93324439897</v>
      </c>
      <c r="Q586" s="25">
        <f t="array" aca="1" ref="Q586" ca="1">INDEX('Isaac 401k'!L:L,MATCH('Retirement Calculator'!A586,'Isaac 401k'!N:N,0),0)</f>
        <v>-1299029.654091747</v>
      </c>
      <c r="R586" s="25">
        <f t="array" aca="1" ref="R586" ca="1">INDEX('Lorri 401b'!L:L,MATCH('Retirement Calculator'!A586,'Lorri 401b'!N:N,0),0)</f>
        <v>-1359111.6325818114</v>
      </c>
      <c r="S586" s="25">
        <f t="shared" ca="1" si="527"/>
        <v>-2658141.2866735584</v>
      </c>
    </row>
    <row r="587" spans="1:19" ht="15.75" customHeight="1" x14ac:dyDescent="0.3">
      <c r="A587" s="37">
        <v>68820</v>
      </c>
      <c r="B587" s="398">
        <f t="shared" ref="B587:C587" si="593">($A587-B$9)/365.25</f>
        <v>106.54072553045859</v>
      </c>
      <c r="C587" s="398">
        <f t="shared" si="593"/>
        <v>101.93018480492813</v>
      </c>
      <c r="E587" s="25">
        <f>IF(C587&gt;$B$7,0,'Combined Retirement'!$D$13/12)</f>
        <v>0</v>
      </c>
      <c r="F587" s="25">
        <f>IF(H587=0,'Combined Retirement'!$D$32,0)+'Combined Retirement'!$B$24</f>
        <v>2870.372285649099</v>
      </c>
      <c r="G587" s="25">
        <f>'Combined Retirement'!$C$24</f>
        <v>3254.2644699519233</v>
      </c>
      <c r="H587" s="25">
        <f>IF(B587&lt;62,0,'Combined Retirement'!$I$14)</f>
        <v>2345</v>
      </c>
      <c r="I587" s="25">
        <f>IF(C587&lt;62,0,'Combined Retirement'!$I$13)</f>
        <v>2420</v>
      </c>
      <c r="J587" s="25">
        <f t="shared" si="523"/>
        <v>8395.6297298201844</v>
      </c>
      <c r="K587" s="25">
        <f t="shared" si="524"/>
        <v>21655.303514578787</v>
      </c>
      <c r="L587" s="25"/>
      <c r="N587" s="25">
        <f>'Combined Retirement'!$C$18/12</f>
        <v>40940.569999999992</v>
      </c>
      <c r="O587" s="25">
        <f t="shared" si="525"/>
        <v>10889.636755601023</v>
      </c>
      <c r="P587" s="25">
        <f t="shared" si="526"/>
        <v>30050.93324439897</v>
      </c>
      <c r="Q587" s="25">
        <f t="array" aca="1" ref="Q587" ca="1">INDEX('Isaac 401k'!L:L,MATCH('Retirement Calculator'!A587,'Isaac 401k'!N:N,0),0)</f>
        <v>-1312872.8891708236</v>
      </c>
      <c r="R587" s="25">
        <f t="array" aca="1" ref="R587" ca="1">INDEX('Lorri 401b'!L:L,MATCH('Retirement Calculator'!A587,'Lorri 401b'!N:N,0),0)</f>
        <v>-1386520.1316634584</v>
      </c>
      <c r="S587" s="25">
        <f t="shared" ca="1" si="527"/>
        <v>-2699393.020834282</v>
      </c>
    </row>
    <row r="588" spans="1:19" ht="15.75" customHeight="1" x14ac:dyDescent="0.3">
      <c r="A588" s="37">
        <v>68850</v>
      </c>
      <c r="B588" s="398">
        <f t="shared" ref="B588:C588" si="594">($A588-B$9)/365.25</f>
        <v>106.62286105407256</v>
      </c>
      <c r="C588" s="398">
        <f t="shared" si="594"/>
        <v>102.01232032854209</v>
      </c>
      <c r="E588" s="25">
        <f>IF(C588&gt;$B$7,0,'Combined Retirement'!$D$13/12)</f>
        <v>0</v>
      </c>
      <c r="F588" s="25">
        <f>IF(H588=0,'Combined Retirement'!$D$32,0)+'Combined Retirement'!$B$24</f>
        <v>2870.372285649099</v>
      </c>
      <c r="G588" s="25">
        <f>'Combined Retirement'!$C$24</f>
        <v>3254.2644699519233</v>
      </c>
      <c r="H588" s="25">
        <f>IF(B588&lt;62,0,'Combined Retirement'!$I$14)</f>
        <v>2345</v>
      </c>
      <c r="I588" s="25">
        <f>IF(C588&lt;62,0,'Combined Retirement'!$I$13)</f>
        <v>2420</v>
      </c>
      <c r="J588" s="25">
        <f t="shared" si="523"/>
        <v>8395.6297298201844</v>
      </c>
      <c r="K588" s="25">
        <f t="shared" si="524"/>
        <v>21655.303514578787</v>
      </c>
      <c r="L588" s="25"/>
      <c r="N588" s="25">
        <f>'Combined Retirement'!$C$18/12</f>
        <v>40940.569999999992</v>
      </c>
      <c r="O588" s="25">
        <f t="shared" si="525"/>
        <v>10889.636755601023</v>
      </c>
      <c r="P588" s="25">
        <f t="shared" si="526"/>
        <v>30050.93324439897</v>
      </c>
      <c r="Q588" s="25">
        <f t="array" aca="1" ref="Q588" ca="1">INDEX('Isaac 401k'!L:L,MATCH('Retirement Calculator'!A588,'Isaac 401k'!N:N,0),0)</f>
        <v>-1326773.8043960631</v>
      </c>
      <c r="R588" s="25">
        <f t="array" aca="1" ref="R588" ca="1">INDEX('Lorri 401b'!L:L,MATCH('Retirement Calculator'!A588,'Lorri 401b'!N:N,0),0)</f>
        <v>-1414042.8328246125</v>
      </c>
      <c r="S588" s="25">
        <f t="shared" ca="1" si="527"/>
        <v>-2740816.6372206756</v>
      </c>
    </row>
    <row r="589" spans="1:19" ht="15.75" customHeight="1" x14ac:dyDescent="0.3">
      <c r="A589" s="37">
        <v>68881</v>
      </c>
      <c r="B589" s="398">
        <f t="shared" ref="B589:C589" si="595">($A589-B$9)/365.25</f>
        <v>106.70773442847364</v>
      </c>
      <c r="C589" s="398">
        <f t="shared" si="595"/>
        <v>102.09719370294319</v>
      </c>
      <c r="E589" s="25">
        <f>IF(C589&gt;$B$7,0,'Combined Retirement'!$D$13/12)</f>
        <v>0</v>
      </c>
      <c r="F589" s="25">
        <f>IF(H589=0,'Combined Retirement'!$D$32,0)+'Combined Retirement'!$B$24</f>
        <v>2870.372285649099</v>
      </c>
      <c r="G589" s="25">
        <f>'Combined Retirement'!$C$24</f>
        <v>3254.2644699519233</v>
      </c>
      <c r="H589" s="25">
        <f>IF(B589&lt;62,0,'Combined Retirement'!$I$14)</f>
        <v>2345</v>
      </c>
      <c r="I589" s="25">
        <f>IF(C589&lt;62,0,'Combined Retirement'!$I$13)</f>
        <v>2420</v>
      </c>
      <c r="J589" s="25">
        <f t="shared" si="523"/>
        <v>8395.6297298201844</v>
      </c>
      <c r="K589" s="25">
        <f t="shared" si="524"/>
        <v>21655.303514578787</v>
      </c>
      <c r="L589" s="25"/>
      <c r="N589" s="25">
        <f>'Combined Retirement'!$C$18/12</f>
        <v>40940.569999999992</v>
      </c>
      <c r="O589" s="25">
        <f t="shared" si="525"/>
        <v>10889.636755601023</v>
      </c>
      <c r="P589" s="25">
        <f t="shared" si="526"/>
        <v>30050.93324439897</v>
      </c>
      <c r="Q589" s="25">
        <f t="array" aca="1" ref="Q589" ca="1">INDEX('Isaac 401k'!L:L,MATCH('Retirement Calculator'!A589,'Isaac 401k'!N:N,0),0)</f>
        <v>-1340732.6401014079</v>
      </c>
      <c r="R589" s="25">
        <f t="array" aca="1" ref="R589" ca="1">INDEX('Lorri 401b'!L:L,MATCH('Retirement Calculator'!A589,'Lorri 401b'!N:N,0),0)</f>
        <v>-1441680.2119072713</v>
      </c>
      <c r="S589" s="25">
        <f t="shared" ca="1" si="527"/>
        <v>-2782412.852008679</v>
      </c>
    </row>
    <row r="590" spans="1:19" ht="15.75" customHeight="1" x14ac:dyDescent="0.3">
      <c r="A590" s="37">
        <v>68912</v>
      </c>
      <c r="B590" s="398">
        <f t="shared" ref="B590:C590" si="596">($A590-B$9)/365.25</f>
        <v>106.79260780287474</v>
      </c>
      <c r="C590" s="398">
        <f t="shared" si="596"/>
        <v>102.18206707734429</v>
      </c>
      <c r="E590" s="25">
        <f>IF(C590&gt;$B$7,0,'Combined Retirement'!$D$13/12)</f>
        <v>0</v>
      </c>
      <c r="F590" s="25">
        <f>IF(H590=0,'Combined Retirement'!$D$32,0)+'Combined Retirement'!$B$24</f>
        <v>2870.372285649099</v>
      </c>
      <c r="G590" s="25">
        <f>'Combined Retirement'!$C$24</f>
        <v>3254.2644699519233</v>
      </c>
      <c r="H590" s="25">
        <f>IF(B590&lt;62,0,'Combined Retirement'!$I$14)</f>
        <v>2345</v>
      </c>
      <c r="I590" s="25">
        <f>IF(C590&lt;62,0,'Combined Retirement'!$I$13)</f>
        <v>2420</v>
      </c>
      <c r="J590" s="25">
        <f t="shared" si="523"/>
        <v>8395.6297298201844</v>
      </c>
      <c r="K590" s="25">
        <f t="shared" si="524"/>
        <v>21655.303514578787</v>
      </c>
      <c r="L590" s="25"/>
      <c r="N590" s="25">
        <f>'Combined Retirement'!$C$18/12</f>
        <v>40940.569999999992</v>
      </c>
      <c r="O590" s="25">
        <f t="shared" si="525"/>
        <v>10889.636755601023</v>
      </c>
      <c r="P590" s="25">
        <f t="shared" si="526"/>
        <v>30050.93324439897</v>
      </c>
      <c r="Q590" s="25">
        <f t="array" aca="1" ref="Q590" ca="1">INDEX('Isaac 401k'!L:L,MATCH('Retirement Calculator'!A590,'Isaac 401k'!N:N,0),0)</f>
        <v>-1354749.6376221916</v>
      </c>
      <c r="R590" s="25">
        <f t="array" aca="1" ref="R590" ca="1">INDEX('Lorri 401b'!L:L,MATCH('Retirement Calculator'!A590,'Lorri 401b'!N:N,0),0)</f>
        <v>-1469432.7467361079</v>
      </c>
      <c r="S590" s="25">
        <f t="shared" ca="1" si="527"/>
        <v>-2824182.3843582994</v>
      </c>
    </row>
    <row r="591" spans="1:19" ht="15.75" customHeight="1" x14ac:dyDescent="0.3">
      <c r="A591" s="37">
        <v>68942</v>
      </c>
      <c r="B591" s="398">
        <f t="shared" ref="B591:C591" si="597">($A591-B$9)/365.25</f>
        <v>106.87474332648871</v>
      </c>
      <c r="C591" s="398">
        <f t="shared" si="597"/>
        <v>102.26420260095824</v>
      </c>
      <c r="E591" s="25">
        <f>IF(C591&gt;$B$7,0,'Combined Retirement'!$D$13/12)</f>
        <v>0</v>
      </c>
      <c r="F591" s="25">
        <f>IF(H591=0,'Combined Retirement'!$D$32,0)+'Combined Retirement'!$B$24</f>
        <v>2870.372285649099</v>
      </c>
      <c r="G591" s="25">
        <f>'Combined Retirement'!$C$24</f>
        <v>3254.2644699519233</v>
      </c>
      <c r="H591" s="25">
        <f>IF(B591&lt;62,0,'Combined Retirement'!$I$14)</f>
        <v>2345</v>
      </c>
      <c r="I591" s="25">
        <f>IF(C591&lt;62,0,'Combined Retirement'!$I$13)</f>
        <v>2420</v>
      </c>
      <c r="J591" s="25">
        <f t="shared" si="523"/>
        <v>8395.6297298201844</v>
      </c>
      <c r="K591" s="25">
        <f t="shared" si="524"/>
        <v>21655.303514578787</v>
      </c>
      <c r="L591" s="25"/>
      <c r="N591" s="25">
        <f>'Combined Retirement'!$C$18/12</f>
        <v>40940.569999999992</v>
      </c>
      <c r="O591" s="25">
        <f t="shared" si="525"/>
        <v>10889.636755601023</v>
      </c>
      <c r="P591" s="25">
        <f t="shared" si="526"/>
        <v>30050.93324439897</v>
      </c>
      <c r="Q591" s="25">
        <f t="array" aca="1" ref="Q591" ca="1">INDEX('Isaac 401k'!L:L,MATCH('Retirement Calculator'!A591,'Isaac 401k'!N:N,0),0)</f>
        <v>-1368825.0392993118</v>
      </c>
      <c r="R591" s="25">
        <f t="array" aca="1" ref="R591" ca="1">INDEX('Lorri 401b'!L:L,MATCH('Retirement Calculator'!A591,'Lorri 401b'!N:N,0),0)</f>
        <v>-1497300.9171267312</v>
      </c>
      <c r="S591" s="25">
        <f t="shared" ca="1" si="527"/>
        <v>-2866125.9564260431</v>
      </c>
    </row>
    <row r="592" spans="1:19" ht="15.75" customHeight="1" x14ac:dyDescent="0.3">
      <c r="A592" s="37">
        <v>68973</v>
      </c>
      <c r="B592" s="398">
        <f t="shared" ref="B592:C592" si="598">($A592-B$9)/365.25</f>
        <v>106.9596167008898</v>
      </c>
      <c r="C592" s="398">
        <f t="shared" si="598"/>
        <v>102.34907597535934</v>
      </c>
      <c r="E592" s="25">
        <f>IF(C592&gt;$B$7,0,'Combined Retirement'!$D$13/12)</f>
        <v>0</v>
      </c>
      <c r="F592" s="25">
        <f>IF(H592=0,'Combined Retirement'!$D$32,0)+'Combined Retirement'!$B$24</f>
        <v>2870.372285649099</v>
      </c>
      <c r="G592" s="25">
        <f>'Combined Retirement'!$C$24</f>
        <v>3254.2644699519233</v>
      </c>
      <c r="H592" s="25">
        <f>IF(B592&lt;62,0,'Combined Retirement'!$I$14)</f>
        <v>2345</v>
      </c>
      <c r="I592" s="25">
        <f>IF(C592&lt;62,0,'Combined Retirement'!$I$13)</f>
        <v>2420</v>
      </c>
      <c r="J592" s="25">
        <f t="shared" si="523"/>
        <v>8395.6297298201844</v>
      </c>
      <c r="K592" s="25">
        <f t="shared" si="524"/>
        <v>21655.303514578787</v>
      </c>
      <c r="L592" s="25"/>
      <c r="N592" s="25">
        <f>'Combined Retirement'!$C$18/12</f>
        <v>40940.569999999992</v>
      </c>
      <c r="O592" s="25">
        <f t="shared" si="525"/>
        <v>10889.636755601023</v>
      </c>
      <c r="P592" s="25">
        <f t="shared" si="526"/>
        <v>30050.93324439897</v>
      </c>
      <c r="Q592" s="25">
        <f t="array" aca="1" ref="Q592" ca="1">INDEX('Isaac 401k'!L:L,MATCH('Retirement Calculator'!A592,'Isaac 401k'!N:N,0),0)</f>
        <v>-1382959.08848342</v>
      </c>
      <c r="R592" s="25">
        <f t="array" aca="1" ref="R592" ca="1">INDEX('Lorri 401b'!L:L,MATCH('Retirement Calculator'!A592,'Lorri 401b'!N:N,0),0)</f>
        <v>-1525285.2048939823</v>
      </c>
      <c r="S592" s="25">
        <f t="shared" ca="1" si="527"/>
        <v>-2908244.2933774022</v>
      </c>
    </row>
    <row r="593" spans="1:19" ht="15.75" customHeight="1" x14ac:dyDescent="0.3">
      <c r="A593" s="37">
        <v>69003</v>
      </c>
      <c r="B593" s="398">
        <f t="shared" ref="B593:C593" si="599">($A593-B$9)/365.25</f>
        <v>107.04175222450377</v>
      </c>
      <c r="C593" s="398">
        <f t="shared" si="599"/>
        <v>102.43121149897331</v>
      </c>
      <c r="E593" s="25">
        <f>IF(C593&gt;$B$7,0,'Combined Retirement'!$D$13/12)</f>
        <v>0</v>
      </c>
      <c r="F593" s="25">
        <f>IF(H593=0,'Combined Retirement'!$D$32,0)+'Combined Retirement'!$B$24</f>
        <v>2870.372285649099</v>
      </c>
      <c r="G593" s="25">
        <f>'Combined Retirement'!$C$24</f>
        <v>3254.2644699519233</v>
      </c>
      <c r="H593" s="25">
        <f>IF(B593&lt;62,0,'Combined Retirement'!$I$14)</f>
        <v>2345</v>
      </c>
      <c r="I593" s="25">
        <f>IF(C593&lt;62,0,'Combined Retirement'!$I$13)</f>
        <v>2420</v>
      </c>
      <c r="J593" s="25">
        <f t="shared" si="523"/>
        <v>8395.6297298201844</v>
      </c>
      <c r="K593" s="25">
        <f t="shared" si="524"/>
        <v>21655.303514578787</v>
      </c>
      <c r="L593" s="25"/>
      <c r="N593" s="25">
        <f>'Combined Retirement'!$C$18/12</f>
        <v>40940.569999999992</v>
      </c>
      <c r="O593" s="25">
        <f t="shared" si="525"/>
        <v>10889.636755601023</v>
      </c>
      <c r="P593" s="25">
        <f t="shared" si="526"/>
        <v>30050.93324439897</v>
      </c>
      <c r="Q593" s="25">
        <f t="array" aca="1" ref="Q593" ca="1">INDEX('Isaac 401k'!L:L,MATCH('Retirement Calculator'!A593,'Isaac 401k'!N:N,0),0)</f>
        <v>-1397152.0295391288</v>
      </c>
      <c r="R593" s="25">
        <f t="array" aca="1" ref="R593" ca="1">INDEX('Lorri 401b'!L:L,MATCH('Retirement Calculator'!A593,'Lorri 401b'!N:N,0),0)</f>
        <v>-1553386.0938602635</v>
      </c>
      <c r="S593" s="25">
        <f t="shared" ca="1" si="527"/>
        <v>-2950538.1233993922</v>
      </c>
    </row>
    <row r="594" spans="1:19" ht="15.75" customHeight="1" x14ac:dyDescent="0.3">
      <c r="A594" s="37">
        <v>69034</v>
      </c>
      <c r="B594" s="398">
        <f t="shared" ref="B594:C594" si="600">($A594-B$9)/365.25</f>
        <v>107.12662559890487</v>
      </c>
      <c r="C594" s="398">
        <f t="shared" si="600"/>
        <v>102.5160848733744</v>
      </c>
      <c r="E594" s="25">
        <f>IF(C594&gt;$B$7,0,'Combined Retirement'!$D$13/12)</f>
        <v>0</v>
      </c>
      <c r="F594" s="25">
        <f>IF(H594=0,'Combined Retirement'!$D$32,0)+'Combined Retirement'!$B$24</f>
        <v>2870.372285649099</v>
      </c>
      <c r="G594" s="25">
        <f>'Combined Retirement'!$C$24</f>
        <v>3254.2644699519233</v>
      </c>
      <c r="H594" s="25">
        <f>IF(B594&lt;62,0,'Combined Retirement'!$I$14)</f>
        <v>2345</v>
      </c>
      <c r="I594" s="25">
        <f>IF(C594&lt;62,0,'Combined Retirement'!$I$13)</f>
        <v>2420</v>
      </c>
      <c r="J594" s="25">
        <f t="shared" si="523"/>
        <v>8395.6297298201844</v>
      </c>
      <c r="K594" s="25">
        <f t="shared" si="524"/>
        <v>21655.303514578787</v>
      </c>
      <c r="L594" s="25"/>
      <c r="N594" s="25">
        <f>'Combined Retirement'!$C$18/12</f>
        <v>40940.569999999992</v>
      </c>
      <c r="O594" s="25">
        <f t="shared" si="525"/>
        <v>10889.636755601023</v>
      </c>
      <c r="P594" s="25">
        <f t="shared" si="526"/>
        <v>30050.93324439897</v>
      </c>
      <c r="Q594" s="25">
        <f t="array" aca="1" ref="Q594" ca="1">INDEX('Isaac 401k'!L:L,MATCH('Retirement Calculator'!A594,'Isaac 401k'!N:N,0),0)</f>
        <v>-1411404.1078492363</v>
      </c>
      <c r="R594" s="25">
        <f t="array" aca="1" ref="R594" ca="1">INDEX('Lorri 401b'!L:L,MATCH('Retirement Calculator'!A594,'Lorri 401b'!N:N,0),0)</f>
        <v>-1581604.0698639043</v>
      </c>
      <c r="S594" s="25">
        <f t="shared" ca="1" si="527"/>
        <v>-2993008.1777131408</v>
      </c>
    </row>
    <row r="595" spans="1:19" ht="15.75" customHeight="1" x14ac:dyDescent="0.3">
      <c r="A595" s="37">
        <v>69065</v>
      </c>
      <c r="B595" s="398">
        <f t="shared" ref="B595:C595" si="601">($A595-B$9)/365.25</f>
        <v>107.21149897330595</v>
      </c>
      <c r="C595" s="398">
        <f t="shared" si="601"/>
        <v>102.60095824777549</v>
      </c>
      <c r="E595" s="25">
        <f>IF(C595&gt;$B$7,0,'Combined Retirement'!$D$13/12)</f>
        <v>0</v>
      </c>
      <c r="F595" s="25">
        <f>IF(H595=0,'Combined Retirement'!$D$32,0)+'Combined Retirement'!$B$24</f>
        <v>2870.372285649099</v>
      </c>
      <c r="G595" s="25">
        <f>'Combined Retirement'!$C$24</f>
        <v>3254.2644699519233</v>
      </c>
      <c r="H595" s="25">
        <f>IF(B595&lt;62,0,'Combined Retirement'!$I$14)</f>
        <v>2345</v>
      </c>
      <c r="I595" s="25">
        <f>IF(C595&lt;62,0,'Combined Retirement'!$I$13)</f>
        <v>2420</v>
      </c>
      <c r="J595" s="25">
        <f t="shared" si="523"/>
        <v>8395.6297298201844</v>
      </c>
      <c r="K595" s="25">
        <f t="shared" si="524"/>
        <v>21655.303514578787</v>
      </c>
      <c r="L595" s="25"/>
      <c r="N595" s="25">
        <f>'Combined Retirement'!$C$18/12</f>
        <v>40940.569999999992</v>
      </c>
      <c r="O595" s="25">
        <f t="shared" si="525"/>
        <v>10889.636755601023</v>
      </c>
      <c r="P595" s="25">
        <f t="shared" si="526"/>
        <v>30050.93324439897</v>
      </c>
      <c r="Q595" s="25">
        <f t="array" aca="1" ref="Q595" ca="1">INDEX('Isaac 401k'!L:L,MATCH('Retirement Calculator'!A595,'Isaac 401k'!N:N,0),0)</f>
        <v>-1425715.5698189694</v>
      </c>
      <c r="R595" s="25">
        <f t="array" aca="1" ref="R595" ca="1">INDEX('Lorri 401b'!L:L,MATCH('Retirement Calculator'!A595,'Lorri 401b'!N:N,0),0)</f>
        <v>-1609939.6207675601</v>
      </c>
      <c r="S595" s="25">
        <f t="shared" ca="1" si="527"/>
        <v>-3035655.1905865297</v>
      </c>
    </row>
    <row r="596" spans="1:19" ht="15.75" customHeight="1" x14ac:dyDescent="0.3">
      <c r="A596" s="37">
        <v>69093</v>
      </c>
      <c r="B596" s="398">
        <f t="shared" ref="B596:C596" si="602">($A596-B$9)/365.25</f>
        <v>107.28815879534565</v>
      </c>
      <c r="C596" s="398">
        <f t="shared" si="602"/>
        <v>102.6776180698152</v>
      </c>
      <c r="E596" s="25">
        <f>IF(C596&gt;$B$7,0,'Combined Retirement'!$D$13/12)</f>
        <v>0</v>
      </c>
      <c r="F596" s="25">
        <f>IF(H596=0,'Combined Retirement'!$D$32,0)+'Combined Retirement'!$B$24</f>
        <v>2870.372285649099</v>
      </c>
      <c r="G596" s="25">
        <f>'Combined Retirement'!$C$24</f>
        <v>3254.2644699519233</v>
      </c>
      <c r="H596" s="25">
        <f>IF(B596&lt;62,0,'Combined Retirement'!$I$14)</f>
        <v>2345</v>
      </c>
      <c r="I596" s="25">
        <f>IF(C596&lt;62,0,'Combined Retirement'!$I$13)</f>
        <v>2420</v>
      </c>
      <c r="J596" s="25">
        <f t="shared" si="523"/>
        <v>8395.6297298201844</v>
      </c>
      <c r="K596" s="25">
        <f t="shared" si="524"/>
        <v>21655.303514578787</v>
      </c>
      <c r="L596" s="25"/>
      <c r="N596" s="25">
        <f>'Combined Retirement'!$C$18/12</f>
        <v>40940.569999999992</v>
      </c>
      <c r="O596" s="25">
        <f t="shared" si="525"/>
        <v>10889.636755601023</v>
      </c>
      <c r="P596" s="25">
        <f t="shared" si="526"/>
        <v>30050.93324439897</v>
      </c>
      <c r="Q596" s="25">
        <f t="array" aca="1" ref="Q596" ca="1">INDEX('Isaac 401k'!L:L,MATCH('Retirement Calculator'!A596,'Isaac 401k'!N:N,0),0)</f>
        <v>-1440086.6628802428</v>
      </c>
      <c r="R596" s="25">
        <f t="array" aca="1" ref="R596" ca="1">INDEX('Lorri 401b'!L:L,MATCH('Retirement Calculator'!A596,'Lorri 401b'!N:N,0),0)</f>
        <v>-1638393.2364666478</v>
      </c>
      <c r="S596" s="25">
        <f t="shared" ca="1" si="527"/>
        <v>-3078479.8993468909</v>
      </c>
    </row>
    <row r="597" spans="1:19" ht="15.75" customHeight="1" x14ac:dyDescent="0.3">
      <c r="A597" s="37">
        <v>69124</v>
      </c>
      <c r="B597" s="398">
        <f t="shared" ref="B597:C597" si="603">($A597-B$9)/365.25</f>
        <v>107.37303216974675</v>
      </c>
      <c r="C597" s="398">
        <f t="shared" si="603"/>
        <v>102.76249144421629</v>
      </c>
      <c r="E597" s="25">
        <f>IF(C597&gt;$B$7,0,'Combined Retirement'!$D$13/12)</f>
        <v>0</v>
      </c>
      <c r="F597" s="25">
        <f>IF(H597=0,'Combined Retirement'!$D$32,0)+'Combined Retirement'!$B$24</f>
        <v>2870.372285649099</v>
      </c>
      <c r="G597" s="25">
        <f>'Combined Retirement'!$C$24</f>
        <v>3254.2644699519233</v>
      </c>
      <c r="H597" s="25">
        <f>IF(B597&lt;62,0,'Combined Retirement'!$I$14)</f>
        <v>2345</v>
      </c>
      <c r="I597" s="25">
        <f>IF(C597&lt;62,0,'Combined Retirement'!$I$13)</f>
        <v>2420</v>
      </c>
      <c r="J597" s="25">
        <f t="shared" si="523"/>
        <v>8395.6297298201844</v>
      </c>
      <c r="K597" s="25">
        <f t="shared" si="524"/>
        <v>21655.303514578787</v>
      </c>
      <c r="L597" s="25"/>
      <c r="N597" s="25">
        <f>'Combined Retirement'!$C$18/12</f>
        <v>40940.569999999992</v>
      </c>
      <c r="O597" s="25">
        <f t="shared" si="525"/>
        <v>10889.636755601023</v>
      </c>
      <c r="P597" s="25">
        <f t="shared" si="526"/>
        <v>30050.93324439897</v>
      </c>
      <c r="Q597" s="25">
        <f t="array" aca="1" ref="Q597" ca="1">INDEX('Isaac 401k'!L:L,MATCH('Retirement Calculator'!A597,'Isaac 401k'!N:N,0),0)</f>
        <v>-1454517.6354959384</v>
      </c>
      <c r="R597" s="25">
        <f t="array" aca="1" ref="R597" ca="1">INDEX('Lorri 401b'!L:L,MATCH('Retirement Calculator'!A597,'Lorri 401b'!N:N,0),0)</f>
        <v>-1666965.408897815</v>
      </c>
      <c r="S597" s="25">
        <f t="shared" ca="1" si="527"/>
        <v>-3121483.0443937536</v>
      </c>
    </row>
    <row r="598" spans="1:19" ht="15.75" customHeight="1" x14ac:dyDescent="0.3">
      <c r="A598" s="37">
        <v>69154</v>
      </c>
      <c r="B598" s="398">
        <f t="shared" ref="B598:C598" si="604">($A598-B$9)/365.25</f>
        <v>107.45516769336071</v>
      </c>
      <c r="C598" s="398">
        <f t="shared" si="604"/>
        <v>102.84462696783025</v>
      </c>
      <c r="E598" s="25">
        <f>IF(C598&gt;$B$7,0,'Combined Retirement'!$D$13/12)</f>
        <v>0</v>
      </c>
      <c r="F598" s="25">
        <f>IF(H598=0,'Combined Retirement'!$D$32,0)+'Combined Retirement'!$B$24</f>
        <v>2870.372285649099</v>
      </c>
      <c r="G598" s="25">
        <f>'Combined Retirement'!$C$24</f>
        <v>3254.2644699519233</v>
      </c>
      <c r="H598" s="25">
        <f>IF(B598&lt;62,0,'Combined Retirement'!$I$14)</f>
        <v>2345</v>
      </c>
      <c r="I598" s="25">
        <f>IF(C598&lt;62,0,'Combined Retirement'!$I$13)</f>
        <v>2420</v>
      </c>
      <c r="J598" s="25">
        <f t="shared" si="523"/>
        <v>8395.6297298201844</v>
      </c>
      <c r="K598" s="25">
        <f t="shared" si="524"/>
        <v>21655.303514578787</v>
      </c>
      <c r="L598" s="25"/>
      <c r="N598" s="25">
        <f>'Combined Retirement'!$C$18/12</f>
        <v>40940.569999999992</v>
      </c>
      <c r="O598" s="25">
        <f t="shared" si="525"/>
        <v>10889.636755601023</v>
      </c>
      <c r="P598" s="25">
        <f t="shared" si="526"/>
        <v>30050.93324439897</v>
      </c>
      <c r="Q598" s="25">
        <f t="array" aca="1" ref="Q598" ca="1">INDEX('Isaac 401k'!L:L,MATCH('Retirement Calculator'!A598,'Isaac 401k'!N:N,0),0)</f>
        <v>-1469008.7371641991</v>
      </c>
      <c r="R598" s="25">
        <f t="array" aca="1" ref="R598" ca="1">INDEX('Lorri 401b'!L:L,MATCH('Retirement Calculator'!A598,'Lorri 401b'!N:N,0),0)</f>
        <v>-1695656.6320474455</v>
      </c>
      <c r="S598" s="25">
        <f t="shared" ca="1" si="527"/>
        <v>-3164665.3692116449</v>
      </c>
    </row>
    <row r="599" spans="1:19" ht="15.75" customHeight="1" x14ac:dyDescent="0.3">
      <c r="A599" s="37">
        <v>69185</v>
      </c>
      <c r="B599" s="398">
        <f t="shared" ref="B599:C599" si="605">($A599-B$9)/365.25</f>
        <v>107.54004106776181</v>
      </c>
      <c r="C599" s="398">
        <f t="shared" si="605"/>
        <v>102.92950034223135</v>
      </c>
      <c r="E599" s="25">
        <f>IF(C599&gt;$B$7,0,'Combined Retirement'!$D$13/12)</f>
        <v>0</v>
      </c>
      <c r="F599" s="25">
        <f>IF(H599=0,'Combined Retirement'!$D$32,0)+'Combined Retirement'!$B$24</f>
        <v>2870.372285649099</v>
      </c>
      <c r="G599" s="25">
        <f>'Combined Retirement'!$C$24</f>
        <v>3254.2644699519233</v>
      </c>
      <c r="H599" s="25">
        <f>IF(B599&lt;62,0,'Combined Retirement'!$I$14)</f>
        <v>2345</v>
      </c>
      <c r="I599" s="25">
        <f>IF(C599&lt;62,0,'Combined Retirement'!$I$13)</f>
        <v>2420</v>
      </c>
      <c r="J599" s="25">
        <f t="shared" si="523"/>
        <v>8395.6297298201844</v>
      </c>
      <c r="K599" s="25">
        <f t="shared" si="524"/>
        <v>21655.303514578787</v>
      </c>
      <c r="L599" s="25"/>
      <c r="N599" s="25">
        <f>'Combined Retirement'!$C$18/12</f>
        <v>40940.569999999992</v>
      </c>
      <c r="O599" s="25">
        <f t="shared" si="525"/>
        <v>10889.636755601023</v>
      </c>
      <c r="P599" s="25">
        <f t="shared" si="526"/>
        <v>30050.93324439897</v>
      </c>
      <c r="Q599" s="25">
        <f t="array" aca="1" ref="Q599" ca="1">INDEX('Isaac 401k'!L:L,MATCH('Retirement Calculator'!A599,'Isaac 401k'!N:N,0),0)</f>
        <v>-1483560.2184227444</v>
      </c>
      <c r="R599" s="25">
        <f t="array" aca="1" ref="R599" ca="1">INDEX('Lorri 401b'!L:L,MATCH('Retirement Calculator'!A599,'Lorri 401b'!N:N,0),0)</f>
        <v>-1724467.4019601995</v>
      </c>
      <c r="S599" s="25">
        <f t="shared" ca="1" si="527"/>
        <v>-3208027.6203829441</v>
      </c>
    </row>
    <row r="600" spans="1:19" ht="15.75" customHeight="1" x14ac:dyDescent="0.3">
      <c r="A600" s="37">
        <v>69215</v>
      </c>
      <c r="B600" s="398">
        <f t="shared" ref="B600:C600" si="606">($A600-B$9)/365.25</f>
        <v>107.62217659137578</v>
      </c>
      <c r="C600" s="398">
        <f t="shared" si="606"/>
        <v>103.01163586584531</v>
      </c>
      <c r="E600" s="25">
        <f>IF(C600&gt;$B$7,0,'Combined Retirement'!$D$13/12)</f>
        <v>0</v>
      </c>
      <c r="F600" s="25">
        <f>IF(H600=0,'Combined Retirement'!$D$32,0)+'Combined Retirement'!$B$24</f>
        <v>2870.372285649099</v>
      </c>
      <c r="G600" s="25">
        <f>'Combined Retirement'!$C$24</f>
        <v>3254.2644699519233</v>
      </c>
      <c r="H600" s="25">
        <f>IF(B600&lt;62,0,'Combined Retirement'!$I$14)</f>
        <v>2345</v>
      </c>
      <c r="I600" s="25">
        <f>IF(C600&lt;62,0,'Combined Retirement'!$I$13)</f>
        <v>2420</v>
      </c>
      <c r="J600" s="25">
        <f t="shared" si="523"/>
        <v>8395.6297298201844</v>
      </c>
      <c r="K600" s="25">
        <f t="shared" si="524"/>
        <v>21655.303514578787</v>
      </c>
      <c r="L600" s="25"/>
      <c r="N600" s="25">
        <f>'Combined Retirement'!$C$18/12</f>
        <v>40940.569999999992</v>
      </c>
      <c r="O600" s="25">
        <f t="shared" si="525"/>
        <v>10889.636755601023</v>
      </c>
      <c r="P600" s="25">
        <f t="shared" si="526"/>
        <v>30050.93324439897</v>
      </c>
      <c r="Q600" s="25">
        <f t="array" aca="1" ref="Q600" ca="1">INDEX('Isaac 401k'!L:L,MATCH('Retirement Calculator'!A600,'Isaac 401k'!N:N,0),0)</f>
        <v>-1498172.3308532003</v>
      </c>
      <c r="R600" s="25">
        <f t="array" aca="1" ref="R600" ca="1">INDEX('Lorri 401b'!L:L,MATCH('Retirement Calculator'!A600,'Lorri 401b'!N:N,0),0)</f>
        <v>-1753398.2167475899</v>
      </c>
      <c r="S600" s="25">
        <f t="shared" ca="1" si="527"/>
        <v>-3251570.5476007899</v>
      </c>
    </row>
    <row r="601" spans="1:19" ht="15.75" customHeight="1" x14ac:dyDescent="0.3">
      <c r="A601" s="37">
        <v>69246</v>
      </c>
      <c r="B601" s="398">
        <f t="shared" ref="B601:C601" si="607">($A601-B$9)/365.25</f>
        <v>107.70704996577686</v>
      </c>
      <c r="C601" s="398">
        <f t="shared" si="607"/>
        <v>103.09650924024641</v>
      </c>
      <c r="E601" s="25">
        <f>IF(C601&gt;$B$7,0,'Combined Retirement'!$D$13/12)</f>
        <v>0</v>
      </c>
      <c r="F601" s="25">
        <f>IF(H601=0,'Combined Retirement'!$D$32,0)+'Combined Retirement'!$B$24</f>
        <v>2870.372285649099</v>
      </c>
      <c r="G601" s="25">
        <f>'Combined Retirement'!$C$24</f>
        <v>3254.2644699519233</v>
      </c>
      <c r="H601" s="25">
        <f>IF(B601&lt;62,0,'Combined Retirement'!$I$14)</f>
        <v>2345</v>
      </c>
      <c r="I601" s="25">
        <f>IF(C601&lt;62,0,'Combined Retirement'!$I$13)</f>
        <v>2420</v>
      </c>
      <c r="J601" s="25">
        <f t="shared" si="523"/>
        <v>8395.6297298201844</v>
      </c>
      <c r="K601" s="25">
        <f t="shared" si="524"/>
        <v>21655.303514578787</v>
      </c>
      <c r="L601" s="25"/>
      <c r="N601" s="25">
        <f>'Combined Retirement'!$C$18/12</f>
        <v>40940.569999999992</v>
      </c>
      <c r="O601" s="25">
        <f t="shared" si="525"/>
        <v>10889.636755601023</v>
      </c>
      <c r="P601" s="25">
        <f t="shared" si="526"/>
        <v>30050.93324439897</v>
      </c>
      <c r="Q601" s="25">
        <f t="array" aca="1" ref="Q601" ca="1">INDEX('Isaac 401k'!L:L,MATCH('Retirement Calculator'!A601,'Isaac 401k'!N:N,0),0)</f>
        <v>-1512845.3270854498</v>
      </c>
      <c r="R601" s="25">
        <f t="array" aca="1" ref="R601" ca="1">INDEX('Lorri 401b'!L:L,MATCH('Retirement Calculator'!A601,'Lorri 401b'!N:N,0),0)</f>
        <v>-1782449.5765965944</v>
      </c>
      <c r="S601" s="25">
        <f t="shared" ca="1" si="527"/>
        <v>-3295294.9036820442</v>
      </c>
    </row>
    <row r="602" spans="1:19" ht="15.75" customHeight="1" x14ac:dyDescent="0.3">
      <c r="A602" s="37">
        <v>69277</v>
      </c>
      <c r="B602" s="398">
        <f t="shared" ref="B602:C602" si="608">($A602-B$9)/365.25</f>
        <v>107.79192334017796</v>
      </c>
      <c r="C602" s="398">
        <f t="shared" si="608"/>
        <v>103.1813826146475</v>
      </c>
      <c r="E602" s="25">
        <f>IF(C602&gt;$B$7,0,'Combined Retirement'!$D$13/12)</f>
        <v>0</v>
      </c>
      <c r="F602" s="25">
        <f>IF(H602=0,'Combined Retirement'!$D$32,0)+'Combined Retirement'!$B$24</f>
        <v>2870.372285649099</v>
      </c>
      <c r="G602" s="25">
        <f>'Combined Retirement'!$C$24</f>
        <v>3254.2644699519233</v>
      </c>
      <c r="H602" s="25">
        <f>IF(B602&lt;62,0,'Combined Retirement'!$I$14)</f>
        <v>2345</v>
      </c>
      <c r="I602" s="25">
        <f>IF(C602&lt;62,0,'Combined Retirement'!$I$13)</f>
        <v>2420</v>
      </c>
      <c r="J602" s="25">
        <f t="shared" si="523"/>
        <v>8395.6297298201844</v>
      </c>
      <c r="K602" s="25">
        <f t="shared" si="524"/>
        <v>21655.303514578787</v>
      </c>
      <c r="L602" s="25"/>
      <c r="N602" s="25">
        <f>'Combined Retirement'!$C$18/12</f>
        <v>40940.569999999992</v>
      </c>
      <c r="O602" s="25">
        <f t="shared" si="525"/>
        <v>10889.636755601023</v>
      </c>
      <c r="P602" s="25">
        <f t="shared" si="526"/>
        <v>30050.93324439897</v>
      </c>
      <c r="Q602" s="25">
        <f t="array" aca="1" ref="Q602" ca="1">INDEX('Isaac 401k'!L:L,MATCH('Retirement Calculator'!A602,'Isaac 401k'!N:N,0),0)</f>
        <v>-1527579.4608020002</v>
      </c>
      <c r="R602" s="25">
        <f t="array" aca="1" ref="R602" ca="1">INDEX('Lorri 401b'!L:L,MATCH('Retirement Calculator'!A602,'Lorri 401b'!N:N,0),0)</f>
        <v>-1811621.9837783033</v>
      </c>
      <c r="S602" s="25">
        <f t="shared" ca="1" si="527"/>
        <v>-3339201.4445803035</v>
      </c>
    </row>
    <row r="603" spans="1:19" ht="15.75" customHeight="1" x14ac:dyDescent="0.3">
      <c r="A603" s="37">
        <v>69307</v>
      </c>
      <c r="B603" s="398">
        <f t="shared" ref="B603:C603" si="609">($A603-B$9)/365.25</f>
        <v>107.87405886379193</v>
      </c>
      <c r="C603" s="398">
        <f t="shared" si="609"/>
        <v>103.26351813826146</v>
      </c>
      <c r="E603" s="25">
        <f>IF(C603&gt;$B$7,0,'Combined Retirement'!$D$13/12)</f>
        <v>0</v>
      </c>
      <c r="F603" s="25">
        <f>IF(H603=0,'Combined Retirement'!$D$32,0)+'Combined Retirement'!$B$24</f>
        <v>2870.372285649099</v>
      </c>
      <c r="G603" s="25">
        <f>'Combined Retirement'!$C$24</f>
        <v>3254.2644699519233</v>
      </c>
      <c r="H603" s="25">
        <f>IF(B603&lt;62,0,'Combined Retirement'!$I$14)</f>
        <v>2345</v>
      </c>
      <c r="I603" s="25">
        <f>IF(C603&lt;62,0,'Combined Retirement'!$I$13)</f>
        <v>2420</v>
      </c>
      <c r="J603" s="25">
        <f t="shared" si="523"/>
        <v>8395.6297298201844</v>
      </c>
      <c r="K603" s="25">
        <f t="shared" si="524"/>
        <v>21655.303514578787</v>
      </c>
      <c r="L603" s="25"/>
      <c r="N603" s="25">
        <f>'Combined Retirement'!$C$18/12</f>
        <v>40940.569999999992</v>
      </c>
      <c r="O603" s="25">
        <f t="shared" si="525"/>
        <v>10889.636755601023</v>
      </c>
      <c r="P603" s="25">
        <f t="shared" si="526"/>
        <v>30050.93324439897</v>
      </c>
      <c r="Q603" s="25">
        <f t="array" aca="1" ref="Q603" ca="1">INDEX('Isaac 401k'!L:L,MATCH('Retirement Calculator'!A603,'Isaac 401k'!N:N,0),0)</f>
        <v>-1542374.9867423696</v>
      </c>
      <c r="R603" s="25">
        <f t="array" aca="1" ref="R603" ca="1">INDEX('Lorri 401b'!L:L,MATCH('Retirement Calculator'!A603,'Lorri 401b'!N:N,0),0)</f>
        <v>-1840915.9426566025</v>
      </c>
      <c r="S603" s="25">
        <f t="shared" ca="1" si="527"/>
        <v>-3383290.9293989721</v>
      </c>
    </row>
    <row r="604" spans="1:19" ht="15.75" customHeight="1" x14ac:dyDescent="0.3">
      <c r="A604" s="37">
        <v>69338</v>
      </c>
      <c r="B604" s="398">
        <f t="shared" ref="B604:C604" si="610">($A604-B$9)/365.25</f>
        <v>107.95893223819301</v>
      </c>
      <c r="C604" s="398">
        <f t="shared" si="610"/>
        <v>103.34839151266256</v>
      </c>
      <c r="E604" s="25">
        <f>IF(C604&gt;$B$7,0,'Combined Retirement'!$D$13/12)</f>
        <v>0</v>
      </c>
      <c r="F604" s="25">
        <f>IF(H604=0,'Combined Retirement'!$D$32,0)+'Combined Retirement'!$B$24</f>
        <v>2870.372285649099</v>
      </c>
      <c r="G604" s="25">
        <f>'Combined Retirement'!$C$24</f>
        <v>3254.2644699519233</v>
      </c>
      <c r="H604" s="25">
        <f>IF(B604&lt;62,0,'Combined Retirement'!$I$14)</f>
        <v>2345</v>
      </c>
      <c r="I604" s="25">
        <f>IF(C604&lt;62,0,'Combined Retirement'!$I$13)</f>
        <v>2420</v>
      </c>
      <c r="J604" s="25">
        <f t="shared" si="523"/>
        <v>8395.6297298201844</v>
      </c>
      <c r="K604" s="25">
        <f t="shared" si="524"/>
        <v>21655.303514578787</v>
      </c>
      <c r="L604" s="25"/>
      <c r="N604" s="25">
        <f>'Combined Retirement'!$C$18/12</f>
        <v>40940.569999999992</v>
      </c>
      <c r="O604" s="25">
        <f t="shared" si="525"/>
        <v>10889.636755601023</v>
      </c>
      <c r="P604" s="25">
        <f t="shared" si="526"/>
        <v>30050.93324439897</v>
      </c>
      <c r="Q604" s="25">
        <f t="array" aca="1" ref="Q604" ca="1">INDEX('Isaac 401k'!L:L,MATCH('Retirement Calculator'!A604,'Isaac 401k'!N:N,0),0)</f>
        <v>-1557232.1607074905</v>
      </c>
      <c r="R604" s="25">
        <f t="array" aca="1" ref="R604" ca="1">INDEX('Lorri 401b'!L:L,MATCH('Retirement Calculator'!A604,'Lorri 401b'!N:N,0),0)</f>
        <v>-1870331.9596968945</v>
      </c>
      <c r="S604" s="25">
        <f t="shared" ca="1" si="527"/>
        <v>-3427564.120404385</v>
      </c>
    </row>
    <row r="605" spans="1:19" ht="15.75" customHeight="1" x14ac:dyDescent="0.3">
      <c r="A605" s="37">
        <v>69368</v>
      </c>
      <c r="B605" s="398">
        <f t="shared" ref="B605:C605" si="611">($A605-B$9)/365.25</f>
        <v>108.04106776180699</v>
      </c>
      <c r="C605" s="398">
        <f t="shared" si="611"/>
        <v>103.43052703627653</v>
      </c>
      <c r="E605" s="25">
        <f>IF(C605&gt;$B$7,0,'Combined Retirement'!$D$13/12)</f>
        <v>0</v>
      </c>
      <c r="F605" s="25">
        <f>IF(H605=0,'Combined Retirement'!$D$32,0)+'Combined Retirement'!$B$24</f>
        <v>2870.372285649099</v>
      </c>
      <c r="G605" s="25">
        <f>'Combined Retirement'!$C$24</f>
        <v>3254.2644699519233</v>
      </c>
      <c r="H605" s="25">
        <f>IF(B605&lt;62,0,'Combined Retirement'!$I$14)</f>
        <v>2345</v>
      </c>
      <c r="I605" s="25">
        <f>IF(C605&lt;62,0,'Combined Retirement'!$I$13)</f>
        <v>2420</v>
      </c>
      <c r="J605" s="25">
        <f t="shared" si="523"/>
        <v>8395.6297298201844</v>
      </c>
      <c r="K605" s="25">
        <f t="shared" si="524"/>
        <v>21655.303514578787</v>
      </c>
      <c r="L605" s="25"/>
      <c r="N605" s="25">
        <f>'Combined Retirement'!$C$18/12</f>
        <v>40940.569999999992</v>
      </c>
      <c r="O605" s="25">
        <f t="shared" si="525"/>
        <v>10889.636755601023</v>
      </c>
      <c r="P605" s="25">
        <f t="shared" si="526"/>
        <v>30050.93324439897</v>
      </c>
      <c r="Q605" s="25">
        <f t="array" aca="1" ref="Q605" ca="1">INDEX('Isaac 401k'!L:L,MATCH('Retirement Calculator'!A605,'Isaac 401k'!N:N,0),0)</f>
        <v>-1572151.2395641329</v>
      </c>
      <c r="R605" s="25">
        <f t="array" aca="1" ref="R605" ca="1">INDEX('Lorri 401b'!L:L,MATCH('Retirement Calculator'!A605,'Lorri 401b'!N:N,0),0)</f>
        <v>-1899870.5434748544</v>
      </c>
      <c r="S605" s="25">
        <f t="shared" ca="1" si="527"/>
        <v>-3472021.7830389873</v>
      </c>
    </row>
    <row r="606" spans="1:19" ht="15.75" customHeight="1" x14ac:dyDescent="0.3">
      <c r="A606" s="37">
        <v>69399</v>
      </c>
      <c r="B606" s="398">
        <f t="shared" ref="B606:C606" si="612">($A606-B$9)/365.25</f>
        <v>108.12594113620807</v>
      </c>
      <c r="C606" s="398">
        <f t="shared" si="612"/>
        <v>103.51540041067761</v>
      </c>
      <c r="E606" s="25">
        <f>IF(C606&gt;$B$7,0,'Combined Retirement'!$D$13/12)</f>
        <v>0</v>
      </c>
      <c r="F606" s="25">
        <f>IF(H606=0,'Combined Retirement'!$D$32,0)+'Combined Retirement'!$B$24</f>
        <v>2870.372285649099</v>
      </c>
      <c r="G606" s="25">
        <f>'Combined Retirement'!$C$24</f>
        <v>3254.2644699519233</v>
      </c>
      <c r="H606" s="25">
        <f>IF(B606&lt;62,0,'Combined Retirement'!$I$14)</f>
        <v>2345</v>
      </c>
      <c r="I606" s="25">
        <f>IF(C606&lt;62,0,'Combined Retirement'!$I$13)</f>
        <v>2420</v>
      </c>
      <c r="J606" s="25">
        <f t="shared" si="523"/>
        <v>8395.6297298201844</v>
      </c>
      <c r="K606" s="25">
        <f t="shared" si="524"/>
        <v>21655.303514578787</v>
      </c>
      <c r="L606" s="25"/>
      <c r="N606" s="25">
        <f>'Combined Retirement'!$C$18/12</f>
        <v>40940.569999999992</v>
      </c>
      <c r="O606" s="25">
        <f t="shared" si="525"/>
        <v>10889.636755601023</v>
      </c>
      <c r="P606" s="25">
        <f t="shared" si="526"/>
        <v>30050.93324439897</v>
      </c>
      <c r="Q606" s="25">
        <f t="array" aca="1" ref="Q606" ca="1">INDEX('Isaac 401k'!L:L,MATCH('Retirement Calculator'!A606,'Isaac 401k'!N:N,0),0)</f>
        <v>-1587132.4812493445</v>
      </c>
      <c r="R606" s="25">
        <f t="array" aca="1" ref="R606" ca="1">INDEX('Lorri 401b'!L:L,MATCH('Retirement Calculator'!A606,'Lorri 401b'!N:N,0),0)</f>
        <v>-1929532.2046852226</v>
      </c>
      <c r="S606" s="25">
        <f t="shared" ca="1" si="527"/>
        <v>-3516664.6859345669</v>
      </c>
    </row>
    <row r="607" spans="1:19" ht="15.75" customHeight="1" x14ac:dyDescent="0.3">
      <c r="A607" s="37">
        <v>69430</v>
      </c>
      <c r="B607" s="398">
        <f t="shared" ref="B607:C607" si="613">($A607-B$9)/365.25</f>
        <v>108.21081451060917</v>
      </c>
      <c r="C607" s="398">
        <f t="shared" si="613"/>
        <v>103.60027378507871</v>
      </c>
      <c r="E607" s="25">
        <f>IF(C607&gt;$B$7,0,'Combined Retirement'!$D$13/12)</f>
        <v>0</v>
      </c>
      <c r="F607" s="25">
        <f>IF(H607=0,'Combined Retirement'!$D$32,0)+'Combined Retirement'!$B$24</f>
        <v>2870.372285649099</v>
      </c>
      <c r="G607" s="25">
        <f>'Combined Retirement'!$C$24</f>
        <v>3254.2644699519233</v>
      </c>
      <c r="H607" s="25">
        <f>IF(B607&lt;62,0,'Combined Retirement'!$I$14)</f>
        <v>2345</v>
      </c>
      <c r="I607" s="25">
        <f>IF(C607&lt;62,0,'Combined Retirement'!$I$13)</f>
        <v>2420</v>
      </c>
      <c r="J607" s="25">
        <f t="shared" si="523"/>
        <v>8395.6297298201844</v>
      </c>
      <c r="K607" s="25">
        <f t="shared" si="524"/>
        <v>21655.303514578787</v>
      </c>
      <c r="L607" s="25"/>
      <c r="N607" s="25">
        <f>'Combined Retirement'!$C$18/12</f>
        <v>40940.569999999992</v>
      </c>
      <c r="O607" s="25">
        <f t="shared" si="525"/>
        <v>10889.636755601023</v>
      </c>
      <c r="P607" s="25">
        <f t="shared" si="526"/>
        <v>30050.93324439897</v>
      </c>
      <c r="Q607" s="25">
        <f t="array" aca="1" ref="Q607" ca="1">INDEX('Isaac 401k'!L:L,MATCH('Retirement Calculator'!A607,'Isaac 401k'!N:N,0),0)</f>
        <v>-1602176.1447749112</v>
      </c>
      <c r="R607" s="25">
        <f t="array" aca="1" ref="R607" ca="1">INDEX('Lorri 401b'!L:L,MATCH('Retirement Calculator'!A607,'Lorri 401b'!N:N,0),0)</f>
        <v>-1959317.456150634</v>
      </c>
      <c r="S607" s="25">
        <f t="shared" ca="1" si="527"/>
        <v>-3561493.6009255452</v>
      </c>
    </row>
    <row r="608" spans="1:19" ht="15.75" customHeight="1" x14ac:dyDescent="0.3">
      <c r="A608" s="37">
        <v>69458</v>
      </c>
      <c r="B608" s="398">
        <f t="shared" ref="B608:C608" si="614">($A608-B$9)/365.25</f>
        <v>108.28747433264887</v>
      </c>
      <c r="C608" s="398">
        <f t="shared" si="614"/>
        <v>103.67693360711841</v>
      </c>
      <c r="E608" s="25">
        <f>IF(C608&gt;$B$7,0,'Combined Retirement'!$D$13/12)</f>
        <v>0</v>
      </c>
      <c r="F608" s="25">
        <f>IF(H608=0,'Combined Retirement'!$D$32,0)+'Combined Retirement'!$B$24</f>
        <v>2870.372285649099</v>
      </c>
      <c r="G608" s="25">
        <f>'Combined Retirement'!$C$24</f>
        <v>3254.2644699519233</v>
      </c>
      <c r="H608" s="25">
        <f>IF(B608&lt;62,0,'Combined Retirement'!$I$14)</f>
        <v>2345</v>
      </c>
      <c r="I608" s="25">
        <f>IF(C608&lt;62,0,'Combined Retirement'!$I$13)</f>
        <v>2420</v>
      </c>
      <c r="J608" s="25">
        <f t="shared" si="523"/>
        <v>8395.6297298201844</v>
      </c>
      <c r="K608" s="25">
        <f t="shared" si="524"/>
        <v>21655.303514578787</v>
      </c>
      <c r="L608" s="25"/>
      <c r="N608" s="25">
        <f>'Combined Retirement'!$C$18/12</f>
        <v>40940.569999999992</v>
      </c>
      <c r="O608" s="25">
        <f t="shared" si="525"/>
        <v>10889.636755601023</v>
      </c>
      <c r="P608" s="25">
        <f t="shared" si="526"/>
        <v>30050.93324439897</v>
      </c>
      <c r="Q608" s="25">
        <f t="array" aca="1" ref="Q608" ca="1">INDEX('Isaac 401k'!L:L,MATCH('Retirement Calculator'!A608,'Isaac 401k'!N:N,0),0)</f>
        <v>-1617282.4902318344</v>
      </c>
      <c r="R608" s="25">
        <f t="array" aca="1" ref="R608" ca="1">INDEX('Lorri 401b'!L:L,MATCH('Retirement Calculator'!A608,'Lorri 401b'!N:N,0),0)</f>
        <v>-1989226.8128304845</v>
      </c>
      <c r="S608" s="25">
        <f t="shared" ca="1" si="527"/>
        <v>-3606509.3030623188</v>
      </c>
    </row>
    <row r="609" spans="1:19" ht="15.75" customHeight="1" x14ac:dyDescent="0.3">
      <c r="A609" s="37">
        <v>69489</v>
      </c>
      <c r="B609" s="398">
        <f t="shared" ref="B609:C609" si="615">($A609-B$9)/365.25</f>
        <v>108.37234770704997</v>
      </c>
      <c r="C609" s="398">
        <f t="shared" si="615"/>
        <v>103.76180698151951</v>
      </c>
      <c r="E609" s="25">
        <f>IF(C609&gt;$B$7,0,'Combined Retirement'!$D$13/12)</f>
        <v>0</v>
      </c>
      <c r="F609" s="25">
        <f>IF(H609=0,'Combined Retirement'!$D$32,0)+'Combined Retirement'!$B$24</f>
        <v>2870.372285649099</v>
      </c>
      <c r="G609" s="25">
        <f>'Combined Retirement'!$C$24</f>
        <v>3254.2644699519233</v>
      </c>
      <c r="H609" s="25">
        <f>IF(B609&lt;62,0,'Combined Retirement'!$I$14)</f>
        <v>2345</v>
      </c>
      <c r="I609" s="25">
        <f>IF(C609&lt;62,0,'Combined Retirement'!$I$13)</f>
        <v>2420</v>
      </c>
      <c r="J609" s="25">
        <f t="shared" si="523"/>
        <v>8395.6297298201844</v>
      </c>
      <c r="K609" s="25">
        <f t="shared" si="524"/>
        <v>21655.303514578787</v>
      </c>
      <c r="L609" s="25"/>
      <c r="N609" s="25">
        <f>'Combined Retirement'!$C$18/12</f>
        <v>40940.569999999992</v>
      </c>
      <c r="O609" s="25">
        <f t="shared" si="525"/>
        <v>10889.636755601023</v>
      </c>
      <c r="P609" s="25">
        <f t="shared" si="526"/>
        <v>30050.93324439897</v>
      </c>
      <c r="Q609" s="25">
        <f t="array" aca="1" ref="Q609" ca="1">INDEX('Isaac 401k'!L:L,MATCH('Retirement Calculator'!A609,'Isaac 401k'!N:N,0),0)</f>
        <v>-1632451.7787948281</v>
      </c>
      <c r="R609" s="25">
        <f t="array" aca="1" ref="R609" ca="1">INDEX('Lorri 401b'!L:L,MATCH('Retirement Calculator'!A609,'Lorri 401b'!N:N,0),0)</f>
        <v>-2019260.7918298345</v>
      </c>
      <c r="S609" s="25">
        <f t="shared" ca="1" si="527"/>
        <v>-3651712.5706246626</v>
      </c>
    </row>
    <row r="610" spans="1:19" ht="15.75" customHeight="1" x14ac:dyDescent="0.3">
      <c r="A610" s="37">
        <v>69519</v>
      </c>
      <c r="B610" s="398">
        <f t="shared" ref="B610:C610" si="616">($A610-B$9)/365.25</f>
        <v>108.45448323066393</v>
      </c>
      <c r="C610" s="398">
        <f t="shared" si="616"/>
        <v>103.84394250513347</v>
      </c>
      <c r="E610" s="25">
        <f>IF(C610&gt;$B$7,0,'Combined Retirement'!$D$13/12)</f>
        <v>0</v>
      </c>
      <c r="F610" s="25">
        <f>IF(H610=0,'Combined Retirement'!$D$32,0)+'Combined Retirement'!$B$24</f>
        <v>2870.372285649099</v>
      </c>
      <c r="G610" s="25">
        <f>'Combined Retirement'!$C$24</f>
        <v>3254.2644699519233</v>
      </c>
      <c r="H610" s="25">
        <f>IF(B610&lt;62,0,'Combined Retirement'!$I$14)</f>
        <v>2345</v>
      </c>
      <c r="I610" s="25">
        <f>IF(C610&lt;62,0,'Combined Retirement'!$I$13)</f>
        <v>2420</v>
      </c>
      <c r="J610" s="25">
        <f t="shared" si="523"/>
        <v>8395.6297298201844</v>
      </c>
      <c r="K610" s="25">
        <f t="shared" si="524"/>
        <v>21655.303514578787</v>
      </c>
      <c r="L610" s="25"/>
      <c r="N610" s="25">
        <f>'Combined Retirement'!$C$18/12</f>
        <v>40940.569999999992</v>
      </c>
      <c r="O610" s="25">
        <f t="shared" si="525"/>
        <v>10889.636755601023</v>
      </c>
      <c r="P610" s="25">
        <f t="shared" si="526"/>
        <v>30050.93324439897</v>
      </c>
      <c r="Q610" s="25">
        <f t="array" aca="1" ref="Q610" ca="1">INDEX('Isaac 401k'!L:L,MATCH('Retirement Calculator'!A610,'Isaac 401k'!N:N,0),0)</f>
        <v>-1647684.2727268343</v>
      </c>
      <c r="R610" s="25">
        <f t="array" aca="1" ref="R610" ca="1">INDEX('Lorri 401b'!L:L,MATCH('Retirement Calculator'!A610,'Lorri 401b'!N:N,0),0)</f>
        <v>-2049419.9124083484</v>
      </c>
      <c r="S610" s="25">
        <f t="shared" ca="1" si="527"/>
        <v>-3697104.1851351829</v>
      </c>
    </row>
    <row r="611" spans="1:19" ht="15.75" customHeight="1" x14ac:dyDescent="0.3">
      <c r="A611" s="37">
        <v>69550</v>
      </c>
      <c r="B611" s="398">
        <f t="shared" ref="B611:C611" si="617">($A611-B$9)/365.25</f>
        <v>108.53935660506502</v>
      </c>
      <c r="C611" s="398">
        <f t="shared" si="617"/>
        <v>103.92881587953457</v>
      </c>
      <c r="E611" s="25">
        <f>IF(C611&gt;$B$7,0,'Combined Retirement'!$D$13/12)</f>
        <v>0</v>
      </c>
      <c r="F611" s="25">
        <f>IF(H611=0,'Combined Retirement'!$D$32,0)+'Combined Retirement'!$B$24</f>
        <v>2870.372285649099</v>
      </c>
      <c r="G611" s="25">
        <f>'Combined Retirement'!$C$24</f>
        <v>3254.2644699519233</v>
      </c>
      <c r="H611" s="25">
        <f>IF(B611&lt;62,0,'Combined Retirement'!$I$14)</f>
        <v>2345</v>
      </c>
      <c r="I611" s="25">
        <f>IF(C611&lt;62,0,'Combined Retirement'!$I$13)</f>
        <v>2420</v>
      </c>
      <c r="J611" s="25">
        <f t="shared" si="523"/>
        <v>8395.6297298201844</v>
      </c>
      <c r="K611" s="25">
        <f t="shared" si="524"/>
        <v>21655.303514578787</v>
      </c>
      <c r="L611" s="25"/>
      <c r="N611" s="25">
        <f>'Combined Retirement'!$C$18/12</f>
        <v>40940.569999999992</v>
      </c>
      <c r="O611" s="25">
        <f t="shared" si="525"/>
        <v>10889.636755601023</v>
      </c>
      <c r="P611" s="25">
        <f t="shared" si="526"/>
        <v>30050.93324439897</v>
      </c>
      <c r="Q611" s="25">
        <f t="array" aca="1" ref="Q611" ca="1">INDEX('Isaac 401k'!L:L,MATCH('Retirement Calculator'!A611,'Isaac 401k'!N:N,0),0)</f>
        <v>-1662980.2353835572</v>
      </c>
      <c r="R611" s="25">
        <f t="array" aca="1" ref="R611" ca="1">INDEX('Lorri 401b'!L:L,MATCH('Retirement Calculator'!A611,'Lorri 401b'!N:N,0),0)</f>
        <v>-2079704.6959892728</v>
      </c>
      <c r="S611" s="25">
        <f t="shared" ca="1" si="527"/>
        <v>-3742684.9313728297</v>
      </c>
    </row>
    <row r="612" spans="1:19" ht="15.75" customHeight="1" x14ac:dyDescent="0.3">
      <c r="A612" s="37">
        <v>69580</v>
      </c>
      <c r="B612" s="398">
        <f t="shared" ref="B612:C612" si="618">($A612-B$9)/365.25</f>
        <v>108.62149212867898</v>
      </c>
      <c r="C612" s="398">
        <f t="shared" si="618"/>
        <v>104.01095140314852</v>
      </c>
      <c r="E612" s="25">
        <f>IF(C612&gt;$B$7,0,'Combined Retirement'!$D$13/12)</f>
        <v>0</v>
      </c>
      <c r="F612" s="25">
        <f>IF(H612=0,'Combined Retirement'!$D$32,0)+'Combined Retirement'!$B$24</f>
        <v>2870.372285649099</v>
      </c>
      <c r="G612" s="25">
        <f>'Combined Retirement'!$C$24</f>
        <v>3254.2644699519233</v>
      </c>
      <c r="H612" s="25">
        <f>IF(B612&lt;62,0,'Combined Retirement'!$I$14)</f>
        <v>2345</v>
      </c>
      <c r="I612" s="25">
        <f>IF(C612&lt;62,0,'Combined Retirement'!$I$13)</f>
        <v>2420</v>
      </c>
      <c r="J612" s="25">
        <f t="shared" si="523"/>
        <v>8395.6297298201844</v>
      </c>
      <c r="K612" s="25">
        <f t="shared" si="524"/>
        <v>21655.303514578787</v>
      </c>
      <c r="L612" s="25"/>
      <c r="N612" s="25">
        <f>'Combined Retirement'!$C$18/12</f>
        <v>40940.569999999992</v>
      </c>
      <c r="O612" s="25">
        <f t="shared" si="525"/>
        <v>10889.636755601023</v>
      </c>
      <c r="P612" s="25">
        <f t="shared" si="526"/>
        <v>30050.93324439897</v>
      </c>
      <c r="Q612" s="25">
        <f t="array" aca="1" ref="Q612" ca="1">INDEX('Isaac 401k'!L:L,MATCH('Retirement Calculator'!A612,'Isaac 401k'!N:N,0),0)</f>
        <v>-1678339.9312180164</v>
      </c>
      <c r="R612" s="25">
        <f t="array" aca="1" ref="R612" ca="1">INDEX('Lorri 401b'!L:L,MATCH('Retirement Calculator'!A612,'Lorri 401b'!N:N,0),0)</f>
        <v>-2110115.6661684508</v>
      </c>
      <c r="S612" s="25">
        <f t="shared" ca="1" si="527"/>
        <v>-3788455.5973864673</v>
      </c>
    </row>
    <row r="613" spans="1:19" ht="15.75" customHeight="1" x14ac:dyDescent="0.3">
      <c r="A613" s="37">
        <v>69611</v>
      </c>
      <c r="B613" s="398">
        <f t="shared" ref="B613:C613" si="619">($A613-B$9)/365.25</f>
        <v>108.70636550308008</v>
      </c>
      <c r="C613" s="398">
        <f t="shared" si="619"/>
        <v>104.09582477754962</v>
      </c>
      <c r="E613" s="25">
        <f>IF(C613&gt;$B$7,0,'Combined Retirement'!$D$13/12)</f>
        <v>0</v>
      </c>
      <c r="F613" s="25">
        <f>IF(H613=0,'Combined Retirement'!$D$32,0)+'Combined Retirement'!$B$24</f>
        <v>2870.372285649099</v>
      </c>
      <c r="G613" s="25">
        <f>'Combined Retirement'!$C$24</f>
        <v>3254.2644699519233</v>
      </c>
      <c r="H613" s="25">
        <f>IF(B613&lt;62,0,'Combined Retirement'!$I$14)</f>
        <v>2345</v>
      </c>
      <c r="I613" s="25">
        <f>IF(C613&lt;62,0,'Combined Retirement'!$I$13)</f>
        <v>2420</v>
      </c>
      <c r="J613" s="25">
        <f t="shared" si="523"/>
        <v>8395.6297298201844</v>
      </c>
      <c r="K613" s="25">
        <f t="shared" si="524"/>
        <v>21655.303514578787</v>
      </c>
      <c r="L613" s="25"/>
      <c r="N613" s="25">
        <f>'Combined Retirement'!$C$18/12</f>
        <v>40940.569999999992</v>
      </c>
      <c r="O613" s="25">
        <f t="shared" si="525"/>
        <v>10889.636755601023</v>
      </c>
      <c r="P613" s="25">
        <f t="shared" si="526"/>
        <v>30050.93324439897</v>
      </c>
      <c r="Q613" s="25">
        <f t="array" aca="1" ref="Q613" ca="1">INDEX('Isaac 401k'!L:L,MATCH('Retirement Calculator'!A613,'Isaac 401k'!N:N,0),0)</f>
        <v>-1693763.6257851194</v>
      </c>
      <c r="R613" s="25">
        <f t="array" aca="1" ref="R613" ca="1">INDEX('Lorri 401b'!L:L,MATCH('Retirement Calculator'!A613,'Lorri 401b'!N:N,0),0)</f>
        <v>-2140653.3487233757</v>
      </c>
      <c r="S613" s="25">
        <f t="shared" ca="1" si="527"/>
        <v>-3834416.9745084951</v>
      </c>
    </row>
    <row r="614" spans="1:19" ht="15.75" customHeight="1" x14ac:dyDescent="0.3">
      <c r="A614" s="37">
        <v>69642</v>
      </c>
      <c r="B614" s="398">
        <f t="shared" ref="B614:C614" si="620">($A614-B$9)/365.25</f>
        <v>108.79123887748118</v>
      </c>
      <c r="C614" s="398">
        <f t="shared" si="620"/>
        <v>104.18069815195072</v>
      </c>
      <c r="E614" s="25">
        <f>IF(C614&gt;$B$7,0,'Combined Retirement'!$D$13/12)</f>
        <v>0</v>
      </c>
      <c r="F614" s="25">
        <f>IF(H614=0,'Combined Retirement'!$D$32,0)+'Combined Retirement'!$B$24</f>
        <v>2870.372285649099</v>
      </c>
      <c r="G614" s="25">
        <f>'Combined Retirement'!$C$24</f>
        <v>3254.2644699519233</v>
      </c>
      <c r="H614" s="25">
        <f>IF(B614&lt;62,0,'Combined Retirement'!$I$14)</f>
        <v>2345</v>
      </c>
      <c r="I614" s="25">
        <f>IF(C614&lt;62,0,'Combined Retirement'!$I$13)</f>
        <v>2420</v>
      </c>
      <c r="J614" s="25">
        <f t="shared" si="523"/>
        <v>8395.6297298201844</v>
      </c>
      <c r="K614" s="25">
        <f t="shared" si="524"/>
        <v>21655.303514578787</v>
      </c>
      <c r="L614" s="25"/>
      <c r="N614" s="25">
        <f>'Combined Retirement'!$C$18/12</f>
        <v>40940.569999999992</v>
      </c>
      <c r="O614" s="25">
        <f t="shared" si="525"/>
        <v>10889.636755601023</v>
      </c>
      <c r="P614" s="25">
        <f t="shared" si="526"/>
        <v>30050.93324439897</v>
      </c>
      <c r="Q614" s="25">
        <f t="array" aca="1" ref="Q614" ca="1">INDEX('Isaac 401k'!L:L,MATCH('Retirement Calculator'!A614,'Isaac 401k'!N:N,0),0)</f>
        <v>-1709251.5857462517</v>
      </c>
      <c r="R614" s="25">
        <f t="array" aca="1" ref="R614" ca="1">INDEX('Lorri 401b'!L:L,MATCH('Retirement Calculator'!A614,'Lorri 401b'!N:N,0),0)</f>
        <v>-2171318.2716222792</v>
      </c>
      <c r="S614" s="25">
        <f t="shared" ca="1" si="527"/>
        <v>-3880569.8573685307</v>
      </c>
    </row>
    <row r="615" spans="1:19" ht="15.75" customHeight="1" x14ac:dyDescent="0.3">
      <c r="A615" s="37">
        <v>69672</v>
      </c>
      <c r="B615" s="398">
        <f t="shared" ref="B615:C615" si="621">($A615-B$9)/365.25</f>
        <v>108.87337440109513</v>
      </c>
      <c r="C615" s="398">
        <f t="shared" si="621"/>
        <v>104.26283367556468</v>
      </c>
      <c r="E615" s="25">
        <f>IF(C615&gt;$B$7,0,'Combined Retirement'!$D$13/12)</f>
        <v>0</v>
      </c>
      <c r="F615" s="25">
        <f>IF(H615=0,'Combined Retirement'!$D$32,0)+'Combined Retirement'!$B$24</f>
        <v>2870.372285649099</v>
      </c>
      <c r="G615" s="25">
        <f>'Combined Retirement'!$C$24</f>
        <v>3254.2644699519233</v>
      </c>
      <c r="H615" s="25">
        <f>IF(B615&lt;62,0,'Combined Retirement'!$I$14)</f>
        <v>2345</v>
      </c>
      <c r="I615" s="25">
        <f>IF(C615&lt;62,0,'Combined Retirement'!$I$13)</f>
        <v>2420</v>
      </c>
      <c r="J615" s="25">
        <f t="shared" si="523"/>
        <v>8395.6297298201844</v>
      </c>
      <c r="K615" s="25">
        <f t="shared" si="524"/>
        <v>21655.303514578787</v>
      </c>
      <c r="L615" s="25"/>
      <c r="N615" s="25">
        <f>'Combined Retirement'!$C$18/12</f>
        <v>40940.569999999992</v>
      </c>
      <c r="O615" s="25">
        <f t="shared" si="525"/>
        <v>10889.636755601023</v>
      </c>
      <c r="P615" s="25">
        <f t="shared" si="526"/>
        <v>30050.93324439897</v>
      </c>
      <c r="Q615" s="25">
        <f t="array" aca="1" ref="Q615" ca="1">INDEX('Isaac 401k'!L:L,MATCH('Retirement Calculator'!A615,'Isaac 401k'!N:N,0),0)</f>
        <v>-1724804.0788738888</v>
      </c>
      <c r="R615" s="25">
        <f t="array" aca="1" ref="R615" ca="1">INDEX('Lorri 401b'!L:L,MATCH('Retirement Calculator'!A615,'Lorri 401b'!N:N,0),0)</f>
        <v>-2202110.9650332616</v>
      </c>
      <c r="S615" s="25">
        <f t="shared" ca="1" si="527"/>
        <v>-3926915.0439071506</v>
      </c>
    </row>
    <row r="616" spans="1:19" ht="15.75" customHeight="1" x14ac:dyDescent="0.3">
      <c r="A616" s="37">
        <v>69703</v>
      </c>
      <c r="B616" s="398">
        <f t="shared" ref="B616:C616" si="622">($A616-B$9)/365.25</f>
        <v>108.95824777549623</v>
      </c>
      <c r="C616" s="398">
        <f t="shared" si="622"/>
        <v>104.34770704996578</v>
      </c>
      <c r="E616" s="25">
        <f>IF(C616&gt;$B$7,0,'Combined Retirement'!$D$13/12)</f>
        <v>0</v>
      </c>
      <c r="F616" s="25">
        <f>IF(H616=0,'Combined Retirement'!$D$32,0)+'Combined Retirement'!$B$24</f>
        <v>2870.372285649099</v>
      </c>
      <c r="G616" s="25">
        <f>'Combined Retirement'!$C$24</f>
        <v>3254.2644699519233</v>
      </c>
      <c r="H616" s="25">
        <f>IF(B616&lt;62,0,'Combined Retirement'!$I$14)</f>
        <v>2345</v>
      </c>
      <c r="I616" s="25">
        <f>IF(C616&lt;62,0,'Combined Retirement'!$I$13)</f>
        <v>2420</v>
      </c>
      <c r="J616" s="25">
        <f t="shared" si="523"/>
        <v>8395.6297298201844</v>
      </c>
      <c r="K616" s="25">
        <f t="shared" si="524"/>
        <v>21655.303514578787</v>
      </c>
      <c r="L616" s="25"/>
      <c r="N616" s="25">
        <f>'Combined Retirement'!$C$18/12</f>
        <v>40940.569999999992</v>
      </c>
      <c r="O616" s="25">
        <f t="shared" si="525"/>
        <v>10889.636755601023</v>
      </c>
      <c r="P616" s="25">
        <f t="shared" si="526"/>
        <v>30050.93324439897</v>
      </c>
      <c r="Q616" s="25">
        <f t="array" aca="1" ref="Q616" ca="1">INDEX('Isaac 401k'!L:L,MATCH('Retirement Calculator'!A616,'Isaac 401k'!N:N,0),0)</f>
        <v>-1740421.3740562245</v>
      </c>
      <c r="R616" s="25">
        <f t="array" aca="1" ref="R616" ca="1">INDEX('Lorri 401b'!L:L,MATCH('Retirement Calculator'!A616,'Lorri 401b'!N:N,0),0)</f>
        <v>-2233031.9613334564</v>
      </c>
      <c r="S616" s="25">
        <f t="shared" ca="1" si="527"/>
        <v>-3973453.3353896812</v>
      </c>
    </row>
    <row r="617" spans="1:19" ht="15.75" customHeight="1" x14ac:dyDescent="0.3">
      <c r="A617" s="37">
        <v>69733</v>
      </c>
      <c r="B617" s="398">
        <f t="shared" ref="B617:C617" si="623">($A617-B$9)/365.25</f>
        <v>109.0403832991102</v>
      </c>
      <c r="C617" s="398">
        <f t="shared" si="623"/>
        <v>104.42984257357973</v>
      </c>
      <c r="E617" s="25">
        <f>IF(C617&gt;$B$7,0,'Combined Retirement'!$D$13/12)</f>
        <v>0</v>
      </c>
      <c r="F617" s="25">
        <f>IF(H617=0,'Combined Retirement'!$D$32,0)+'Combined Retirement'!$B$24</f>
        <v>2870.372285649099</v>
      </c>
      <c r="G617" s="25">
        <f>'Combined Retirement'!$C$24</f>
        <v>3254.2644699519233</v>
      </c>
      <c r="H617" s="25">
        <f>IF(B617&lt;62,0,'Combined Retirement'!$I$14)</f>
        <v>2345</v>
      </c>
      <c r="I617" s="25">
        <f>IF(C617&lt;62,0,'Combined Retirement'!$I$13)</f>
        <v>2420</v>
      </c>
      <c r="J617" s="25">
        <f t="shared" si="523"/>
        <v>8395.6297298201844</v>
      </c>
      <c r="K617" s="25">
        <f t="shared" si="524"/>
        <v>21655.303514578787</v>
      </c>
      <c r="L617" s="25"/>
      <c r="N617" s="25">
        <f>'Combined Retirement'!$C$18/12</f>
        <v>40940.569999999992</v>
      </c>
      <c r="O617" s="25">
        <f t="shared" si="525"/>
        <v>10889.636755601023</v>
      </c>
      <c r="P617" s="25">
        <f t="shared" si="526"/>
        <v>30050.93324439897</v>
      </c>
      <c r="Q617" s="25">
        <f t="array" aca="1" ref="Q617" ca="1">INDEX('Isaac 401k'!L:L,MATCH('Retirement Calculator'!A617,'Isaac 401k'!N:N,0),0)</f>
        <v>-1756103.7413018199</v>
      </c>
      <c r="R617" s="25">
        <f t="array" aca="1" ref="R617" ca="1">INDEX('Lorri 401b'!L:L,MATCH('Retirement Calculator'!A617,'Lorri 401b'!N:N,0),0)</f>
        <v>-2264081.7951182355</v>
      </c>
      <c r="S617" s="25">
        <f t="shared" ca="1" si="527"/>
        <v>-4020185.5364200557</v>
      </c>
    </row>
    <row r="618" spans="1:19" ht="15.75" customHeight="1" x14ac:dyDescent="0.3">
      <c r="A618" s="37">
        <v>69764</v>
      </c>
      <c r="B618" s="398">
        <f t="shared" ref="B618:C618" si="624">($A618-B$9)/365.25</f>
        <v>109.12525667351129</v>
      </c>
      <c r="C618" s="398">
        <f t="shared" si="624"/>
        <v>104.51471594798083</v>
      </c>
      <c r="E618" s="25">
        <f>IF(C618&gt;$B$7,0,'Combined Retirement'!$D$13/12)</f>
        <v>0</v>
      </c>
      <c r="F618" s="25">
        <f>IF(H618=0,'Combined Retirement'!$D$32,0)+'Combined Retirement'!$B$24</f>
        <v>2870.372285649099</v>
      </c>
      <c r="G618" s="25">
        <f>'Combined Retirement'!$C$24</f>
        <v>3254.2644699519233</v>
      </c>
      <c r="H618" s="25">
        <f>IF(B618&lt;62,0,'Combined Retirement'!$I$14)</f>
        <v>2345</v>
      </c>
      <c r="I618" s="25">
        <f>IF(C618&lt;62,0,'Combined Retirement'!$I$13)</f>
        <v>2420</v>
      </c>
      <c r="J618" s="25">
        <f t="shared" si="523"/>
        <v>8395.6297298201844</v>
      </c>
      <c r="K618" s="25">
        <f t="shared" si="524"/>
        <v>21655.303514578787</v>
      </c>
      <c r="L618" s="25"/>
      <c r="N618" s="25">
        <f>'Combined Retirement'!$C$18/12</f>
        <v>40940.569999999992</v>
      </c>
      <c r="O618" s="25">
        <f t="shared" si="525"/>
        <v>10889.636755601023</v>
      </c>
      <c r="P618" s="25">
        <f t="shared" si="526"/>
        <v>30050.93324439897</v>
      </c>
      <c r="Q618" s="25">
        <f t="array" aca="1" ref="Q618" ca="1">INDEX('Isaac 401k'!L:L,MATCH('Retirement Calculator'!A618,'Isaac 401k'!N:N,0),0)</f>
        <v>-1771851.4517442719</v>
      </c>
      <c r="R618" s="25">
        <f t="array" aca="1" ref="R618" ca="1">INDEX('Lorri 401b'!L:L,MATCH('Retirement Calculator'!A618,'Lorri 401b'!N:N,0),0)</f>
        <v>-2295261.003210451</v>
      </c>
      <c r="S618" s="25">
        <f t="shared" ca="1" si="527"/>
        <v>-4067112.4549547229</v>
      </c>
    </row>
    <row r="619" spans="1:19" ht="15.75" customHeight="1" x14ac:dyDescent="0.3">
      <c r="A619" s="37">
        <v>69795</v>
      </c>
      <c r="B619" s="398">
        <f t="shared" ref="B619:C619" si="625">($A619-B$9)/365.25</f>
        <v>109.21013004791239</v>
      </c>
      <c r="C619" s="398">
        <f t="shared" si="625"/>
        <v>104.59958932238193</v>
      </c>
      <c r="E619" s="25">
        <f>IF(C619&gt;$B$7,0,'Combined Retirement'!$D$13/12)</f>
        <v>0</v>
      </c>
      <c r="F619" s="25">
        <f>IF(H619=0,'Combined Retirement'!$D$32,0)+'Combined Retirement'!$B$24</f>
        <v>2870.372285649099</v>
      </c>
      <c r="G619" s="25">
        <f>'Combined Retirement'!$C$24</f>
        <v>3254.2644699519233</v>
      </c>
      <c r="H619" s="25">
        <f>IF(B619&lt;62,0,'Combined Retirement'!$I$14)</f>
        <v>2345</v>
      </c>
      <c r="I619" s="25">
        <f>IF(C619&lt;62,0,'Combined Retirement'!$I$13)</f>
        <v>2420</v>
      </c>
      <c r="J619" s="25">
        <f t="shared" si="523"/>
        <v>8395.6297298201844</v>
      </c>
      <c r="K619" s="25">
        <f t="shared" si="524"/>
        <v>21655.303514578787</v>
      </c>
      <c r="L619" s="25"/>
      <c r="N619" s="25">
        <f>'Combined Retirement'!$C$18/12</f>
        <v>40940.569999999992</v>
      </c>
      <c r="O619" s="25">
        <f t="shared" si="525"/>
        <v>10889.636755601023</v>
      </c>
      <c r="P619" s="25">
        <f t="shared" si="526"/>
        <v>30050.93324439897</v>
      </c>
      <c r="Q619" s="25">
        <f t="array" aca="1" ref="Q619" ca="1">INDEX('Isaac 401k'!L:L,MATCH('Retirement Calculator'!A619,'Isaac 401k'!N:N,0),0)</f>
        <v>-1787664.7776469009</v>
      </c>
      <c r="R619" s="25">
        <f t="array" aca="1" ref="R619" ca="1">INDEX('Lorri 401b'!L:L,MATCH('Retirement Calculator'!A619,'Lorri 401b'!N:N,0),0)</f>
        <v>-2326570.1246697176</v>
      </c>
      <c r="S619" s="25">
        <f t="shared" ca="1" si="527"/>
        <v>-4114234.9023166187</v>
      </c>
    </row>
    <row r="620" spans="1:19" ht="15.75" customHeight="1" x14ac:dyDescent="0.3">
      <c r="A620" s="37">
        <v>69823</v>
      </c>
      <c r="B620" s="398">
        <f t="shared" ref="B620:C620" si="626">($A620-B$9)/365.25</f>
        <v>109.28678986995209</v>
      </c>
      <c r="C620" s="398">
        <f t="shared" si="626"/>
        <v>104.67624914442163</v>
      </c>
      <c r="E620" s="25">
        <f>IF(C620&gt;$B$7,0,'Combined Retirement'!$D$13/12)</f>
        <v>0</v>
      </c>
      <c r="F620" s="25">
        <f>IF(H620=0,'Combined Retirement'!$D$32,0)+'Combined Retirement'!$B$24</f>
        <v>2870.372285649099</v>
      </c>
      <c r="G620" s="25">
        <f>'Combined Retirement'!$C$24</f>
        <v>3254.2644699519233</v>
      </c>
      <c r="H620" s="25">
        <f>IF(B620&lt;62,0,'Combined Retirement'!$I$14)</f>
        <v>2345</v>
      </c>
      <c r="I620" s="25">
        <f>IF(C620&lt;62,0,'Combined Retirement'!$I$13)</f>
        <v>2420</v>
      </c>
      <c r="J620" s="25">
        <f t="shared" si="523"/>
        <v>8395.6297298201844</v>
      </c>
      <c r="K620" s="25">
        <f t="shared" si="524"/>
        <v>21655.303514578787</v>
      </c>
      <c r="L620" s="25"/>
      <c r="N620" s="25">
        <f>'Combined Retirement'!$C$18/12</f>
        <v>40940.569999999992</v>
      </c>
      <c r="O620" s="25">
        <f t="shared" si="525"/>
        <v>10889.636755601023</v>
      </c>
      <c r="P620" s="25">
        <f t="shared" si="526"/>
        <v>30050.93324439897</v>
      </c>
      <c r="Q620" s="25">
        <f t="array" aca="1" ref="Q620" ca="1">INDEX('Isaac 401k'!L:L,MATCH('Retirement Calculator'!A620,'Isaac 401k'!N:N,0),0)</f>
        <v>-1803543.9924074574</v>
      </c>
      <c r="R620" s="25">
        <f t="array" aca="1" ref="R620" ca="1">INDEX('Lorri 401b'!L:L,MATCH('Retirement Calculator'!A620,'Lorri 401b'!N:N,0),0)</f>
        <v>-2358009.7008017311</v>
      </c>
      <c r="S620" s="25">
        <f t="shared" ca="1" si="527"/>
        <v>-4161553.6932091885</v>
      </c>
    </row>
    <row r="621" spans="1:19" ht="15.75" customHeight="1" x14ac:dyDescent="0.3">
      <c r="A621" s="37">
        <v>69854</v>
      </c>
      <c r="B621" s="398">
        <f t="shared" ref="B621:C621" si="627">($A621-B$9)/365.25</f>
        <v>109.37166324435319</v>
      </c>
      <c r="C621" s="398">
        <f t="shared" si="627"/>
        <v>104.76112251882273</v>
      </c>
      <c r="E621" s="25">
        <f>IF(C621&gt;$B$7,0,'Combined Retirement'!$D$13/12)</f>
        <v>0</v>
      </c>
      <c r="F621" s="25">
        <f>IF(H621=0,'Combined Retirement'!$D$32,0)+'Combined Retirement'!$B$24</f>
        <v>2870.372285649099</v>
      </c>
      <c r="G621" s="25">
        <f>'Combined Retirement'!$C$24</f>
        <v>3254.2644699519233</v>
      </c>
      <c r="H621" s="25">
        <f>IF(B621&lt;62,0,'Combined Retirement'!$I$14)</f>
        <v>2345</v>
      </c>
      <c r="I621" s="25">
        <f>IF(C621&lt;62,0,'Combined Retirement'!$I$13)</f>
        <v>2420</v>
      </c>
      <c r="J621" s="25">
        <f t="shared" si="523"/>
        <v>8395.6297298201844</v>
      </c>
      <c r="K621" s="25">
        <f t="shared" si="524"/>
        <v>21655.303514578787</v>
      </c>
      <c r="L621" s="25"/>
      <c r="N621" s="25">
        <f>'Combined Retirement'!$C$18/12</f>
        <v>40940.569999999992</v>
      </c>
      <c r="O621" s="25">
        <f t="shared" si="525"/>
        <v>10889.636755601023</v>
      </c>
      <c r="P621" s="25">
        <f t="shared" si="526"/>
        <v>30050.93324439897</v>
      </c>
      <c r="Q621" s="25">
        <f t="array" aca="1" ref="Q621" ca="1">INDEX('Isaac 401k'!L:L,MATCH('Retirement Calculator'!A621,'Isaac 401k'!N:N,0),0)</f>
        <v>-1819489.3705628496</v>
      </c>
      <c r="R621" s="25">
        <f t="array" aca="1" ref="R621" ca="1">INDEX('Lorri 401b'!L:L,MATCH('Retirement Calculator'!A621,'Lorri 401b'!N:N,0),0)</f>
        <v>-2389580.2751676277</v>
      </c>
      <c r="S621" s="25">
        <f t="shared" ca="1" si="527"/>
        <v>-4209069.6457304768</v>
      </c>
    </row>
    <row r="622" spans="1:19" ht="15.75" customHeight="1" x14ac:dyDescent="0.3">
      <c r="A622" s="37">
        <v>69884</v>
      </c>
      <c r="B622" s="398">
        <f t="shared" ref="B622:C622" si="628">($A622-B$9)/365.25</f>
        <v>109.45379876796714</v>
      </c>
      <c r="C622" s="398">
        <f t="shared" si="628"/>
        <v>104.84325804243669</v>
      </c>
      <c r="E622" s="25">
        <f>IF(C622&gt;$B$7,0,'Combined Retirement'!$D$13/12)</f>
        <v>0</v>
      </c>
      <c r="F622" s="25">
        <f>IF(H622=0,'Combined Retirement'!$D$32,0)+'Combined Retirement'!$B$24</f>
        <v>2870.372285649099</v>
      </c>
      <c r="G622" s="25">
        <f>'Combined Retirement'!$C$24</f>
        <v>3254.2644699519233</v>
      </c>
      <c r="H622" s="25">
        <f>IF(B622&lt;62,0,'Combined Retirement'!$I$14)</f>
        <v>2345</v>
      </c>
      <c r="I622" s="25">
        <f>IF(C622&lt;62,0,'Combined Retirement'!$I$13)</f>
        <v>2420</v>
      </c>
      <c r="J622" s="25">
        <f t="shared" si="523"/>
        <v>8395.6297298201844</v>
      </c>
      <c r="K622" s="25">
        <f t="shared" si="524"/>
        <v>21655.303514578787</v>
      </c>
      <c r="L622" s="25"/>
      <c r="N622" s="25">
        <f>'Combined Retirement'!$C$18/12</f>
        <v>40940.569999999992</v>
      </c>
      <c r="O622" s="25">
        <f t="shared" si="525"/>
        <v>10889.636755601023</v>
      </c>
      <c r="P622" s="25">
        <f t="shared" si="526"/>
        <v>30050.93324439897</v>
      </c>
      <c r="Q622" s="25">
        <f t="array" aca="1" ref="Q622" ca="1">INDEX('Isaac 401k'!L:L,MATCH('Retirement Calculator'!A622,'Isaac 401k'!N:N,0),0)</f>
        <v>-1835501.1877938893</v>
      </c>
      <c r="R622" s="25">
        <f t="array" aca="1" ref="R622" ca="1">INDEX('Lorri 401b'!L:L,MATCH('Retirement Calculator'!A622,'Lorri 401b'!N:N,0),0)</f>
        <v>-2421282.3935933826</v>
      </c>
      <c r="S622" s="25">
        <f t="shared" ca="1" si="527"/>
        <v>-4256783.5813872721</v>
      </c>
    </row>
    <row r="623" spans="1:19" ht="15.75" customHeight="1" x14ac:dyDescent="0.3">
      <c r="A623" s="37">
        <v>69915</v>
      </c>
      <c r="B623" s="398">
        <f t="shared" ref="B623:C623" si="629">($A623-B$9)/365.25</f>
        <v>109.53867214236824</v>
      </c>
      <c r="C623" s="398">
        <f t="shared" si="629"/>
        <v>104.92813141683779</v>
      </c>
      <c r="E623" s="25">
        <f>IF(C623&gt;$B$7,0,'Combined Retirement'!$D$13/12)</f>
        <v>0</v>
      </c>
      <c r="F623" s="25">
        <f>IF(H623=0,'Combined Retirement'!$D$32,0)+'Combined Retirement'!$B$24</f>
        <v>2870.372285649099</v>
      </c>
      <c r="G623" s="25">
        <f>'Combined Retirement'!$C$24</f>
        <v>3254.2644699519233</v>
      </c>
      <c r="H623" s="25">
        <f>IF(B623&lt;62,0,'Combined Retirement'!$I$14)</f>
        <v>2345</v>
      </c>
      <c r="I623" s="25">
        <f>IF(C623&lt;62,0,'Combined Retirement'!$I$13)</f>
        <v>2420</v>
      </c>
      <c r="J623" s="25">
        <f t="shared" si="523"/>
        <v>8395.6297298201844</v>
      </c>
      <c r="K623" s="25">
        <f t="shared" si="524"/>
        <v>21655.303514578787</v>
      </c>
      <c r="L623" s="25"/>
      <c r="N623" s="25">
        <f>'Combined Retirement'!$C$18/12</f>
        <v>40940.569999999992</v>
      </c>
      <c r="O623" s="25">
        <f t="shared" si="525"/>
        <v>10889.636755601023</v>
      </c>
      <c r="P623" s="25">
        <f t="shared" si="526"/>
        <v>30050.93324439897</v>
      </c>
      <c r="Q623" s="25">
        <f t="array" aca="1" ref="Q623" ca="1">INDEX('Isaac 401k'!L:L,MATCH('Retirement Calculator'!A623,'Isaac 401k'!N:N,0),0)</f>
        <v>-1851579.7209300583</v>
      </c>
      <c r="R623" s="25">
        <f t="array" aca="1" ref="R623" ca="1">INDEX('Lorri 401b'!L:L,MATCH('Retirement Calculator'!A623,'Lorri 401b'!N:N,0),0)</f>
        <v>-2453116.6041792445</v>
      </c>
      <c r="S623" s="25">
        <f t="shared" ca="1" si="527"/>
        <v>-4304696.325109303</v>
      </c>
    </row>
    <row r="624" spans="1:19" ht="15.75" customHeight="1" x14ac:dyDescent="0.3">
      <c r="A624" s="37">
        <v>69945</v>
      </c>
      <c r="B624" s="398">
        <f t="shared" ref="B624:C624" si="630">($A624-B$9)/365.25</f>
        <v>109.6208076659822</v>
      </c>
      <c r="C624" s="398">
        <f t="shared" si="630"/>
        <v>105.01026694045174</v>
      </c>
      <c r="E624" s="25">
        <f>IF(C624&gt;$B$7,0,'Combined Retirement'!$D$13/12)</f>
        <v>0</v>
      </c>
      <c r="F624" s="25">
        <f>IF(H624=0,'Combined Retirement'!$D$32,0)+'Combined Retirement'!$B$24</f>
        <v>2870.372285649099</v>
      </c>
      <c r="G624" s="25">
        <f>'Combined Retirement'!$C$24</f>
        <v>3254.2644699519233</v>
      </c>
      <c r="H624" s="25">
        <f>IF(B624&lt;62,0,'Combined Retirement'!$I$14)</f>
        <v>2345</v>
      </c>
      <c r="I624" s="25">
        <f>IF(C624&lt;62,0,'Combined Retirement'!$I$13)</f>
        <v>2420</v>
      </c>
      <c r="J624" s="25">
        <f t="shared" si="523"/>
        <v>8395.6297298201844</v>
      </c>
      <c r="K624" s="25">
        <f t="shared" si="524"/>
        <v>21655.303514578787</v>
      </c>
      <c r="L624" s="25"/>
      <c r="N624" s="25">
        <f>'Combined Retirement'!$C$18/12</f>
        <v>40940.569999999992</v>
      </c>
      <c r="O624" s="25">
        <f t="shared" si="525"/>
        <v>10889.636755601023</v>
      </c>
      <c r="P624" s="25">
        <f t="shared" si="526"/>
        <v>30050.93324439897</v>
      </c>
      <c r="Q624" s="25">
        <f t="array" aca="1" ref="Q624" ca="1">INDEX('Isaac 401k'!L:L,MATCH('Retirement Calculator'!A624,'Isaac 401k'!N:N,0),0)</f>
        <v>-1867725.2479542946</v>
      </c>
      <c r="R624" s="25">
        <f t="array" aca="1" ref="R624" ca="1">INDEX('Lorri 401b'!L:L,MATCH('Retirement Calculator'!A624,'Lorri 401b'!N:N,0),0)</f>
        <v>-2485083.4573092144</v>
      </c>
      <c r="S624" s="25">
        <f t="shared" ca="1" si="527"/>
        <v>-4352808.7052635085</v>
      </c>
    </row>
    <row r="625" spans="1:19" ht="15.75" customHeight="1" x14ac:dyDescent="0.3">
      <c r="A625" s="37">
        <v>69976</v>
      </c>
      <c r="B625" s="398">
        <f t="shared" ref="B625:C625" si="631">($A625-B$9)/365.25</f>
        <v>109.7056810403833</v>
      </c>
      <c r="C625" s="398">
        <f t="shared" si="631"/>
        <v>105.09514031485284</v>
      </c>
      <c r="E625" s="25">
        <f>IF(C625&gt;$B$7,0,'Combined Retirement'!$D$13/12)</f>
        <v>0</v>
      </c>
      <c r="F625" s="25">
        <f>IF(H625=0,'Combined Retirement'!$D$32,0)+'Combined Retirement'!$B$24</f>
        <v>2870.372285649099</v>
      </c>
      <c r="G625" s="25">
        <f>'Combined Retirement'!$C$24</f>
        <v>3254.2644699519233</v>
      </c>
      <c r="H625" s="25">
        <f>IF(B625&lt;62,0,'Combined Retirement'!$I$14)</f>
        <v>2345</v>
      </c>
      <c r="I625" s="25">
        <f>IF(C625&lt;62,0,'Combined Retirement'!$I$13)</f>
        <v>2420</v>
      </c>
      <c r="J625" s="25">
        <f t="shared" si="523"/>
        <v>8395.6297298201844</v>
      </c>
      <c r="K625" s="25">
        <f t="shared" si="524"/>
        <v>21655.303514578787</v>
      </c>
      <c r="L625" s="25"/>
      <c r="N625" s="25">
        <f>'Combined Retirement'!$C$18/12</f>
        <v>40940.569999999992</v>
      </c>
      <c r="O625" s="25">
        <f t="shared" si="525"/>
        <v>10889.636755601023</v>
      </c>
      <c r="P625" s="25">
        <f t="shared" si="526"/>
        <v>30050.93324439897</v>
      </c>
      <c r="Q625" s="25">
        <f t="array" aca="1" ref="Q625" ca="1">INDEX('Isaac 401k'!L:L,MATCH('Retirement Calculator'!A625,'Isaac 401k'!N:N,0),0)</f>
        <v>-1883938.0480077986</v>
      </c>
      <c r="R625" s="25">
        <f t="array" aca="1" ref="R625" ca="1">INDEX('Lorri 401b'!L:L,MATCH('Retirement Calculator'!A625,'Lorri 401b'!N:N,0),0)</f>
        <v>-2517183.5056605591</v>
      </c>
      <c r="S625" s="25">
        <f t="shared" ca="1" si="527"/>
        <v>-4401121.5536683574</v>
      </c>
    </row>
    <row r="626" spans="1:19" ht="15.75" customHeight="1" x14ac:dyDescent="0.3">
      <c r="A626" s="37">
        <v>70007</v>
      </c>
      <c r="B626" s="398">
        <f t="shared" ref="B626:C626" si="632">($A626-B$9)/365.25</f>
        <v>109.7905544147844</v>
      </c>
      <c r="C626" s="398">
        <f t="shared" si="632"/>
        <v>105.18001368925394</v>
      </c>
      <c r="E626" s="25">
        <f>IF(C626&gt;$B$7,0,'Combined Retirement'!$D$13/12)</f>
        <v>0</v>
      </c>
      <c r="F626" s="25">
        <f>IF(H626=0,'Combined Retirement'!$D$32,0)+'Combined Retirement'!$B$24</f>
        <v>2870.372285649099</v>
      </c>
      <c r="G626" s="25">
        <f>'Combined Retirement'!$C$24</f>
        <v>3254.2644699519233</v>
      </c>
      <c r="H626" s="25">
        <f>IF(B626&lt;62,0,'Combined Retirement'!$I$14)</f>
        <v>2345</v>
      </c>
      <c r="I626" s="25">
        <f>IF(C626&lt;62,0,'Combined Retirement'!$I$13)</f>
        <v>2420</v>
      </c>
      <c r="J626" s="25">
        <f t="shared" si="523"/>
        <v>8395.6297298201844</v>
      </c>
      <c r="K626" s="25">
        <f t="shared" si="524"/>
        <v>21655.303514578787</v>
      </c>
      <c r="L626" s="25"/>
      <c r="N626" s="25">
        <f>'Combined Retirement'!$C$18/12</f>
        <v>40940.569999999992</v>
      </c>
      <c r="O626" s="25">
        <f t="shared" si="525"/>
        <v>10889.636755601023</v>
      </c>
      <c r="P626" s="25">
        <f t="shared" si="526"/>
        <v>30050.93324439897</v>
      </c>
      <c r="Q626" s="25">
        <f t="array" aca="1" ref="Q626" ca="1">INDEX('Isaac 401k'!L:L,MATCH('Retirement Calculator'!A626,'Isaac 401k'!N:N,0),0)</f>
        <v>-1900218.401394859</v>
      </c>
      <c r="R626" s="25">
        <f t="array" aca="1" ref="R626" ca="1">INDEX('Lorri 401b'!L:L,MATCH('Retirement Calculator'!A626,'Lorri 401b'!N:N,0),0)</f>
        <v>-2549417.3042133679</v>
      </c>
      <c r="S626" s="25">
        <f t="shared" ca="1" si="527"/>
        <v>-4449635.7056082264</v>
      </c>
    </row>
    <row r="627" spans="1:19" ht="15.75" customHeight="1" x14ac:dyDescent="0.3">
      <c r="A627" s="37">
        <v>70037</v>
      </c>
      <c r="B627" s="398">
        <f t="shared" ref="B627:C627" si="633">($A627-B$9)/365.25</f>
        <v>109.87268993839835</v>
      </c>
      <c r="C627" s="398">
        <f t="shared" si="633"/>
        <v>105.2621492128679</v>
      </c>
      <c r="E627" s="25">
        <f>IF(C627&gt;$B$7,0,'Combined Retirement'!$D$13/12)</f>
        <v>0</v>
      </c>
      <c r="F627" s="25">
        <f>IF(H627=0,'Combined Retirement'!$D$32,0)+'Combined Retirement'!$B$24</f>
        <v>2870.372285649099</v>
      </c>
      <c r="G627" s="25">
        <f>'Combined Retirement'!$C$24</f>
        <v>3254.2644699519233</v>
      </c>
      <c r="H627" s="25">
        <f>IF(B627&lt;62,0,'Combined Retirement'!$I$14)</f>
        <v>2345</v>
      </c>
      <c r="I627" s="25">
        <f>IF(C627&lt;62,0,'Combined Retirement'!$I$13)</f>
        <v>2420</v>
      </c>
      <c r="J627" s="25">
        <f t="shared" si="523"/>
        <v>8395.6297298201844</v>
      </c>
      <c r="K627" s="25">
        <f t="shared" si="524"/>
        <v>21655.303514578787</v>
      </c>
      <c r="L627" s="25"/>
      <c r="N627" s="25">
        <f>'Combined Retirement'!$C$18/12</f>
        <v>40940.569999999992</v>
      </c>
      <c r="O627" s="25">
        <f t="shared" si="525"/>
        <v>10889.636755601023</v>
      </c>
      <c r="P627" s="25">
        <f t="shared" si="526"/>
        <v>30050.93324439897</v>
      </c>
      <c r="Q627" s="25">
        <f t="array" aca="1" ref="Q627" ca="1">INDEX('Isaac 401k'!L:L,MATCH('Retirement Calculator'!A627,'Isaac 401k'!N:N,0),0)</f>
        <v>-1916566.5895876987</v>
      </c>
      <c r="R627" s="25">
        <f t="array" aca="1" ref="R627" ca="1">INDEX('Lorri 401b'!L:L,MATCH('Retirement Calculator'!A627,'Lorri 401b'!N:N,0),0)</f>
        <v>-2581785.4102601465</v>
      </c>
      <c r="S627" s="25">
        <f t="shared" ca="1" si="527"/>
        <v>-4498351.9998478452</v>
      </c>
    </row>
    <row r="628" spans="1:19" ht="15.75" customHeight="1" x14ac:dyDescent="0.3">
      <c r="A628" s="37">
        <v>70068</v>
      </c>
      <c r="B628" s="398">
        <f t="shared" ref="B628:C628" si="634">($A628-B$9)/365.25</f>
        <v>109.95756331279945</v>
      </c>
      <c r="C628" s="398">
        <f t="shared" si="634"/>
        <v>105.347022587269</v>
      </c>
      <c r="E628" s="25">
        <f>IF(C628&gt;$B$7,0,'Combined Retirement'!$D$13/12)</f>
        <v>0</v>
      </c>
      <c r="F628" s="25">
        <f>IF(H628=0,'Combined Retirement'!$D$32,0)+'Combined Retirement'!$B$24</f>
        <v>2870.372285649099</v>
      </c>
      <c r="G628" s="25">
        <f>'Combined Retirement'!$C$24</f>
        <v>3254.2644699519233</v>
      </c>
      <c r="H628" s="25">
        <f>IF(B628&lt;62,0,'Combined Retirement'!$I$14)</f>
        <v>2345</v>
      </c>
      <c r="I628" s="25">
        <f>IF(C628&lt;62,0,'Combined Retirement'!$I$13)</f>
        <v>2420</v>
      </c>
      <c r="J628" s="25">
        <f t="shared" si="523"/>
        <v>8395.6297298201844</v>
      </c>
      <c r="K628" s="25">
        <f t="shared" si="524"/>
        <v>21655.303514578787</v>
      </c>
      <c r="L628" s="25"/>
      <c r="N628" s="25">
        <f>'Combined Retirement'!$C$18/12</f>
        <v>40940.569999999992</v>
      </c>
      <c r="O628" s="25">
        <f t="shared" si="525"/>
        <v>10889.636755601023</v>
      </c>
      <c r="P628" s="25">
        <f t="shared" si="526"/>
        <v>30050.93324439897</v>
      </c>
      <c r="Q628" s="25">
        <f t="array" aca="1" ref="Q628" ca="1">INDEX('Isaac 401k'!L:L,MATCH('Retirement Calculator'!A628,'Isaac 401k'!N:N,0),0)</f>
        <v>-1932982.8952313419</v>
      </c>
      <c r="R628" s="25">
        <f t="array" aca="1" ref="R628" ca="1">INDEX('Lorri 401b'!L:L,MATCH('Retirement Calculator'!A628,'Lorri 401b'!N:N,0),0)</f>
        <v>-2614288.3834154531</v>
      </c>
      <c r="S628" s="25">
        <f t="shared" ca="1" si="527"/>
        <v>-4547271.2786467951</v>
      </c>
    </row>
    <row r="629" spans="1:19" ht="15.75" customHeight="1" x14ac:dyDescent="0.3">
      <c r="A629" s="37">
        <v>70098</v>
      </c>
      <c r="B629" s="398">
        <f t="shared" ref="B629:C629" si="635">($A629-B$9)/365.25</f>
        <v>110.03969883641342</v>
      </c>
      <c r="C629" s="398">
        <f t="shared" si="635"/>
        <v>105.42915811088295</v>
      </c>
      <c r="E629" s="25">
        <f>IF(C629&gt;$B$7,0,'Combined Retirement'!$D$13/12)</f>
        <v>0</v>
      </c>
      <c r="F629" s="25">
        <f>IF(H629=0,'Combined Retirement'!$D$32,0)+'Combined Retirement'!$B$24</f>
        <v>2870.372285649099</v>
      </c>
      <c r="G629" s="25">
        <f>'Combined Retirement'!$C$24</f>
        <v>3254.2644699519233</v>
      </c>
      <c r="H629" s="25">
        <f>IF(B629&lt;62,0,'Combined Retirement'!$I$14)</f>
        <v>2345</v>
      </c>
      <c r="I629" s="25">
        <f>IF(C629&lt;62,0,'Combined Retirement'!$I$13)</f>
        <v>2420</v>
      </c>
      <c r="J629" s="25">
        <f t="shared" si="523"/>
        <v>8395.6297298201844</v>
      </c>
      <c r="K629" s="25">
        <f t="shared" si="524"/>
        <v>21655.303514578787</v>
      </c>
      <c r="L629" s="25"/>
      <c r="N629" s="25">
        <f>'Combined Retirement'!$C$18/12</f>
        <v>40940.569999999992</v>
      </c>
      <c r="O629" s="25">
        <f t="shared" si="525"/>
        <v>10889.636755601023</v>
      </c>
      <c r="P629" s="25">
        <f t="shared" si="526"/>
        <v>30050.93324439897</v>
      </c>
      <c r="Q629" s="25">
        <f t="array" aca="1" ref="Q629" ca="1">INDEX('Isaac 401k'!L:L,MATCH('Retirement Calculator'!A629,'Isaac 401k'!N:N,0),0)</f>
        <v>-1949467.6021485003</v>
      </c>
      <c r="R629" s="25">
        <f t="array" aca="1" ref="R629" ca="1">INDEX('Lorri 401b'!L:L,MATCH('Retirement Calculator'!A629,'Lorri 401b'!N:N,0),0)</f>
        <v>-2646926.7856255737</v>
      </c>
      <c r="S629" s="25">
        <f t="shared" ca="1" si="527"/>
        <v>-4596394.3877740745</v>
      </c>
    </row>
    <row r="630" spans="1:19" ht="15.75" customHeight="1" x14ac:dyDescent="0.3">
      <c r="A630" s="37">
        <v>70129</v>
      </c>
      <c r="B630" s="398">
        <f t="shared" ref="B630:C630" si="636">($A630-B$9)/365.25</f>
        <v>110.12457221081451</v>
      </c>
      <c r="C630" s="398">
        <f t="shared" si="636"/>
        <v>105.51403148528405</v>
      </c>
      <c r="E630" s="25">
        <f>IF(C630&gt;$B$7,0,'Combined Retirement'!$D$13/12)</f>
        <v>0</v>
      </c>
      <c r="F630" s="25">
        <f>IF(H630=0,'Combined Retirement'!$D$32,0)+'Combined Retirement'!$B$24</f>
        <v>2870.372285649099</v>
      </c>
      <c r="G630" s="25">
        <f>'Combined Retirement'!$C$24</f>
        <v>3254.2644699519233</v>
      </c>
      <c r="H630" s="25">
        <f>IF(B630&lt;62,0,'Combined Retirement'!$I$14)</f>
        <v>2345</v>
      </c>
      <c r="I630" s="25">
        <f>IF(C630&lt;62,0,'Combined Retirement'!$I$13)</f>
        <v>2420</v>
      </c>
      <c r="J630" s="25">
        <f t="shared" si="523"/>
        <v>8395.6297298201844</v>
      </c>
      <c r="K630" s="25">
        <f t="shared" si="524"/>
        <v>21655.303514578787</v>
      </c>
      <c r="L630" s="25"/>
      <c r="N630" s="25">
        <f>'Combined Retirement'!$C$18/12</f>
        <v>40940.569999999992</v>
      </c>
      <c r="O630" s="25">
        <f t="shared" si="525"/>
        <v>10889.636755601023</v>
      </c>
      <c r="P630" s="25">
        <f t="shared" si="526"/>
        <v>30050.93324439897</v>
      </c>
      <c r="Q630" s="25">
        <f t="array" aca="1" ref="Q630" ca="1">INDEX('Isaac 401k'!L:L,MATCH('Retirement Calculator'!A630,'Isaac 401k'!N:N,0),0)</f>
        <v>-1966020.99534448</v>
      </c>
      <c r="R630" s="25">
        <f t="array" aca="1" ref="R630" ca="1">INDEX('Lorri 401b'!L:L,MATCH('Retirement Calculator'!A630,'Lorri 401b'!N:N,0),0)</f>
        <v>-2679701.1811782364</v>
      </c>
      <c r="S630" s="25">
        <f t="shared" ca="1" si="527"/>
        <v>-4645722.1765227169</v>
      </c>
    </row>
    <row r="631" spans="1:19" ht="15.75" customHeight="1" x14ac:dyDescent="0.3">
      <c r="A631" s="37">
        <v>70160</v>
      </c>
      <c r="B631" s="398">
        <f t="shared" ref="B631:C631" si="637">($A631-B$9)/365.25</f>
        <v>110.2094455852156</v>
      </c>
      <c r="C631" s="398">
        <f t="shared" si="637"/>
        <v>105.59890485968515</v>
      </c>
      <c r="E631" s="25">
        <f>IF(C631&gt;$B$7,0,'Combined Retirement'!$D$13/12)</f>
        <v>0</v>
      </c>
      <c r="F631" s="25">
        <f>IF(H631=0,'Combined Retirement'!$D$32,0)+'Combined Retirement'!$B$24</f>
        <v>2870.372285649099</v>
      </c>
      <c r="G631" s="25">
        <f>'Combined Retirement'!$C$24</f>
        <v>3254.2644699519233</v>
      </c>
      <c r="H631" s="25">
        <f>IF(B631&lt;62,0,'Combined Retirement'!$I$14)</f>
        <v>2345</v>
      </c>
      <c r="I631" s="25">
        <f>IF(C631&lt;62,0,'Combined Retirement'!$I$13)</f>
        <v>2420</v>
      </c>
      <c r="J631" s="25">
        <f t="shared" si="523"/>
        <v>8395.6297298201844</v>
      </c>
      <c r="K631" s="25">
        <f t="shared" si="524"/>
        <v>21655.303514578787</v>
      </c>
      <c r="L631" s="25"/>
      <c r="N631" s="25">
        <f>'Combined Retirement'!$C$18/12</f>
        <v>40940.569999999992</v>
      </c>
      <c r="O631" s="25">
        <f t="shared" si="525"/>
        <v>10889.636755601023</v>
      </c>
      <c r="P631" s="25">
        <f t="shared" si="526"/>
        <v>30050.93324439897</v>
      </c>
      <c r="Q631" s="25">
        <f t="array" aca="1" ref="Q631" ca="1">INDEX('Isaac 401k'!L:L,MATCH('Retirement Calculator'!A631,'Isaac 401k'!N:N,0),0)</f>
        <v>-1982643.3610121098</v>
      </c>
      <c r="R631" s="25">
        <f t="array" aca="1" ref="R631" ca="1">INDEX('Lorri 401b'!L:L,MATCH('Retirement Calculator'!A631,'Lorri 401b'!N:N,0),0)</f>
        <v>-2712612.1367123686</v>
      </c>
      <c r="S631" s="25">
        <f t="shared" ca="1" si="527"/>
        <v>-4695255.4977244781</v>
      </c>
    </row>
    <row r="632" spans="1:19" ht="15.75" customHeight="1" x14ac:dyDescent="0.3">
      <c r="A632" s="37">
        <v>70189</v>
      </c>
      <c r="B632" s="398">
        <f t="shared" ref="B632:C632" si="638">($A632-B$9)/365.25</f>
        <v>110.28884325804243</v>
      </c>
      <c r="C632" s="398">
        <f t="shared" si="638"/>
        <v>105.67830253251198</v>
      </c>
      <c r="E632" s="25">
        <f>IF(C632&gt;$B$7,0,'Combined Retirement'!$D$13/12)</f>
        <v>0</v>
      </c>
      <c r="F632" s="25">
        <f>IF(H632=0,'Combined Retirement'!$D$32,0)+'Combined Retirement'!$B$24</f>
        <v>2870.372285649099</v>
      </c>
      <c r="G632" s="25">
        <f>'Combined Retirement'!$C$24</f>
        <v>3254.2644699519233</v>
      </c>
      <c r="H632" s="25">
        <f>IF(B632&lt;62,0,'Combined Retirement'!$I$14)</f>
        <v>2345</v>
      </c>
      <c r="I632" s="25">
        <f>IF(C632&lt;62,0,'Combined Retirement'!$I$13)</f>
        <v>2420</v>
      </c>
      <c r="J632" s="25">
        <f t="shared" si="523"/>
        <v>8395.6297298201844</v>
      </c>
      <c r="K632" s="25">
        <f t="shared" si="524"/>
        <v>21655.303514578787</v>
      </c>
      <c r="L632" s="25"/>
      <c r="N632" s="25">
        <f>'Combined Retirement'!$C$18/12</f>
        <v>40940.569999999992</v>
      </c>
      <c r="O632" s="25">
        <f t="shared" si="525"/>
        <v>10889.636755601023</v>
      </c>
      <c r="P632" s="25">
        <f t="shared" si="526"/>
        <v>30050.93324439897</v>
      </c>
      <c r="Q632" s="25">
        <f t="array" aca="1" ref="Q632" ca="1">INDEX('Isaac 401k'!L:L,MATCH('Retirement Calculator'!A632,'Isaac 401k'!N:N,0),0)</f>
        <v>-1999334.9865366879</v>
      </c>
      <c r="R632" s="25">
        <f t="array" aca="1" ref="R632" ca="1">INDEX('Lorri 401b'!L:L,MATCH('Retirement Calculator'!A632,'Lorri 401b'!N:N,0),0)</f>
        <v>-2745660.2212278931</v>
      </c>
      <c r="S632" s="25">
        <f t="shared" ca="1" si="527"/>
        <v>-4744995.2077645808</v>
      </c>
    </row>
    <row r="633" spans="1:19" ht="15.75" customHeight="1" x14ac:dyDescent="0.3">
      <c r="A633" s="37">
        <v>70220</v>
      </c>
      <c r="B633" s="398">
        <f t="shared" ref="B633:C633" si="639">($A633-B$9)/365.25</f>
        <v>110.37371663244353</v>
      </c>
      <c r="C633" s="398">
        <f t="shared" si="639"/>
        <v>105.76317590691308</v>
      </c>
      <c r="E633" s="25">
        <f>IF(C633&gt;$B$7,0,'Combined Retirement'!$D$13/12)</f>
        <v>0</v>
      </c>
      <c r="F633" s="25">
        <f>IF(H633=0,'Combined Retirement'!$D$32,0)+'Combined Retirement'!$B$24</f>
        <v>2870.372285649099</v>
      </c>
      <c r="G633" s="25">
        <f>'Combined Retirement'!$C$24</f>
        <v>3254.2644699519233</v>
      </c>
      <c r="H633" s="25">
        <f>IF(B633&lt;62,0,'Combined Retirement'!$I$14)</f>
        <v>2345</v>
      </c>
      <c r="I633" s="25">
        <f>IF(C633&lt;62,0,'Combined Retirement'!$I$13)</f>
        <v>2420</v>
      </c>
      <c r="J633" s="25">
        <f t="shared" si="523"/>
        <v>8395.6297298201844</v>
      </c>
      <c r="K633" s="25">
        <f t="shared" si="524"/>
        <v>21655.303514578787</v>
      </c>
      <c r="L633" s="25"/>
      <c r="N633" s="25">
        <f>'Combined Retirement'!$C$18/12</f>
        <v>40940.569999999992</v>
      </c>
      <c r="O633" s="25">
        <f t="shared" si="525"/>
        <v>10889.636755601023</v>
      </c>
      <c r="P633" s="25">
        <f t="shared" si="526"/>
        <v>30050.93324439897</v>
      </c>
      <c r="Q633" s="25">
        <f t="array" aca="1" ref="Q633" ca="1">INDEX('Isaac 401k'!L:L,MATCH('Retirement Calculator'!A633,'Isaac 401k'!N:N,0),0)</f>
        <v>-2016096.1605009518</v>
      </c>
      <c r="R633" s="25">
        <f t="array" aca="1" ref="R633" ca="1">INDEX('Lorri 401b'!L:L,MATCH('Retirement Calculator'!A633,'Lorri 401b'!N:N,0),0)</f>
        <v>-2778846.0060955654</v>
      </c>
      <c r="S633" s="25">
        <f t="shared" ca="1" si="527"/>
        <v>-4794942.166596517</v>
      </c>
    </row>
    <row r="634" spans="1:19" ht="15.75" customHeight="1" x14ac:dyDescent="0.3">
      <c r="A634" s="37">
        <v>70250</v>
      </c>
      <c r="B634" s="398">
        <f t="shared" ref="B634:C634" si="640">($A634-B$9)/365.25</f>
        <v>110.45585215605749</v>
      </c>
      <c r="C634" s="398">
        <f t="shared" si="640"/>
        <v>105.84531143052703</v>
      </c>
      <c r="E634" s="25">
        <f>IF(C634&gt;$B$7,0,'Combined Retirement'!$D$13/12)</f>
        <v>0</v>
      </c>
      <c r="F634" s="25">
        <f>IF(H634=0,'Combined Retirement'!$D$32,0)+'Combined Retirement'!$B$24</f>
        <v>2870.372285649099</v>
      </c>
      <c r="G634" s="25">
        <f>'Combined Retirement'!$C$24</f>
        <v>3254.2644699519233</v>
      </c>
      <c r="H634" s="25">
        <f>IF(B634&lt;62,0,'Combined Retirement'!$I$14)</f>
        <v>2345</v>
      </c>
      <c r="I634" s="25">
        <f>IF(C634&lt;62,0,'Combined Retirement'!$I$13)</f>
        <v>2420</v>
      </c>
      <c r="J634" s="25">
        <f t="shared" si="523"/>
        <v>8395.6297298201844</v>
      </c>
      <c r="K634" s="25">
        <f t="shared" si="524"/>
        <v>21655.303514578787</v>
      </c>
      <c r="L634" s="25"/>
      <c r="N634" s="25">
        <f>'Combined Retirement'!$C$18/12</f>
        <v>40940.569999999992</v>
      </c>
      <c r="O634" s="25">
        <f t="shared" si="525"/>
        <v>10889.636755601023</v>
      </c>
      <c r="P634" s="25">
        <f t="shared" si="526"/>
        <v>30050.93324439897</v>
      </c>
      <c r="Q634" s="25">
        <f t="array" aca="1" ref="Q634" ca="1">INDEX('Isaac 401k'!L:L,MATCH('Retirement Calculator'!A634,'Isaac 401k'!N:N,0),0)</f>
        <v>-2032927.172690067</v>
      </c>
      <c r="R634" s="25">
        <f t="array" aca="1" ref="R634" ca="1">INDEX('Lorri 401b'!L:L,MATCH('Retirement Calculator'!A634,'Lorri 401b'!N:N,0),0)</f>
        <v>-2812170.0650668531</v>
      </c>
      <c r="S634" s="25">
        <f t="shared" ca="1" si="527"/>
        <v>-4845097.23775692</v>
      </c>
    </row>
    <row r="635" spans="1:19" ht="15.75" customHeight="1" x14ac:dyDescent="0.3">
      <c r="A635" s="37">
        <v>70281</v>
      </c>
      <c r="B635" s="398">
        <f t="shared" ref="B635:C635" si="641">($A635-B$9)/365.25</f>
        <v>110.54072553045859</v>
      </c>
      <c r="C635" s="398">
        <f t="shared" si="641"/>
        <v>105.93018480492813</v>
      </c>
      <c r="E635" s="25">
        <f>IF(C635&gt;$B$7,0,'Combined Retirement'!$D$13/12)</f>
        <v>0</v>
      </c>
      <c r="F635" s="25">
        <f>IF(H635=0,'Combined Retirement'!$D$32,0)+'Combined Retirement'!$B$24</f>
        <v>2870.372285649099</v>
      </c>
      <c r="G635" s="25">
        <f>'Combined Retirement'!$C$24</f>
        <v>3254.2644699519233</v>
      </c>
      <c r="H635" s="25">
        <f>IF(B635&lt;62,0,'Combined Retirement'!$I$14)</f>
        <v>2345</v>
      </c>
      <c r="I635" s="25">
        <f>IF(C635&lt;62,0,'Combined Retirement'!$I$13)</f>
        <v>2420</v>
      </c>
      <c r="J635" s="25">
        <f t="shared" si="523"/>
        <v>8395.6297298201844</v>
      </c>
      <c r="K635" s="25">
        <f t="shared" si="524"/>
        <v>21655.303514578787</v>
      </c>
      <c r="L635" s="25"/>
      <c r="N635" s="25">
        <f>'Combined Retirement'!$C$18/12</f>
        <v>40940.569999999992</v>
      </c>
      <c r="O635" s="25">
        <f t="shared" si="525"/>
        <v>10889.636755601023</v>
      </c>
      <c r="P635" s="25">
        <f t="shared" si="526"/>
        <v>30050.93324439897</v>
      </c>
      <c r="Q635" s="25">
        <f t="array" aca="1" ref="Q635" ca="1">INDEX('Isaac 401k'!L:L,MATCH('Retirement Calculator'!A635,'Isaac 401k'!N:N,0),0)</f>
        <v>-2049828.3140966366</v>
      </c>
      <c r="R635" s="25">
        <f t="array" aca="1" ref="R635" ca="1">INDEX('Lorri 401b'!L:L,MATCH('Retirement Calculator'!A635,'Lorri 401b'!N:N,0),0)</f>
        <v>-2845632.9742838545</v>
      </c>
      <c r="S635" s="25">
        <f t="shared" ca="1" si="527"/>
        <v>-4895461.2883804906</v>
      </c>
    </row>
    <row r="636" spans="1:19" ht="15.75" customHeight="1" x14ac:dyDescent="0.3">
      <c r="A636" s="37">
        <v>70311</v>
      </c>
      <c r="B636" s="398">
        <f t="shared" ref="B636:C636" si="642">($A636-B$9)/365.25</f>
        <v>110.62286105407256</v>
      </c>
      <c r="C636" s="398">
        <f t="shared" si="642"/>
        <v>106.01232032854209</v>
      </c>
      <c r="E636" s="25">
        <f>IF(C636&gt;$B$7,0,'Combined Retirement'!$D$13/12)</f>
        <v>0</v>
      </c>
      <c r="F636" s="25">
        <f>IF(H636=0,'Combined Retirement'!$D$32,0)+'Combined Retirement'!$B$24</f>
        <v>2870.372285649099</v>
      </c>
      <c r="G636" s="25">
        <f>'Combined Retirement'!$C$24</f>
        <v>3254.2644699519233</v>
      </c>
      <c r="H636" s="25">
        <f>IF(B636&lt;62,0,'Combined Retirement'!$I$14)</f>
        <v>2345</v>
      </c>
      <c r="I636" s="25">
        <f>IF(C636&lt;62,0,'Combined Retirement'!$I$13)</f>
        <v>2420</v>
      </c>
      <c r="J636" s="25">
        <f t="shared" si="523"/>
        <v>8395.6297298201844</v>
      </c>
      <c r="K636" s="25">
        <f t="shared" si="524"/>
        <v>21655.303514578787</v>
      </c>
      <c r="L636" s="25"/>
      <c r="N636" s="25">
        <f>'Combined Retirement'!$C$18/12</f>
        <v>40940.569999999992</v>
      </c>
      <c r="O636" s="25">
        <f t="shared" si="525"/>
        <v>10889.636755601023</v>
      </c>
      <c r="P636" s="25">
        <f t="shared" si="526"/>
        <v>30050.93324439897</v>
      </c>
      <c r="Q636" s="25">
        <f t="array" aca="1" ref="Q636" ca="1">INDEX('Isaac 401k'!L:L,MATCH('Retirement Calculator'!A636,'Isaac 401k'!N:N,0),0)</f>
        <v>-2066799.8769257336</v>
      </c>
      <c r="R636" s="25">
        <f t="array" aca="1" ref="R636" ca="1">INDEX('Lorri 401b'!L:L,MATCH('Retirement Calculator'!A636,'Lorri 401b'!N:N,0),0)</f>
        <v>-2879235.3122892603</v>
      </c>
      <c r="S636" s="25">
        <f t="shared" ca="1" si="527"/>
        <v>-4946035.1892149942</v>
      </c>
    </row>
    <row r="637" spans="1:19" ht="15.75" customHeight="1" x14ac:dyDescent="0.3">
      <c r="A637" s="37">
        <v>70342</v>
      </c>
      <c r="B637" s="398">
        <f t="shared" ref="B637:C637" si="643">($A637-B$9)/365.25</f>
        <v>110.70773442847364</v>
      </c>
      <c r="C637" s="398">
        <f t="shared" si="643"/>
        <v>106.09719370294319</v>
      </c>
      <c r="E637" s="25">
        <f>IF(C637&gt;$B$7,0,'Combined Retirement'!$D$13/12)</f>
        <v>0</v>
      </c>
      <c r="F637" s="25">
        <f>IF(H637=0,'Combined Retirement'!$D$32,0)+'Combined Retirement'!$B$24</f>
        <v>2870.372285649099</v>
      </c>
      <c r="G637" s="25">
        <f>'Combined Retirement'!$C$24</f>
        <v>3254.2644699519233</v>
      </c>
      <c r="H637" s="25">
        <f>IF(B637&lt;62,0,'Combined Retirement'!$I$14)</f>
        <v>2345</v>
      </c>
      <c r="I637" s="25">
        <f>IF(C637&lt;62,0,'Combined Retirement'!$I$13)</f>
        <v>2420</v>
      </c>
      <c r="J637" s="25">
        <f t="shared" si="523"/>
        <v>8395.6297298201844</v>
      </c>
      <c r="K637" s="25">
        <f t="shared" si="524"/>
        <v>21655.303514578787</v>
      </c>
      <c r="L637" s="25"/>
      <c r="N637" s="25">
        <f>'Combined Retirement'!$C$18/12</f>
        <v>40940.569999999992</v>
      </c>
      <c r="O637" s="25">
        <f t="shared" si="525"/>
        <v>10889.636755601023</v>
      </c>
      <c r="P637" s="25">
        <f t="shared" si="526"/>
        <v>30050.93324439897</v>
      </c>
      <c r="Q637" s="25">
        <f t="array" aca="1" ref="Q637" ca="1">INDEX('Isaac 401k'!L:L,MATCH('Retirement Calculator'!A637,'Isaac 401k'!N:N,0),0)</f>
        <v>-2083842.154599952</v>
      </c>
      <c r="R637" s="25">
        <f t="array" aca="1" ref="R637" ca="1">INDEX('Lorri 401b'!L:L,MATCH('Retirement Calculator'!A637,'Lorri 401b'!N:N,0),0)</f>
        <v>-2912977.6600363553</v>
      </c>
      <c r="S637" s="25">
        <f t="shared" ca="1" si="527"/>
        <v>-4996819.8146363068</v>
      </c>
    </row>
    <row r="638" spans="1:19" ht="15.75" customHeight="1" x14ac:dyDescent="0.3">
      <c r="A638" s="37">
        <v>70373</v>
      </c>
      <c r="B638" s="398">
        <f t="shared" ref="B638:C638" si="644">($A638-B$9)/365.25</f>
        <v>110.79260780287474</v>
      </c>
      <c r="C638" s="398">
        <f t="shared" si="644"/>
        <v>106.18206707734429</v>
      </c>
      <c r="E638" s="25">
        <f>IF(C638&gt;$B$7,0,'Combined Retirement'!$D$13/12)</f>
        <v>0</v>
      </c>
      <c r="F638" s="25">
        <f>IF(H638=0,'Combined Retirement'!$D$32,0)+'Combined Retirement'!$B$24</f>
        <v>2870.372285649099</v>
      </c>
      <c r="G638" s="25">
        <f>'Combined Retirement'!$C$24</f>
        <v>3254.2644699519233</v>
      </c>
      <c r="H638" s="25">
        <f>IF(B638&lt;62,0,'Combined Retirement'!$I$14)</f>
        <v>2345</v>
      </c>
      <c r="I638" s="25">
        <f>IF(C638&lt;62,0,'Combined Retirement'!$I$13)</f>
        <v>2420</v>
      </c>
      <c r="J638" s="25">
        <f t="shared" si="523"/>
        <v>8395.6297298201844</v>
      </c>
      <c r="K638" s="25">
        <f t="shared" si="524"/>
        <v>21655.303514578787</v>
      </c>
      <c r="L638" s="25"/>
      <c r="N638" s="25">
        <f>'Combined Retirement'!$C$18/12</f>
        <v>40940.569999999992</v>
      </c>
      <c r="O638" s="25">
        <f t="shared" si="525"/>
        <v>10889.636755601023</v>
      </c>
      <c r="P638" s="25">
        <f t="shared" si="526"/>
        <v>30050.93324439897</v>
      </c>
      <c r="Q638" s="25">
        <f t="array" aca="1" ref="Q638" ca="1">INDEX('Isaac 401k'!L:L,MATCH('Retirement Calculator'!A638,'Isaac 401k'!N:N,0),0)</f>
        <v>-2100955.4417644795</v>
      </c>
      <c r="R638" s="25">
        <f t="array" aca="1" ref="R638" ca="1">INDEX('Lorri 401b'!L:L,MATCH('Retirement Calculator'!A638,'Lorri 401b'!N:N,0),0)</f>
        <v>-2946860.6008990631</v>
      </c>
      <c r="S638" s="25">
        <f t="shared" ca="1" si="527"/>
        <v>-5047816.0426635426</v>
      </c>
    </row>
    <row r="639" spans="1:19" ht="15.75" customHeight="1" x14ac:dyDescent="0.3">
      <c r="A639" s="37">
        <v>70403</v>
      </c>
      <c r="B639" s="398">
        <f t="shared" ref="B639:C639" si="645">($A639-B$9)/365.25</f>
        <v>110.87474332648871</v>
      </c>
      <c r="C639" s="398">
        <f t="shared" si="645"/>
        <v>106.26420260095824</v>
      </c>
      <c r="E639" s="25">
        <f>IF(C639&gt;$B$7,0,'Combined Retirement'!$D$13/12)</f>
        <v>0</v>
      </c>
      <c r="F639" s="25">
        <f>IF(H639=0,'Combined Retirement'!$D$32,0)+'Combined Retirement'!$B$24</f>
        <v>2870.372285649099</v>
      </c>
      <c r="G639" s="25">
        <f>'Combined Retirement'!$C$24</f>
        <v>3254.2644699519233</v>
      </c>
      <c r="H639" s="25">
        <f>IF(B639&lt;62,0,'Combined Retirement'!$I$14)</f>
        <v>2345</v>
      </c>
      <c r="I639" s="25">
        <f>IF(C639&lt;62,0,'Combined Retirement'!$I$13)</f>
        <v>2420</v>
      </c>
      <c r="J639" s="25">
        <f t="shared" si="523"/>
        <v>8395.6297298201844</v>
      </c>
      <c r="K639" s="25">
        <f t="shared" si="524"/>
        <v>21655.303514578787</v>
      </c>
      <c r="L639" s="25"/>
      <c r="N639" s="25">
        <f>'Combined Retirement'!$C$18/12</f>
        <v>40940.569999999992</v>
      </c>
      <c r="O639" s="25">
        <f t="shared" si="525"/>
        <v>10889.636755601023</v>
      </c>
      <c r="P639" s="25">
        <f t="shared" si="526"/>
        <v>30050.93324439897</v>
      </c>
      <c r="Q639" s="25">
        <f t="array" aca="1" ref="Q639" ca="1">INDEX('Isaac 401k'!L:L,MATCH('Retirement Calculator'!A639,'Isaac 401k'!N:N,0),0)</f>
        <v>-2118140.0342921927</v>
      </c>
      <c r="R639" s="25">
        <f t="array" aca="1" ref="R639" ca="1">INDEX('Lorri 401b'!L:L,MATCH('Retirement Calculator'!A639,'Lorri 401b'!N:N,0),0)</f>
        <v>-2980884.7206820319</v>
      </c>
      <c r="S639" s="25">
        <f t="shared" ca="1" si="527"/>
        <v>-5099024.7549742246</v>
      </c>
    </row>
    <row r="640" spans="1:19" ht="15.75" customHeight="1" x14ac:dyDescent="0.3">
      <c r="A640" s="37">
        <v>70434</v>
      </c>
      <c r="B640" s="398">
        <f t="shared" ref="B640:C640" si="646">($A640-B$9)/365.25</f>
        <v>110.9596167008898</v>
      </c>
      <c r="C640" s="398">
        <f t="shared" si="646"/>
        <v>106.34907597535934</v>
      </c>
      <c r="E640" s="25">
        <f>IF(C640&gt;$B$7,0,'Combined Retirement'!$D$13/12)</f>
        <v>0</v>
      </c>
      <c r="F640" s="25">
        <f>IF(H640=0,'Combined Retirement'!$D$32,0)+'Combined Retirement'!$B$24</f>
        <v>2870.372285649099</v>
      </c>
      <c r="G640" s="25">
        <f>'Combined Retirement'!$C$24</f>
        <v>3254.2644699519233</v>
      </c>
      <c r="H640" s="25">
        <f>IF(B640&lt;62,0,'Combined Retirement'!$I$14)</f>
        <v>2345</v>
      </c>
      <c r="I640" s="25">
        <f>IF(C640&lt;62,0,'Combined Retirement'!$I$13)</f>
        <v>2420</v>
      </c>
      <c r="J640" s="25">
        <f t="shared" si="523"/>
        <v>8395.6297298201844</v>
      </c>
      <c r="K640" s="25">
        <f t="shared" si="524"/>
        <v>21655.303514578787</v>
      </c>
      <c r="L640" s="25"/>
      <c r="N640" s="25">
        <f>'Combined Retirement'!$C$18/12</f>
        <v>40940.569999999992</v>
      </c>
      <c r="O640" s="25">
        <f t="shared" si="525"/>
        <v>10889.636755601023</v>
      </c>
      <c r="P640" s="25">
        <f t="shared" si="526"/>
        <v>30050.93324439897</v>
      </c>
      <c r="Q640" s="25">
        <f t="array" aca="1" ref="Q640" ca="1">INDEX('Isaac 401k'!L:L,MATCH('Retirement Calculator'!A640,'Isaac 401k'!N:N,0),0)</f>
        <v>-2135396.2292887713</v>
      </c>
      <c r="R640" s="25">
        <f t="array" aca="1" ref="R640" ca="1">INDEX('Lorri 401b'!L:L,MATCH('Retirement Calculator'!A640,'Lorri 401b'!N:N,0),0)</f>
        <v>-3015050.6076307632</v>
      </c>
      <c r="S640" s="25">
        <f t="shared" ca="1" si="527"/>
        <v>-5150446.836919535</v>
      </c>
    </row>
    <row r="641" spans="1:19" ht="15.75" customHeight="1" x14ac:dyDescent="0.3">
      <c r="A641" s="37">
        <v>70464</v>
      </c>
      <c r="B641" s="398">
        <f t="shared" ref="B641:C641" si="647">($A641-B$9)/365.25</f>
        <v>111.04175222450377</v>
      </c>
      <c r="C641" s="398">
        <f t="shared" si="647"/>
        <v>106.43121149897331</v>
      </c>
      <c r="E641" s="25">
        <f>IF(C641&gt;$B$7,0,'Combined Retirement'!$D$13/12)</f>
        <v>0</v>
      </c>
      <c r="F641" s="25">
        <f>IF(H641=0,'Combined Retirement'!$D$32,0)+'Combined Retirement'!$B$24</f>
        <v>2870.372285649099</v>
      </c>
      <c r="G641" s="25">
        <f>'Combined Retirement'!$C$24</f>
        <v>3254.2644699519233</v>
      </c>
      <c r="H641" s="25">
        <f>IF(B641&lt;62,0,'Combined Retirement'!$I$14)</f>
        <v>2345</v>
      </c>
      <c r="I641" s="25">
        <f>IF(C641&lt;62,0,'Combined Retirement'!$I$13)</f>
        <v>2420</v>
      </c>
      <c r="J641" s="25">
        <f t="shared" si="523"/>
        <v>8395.6297298201844</v>
      </c>
      <c r="K641" s="25">
        <f t="shared" si="524"/>
        <v>21655.303514578787</v>
      </c>
      <c r="L641" s="25"/>
      <c r="N641" s="25">
        <f>'Combined Retirement'!$C$18/12</f>
        <v>40940.569999999992</v>
      </c>
      <c r="O641" s="25">
        <f t="shared" si="525"/>
        <v>10889.636755601023</v>
      </c>
      <c r="P641" s="25">
        <f t="shared" si="526"/>
        <v>30050.93324439897</v>
      </c>
      <c r="Q641" s="25">
        <f t="array" aca="1" ref="Q641" ca="1">INDEX('Isaac 401k'!L:L,MATCH('Retirement Calculator'!A641,'Isaac 401k'!N:N,0),0)</f>
        <v>-2152724.3250978356</v>
      </c>
      <c r="R641" s="25">
        <f t="array" aca="1" ref="R641" ca="1">INDEX('Lorri 401b'!L:L,MATCH('Retirement Calculator'!A641,'Lorri 401b'!N:N,0),0)</f>
        <v>-3049358.8524417812</v>
      </c>
      <c r="S641" s="25">
        <f t="shared" ca="1" si="527"/>
        <v>-5202083.1775396168</v>
      </c>
    </row>
    <row r="642" spans="1:19" ht="15.75" customHeight="1" x14ac:dyDescent="0.3">
      <c r="A642" s="37">
        <v>70495</v>
      </c>
      <c r="B642" s="398">
        <f t="shared" ref="B642:C642" si="648">($A642-B$9)/365.25</f>
        <v>111.12662559890487</v>
      </c>
      <c r="C642" s="398">
        <f t="shared" si="648"/>
        <v>106.5160848733744</v>
      </c>
      <c r="E642" s="25">
        <f>IF(C642&gt;$B$7,0,'Combined Retirement'!$D$13/12)</f>
        <v>0</v>
      </c>
      <c r="F642" s="25">
        <f>IF(H642=0,'Combined Retirement'!$D$32,0)+'Combined Retirement'!$B$24</f>
        <v>2870.372285649099</v>
      </c>
      <c r="G642" s="25">
        <f>'Combined Retirement'!$C$24</f>
        <v>3254.2644699519233</v>
      </c>
      <c r="H642" s="25">
        <f>IF(B642&lt;62,0,'Combined Retirement'!$I$14)</f>
        <v>2345</v>
      </c>
      <c r="I642" s="25">
        <f>IF(C642&lt;62,0,'Combined Retirement'!$I$13)</f>
        <v>2420</v>
      </c>
      <c r="J642" s="25">
        <f t="shared" si="523"/>
        <v>8395.6297298201844</v>
      </c>
      <c r="K642" s="25">
        <f t="shared" si="524"/>
        <v>21655.303514578787</v>
      </c>
      <c r="L642" s="25"/>
      <c r="N642" s="25">
        <f>'Combined Retirement'!$C$18/12</f>
        <v>40940.569999999992</v>
      </c>
      <c r="O642" s="25">
        <f t="shared" si="525"/>
        <v>10889.636755601023</v>
      </c>
      <c r="P642" s="25">
        <f t="shared" si="526"/>
        <v>30050.93324439897</v>
      </c>
      <c r="Q642" s="25">
        <f t="array" aca="1" ref="Q642" ca="1">INDEX('Isaac 401k'!L:L,MATCH('Retirement Calculator'!A642,'Isaac 401k'!N:N,0),0)</f>
        <v>-2170124.6213061046</v>
      </c>
      <c r="R642" s="25">
        <f t="array" aca="1" ref="R642" ca="1">INDEX('Lorri 401b'!L:L,MATCH('Retirement Calculator'!A642,'Lorri 401b'!N:N,0),0)</f>
        <v>-3083810.0482728449</v>
      </c>
      <c r="S642" s="25">
        <f t="shared" ca="1" si="527"/>
        <v>-5253934.669578949</v>
      </c>
    </row>
    <row r="643" spans="1:19" ht="15.75" customHeight="1" x14ac:dyDescent="0.3">
      <c r="A643" s="37">
        <v>70526</v>
      </c>
      <c r="B643" s="398">
        <f t="shared" ref="B643:C643" si="649">($A643-B$9)/365.25</f>
        <v>111.21149897330595</v>
      </c>
      <c r="C643" s="398">
        <f t="shared" si="649"/>
        <v>106.60095824777549</v>
      </c>
      <c r="E643" s="25">
        <f>IF(C643&gt;$B$7,0,'Combined Retirement'!$D$13/12)</f>
        <v>0</v>
      </c>
      <c r="F643" s="25">
        <f>IF(H643=0,'Combined Retirement'!$D$32,0)+'Combined Retirement'!$B$24</f>
        <v>2870.372285649099</v>
      </c>
      <c r="G643" s="25">
        <f>'Combined Retirement'!$C$24</f>
        <v>3254.2644699519233</v>
      </c>
      <c r="H643" s="25">
        <f>IF(B643&lt;62,0,'Combined Retirement'!$I$14)</f>
        <v>2345</v>
      </c>
      <c r="I643" s="25">
        <f>IF(C643&lt;62,0,'Combined Retirement'!$I$13)</f>
        <v>2420</v>
      </c>
      <c r="J643" s="25">
        <f t="shared" si="523"/>
        <v>8395.6297298201844</v>
      </c>
      <c r="K643" s="25">
        <f t="shared" si="524"/>
        <v>21655.303514578787</v>
      </c>
      <c r="L643" s="25"/>
      <c r="N643" s="25">
        <f>'Combined Retirement'!$C$18/12</f>
        <v>40940.569999999992</v>
      </c>
      <c r="O643" s="25">
        <f t="shared" si="525"/>
        <v>10889.636755601023</v>
      </c>
      <c r="P643" s="25">
        <f t="shared" si="526"/>
        <v>30050.93324439897</v>
      </c>
      <c r="Q643" s="25">
        <f t="array" aca="1" ref="Q643" ca="1">INDEX('Isaac 401k'!L:L,MATCH('Retirement Calculator'!A643,'Isaac 401k'!N:N,0),0)</f>
        <v>-2187597.4187485748</v>
      </c>
      <c r="R643" s="25">
        <f t="array" aca="1" ref="R643" ca="1">INDEX('Lorri 401b'!L:L,MATCH('Retirement Calculator'!A643,'Lorri 401b'!N:N,0),0)</f>
        <v>-3118404.7907532048</v>
      </c>
      <c r="S643" s="25">
        <f t="shared" ca="1" si="527"/>
        <v>-5306002.2095017796</v>
      </c>
    </row>
    <row r="644" spans="1:19" ht="15.75" customHeight="1" x14ac:dyDescent="0.3">
      <c r="A644" s="37">
        <v>70554</v>
      </c>
      <c r="B644" s="398">
        <f t="shared" ref="B644:C644" si="650">($A644-B$9)/365.25</f>
        <v>111.28815879534565</v>
      </c>
      <c r="C644" s="398">
        <f t="shared" si="650"/>
        <v>106.6776180698152</v>
      </c>
      <c r="E644" s="25">
        <f>IF(C644&gt;$B$7,0,'Combined Retirement'!$D$13/12)</f>
        <v>0</v>
      </c>
      <c r="F644" s="25">
        <f>IF(H644=0,'Combined Retirement'!$D$32,0)+'Combined Retirement'!$B$24</f>
        <v>2870.372285649099</v>
      </c>
      <c r="G644" s="25">
        <f>'Combined Retirement'!$C$24</f>
        <v>3254.2644699519233</v>
      </c>
      <c r="H644" s="25">
        <f>IF(B644&lt;62,0,'Combined Retirement'!$I$14)</f>
        <v>2345</v>
      </c>
      <c r="I644" s="25">
        <f>IF(C644&lt;62,0,'Combined Retirement'!$I$13)</f>
        <v>2420</v>
      </c>
      <c r="J644" s="25">
        <f t="shared" si="523"/>
        <v>8395.6297298201844</v>
      </c>
      <c r="K644" s="25">
        <f t="shared" si="524"/>
        <v>21655.303514578787</v>
      </c>
      <c r="L644" s="25"/>
      <c r="N644" s="25">
        <f>'Combined Retirement'!$C$18/12</f>
        <v>40940.569999999992</v>
      </c>
      <c r="O644" s="25">
        <f t="shared" si="525"/>
        <v>10889.636755601023</v>
      </c>
      <c r="P644" s="25">
        <f t="shared" si="526"/>
        <v>30050.93324439897</v>
      </c>
      <c r="Q644" s="25">
        <f t="array" aca="1" ref="Q644" ca="1">INDEX('Isaac 401k'!L:L,MATCH('Retirement Calculator'!A644,'Isaac 401k'!N:N,0),0)</f>
        <v>-2205143.019513722</v>
      </c>
      <c r="R644" s="25">
        <f t="array" aca="1" ref="R644" ca="1">INDEX('Lorri 401b'!L:L,MATCH('Retirement Calculator'!A644,'Lorri 401b'!N:N,0),0)</f>
        <v>-3153143.6779938997</v>
      </c>
      <c r="S644" s="25">
        <f t="shared" ca="1" si="527"/>
        <v>-5358286.6975076217</v>
      </c>
    </row>
    <row r="645" spans="1:19" ht="15.75" customHeight="1" x14ac:dyDescent="0.3">
      <c r="A645" s="37">
        <v>70585</v>
      </c>
      <c r="B645" s="398">
        <f t="shared" ref="B645:C645" si="651">($A645-B$9)/365.25</f>
        <v>111.37303216974675</v>
      </c>
      <c r="C645" s="398">
        <f t="shared" si="651"/>
        <v>106.76249144421629</v>
      </c>
      <c r="E645" s="25">
        <f>IF(C645&gt;$B$7,0,'Combined Retirement'!$D$13/12)</f>
        <v>0</v>
      </c>
      <c r="F645" s="25">
        <f>IF(H645=0,'Combined Retirement'!$D$32,0)+'Combined Retirement'!$B$24</f>
        <v>2870.372285649099</v>
      </c>
      <c r="G645" s="25">
        <f>'Combined Retirement'!$C$24</f>
        <v>3254.2644699519233</v>
      </c>
      <c r="H645" s="25">
        <f>IF(B645&lt;62,0,'Combined Retirement'!$I$14)</f>
        <v>2345</v>
      </c>
      <c r="I645" s="25">
        <f>IF(C645&lt;62,0,'Combined Retirement'!$I$13)</f>
        <v>2420</v>
      </c>
      <c r="J645" s="25">
        <f t="shared" si="523"/>
        <v>8395.6297298201844</v>
      </c>
      <c r="K645" s="25">
        <f t="shared" si="524"/>
        <v>21655.303514578787</v>
      </c>
      <c r="L645" s="25"/>
      <c r="N645" s="25">
        <f>'Combined Retirement'!$C$18/12</f>
        <v>40940.569999999992</v>
      </c>
      <c r="O645" s="25">
        <f t="shared" si="525"/>
        <v>10889.636755601023</v>
      </c>
      <c r="P645" s="25">
        <f t="shared" si="526"/>
        <v>30050.93324439897</v>
      </c>
      <c r="Q645" s="25">
        <f t="array" aca="1" ref="Q645" ca="1">INDEX('Isaac 401k'!L:L,MATCH('Retirement Calculator'!A645,'Isaac 401k'!N:N,0),0)</f>
        <v>-2222761.7269487237</v>
      </c>
      <c r="R645" s="25">
        <f t="array" aca="1" ref="R645" ca="1">INDEX('Lorri 401b'!L:L,MATCH('Retirement Calculator'!A645,'Lorri 401b'!N:N,0),0)</f>
        <v>-3188027.3105980973</v>
      </c>
      <c r="S645" s="25">
        <f t="shared" ca="1" si="527"/>
        <v>-5410789.0375468209</v>
      </c>
    </row>
    <row r="646" spans="1:19" ht="15.75" customHeight="1" x14ac:dyDescent="0.3">
      <c r="A646" s="37">
        <v>70615</v>
      </c>
      <c r="B646" s="398">
        <f t="shared" ref="B646:C646" si="652">($A646-B$9)/365.25</f>
        <v>111.45516769336071</v>
      </c>
      <c r="C646" s="398">
        <f t="shared" si="652"/>
        <v>106.84462696783025</v>
      </c>
      <c r="E646" s="25">
        <f>IF(C646&gt;$B$7,0,'Combined Retirement'!$D$13/12)</f>
        <v>0</v>
      </c>
      <c r="F646" s="25">
        <f>IF(H646=0,'Combined Retirement'!$D$32,0)+'Combined Retirement'!$B$24</f>
        <v>2870.372285649099</v>
      </c>
      <c r="G646" s="25">
        <f>'Combined Retirement'!$C$24</f>
        <v>3254.2644699519233</v>
      </c>
      <c r="H646" s="25">
        <f>IF(B646&lt;62,0,'Combined Retirement'!$I$14)</f>
        <v>2345</v>
      </c>
      <c r="I646" s="25">
        <f>IF(C646&lt;62,0,'Combined Retirement'!$I$13)</f>
        <v>2420</v>
      </c>
      <c r="J646" s="25">
        <f t="shared" si="523"/>
        <v>8395.6297298201844</v>
      </c>
      <c r="K646" s="25">
        <f t="shared" si="524"/>
        <v>21655.303514578787</v>
      </c>
      <c r="L646" s="25"/>
      <c r="N646" s="25">
        <f>'Combined Retirement'!$C$18/12</f>
        <v>40940.569999999992</v>
      </c>
      <c r="O646" s="25">
        <f t="shared" si="525"/>
        <v>10889.636755601023</v>
      </c>
      <c r="P646" s="25">
        <f t="shared" si="526"/>
        <v>30050.93324439897</v>
      </c>
      <c r="Q646" s="25">
        <f t="array" aca="1" ref="Q646" ca="1">INDEX('Isaac 401k'!L:L,MATCH('Retirement Calculator'!A646,'Isaac 401k'!N:N,0),0)</f>
        <v>-2240453.8456647047</v>
      </c>
      <c r="R646" s="25">
        <f t="array" aca="1" ref="R646" ca="1">INDEX('Lorri 401b'!L:L,MATCH('Retirement Calculator'!A646,'Lorri 401b'!N:N,0),0)</f>
        <v>-3223056.2916714791</v>
      </c>
      <c r="S646" s="25">
        <f t="shared" ca="1" si="527"/>
        <v>-5463510.1373361833</v>
      </c>
    </row>
    <row r="647" spans="1:19" ht="15.75" customHeight="1" x14ac:dyDescent="0.3">
      <c r="A647" s="37">
        <v>70646</v>
      </c>
      <c r="B647" s="398">
        <f t="shared" ref="B647:C647" si="653">($A647-B$9)/365.25</f>
        <v>111.54004106776181</v>
      </c>
      <c r="C647" s="398">
        <f t="shared" si="653"/>
        <v>106.92950034223135</v>
      </c>
      <c r="E647" s="25">
        <f>IF(C647&gt;$B$7,0,'Combined Retirement'!$D$13/12)</f>
        <v>0</v>
      </c>
      <c r="F647" s="25">
        <f>IF(H647=0,'Combined Retirement'!$D$32,0)+'Combined Retirement'!$B$24</f>
        <v>2870.372285649099</v>
      </c>
      <c r="G647" s="25">
        <f>'Combined Retirement'!$C$24</f>
        <v>3254.2644699519233</v>
      </c>
      <c r="H647" s="25">
        <f>IF(B647&lt;62,0,'Combined Retirement'!$I$14)</f>
        <v>2345</v>
      </c>
      <c r="I647" s="25">
        <f>IF(C647&lt;62,0,'Combined Retirement'!$I$13)</f>
        <v>2420</v>
      </c>
      <c r="J647" s="25">
        <f t="shared" si="523"/>
        <v>8395.6297298201844</v>
      </c>
      <c r="K647" s="25">
        <f t="shared" si="524"/>
        <v>21655.303514578787</v>
      </c>
      <c r="L647" s="25"/>
      <c r="N647" s="25">
        <f>'Combined Retirement'!$C$18/12</f>
        <v>40940.569999999992</v>
      </c>
      <c r="O647" s="25">
        <f t="shared" si="525"/>
        <v>10889.636755601023</v>
      </c>
      <c r="P647" s="25">
        <f t="shared" si="526"/>
        <v>30050.93324439897</v>
      </c>
      <c r="Q647" s="25">
        <f t="array" aca="1" ref="Q647" ca="1">INDEX('Isaac 401k'!L:L,MATCH('Retirement Calculator'!A647,'Isaac 401k'!N:N,0),0)</f>
        <v>-2258219.6815420021</v>
      </c>
      <c r="R647" s="25">
        <f t="array" aca="1" ref="R647" ca="1">INDEX('Lorri 401b'!L:L,MATCH('Retirement Calculator'!A647,'Lorri 401b'!N:N,0),0)</f>
        <v>-3258231.2268326664</v>
      </c>
      <c r="S647" s="25">
        <f t="shared" ca="1" si="527"/>
        <v>-5516450.908374669</v>
      </c>
    </row>
    <row r="648" spans="1:19" ht="15.75" customHeight="1" x14ac:dyDescent="0.3">
      <c r="A648" s="37">
        <v>70676</v>
      </c>
      <c r="B648" s="398">
        <f t="shared" ref="B648:C648" si="654">($A648-B$9)/365.25</f>
        <v>111.62217659137578</v>
      </c>
      <c r="C648" s="398">
        <f t="shared" si="654"/>
        <v>107.01163586584531</v>
      </c>
      <c r="E648" s="25">
        <f>IF(C648&gt;$B$7,0,'Combined Retirement'!$D$13/12)</f>
        <v>0</v>
      </c>
      <c r="F648" s="25">
        <f>IF(H648=0,'Combined Retirement'!$D$32,0)+'Combined Retirement'!$B$24</f>
        <v>2870.372285649099</v>
      </c>
      <c r="G648" s="25">
        <f>'Combined Retirement'!$C$24</f>
        <v>3254.2644699519233</v>
      </c>
      <c r="H648" s="25">
        <f>IF(B648&lt;62,0,'Combined Retirement'!$I$14)</f>
        <v>2345</v>
      </c>
      <c r="I648" s="25">
        <f>IF(C648&lt;62,0,'Combined Retirement'!$I$13)</f>
        <v>2420</v>
      </c>
      <c r="J648" s="25">
        <f t="shared" si="523"/>
        <v>8395.6297298201844</v>
      </c>
      <c r="K648" s="25">
        <f t="shared" si="524"/>
        <v>21655.303514578787</v>
      </c>
      <c r="L648" s="25"/>
      <c r="N648" s="25">
        <f>'Combined Retirement'!$C$18/12</f>
        <v>40940.569999999992</v>
      </c>
      <c r="O648" s="25">
        <f t="shared" si="525"/>
        <v>10889.636755601023</v>
      </c>
      <c r="P648" s="25">
        <f t="shared" si="526"/>
        <v>30050.93324439897</v>
      </c>
      <c r="Q648" s="25">
        <f t="array" aca="1" ref="Q648" ca="1">INDEX('Isaac 401k'!L:L,MATCH('Retirement Calculator'!A648,'Isaac 401k'!N:N,0),0)</f>
        <v>-2276059.5417354549</v>
      </c>
      <c r="R648" s="25">
        <f t="array" aca="1" ref="R648" ca="1">INDEX('Lorri 401b'!L:L,MATCH('Retirement Calculator'!A648,'Lorri 401b'!N:N,0),0)</f>
        <v>-3293552.724223692</v>
      </c>
      <c r="S648" s="25">
        <f t="shared" ca="1" si="527"/>
        <v>-5569612.2659591474</v>
      </c>
    </row>
    <row r="649" spans="1:19" ht="15.75" customHeight="1" x14ac:dyDescent="0.3">
      <c r="A649" s="37">
        <v>70707</v>
      </c>
      <c r="B649" s="398">
        <f t="shared" ref="B649:C649" si="655">($A649-B$9)/365.25</f>
        <v>111.70704996577686</v>
      </c>
      <c r="C649" s="398">
        <f t="shared" si="655"/>
        <v>107.09650924024641</v>
      </c>
      <c r="E649" s="25">
        <f>IF(C649&gt;$B$7,0,'Combined Retirement'!$D$13/12)</f>
        <v>0</v>
      </c>
      <c r="F649" s="25">
        <f>IF(H649=0,'Combined Retirement'!$D$32,0)+'Combined Retirement'!$B$24</f>
        <v>2870.372285649099</v>
      </c>
      <c r="G649" s="25">
        <f>'Combined Retirement'!$C$24</f>
        <v>3254.2644699519233</v>
      </c>
      <c r="H649" s="25">
        <f>IF(B649&lt;62,0,'Combined Retirement'!$I$14)</f>
        <v>2345</v>
      </c>
      <c r="I649" s="25">
        <f>IF(C649&lt;62,0,'Combined Retirement'!$I$13)</f>
        <v>2420</v>
      </c>
      <c r="J649" s="25">
        <f t="shared" si="523"/>
        <v>8395.6297298201844</v>
      </c>
      <c r="K649" s="25">
        <f t="shared" si="524"/>
        <v>21655.303514578787</v>
      </c>
      <c r="L649" s="25"/>
      <c r="N649" s="25">
        <f>'Combined Retirement'!$C$18/12</f>
        <v>40940.569999999992</v>
      </c>
      <c r="O649" s="25">
        <f t="shared" si="525"/>
        <v>10889.636755601023</v>
      </c>
      <c r="P649" s="25">
        <f t="shared" si="526"/>
        <v>30050.93324439897</v>
      </c>
      <c r="Q649" s="25">
        <f t="array" aca="1" ref="Q649" ca="1">INDEX('Isaac 401k'!L:L,MATCH('Retirement Calculator'!A649,'Isaac 401k'!N:N,0),0)</f>
        <v>-2293973.7346797138</v>
      </c>
      <c r="R649" s="25">
        <f t="array" aca="1" ref="R649" ca="1">INDEX('Lorri 401b'!L:L,MATCH('Retirement Calculator'!A649,'Lorri 401b'!N:N,0),0)</f>
        <v>-3329021.3945205137</v>
      </c>
      <c r="S649" s="25">
        <f t="shared" ca="1" si="527"/>
        <v>-5622995.1292002276</v>
      </c>
    </row>
    <row r="650" spans="1:19" ht="15.75" customHeight="1" x14ac:dyDescent="0.3">
      <c r="A650" s="37">
        <v>70738</v>
      </c>
      <c r="B650" s="398">
        <f t="shared" ref="B650:C650" si="656">($A650-B$9)/365.25</f>
        <v>111.79192334017796</v>
      </c>
      <c r="C650" s="398">
        <f t="shared" si="656"/>
        <v>107.1813826146475</v>
      </c>
      <c r="E650" s="25">
        <f>IF(C650&gt;$B$7,0,'Combined Retirement'!$D$13/12)</f>
        <v>0</v>
      </c>
      <c r="F650" s="25">
        <f>IF(H650=0,'Combined Retirement'!$D$32,0)+'Combined Retirement'!$B$24</f>
        <v>2870.372285649099</v>
      </c>
      <c r="G650" s="25">
        <f>'Combined Retirement'!$C$24</f>
        <v>3254.2644699519233</v>
      </c>
      <c r="H650" s="25">
        <f>IF(B650&lt;62,0,'Combined Retirement'!$I$14)</f>
        <v>2345</v>
      </c>
      <c r="I650" s="25">
        <f>IF(C650&lt;62,0,'Combined Retirement'!$I$13)</f>
        <v>2420</v>
      </c>
      <c r="J650" s="25">
        <f t="shared" si="523"/>
        <v>8395.6297298201844</v>
      </c>
      <c r="K650" s="25">
        <f t="shared" si="524"/>
        <v>21655.303514578787</v>
      </c>
      <c r="L650" s="25"/>
      <c r="N650" s="25">
        <f>'Combined Retirement'!$C$18/12</f>
        <v>40940.569999999992</v>
      </c>
      <c r="O650" s="25">
        <f t="shared" si="525"/>
        <v>10889.636755601023</v>
      </c>
      <c r="P650" s="25">
        <f t="shared" si="526"/>
        <v>30050.93324439897</v>
      </c>
      <c r="Q650" s="25">
        <f t="array" aca="1" ref="Q650" ca="1">INDEX('Isaac 401k'!L:L,MATCH('Retirement Calculator'!A650,'Isaac 401k'!N:N,0),0)</f>
        <v>-2311962.5700945738</v>
      </c>
      <c r="R650" s="25">
        <f t="array" aca="1" ref="R650" ca="1">INDEX('Lorri 401b'!L:L,MATCH('Retirement Calculator'!A650,'Lorri 401b'!N:N,0),0)</f>
        <v>-3364637.8509435719</v>
      </c>
      <c r="S650" s="25">
        <f t="shared" ca="1" si="527"/>
        <v>-5676600.4210381452</v>
      </c>
    </row>
    <row r="651" spans="1:19" ht="15.75" customHeight="1" x14ac:dyDescent="0.3">
      <c r="A651" s="37">
        <v>70768</v>
      </c>
      <c r="B651" s="398">
        <f t="shared" ref="B651:C651" si="657">($A651-B$9)/365.25</f>
        <v>111.87405886379193</v>
      </c>
      <c r="C651" s="398">
        <f t="shared" si="657"/>
        <v>107.26351813826146</v>
      </c>
      <c r="E651" s="25">
        <f>IF(C651&gt;$B$7,0,'Combined Retirement'!$D$13/12)</f>
        <v>0</v>
      </c>
      <c r="F651" s="25">
        <f>IF(H651=0,'Combined Retirement'!$D$32,0)+'Combined Retirement'!$B$24</f>
        <v>2870.372285649099</v>
      </c>
      <c r="G651" s="25">
        <f>'Combined Retirement'!$C$24</f>
        <v>3254.2644699519233</v>
      </c>
      <c r="H651" s="25">
        <f>IF(B651&lt;62,0,'Combined Retirement'!$I$14)</f>
        <v>2345</v>
      </c>
      <c r="I651" s="25">
        <f>IF(C651&lt;62,0,'Combined Retirement'!$I$13)</f>
        <v>2420</v>
      </c>
      <c r="J651" s="25">
        <f t="shared" si="523"/>
        <v>8395.6297298201844</v>
      </c>
      <c r="K651" s="25">
        <f t="shared" si="524"/>
        <v>21655.303514578787</v>
      </c>
      <c r="L651" s="25"/>
      <c r="N651" s="25">
        <f>'Combined Retirement'!$C$18/12</f>
        <v>40940.569999999992</v>
      </c>
      <c r="O651" s="25">
        <f t="shared" si="525"/>
        <v>10889.636755601023</v>
      </c>
      <c r="P651" s="25">
        <f t="shared" si="526"/>
        <v>30050.93324439897</v>
      </c>
      <c r="Q651" s="25">
        <f t="array" aca="1" ref="Q651" ca="1">INDEX('Isaac 401k'!L:L,MATCH('Retirement Calculator'!A651,'Isaac 401k'!N:N,0),0)</f>
        <v>-2330026.3589903293</v>
      </c>
      <c r="R651" s="25">
        <f t="array" aca="1" ref="R651" ca="1">INDEX('Lorri 401b'!L:L,MATCH('Retirement Calculator'!A651,'Lorri 401b'!N:N,0),0)</f>
        <v>-3400402.709268393</v>
      </c>
      <c r="S651" s="25">
        <f t="shared" ca="1" si="527"/>
        <v>-5730429.0682587223</v>
      </c>
    </row>
    <row r="652" spans="1:19" ht="15.75" customHeight="1" x14ac:dyDescent="0.3">
      <c r="A652" s="37">
        <v>70799</v>
      </c>
      <c r="B652" s="398">
        <f t="shared" ref="B652:C652" si="658">($A652-B$9)/365.25</f>
        <v>111.95893223819301</v>
      </c>
      <c r="C652" s="398">
        <f t="shared" si="658"/>
        <v>107.34839151266256</v>
      </c>
      <c r="E652" s="25">
        <f>IF(C652&gt;$B$7,0,'Combined Retirement'!$D$13/12)</f>
        <v>0</v>
      </c>
      <c r="F652" s="25">
        <f>IF(H652=0,'Combined Retirement'!$D$32,0)+'Combined Retirement'!$B$24</f>
        <v>2870.372285649099</v>
      </c>
      <c r="G652" s="25">
        <f>'Combined Retirement'!$C$24</f>
        <v>3254.2644699519233</v>
      </c>
      <c r="H652" s="25">
        <f>IF(B652&lt;62,0,'Combined Retirement'!$I$14)</f>
        <v>2345</v>
      </c>
      <c r="I652" s="25">
        <f>IF(C652&lt;62,0,'Combined Retirement'!$I$13)</f>
        <v>2420</v>
      </c>
      <c r="J652" s="25">
        <f t="shared" si="523"/>
        <v>8395.6297298201844</v>
      </c>
      <c r="K652" s="25">
        <f t="shared" si="524"/>
        <v>21655.303514578787</v>
      </c>
      <c r="L652" s="25"/>
      <c r="N652" s="25">
        <f>'Combined Retirement'!$C$18/12</f>
        <v>40940.569999999992</v>
      </c>
      <c r="O652" s="25">
        <f t="shared" si="525"/>
        <v>10889.636755601023</v>
      </c>
      <c r="P652" s="25">
        <f t="shared" si="526"/>
        <v>30050.93324439897</v>
      </c>
      <c r="Q652" s="25">
        <f t="array" aca="1" ref="Q652" ca="1">INDEX('Isaac 401k'!L:L,MATCH('Retirement Calculator'!A652,'Isaac 401k'!N:N,0),0)</f>
        <v>-2348165.4136731504</v>
      </c>
      <c r="R652" s="25">
        <f t="array" aca="1" ref="R652" ca="1">INDEX('Lorri 401b'!L:L,MATCH('Retirement Calculator'!A652,'Lorri 401b'!N:N,0),0)</f>
        <v>-3436316.5878362344</v>
      </c>
      <c r="S652" s="25">
        <f t="shared" ca="1" si="527"/>
        <v>-5784482.0015093852</v>
      </c>
    </row>
    <row r="653" spans="1:19" ht="15.75" customHeight="1" x14ac:dyDescent="0.3">
      <c r="A653" s="37">
        <v>70829</v>
      </c>
      <c r="B653" s="398">
        <f t="shared" ref="B653:C653" si="659">($A653-B$9)/365.25</f>
        <v>112.04106776180699</v>
      </c>
      <c r="C653" s="398">
        <f t="shared" si="659"/>
        <v>107.43052703627653</v>
      </c>
      <c r="E653" s="25">
        <f>IF(C653&gt;$B$7,0,'Combined Retirement'!$D$13/12)</f>
        <v>0</v>
      </c>
      <c r="F653" s="25">
        <f>IF(H653=0,'Combined Retirement'!$D$32,0)+'Combined Retirement'!$B$24</f>
        <v>2870.372285649099</v>
      </c>
      <c r="G653" s="25">
        <f>'Combined Retirement'!$C$24</f>
        <v>3254.2644699519233</v>
      </c>
      <c r="H653" s="25">
        <f>IF(B653&lt;62,0,'Combined Retirement'!$I$14)</f>
        <v>2345</v>
      </c>
      <c r="I653" s="25">
        <f>IF(C653&lt;62,0,'Combined Retirement'!$I$13)</f>
        <v>2420</v>
      </c>
      <c r="J653" s="25">
        <f t="shared" si="523"/>
        <v>8395.6297298201844</v>
      </c>
      <c r="K653" s="25">
        <f t="shared" si="524"/>
        <v>21655.303514578787</v>
      </c>
      <c r="L653" s="25"/>
      <c r="N653" s="25">
        <f>'Combined Retirement'!$C$18/12</f>
        <v>40940.569999999992</v>
      </c>
      <c r="O653" s="25">
        <f t="shared" si="525"/>
        <v>10889.636755601023</v>
      </c>
      <c r="P653" s="25">
        <f t="shared" si="526"/>
        <v>30050.93324439897</v>
      </c>
      <c r="Q653" s="25">
        <f t="array" aca="1" ref="Q653" ca="1">INDEX('Isaac 401k'!L:L,MATCH('Retirement Calculator'!A653,'Isaac 401k'!N:N,0),0)</f>
        <v>-2366380.0477504833</v>
      </c>
      <c r="R653" s="25">
        <f t="array" aca="1" ref="R653" ca="1">INDEX('Lorri 401b'!L:L,MATCH('Retirement Calculator'!A653,'Lorri 401b'!N:N,0),0)</f>
        <v>-3472380.1075647748</v>
      </c>
      <c r="S653" s="25">
        <f t="shared" ca="1" si="527"/>
        <v>-5838760.1553152576</v>
      </c>
    </row>
    <row r="654" spans="1:19" ht="15.75" customHeight="1" x14ac:dyDescent="0.3">
      <c r="A654" s="37">
        <v>70860</v>
      </c>
      <c r="B654" s="398">
        <f t="shared" ref="B654:C654" si="660">($A654-B$9)/365.25</f>
        <v>112.12594113620807</v>
      </c>
      <c r="C654" s="398">
        <f t="shared" si="660"/>
        <v>107.51540041067761</v>
      </c>
      <c r="E654" s="25">
        <f>IF(C654&gt;$B$7,0,'Combined Retirement'!$D$13/12)</f>
        <v>0</v>
      </c>
      <c r="F654" s="25">
        <f>IF(H654=0,'Combined Retirement'!$D$32,0)+'Combined Retirement'!$B$24</f>
        <v>2870.372285649099</v>
      </c>
      <c r="G654" s="25">
        <f>'Combined Retirement'!$C$24</f>
        <v>3254.2644699519233</v>
      </c>
      <c r="H654" s="25">
        <f>IF(B654&lt;62,0,'Combined Retirement'!$I$14)</f>
        <v>2345</v>
      </c>
      <c r="I654" s="25">
        <f>IF(C654&lt;62,0,'Combined Retirement'!$I$13)</f>
        <v>2420</v>
      </c>
      <c r="J654" s="25">
        <f t="shared" si="523"/>
        <v>8395.6297298201844</v>
      </c>
      <c r="K654" s="25">
        <f t="shared" si="524"/>
        <v>21655.303514578787</v>
      </c>
      <c r="L654" s="25"/>
      <c r="N654" s="25">
        <f>'Combined Retirement'!$C$18/12</f>
        <v>40940.569999999992</v>
      </c>
      <c r="O654" s="25">
        <f t="shared" si="525"/>
        <v>10889.636755601023</v>
      </c>
      <c r="P654" s="25">
        <f t="shared" si="526"/>
        <v>30050.93324439897</v>
      </c>
      <c r="Q654" s="25">
        <f t="array" aca="1" ref="Q654" ca="1">INDEX('Isaac 401k'!L:L,MATCH('Retirement Calculator'!A654,'Isaac 401k'!N:N,0),0)</f>
        <v>-2384670.5761364717</v>
      </c>
      <c r="R654" s="25">
        <f t="array" aca="1" ref="R654" ca="1">INDEX('Lorri 401b'!L:L,MATCH('Retirement Calculator'!A654,'Lorri 401b'!N:N,0),0)</f>
        <v>-3508593.8919588509</v>
      </c>
      <c r="S654" s="25">
        <f t="shared" ca="1" si="527"/>
        <v>-5893264.4680953231</v>
      </c>
    </row>
    <row r="655" spans="1:19" ht="15.75" customHeight="1" x14ac:dyDescent="0.3">
      <c r="A655" s="37">
        <v>70891</v>
      </c>
      <c r="B655" s="398">
        <f t="shared" ref="B655:C655" si="661">($A655-B$9)/365.25</f>
        <v>112.21081451060917</v>
      </c>
      <c r="C655" s="398">
        <f t="shared" si="661"/>
        <v>107.60027378507871</v>
      </c>
      <c r="E655" s="25">
        <f>IF(C655&gt;$B$7,0,'Combined Retirement'!$D$13/12)</f>
        <v>0</v>
      </c>
      <c r="F655" s="25">
        <f>IF(H655=0,'Combined Retirement'!$D$32,0)+'Combined Retirement'!$B$24</f>
        <v>2870.372285649099</v>
      </c>
      <c r="G655" s="25">
        <f>'Combined Retirement'!$C$24</f>
        <v>3254.2644699519233</v>
      </c>
      <c r="H655" s="25">
        <f>IF(B655&lt;62,0,'Combined Retirement'!$I$14)</f>
        <v>2345</v>
      </c>
      <c r="I655" s="25">
        <f>IF(C655&lt;62,0,'Combined Retirement'!$I$13)</f>
        <v>2420</v>
      </c>
      <c r="J655" s="25">
        <f t="shared" si="523"/>
        <v>8395.6297298201844</v>
      </c>
      <c r="K655" s="25">
        <f t="shared" si="524"/>
        <v>21655.303514578787</v>
      </c>
      <c r="L655" s="25"/>
      <c r="N655" s="25">
        <f>'Combined Retirement'!$C$18/12</f>
        <v>40940.569999999992</v>
      </c>
      <c r="O655" s="25">
        <f t="shared" si="525"/>
        <v>10889.636755601023</v>
      </c>
      <c r="P655" s="25">
        <f t="shared" si="526"/>
        <v>30050.93324439897</v>
      </c>
      <c r="Q655" s="25">
        <f t="array" aca="1" ref="Q655" ca="1">INDEX('Isaac 401k'!L:L,MATCH('Retirement Calculator'!A655,'Isaac 401k'!N:N,0),0)</f>
        <v>-2403037.3150574015</v>
      </c>
      <c r="R655" s="25">
        <f t="array" aca="1" ref="R655" ca="1">INDEX('Lorri 401b'!L:L,MATCH('Retirement Calculator'!A655,'Lorri 401b'!N:N,0),0)</f>
        <v>-3544958.5671212357</v>
      </c>
      <c r="S655" s="25">
        <f t="shared" ca="1" si="527"/>
        <v>-5947995.8821786372</v>
      </c>
    </row>
    <row r="656" spans="1:19" ht="15.75" customHeight="1" x14ac:dyDescent="0.3">
      <c r="A656" s="37">
        <v>70919</v>
      </c>
      <c r="B656" s="398">
        <f t="shared" ref="B656:C656" si="662">($A656-B$9)/365.25</f>
        <v>112.28747433264887</v>
      </c>
      <c r="C656" s="398">
        <f t="shared" si="662"/>
        <v>107.67693360711841</v>
      </c>
      <c r="E656" s="25">
        <f>IF(C656&gt;$B$7,0,'Combined Retirement'!$D$13/12)</f>
        <v>0</v>
      </c>
      <c r="F656" s="25">
        <f>IF(H656=0,'Combined Retirement'!$D$32,0)+'Combined Retirement'!$B$24</f>
        <v>2870.372285649099</v>
      </c>
      <c r="G656" s="25">
        <f>'Combined Retirement'!$C$24</f>
        <v>3254.2644699519233</v>
      </c>
      <c r="H656" s="25">
        <f>IF(B656&lt;62,0,'Combined Retirement'!$I$14)</f>
        <v>2345</v>
      </c>
      <c r="I656" s="25">
        <f>IF(C656&lt;62,0,'Combined Retirement'!$I$13)</f>
        <v>2420</v>
      </c>
      <c r="J656" s="25">
        <f t="shared" si="523"/>
        <v>8395.6297298201844</v>
      </c>
      <c r="K656" s="25">
        <f t="shared" si="524"/>
        <v>21655.303514578787</v>
      </c>
      <c r="L656" s="25"/>
      <c r="N656" s="25">
        <f>'Combined Retirement'!$C$18/12</f>
        <v>40940.569999999992</v>
      </c>
      <c r="O656" s="25">
        <f t="shared" si="525"/>
        <v>10889.636755601023</v>
      </c>
      <c r="P656" s="25">
        <f t="shared" si="526"/>
        <v>30050.93324439897</v>
      </c>
      <c r="Q656" s="25">
        <f t="array" aca="1" ref="Q656" ca="1">INDEX('Isaac 401k'!L:L,MATCH('Retirement Calculator'!A656,'Isaac 401k'!N:N,0),0)</f>
        <v>-2421480.5820571687</v>
      </c>
      <c r="R656" s="25">
        <f t="array" aca="1" ref="R656" ca="1">INDEX('Lorri 401b'!L:L,MATCH('Retirement Calculator'!A656,'Lorri 401b'!N:N,0),0)</f>
        <v>-3581474.7617634637</v>
      </c>
      <c r="S656" s="25">
        <f t="shared" ca="1" si="527"/>
        <v>-6002955.3438206324</v>
      </c>
    </row>
    <row r="657" spans="1:19" ht="15.75" customHeight="1" x14ac:dyDescent="0.3">
      <c r="A657" s="37">
        <v>70950</v>
      </c>
      <c r="B657" s="398">
        <f t="shared" ref="B657:C657" si="663">($A657-B$9)/365.25</f>
        <v>112.37234770704997</v>
      </c>
      <c r="C657" s="398">
        <f t="shared" si="663"/>
        <v>107.76180698151951</v>
      </c>
      <c r="E657" s="25">
        <f>IF(C657&gt;$B$7,0,'Combined Retirement'!$D$13/12)</f>
        <v>0</v>
      </c>
      <c r="F657" s="25">
        <f>IF(H657=0,'Combined Retirement'!$D$32,0)+'Combined Retirement'!$B$24</f>
        <v>2870.372285649099</v>
      </c>
      <c r="G657" s="25">
        <f>'Combined Retirement'!$C$24</f>
        <v>3254.2644699519233</v>
      </c>
      <c r="H657" s="25">
        <f>IF(B657&lt;62,0,'Combined Retirement'!$I$14)</f>
        <v>2345</v>
      </c>
      <c r="I657" s="25">
        <f>IF(C657&lt;62,0,'Combined Retirement'!$I$13)</f>
        <v>2420</v>
      </c>
      <c r="J657" s="25">
        <f t="shared" si="523"/>
        <v>8395.6297298201844</v>
      </c>
      <c r="K657" s="25">
        <f t="shared" si="524"/>
        <v>21655.303514578787</v>
      </c>
      <c r="L657" s="25"/>
      <c r="N657" s="25">
        <f>'Combined Retirement'!$C$18/12</f>
        <v>40940.569999999992</v>
      </c>
      <c r="O657" s="25">
        <f t="shared" si="525"/>
        <v>10889.636755601023</v>
      </c>
      <c r="P657" s="25">
        <f t="shared" si="526"/>
        <v>30050.93324439897</v>
      </c>
      <c r="Q657" s="25">
        <f t="array" aca="1" ref="Q657" ca="1">INDEX('Isaac 401k'!L:L,MATCH('Retirement Calculator'!A657,'Isaac 401k'!N:N,0),0)</f>
        <v>-2440000.6960027684</v>
      </c>
      <c r="R657" s="25">
        <f t="array" aca="1" ref="R657" ca="1">INDEX('Lorri 401b'!L:L,MATCH('Retirement Calculator'!A657,'Lorri 401b'!N:N,0),0)</f>
        <v>-3618143.1072167009</v>
      </c>
      <c r="S657" s="25">
        <f t="shared" ca="1" si="527"/>
        <v>-6058143.8032194693</v>
      </c>
    </row>
    <row r="658" spans="1:19" ht="15.75" customHeight="1" x14ac:dyDescent="0.3">
      <c r="A658" s="37">
        <v>70980</v>
      </c>
      <c r="B658" s="398">
        <f t="shared" ref="B658:C658" si="664">($A658-B$9)/365.25</f>
        <v>112.45448323066393</v>
      </c>
      <c r="C658" s="398">
        <f t="shared" si="664"/>
        <v>107.84394250513347</v>
      </c>
      <c r="E658" s="25">
        <f>IF(C658&gt;$B$7,0,'Combined Retirement'!$D$13/12)</f>
        <v>0</v>
      </c>
      <c r="F658" s="25">
        <f>IF(H658=0,'Combined Retirement'!$D$32,0)+'Combined Retirement'!$B$24</f>
        <v>2870.372285649099</v>
      </c>
      <c r="G658" s="25">
        <f>'Combined Retirement'!$C$24</f>
        <v>3254.2644699519233</v>
      </c>
      <c r="H658" s="25">
        <f>IF(B658&lt;62,0,'Combined Retirement'!$I$14)</f>
        <v>2345</v>
      </c>
      <c r="I658" s="25">
        <f>IF(C658&lt;62,0,'Combined Retirement'!$I$13)</f>
        <v>2420</v>
      </c>
      <c r="J658" s="25">
        <f t="shared" si="523"/>
        <v>8395.6297298201844</v>
      </c>
      <c r="K658" s="25">
        <f t="shared" si="524"/>
        <v>21655.303514578787</v>
      </c>
      <c r="L658" s="25"/>
      <c r="N658" s="25">
        <f>'Combined Retirement'!$C$18/12</f>
        <v>40940.569999999992</v>
      </c>
      <c r="O658" s="25">
        <f t="shared" si="525"/>
        <v>10889.636755601023</v>
      </c>
      <c r="P658" s="25">
        <f t="shared" si="526"/>
        <v>30050.93324439897</v>
      </c>
      <c r="Q658" s="25">
        <f t="array" aca="1" ref="Q658" ca="1">INDEX('Isaac 401k'!L:L,MATCH('Retirement Calculator'!A658,'Isaac 401k'!N:N,0),0)</f>
        <v>-2458597.9770898079</v>
      </c>
      <c r="R658" s="25">
        <f t="array" aca="1" ref="R658" ca="1">INDEX('Lorri 401b'!L:L,MATCH('Retirement Calculator'!A658,'Lorri 401b'!N:N,0),0)</f>
        <v>-3654964.2374426601</v>
      </c>
      <c r="S658" s="25">
        <f t="shared" ca="1" si="527"/>
        <v>-6113562.2145324685</v>
      </c>
    </row>
    <row r="659" spans="1:19" ht="15.75" customHeight="1" x14ac:dyDescent="0.3">
      <c r="A659" s="37">
        <v>71011</v>
      </c>
      <c r="B659" s="398">
        <f t="shared" ref="B659:C659" si="665">($A659-B$9)/365.25</f>
        <v>112.53935660506502</v>
      </c>
      <c r="C659" s="398">
        <f t="shared" si="665"/>
        <v>107.92881587953457</v>
      </c>
      <c r="E659" s="25">
        <f>IF(C659&gt;$B$7,0,'Combined Retirement'!$D$13/12)</f>
        <v>0</v>
      </c>
      <c r="F659" s="25">
        <f>IF(H659=0,'Combined Retirement'!$D$32,0)+'Combined Retirement'!$B$24</f>
        <v>2870.372285649099</v>
      </c>
      <c r="G659" s="25">
        <f>'Combined Retirement'!$C$24</f>
        <v>3254.2644699519233</v>
      </c>
      <c r="H659" s="25">
        <f>IF(B659&lt;62,0,'Combined Retirement'!$I$14)</f>
        <v>2345</v>
      </c>
      <c r="I659" s="25">
        <f>IF(C659&lt;62,0,'Combined Retirement'!$I$13)</f>
        <v>2420</v>
      </c>
      <c r="J659" s="25">
        <f t="shared" si="523"/>
        <v>8395.6297298201844</v>
      </c>
      <c r="K659" s="25">
        <f t="shared" si="524"/>
        <v>21655.303514578787</v>
      </c>
      <c r="L659" s="25"/>
      <c r="N659" s="25">
        <f>'Combined Retirement'!$C$18/12</f>
        <v>40940.569999999992</v>
      </c>
      <c r="O659" s="25">
        <f t="shared" si="525"/>
        <v>10889.636755601023</v>
      </c>
      <c r="P659" s="25">
        <f t="shared" si="526"/>
        <v>30050.93324439897</v>
      </c>
      <c r="Q659" s="25">
        <f t="array" aca="1" ref="Q659" ca="1">INDEX('Isaac 401k'!L:L,MATCH('Retirement Calculator'!A659,'Isaac 401k'!N:N,0),0)</f>
        <v>-2477272.7468480435</v>
      </c>
      <c r="R659" s="25">
        <f t="array" aca="1" ref="R659" ca="1">INDEX('Lorri 401b'!L:L,MATCH('Retirement Calculator'!A659,'Lorri 401b'!N:N,0),0)</f>
        <v>-3691938.7890445609</v>
      </c>
      <c r="S659" s="25">
        <f t="shared" ca="1" si="527"/>
        <v>-6169211.5358926039</v>
      </c>
    </row>
    <row r="660" spans="1:19" ht="15.75" customHeight="1" x14ac:dyDescent="0.3">
      <c r="A660" s="37">
        <v>71041</v>
      </c>
      <c r="B660" s="398">
        <f t="shared" ref="B660:C660" si="666">($A660-B$9)/365.25</f>
        <v>112.62149212867898</v>
      </c>
      <c r="C660" s="398">
        <f t="shared" si="666"/>
        <v>108.01095140314852</v>
      </c>
      <c r="E660" s="25">
        <f>IF(C660&gt;$B$7,0,'Combined Retirement'!$D$13/12)</f>
        <v>0</v>
      </c>
      <c r="F660" s="25">
        <f>IF(H660=0,'Combined Retirement'!$D$32,0)+'Combined Retirement'!$B$24</f>
        <v>2870.372285649099</v>
      </c>
      <c r="G660" s="25">
        <f>'Combined Retirement'!$C$24</f>
        <v>3254.2644699519233</v>
      </c>
      <c r="H660" s="25">
        <f>IF(B660&lt;62,0,'Combined Retirement'!$I$14)</f>
        <v>2345</v>
      </c>
      <c r="I660" s="25">
        <f>IF(C660&lt;62,0,'Combined Retirement'!$I$13)</f>
        <v>2420</v>
      </c>
      <c r="J660" s="25">
        <f t="shared" si="523"/>
        <v>8395.6297298201844</v>
      </c>
      <c r="K660" s="25">
        <f t="shared" si="524"/>
        <v>21655.303514578787</v>
      </c>
      <c r="L660" s="25"/>
      <c r="N660" s="25">
        <f>'Combined Retirement'!$C$18/12</f>
        <v>40940.569999999992</v>
      </c>
      <c r="O660" s="25">
        <f t="shared" si="525"/>
        <v>10889.636755601023</v>
      </c>
      <c r="P660" s="25">
        <f t="shared" si="526"/>
        <v>30050.93324439897</v>
      </c>
      <c r="Q660" s="25">
        <f t="array" aca="1" ref="Q660" ca="1">INDEX('Isaac 401k'!L:L,MATCH('Retirement Calculator'!A660,'Isaac 401k'!N:N,0),0)</f>
        <v>-2496025.3281469382</v>
      </c>
      <c r="R660" s="25">
        <f t="array" aca="1" ref="R660" ca="1">INDEX('Lorri 401b'!L:L,MATCH('Retirement Calculator'!A660,'Lorri 401b'!N:N,0),0)</f>
        <v>-3729067.4012781363</v>
      </c>
      <c r="S660" s="25">
        <f t="shared" ca="1" si="527"/>
        <v>-6225092.7294250745</v>
      </c>
    </row>
    <row r="661" spans="1:19" ht="15.75" customHeight="1" x14ac:dyDescent="0.3">
      <c r="A661" s="37">
        <v>71072</v>
      </c>
      <c r="B661" s="398">
        <f t="shared" ref="B661:C661" si="667">($A661-B$9)/365.25</f>
        <v>112.70636550308008</v>
      </c>
      <c r="C661" s="398">
        <f t="shared" si="667"/>
        <v>108.09582477754962</v>
      </c>
      <c r="E661" s="25">
        <f>IF(C661&gt;$B$7,0,'Combined Retirement'!$D$13/12)</f>
        <v>0</v>
      </c>
      <c r="F661" s="25">
        <f>IF(H661=0,'Combined Retirement'!$D$32,0)+'Combined Retirement'!$B$24</f>
        <v>2870.372285649099</v>
      </c>
      <c r="G661" s="25">
        <f>'Combined Retirement'!$C$24</f>
        <v>3254.2644699519233</v>
      </c>
      <c r="H661" s="25">
        <f>IF(B661&lt;62,0,'Combined Retirement'!$I$14)</f>
        <v>2345</v>
      </c>
      <c r="I661" s="25">
        <f>IF(C661&lt;62,0,'Combined Retirement'!$I$13)</f>
        <v>2420</v>
      </c>
      <c r="J661" s="25">
        <f t="shared" si="523"/>
        <v>8395.6297298201844</v>
      </c>
      <c r="K661" s="25">
        <f t="shared" si="524"/>
        <v>21655.303514578787</v>
      </c>
      <c r="L661" s="25"/>
      <c r="N661" s="25">
        <f>'Combined Retirement'!$C$18/12</f>
        <v>40940.569999999992</v>
      </c>
      <c r="O661" s="25">
        <f t="shared" si="525"/>
        <v>10889.636755601023</v>
      </c>
      <c r="P661" s="25">
        <f t="shared" si="526"/>
        <v>30050.93324439897</v>
      </c>
      <c r="Q661" s="25">
        <f t="array" aca="1" ref="Q661" ca="1">INDEX('Isaac 401k'!L:L,MATCH('Retirement Calculator'!A661,'Isaac 401k'!N:N,0),0)</f>
        <v>-2514856.0452012452</v>
      </c>
      <c r="R661" s="25">
        <f t="array" aca="1" ref="R661" ca="1">INDEX('Lorri 401b'!L:L,MATCH('Retirement Calculator'!A661,'Lorri 401b'!N:N,0),0)</f>
        <v>-3766350.716062685</v>
      </c>
      <c r="S661" s="25">
        <f t="shared" ca="1" si="527"/>
        <v>-6281206.7612639302</v>
      </c>
    </row>
    <row r="662" spans="1:19" ht="15.75" customHeight="1" x14ac:dyDescent="0.3">
      <c r="A662" s="37">
        <v>71103</v>
      </c>
      <c r="B662" s="398">
        <f t="shared" ref="B662:C662" si="668">($A662-B$9)/365.25</f>
        <v>112.79123887748118</v>
      </c>
      <c r="C662" s="398">
        <f t="shared" si="668"/>
        <v>108.18069815195072</v>
      </c>
      <c r="E662" s="25">
        <f>IF(C662&gt;$B$7,0,'Combined Retirement'!$D$13/12)</f>
        <v>0</v>
      </c>
      <c r="F662" s="25">
        <f>IF(H662=0,'Combined Retirement'!$D$32,0)+'Combined Retirement'!$B$24</f>
        <v>2870.372285649099</v>
      </c>
      <c r="G662" s="25">
        <f>'Combined Retirement'!$C$24</f>
        <v>3254.2644699519233</v>
      </c>
      <c r="H662" s="25">
        <f>IF(B662&lt;62,0,'Combined Retirement'!$I$14)</f>
        <v>2345</v>
      </c>
      <c r="I662" s="25">
        <f>IF(C662&lt;62,0,'Combined Retirement'!$I$13)</f>
        <v>2420</v>
      </c>
      <c r="J662" s="25">
        <f t="shared" si="523"/>
        <v>8395.6297298201844</v>
      </c>
      <c r="K662" s="25">
        <f t="shared" si="524"/>
        <v>21655.303514578787</v>
      </c>
      <c r="L662" s="25"/>
      <c r="N662" s="25">
        <f>'Combined Retirement'!$C$18/12</f>
        <v>40940.569999999992</v>
      </c>
      <c r="O662" s="25">
        <f t="shared" si="525"/>
        <v>10889.636755601023</v>
      </c>
      <c r="P662" s="25">
        <f t="shared" si="526"/>
        <v>30050.93324439897</v>
      </c>
      <c r="Q662" s="25">
        <f t="array" aca="1" ref="Q662" ca="1">INDEX('Isaac 401k'!L:L,MATCH('Retirement Calculator'!A662,'Isaac 401k'!N:N,0),0)</f>
        <v>-2533765.2235766118</v>
      </c>
      <c r="R662" s="25">
        <f t="array" aca="1" ref="R662" ca="1">INDEX('Lorri 401b'!L:L,MATCH('Retirement Calculator'!A662,'Lorri 401b'!N:N,0),0)</f>
        <v>-3803789.377992169</v>
      </c>
      <c r="S662" s="25">
        <f t="shared" ca="1" si="527"/>
        <v>-6337554.6015687808</v>
      </c>
    </row>
    <row r="663" spans="1:19" ht="15.75" customHeight="1" x14ac:dyDescent="0.3">
      <c r="A663" s="37">
        <v>71133</v>
      </c>
      <c r="B663" s="398">
        <f t="shared" ref="B663:C663" si="669">($A663-B$9)/365.25</f>
        <v>112.87337440109513</v>
      </c>
      <c r="C663" s="398">
        <f t="shared" si="669"/>
        <v>108.26283367556468</v>
      </c>
      <c r="E663" s="25">
        <f>IF(C663&gt;$B$7,0,'Combined Retirement'!$D$13/12)</f>
        <v>0</v>
      </c>
      <c r="F663" s="25">
        <f>IF(H663=0,'Combined Retirement'!$D$32,0)+'Combined Retirement'!$B$24</f>
        <v>2870.372285649099</v>
      </c>
      <c r="G663" s="25">
        <f>'Combined Retirement'!$C$24</f>
        <v>3254.2644699519233</v>
      </c>
      <c r="H663" s="25">
        <f>IF(B663&lt;62,0,'Combined Retirement'!$I$14)</f>
        <v>2345</v>
      </c>
      <c r="I663" s="25">
        <f>IF(C663&lt;62,0,'Combined Retirement'!$I$13)</f>
        <v>2420</v>
      </c>
      <c r="J663" s="25">
        <f t="shared" si="523"/>
        <v>8395.6297298201844</v>
      </c>
      <c r="K663" s="25">
        <f t="shared" si="524"/>
        <v>21655.303514578787</v>
      </c>
      <c r="L663" s="25"/>
      <c r="N663" s="25">
        <f>'Combined Retirement'!$C$18/12</f>
        <v>40940.569999999992</v>
      </c>
      <c r="O663" s="25">
        <f t="shared" si="525"/>
        <v>10889.636755601023</v>
      </c>
      <c r="P663" s="25">
        <f t="shared" si="526"/>
        <v>30050.93324439897</v>
      </c>
      <c r="Q663" s="25">
        <f t="array" aca="1" ref="Q663" ca="1">INDEX('Isaac 401k'!L:L,MATCH('Retirement Calculator'!A663,'Isaac 401k'!N:N,0),0)</f>
        <v>-2552753.1901952089</v>
      </c>
      <c r="R663" s="25">
        <f t="array" aca="1" ref="R663" ca="1">INDEX('Lorri 401b'!L:L,MATCH('Retirement Calculator'!A663,'Lorri 401b'!N:N,0),0)</f>
        <v>-3841384.0343463593</v>
      </c>
      <c r="S663" s="25">
        <f t="shared" ca="1" si="527"/>
        <v>-6394137.2245415682</v>
      </c>
    </row>
    <row r="664" spans="1:19" ht="15.75" customHeight="1" x14ac:dyDescent="0.3">
      <c r="A664" s="37">
        <v>71164</v>
      </c>
      <c r="B664" s="398">
        <f t="shared" ref="B664:C664" si="670">($A664-B$9)/365.25</f>
        <v>112.95824777549623</v>
      </c>
      <c r="C664" s="398">
        <f t="shared" si="670"/>
        <v>108.34770704996578</v>
      </c>
      <c r="E664" s="25">
        <f>IF(C664&gt;$B$7,0,'Combined Retirement'!$D$13/12)</f>
        <v>0</v>
      </c>
      <c r="F664" s="25">
        <f>IF(H664=0,'Combined Retirement'!$D$32,0)+'Combined Retirement'!$B$24</f>
        <v>2870.372285649099</v>
      </c>
      <c r="G664" s="25">
        <f>'Combined Retirement'!$C$24</f>
        <v>3254.2644699519233</v>
      </c>
      <c r="H664" s="25">
        <f>IF(B664&lt;62,0,'Combined Retirement'!$I$14)</f>
        <v>2345</v>
      </c>
      <c r="I664" s="25">
        <f>IF(C664&lt;62,0,'Combined Retirement'!$I$13)</f>
        <v>2420</v>
      </c>
      <c r="J664" s="25">
        <f t="shared" si="523"/>
        <v>8395.6297298201844</v>
      </c>
      <c r="K664" s="25">
        <f t="shared" si="524"/>
        <v>21655.303514578787</v>
      </c>
      <c r="L664" s="25"/>
      <c r="N664" s="25">
        <f>'Combined Retirement'!$C$18/12</f>
        <v>40940.569999999992</v>
      </c>
      <c r="O664" s="25">
        <f t="shared" si="525"/>
        <v>10889.636755601023</v>
      </c>
      <c r="P664" s="25">
        <f t="shared" si="526"/>
        <v>30050.93324439897</v>
      </c>
      <c r="Q664" s="25">
        <f t="array" aca="1" ref="Q664" ca="1">INDEX('Isaac 401k'!L:L,MATCH('Retirement Calculator'!A664,'Isaac 401k'!N:N,0),0)</f>
        <v>-2571820.2733413838</v>
      </c>
      <c r="R664" s="25">
        <f t="array" aca="1" ref="R664" ca="1">INDEX('Lorri 401b'!L:L,MATCH('Retirement Calculator'!A664,'Lorri 401b'!N:N,0),0)</f>
        <v>-3879135.3351020254</v>
      </c>
      <c r="S664" s="25">
        <f t="shared" ca="1" si="527"/>
        <v>-6450955.6084434092</v>
      </c>
    </row>
    <row r="665" spans="1:19" ht="15.75" customHeight="1" x14ac:dyDescent="0.3">
      <c r="A665" s="37">
        <v>71194</v>
      </c>
      <c r="B665" s="398">
        <f t="shared" ref="B665:C665" si="671">($A665-B$9)/365.25</f>
        <v>113.0403832991102</v>
      </c>
      <c r="C665" s="398">
        <f t="shared" si="671"/>
        <v>108.42984257357973</v>
      </c>
      <c r="E665" s="25">
        <f>IF(C665&gt;$B$7,0,'Combined Retirement'!$D$13/12)</f>
        <v>0</v>
      </c>
      <c r="F665" s="25">
        <f>IF(H665=0,'Combined Retirement'!$D$32,0)+'Combined Retirement'!$B$24</f>
        <v>2870.372285649099</v>
      </c>
      <c r="G665" s="25">
        <f>'Combined Retirement'!$C$24</f>
        <v>3254.2644699519233</v>
      </c>
      <c r="H665" s="25">
        <f>IF(B665&lt;62,0,'Combined Retirement'!$I$14)</f>
        <v>2345</v>
      </c>
      <c r="I665" s="25">
        <f>IF(C665&lt;62,0,'Combined Retirement'!$I$13)</f>
        <v>2420</v>
      </c>
      <c r="J665" s="25">
        <f t="shared" si="523"/>
        <v>8395.6297298201844</v>
      </c>
      <c r="K665" s="25">
        <f t="shared" si="524"/>
        <v>21655.303514578787</v>
      </c>
      <c r="L665" s="25"/>
      <c r="N665" s="25">
        <f>'Combined Retirement'!$C$18/12</f>
        <v>40940.569999999992</v>
      </c>
      <c r="O665" s="25">
        <f t="shared" si="525"/>
        <v>10889.636755601023</v>
      </c>
      <c r="P665" s="25">
        <f t="shared" si="526"/>
        <v>30050.93324439897</v>
      </c>
      <c r="Q665" s="25">
        <f t="array" aca="1" ref="Q665" ca="1">INDEX('Isaac 401k'!L:L,MATCH('Retirement Calculator'!A665,'Isaac 401k'!N:N,0),0)</f>
        <v>-2590966.8026673342</v>
      </c>
      <c r="R665" s="25">
        <f t="array" aca="1" ref="R665" ca="1">INDEX('Lorri 401b'!L:L,MATCH('Retirement Calculator'!A665,'Lorri 401b'!N:N,0),0)</f>
        <v>-3917043.9329441735</v>
      </c>
      <c r="S665" s="25">
        <f t="shared" ca="1" si="527"/>
        <v>-6508010.7356115077</v>
      </c>
    </row>
    <row r="666" spans="1:19" ht="15.75" customHeight="1" x14ac:dyDescent="0.3">
      <c r="A666" s="37">
        <v>71225</v>
      </c>
      <c r="B666" s="398">
        <f t="shared" ref="B666:C666" si="672">($A666-B$9)/365.25</f>
        <v>113.12525667351129</v>
      </c>
      <c r="C666" s="398">
        <f t="shared" si="672"/>
        <v>108.51471594798083</v>
      </c>
      <c r="E666" s="25">
        <f>IF(C666&gt;$B$7,0,'Combined Retirement'!$D$13/12)</f>
        <v>0</v>
      </c>
      <c r="F666" s="25">
        <f>IF(H666=0,'Combined Retirement'!$D$32,0)+'Combined Retirement'!$B$24</f>
        <v>2870.372285649099</v>
      </c>
      <c r="G666" s="25">
        <f>'Combined Retirement'!$C$24</f>
        <v>3254.2644699519233</v>
      </c>
      <c r="H666" s="25">
        <f>IF(B666&lt;62,0,'Combined Retirement'!$I$14)</f>
        <v>2345</v>
      </c>
      <c r="I666" s="25">
        <f>IF(C666&lt;62,0,'Combined Retirement'!$I$13)</f>
        <v>2420</v>
      </c>
      <c r="J666" s="25">
        <f t="shared" si="523"/>
        <v>8395.6297298201844</v>
      </c>
      <c r="K666" s="25">
        <f t="shared" si="524"/>
        <v>21655.303514578787</v>
      </c>
      <c r="L666" s="25"/>
      <c r="N666" s="25">
        <f>'Combined Retirement'!$C$18/12</f>
        <v>40940.569999999992</v>
      </c>
      <c r="O666" s="25">
        <f t="shared" si="525"/>
        <v>10889.636755601023</v>
      </c>
      <c r="P666" s="25">
        <f t="shared" si="526"/>
        <v>30050.93324439897</v>
      </c>
      <c r="Q666" s="25">
        <f t="array" aca="1" ref="Q666" ca="1">INDEX('Isaac 401k'!L:L,MATCH('Retirement Calculator'!A666,'Isaac 401k'!N:N,0),0)</f>
        <v>-2610193.1091988096</v>
      </c>
      <c r="R666" s="25">
        <f t="array" aca="1" ref="R666" ca="1">INDEX('Lorri 401b'!L:L,MATCH('Retirement Calculator'!A666,'Lorri 401b'!N:N,0),0)</f>
        <v>-3955110.4832773306</v>
      </c>
      <c r="S666" s="25">
        <f t="shared" ca="1" si="527"/>
        <v>-6565303.5924761407</v>
      </c>
    </row>
    <row r="667" spans="1:19" ht="15.75" customHeight="1" x14ac:dyDescent="0.3">
      <c r="A667" s="37">
        <v>71256</v>
      </c>
      <c r="B667" s="398">
        <f t="shared" ref="B667:C667" si="673">($A667-B$9)/365.25</f>
        <v>113.21013004791239</v>
      </c>
      <c r="C667" s="398">
        <f t="shared" si="673"/>
        <v>108.59958932238193</v>
      </c>
      <c r="E667" s="25">
        <f>IF(C667&gt;$B$7,0,'Combined Retirement'!$D$13/12)</f>
        <v>0</v>
      </c>
      <c r="F667" s="25">
        <f>IF(H667=0,'Combined Retirement'!$D$32,0)+'Combined Retirement'!$B$24</f>
        <v>2870.372285649099</v>
      </c>
      <c r="G667" s="25">
        <f>'Combined Retirement'!$C$24</f>
        <v>3254.2644699519233</v>
      </c>
      <c r="H667" s="25">
        <f>IF(B667&lt;62,0,'Combined Retirement'!$I$14)</f>
        <v>2345</v>
      </c>
      <c r="I667" s="25">
        <f>IF(C667&lt;62,0,'Combined Retirement'!$I$13)</f>
        <v>2420</v>
      </c>
      <c r="J667" s="25">
        <f t="shared" si="523"/>
        <v>8395.6297298201844</v>
      </c>
      <c r="K667" s="25">
        <f t="shared" si="524"/>
        <v>21655.303514578787</v>
      </c>
      <c r="L667" s="25"/>
      <c r="N667" s="25">
        <f>'Combined Retirement'!$C$18/12</f>
        <v>40940.569999999992</v>
      </c>
      <c r="O667" s="25">
        <f t="shared" si="525"/>
        <v>10889.636755601023</v>
      </c>
      <c r="P667" s="25">
        <f t="shared" si="526"/>
        <v>30050.93324439897</v>
      </c>
      <c r="Q667" s="25">
        <f t="array" aca="1" ref="Q667" ca="1">INDEX('Isaac 401k'!L:L,MATCH('Retirement Calculator'!A667,'Isaac 401k'!N:N,0),0)</f>
        <v>-2629499.5253408328</v>
      </c>
      <c r="R667" s="25">
        <f t="array" aca="1" ref="R667" ca="1">INDEX('Lorri 401b'!L:L,MATCH('Retirement Calculator'!A667,'Lorri 401b'!N:N,0),0)</f>
        <v>-3993335.6442368757</v>
      </c>
      <c r="S667" s="25">
        <f t="shared" ca="1" si="527"/>
        <v>-6622835.1695777085</v>
      </c>
    </row>
    <row r="668" spans="1:19" ht="15.75" customHeight="1" x14ac:dyDescent="0.3">
      <c r="A668" s="37">
        <v>71284</v>
      </c>
      <c r="B668" s="398">
        <f t="shared" ref="B668:C668" si="674">($A668-B$9)/365.25</f>
        <v>113.28678986995209</v>
      </c>
      <c r="C668" s="398">
        <f t="shared" si="674"/>
        <v>108.67624914442163</v>
      </c>
      <c r="E668" s="25">
        <f>IF(C668&gt;$B$7,0,'Combined Retirement'!$D$13/12)</f>
        <v>0</v>
      </c>
      <c r="F668" s="25">
        <f>IF(H668=0,'Combined Retirement'!$D$32,0)+'Combined Retirement'!$B$24</f>
        <v>2870.372285649099</v>
      </c>
      <c r="G668" s="25">
        <f>'Combined Retirement'!$C$24</f>
        <v>3254.2644699519233</v>
      </c>
      <c r="H668" s="25">
        <f>IF(B668&lt;62,0,'Combined Retirement'!$I$14)</f>
        <v>2345</v>
      </c>
      <c r="I668" s="25">
        <f>IF(C668&lt;62,0,'Combined Retirement'!$I$13)</f>
        <v>2420</v>
      </c>
      <c r="J668" s="25">
        <f t="shared" si="523"/>
        <v>8395.6297298201844</v>
      </c>
      <c r="K668" s="25">
        <f t="shared" si="524"/>
        <v>21655.303514578787</v>
      </c>
      <c r="L668" s="25"/>
      <c r="N668" s="25">
        <f>'Combined Retirement'!$C$18/12</f>
        <v>40940.569999999992</v>
      </c>
      <c r="O668" s="25">
        <f t="shared" si="525"/>
        <v>10889.636755601023</v>
      </c>
      <c r="P668" s="25">
        <f t="shared" si="526"/>
        <v>30050.93324439897</v>
      </c>
      <c r="Q668" s="25">
        <f t="array" aca="1" ref="Q668" ca="1">INDEX('Isaac 401k'!L:L,MATCH('Retirement Calculator'!A668,'Isaac 401k'!N:N,0),0)</f>
        <v>-2648886.3848834476</v>
      </c>
      <c r="R668" s="25">
        <f t="array" aca="1" ref="R668" ca="1">INDEX('Lorri 401b'!L:L,MATCH('Retirement Calculator'!A668,'Lorri 401b'!N:N,0),0)</f>
        <v>-4031720.0767004187</v>
      </c>
      <c r="S668" s="25">
        <f t="shared" ca="1" si="527"/>
        <v>-6680606.4615838658</v>
      </c>
    </row>
    <row r="669" spans="1:19" ht="15.75" customHeight="1" x14ac:dyDescent="0.3">
      <c r="A669" s="37">
        <v>71315</v>
      </c>
      <c r="B669" s="398">
        <f t="shared" ref="B669:C669" si="675">($A669-B$9)/365.25</f>
        <v>113.37166324435319</v>
      </c>
      <c r="C669" s="398">
        <f t="shared" si="675"/>
        <v>108.76112251882273</v>
      </c>
      <c r="E669" s="25">
        <f>IF(C669&gt;$B$7,0,'Combined Retirement'!$D$13/12)</f>
        <v>0</v>
      </c>
      <c r="F669" s="25">
        <f>IF(H669=0,'Combined Retirement'!$D$32,0)+'Combined Retirement'!$B$24</f>
        <v>2870.372285649099</v>
      </c>
      <c r="G669" s="25">
        <f>'Combined Retirement'!$C$24</f>
        <v>3254.2644699519233</v>
      </c>
      <c r="H669" s="25">
        <f>IF(B669&lt;62,0,'Combined Retirement'!$I$14)</f>
        <v>2345</v>
      </c>
      <c r="I669" s="25">
        <f>IF(C669&lt;62,0,'Combined Retirement'!$I$13)</f>
        <v>2420</v>
      </c>
      <c r="J669" s="25">
        <f t="shared" si="523"/>
        <v>8395.6297298201844</v>
      </c>
      <c r="K669" s="25">
        <f t="shared" si="524"/>
        <v>21655.303514578787</v>
      </c>
      <c r="L669" s="25"/>
      <c r="N669" s="25">
        <f>'Combined Retirement'!$C$18/12</f>
        <v>40940.569999999992</v>
      </c>
      <c r="O669" s="25">
        <f t="shared" si="525"/>
        <v>10889.636755601023</v>
      </c>
      <c r="P669" s="25">
        <f t="shared" si="526"/>
        <v>30050.93324439897</v>
      </c>
      <c r="Q669" s="25">
        <f t="array" aca="1" ref="Q669" ca="1">INDEX('Isaac 401k'!L:L,MATCH('Retirement Calculator'!A669,'Isaac 401k'!N:N,0),0)</f>
        <v>-2668354.0230074897</v>
      </c>
      <c r="R669" s="25">
        <f t="array" aca="1" ref="R669" ca="1">INDEX('Lorri 401b'!L:L,MATCH('Retirement Calculator'!A669,'Lorri 401b'!N:N,0),0)</f>
        <v>-4070264.4442992266</v>
      </c>
      <c r="S669" s="25">
        <f t="shared" ca="1" si="527"/>
        <v>-6738618.4673067164</v>
      </c>
    </row>
    <row r="670" spans="1:19" ht="15.75" customHeight="1" x14ac:dyDescent="0.3">
      <c r="A670" s="37">
        <v>71345</v>
      </c>
      <c r="B670" s="398">
        <f t="shared" ref="B670:C670" si="676">($A670-B$9)/365.25</f>
        <v>113.45379876796714</v>
      </c>
      <c r="C670" s="398">
        <f t="shared" si="676"/>
        <v>108.84325804243669</v>
      </c>
      <c r="E670" s="25">
        <f>IF(C670&gt;$B$7,0,'Combined Retirement'!$D$13/12)</f>
        <v>0</v>
      </c>
      <c r="F670" s="25">
        <f>IF(H670=0,'Combined Retirement'!$D$32,0)+'Combined Retirement'!$B$24</f>
        <v>2870.372285649099</v>
      </c>
      <c r="G670" s="25">
        <f>'Combined Retirement'!$C$24</f>
        <v>3254.2644699519233</v>
      </c>
      <c r="H670" s="25">
        <f>IF(B670&lt;62,0,'Combined Retirement'!$I$14)</f>
        <v>2345</v>
      </c>
      <c r="I670" s="25">
        <f>IF(C670&lt;62,0,'Combined Retirement'!$I$13)</f>
        <v>2420</v>
      </c>
      <c r="J670" s="25">
        <f t="shared" si="523"/>
        <v>8395.6297298201844</v>
      </c>
      <c r="K670" s="25">
        <f t="shared" si="524"/>
        <v>21655.303514578787</v>
      </c>
      <c r="L670" s="25"/>
      <c r="N670" s="25">
        <f>'Combined Retirement'!$C$18/12</f>
        <v>40940.569999999992</v>
      </c>
      <c r="O670" s="25">
        <f t="shared" si="525"/>
        <v>10889.636755601023</v>
      </c>
      <c r="P670" s="25">
        <f t="shared" si="526"/>
        <v>30050.93324439897</v>
      </c>
      <c r="Q670" s="25">
        <f t="array" aca="1" ref="Q670" ca="1">INDEX('Isaac 401k'!L:L,MATCH('Retirement Calculator'!A670,'Isaac 401k'!N:N,0),0)</f>
        <v>-2687902.7762903823</v>
      </c>
      <c r="R670" s="25">
        <f t="array" aca="1" ref="R670" ca="1">INDEX('Lorri 401b'!L:L,MATCH('Retirement Calculator'!A670,'Lorri 401b'!N:N,0),0)</f>
        <v>-4108969.4134296961</v>
      </c>
      <c r="S670" s="25">
        <f t="shared" ca="1" si="527"/>
        <v>-6796872.1897200784</v>
      </c>
    </row>
    <row r="671" spans="1:19" ht="15.75" customHeight="1" x14ac:dyDescent="0.3">
      <c r="A671" s="37">
        <v>71376</v>
      </c>
      <c r="B671" s="398">
        <f t="shared" ref="B671:C671" si="677">($A671-B$9)/365.25</f>
        <v>113.53867214236824</v>
      </c>
      <c r="C671" s="398">
        <f t="shared" si="677"/>
        <v>108.92813141683779</v>
      </c>
      <c r="E671" s="25">
        <f>IF(C671&gt;$B$7,0,'Combined Retirement'!$D$13/12)</f>
        <v>0</v>
      </c>
      <c r="F671" s="25">
        <f>IF(H671=0,'Combined Retirement'!$D$32,0)+'Combined Retirement'!$B$24</f>
        <v>2870.372285649099</v>
      </c>
      <c r="G671" s="25">
        <f>'Combined Retirement'!$C$24</f>
        <v>3254.2644699519233</v>
      </c>
      <c r="H671" s="25">
        <f>IF(B671&lt;62,0,'Combined Retirement'!$I$14)</f>
        <v>2345</v>
      </c>
      <c r="I671" s="25">
        <f>IF(C671&lt;62,0,'Combined Retirement'!$I$13)</f>
        <v>2420</v>
      </c>
      <c r="J671" s="25">
        <f t="shared" si="523"/>
        <v>8395.6297298201844</v>
      </c>
      <c r="K671" s="25">
        <f t="shared" si="524"/>
        <v>21655.303514578787</v>
      </c>
      <c r="L671" s="25"/>
      <c r="N671" s="25">
        <f>'Combined Retirement'!$C$18/12</f>
        <v>40940.569999999992</v>
      </c>
      <c r="O671" s="25">
        <f t="shared" si="525"/>
        <v>10889.636755601023</v>
      </c>
      <c r="P671" s="25">
        <f t="shared" si="526"/>
        <v>30050.93324439897</v>
      </c>
      <c r="Q671" s="25">
        <f t="array" aca="1" ref="Q671" ca="1">INDEX('Isaac 401k'!L:L,MATCH('Retirement Calculator'!A671,'Isaac 401k'!N:N,0),0)</f>
        <v>-2707532.9827119536</v>
      </c>
      <c r="R671" s="25">
        <f t="array" aca="1" ref="R671" ca="1">INDEX('Lorri 401b'!L:L,MATCH('Retirement Calculator'!A671,'Lorri 401b'!N:N,0),0)</f>
        <v>-4147835.653264876</v>
      </c>
      <c r="S671" s="25">
        <f t="shared" ca="1" si="527"/>
        <v>-6855368.6359768296</v>
      </c>
    </row>
    <row r="672" spans="1:19" ht="15.75" customHeight="1" x14ac:dyDescent="0.3">
      <c r="A672" s="37">
        <v>71406</v>
      </c>
      <c r="B672" s="398">
        <f t="shared" ref="B672:C672" si="678">($A672-B$9)/365.25</f>
        <v>113.6208076659822</v>
      </c>
      <c r="C672" s="398">
        <f t="shared" si="678"/>
        <v>109.01026694045174</v>
      </c>
      <c r="E672" s="25">
        <f>IF(C672&gt;$B$7,0,'Combined Retirement'!$D$13/12)</f>
        <v>0</v>
      </c>
      <c r="F672" s="25">
        <f>IF(H672=0,'Combined Retirement'!$D$32,0)+'Combined Retirement'!$B$24</f>
        <v>2870.372285649099</v>
      </c>
      <c r="G672" s="25">
        <f>'Combined Retirement'!$C$24</f>
        <v>3254.2644699519233</v>
      </c>
      <c r="H672" s="25">
        <f>IF(B672&lt;62,0,'Combined Retirement'!$I$14)</f>
        <v>2345</v>
      </c>
      <c r="I672" s="25">
        <f>IF(C672&lt;62,0,'Combined Retirement'!$I$13)</f>
        <v>2420</v>
      </c>
      <c r="J672" s="25">
        <f t="shared" si="523"/>
        <v>8395.6297298201844</v>
      </c>
      <c r="K672" s="25">
        <f t="shared" si="524"/>
        <v>21655.303514578787</v>
      </c>
      <c r="L672" s="25"/>
      <c r="N672" s="25">
        <f>'Combined Retirement'!$C$18/12</f>
        <v>40940.569999999992</v>
      </c>
      <c r="O672" s="25">
        <f t="shared" si="525"/>
        <v>10889.636755601023</v>
      </c>
      <c r="P672" s="25">
        <f t="shared" si="526"/>
        <v>30050.93324439897</v>
      </c>
      <c r="Q672" s="25">
        <f t="array" aca="1" ref="Q672" ca="1">INDEX('Isaac 401k'!L:L,MATCH('Retirement Calculator'!A672,'Isaac 401k'!N:N,0),0)</f>
        <v>-2727244.9816602813</v>
      </c>
      <c r="R672" s="25">
        <f t="array" aca="1" ref="R672" ca="1">INDEX('Lorri 401b'!L:L,MATCH('Retirement Calculator'!A672,'Lorri 401b'!N:N,0),0)</f>
        <v>-4186863.8357660361</v>
      </c>
      <c r="S672" s="25">
        <f t="shared" ca="1" si="527"/>
        <v>-6914108.8174263174</v>
      </c>
    </row>
    <row r="673" spans="1:19" ht="15.75" customHeight="1" x14ac:dyDescent="0.3">
      <c r="A673" s="37">
        <v>71437</v>
      </c>
      <c r="B673" s="398">
        <f t="shared" ref="B673:C673" si="679">($A673-B$9)/365.25</f>
        <v>113.7056810403833</v>
      </c>
      <c r="C673" s="398">
        <f t="shared" si="679"/>
        <v>109.09514031485284</v>
      </c>
      <c r="E673" s="25">
        <f>IF(C673&gt;$B$7,0,'Combined Retirement'!$D$13/12)</f>
        <v>0</v>
      </c>
      <c r="F673" s="25">
        <f>IF(H673=0,'Combined Retirement'!$D$32,0)+'Combined Retirement'!$B$24</f>
        <v>2870.372285649099</v>
      </c>
      <c r="G673" s="25">
        <f>'Combined Retirement'!$C$24</f>
        <v>3254.2644699519233</v>
      </c>
      <c r="H673" s="25">
        <f>IF(B673&lt;62,0,'Combined Retirement'!$I$14)</f>
        <v>2345</v>
      </c>
      <c r="I673" s="25">
        <f>IF(C673&lt;62,0,'Combined Retirement'!$I$13)</f>
        <v>2420</v>
      </c>
      <c r="J673" s="25">
        <f t="shared" si="523"/>
        <v>8395.6297298201844</v>
      </c>
      <c r="K673" s="25">
        <f t="shared" si="524"/>
        <v>21655.303514578787</v>
      </c>
      <c r="L673" s="25"/>
      <c r="N673" s="25">
        <f>'Combined Retirement'!$C$18/12</f>
        <v>40940.569999999992</v>
      </c>
      <c r="O673" s="25">
        <f t="shared" si="525"/>
        <v>10889.636755601023</v>
      </c>
      <c r="P673" s="25">
        <f t="shared" si="526"/>
        <v>30050.93324439897</v>
      </c>
      <c r="Q673" s="25">
        <f t="array" aca="1" ref="Q673" ca="1">INDEX('Isaac 401k'!L:L,MATCH('Retirement Calculator'!A673,'Isaac 401k'!N:N,0),0)</f>
        <v>-2747039.1139375605</v>
      </c>
      <c r="R673" s="25">
        <f t="array" aca="1" ref="R673" ca="1">INDEX('Lorri 401b'!L:L,MATCH('Retirement Calculator'!A673,'Lorri 401b'!N:N,0),0)</f>
        <v>-4226054.635694284</v>
      </c>
      <c r="S673" s="25">
        <f t="shared" ca="1" si="527"/>
        <v>-6973093.7496318445</v>
      </c>
    </row>
    <row r="674" spans="1:19" ht="15.75" customHeight="1" x14ac:dyDescent="0.3">
      <c r="A674" s="37">
        <v>71468</v>
      </c>
      <c r="B674" s="398">
        <f t="shared" ref="B674:C674" si="680">($A674-B$9)/365.25</f>
        <v>113.7905544147844</v>
      </c>
      <c r="C674" s="398">
        <f t="shared" si="680"/>
        <v>109.18001368925394</v>
      </c>
      <c r="E674" s="25">
        <f>IF(C674&gt;$B$7,0,'Combined Retirement'!$D$13/12)</f>
        <v>0</v>
      </c>
      <c r="F674" s="25">
        <f>IF(H674=0,'Combined Retirement'!$D$32,0)+'Combined Retirement'!$B$24</f>
        <v>2870.372285649099</v>
      </c>
      <c r="G674" s="25">
        <f>'Combined Retirement'!$C$24</f>
        <v>3254.2644699519233</v>
      </c>
      <c r="H674" s="25">
        <f>IF(B674&lt;62,0,'Combined Retirement'!$I$14)</f>
        <v>2345</v>
      </c>
      <c r="I674" s="25">
        <f>IF(C674&lt;62,0,'Combined Retirement'!$I$13)</f>
        <v>2420</v>
      </c>
      <c r="J674" s="25">
        <f t="shared" si="523"/>
        <v>8395.6297298201844</v>
      </c>
      <c r="K674" s="25">
        <f t="shared" si="524"/>
        <v>21655.303514578787</v>
      </c>
      <c r="L674" s="25"/>
      <c r="N674" s="25">
        <f>'Combined Retirement'!$C$18/12</f>
        <v>40940.569999999992</v>
      </c>
      <c r="O674" s="25">
        <f t="shared" si="525"/>
        <v>10889.636755601023</v>
      </c>
      <c r="P674" s="25">
        <f t="shared" si="526"/>
        <v>30050.93324439897</v>
      </c>
      <c r="Q674" s="25">
        <f t="array" aca="1" ref="Q674" ca="1">INDEX('Isaac 401k'!L:L,MATCH('Retirement Calculator'!A674,'Isaac 401k'!N:N,0),0)</f>
        <v>-2766915.721765995</v>
      </c>
      <c r="R674" s="25">
        <f t="array" aca="1" ref="R674" ca="1">INDEX('Lorri 401b'!L:L,MATCH('Retirement Calculator'!A674,'Lorri 401b'!N:N,0),0)</f>
        <v>-4265408.7306222329</v>
      </c>
      <c r="S674" s="25">
        <f t="shared" ca="1" si="527"/>
        <v>-7032324.4523882279</v>
      </c>
    </row>
    <row r="675" spans="1:19" ht="15.75" customHeight="1" x14ac:dyDescent="0.3">
      <c r="A675" s="37">
        <v>71498</v>
      </c>
      <c r="B675" s="398">
        <f t="shared" ref="B675:C675" si="681">($A675-B$9)/365.25</f>
        <v>113.87268993839835</v>
      </c>
      <c r="C675" s="398">
        <f t="shared" si="681"/>
        <v>109.2621492128679</v>
      </c>
      <c r="E675" s="25">
        <f>IF(C675&gt;$B$7,0,'Combined Retirement'!$D$13/12)</f>
        <v>0</v>
      </c>
      <c r="F675" s="25">
        <f>IF(H675=0,'Combined Retirement'!$D$32,0)+'Combined Retirement'!$B$24</f>
        <v>2870.372285649099</v>
      </c>
      <c r="G675" s="25">
        <f>'Combined Retirement'!$C$24</f>
        <v>3254.2644699519233</v>
      </c>
      <c r="H675" s="25">
        <f>IF(B675&lt;62,0,'Combined Retirement'!$I$14)</f>
        <v>2345</v>
      </c>
      <c r="I675" s="25">
        <f>IF(C675&lt;62,0,'Combined Retirement'!$I$13)</f>
        <v>2420</v>
      </c>
      <c r="J675" s="25">
        <f t="shared" si="523"/>
        <v>8395.6297298201844</v>
      </c>
      <c r="K675" s="25">
        <f t="shared" si="524"/>
        <v>21655.303514578787</v>
      </c>
      <c r="L675" s="25"/>
      <c r="N675" s="25">
        <f>'Combined Retirement'!$C$18/12</f>
        <v>40940.569999999992</v>
      </c>
      <c r="O675" s="25">
        <f t="shared" si="525"/>
        <v>10889.636755601023</v>
      </c>
      <c r="P675" s="25">
        <f t="shared" si="526"/>
        <v>30050.93324439897</v>
      </c>
      <c r="Q675" s="25">
        <f t="array" aca="1" ref="Q675" ca="1">INDEX('Isaac 401k'!L:L,MATCH('Retirement Calculator'!A675,'Isaac 401k'!N:N,0),0)</f>
        <v>-2786875.1487937146</v>
      </c>
      <c r="R675" s="25">
        <f t="array" aca="1" ref="R675" ca="1">INDEX('Lorri 401b'!L:L,MATCH('Retirement Calculator'!A675,'Lorri 401b'!N:N,0),0)</f>
        <v>-4304926.800945715</v>
      </c>
      <c r="S675" s="25">
        <f t="shared" ca="1" si="527"/>
        <v>-7091801.9497394301</v>
      </c>
    </row>
    <row r="676" spans="1:19" ht="15.75" customHeight="1" x14ac:dyDescent="0.3">
      <c r="A676" s="37">
        <v>71529</v>
      </c>
      <c r="B676" s="398">
        <f t="shared" ref="B676:C676" si="682">($A676-B$9)/365.25</f>
        <v>113.95756331279945</v>
      </c>
      <c r="C676" s="398">
        <f t="shared" si="682"/>
        <v>109.347022587269</v>
      </c>
      <c r="E676" s="25">
        <f>IF(C676&gt;$B$7,0,'Combined Retirement'!$D$13/12)</f>
        <v>0</v>
      </c>
      <c r="F676" s="25">
        <f>IF(H676=0,'Combined Retirement'!$D$32,0)+'Combined Retirement'!$B$24</f>
        <v>2870.372285649099</v>
      </c>
      <c r="G676" s="25">
        <f>'Combined Retirement'!$C$24</f>
        <v>3254.2644699519233</v>
      </c>
      <c r="H676" s="25">
        <f>IF(B676&lt;62,0,'Combined Retirement'!$I$14)</f>
        <v>2345</v>
      </c>
      <c r="I676" s="25">
        <f>IF(C676&lt;62,0,'Combined Retirement'!$I$13)</f>
        <v>2420</v>
      </c>
      <c r="J676" s="25">
        <f t="shared" si="523"/>
        <v>8395.6297298201844</v>
      </c>
      <c r="K676" s="25">
        <f t="shared" si="524"/>
        <v>21655.303514578787</v>
      </c>
      <c r="L676" s="25"/>
      <c r="N676" s="25">
        <f>'Combined Retirement'!$C$18/12</f>
        <v>40940.569999999992</v>
      </c>
      <c r="O676" s="25">
        <f t="shared" si="525"/>
        <v>10889.636755601023</v>
      </c>
      <c r="P676" s="25">
        <f t="shared" si="526"/>
        <v>30050.93324439897</v>
      </c>
      <c r="Q676" s="25">
        <f t="array" aca="1" ref="Q676" ca="1">INDEX('Isaac 401k'!L:L,MATCH('Retirement Calculator'!A676,'Isaac 401k'!N:N,0),0)</f>
        <v>-2806917.7401007162</v>
      </c>
      <c r="R676" s="25">
        <f t="array" aca="1" ref="R676" ca="1">INDEX('Lorri 401b'!L:L,MATCH('Retirement Calculator'!A676,'Lorri 401b'!N:N,0),0)</f>
        <v>-4344609.529895545</v>
      </c>
      <c r="S676" s="25">
        <f t="shared" ca="1" si="527"/>
        <v>-7151527.2699962612</v>
      </c>
    </row>
    <row r="677" spans="1:19" ht="15.75" customHeight="1" x14ac:dyDescent="0.3">
      <c r="A677" s="37">
        <v>71559</v>
      </c>
      <c r="B677" s="398">
        <f t="shared" ref="B677:C677" si="683">($A677-B$9)/365.25</f>
        <v>114.03969883641342</v>
      </c>
      <c r="C677" s="398">
        <f t="shared" si="683"/>
        <v>109.42915811088295</v>
      </c>
      <c r="E677" s="25">
        <f>IF(C677&gt;$B$7,0,'Combined Retirement'!$D$13/12)</f>
        <v>0</v>
      </c>
      <c r="F677" s="25">
        <f>IF(H677=0,'Combined Retirement'!$D$32,0)+'Combined Retirement'!$B$24</f>
        <v>2870.372285649099</v>
      </c>
      <c r="G677" s="25">
        <f>'Combined Retirement'!$C$24</f>
        <v>3254.2644699519233</v>
      </c>
      <c r="H677" s="25">
        <f>IF(B677&lt;62,0,'Combined Retirement'!$I$14)</f>
        <v>2345</v>
      </c>
      <c r="I677" s="25">
        <f>IF(C677&lt;62,0,'Combined Retirement'!$I$13)</f>
        <v>2420</v>
      </c>
      <c r="J677" s="25">
        <f t="shared" si="523"/>
        <v>8395.6297298201844</v>
      </c>
      <c r="K677" s="25">
        <f t="shared" si="524"/>
        <v>21655.303514578787</v>
      </c>
      <c r="L677" s="25"/>
      <c r="N677" s="25">
        <f>'Combined Retirement'!$C$18/12</f>
        <v>40940.569999999992</v>
      </c>
      <c r="O677" s="25">
        <f t="shared" si="525"/>
        <v>10889.636755601023</v>
      </c>
      <c r="P677" s="25">
        <f t="shared" si="526"/>
        <v>30050.93324439897</v>
      </c>
      <c r="Q677" s="25">
        <f t="array" aca="1" ref="Q677" ca="1">INDEX('Isaac 401k'!L:L,MATCH('Retirement Calculator'!A677,'Isaac 401k'!N:N,0),0)</f>
        <v>-2827043.8422048306</v>
      </c>
      <c r="R677" s="25">
        <f t="array" aca="1" ref="R677" ca="1">INDEX('Lorri 401b'!L:L,MATCH('Retirement Calculator'!A677,'Lorri 401b'!N:N,0),0)</f>
        <v>-4384457.6035493324</v>
      </c>
      <c r="S677" s="25">
        <f t="shared" ca="1" si="527"/>
        <v>-7211501.445754163</v>
      </c>
    </row>
    <row r="678" spans="1:19" ht="15.75" customHeight="1" x14ac:dyDescent="0.3">
      <c r="A678" s="37">
        <v>71590</v>
      </c>
      <c r="B678" s="398">
        <f t="shared" ref="B678:C678" si="684">($A678-B$9)/365.25</f>
        <v>114.12457221081451</v>
      </c>
      <c r="C678" s="398">
        <f t="shared" si="684"/>
        <v>109.51403148528405</v>
      </c>
      <c r="E678" s="25">
        <f>IF(C678&gt;$B$7,0,'Combined Retirement'!$D$13/12)</f>
        <v>0</v>
      </c>
      <c r="F678" s="25">
        <f>IF(H678=0,'Combined Retirement'!$D$32,0)+'Combined Retirement'!$B$24</f>
        <v>2870.372285649099</v>
      </c>
      <c r="G678" s="25">
        <f>'Combined Retirement'!$C$24</f>
        <v>3254.2644699519233</v>
      </c>
      <c r="H678" s="25">
        <f>IF(B678&lt;62,0,'Combined Retirement'!$I$14)</f>
        <v>2345</v>
      </c>
      <c r="I678" s="25">
        <f>IF(C678&lt;62,0,'Combined Retirement'!$I$13)</f>
        <v>2420</v>
      </c>
      <c r="J678" s="25">
        <f t="shared" si="523"/>
        <v>8395.6297298201844</v>
      </c>
      <c r="K678" s="25">
        <f t="shared" si="524"/>
        <v>21655.303514578787</v>
      </c>
      <c r="L678" s="25"/>
      <c r="N678" s="25">
        <f>'Combined Retirement'!$C$18/12</f>
        <v>40940.569999999992</v>
      </c>
      <c r="O678" s="25">
        <f t="shared" si="525"/>
        <v>10889.636755601023</v>
      </c>
      <c r="P678" s="25">
        <f t="shared" si="526"/>
        <v>30050.93324439897</v>
      </c>
      <c r="Q678" s="25">
        <f t="array" aca="1" ref="Q678" ca="1">INDEX('Isaac 401k'!L:L,MATCH('Retirement Calculator'!A678,'Isaac 401k'!N:N,0),0)</f>
        <v>-2847253.8030677121</v>
      </c>
      <c r="R678" s="25">
        <f t="array" aca="1" ref="R678" ca="1">INDEX('Lorri 401b'!L:L,MATCH('Retirement Calculator'!A678,'Lorri 401b'!N:N,0),0)</f>
        <v>-4424471.7108433433</v>
      </c>
      <c r="S678" s="25">
        <f t="shared" ca="1" si="527"/>
        <v>-7271725.5139110554</v>
      </c>
    </row>
    <row r="679" spans="1:19" ht="15.75" customHeight="1" x14ac:dyDescent="0.3">
      <c r="A679" s="37">
        <v>71621</v>
      </c>
      <c r="B679" s="398">
        <f t="shared" ref="B679:C679" si="685">($A679-B$9)/365.25</f>
        <v>114.2094455852156</v>
      </c>
      <c r="C679" s="398">
        <f t="shared" si="685"/>
        <v>109.59890485968515</v>
      </c>
      <c r="E679" s="25">
        <f>IF(C679&gt;$B$7,0,'Combined Retirement'!$D$13/12)</f>
        <v>0</v>
      </c>
      <c r="F679" s="25">
        <f>IF(H679=0,'Combined Retirement'!$D$32,0)+'Combined Retirement'!$B$24</f>
        <v>2870.372285649099</v>
      </c>
      <c r="G679" s="25">
        <f>'Combined Retirement'!$C$24</f>
        <v>3254.2644699519233</v>
      </c>
      <c r="H679" s="25">
        <f>IF(B679&lt;62,0,'Combined Retirement'!$I$14)</f>
        <v>2345</v>
      </c>
      <c r="I679" s="25">
        <f>IF(C679&lt;62,0,'Combined Retirement'!$I$13)</f>
        <v>2420</v>
      </c>
      <c r="J679" s="25">
        <f t="shared" si="523"/>
        <v>8395.6297298201844</v>
      </c>
      <c r="K679" s="25">
        <f t="shared" si="524"/>
        <v>21655.303514578787</v>
      </c>
      <c r="L679" s="25"/>
      <c r="N679" s="25">
        <f>'Combined Retirement'!$C$18/12</f>
        <v>40940.569999999992</v>
      </c>
      <c r="O679" s="25">
        <f t="shared" si="525"/>
        <v>10889.636755601023</v>
      </c>
      <c r="P679" s="25">
        <f t="shared" si="526"/>
        <v>30050.93324439897</v>
      </c>
      <c r="Q679" s="25">
        <f t="array" aca="1" ref="Q679" ca="1">INDEX('Isaac 401k'!L:L,MATCH('Retirement Calculator'!A679,'Isaac 401k'!N:N,0),0)</f>
        <v>-2867547.9721008558</v>
      </c>
      <c r="R679" s="25">
        <f t="array" aca="1" ref="R679" ca="1">INDEX('Lorri 401b'!L:L,MATCH('Retirement Calculator'!A679,'Lorri 401b'!N:N,0),0)</f>
        <v>-4464652.5435844129</v>
      </c>
      <c r="S679" s="25">
        <f t="shared" ca="1" si="527"/>
        <v>-7332200.5156852687</v>
      </c>
    </row>
    <row r="680" spans="1:19" ht="15.75" customHeight="1" x14ac:dyDescent="0.3">
      <c r="A680" s="37">
        <v>71650</v>
      </c>
      <c r="B680" s="398">
        <f t="shared" ref="B680:C680" si="686">($A680-B$9)/365.25</f>
        <v>114.28884325804243</v>
      </c>
      <c r="C680" s="398">
        <f t="shared" si="686"/>
        <v>109.67830253251198</v>
      </c>
      <c r="E680" s="25">
        <f>IF(C680&gt;$B$7,0,'Combined Retirement'!$D$13/12)</f>
        <v>0</v>
      </c>
      <c r="F680" s="25">
        <f>IF(H680=0,'Combined Retirement'!$D$32,0)+'Combined Retirement'!$B$24</f>
        <v>2870.372285649099</v>
      </c>
      <c r="G680" s="25">
        <f>'Combined Retirement'!$C$24</f>
        <v>3254.2644699519233</v>
      </c>
      <c r="H680" s="25">
        <f>IF(B680&lt;62,0,'Combined Retirement'!$I$14)</f>
        <v>2345</v>
      </c>
      <c r="I680" s="25">
        <f>IF(C680&lt;62,0,'Combined Retirement'!$I$13)</f>
        <v>2420</v>
      </c>
      <c r="J680" s="25">
        <f t="shared" si="523"/>
        <v>8395.6297298201844</v>
      </c>
      <c r="K680" s="25">
        <f t="shared" si="524"/>
        <v>21655.303514578787</v>
      </c>
      <c r="L680" s="25"/>
      <c r="N680" s="25">
        <f>'Combined Retirement'!$C$18/12</f>
        <v>40940.569999999992</v>
      </c>
      <c r="O680" s="25">
        <f t="shared" si="525"/>
        <v>10889.636755601023</v>
      </c>
      <c r="P680" s="25">
        <f t="shared" si="526"/>
        <v>30050.93324439897</v>
      </c>
      <c r="Q680" s="25">
        <f t="array" aca="1" ref="Q680" ca="1">INDEX('Isaac 401k'!L:L,MATCH('Retirement Calculator'!A680,'Isaac 401k'!N:N,0),0)</f>
        <v>-2887926.7001716373</v>
      </c>
      <c r="R680" s="25">
        <f t="array" aca="1" ref="R680" ca="1">INDEX('Lorri 401b'!L:L,MATCH('Retirement Calculator'!A680,'Lorri 401b'!N:N,0),0)</f>
        <v>-4505000.7964619035</v>
      </c>
      <c r="S680" s="25">
        <f t="shared" ca="1" si="527"/>
        <v>-7392927.4966335408</v>
      </c>
    </row>
    <row r="681" spans="1:19" ht="15.75" customHeight="1" x14ac:dyDescent="0.3">
      <c r="A681" s="37">
        <v>71681</v>
      </c>
      <c r="B681" s="398">
        <f t="shared" ref="B681:C681" si="687">($A681-B$9)/365.25</f>
        <v>114.37371663244353</v>
      </c>
      <c r="C681" s="398">
        <f t="shared" si="687"/>
        <v>109.76317590691308</v>
      </c>
      <c r="E681" s="25">
        <f>IF(C681&gt;$B$7,0,'Combined Retirement'!$D$13/12)</f>
        <v>0</v>
      </c>
      <c r="F681" s="25">
        <f>IF(H681=0,'Combined Retirement'!$D$32,0)+'Combined Retirement'!$B$24</f>
        <v>2870.372285649099</v>
      </c>
      <c r="G681" s="25">
        <f>'Combined Retirement'!$C$24</f>
        <v>3254.2644699519233</v>
      </c>
      <c r="H681" s="25">
        <f>IF(B681&lt;62,0,'Combined Retirement'!$I$14)</f>
        <v>2345</v>
      </c>
      <c r="I681" s="25">
        <f>IF(C681&lt;62,0,'Combined Retirement'!$I$13)</f>
        <v>2420</v>
      </c>
      <c r="J681" s="25">
        <f t="shared" si="523"/>
        <v>8395.6297298201844</v>
      </c>
      <c r="K681" s="25">
        <f t="shared" si="524"/>
        <v>21655.303514578787</v>
      </c>
      <c r="L681" s="25"/>
      <c r="N681" s="25">
        <f>'Combined Retirement'!$C$18/12</f>
        <v>40940.569999999992</v>
      </c>
      <c r="O681" s="25">
        <f t="shared" si="525"/>
        <v>10889.636755601023</v>
      </c>
      <c r="P681" s="25">
        <f t="shared" si="526"/>
        <v>30050.93324439897</v>
      </c>
      <c r="Q681" s="25">
        <f t="array" aca="1" ref="Q681" ca="1">INDEX('Isaac 401k'!L:L,MATCH('Retirement Calculator'!A681,'Isaac 401k'!N:N,0),0)</f>
        <v>-2908390.3396093803</v>
      </c>
      <c r="R681" s="25">
        <f t="array" aca="1" ref="R681" ca="1">INDEX('Lorri 401b'!L:L,MATCH('Retirement Calculator'!A681,'Lorri 401b'!N:N,0),0)</f>
        <v>-4545517.1670597168</v>
      </c>
      <c r="S681" s="25">
        <f t="shared" ca="1" si="527"/>
        <v>-7453907.5066690966</v>
      </c>
    </row>
    <row r="682" spans="1:19" ht="15.75" customHeight="1" x14ac:dyDescent="0.3">
      <c r="A682" s="37">
        <v>71711</v>
      </c>
      <c r="B682" s="398">
        <f t="shared" ref="B682:C682" si="688">($A682-B$9)/365.25</f>
        <v>114.45585215605749</v>
      </c>
      <c r="C682" s="398">
        <f t="shared" si="688"/>
        <v>109.84531143052703</v>
      </c>
      <c r="E682" s="25">
        <f>IF(C682&gt;$B$7,0,'Combined Retirement'!$D$13/12)</f>
        <v>0</v>
      </c>
      <c r="F682" s="25">
        <f>IF(H682=0,'Combined Retirement'!$D$32,0)+'Combined Retirement'!$B$24</f>
        <v>2870.372285649099</v>
      </c>
      <c r="G682" s="25">
        <f>'Combined Retirement'!$C$24</f>
        <v>3254.2644699519233</v>
      </c>
      <c r="H682" s="25">
        <f>IF(B682&lt;62,0,'Combined Retirement'!$I$14)</f>
        <v>2345</v>
      </c>
      <c r="I682" s="25">
        <f>IF(C682&lt;62,0,'Combined Retirement'!$I$13)</f>
        <v>2420</v>
      </c>
      <c r="J682" s="25">
        <f t="shared" si="523"/>
        <v>8395.6297298201844</v>
      </c>
      <c r="K682" s="25">
        <f t="shared" si="524"/>
        <v>21655.303514578787</v>
      </c>
      <c r="L682" s="25"/>
      <c r="N682" s="25">
        <f>'Combined Retirement'!$C$18/12</f>
        <v>40940.569999999992</v>
      </c>
      <c r="O682" s="25">
        <f t="shared" si="525"/>
        <v>10889.636755601023</v>
      </c>
      <c r="P682" s="25">
        <f t="shared" si="526"/>
        <v>30050.93324439897</v>
      </c>
      <c r="Q682" s="25">
        <f t="array" aca="1" ref="Q682" ca="1">INDEX('Isaac 401k'!L:L,MATCH('Retirement Calculator'!A682,'Isaac 401k'!N:N,0),0)</f>
        <v>-2928939.2442114474</v>
      </c>
      <c r="R682" s="25">
        <f t="array" aca="1" ref="R682" ca="1">INDEX('Lorri 401b'!L:L,MATCH('Retirement Calculator'!A682,'Lorri 401b'!N:N,0),0)</f>
        <v>-4586202.3558683544</v>
      </c>
      <c r="S682" s="25">
        <f t="shared" ca="1" si="527"/>
        <v>-7515141.6000798019</v>
      </c>
    </row>
    <row r="683" spans="1:19" ht="15.75" customHeight="1" x14ac:dyDescent="0.3">
      <c r="A683" s="37">
        <v>71742</v>
      </c>
      <c r="B683" s="398">
        <f t="shared" ref="B683:C683" si="689">($A683-B$9)/365.25</f>
        <v>114.54072553045859</v>
      </c>
      <c r="C683" s="398">
        <f t="shared" si="689"/>
        <v>109.93018480492813</v>
      </c>
      <c r="E683" s="25">
        <f>IF(C683&gt;$B$7,0,'Combined Retirement'!$D$13/12)</f>
        <v>0</v>
      </c>
      <c r="F683" s="25">
        <f>IF(H683=0,'Combined Retirement'!$D$32,0)+'Combined Retirement'!$B$24</f>
        <v>2870.372285649099</v>
      </c>
      <c r="G683" s="25">
        <f>'Combined Retirement'!$C$24</f>
        <v>3254.2644699519233</v>
      </c>
      <c r="H683" s="25">
        <f>IF(B683&lt;62,0,'Combined Retirement'!$I$14)</f>
        <v>2345</v>
      </c>
      <c r="I683" s="25">
        <f>IF(C683&lt;62,0,'Combined Retirement'!$I$13)</f>
        <v>2420</v>
      </c>
      <c r="J683" s="25">
        <f t="shared" si="523"/>
        <v>8395.6297298201844</v>
      </c>
      <c r="K683" s="25">
        <f t="shared" si="524"/>
        <v>21655.303514578787</v>
      </c>
      <c r="L683" s="25"/>
      <c r="N683" s="25">
        <f>'Combined Retirement'!$C$18/12</f>
        <v>40940.569999999992</v>
      </c>
      <c r="O683" s="25">
        <f t="shared" si="525"/>
        <v>10889.636755601023</v>
      </c>
      <c r="P683" s="25">
        <f t="shared" si="526"/>
        <v>30050.93324439897</v>
      </c>
      <c r="Q683" s="25">
        <f t="array" aca="1" ref="Q683" ca="1">INDEX('Isaac 401k'!L:L,MATCH('Retirement Calculator'!A683,'Isaac 401k'!N:N,0),0)</f>
        <v>-2949573.7692493564</v>
      </c>
      <c r="R683" s="25">
        <f t="array" aca="1" ref="R683" ca="1">INDEX('Lorri 401b'!L:L,MATCH('Retirement Calculator'!A683,'Lorri 401b'!N:N,0),0)</f>
        <v>-4627057.0662970282</v>
      </c>
      <c r="S683" s="25">
        <f t="shared" ca="1" si="527"/>
        <v>-7576630.8355463846</v>
      </c>
    </row>
    <row r="684" spans="1:19" ht="15.75" customHeight="1" x14ac:dyDescent="0.3">
      <c r="A684" s="37">
        <v>71772</v>
      </c>
      <c r="B684" s="398">
        <f t="shared" ref="B684:C684" si="690">($A684-B$9)/365.25</f>
        <v>114.62286105407256</v>
      </c>
      <c r="C684" s="398">
        <f t="shared" si="690"/>
        <v>110.01232032854209</v>
      </c>
      <c r="E684" s="25">
        <f>IF(C684&gt;$B$7,0,'Combined Retirement'!$D$13/12)</f>
        <v>0</v>
      </c>
      <c r="F684" s="25">
        <f>IF(H684=0,'Combined Retirement'!$D$32,0)+'Combined Retirement'!$B$24</f>
        <v>2870.372285649099</v>
      </c>
      <c r="G684" s="25">
        <f>'Combined Retirement'!$C$24</f>
        <v>3254.2644699519233</v>
      </c>
      <c r="H684" s="25">
        <f>IF(B684&lt;62,0,'Combined Retirement'!$I$14)</f>
        <v>2345</v>
      </c>
      <c r="I684" s="25">
        <f>IF(C684&lt;62,0,'Combined Retirement'!$I$13)</f>
        <v>2420</v>
      </c>
      <c r="J684" s="25">
        <f t="shared" si="523"/>
        <v>8395.6297298201844</v>
      </c>
      <c r="K684" s="25">
        <f t="shared" si="524"/>
        <v>21655.303514578787</v>
      </c>
      <c r="L684" s="25"/>
      <c r="N684" s="25">
        <f>'Combined Retirement'!$C$18/12</f>
        <v>40940.569999999992</v>
      </c>
      <c r="O684" s="25">
        <f t="shared" si="525"/>
        <v>10889.636755601023</v>
      </c>
      <c r="P684" s="25">
        <f t="shared" si="526"/>
        <v>30050.93324439897</v>
      </c>
      <c r="Q684" s="25">
        <f t="array" aca="1" ref="Q684" ca="1">INDEX('Isaac 401k'!L:L,MATCH('Retirement Calculator'!A684,'Isaac 401k'!N:N,0),0)</f>
        <v>-2970294.2714749235</v>
      </c>
      <c r="R684" s="25">
        <f t="array" aca="1" ref="R684" ca="1">INDEX('Lorri 401b'!L:L,MATCH('Retirement Calculator'!A684,'Lorri 401b'!N:N,0),0)</f>
        <v>-4668082.0046858219</v>
      </c>
      <c r="S684" s="25">
        <f t="shared" ca="1" si="527"/>
        <v>-7638376.276160745</v>
      </c>
    </row>
    <row r="685" spans="1:19" ht="15.75" customHeight="1" x14ac:dyDescent="0.3">
      <c r="A685" s="37">
        <v>71803</v>
      </c>
      <c r="B685" s="398">
        <f t="shared" ref="B685:C685" si="691">($A685-B$9)/365.25</f>
        <v>114.70773442847364</v>
      </c>
      <c r="C685" s="398">
        <f t="shared" si="691"/>
        <v>110.09719370294319</v>
      </c>
      <c r="E685" s="25">
        <f>IF(C685&gt;$B$7,0,'Combined Retirement'!$D$13/12)</f>
        <v>0</v>
      </c>
      <c r="F685" s="25">
        <f>IF(H685=0,'Combined Retirement'!$D$32,0)+'Combined Retirement'!$B$24</f>
        <v>2870.372285649099</v>
      </c>
      <c r="G685" s="25">
        <f>'Combined Retirement'!$C$24</f>
        <v>3254.2644699519233</v>
      </c>
      <c r="H685" s="25">
        <f>IF(B685&lt;62,0,'Combined Retirement'!$I$14)</f>
        <v>2345</v>
      </c>
      <c r="I685" s="25">
        <f>IF(C685&lt;62,0,'Combined Retirement'!$I$13)</f>
        <v>2420</v>
      </c>
      <c r="J685" s="25">
        <f t="shared" si="523"/>
        <v>8395.6297298201844</v>
      </c>
      <c r="K685" s="25">
        <f t="shared" si="524"/>
        <v>21655.303514578787</v>
      </c>
      <c r="L685" s="25"/>
      <c r="N685" s="25">
        <f>'Combined Retirement'!$C$18/12</f>
        <v>40940.569999999992</v>
      </c>
      <c r="O685" s="25">
        <f t="shared" si="525"/>
        <v>10889.636755601023</v>
      </c>
      <c r="P685" s="25">
        <f t="shared" si="526"/>
        <v>30050.93324439897</v>
      </c>
      <c r="Q685" s="25">
        <f t="array" aca="1" ref="Q685" ca="1">INDEX('Isaac 401k'!L:L,MATCH('Retirement Calculator'!A685,'Isaac 401k'!N:N,0),0)</f>
        <v>-2991101.1091264305</v>
      </c>
      <c r="R685" s="25">
        <f t="array" aca="1" ref="R685" ca="1">INDEX('Lorri 401b'!L:L,MATCH('Retirement Calculator'!A685,'Lorri 401b'!N:N,0),0)</f>
        <v>-4709277.8803179022</v>
      </c>
      <c r="S685" s="25">
        <f t="shared" ca="1" si="527"/>
        <v>-7700378.9894443322</v>
      </c>
    </row>
    <row r="686" spans="1:19" ht="15.75" customHeight="1" x14ac:dyDescent="0.3">
      <c r="A686" s="37">
        <v>71834</v>
      </c>
      <c r="B686" s="398">
        <f t="shared" ref="B686:C686" si="692">($A686-B$9)/365.25</f>
        <v>114.79260780287474</v>
      </c>
      <c r="C686" s="398">
        <f t="shared" si="692"/>
        <v>110.18206707734429</v>
      </c>
      <c r="E686" s="25">
        <f>IF(C686&gt;$B$7,0,'Combined Retirement'!$D$13/12)</f>
        <v>0</v>
      </c>
      <c r="F686" s="25">
        <f>IF(H686=0,'Combined Retirement'!$D$32,0)+'Combined Retirement'!$B$24</f>
        <v>2870.372285649099</v>
      </c>
      <c r="G686" s="25">
        <f>'Combined Retirement'!$C$24</f>
        <v>3254.2644699519233</v>
      </c>
      <c r="H686" s="25">
        <f>IF(B686&lt;62,0,'Combined Retirement'!$I$14)</f>
        <v>2345</v>
      </c>
      <c r="I686" s="25">
        <f>IF(C686&lt;62,0,'Combined Retirement'!$I$13)</f>
        <v>2420</v>
      </c>
      <c r="J686" s="25">
        <f t="shared" si="523"/>
        <v>8395.6297298201844</v>
      </c>
      <c r="K686" s="25">
        <f t="shared" si="524"/>
        <v>21655.303514578787</v>
      </c>
      <c r="L686" s="25"/>
      <c r="N686" s="25">
        <f>'Combined Retirement'!$C$18/12</f>
        <v>40940.569999999992</v>
      </c>
      <c r="O686" s="25">
        <f t="shared" si="525"/>
        <v>10889.636755601023</v>
      </c>
      <c r="P686" s="25">
        <f t="shared" si="526"/>
        <v>30050.93324439897</v>
      </c>
      <c r="Q686" s="25">
        <f t="array" aca="1" ref="Q686" ca="1">INDEX('Isaac 401k'!L:L,MATCH('Retirement Calculator'!A686,'Isaac 401k'!N:N,0),0)</f>
        <v>-3011994.6419348186</v>
      </c>
      <c r="R686" s="25">
        <f t="array" aca="1" ref="R686" ca="1">INDEX('Lorri 401b'!L:L,MATCH('Retirement Calculator'!A686,'Lorri 401b'!N:N,0),0)</f>
        <v>-4750645.4054317828</v>
      </c>
      <c r="S686" s="25">
        <f t="shared" ca="1" si="527"/>
        <v>-7762640.0473666014</v>
      </c>
    </row>
    <row r="687" spans="1:19" ht="15.75" customHeight="1" x14ac:dyDescent="0.3">
      <c r="A687" s="37">
        <v>71864</v>
      </c>
      <c r="B687" s="398">
        <f t="shared" ref="B687:C687" si="693">($A687-B$9)/365.25</f>
        <v>114.87474332648871</v>
      </c>
      <c r="C687" s="398">
        <f t="shared" si="693"/>
        <v>110.26420260095824</v>
      </c>
      <c r="E687" s="25">
        <f>IF(C687&gt;$B$7,0,'Combined Retirement'!$D$13/12)</f>
        <v>0</v>
      </c>
      <c r="F687" s="25">
        <f>IF(H687=0,'Combined Retirement'!$D$32,0)+'Combined Retirement'!$B$24</f>
        <v>2870.372285649099</v>
      </c>
      <c r="G687" s="25">
        <f>'Combined Retirement'!$C$24</f>
        <v>3254.2644699519233</v>
      </c>
      <c r="H687" s="25">
        <f>IF(B687&lt;62,0,'Combined Retirement'!$I$14)</f>
        <v>2345</v>
      </c>
      <c r="I687" s="25">
        <f>IF(C687&lt;62,0,'Combined Retirement'!$I$13)</f>
        <v>2420</v>
      </c>
      <c r="J687" s="25">
        <f t="shared" si="523"/>
        <v>8395.6297298201844</v>
      </c>
      <c r="K687" s="25">
        <f t="shared" si="524"/>
        <v>21655.303514578787</v>
      </c>
      <c r="L687" s="25"/>
      <c r="N687" s="25">
        <f>'Combined Retirement'!$C$18/12</f>
        <v>40940.569999999992</v>
      </c>
      <c r="O687" s="25">
        <f t="shared" si="525"/>
        <v>10889.636755601023</v>
      </c>
      <c r="P687" s="25">
        <f t="shared" si="526"/>
        <v>30050.93324439897</v>
      </c>
      <c r="Q687" s="25">
        <f t="array" aca="1" ref="Q687" ca="1">INDEX('Isaac 401k'!L:L,MATCH('Retirement Calculator'!A687,'Isaac 401k'!N:N,0),0)</f>
        <v>-3032975.2311299085</v>
      </c>
      <c r="R687" s="25">
        <f t="array" aca="1" ref="R687" ca="1">INDEX('Lorri 401b'!L:L,MATCH('Retirement Calculator'!A687,'Lorri 401b'!N:N,0),0)</f>
        <v>-4792185.295233638</v>
      </c>
      <c r="S687" s="25">
        <f t="shared" ca="1" si="527"/>
        <v>-7825160.526363546</v>
      </c>
    </row>
    <row r="688" spans="1:19" ht="15.75" customHeight="1" x14ac:dyDescent="0.3">
      <c r="A688" s="37">
        <v>71895</v>
      </c>
      <c r="B688" s="398">
        <f t="shared" ref="B688:C688" si="694">($A688-B$9)/365.25</f>
        <v>114.9596167008898</v>
      </c>
      <c r="C688" s="398">
        <f t="shared" si="694"/>
        <v>110.34907597535934</v>
      </c>
      <c r="E688" s="25">
        <f>IF(C688&gt;$B$7,0,'Combined Retirement'!$D$13/12)</f>
        <v>0</v>
      </c>
      <c r="F688" s="25">
        <f>IF(H688=0,'Combined Retirement'!$D$32,0)+'Combined Retirement'!$B$24</f>
        <v>2870.372285649099</v>
      </c>
      <c r="G688" s="25">
        <f>'Combined Retirement'!$C$24</f>
        <v>3254.2644699519233</v>
      </c>
      <c r="H688" s="25">
        <f>IF(B688&lt;62,0,'Combined Retirement'!$I$14)</f>
        <v>2345</v>
      </c>
      <c r="I688" s="25">
        <f>IF(C688&lt;62,0,'Combined Retirement'!$I$13)</f>
        <v>2420</v>
      </c>
      <c r="J688" s="25">
        <f t="shared" si="523"/>
        <v>8395.6297298201844</v>
      </c>
      <c r="K688" s="25">
        <f t="shared" si="524"/>
        <v>21655.303514578787</v>
      </c>
      <c r="L688" s="25"/>
      <c r="N688" s="25">
        <f>'Combined Retirement'!$C$18/12</f>
        <v>40940.569999999992</v>
      </c>
      <c r="O688" s="25">
        <f t="shared" si="525"/>
        <v>10889.636755601023</v>
      </c>
      <c r="P688" s="25">
        <f t="shared" si="526"/>
        <v>30050.93324439897</v>
      </c>
      <c r="Q688" s="25">
        <f t="array" aca="1" ref="Q688" ca="1">INDEX('Isaac 401k'!L:L,MATCH('Retirement Calculator'!A688,'Isaac 401k'!N:N,0),0)</f>
        <v>-3054043.2394466442</v>
      </c>
      <c r="R688" s="25">
        <f t="array" aca="1" ref="R688" ca="1">INDEX('Lorri 401b'!L:L,MATCH('Retirement Calculator'!A688,'Lorri 401b'!N:N,0),0)</f>
        <v>-4833898.2679096675</v>
      </c>
      <c r="S688" s="25">
        <f t="shared" ca="1" si="527"/>
        <v>-7887941.5073563121</v>
      </c>
    </row>
    <row r="689" spans="1:19" ht="15.75" customHeight="1" x14ac:dyDescent="0.3">
      <c r="A689" s="37">
        <v>71925</v>
      </c>
      <c r="B689" s="398">
        <f t="shared" ref="B689:C689" si="695">($A689-B$9)/365.25</f>
        <v>115.04175222450377</v>
      </c>
      <c r="C689" s="398">
        <f t="shared" si="695"/>
        <v>110.43121149897331</v>
      </c>
      <c r="E689" s="25">
        <f>IF(C689&gt;$B$7,0,'Combined Retirement'!$D$13/12)</f>
        <v>0</v>
      </c>
      <c r="F689" s="25">
        <f>IF(H689=0,'Combined Retirement'!$D$32,0)+'Combined Retirement'!$B$24</f>
        <v>2870.372285649099</v>
      </c>
      <c r="G689" s="25">
        <f>'Combined Retirement'!$C$24</f>
        <v>3254.2644699519233</v>
      </c>
      <c r="H689" s="25">
        <f>IF(B689&lt;62,0,'Combined Retirement'!$I$14)</f>
        <v>2345</v>
      </c>
      <c r="I689" s="25">
        <f>IF(C689&lt;62,0,'Combined Retirement'!$I$13)</f>
        <v>2420</v>
      </c>
      <c r="J689" s="25">
        <f t="shared" si="523"/>
        <v>8395.6297298201844</v>
      </c>
      <c r="K689" s="25">
        <f t="shared" si="524"/>
        <v>21655.303514578787</v>
      </c>
      <c r="L689" s="25"/>
      <c r="N689" s="25">
        <f>'Combined Retirement'!$C$18/12</f>
        <v>40940.569999999992</v>
      </c>
      <c r="O689" s="25">
        <f t="shared" si="525"/>
        <v>10889.636755601023</v>
      </c>
      <c r="P689" s="25">
        <f t="shared" si="526"/>
        <v>30050.93324439897</v>
      </c>
      <c r="Q689" s="25">
        <f t="array" aca="1" ref="Q689" ca="1">INDEX('Isaac 401k'!L:L,MATCH('Retirement Calculator'!A689,'Isaac 401k'!N:N,0),0)</f>
        <v>-3075199.0311313667</v>
      </c>
      <c r="R689" s="25">
        <f t="array" aca="1" ref="R689" ca="1">INDEX('Lorri 401b'!L:L,MATCH('Retirement Calculator'!A689,'Lorri 401b'!N:N,0),0)</f>
        <v>-4875785.0446385136</v>
      </c>
      <c r="S689" s="25">
        <f t="shared" ca="1" si="527"/>
        <v>-7950984.0757698808</v>
      </c>
    </row>
    <row r="690" spans="1:19" ht="15.75" customHeight="1" x14ac:dyDescent="0.3">
      <c r="A690" s="37">
        <v>71956</v>
      </c>
      <c r="B690" s="398">
        <f t="shared" ref="B690:C690" si="696">($A690-B$9)/365.25</f>
        <v>115.12662559890487</v>
      </c>
      <c r="C690" s="398">
        <f t="shared" si="696"/>
        <v>110.5160848733744</v>
      </c>
      <c r="E690" s="25">
        <f>IF(C690&gt;$B$7,0,'Combined Retirement'!$D$13/12)</f>
        <v>0</v>
      </c>
      <c r="F690" s="25">
        <f>IF(H690=0,'Combined Retirement'!$D$32,0)+'Combined Retirement'!$B$24</f>
        <v>2870.372285649099</v>
      </c>
      <c r="G690" s="25">
        <f>'Combined Retirement'!$C$24</f>
        <v>3254.2644699519233</v>
      </c>
      <c r="H690" s="25">
        <f>IF(B690&lt;62,0,'Combined Retirement'!$I$14)</f>
        <v>2345</v>
      </c>
      <c r="I690" s="25">
        <f>IF(C690&lt;62,0,'Combined Retirement'!$I$13)</f>
        <v>2420</v>
      </c>
      <c r="J690" s="25">
        <f t="shared" si="523"/>
        <v>8395.6297298201844</v>
      </c>
      <c r="K690" s="25">
        <f t="shared" si="524"/>
        <v>21655.303514578787</v>
      </c>
      <c r="L690" s="25"/>
      <c r="N690" s="25">
        <f>'Combined Retirement'!$C$18/12</f>
        <v>40940.569999999992</v>
      </c>
      <c r="O690" s="25">
        <f t="shared" si="525"/>
        <v>10889.636755601023</v>
      </c>
      <c r="P690" s="25">
        <f t="shared" si="526"/>
        <v>30050.93324439897</v>
      </c>
      <c r="Q690" s="25">
        <f t="array" aca="1" ref="Q690" ca="1">INDEX('Isaac 401k'!L:L,MATCH('Retirement Calculator'!A690,'Isaac 401k'!N:N,0),0)</f>
        <v>-3096442.9719481086</v>
      </c>
      <c r="R690" s="25">
        <f t="array" aca="1" ref="R690" ca="1">INDEX('Lorri 401b'!L:L,MATCH('Retirement Calculator'!A690,'Lorri 401b'!N:N,0),0)</f>
        <v>-4917846.3496037303</v>
      </c>
      <c r="S690" s="25">
        <f t="shared" ca="1" si="527"/>
        <v>-8014289.3215518389</v>
      </c>
    </row>
    <row r="691" spans="1:19" ht="15.75" customHeight="1" x14ac:dyDescent="0.3">
      <c r="A691" s="37">
        <v>71987</v>
      </c>
      <c r="B691" s="398">
        <f t="shared" ref="B691:C691" si="697">($A691-B$9)/365.25</f>
        <v>115.21149897330595</v>
      </c>
      <c r="C691" s="398">
        <f t="shared" si="697"/>
        <v>110.60095824777549</v>
      </c>
      <c r="E691" s="25">
        <f>IF(C691&gt;$B$7,0,'Combined Retirement'!$D$13/12)</f>
        <v>0</v>
      </c>
      <c r="F691" s="25">
        <f>IF(H691=0,'Combined Retirement'!$D$32,0)+'Combined Retirement'!$B$24</f>
        <v>2870.372285649099</v>
      </c>
      <c r="G691" s="25">
        <f>'Combined Retirement'!$C$24</f>
        <v>3254.2644699519233</v>
      </c>
      <c r="H691" s="25">
        <f>IF(B691&lt;62,0,'Combined Retirement'!$I$14)</f>
        <v>2345</v>
      </c>
      <c r="I691" s="25">
        <f>IF(C691&lt;62,0,'Combined Retirement'!$I$13)</f>
        <v>2420</v>
      </c>
      <c r="J691" s="25">
        <f t="shared" si="523"/>
        <v>8395.6297298201844</v>
      </c>
      <c r="K691" s="25">
        <f t="shared" si="524"/>
        <v>21655.303514578787</v>
      </c>
      <c r="L691" s="25"/>
      <c r="N691" s="25">
        <f>'Combined Retirement'!$C$18/12</f>
        <v>40940.569999999992</v>
      </c>
      <c r="O691" s="25">
        <f t="shared" si="525"/>
        <v>10889.636755601023</v>
      </c>
      <c r="P691" s="25">
        <f t="shared" si="526"/>
        <v>30050.93324439897</v>
      </c>
      <c r="Q691" s="25">
        <f t="array" aca="1" ref="Q691" ca="1">INDEX('Isaac 401k'!L:L,MATCH('Retirement Calculator'!A691,'Isaac 401k'!N:N,0),0)</f>
        <v>-3117775.4291849206</v>
      </c>
      <c r="R691" s="25">
        <f t="array" aca="1" ref="R691" ca="1">INDEX('Lorri 401b'!L:L,MATCH('Retirement Calculator'!A691,'Lorri 401b'!N:N,0),0)</f>
        <v>-4960082.9100063015</v>
      </c>
      <c r="S691" s="25">
        <f t="shared" ca="1" si="527"/>
        <v>-8077858.3391912226</v>
      </c>
    </row>
    <row r="692" spans="1:19" ht="15.75" customHeight="1" x14ac:dyDescent="0.3">
      <c r="A692" s="37">
        <v>72015</v>
      </c>
      <c r="B692" s="398">
        <f t="shared" ref="B692:C692" si="698">($A692-B$9)/365.25</f>
        <v>115.28815879534565</v>
      </c>
      <c r="C692" s="398">
        <f t="shared" si="698"/>
        <v>110.6776180698152</v>
      </c>
      <c r="E692" s="25">
        <f>IF(C692&gt;$B$7,0,'Combined Retirement'!$D$13/12)</f>
        <v>0</v>
      </c>
      <c r="F692" s="25">
        <f>IF(H692=0,'Combined Retirement'!$D$32,0)+'Combined Retirement'!$B$24</f>
        <v>2870.372285649099</v>
      </c>
      <c r="G692" s="25">
        <f>'Combined Retirement'!$C$24</f>
        <v>3254.2644699519233</v>
      </c>
      <c r="H692" s="25">
        <f>IF(B692&lt;62,0,'Combined Retirement'!$I$14)</f>
        <v>2345</v>
      </c>
      <c r="I692" s="25">
        <f>IF(C692&lt;62,0,'Combined Retirement'!$I$13)</f>
        <v>2420</v>
      </c>
      <c r="J692" s="25">
        <f t="shared" si="523"/>
        <v>8395.6297298201844</v>
      </c>
      <c r="K692" s="25">
        <f t="shared" si="524"/>
        <v>21655.303514578787</v>
      </c>
      <c r="L692" s="25"/>
      <c r="N692" s="25">
        <f>'Combined Retirement'!$C$18/12</f>
        <v>40940.569999999992</v>
      </c>
      <c r="O692" s="25">
        <f t="shared" si="525"/>
        <v>10889.636755601023</v>
      </c>
      <c r="P692" s="25">
        <f t="shared" si="526"/>
        <v>30050.93324439897</v>
      </c>
      <c r="Q692" s="25">
        <f t="array" aca="1" ref="Q692" ca="1">INDEX('Isaac 401k'!L:L,MATCH('Retirement Calculator'!A692,'Isaac 401k'!N:N,0),0)</f>
        <v>-3139196.7716602189</v>
      </c>
      <c r="R692" s="25">
        <f t="array" aca="1" ref="R692" ca="1">INDEX('Lorri 401b'!L:L,MATCH('Retirement Calculator'!A692,'Lorri 401b'!N:N,0),0)</f>
        <v>-5002495.4560772171</v>
      </c>
      <c r="S692" s="25">
        <f t="shared" ca="1" si="527"/>
        <v>-8141692.2277374361</v>
      </c>
    </row>
    <row r="693" spans="1:19" ht="15.75" customHeight="1" x14ac:dyDescent="0.3">
      <c r="A693" s="37">
        <v>72046</v>
      </c>
      <c r="B693" s="398">
        <f t="shared" ref="B693:C693" si="699">($A693-B$9)/365.25</f>
        <v>115.37303216974675</v>
      </c>
      <c r="C693" s="398">
        <f t="shared" si="699"/>
        <v>110.76249144421629</v>
      </c>
      <c r="E693" s="25">
        <f>IF(C693&gt;$B$7,0,'Combined Retirement'!$D$13/12)</f>
        <v>0</v>
      </c>
      <c r="F693" s="25">
        <f>IF(H693=0,'Combined Retirement'!$D$32,0)+'Combined Retirement'!$B$24</f>
        <v>2870.372285649099</v>
      </c>
      <c r="G693" s="25">
        <f>'Combined Retirement'!$C$24</f>
        <v>3254.2644699519233</v>
      </c>
      <c r="H693" s="25">
        <f>IF(B693&lt;62,0,'Combined Retirement'!$I$14)</f>
        <v>2345</v>
      </c>
      <c r="I693" s="25">
        <f>IF(C693&lt;62,0,'Combined Retirement'!$I$13)</f>
        <v>2420</v>
      </c>
      <c r="J693" s="25">
        <f t="shared" si="523"/>
        <v>8395.6297298201844</v>
      </c>
      <c r="K693" s="25">
        <f t="shared" si="524"/>
        <v>21655.303514578787</v>
      </c>
      <c r="L693" s="25"/>
      <c r="N693" s="25">
        <f>'Combined Retirement'!$C$18/12</f>
        <v>40940.569999999992</v>
      </c>
      <c r="O693" s="25">
        <f t="shared" si="525"/>
        <v>10889.636755601023</v>
      </c>
      <c r="P693" s="25">
        <f t="shared" si="526"/>
        <v>30050.93324439897</v>
      </c>
      <c r="Q693" s="25">
        <f t="array" aca="1" ref="Q693" ca="1">INDEX('Isaac 401k'!L:L,MATCH('Retirement Calculator'!A693,'Isaac 401k'!N:N,0),0)</f>
        <v>-3160707.3697291645</v>
      </c>
      <c r="R693" s="25">
        <f t="array" aca="1" ref="R693" ca="1">INDEX('Lorri 401b'!L:L,MATCH('Retirement Calculator'!A693,'Lorri 401b'!N:N,0),0)</f>
        <v>-5045084.7210900951</v>
      </c>
      <c r="S693" s="25">
        <f t="shared" ca="1" si="527"/>
        <v>-8205792.0908192601</v>
      </c>
    </row>
    <row r="694" spans="1:19" ht="15.75" customHeight="1" x14ac:dyDescent="0.3">
      <c r="A694" s="37">
        <v>72076</v>
      </c>
      <c r="B694" s="398">
        <f t="shared" ref="B694:C694" si="700">($A694-B$9)/365.25</f>
        <v>115.45516769336071</v>
      </c>
      <c r="C694" s="398">
        <f t="shared" si="700"/>
        <v>110.84462696783025</v>
      </c>
      <c r="E694" s="25">
        <f>IF(C694&gt;$B$7,0,'Combined Retirement'!$D$13/12)</f>
        <v>0</v>
      </c>
      <c r="F694" s="25">
        <f>IF(H694=0,'Combined Retirement'!$D$32,0)+'Combined Retirement'!$B$24</f>
        <v>2870.372285649099</v>
      </c>
      <c r="G694" s="25">
        <f>'Combined Retirement'!$C$24</f>
        <v>3254.2644699519233</v>
      </c>
      <c r="H694" s="25">
        <f>IF(B694&lt;62,0,'Combined Retirement'!$I$14)</f>
        <v>2345</v>
      </c>
      <c r="I694" s="25">
        <f>IF(C694&lt;62,0,'Combined Retirement'!$I$13)</f>
        <v>2420</v>
      </c>
      <c r="J694" s="25">
        <f t="shared" si="523"/>
        <v>8395.6297298201844</v>
      </c>
      <c r="K694" s="25">
        <f t="shared" si="524"/>
        <v>21655.303514578787</v>
      </c>
      <c r="L694" s="25"/>
      <c r="N694" s="25">
        <f>'Combined Retirement'!$C$18/12</f>
        <v>40940.569999999992</v>
      </c>
      <c r="O694" s="25">
        <f t="shared" si="525"/>
        <v>10889.636755601023</v>
      </c>
      <c r="P694" s="25">
        <f t="shared" si="526"/>
        <v>30050.93324439897</v>
      </c>
      <c r="Q694" s="25">
        <f t="array" aca="1" ref="Q694" ca="1">INDEX('Isaac 401k'!L:L,MATCH('Retirement Calculator'!A694,'Isaac 401k'!N:N,0),0)</f>
        <v>-3182307.5952900639</v>
      </c>
      <c r="R694" s="25">
        <f t="array" aca="1" ref="R694" ca="1">INDEX('Lorri 401b'!L:L,MATCH('Retirement Calculator'!A694,'Lorri 401b'!N:N,0),0)</f>
        <v>-5087851.4413738595</v>
      </c>
      <c r="S694" s="25">
        <f t="shared" ca="1" si="527"/>
        <v>-8270159.0366639234</v>
      </c>
    </row>
    <row r="695" spans="1:19" ht="15.75" customHeight="1" x14ac:dyDescent="0.3">
      <c r="A695" s="37">
        <v>72107</v>
      </c>
      <c r="B695" s="398">
        <f t="shared" ref="B695:C695" si="701">($A695-B$9)/365.25</f>
        <v>115.54004106776181</v>
      </c>
      <c r="C695" s="398">
        <f t="shared" si="701"/>
        <v>110.92950034223135</v>
      </c>
      <c r="E695" s="25">
        <f>IF(C695&gt;$B$7,0,'Combined Retirement'!$D$13/12)</f>
        <v>0</v>
      </c>
      <c r="F695" s="25">
        <f>IF(H695=0,'Combined Retirement'!$D$32,0)+'Combined Retirement'!$B$24</f>
        <v>2870.372285649099</v>
      </c>
      <c r="G695" s="25">
        <f>'Combined Retirement'!$C$24</f>
        <v>3254.2644699519233</v>
      </c>
      <c r="H695" s="25">
        <f>IF(B695&lt;62,0,'Combined Retirement'!$I$14)</f>
        <v>2345</v>
      </c>
      <c r="I695" s="25">
        <f>IF(C695&lt;62,0,'Combined Retirement'!$I$13)</f>
        <v>2420</v>
      </c>
      <c r="J695" s="25">
        <f t="shared" si="523"/>
        <v>8395.6297298201844</v>
      </c>
      <c r="K695" s="25">
        <f t="shared" si="524"/>
        <v>21655.303514578787</v>
      </c>
      <c r="L695" s="25"/>
      <c r="N695" s="25">
        <f>'Combined Retirement'!$C$18/12</f>
        <v>40940.569999999992</v>
      </c>
      <c r="O695" s="25">
        <f t="shared" si="525"/>
        <v>10889.636755601023</v>
      </c>
      <c r="P695" s="25">
        <f t="shared" si="526"/>
        <v>30050.93324439897</v>
      </c>
      <c r="Q695" s="25">
        <f t="array" aca="1" ref="Q695" ca="1">INDEX('Isaac 401k'!L:L,MATCH('Retirement Calculator'!A695,'Isaac 401k'!N:N,0),0)</f>
        <v>-3203997.8217908004</v>
      </c>
      <c r="R695" s="25">
        <f t="array" aca="1" ref="R695" ca="1">INDEX('Lorri 401b'!L:L,MATCH('Retirement Calculator'!A695,'Lorri 401b'!N:N,0),0)</f>
        <v>-5130796.3563254727</v>
      </c>
      <c r="S695" s="25">
        <f t="shared" ca="1" si="527"/>
        <v>-8334794.1781162731</v>
      </c>
    </row>
    <row r="696" spans="1:19" ht="15.75" customHeight="1" x14ac:dyDescent="0.3">
      <c r="A696" s="37">
        <v>72137</v>
      </c>
      <c r="B696" s="398">
        <f t="shared" ref="B696:C696" si="702">($A696-B$9)/365.25</f>
        <v>115.62217659137578</v>
      </c>
      <c r="C696" s="398">
        <f t="shared" si="702"/>
        <v>111.01163586584531</v>
      </c>
      <c r="E696" s="25">
        <f>IF(C696&gt;$B$7,0,'Combined Retirement'!$D$13/12)</f>
        <v>0</v>
      </c>
      <c r="F696" s="25">
        <f>IF(H696=0,'Combined Retirement'!$D$32,0)+'Combined Retirement'!$B$24</f>
        <v>2870.372285649099</v>
      </c>
      <c r="G696" s="25">
        <f>'Combined Retirement'!$C$24</f>
        <v>3254.2644699519233</v>
      </c>
      <c r="H696" s="25">
        <f>IF(B696&lt;62,0,'Combined Retirement'!$I$14)</f>
        <v>2345</v>
      </c>
      <c r="I696" s="25">
        <f>IF(C696&lt;62,0,'Combined Retirement'!$I$13)</f>
        <v>2420</v>
      </c>
      <c r="J696" s="25">
        <f t="shared" si="523"/>
        <v>8395.6297298201844</v>
      </c>
      <c r="K696" s="25">
        <f t="shared" si="524"/>
        <v>21655.303514578787</v>
      </c>
      <c r="L696" s="25"/>
      <c r="N696" s="25">
        <f>'Combined Retirement'!$C$18/12</f>
        <v>40940.569999999992</v>
      </c>
      <c r="O696" s="25">
        <f t="shared" si="525"/>
        <v>10889.636755601023</v>
      </c>
      <c r="P696" s="25">
        <f t="shared" si="526"/>
        <v>30050.93324439897</v>
      </c>
      <c r="Q696" s="25">
        <f t="array" aca="1" ref="Q696" ca="1">INDEX('Isaac 401k'!L:L,MATCH('Retirement Calculator'!A696,'Isaac 401k'!N:N,0),0)</f>
        <v>-3225778.4242352899</v>
      </c>
      <c r="R696" s="25">
        <f t="array" aca="1" ref="R696" ca="1">INDEX('Lorri 401b'!L:L,MATCH('Retirement Calculator'!A696,'Lorri 401b'!N:N,0),0)</f>
        <v>-5173920.2084227176</v>
      </c>
      <c r="S696" s="25">
        <f t="shared" ca="1" si="527"/>
        <v>-8399698.6326580085</v>
      </c>
    </row>
    <row r="697" spans="1:19" ht="15.75" customHeight="1" x14ac:dyDescent="0.3">
      <c r="A697" s="37">
        <v>72168</v>
      </c>
      <c r="B697" s="398">
        <f t="shared" ref="B697:C697" si="703">($A697-B$9)/365.25</f>
        <v>115.70704996577686</v>
      </c>
      <c r="C697" s="398">
        <f t="shared" si="703"/>
        <v>111.09650924024641</v>
      </c>
      <c r="E697" s="25">
        <f>IF(C697&gt;$B$7,0,'Combined Retirement'!$D$13/12)</f>
        <v>0</v>
      </c>
      <c r="F697" s="25">
        <f>IF(H697=0,'Combined Retirement'!$D$32,0)+'Combined Retirement'!$B$24</f>
        <v>2870.372285649099</v>
      </c>
      <c r="G697" s="25">
        <f>'Combined Retirement'!$C$24</f>
        <v>3254.2644699519233</v>
      </c>
      <c r="H697" s="25">
        <f>IF(B697&lt;62,0,'Combined Retirement'!$I$14)</f>
        <v>2345</v>
      </c>
      <c r="I697" s="25">
        <f>IF(C697&lt;62,0,'Combined Retirement'!$I$13)</f>
        <v>2420</v>
      </c>
      <c r="J697" s="25">
        <f t="shared" si="523"/>
        <v>8395.6297298201844</v>
      </c>
      <c r="K697" s="25">
        <f t="shared" si="524"/>
        <v>21655.303514578787</v>
      </c>
      <c r="L697" s="25"/>
      <c r="N697" s="25">
        <f>'Combined Retirement'!$C$18/12</f>
        <v>40940.569999999992</v>
      </c>
      <c r="O697" s="25">
        <f t="shared" si="525"/>
        <v>10889.636755601023</v>
      </c>
      <c r="P697" s="25">
        <f t="shared" si="526"/>
        <v>30050.93324439897</v>
      </c>
      <c r="Q697" s="25">
        <f t="array" aca="1" ref="Q697" ca="1">INDEX('Isaac 401k'!L:L,MATCH('Retirement Calculator'!A697,'Isaac 401k'!N:N,0),0)</f>
        <v>-3247649.7791899648</v>
      </c>
      <c r="R697" s="25">
        <f t="array" aca="1" ref="R697" ca="1">INDEX('Lorri 401b'!L:L,MATCH('Retirement Calculator'!A697,'Lorri 401b'!N:N,0),0)</f>
        <v>-5217223.7432370344</v>
      </c>
      <c r="S697" s="25">
        <f t="shared" ca="1" si="527"/>
        <v>-8464873.5224270001</v>
      </c>
    </row>
    <row r="698" spans="1:19" ht="15.75" customHeight="1" x14ac:dyDescent="0.3">
      <c r="A698" s="37">
        <v>72199</v>
      </c>
      <c r="B698" s="398">
        <f t="shared" ref="B698:C698" si="704">($A698-B$9)/365.25</f>
        <v>115.79192334017796</v>
      </c>
      <c r="C698" s="398">
        <f t="shared" si="704"/>
        <v>111.1813826146475</v>
      </c>
      <c r="E698" s="25">
        <f>IF(C698&gt;$B$7,0,'Combined Retirement'!$D$13/12)</f>
        <v>0</v>
      </c>
      <c r="F698" s="25">
        <f>IF(H698=0,'Combined Retirement'!$D$32,0)+'Combined Retirement'!$B$24</f>
        <v>2870.372285649099</v>
      </c>
      <c r="G698" s="25">
        <f>'Combined Retirement'!$C$24</f>
        <v>3254.2644699519233</v>
      </c>
      <c r="H698" s="25">
        <f>IF(B698&lt;62,0,'Combined Retirement'!$I$14)</f>
        <v>2345</v>
      </c>
      <c r="I698" s="25">
        <f>IF(C698&lt;62,0,'Combined Retirement'!$I$13)</f>
        <v>2420</v>
      </c>
      <c r="J698" s="25">
        <f t="shared" si="523"/>
        <v>8395.6297298201844</v>
      </c>
      <c r="K698" s="25">
        <f t="shared" si="524"/>
        <v>21655.303514578787</v>
      </c>
      <c r="L698" s="25"/>
      <c r="N698" s="25">
        <f>'Combined Retirement'!$C$18/12</f>
        <v>40940.569999999992</v>
      </c>
      <c r="O698" s="25">
        <f t="shared" si="525"/>
        <v>10889.636755601023</v>
      </c>
      <c r="P698" s="25">
        <f t="shared" si="526"/>
        <v>30050.93324439897</v>
      </c>
      <c r="Q698" s="25">
        <f t="array" aca="1" ref="Q698" ca="1">INDEX('Isaac 401k'!L:L,MATCH('Retirement Calculator'!A698,'Isaac 401k'!N:N,0),0)</f>
        <v>-3269612.2647902844</v>
      </c>
      <c r="R698" s="25">
        <f t="array" aca="1" ref="R698" ca="1">INDEX('Lorri 401b'!L:L,MATCH('Retirement Calculator'!A698,'Lorri 401b'!N:N,0),0)</f>
        <v>-5260707.7094464116</v>
      </c>
      <c r="S698" s="25">
        <f t="shared" ca="1" si="527"/>
        <v>-8530319.974236697</v>
      </c>
    </row>
    <row r="699" spans="1:19" ht="15.75" customHeight="1" x14ac:dyDescent="0.3">
      <c r="A699" s="37">
        <v>72229</v>
      </c>
      <c r="B699" s="398">
        <f t="shared" ref="B699:C699" si="705">($A699-B$9)/365.25</f>
        <v>115.87405886379193</v>
      </c>
      <c r="C699" s="398">
        <f t="shared" si="705"/>
        <v>111.26351813826146</v>
      </c>
      <c r="E699" s="25">
        <f>IF(C699&gt;$B$7,0,'Combined Retirement'!$D$13/12)</f>
        <v>0</v>
      </c>
      <c r="F699" s="25">
        <f>IF(H699=0,'Combined Retirement'!$D$32,0)+'Combined Retirement'!$B$24</f>
        <v>2870.372285649099</v>
      </c>
      <c r="G699" s="25">
        <f>'Combined Retirement'!$C$24</f>
        <v>3254.2644699519233</v>
      </c>
      <c r="H699" s="25">
        <f>IF(B699&lt;62,0,'Combined Retirement'!$I$14)</f>
        <v>2345</v>
      </c>
      <c r="I699" s="25">
        <f>IF(C699&lt;62,0,'Combined Retirement'!$I$13)</f>
        <v>2420</v>
      </c>
      <c r="J699" s="25">
        <f t="shared" si="523"/>
        <v>8395.6297298201844</v>
      </c>
      <c r="K699" s="25">
        <f t="shared" si="524"/>
        <v>21655.303514578787</v>
      </c>
      <c r="L699" s="25"/>
      <c r="N699" s="25">
        <f>'Combined Retirement'!$C$18/12</f>
        <v>40940.569999999992</v>
      </c>
      <c r="O699" s="25">
        <f t="shared" si="525"/>
        <v>10889.636755601023</v>
      </c>
      <c r="P699" s="25">
        <f t="shared" si="526"/>
        <v>30050.93324439897</v>
      </c>
      <c r="Q699" s="25">
        <f t="array" aca="1" ref="Q699" ca="1">INDEX('Isaac 401k'!L:L,MATCH('Retirement Calculator'!A699,'Isaac 401k'!N:N,0),0)</f>
        <v>-3291666.2607472721</v>
      </c>
      <c r="R699" s="25">
        <f t="array" aca="1" ref="R699" ca="1">INDEX('Lorri 401b'!L:L,MATCH('Retirement Calculator'!A699,'Lorri 401b'!N:N,0),0)</f>
        <v>-5304372.8588483278</v>
      </c>
      <c r="S699" s="25">
        <f t="shared" ca="1" si="527"/>
        <v>-8596039.1195956003</v>
      </c>
    </row>
    <row r="700" spans="1:19" ht="15.75" customHeight="1" x14ac:dyDescent="0.3">
      <c r="A700" s="37">
        <v>72260</v>
      </c>
      <c r="B700" s="398">
        <f t="shared" ref="B700:C700" si="706">($A700-B$9)/365.25</f>
        <v>115.95893223819301</v>
      </c>
      <c r="C700" s="398">
        <f t="shared" si="706"/>
        <v>111.34839151266256</v>
      </c>
      <c r="E700" s="25">
        <f>IF(C700&gt;$B$7,0,'Combined Retirement'!$D$13/12)</f>
        <v>0</v>
      </c>
      <c r="F700" s="25">
        <f>IF(H700=0,'Combined Retirement'!$D$32,0)+'Combined Retirement'!$B$24</f>
        <v>2870.372285649099</v>
      </c>
      <c r="G700" s="25">
        <f>'Combined Retirement'!$C$24</f>
        <v>3254.2644699519233</v>
      </c>
      <c r="H700" s="25">
        <f>IF(B700&lt;62,0,'Combined Retirement'!$I$14)</f>
        <v>2345</v>
      </c>
      <c r="I700" s="25">
        <f>IF(C700&lt;62,0,'Combined Retirement'!$I$13)</f>
        <v>2420</v>
      </c>
      <c r="J700" s="25">
        <f t="shared" si="523"/>
        <v>8395.6297298201844</v>
      </c>
      <c r="K700" s="25">
        <f t="shared" si="524"/>
        <v>21655.303514578787</v>
      </c>
      <c r="L700" s="25"/>
      <c r="N700" s="25">
        <f>'Combined Retirement'!$C$18/12</f>
        <v>40940.569999999992</v>
      </c>
      <c r="O700" s="25">
        <f t="shared" si="525"/>
        <v>10889.636755601023</v>
      </c>
      <c r="P700" s="25">
        <f t="shared" si="526"/>
        <v>30050.93324439897</v>
      </c>
      <c r="Q700" s="25">
        <f t="array" aca="1" ref="Q700" ca="1">INDEX('Isaac 401k'!L:L,MATCH('Retirement Calculator'!A700,'Isaac 401k'!N:N,0),0)</f>
        <v>-3313812.1483540805</v>
      </c>
      <c r="R700" s="25">
        <f t="array" aca="1" ref="R700" ca="1">INDEX('Lorri 401b'!L:L,MATCH('Retirement Calculator'!A700,'Lorri 401b'!N:N,0),0)</f>
        <v>-5348219.9463727511</v>
      </c>
      <c r="S700" s="25">
        <f t="shared" ca="1" si="527"/>
        <v>-8662032.0947268307</v>
      </c>
    </row>
    <row r="701" spans="1:19" ht="15.75" customHeight="1" x14ac:dyDescent="0.3">
      <c r="A701" s="37">
        <v>72290</v>
      </c>
      <c r="B701" s="398">
        <f t="shared" ref="B701:C701" si="707">($A701-B$9)/365.25</f>
        <v>116.04106776180699</v>
      </c>
      <c r="C701" s="398">
        <f t="shared" si="707"/>
        <v>111.43052703627653</v>
      </c>
      <c r="E701" s="25">
        <f>IF(C701&gt;$B$7,0,'Combined Retirement'!$D$13/12)</f>
        <v>0</v>
      </c>
      <c r="F701" s="25">
        <f>IF(H701=0,'Combined Retirement'!$D$32,0)+'Combined Retirement'!$B$24</f>
        <v>2870.372285649099</v>
      </c>
      <c r="G701" s="25">
        <f>'Combined Retirement'!$C$24</f>
        <v>3254.2644699519233</v>
      </c>
      <c r="H701" s="25">
        <f>IF(B701&lt;62,0,'Combined Retirement'!$I$14)</f>
        <v>2345</v>
      </c>
      <c r="I701" s="25">
        <f>IF(C701&lt;62,0,'Combined Retirement'!$I$13)</f>
        <v>2420</v>
      </c>
      <c r="J701" s="25">
        <f t="shared" si="523"/>
        <v>8395.6297298201844</v>
      </c>
      <c r="K701" s="25">
        <f t="shared" si="524"/>
        <v>21655.303514578787</v>
      </c>
      <c r="L701" s="25"/>
      <c r="N701" s="25">
        <f>'Combined Retirement'!$C$18/12</f>
        <v>40940.569999999992</v>
      </c>
      <c r="O701" s="25">
        <f t="shared" si="525"/>
        <v>10889.636755601023</v>
      </c>
      <c r="P701" s="25">
        <f t="shared" si="526"/>
        <v>30050.93324439897</v>
      </c>
      <c r="Q701" s="25">
        <f t="array" aca="1" ref="Q701" ca="1">INDEX('Isaac 401k'!L:L,MATCH('Retirement Calculator'!A701,'Isaac 401k'!N:N,0),0)</f>
        <v>-3336050.310492584</v>
      </c>
      <c r="R701" s="25">
        <f t="array" aca="1" ref="R701" ca="1">INDEX('Lorri 401b'!L:L,MATCH('Retirement Calculator'!A701,'Lorri 401b'!N:N,0),0)</f>
        <v>-5392249.7300951937</v>
      </c>
      <c r="S701" s="25">
        <f t="shared" ca="1" si="527"/>
        <v>-8728300.0405877773</v>
      </c>
    </row>
    <row r="702" spans="1:19" ht="15.75" customHeight="1" x14ac:dyDescent="0.3">
      <c r="A702" s="37">
        <v>72321</v>
      </c>
      <c r="B702" s="398">
        <f t="shared" ref="B702:C702" si="708">($A702-B$9)/365.25</f>
        <v>116.12594113620807</v>
      </c>
      <c r="C702" s="398">
        <f t="shared" si="708"/>
        <v>111.51540041067761</v>
      </c>
      <c r="E702" s="25">
        <f>IF(C702&gt;$B$7,0,'Combined Retirement'!$D$13/12)</f>
        <v>0</v>
      </c>
      <c r="F702" s="25">
        <f>IF(H702=0,'Combined Retirement'!$D$32,0)+'Combined Retirement'!$B$24</f>
        <v>2870.372285649099</v>
      </c>
      <c r="G702" s="25">
        <f>'Combined Retirement'!$C$24</f>
        <v>3254.2644699519233</v>
      </c>
      <c r="H702" s="25">
        <f>IF(B702&lt;62,0,'Combined Retirement'!$I$14)</f>
        <v>2345</v>
      </c>
      <c r="I702" s="25">
        <f>IF(C702&lt;62,0,'Combined Retirement'!$I$13)</f>
        <v>2420</v>
      </c>
      <c r="J702" s="25">
        <f t="shared" si="523"/>
        <v>8395.6297298201844</v>
      </c>
      <c r="K702" s="25">
        <f t="shared" si="524"/>
        <v>21655.303514578787</v>
      </c>
      <c r="L702" s="25"/>
      <c r="N702" s="25">
        <f>'Combined Retirement'!$C$18/12</f>
        <v>40940.569999999992</v>
      </c>
      <c r="O702" s="25">
        <f t="shared" si="525"/>
        <v>10889.636755601023</v>
      </c>
      <c r="P702" s="25">
        <f t="shared" si="526"/>
        <v>30050.93324439897</v>
      </c>
      <c r="Q702" s="25">
        <f t="array" aca="1" ref="Q702" ca="1">INDEX('Isaac 401k'!L:L,MATCH('Retirement Calculator'!A702,'Isaac 401k'!N:N,0),0)</f>
        <v>-3358381.1316399979</v>
      </c>
      <c r="R702" s="25">
        <f t="array" aca="1" ref="R702" ca="1">INDEX('Lorri 401b'!L:L,MATCH('Retirement Calculator'!A702,'Lorri 401b'!N:N,0),0)</f>
        <v>-5436462.9712498132</v>
      </c>
      <c r="S702" s="25">
        <f t="shared" ca="1" si="527"/>
        <v>-8794844.1028898116</v>
      </c>
    </row>
    <row r="703" spans="1:19" ht="15.75" customHeight="1" x14ac:dyDescent="0.3">
      <c r="A703" s="37">
        <v>72352</v>
      </c>
      <c r="B703" s="398">
        <f t="shared" ref="B703:C703" si="709">($A703-B$9)/365.25</f>
        <v>116.21081451060917</v>
      </c>
      <c r="C703" s="398">
        <f t="shared" si="709"/>
        <v>111.60027378507871</v>
      </c>
      <c r="E703" s="25">
        <f>IF(C703&gt;$B$7,0,'Combined Retirement'!$D$13/12)</f>
        <v>0</v>
      </c>
      <c r="F703" s="25">
        <f>IF(H703=0,'Combined Retirement'!$D$32,0)+'Combined Retirement'!$B$24</f>
        <v>2870.372285649099</v>
      </c>
      <c r="G703" s="25">
        <f>'Combined Retirement'!$C$24</f>
        <v>3254.2644699519233</v>
      </c>
      <c r="H703" s="25">
        <f>IF(B703&lt;62,0,'Combined Retirement'!$I$14)</f>
        <v>2345</v>
      </c>
      <c r="I703" s="25">
        <f>IF(C703&lt;62,0,'Combined Retirement'!$I$13)</f>
        <v>2420</v>
      </c>
      <c r="J703" s="25">
        <f t="shared" si="523"/>
        <v>8395.6297298201844</v>
      </c>
      <c r="K703" s="25">
        <f t="shared" si="524"/>
        <v>21655.303514578787</v>
      </c>
      <c r="L703" s="25"/>
      <c r="N703" s="25">
        <f>'Combined Retirement'!$C$18/12</f>
        <v>40940.569999999992</v>
      </c>
      <c r="O703" s="25">
        <f t="shared" si="525"/>
        <v>10889.636755601023</v>
      </c>
      <c r="P703" s="25">
        <f t="shared" si="526"/>
        <v>30050.93324439897</v>
      </c>
      <c r="Q703" s="25">
        <f t="array" aca="1" ref="Q703" ca="1">INDEX('Isaac 401k'!L:L,MATCH('Retirement Calculator'!A703,'Isaac 401k'!N:N,0),0)</f>
        <v>-3380804.9978755261</v>
      </c>
      <c r="R703" s="25">
        <f t="array" aca="1" ref="R703" ca="1">INDEX('Lorri 401b'!L:L,MATCH('Retirement Calculator'!A703,'Lorri 401b'!N:N,0),0)</f>
        <v>-5480860.4342425764</v>
      </c>
      <c r="S703" s="25">
        <f t="shared" ca="1" si="527"/>
        <v>-8861665.4321181029</v>
      </c>
    </row>
    <row r="704" spans="1:19" ht="15.75" customHeight="1" x14ac:dyDescent="0.3">
      <c r="A704" s="37">
        <v>72380</v>
      </c>
      <c r="B704" s="398">
        <f t="shared" ref="B704:C704" si="710">($A704-B$9)/365.25</f>
        <v>116.28747433264887</v>
      </c>
      <c r="C704" s="398">
        <f t="shared" si="710"/>
        <v>111.67693360711841</v>
      </c>
      <c r="E704" s="25">
        <f>IF(C704&gt;$B$7,0,'Combined Retirement'!$D$13/12)</f>
        <v>0</v>
      </c>
      <c r="F704" s="25">
        <f>IF(H704=0,'Combined Retirement'!$D$32,0)+'Combined Retirement'!$B$24</f>
        <v>2870.372285649099</v>
      </c>
      <c r="G704" s="25">
        <f>'Combined Retirement'!$C$24</f>
        <v>3254.2644699519233</v>
      </c>
      <c r="H704" s="25">
        <f>IF(B704&lt;62,0,'Combined Retirement'!$I$14)</f>
        <v>2345</v>
      </c>
      <c r="I704" s="25">
        <f>IF(C704&lt;62,0,'Combined Retirement'!$I$13)</f>
        <v>2420</v>
      </c>
      <c r="J704" s="25">
        <f t="shared" si="523"/>
        <v>8395.6297298201844</v>
      </c>
      <c r="K704" s="25">
        <f t="shared" si="524"/>
        <v>21655.303514578787</v>
      </c>
      <c r="L704" s="25"/>
      <c r="N704" s="25">
        <f>'Combined Retirement'!$C$18/12</f>
        <v>40940.569999999992</v>
      </c>
      <c r="O704" s="25">
        <f t="shared" si="525"/>
        <v>10889.636755601023</v>
      </c>
      <c r="P704" s="25">
        <f t="shared" si="526"/>
        <v>30050.93324439897</v>
      </c>
      <c r="Q704" s="25">
        <f t="array" aca="1" ref="Q704" ca="1">INDEX('Isaac 401k'!L:L,MATCH('Retirement Calculator'!A704,'Isaac 401k'!N:N,0),0)</f>
        <v>-3403322.2968870355</v>
      </c>
      <c r="R704" s="25">
        <f t="array" aca="1" ref="R704" ca="1">INDEX('Lorri 401b'!L:L,MATCH('Retirement Calculator'!A704,'Lorri 401b'!N:N,0),0)</f>
        <v>-5525442.8866644762</v>
      </c>
      <c r="S704" s="25">
        <f t="shared" ca="1" si="527"/>
        <v>-8928765.1835515127</v>
      </c>
    </row>
    <row r="705" spans="1:19" ht="15.75" customHeight="1" x14ac:dyDescent="0.3">
      <c r="A705" s="37">
        <v>72411</v>
      </c>
      <c r="B705" s="398">
        <f t="shared" ref="B705:C705" si="711">($A705-B$9)/365.25</f>
        <v>116.37234770704997</v>
      </c>
      <c r="C705" s="398">
        <f t="shared" si="711"/>
        <v>111.76180698151951</v>
      </c>
      <c r="E705" s="25">
        <f>IF(C705&gt;$B$7,0,'Combined Retirement'!$D$13/12)</f>
        <v>0</v>
      </c>
      <c r="F705" s="25">
        <f>IF(H705=0,'Combined Retirement'!$D$32,0)+'Combined Retirement'!$B$24</f>
        <v>2870.372285649099</v>
      </c>
      <c r="G705" s="25">
        <f>'Combined Retirement'!$C$24</f>
        <v>3254.2644699519233</v>
      </c>
      <c r="H705" s="25">
        <f>IF(B705&lt;62,0,'Combined Retirement'!$I$14)</f>
        <v>2345</v>
      </c>
      <c r="I705" s="25">
        <f>IF(C705&lt;62,0,'Combined Retirement'!$I$13)</f>
        <v>2420</v>
      </c>
      <c r="J705" s="25">
        <f t="shared" si="523"/>
        <v>8395.6297298201844</v>
      </c>
      <c r="K705" s="25">
        <f t="shared" si="524"/>
        <v>21655.303514578787</v>
      </c>
      <c r="L705" s="25"/>
      <c r="N705" s="25">
        <f>'Combined Retirement'!$C$18/12</f>
        <v>40940.569999999992</v>
      </c>
      <c r="O705" s="25">
        <f t="shared" si="525"/>
        <v>10889.636755601023</v>
      </c>
      <c r="P705" s="25">
        <f t="shared" si="526"/>
        <v>30050.93324439897</v>
      </c>
      <c r="Q705" s="25">
        <f t="array" aca="1" ref="Q705" ca="1">INDEX('Isaac 401k'!L:L,MATCH('Retirement Calculator'!A705,'Isaac 401k'!N:N,0),0)</f>
        <v>-3425933.4179777596</v>
      </c>
      <c r="R705" s="25">
        <f t="array" aca="1" ref="R705" ca="1">INDEX('Lorri 401b'!L:L,MATCH('Retirement Calculator'!A705,'Lorri 401b'!N:N,0),0)</f>
        <v>-5570211.0993048009</v>
      </c>
      <c r="S705" s="25">
        <f t="shared" ca="1" si="527"/>
        <v>-8996144.5172825605</v>
      </c>
    </row>
    <row r="706" spans="1:19" ht="15.75" customHeight="1" x14ac:dyDescent="0.3">
      <c r="A706" s="37">
        <v>72441</v>
      </c>
      <c r="B706" s="398">
        <f t="shared" ref="B706:C706" si="712">($A706-B$9)/365.25</f>
        <v>116.45448323066393</v>
      </c>
      <c r="C706" s="398">
        <f t="shared" si="712"/>
        <v>111.84394250513347</v>
      </c>
      <c r="E706" s="25">
        <f>IF(C706&gt;$B$7,0,'Combined Retirement'!$D$13/12)</f>
        <v>0</v>
      </c>
      <c r="F706" s="25">
        <f>IF(H706=0,'Combined Retirement'!$D$32,0)+'Combined Retirement'!$B$24</f>
        <v>2870.372285649099</v>
      </c>
      <c r="G706" s="25">
        <f>'Combined Retirement'!$C$24</f>
        <v>3254.2644699519233</v>
      </c>
      <c r="H706" s="25">
        <f>IF(B706&lt;62,0,'Combined Retirement'!$I$14)</f>
        <v>2345</v>
      </c>
      <c r="I706" s="25">
        <f>IF(C706&lt;62,0,'Combined Retirement'!$I$13)</f>
        <v>2420</v>
      </c>
      <c r="J706" s="25">
        <f t="shared" si="523"/>
        <v>8395.6297298201844</v>
      </c>
      <c r="K706" s="25">
        <f t="shared" si="524"/>
        <v>21655.303514578787</v>
      </c>
      <c r="L706" s="25"/>
      <c r="N706" s="25">
        <f>'Combined Retirement'!$C$18/12</f>
        <v>40940.569999999992</v>
      </c>
      <c r="O706" s="25">
        <f t="shared" si="525"/>
        <v>10889.636755601023</v>
      </c>
      <c r="P706" s="25">
        <f t="shared" si="526"/>
        <v>30050.93324439897</v>
      </c>
      <c r="Q706" s="25">
        <f t="array" aca="1" ref="Q706" ca="1">INDEX('Isaac 401k'!L:L,MATCH('Retirement Calculator'!A706,'Isaac 401k'!N:N,0),0)</f>
        <v>-3448638.7520730281</v>
      </c>
      <c r="R706" s="25">
        <f t="array" aca="1" ref="R706" ca="1">INDEX('Lorri 401b'!L:L,MATCH('Retirement Calculator'!A706,'Lorri 401b'!N:N,0),0)</f>
        <v>-5615165.8461644603</v>
      </c>
      <c r="S706" s="25">
        <f t="shared" ca="1" si="527"/>
        <v>-9063804.5982374884</v>
      </c>
    </row>
    <row r="707" spans="1:19" ht="15.75" customHeight="1" x14ac:dyDescent="0.3">
      <c r="A707" s="37">
        <v>72472</v>
      </c>
      <c r="B707" s="398">
        <f t="shared" ref="B707:C707" si="713">($A707-B$9)/365.25</f>
        <v>116.53935660506502</v>
      </c>
      <c r="C707" s="398">
        <f t="shared" si="713"/>
        <v>111.92881587953457</v>
      </c>
      <c r="E707" s="25">
        <f>IF(C707&gt;$B$7,0,'Combined Retirement'!$D$13/12)</f>
        <v>0</v>
      </c>
      <c r="F707" s="25">
        <f>IF(H707=0,'Combined Retirement'!$D$32,0)+'Combined Retirement'!$B$24</f>
        <v>2870.372285649099</v>
      </c>
      <c r="G707" s="25">
        <f>'Combined Retirement'!$C$24</f>
        <v>3254.2644699519233</v>
      </c>
      <c r="H707" s="25">
        <f>IF(B707&lt;62,0,'Combined Retirement'!$I$14)</f>
        <v>2345</v>
      </c>
      <c r="I707" s="25">
        <f>IF(C707&lt;62,0,'Combined Retirement'!$I$13)</f>
        <v>2420</v>
      </c>
      <c r="J707" s="25">
        <f t="shared" si="523"/>
        <v>8395.6297298201844</v>
      </c>
      <c r="K707" s="25">
        <f t="shared" si="524"/>
        <v>21655.303514578787</v>
      </c>
      <c r="L707" s="25"/>
      <c r="N707" s="25">
        <f>'Combined Retirement'!$C$18/12</f>
        <v>40940.569999999992</v>
      </c>
      <c r="O707" s="25">
        <f t="shared" si="525"/>
        <v>10889.636755601023</v>
      </c>
      <c r="P707" s="25">
        <f t="shared" si="526"/>
        <v>30050.93324439897</v>
      </c>
      <c r="Q707" s="25">
        <f t="array" aca="1" ref="Q707" ca="1">INDEX('Isaac 401k'!L:L,MATCH('Retirement Calculator'!A707,'Isaac 401k'!N:N,0),0)</f>
        <v>-3471438.6917270273</v>
      </c>
      <c r="R707" s="25">
        <f t="array" aca="1" ref="R707" ca="1">INDEX('Lorri 401b'!L:L,MATCH('Retirement Calculator'!A707,'Lorri 401b'!N:N,0),0)</f>
        <v>-5660307.904469368</v>
      </c>
      <c r="S707" s="25">
        <f t="shared" ca="1" si="527"/>
        <v>-9131746.5961963944</v>
      </c>
    </row>
    <row r="708" spans="1:19" ht="15.75" customHeight="1" x14ac:dyDescent="0.3">
      <c r="A708" s="37">
        <v>72502</v>
      </c>
      <c r="B708" s="398">
        <f t="shared" ref="B708:C708" si="714">($A708-B$9)/365.25</f>
        <v>116.62149212867898</v>
      </c>
      <c r="C708" s="398">
        <f t="shared" si="714"/>
        <v>112.01095140314852</v>
      </c>
      <c r="E708" s="25">
        <f>IF(C708&gt;$B$7,0,'Combined Retirement'!$D$13/12)</f>
        <v>0</v>
      </c>
      <c r="F708" s="25">
        <f>IF(H708=0,'Combined Retirement'!$D$32,0)+'Combined Retirement'!$B$24</f>
        <v>2870.372285649099</v>
      </c>
      <c r="G708" s="25">
        <f>'Combined Retirement'!$C$24</f>
        <v>3254.2644699519233</v>
      </c>
      <c r="H708" s="25">
        <f>IF(B708&lt;62,0,'Combined Retirement'!$I$14)</f>
        <v>2345</v>
      </c>
      <c r="I708" s="25">
        <f>IF(C708&lt;62,0,'Combined Retirement'!$I$13)</f>
        <v>2420</v>
      </c>
      <c r="J708" s="25">
        <f t="shared" si="523"/>
        <v>8395.6297298201844</v>
      </c>
      <c r="K708" s="25">
        <f t="shared" si="524"/>
        <v>21655.303514578787</v>
      </c>
      <c r="L708" s="25"/>
      <c r="N708" s="25">
        <f>'Combined Retirement'!$C$18/12</f>
        <v>40940.569999999992</v>
      </c>
      <c r="O708" s="25">
        <f t="shared" si="525"/>
        <v>10889.636755601023</v>
      </c>
      <c r="P708" s="25">
        <f t="shared" si="526"/>
        <v>30050.93324439897</v>
      </c>
      <c r="Q708" s="25">
        <f t="array" aca="1" ref="Q708" ca="1">INDEX('Isaac 401k'!L:L,MATCH('Retirement Calculator'!A708,'Isaac 401k'!N:N,0),0)</f>
        <v>-3494333.6311295847</v>
      </c>
      <c r="R708" s="25">
        <f t="array" aca="1" ref="R708" ca="1">INDEX('Lorri 401b'!L:L,MATCH('Retirement Calculator'!A708,'Lorri 401b'!N:N,0),0)</f>
        <v>-5705638.0546838799</v>
      </c>
      <c r="S708" s="25">
        <f t="shared" ca="1" si="527"/>
        <v>-9199971.6858134642</v>
      </c>
    </row>
    <row r="709" spans="1:19" ht="15.75" customHeight="1" x14ac:dyDescent="0.3">
      <c r="A709" s="37">
        <v>72533</v>
      </c>
      <c r="B709" s="398">
        <f t="shared" ref="B709:C709" si="715">($A709-B$9)/365.25</f>
        <v>116.70636550308008</v>
      </c>
      <c r="C709" s="398">
        <f t="shared" si="715"/>
        <v>112.09582477754962</v>
      </c>
      <c r="E709" s="25">
        <f>IF(C709&gt;$B$7,0,'Combined Retirement'!$D$13/12)</f>
        <v>0</v>
      </c>
      <c r="F709" s="25">
        <f>IF(H709=0,'Combined Retirement'!$D$32,0)+'Combined Retirement'!$B$24</f>
        <v>2870.372285649099</v>
      </c>
      <c r="G709" s="25">
        <f>'Combined Retirement'!$C$24</f>
        <v>3254.2644699519233</v>
      </c>
      <c r="H709" s="25">
        <f>IF(B709&lt;62,0,'Combined Retirement'!$I$14)</f>
        <v>2345</v>
      </c>
      <c r="I709" s="25">
        <f>IF(C709&lt;62,0,'Combined Retirement'!$I$13)</f>
        <v>2420</v>
      </c>
      <c r="J709" s="25">
        <f t="shared" si="523"/>
        <v>8395.6297298201844</v>
      </c>
      <c r="K709" s="25">
        <f t="shared" si="524"/>
        <v>21655.303514578787</v>
      </c>
      <c r="L709" s="25"/>
      <c r="N709" s="25">
        <f>'Combined Retirement'!$C$18/12</f>
        <v>40940.569999999992</v>
      </c>
      <c r="O709" s="25">
        <f t="shared" si="525"/>
        <v>10889.636755601023</v>
      </c>
      <c r="P709" s="25">
        <f t="shared" si="526"/>
        <v>30050.93324439897</v>
      </c>
      <c r="Q709" s="25">
        <f t="array" aca="1" ref="Q709" ca="1">INDEX('Isaac 401k'!L:L,MATCH('Retirement Calculator'!A709,'Isaac 401k'!N:N,0),0)</f>
        <v>-3517323.9661129862</v>
      </c>
      <c r="R709" s="25">
        <f t="array" aca="1" ref="R709" ca="1">INDEX('Lorri 401b'!L:L,MATCH('Retirement Calculator'!A709,'Lorri 401b'!N:N,0),0)</f>
        <v>-5751157.0805242853</v>
      </c>
      <c r="S709" s="25">
        <f t="shared" ca="1" si="527"/>
        <v>-9268481.0466372706</v>
      </c>
    </row>
    <row r="710" spans="1:19" ht="15.75" customHeight="1" x14ac:dyDescent="0.3">
      <c r="A710" s="37">
        <v>72564</v>
      </c>
      <c r="B710" s="398">
        <f t="shared" ref="B710:C710" si="716">($A710-B$9)/365.25</f>
        <v>116.79123887748118</v>
      </c>
      <c r="C710" s="398">
        <f t="shared" si="716"/>
        <v>112.18069815195072</v>
      </c>
      <c r="E710" s="25">
        <f>IF(C710&gt;$B$7,0,'Combined Retirement'!$D$13/12)</f>
        <v>0</v>
      </c>
      <c r="F710" s="25">
        <f>IF(H710=0,'Combined Retirement'!$D$32,0)+'Combined Retirement'!$B$24</f>
        <v>2870.372285649099</v>
      </c>
      <c r="G710" s="25">
        <f>'Combined Retirement'!$C$24</f>
        <v>3254.2644699519233</v>
      </c>
      <c r="H710" s="25">
        <f>IF(B710&lt;62,0,'Combined Retirement'!$I$14)</f>
        <v>2345</v>
      </c>
      <c r="I710" s="25">
        <f>IF(C710&lt;62,0,'Combined Retirement'!$I$13)</f>
        <v>2420</v>
      </c>
      <c r="J710" s="25">
        <f t="shared" si="523"/>
        <v>8395.6297298201844</v>
      </c>
      <c r="K710" s="25">
        <f t="shared" si="524"/>
        <v>21655.303514578787</v>
      </c>
      <c r="L710" s="25"/>
      <c r="N710" s="25">
        <f>'Combined Retirement'!$C$18/12</f>
        <v>40940.569999999992</v>
      </c>
      <c r="O710" s="25">
        <f t="shared" si="525"/>
        <v>10889.636755601023</v>
      </c>
      <c r="P710" s="25">
        <f t="shared" si="526"/>
        <v>30050.93324439897</v>
      </c>
      <c r="Q710" s="25">
        <f t="array" aca="1" ref="Q710" ca="1">INDEX('Isaac 401k'!L:L,MATCH('Retirement Calculator'!A710,'Isaac 401k'!N:N,0),0)</f>
        <v>-3540410.0941588185</v>
      </c>
      <c r="R710" s="25">
        <f t="array" aca="1" ref="R710" ca="1">INDEX('Lorri 401b'!L:L,MATCH('Retirement Calculator'!A710,'Lorri 401b'!N:N,0),0)</f>
        <v>-5796865.7689723587</v>
      </c>
      <c r="S710" s="25">
        <f t="shared" ca="1" si="527"/>
        <v>-9337275.8631311767</v>
      </c>
    </row>
    <row r="711" spans="1:19" ht="15.75" customHeight="1" x14ac:dyDescent="0.3">
      <c r="A711" s="37">
        <v>72594</v>
      </c>
      <c r="B711" s="398">
        <f t="shared" ref="B711:C711" si="717">($A711-B$9)/365.25</f>
        <v>116.87337440109513</v>
      </c>
      <c r="C711" s="398">
        <f t="shared" si="717"/>
        <v>112.26283367556468</v>
      </c>
      <c r="E711" s="25">
        <f>IF(C711&gt;$B$7,0,'Combined Retirement'!$D$13/12)</f>
        <v>0</v>
      </c>
      <c r="F711" s="25">
        <f>IF(H711=0,'Combined Retirement'!$D$32,0)+'Combined Retirement'!$B$24</f>
        <v>2870.372285649099</v>
      </c>
      <c r="G711" s="25">
        <f>'Combined Retirement'!$C$24</f>
        <v>3254.2644699519233</v>
      </c>
      <c r="H711" s="25">
        <f>IF(B711&lt;62,0,'Combined Retirement'!$I$14)</f>
        <v>2345</v>
      </c>
      <c r="I711" s="25">
        <f>IF(C711&lt;62,0,'Combined Retirement'!$I$13)</f>
        <v>2420</v>
      </c>
      <c r="J711" s="25">
        <f t="shared" si="523"/>
        <v>8395.6297298201844</v>
      </c>
      <c r="K711" s="25">
        <f t="shared" si="524"/>
        <v>21655.303514578787</v>
      </c>
      <c r="L711" s="25"/>
      <c r="N711" s="25">
        <f>'Combined Retirement'!$C$18/12</f>
        <v>40940.569999999992</v>
      </c>
      <c r="O711" s="25">
        <f t="shared" si="525"/>
        <v>10889.636755601023</v>
      </c>
      <c r="P711" s="25">
        <f t="shared" si="526"/>
        <v>30050.93324439897</v>
      </c>
      <c r="Q711" s="25">
        <f t="array" aca="1" ref="Q711" ca="1">INDEX('Isaac 401k'!L:L,MATCH('Retirement Calculator'!A711,'Isaac 401k'!N:N,0),0)</f>
        <v>-3563592.4144048416</v>
      </c>
      <c r="R711" s="25">
        <f t="array" aca="1" ref="R711" ca="1">INDEX('Lorri 401b'!L:L,MATCH('Retirement Calculator'!A711,'Lorri 401b'!N:N,0),0)</f>
        <v>-5842764.9102889663</v>
      </c>
      <c r="S711" s="25">
        <f t="shared" ca="1" si="527"/>
        <v>-9406357.3246938083</v>
      </c>
    </row>
    <row r="712" spans="1:19" ht="15.75" customHeight="1" x14ac:dyDescent="0.3">
      <c r="A712" s="37">
        <v>72625</v>
      </c>
      <c r="B712" s="398">
        <f t="shared" ref="B712:C712" si="718">($A712-B$9)/365.25</f>
        <v>116.95824777549623</v>
      </c>
      <c r="C712" s="398">
        <f t="shared" si="718"/>
        <v>112.34770704996578</v>
      </c>
      <c r="E712" s="25">
        <f>IF(C712&gt;$B$7,0,'Combined Retirement'!$D$13/12)</f>
        <v>0</v>
      </c>
      <c r="F712" s="25">
        <f>IF(H712=0,'Combined Retirement'!$D$32,0)+'Combined Retirement'!$B$24</f>
        <v>2870.372285649099</v>
      </c>
      <c r="G712" s="25">
        <f>'Combined Retirement'!$C$24</f>
        <v>3254.2644699519233</v>
      </c>
      <c r="H712" s="25">
        <f>IF(B712&lt;62,0,'Combined Retirement'!$I$14)</f>
        <v>2345</v>
      </c>
      <c r="I712" s="25">
        <f>IF(C712&lt;62,0,'Combined Retirement'!$I$13)</f>
        <v>2420</v>
      </c>
      <c r="J712" s="25">
        <f t="shared" si="523"/>
        <v>8395.6297298201844</v>
      </c>
      <c r="K712" s="25">
        <f t="shared" si="524"/>
        <v>21655.303514578787</v>
      </c>
      <c r="L712" s="25"/>
      <c r="N712" s="25">
        <f>'Combined Retirement'!$C$18/12</f>
        <v>40940.569999999992</v>
      </c>
      <c r="O712" s="25">
        <f t="shared" si="525"/>
        <v>10889.636755601023</v>
      </c>
      <c r="P712" s="25">
        <f t="shared" si="526"/>
        <v>30050.93324439897</v>
      </c>
      <c r="Q712" s="25">
        <f t="array" aca="1" ref="Q712" ca="1">INDEX('Isaac 401k'!L:L,MATCH('Retirement Calculator'!A712,'Isaac 401k'!N:N,0),0)</f>
        <v>-3586871.32765189</v>
      </c>
      <c r="R712" s="25">
        <f t="array" aca="1" ref="R712" ca="1">INDEX('Lorri 401b'!L:L,MATCH('Retirement Calculator'!A712,'Lorri 401b'!N:N,0),0)</f>
        <v>-5888855.2980277259</v>
      </c>
      <c r="S712" s="25">
        <f t="shared" ca="1" si="527"/>
        <v>-9475726.6256796159</v>
      </c>
    </row>
    <row r="713" spans="1:19" ht="15.75" customHeight="1" x14ac:dyDescent="0.3">
      <c r="A713" s="37">
        <v>72655</v>
      </c>
      <c r="B713" s="398">
        <f t="shared" ref="B713:C713" si="719">($A713-B$9)/365.25</f>
        <v>117.0403832991102</v>
      </c>
      <c r="C713" s="398">
        <f t="shared" si="719"/>
        <v>112.42984257357973</v>
      </c>
      <c r="E713" s="25">
        <f>IF(C713&gt;$B$7,0,'Combined Retirement'!$D$13/12)</f>
        <v>0</v>
      </c>
      <c r="F713" s="25">
        <f>IF(H713=0,'Combined Retirement'!$D$32,0)+'Combined Retirement'!$B$24</f>
        <v>2870.372285649099</v>
      </c>
      <c r="G713" s="25">
        <f>'Combined Retirement'!$C$24</f>
        <v>3254.2644699519233</v>
      </c>
      <c r="H713" s="25">
        <f>IF(B713&lt;62,0,'Combined Retirement'!$I$14)</f>
        <v>2345</v>
      </c>
      <c r="I713" s="25">
        <f>IF(C713&lt;62,0,'Combined Retirement'!$I$13)</f>
        <v>2420</v>
      </c>
      <c r="J713" s="25">
        <f t="shared" si="523"/>
        <v>8395.6297298201844</v>
      </c>
      <c r="K713" s="25">
        <f t="shared" si="524"/>
        <v>21655.303514578787</v>
      </c>
      <c r="L713" s="25"/>
      <c r="N713" s="25">
        <f>'Combined Retirement'!$C$18/12</f>
        <v>40940.569999999992</v>
      </c>
      <c r="O713" s="25">
        <f t="shared" si="525"/>
        <v>10889.636755601023</v>
      </c>
      <c r="P713" s="25">
        <f t="shared" si="526"/>
        <v>30050.93324439897</v>
      </c>
      <c r="Q713" s="25">
        <f t="array" aca="1" ref="Q713" ca="1">INDEX('Isaac 401k'!L:L,MATCH('Retirement Calculator'!A713,'Isaac 401k'!N:N,0),0)</f>
        <v>-3610247.236370801</v>
      </c>
      <c r="R713" s="25">
        <f t="array" aca="1" ref="R713" ca="1">INDEX('Lorri 401b'!L:L,MATCH('Retirement Calculator'!A713,'Lorri 401b'!N:N,0),0)</f>
        <v>-5935137.7290487308</v>
      </c>
      <c r="S713" s="25">
        <f t="shared" ca="1" si="527"/>
        <v>-9545384.9654195309</v>
      </c>
    </row>
    <row r="714" spans="1:19" ht="15.75" customHeight="1" x14ac:dyDescent="0.3">
      <c r="A714" s="37">
        <v>72686</v>
      </c>
      <c r="B714" s="398">
        <f t="shared" ref="B714:C714" si="720">($A714-B$9)/365.25</f>
        <v>117.12525667351129</v>
      </c>
      <c r="C714" s="398">
        <f t="shared" si="720"/>
        <v>112.51471594798083</v>
      </c>
      <c r="E714" s="25">
        <f>IF(C714&gt;$B$7,0,'Combined Retirement'!$D$13/12)</f>
        <v>0</v>
      </c>
      <c r="F714" s="25">
        <f>IF(H714=0,'Combined Retirement'!$D$32,0)+'Combined Retirement'!$B$24</f>
        <v>2870.372285649099</v>
      </c>
      <c r="G714" s="25">
        <f>'Combined Retirement'!$C$24</f>
        <v>3254.2644699519233</v>
      </c>
      <c r="H714" s="25">
        <f>IF(B714&lt;62,0,'Combined Retirement'!$I$14)</f>
        <v>2345</v>
      </c>
      <c r="I714" s="25">
        <f>IF(C714&lt;62,0,'Combined Retirement'!$I$13)</f>
        <v>2420</v>
      </c>
      <c r="J714" s="25">
        <f t="shared" si="523"/>
        <v>8395.6297298201844</v>
      </c>
      <c r="K714" s="25">
        <f t="shared" si="524"/>
        <v>21655.303514578787</v>
      </c>
      <c r="L714" s="25"/>
      <c r="N714" s="25">
        <f>'Combined Retirement'!$C$18/12</f>
        <v>40940.569999999992</v>
      </c>
      <c r="O714" s="25">
        <f t="shared" si="525"/>
        <v>10889.636755601023</v>
      </c>
      <c r="P714" s="25">
        <f t="shared" si="526"/>
        <v>30050.93324439897</v>
      </c>
      <c r="Q714" s="25">
        <f t="array" aca="1" ref="Q714" ca="1">INDEX('Isaac 401k'!L:L,MATCH('Retirement Calculator'!A714,'Isaac 401k'!N:N,0),0)</f>
        <v>-3633720.5447093742</v>
      </c>
      <c r="R714" s="25">
        <f t="array" aca="1" ref="R714" ca="1">INDEX('Lorri 401b'!L:L,MATCH('Retirement Calculator'!A714,'Lorri 401b'!N:N,0),0)</f>
        <v>-5981613.0035323231</v>
      </c>
      <c r="S714" s="25">
        <f t="shared" ca="1" si="527"/>
        <v>-9615333.5482416973</v>
      </c>
    </row>
    <row r="715" spans="1:19" ht="15.75" customHeight="1" x14ac:dyDescent="0.3">
      <c r="A715" s="37">
        <v>72717</v>
      </c>
      <c r="B715" s="398">
        <f t="shared" ref="B715:C715" si="721">($A715-B$9)/365.25</f>
        <v>117.21013004791239</v>
      </c>
      <c r="C715" s="398">
        <f t="shared" si="721"/>
        <v>112.59958932238193</v>
      </c>
      <c r="E715" s="25">
        <f>IF(C715&gt;$B$7,0,'Combined Retirement'!$D$13/12)</f>
        <v>0</v>
      </c>
      <c r="F715" s="25">
        <f>IF(H715=0,'Combined Retirement'!$D$32,0)+'Combined Retirement'!$B$24</f>
        <v>2870.372285649099</v>
      </c>
      <c r="G715" s="25">
        <f>'Combined Retirement'!$C$24</f>
        <v>3254.2644699519233</v>
      </c>
      <c r="H715" s="25">
        <f>IF(B715&lt;62,0,'Combined Retirement'!$I$14)</f>
        <v>2345</v>
      </c>
      <c r="I715" s="25">
        <f>IF(C715&lt;62,0,'Combined Retirement'!$I$13)</f>
        <v>2420</v>
      </c>
      <c r="J715" s="25">
        <f t="shared" si="523"/>
        <v>8395.6297298201844</v>
      </c>
      <c r="K715" s="25">
        <f t="shared" si="524"/>
        <v>21655.303514578787</v>
      </c>
      <c r="L715" s="25"/>
      <c r="N715" s="25">
        <f>'Combined Retirement'!$C$18/12</f>
        <v>40940.569999999992</v>
      </c>
      <c r="O715" s="25">
        <f t="shared" si="525"/>
        <v>10889.636755601023</v>
      </c>
      <c r="P715" s="25">
        <f t="shared" si="526"/>
        <v>30050.93324439897</v>
      </c>
      <c r="Q715" s="25">
        <f t="array" aca="1" ref="Q715" ca="1">INDEX('Isaac 401k'!L:L,MATCH('Retirement Calculator'!A715,'Isaac 401k'!N:N,0),0)</f>
        <v>-3657291.6584993578</v>
      </c>
      <c r="R715" s="25">
        <f t="array" aca="1" ref="R715" ca="1">INDEX('Lorri 401b'!L:L,MATCH('Retirement Calculator'!A715,'Lorri 401b'!N:N,0),0)</f>
        <v>-6028281.9249929301</v>
      </c>
      <c r="S715" s="25">
        <f t="shared" ca="1" si="527"/>
        <v>-9685573.5834922884</v>
      </c>
    </row>
    <row r="716" spans="1:19" ht="15.75" customHeight="1" x14ac:dyDescent="0.3">
      <c r="A716" s="37">
        <v>72745</v>
      </c>
      <c r="B716" s="398">
        <f t="shared" ref="B716:C716" si="722">($A716-B$9)/365.25</f>
        <v>117.28678986995209</v>
      </c>
      <c r="C716" s="398">
        <f t="shared" si="722"/>
        <v>112.67624914442163</v>
      </c>
      <c r="E716" s="25">
        <f>IF(C716&gt;$B$7,0,'Combined Retirement'!$D$13/12)</f>
        <v>0</v>
      </c>
      <c r="F716" s="25">
        <f>IF(H716=0,'Combined Retirement'!$D$32,0)+'Combined Retirement'!$B$24</f>
        <v>2870.372285649099</v>
      </c>
      <c r="G716" s="25">
        <f>'Combined Retirement'!$C$24</f>
        <v>3254.2644699519233</v>
      </c>
      <c r="H716" s="25">
        <f>IF(B716&lt;62,0,'Combined Retirement'!$I$14)</f>
        <v>2345</v>
      </c>
      <c r="I716" s="25">
        <f>IF(C716&lt;62,0,'Combined Retirement'!$I$13)</f>
        <v>2420</v>
      </c>
      <c r="J716" s="25">
        <f t="shared" si="523"/>
        <v>8395.6297298201844</v>
      </c>
      <c r="K716" s="25">
        <f t="shared" si="524"/>
        <v>21655.303514578787</v>
      </c>
      <c r="L716" s="25"/>
      <c r="N716" s="25">
        <f>'Combined Retirement'!$C$18/12</f>
        <v>40940.569999999992</v>
      </c>
      <c r="O716" s="25">
        <f t="shared" si="525"/>
        <v>10889.636755601023</v>
      </c>
      <c r="P716" s="25">
        <f t="shared" si="526"/>
        <v>30050.93324439897</v>
      </c>
      <c r="Q716" s="25">
        <f t="array" aca="1" ref="Q716" ca="1">INDEX('Isaac 401k'!L:L,MATCH('Retirement Calculator'!A716,'Isaac 401k'!N:N,0),0)</f>
        <v>-3680960.9852634664</v>
      </c>
      <c r="R716" s="25">
        <f t="array" aca="1" ref="R716" ca="1">INDEX('Lorri 401b'!L:L,MATCH('Retirement Calculator'!A716,'Lorri 401b'!N:N,0),0)</f>
        <v>-6075145.3002929566</v>
      </c>
      <c r="S716" s="25">
        <f t="shared" ca="1" si="527"/>
        <v>-9756106.2855564225</v>
      </c>
    </row>
    <row r="717" spans="1:19" ht="15.75" customHeight="1" x14ac:dyDescent="0.3">
      <c r="A717" s="37">
        <v>72776</v>
      </c>
      <c r="B717" s="398">
        <f t="shared" ref="B717:C717" si="723">($A717-B$9)/365.25</f>
        <v>117.37166324435319</v>
      </c>
      <c r="C717" s="398">
        <f t="shared" si="723"/>
        <v>112.76112251882273</v>
      </c>
      <c r="E717" s="25">
        <f>IF(C717&gt;$B$7,0,'Combined Retirement'!$D$13/12)</f>
        <v>0</v>
      </c>
      <c r="F717" s="25">
        <f>IF(H717=0,'Combined Retirement'!$D$32,0)+'Combined Retirement'!$B$24</f>
        <v>2870.372285649099</v>
      </c>
      <c r="G717" s="25">
        <f>'Combined Retirement'!$C$24</f>
        <v>3254.2644699519233</v>
      </c>
      <c r="H717" s="25">
        <f>IF(B717&lt;62,0,'Combined Retirement'!$I$14)</f>
        <v>2345</v>
      </c>
      <c r="I717" s="25">
        <f>IF(C717&lt;62,0,'Combined Retirement'!$I$13)</f>
        <v>2420</v>
      </c>
      <c r="J717" s="25">
        <f t="shared" si="523"/>
        <v>8395.6297298201844</v>
      </c>
      <c r="K717" s="25">
        <f t="shared" si="524"/>
        <v>21655.303514578787</v>
      </c>
      <c r="L717" s="25"/>
      <c r="N717" s="25">
        <f>'Combined Retirement'!$C$18/12</f>
        <v>40940.569999999992</v>
      </c>
      <c r="O717" s="25">
        <f t="shared" si="525"/>
        <v>10889.636755601023</v>
      </c>
      <c r="P717" s="25">
        <f t="shared" si="526"/>
        <v>30050.93324439897</v>
      </c>
      <c r="Q717" s="25">
        <f t="array" aca="1" ref="Q717" ca="1">INDEX('Isaac 401k'!L:L,MATCH('Retirement Calculator'!A717,'Isaac 401k'!N:N,0),0)</f>
        <v>-3704728.9342224253</v>
      </c>
      <c r="R717" s="25">
        <f t="array" aca="1" ref="R717" ca="1">INDEX('Lorri 401b'!L:L,MATCH('Retirement Calculator'!A717,'Lorri 401b'!N:N,0),0)</f>
        <v>-6122203.9396567335</v>
      </c>
      <c r="S717" s="25">
        <f t="shared" ca="1" si="527"/>
        <v>-9826932.8738791589</v>
      </c>
    </row>
    <row r="718" spans="1:19" ht="15.75" customHeight="1" x14ac:dyDescent="0.3">
      <c r="A718" s="37">
        <v>72806</v>
      </c>
      <c r="B718" s="398">
        <f t="shared" ref="B718:C718" si="724">($A718-B$9)/365.25</f>
        <v>117.45379876796714</v>
      </c>
      <c r="C718" s="398">
        <f t="shared" si="724"/>
        <v>112.84325804243669</v>
      </c>
      <c r="E718" s="25">
        <f>IF(C718&gt;$B$7,0,'Combined Retirement'!$D$13/12)</f>
        <v>0</v>
      </c>
      <c r="F718" s="25">
        <f>IF(H718=0,'Combined Retirement'!$D$32,0)+'Combined Retirement'!$B$24</f>
        <v>2870.372285649099</v>
      </c>
      <c r="G718" s="25">
        <f>'Combined Retirement'!$C$24</f>
        <v>3254.2644699519233</v>
      </c>
      <c r="H718" s="25">
        <f>IF(B718&lt;62,0,'Combined Retirement'!$I$14)</f>
        <v>2345</v>
      </c>
      <c r="I718" s="25">
        <f>IF(C718&lt;62,0,'Combined Retirement'!$I$13)</f>
        <v>2420</v>
      </c>
      <c r="J718" s="25">
        <f t="shared" si="523"/>
        <v>8395.6297298201844</v>
      </c>
      <c r="K718" s="25">
        <f t="shared" si="524"/>
        <v>21655.303514578787</v>
      </c>
      <c r="L718" s="25"/>
      <c r="N718" s="25">
        <f>'Combined Retirement'!$C$18/12</f>
        <v>40940.569999999992</v>
      </c>
      <c r="O718" s="25">
        <f t="shared" si="525"/>
        <v>10889.636755601023</v>
      </c>
      <c r="P718" s="25">
        <f t="shared" si="526"/>
        <v>30050.93324439897</v>
      </c>
      <c r="Q718" s="25">
        <f t="array" aca="1" ref="Q718" ca="1">INDEX('Isaac 401k'!L:L,MATCH('Retirement Calculator'!A718,'Isaac 401k'!N:N,0),0)</f>
        <v>-3728595.9163020467</v>
      </c>
      <c r="R718" s="25">
        <f t="array" aca="1" ref="R718" ca="1">INDEX('Lorri 401b'!L:L,MATCH('Retirement Calculator'!A718,'Lorri 401b'!N:N,0),0)</f>
        <v>-6169458.6566845253</v>
      </c>
      <c r="S718" s="25">
        <f t="shared" ca="1" si="527"/>
        <v>-9898054.572986573</v>
      </c>
    </row>
    <row r="719" spans="1:19" ht="15.75" customHeight="1" x14ac:dyDescent="0.3">
      <c r="A719" s="37">
        <v>72837</v>
      </c>
      <c r="B719" s="398">
        <f t="shared" ref="B719:C719" si="725">($A719-B$9)/365.25</f>
        <v>117.53867214236824</v>
      </c>
      <c r="C719" s="398">
        <f t="shared" si="725"/>
        <v>112.92813141683779</v>
      </c>
      <c r="E719" s="25">
        <f>IF(C719&gt;$B$7,0,'Combined Retirement'!$D$13/12)</f>
        <v>0</v>
      </c>
      <c r="F719" s="25">
        <f>IF(H719=0,'Combined Retirement'!$D$32,0)+'Combined Retirement'!$B$24</f>
        <v>2870.372285649099</v>
      </c>
      <c r="G719" s="25">
        <f>'Combined Retirement'!$C$24</f>
        <v>3254.2644699519233</v>
      </c>
      <c r="H719" s="25">
        <f>IF(B719&lt;62,0,'Combined Retirement'!$I$14)</f>
        <v>2345</v>
      </c>
      <c r="I719" s="25">
        <f>IF(C719&lt;62,0,'Combined Retirement'!$I$13)</f>
        <v>2420</v>
      </c>
      <c r="J719" s="25">
        <f t="shared" si="523"/>
        <v>8395.6297298201844</v>
      </c>
      <c r="K719" s="25">
        <f t="shared" si="524"/>
        <v>21655.303514578787</v>
      </c>
      <c r="L719" s="25"/>
      <c r="N719" s="25">
        <f>'Combined Retirement'!$C$18/12</f>
        <v>40940.569999999992</v>
      </c>
      <c r="O719" s="25">
        <f t="shared" si="525"/>
        <v>10889.636755601023</v>
      </c>
      <c r="P719" s="25">
        <f t="shared" si="526"/>
        <v>30050.93324439897</v>
      </c>
      <c r="Q719" s="25">
        <f t="array" aca="1" ref="Q719" ca="1">INDEX('Isaac 401k'!L:L,MATCH('Retirement Calculator'!A719,'Isaac 401k'!N:N,0),0)</f>
        <v>-3752562.3441403331</v>
      </c>
      <c r="R719" s="25">
        <f t="array" aca="1" ref="R719" ca="1">INDEX('Lorri 401b'!L:L,MATCH('Retirement Calculator'!A719,'Lorri 401b'!N:N,0),0)</f>
        <v>-6216910.2683666004</v>
      </c>
      <c r="S719" s="25">
        <f t="shared" ca="1" si="527"/>
        <v>-9969472.6125069335</v>
      </c>
    </row>
    <row r="720" spans="1:19" ht="15.75" customHeight="1" x14ac:dyDescent="0.3">
      <c r="A720" s="37">
        <v>72867</v>
      </c>
      <c r="B720" s="398">
        <f t="shared" ref="B720:C720" si="726">($A720-B$9)/365.25</f>
        <v>117.6208076659822</v>
      </c>
      <c r="C720" s="398">
        <f t="shared" si="726"/>
        <v>113.01026694045174</v>
      </c>
      <c r="E720" s="25">
        <f>IF(C720&gt;$B$7,0,'Combined Retirement'!$D$13/12)</f>
        <v>0</v>
      </c>
      <c r="F720" s="25">
        <f>IF(H720=0,'Combined Retirement'!$D$32,0)+'Combined Retirement'!$B$24</f>
        <v>2870.372285649099</v>
      </c>
      <c r="G720" s="25">
        <f>'Combined Retirement'!$C$24</f>
        <v>3254.2644699519233</v>
      </c>
      <c r="H720" s="25">
        <f>IF(B720&lt;62,0,'Combined Retirement'!$I$14)</f>
        <v>2345</v>
      </c>
      <c r="I720" s="25">
        <f>IF(C720&lt;62,0,'Combined Retirement'!$I$13)</f>
        <v>2420</v>
      </c>
      <c r="J720" s="25">
        <f t="shared" si="523"/>
        <v>8395.6297298201844</v>
      </c>
      <c r="K720" s="25">
        <f t="shared" si="524"/>
        <v>21655.303514578787</v>
      </c>
      <c r="L720" s="25"/>
      <c r="N720" s="25">
        <f>'Combined Retirement'!$C$18/12</f>
        <v>40940.569999999992</v>
      </c>
      <c r="O720" s="25">
        <f t="shared" si="525"/>
        <v>10889.636755601023</v>
      </c>
      <c r="P720" s="25">
        <f t="shared" si="526"/>
        <v>30050.93324439897</v>
      </c>
      <c r="Q720" s="25">
        <f t="array" aca="1" ref="Q720" ca="1">INDEX('Isaac 401k'!L:L,MATCH('Retirement Calculator'!A720,'Isaac 401k'!N:N,0),0)</f>
        <v>-3776628.6320946123</v>
      </c>
      <c r="R720" s="25">
        <f t="array" aca="1" ref="R720" ca="1">INDEX('Lorri 401b'!L:L,MATCH('Retirement Calculator'!A720,'Lorri 401b'!N:N,0),0)</f>
        <v>-6264559.59509735</v>
      </c>
      <c r="S720" s="25">
        <f t="shared" ca="1" si="527"/>
        <v>-10041188.227191962</v>
      </c>
    </row>
    <row r="721" spans="1:19" ht="15.75" customHeight="1" x14ac:dyDescent="0.3">
      <c r="A721" s="37">
        <v>72898</v>
      </c>
      <c r="B721" s="398">
        <f t="shared" ref="B721:C721" si="727">($A721-B$9)/365.25</f>
        <v>117.7056810403833</v>
      </c>
      <c r="C721" s="398">
        <f t="shared" si="727"/>
        <v>113.09514031485284</v>
      </c>
      <c r="E721" s="25">
        <f>IF(C721&gt;$B$7,0,'Combined Retirement'!$D$13/12)</f>
        <v>0</v>
      </c>
      <c r="F721" s="25">
        <f>IF(H721=0,'Combined Retirement'!$D$32,0)+'Combined Retirement'!$B$24</f>
        <v>2870.372285649099</v>
      </c>
      <c r="G721" s="25">
        <f>'Combined Retirement'!$C$24</f>
        <v>3254.2644699519233</v>
      </c>
      <c r="H721" s="25">
        <f>IF(B721&lt;62,0,'Combined Retirement'!$I$14)</f>
        <v>2345</v>
      </c>
      <c r="I721" s="25">
        <f>IF(C721&lt;62,0,'Combined Retirement'!$I$13)</f>
        <v>2420</v>
      </c>
      <c r="J721" s="25">
        <f t="shared" si="523"/>
        <v>8395.6297298201844</v>
      </c>
      <c r="K721" s="25">
        <f t="shared" si="524"/>
        <v>21655.303514578787</v>
      </c>
      <c r="L721" s="25"/>
      <c r="N721" s="25">
        <f>'Combined Retirement'!$C$18/12</f>
        <v>40940.569999999992</v>
      </c>
      <c r="O721" s="25">
        <f t="shared" si="525"/>
        <v>10889.636755601023</v>
      </c>
      <c r="P721" s="25">
        <f t="shared" si="526"/>
        <v>30050.93324439897</v>
      </c>
      <c r="Q721" s="25">
        <f t="array" aca="1" ref="Q721" ca="1">INDEX('Isaac 401k'!L:L,MATCH('Retirement Calculator'!A721,'Isaac 401k'!N:N,0),0)</f>
        <v>-3800795.1962487013</v>
      </c>
      <c r="R721" s="25">
        <f t="array" aca="1" ref="R721" ca="1">INDEX('Lorri 401b'!L:L,MATCH('Retirement Calculator'!A721,'Lorri 401b'!N:N,0),0)</f>
        <v>-6312407.4606894776</v>
      </c>
      <c r="S721" s="25">
        <f t="shared" ca="1" si="527"/>
        <v>-10113202.656938178</v>
      </c>
    </row>
    <row r="722" spans="1:19" ht="15.75" customHeight="1" x14ac:dyDescent="0.3">
      <c r="A722" s="37">
        <v>72929</v>
      </c>
      <c r="B722" s="398">
        <f t="shared" ref="B722:C722" si="728">($A722-B$9)/365.25</f>
        <v>117.7905544147844</v>
      </c>
      <c r="C722" s="398">
        <f t="shared" si="728"/>
        <v>113.18001368925394</v>
      </c>
      <c r="E722" s="25">
        <f>IF(C722&gt;$B$7,0,'Combined Retirement'!$D$13/12)</f>
        <v>0</v>
      </c>
      <c r="F722" s="25">
        <f>IF(H722=0,'Combined Retirement'!$D$32,0)+'Combined Retirement'!$B$24</f>
        <v>2870.372285649099</v>
      </c>
      <c r="G722" s="25">
        <f>'Combined Retirement'!$C$24</f>
        <v>3254.2644699519233</v>
      </c>
      <c r="H722" s="25">
        <f>IF(B722&lt;62,0,'Combined Retirement'!$I$14)</f>
        <v>2345</v>
      </c>
      <c r="I722" s="25">
        <f>IF(C722&lt;62,0,'Combined Retirement'!$I$13)</f>
        <v>2420</v>
      </c>
      <c r="J722" s="25">
        <f t="shared" si="523"/>
        <v>8395.6297298201844</v>
      </c>
      <c r="K722" s="25">
        <f t="shared" si="524"/>
        <v>21655.303514578787</v>
      </c>
      <c r="L722" s="25"/>
      <c r="N722" s="25">
        <f>'Combined Retirement'!$C$18/12</f>
        <v>40940.569999999992</v>
      </c>
      <c r="O722" s="25">
        <f t="shared" si="525"/>
        <v>10889.636755601023</v>
      </c>
      <c r="P722" s="25">
        <f t="shared" si="526"/>
        <v>30050.93324439897</v>
      </c>
      <c r="Q722" s="25">
        <f t="array" aca="1" ref="Q722" ca="1">INDEX('Isaac 401k'!L:L,MATCH('Retirement Calculator'!A722,'Isaac 401k'!N:N,0),0)</f>
        <v>-3825062.454420099</v>
      </c>
      <c r="R722" s="25">
        <f t="array" aca="1" ref="R722" ca="1">INDEX('Lorri 401b'!L:L,MATCH('Retirement Calculator'!A722,'Lorri 401b'!N:N,0),0)</f>
        <v>-6360454.6923882393</v>
      </c>
      <c r="S722" s="25">
        <f t="shared" ca="1" si="527"/>
        <v>-10185517.146808337</v>
      </c>
    </row>
    <row r="723" spans="1:19" ht="15.75" customHeight="1" x14ac:dyDescent="0.3">
      <c r="A723" s="37">
        <v>72959</v>
      </c>
      <c r="B723" s="398">
        <f t="shared" ref="B723:C723" si="729">($A723-B$9)/365.25</f>
        <v>117.87268993839835</v>
      </c>
      <c r="C723" s="398">
        <f t="shared" si="729"/>
        <v>113.2621492128679</v>
      </c>
      <c r="E723" s="25">
        <f>IF(C723&gt;$B$7,0,'Combined Retirement'!$D$13/12)</f>
        <v>0</v>
      </c>
      <c r="F723" s="25">
        <f>IF(H723=0,'Combined Retirement'!$D$32,0)+'Combined Retirement'!$B$24</f>
        <v>2870.372285649099</v>
      </c>
      <c r="G723" s="25">
        <f>'Combined Retirement'!$C$24</f>
        <v>3254.2644699519233</v>
      </c>
      <c r="H723" s="25">
        <f>IF(B723&lt;62,0,'Combined Retirement'!$I$14)</f>
        <v>2345</v>
      </c>
      <c r="I723" s="25">
        <f>IF(C723&lt;62,0,'Combined Retirement'!$I$13)</f>
        <v>2420</v>
      </c>
      <c r="J723" s="25">
        <f t="shared" si="523"/>
        <v>8395.6297298201844</v>
      </c>
      <c r="K723" s="25">
        <f t="shared" si="524"/>
        <v>21655.303514578787</v>
      </c>
      <c r="L723" s="25"/>
      <c r="N723" s="25">
        <f>'Combined Retirement'!$C$18/12</f>
        <v>40940.569999999992</v>
      </c>
      <c r="O723" s="25">
        <f t="shared" si="525"/>
        <v>10889.636755601023</v>
      </c>
      <c r="P723" s="25">
        <f t="shared" si="526"/>
        <v>30050.93324439897</v>
      </c>
      <c r="Q723" s="25">
        <f t="array" aca="1" ref="Q723" ca="1">INDEX('Isaac 401k'!L:L,MATCH('Retirement Calculator'!A723,'Isaac 401k'!N:N,0),0)</f>
        <v>-3849430.8261672109</v>
      </c>
      <c r="R723" s="25">
        <f t="array" aca="1" ref="R723" ca="1">INDEX('Lorri 401b'!L:L,MATCH('Retirement Calculator'!A723,'Lorri 401b'!N:N,0),0)</f>
        <v>-6408702.1208857466</v>
      </c>
      <c r="S723" s="25">
        <f t="shared" ca="1" si="527"/>
        <v>-10258132.947052957</v>
      </c>
    </row>
    <row r="724" spans="1:19" ht="15.75" customHeight="1" x14ac:dyDescent="0.3">
      <c r="A724" s="37">
        <v>72990</v>
      </c>
      <c r="B724" s="398">
        <f t="shared" ref="B724:C724" si="730">($A724-B$9)/365.25</f>
        <v>117.95756331279945</v>
      </c>
      <c r="C724" s="398">
        <f t="shared" si="730"/>
        <v>113.347022587269</v>
      </c>
      <c r="E724" s="25">
        <f>IF(C724&gt;$B$7,0,'Combined Retirement'!$D$13/12)</f>
        <v>0</v>
      </c>
      <c r="F724" s="25">
        <f>IF(H724=0,'Combined Retirement'!$D$32,0)+'Combined Retirement'!$B$24</f>
        <v>2870.372285649099</v>
      </c>
      <c r="G724" s="25">
        <f>'Combined Retirement'!$C$24</f>
        <v>3254.2644699519233</v>
      </c>
      <c r="H724" s="25">
        <f>IF(B724&lt;62,0,'Combined Retirement'!$I$14)</f>
        <v>2345</v>
      </c>
      <c r="I724" s="25">
        <f>IF(C724&lt;62,0,'Combined Retirement'!$I$13)</f>
        <v>2420</v>
      </c>
      <c r="J724" s="25">
        <f t="shared" si="523"/>
        <v>8395.6297298201844</v>
      </c>
      <c r="K724" s="25">
        <f t="shared" si="524"/>
        <v>21655.303514578787</v>
      </c>
      <c r="L724" s="25"/>
      <c r="N724" s="25">
        <f>'Combined Retirement'!$C$18/12</f>
        <v>40940.569999999992</v>
      </c>
      <c r="O724" s="25">
        <f t="shared" si="525"/>
        <v>10889.636755601023</v>
      </c>
      <c r="P724" s="25">
        <f t="shared" si="526"/>
        <v>30050.93324439897</v>
      </c>
      <c r="Q724" s="25">
        <f t="array" aca="1" ref="Q724" ca="1">INDEX('Isaac 401k'!L:L,MATCH('Retirement Calculator'!A724,'Isaac 401k'!N:N,0),0)</f>
        <v>-3873900.7327966024</v>
      </c>
      <c r="R724" s="25">
        <f t="array" aca="1" ref="R724" ca="1">INDEX('Lorri 401b'!L:L,MATCH('Retirement Calculator'!A724,'Lorri 401b'!N:N,0),0)</f>
        <v>-6457150.5803353265</v>
      </c>
      <c r="S724" s="25">
        <f t="shared" ca="1" si="527"/>
        <v>-10331051.313131928</v>
      </c>
    </row>
    <row r="725" spans="1:19" ht="15.75" customHeight="1" x14ac:dyDescent="0.3">
      <c r="A725" s="37">
        <v>73020</v>
      </c>
      <c r="B725" s="398">
        <f t="shared" ref="B725:C725" si="731">($A725-B$9)/365.25</f>
        <v>118.03969883641342</v>
      </c>
      <c r="C725" s="398">
        <f t="shared" si="731"/>
        <v>113.42915811088295</v>
      </c>
      <c r="E725" s="25">
        <f>IF(C725&gt;$B$7,0,'Combined Retirement'!$D$13/12)</f>
        <v>0</v>
      </c>
      <c r="F725" s="25">
        <f>IF(H725=0,'Combined Retirement'!$D$32,0)+'Combined Retirement'!$B$24</f>
        <v>2870.372285649099</v>
      </c>
      <c r="G725" s="25">
        <f>'Combined Retirement'!$C$24</f>
        <v>3254.2644699519233</v>
      </c>
      <c r="H725" s="25">
        <f>IF(B725&lt;62,0,'Combined Retirement'!$I$14)</f>
        <v>2345</v>
      </c>
      <c r="I725" s="25">
        <f>IF(C725&lt;62,0,'Combined Retirement'!$I$13)</f>
        <v>2420</v>
      </c>
      <c r="J725" s="25">
        <f t="shared" si="523"/>
        <v>8395.6297298201844</v>
      </c>
      <c r="K725" s="25">
        <f t="shared" si="524"/>
        <v>21655.303514578787</v>
      </c>
      <c r="L725" s="25"/>
      <c r="N725" s="25">
        <f>'Combined Retirement'!$C$18/12</f>
        <v>40940.569999999992</v>
      </c>
      <c r="O725" s="25">
        <f t="shared" si="525"/>
        <v>10889.636755601023</v>
      </c>
      <c r="P725" s="25">
        <f t="shared" si="526"/>
        <v>30050.93324439897</v>
      </c>
      <c r="Q725" s="25">
        <f t="array" aca="1" ref="Q725" ca="1">INDEX('Isaac 401k'!L:L,MATCH('Retirement Calculator'!A725,'Isaac 401k'!N:N,0),0)</f>
        <v>-3898472.5973702827</v>
      </c>
      <c r="R725" s="25">
        <f t="array" aca="1" ref="R725" ca="1">INDEX('Lorri 401b'!L:L,MATCH('Retirement Calculator'!A725,'Lorri 401b'!N:N,0),0)</f>
        <v>-6505800.9083659463</v>
      </c>
      <c r="S725" s="25">
        <f t="shared" ca="1" si="527"/>
        <v>-10404273.505736228</v>
      </c>
    </row>
    <row r="726" spans="1:19" ht="15.75" customHeight="1" x14ac:dyDescent="0.3">
      <c r="A726" s="37">
        <v>73051</v>
      </c>
      <c r="B726" s="398">
        <f t="shared" ref="B726:C726" si="732">($A726-B$9)/365.25</f>
        <v>118.12457221081451</v>
      </c>
      <c r="C726" s="398">
        <f t="shared" si="732"/>
        <v>113.51403148528405</v>
      </c>
      <c r="E726" s="25">
        <f>IF(C726&gt;$B$7,0,'Combined Retirement'!$D$13/12)</f>
        <v>0</v>
      </c>
      <c r="F726" s="25">
        <f>IF(H726=0,'Combined Retirement'!$D$32,0)+'Combined Retirement'!$B$24</f>
        <v>2870.372285649099</v>
      </c>
      <c r="G726" s="25">
        <f>'Combined Retirement'!$C$24</f>
        <v>3254.2644699519233</v>
      </c>
      <c r="H726" s="25">
        <f>IF(B726&lt;62,0,'Combined Retirement'!$I$14)</f>
        <v>2345</v>
      </c>
      <c r="I726" s="25">
        <f>IF(C726&lt;62,0,'Combined Retirement'!$I$13)</f>
        <v>2420</v>
      </c>
      <c r="J726" s="25">
        <f t="shared" si="523"/>
        <v>8395.6297298201844</v>
      </c>
      <c r="K726" s="25">
        <f t="shared" si="524"/>
        <v>21655.303514578787</v>
      </c>
      <c r="L726" s="25"/>
      <c r="N726" s="25">
        <f>'Combined Retirement'!$C$18/12</f>
        <v>40940.569999999992</v>
      </c>
      <c r="O726" s="25">
        <f t="shared" si="525"/>
        <v>10889.636755601023</v>
      </c>
      <c r="P726" s="25">
        <f t="shared" si="526"/>
        <v>30050.93324439897</v>
      </c>
      <c r="Q726" s="25">
        <f t="array" aca="1" ref="Q726" ca="1">INDEX('Isaac 401k'!L:L,MATCH('Retirement Calculator'!A726,'Isaac 401k'!N:N,0),0)</f>
        <v>-3923146.8447130201</v>
      </c>
      <c r="R726" s="25">
        <f t="array" aca="1" ref="R726" ca="1">INDEX('Lorri 401b'!L:L,MATCH('Retirement Calculator'!A726,'Lorri 401b'!N:N,0),0)</f>
        <v>-6554653.9460966932</v>
      </c>
      <c r="S726" s="25">
        <f t="shared" ca="1" si="527"/>
        <v>-10477800.790809713</v>
      </c>
    </row>
    <row r="727" spans="1:19" ht="15.75" customHeight="1" x14ac:dyDescent="0.3">
      <c r="A727" s="37">
        <v>73082</v>
      </c>
      <c r="B727" s="398">
        <f t="shared" ref="B727:C727" si="733">($A727-B$9)/365.25</f>
        <v>118.2094455852156</v>
      </c>
      <c r="C727" s="398">
        <f t="shared" si="733"/>
        <v>113.59890485968515</v>
      </c>
      <c r="E727" s="25">
        <f>IF(C727&gt;$B$7,0,'Combined Retirement'!$D$13/12)</f>
        <v>0</v>
      </c>
      <c r="F727" s="25">
        <f>IF(H727=0,'Combined Retirement'!$D$32,0)+'Combined Retirement'!$B$24</f>
        <v>2870.372285649099</v>
      </c>
      <c r="G727" s="25">
        <f>'Combined Retirement'!$C$24</f>
        <v>3254.2644699519233</v>
      </c>
      <c r="H727" s="25">
        <f>IF(B727&lt;62,0,'Combined Retirement'!$I$14)</f>
        <v>2345</v>
      </c>
      <c r="I727" s="25">
        <f>IF(C727&lt;62,0,'Combined Retirement'!$I$13)</f>
        <v>2420</v>
      </c>
      <c r="J727" s="25">
        <f t="shared" si="523"/>
        <v>8395.6297298201844</v>
      </c>
      <c r="K727" s="25">
        <f t="shared" si="524"/>
        <v>21655.303514578787</v>
      </c>
      <c r="L727" s="25"/>
      <c r="N727" s="25">
        <f>'Combined Retirement'!$C$18/12</f>
        <v>40940.569999999992</v>
      </c>
      <c r="O727" s="25">
        <f t="shared" si="525"/>
        <v>10889.636755601023</v>
      </c>
      <c r="P727" s="25">
        <f t="shared" si="526"/>
        <v>30050.93324439897</v>
      </c>
      <c r="Q727" s="25">
        <f t="array" aca="1" ref="Q727" ca="1">INDEX('Isaac 401k'!L:L,MATCH('Retirement Calculator'!A727,'Isaac 401k'!N:N,0),0)</f>
        <v>-3947923.9014196857</v>
      </c>
      <c r="R727" s="25">
        <f t="array" aca="1" ref="R727" ca="1">INDEX('Lorri 401b'!L:L,MATCH('Retirement Calculator'!A727,'Lorri 401b'!N:N,0),0)</f>
        <v>-6603710.5381513182</v>
      </c>
      <c r="S727" s="25">
        <f t="shared" ca="1" si="527"/>
        <v>-10551634.439571004</v>
      </c>
    </row>
    <row r="728" spans="1:19" ht="15.75" customHeight="1" x14ac:dyDescent="0.3">
      <c r="A728" s="37">
        <v>73110</v>
      </c>
      <c r="B728" s="398">
        <f t="shared" ref="B728:C728" si="734">($A728-B$9)/365.25</f>
        <v>118.28610540725531</v>
      </c>
      <c r="C728" s="398">
        <f t="shared" si="734"/>
        <v>113.67556468172485</v>
      </c>
      <c r="E728" s="25">
        <f>IF(C728&gt;$B$7,0,'Combined Retirement'!$D$13/12)</f>
        <v>0</v>
      </c>
      <c r="F728" s="25">
        <f>IF(H728=0,'Combined Retirement'!$D$32,0)+'Combined Retirement'!$B$24</f>
        <v>2870.372285649099</v>
      </c>
      <c r="G728" s="25">
        <f>'Combined Retirement'!$C$24</f>
        <v>3254.2644699519233</v>
      </c>
      <c r="H728" s="25">
        <f>IF(B728&lt;62,0,'Combined Retirement'!$I$14)</f>
        <v>2345</v>
      </c>
      <c r="I728" s="25">
        <f>IF(C728&lt;62,0,'Combined Retirement'!$I$13)</f>
        <v>2420</v>
      </c>
      <c r="J728" s="25">
        <f t="shared" si="523"/>
        <v>8395.6297298201844</v>
      </c>
      <c r="K728" s="25">
        <f t="shared" si="524"/>
        <v>21655.303514578787</v>
      </c>
      <c r="L728" s="25"/>
      <c r="N728" s="25">
        <f>'Combined Retirement'!$C$18/12</f>
        <v>40940.569999999992</v>
      </c>
      <c r="O728" s="25">
        <f t="shared" si="525"/>
        <v>10889.636755601023</v>
      </c>
      <c r="P728" s="25">
        <f t="shared" si="526"/>
        <v>30050.93324439897</v>
      </c>
      <c r="Q728" s="25">
        <f t="array" aca="1" ref="Q728" ca="1">INDEX('Isaac 401k'!L:L,MATCH('Retirement Calculator'!A728,'Isaac 401k'!N:N,0),0)</f>
        <v>-3972804.195862629</v>
      </c>
      <c r="R728" s="25">
        <f t="array" aca="1" ref="R728" ca="1">INDEX('Lorri 401b'!L:L,MATCH('Retirement Calculator'!A728,'Lorri 401b'!N:N,0),0)</f>
        <v>-6652971.5326728374</v>
      </c>
      <c r="S728" s="25">
        <f t="shared" ca="1" si="527"/>
        <v>-10625775.728535466</v>
      </c>
    </row>
    <row r="729" spans="1:19" ht="15.75" customHeight="1" x14ac:dyDescent="0.3">
      <c r="A729" s="37">
        <v>73141</v>
      </c>
      <c r="B729" s="398">
        <f t="shared" ref="B729:C729" si="735">($A729-B$9)/365.25</f>
        <v>118.3709787816564</v>
      </c>
      <c r="C729" s="398">
        <f t="shared" si="735"/>
        <v>113.76043805612593</v>
      </c>
      <c r="E729" s="25">
        <f>IF(C729&gt;$B$7,0,'Combined Retirement'!$D$13/12)</f>
        <v>0</v>
      </c>
      <c r="F729" s="25">
        <f>IF(H729=0,'Combined Retirement'!$D$32,0)+'Combined Retirement'!$B$24</f>
        <v>2870.372285649099</v>
      </c>
      <c r="G729" s="25">
        <f>'Combined Retirement'!$C$24</f>
        <v>3254.2644699519233</v>
      </c>
      <c r="H729" s="25">
        <f>IF(B729&lt;62,0,'Combined Retirement'!$I$14)</f>
        <v>2345</v>
      </c>
      <c r="I729" s="25">
        <f>IF(C729&lt;62,0,'Combined Retirement'!$I$13)</f>
        <v>2420</v>
      </c>
      <c r="J729" s="25">
        <f t="shared" si="523"/>
        <v>8395.6297298201844</v>
      </c>
      <c r="K729" s="25">
        <f t="shared" si="524"/>
        <v>21655.303514578787</v>
      </c>
      <c r="L729" s="25"/>
      <c r="N729" s="25">
        <f>'Combined Retirement'!$C$18/12</f>
        <v>40940.569999999992</v>
      </c>
      <c r="O729" s="25">
        <f t="shared" si="525"/>
        <v>10889.636755601023</v>
      </c>
      <c r="P729" s="25">
        <f t="shared" si="526"/>
        <v>30050.93324439897</v>
      </c>
      <c r="Q729" s="25">
        <f t="array" aca="1" ref="Q729" ca="1">INDEX('Isaac 401k'!L:L,MATCH('Retirement Calculator'!A729,'Isaac 401k'!N:N,0),0)</f>
        <v>-3997788.1581990845</v>
      </c>
      <c r="R729" s="25">
        <f t="array" aca="1" ref="R729" ca="1">INDEX('Lorri 401b'!L:L,MATCH('Retirement Calculator'!A729,'Lorri 401b'!N:N,0),0)</f>
        <v>-6702437.7813381962</v>
      </c>
      <c r="S729" s="25">
        <f t="shared" ca="1" si="527"/>
        <v>-10700225.939537281</v>
      </c>
    </row>
    <row r="730" spans="1:19" ht="15.75" customHeight="1" x14ac:dyDescent="0.3">
      <c r="A730" s="37">
        <v>73171</v>
      </c>
      <c r="B730" s="398">
        <f t="shared" ref="B730:C730" si="736">($A730-B$9)/365.25</f>
        <v>118.45311430527036</v>
      </c>
      <c r="C730" s="398">
        <f t="shared" si="736"/>
        <v>113.84257357973991</v>
      </c>
      <c r="E730" s="25">
        <f>IF(C730&gt;$B$7,0,'Combined Retirement'!$D$13/12)</f>
        <v>0</v>
      </c>
      <c r="F730" s="25">
        <f>IF(H730=0,'Combined Retirement'!$D$32,0)+'Combined Retirement'!$B$24</f>
        <v>2870.372285649099</v>
      </c>
      <c r="G730" s="25">
        <f>'Combined Retirement'!$C$24</f>
        <v>3254.2644699519233</v>
      </c>
      <c r="H730" s="25">
        <f>IF(B730&lt;62,0,'Combined Retirement'!$I$14)</f>
        <v>2345</v>
      </c>
      <c r="I730" s="25">
        <f>IF(C730&lt;62,0,'Combined Retirement'!$I$13)</f>
        <v>2420</v>
      </c>
      <c r="J730" s="25">
        <f t="shared" si="523"/>
        <v>8395.6297298201844</v>
      </c>
      <c r="K730" s="25">
        <f t="shared" si="524"/>
        <v>21655.303514578787</v>
      </c>
      <c r="L730" s="25"/>
      <c r="N730" s="25">
        <f>'Combined Retirement'!$C$18/12</f>
        <v>40940.569999999992</v>
      </c>
      <c r="O730" s="25">
        <f t="shared" si="525"/>
        <v>10889.636755601023</v>
      </c>
      <c r="P730" s="25">
        <f t="shared" si="526"/>
        <v>30050.93324439897</v>
      </c>
      <c r="Q730" s="25">
        <f t="array" aca="1" ref="Q730" ca="1">INDEX('Isaac 401k'!L:L,MATCH('Retirement Calculator'!A730,'Isaac 401k'!N:N,0),0)</f>
        <v>-4022876.2203786084</v>
      </c>
      <c r="R730" s="25">
        <f t="array" aca="1" ref="R730" ca="1">INDEX('Lorri 401b'!L:L,MATCH('Retirement Calculator'!A730,'Lorri 401b'!N:N,0),0)</f>
        <v>-6752110.1393729942</v>
      </c>
      <c r="S730" s="25">
        <f t="shared" ca="1" si="527"/>
        <v>-10774986.359751603</v>
      </c>
    </row>
    <row r="731" spans="1:19" ht="15.75" customHeight="1" x14ac:dyDescent="0.3">
      <c r="A731" s="37">
        <v>73202</v>
      </c>
      <c r="B731" s="398">
        <f t="shared" ref="B731:C731" si="737">($A731-B$9)/365.25</f>
        <v>118.53798767967146</v>
      </c>
      <c r="C731" s="398">
        <f t="shared" si="737"/>
        <v>113.927446954141</v>
      </c>
      <c r="E731" s="25">
        <f>IF(C731&gt;$B$7,0,'Combined Retirement'!$D$13/12)</f>
        <v>0</v>
      </c>
      <c r="F731" s="25">
        <f>IF(H731=0,'Combined Retirement'!$D$32,0)+'Combined Retirement'!$B$24</f>
        <v>2870.372285649099</v>
      </c>
      <c r="G731" s="25">
        <f>'Combined Retirement'!$C$24</f>
        <v>3254.2644699519233</v>
      </c>
      <c r="H731" s="25">
        <f>IF(B731&lt;62,0,'Combined Retirement'!$I$14)</f>
        <v>2345</v>
      </c>
      <c r="I731" s="25">
        <f>IF(C731&lt;62,0,'Combined Retirement'!$I$13)</f>
        <v>2420</v>
      </c>
      <c r="J731" s="25">
        <f t="shared" si="523"/>
        <v>8395.6297298201844</v>
      </c>
      <c r="K731" s="25">
        <f t="shared" si="524"/>
        <v>21655.303514578787</v>
      </c>
      <c r="L731" s="25"/>
      <c r="N731" s="25">
        <f>'Combined Retirement'!$C$18/12</f>
        <v>40940.569999999992</v>
      </c>
      <c r="O731" s="25">
        <f t="shared" si="525"/>
        <v>10889.636755601023</v>
      </c>
      <c r="P731" s="25">
        <f t="shared" si="526"/>
        <v>30050.93324439897</v>
      </c>
      <c r="Q731" s="25">
        <f t="array" aca="1" ref="Q731" ca="1">INDEX('Isaac 401k'!L:L,MATCH('Retirement Calculator'!A731,'Isaac 401k'!N:N,0),0)</f>
        <v>-4048068.8161505475</v>
      </c>
      <c r="R731" s="25">
        <f t="array" aca="1" ref="R731" ca="1">INDEX('Lorri 401b'!L:L,MATCH('Retirement Calculator'!A731,'Lorri 401b'!N:N,0),0)</f>
        <v>-6801989.465566271</v>
      </c>
      <c r="S731" s="25">
        <f t="shared" ca="1" si="527"/>
        <v>-10850058.281716818</v>
      </c>
    </row>
    <row r="732" spans="1:19" ht="15.75" customHeight="1" x14ac:dyDescent="0.3">
      <c r="A732" s="37">
        <v>73232</v>
      </c>
      <c r="B732" s="398">
        <f t="shared" ref="B732:C732" si="738">($A732-B$9)/365.25</f>
        <v>118.62012320328542</v>
      </c>
      <c r="C732" s="398">
        <f t="shared" si="738"/>
        <v>114.00958247775496</v>
      </c>
      <c r="E732" s="25">
        <f>IF(C732&gt;$B$7,0,'Combined Retirement'!$D$13/12)</f>
        <v>0</v>
      </c>
      <c r="F732" s="25">
        <f>IF(H732=0,'Combined Retirement'!$D$32,0)+'Combined Retirement'!$B$24</f>
        <v>2870.372285649099</v>
      </c>
      <c r="G732" s="25">
        <f>'Combined Retirement'!$C$24</f>
        <v>3254.2644699519233</v>
      </c>
      <c r="H732" s="25">
        <f>IF(B732&lt;62,0,'Combined Retirement'!$I$14)</f>
        <v>2345</v>
      </c>
      <c r="I732" s="25">
        <f>IF(C732&lt;62,0,'Combined Retirement'!$I$13)</f>
        <v>2420</v>
      </c>
      <c r="J732" s="25">
        <f t="shared" si="523"/>
        <v>8395.6297298201844</v>
      </c>
      <c r="K732" s="25">
        <f t="shared" si="524"/>
        <v>21655.303514578787</v>
      </c>
      <c r="L732" s="25"/>
      <c r="N732" s="25">
        <f>'Combined Retirement'!$C$18/12</f>
        <v>40940.569999999992</v>
      </c>
      <c r="O732" s="25">
        <f t="shared" si="525"/>
        <v>10889.636755601023</v>
      </c>
      <c r="P732" s="25">
        <f t="shared" si="526"/>
        <v>30050.93324439897</v>
      </c>
      <c r="Q732" s="25">
        <f t="array" aca="1" ref="Q732" ca="1">INDEX('Isaac 401k'!L:L,MATCH('Retirement Calculator'!A732,'Isaac 401k'!N:N,0),0)</f>
        <v>-4073366.3810715359</v>
      </c>
      <c r="R732" s="25">
        <f t="array" aca="1" ref="R732" ca="1">INDEX('Lorri 401b'!L:L,MATCH('Retirement Calculator'!A732,'Lorri 401b'!N:N,0),0)</f>
        <v>-6852076.622285353</v>
      </c>
      <c r="S732" s="25">
        <f t="shared" ca="1" si="527"/>
        <v>-10925443.003356889</v>
      </c>
    </row>
    <row r="733" spans="1:19" ht="15.75" customHeight="1" x14ac:dyDescent="0.3">
      <c r="A733" s="37">
        <v>73263</v>
      </c>
      <c r="B733" s="398">
        <f t="shared" ref="B733:C733" si="739">($A733-B$9)/365.25</f>
        <v>118.70499657768652</v>
      </c>
      <c r="C733" s="398">
        <f t="shared" si="739"/>
        <v>114.09445585215606</v>
      </c>
      <c r="E733" s="25">
        <f>IF(C733&gt;$B$7,0,'Combined Retirement'!$D$13/12)</f>
        <v>0</v>
      </c>
      <c r="F733" s="25">
        <f>IF(H733=0,'Combined Retirement'!$D$32,0)+'Combined Retirement'!$B$24</f>
        <v>2870.372285649099</v>
      </c>
      <c r="G733" s="25">
        <f>'Combined Retirement'!$C$24</f>
        <v>3254.2644699519233</v>
      </c>
      <c r="H733" s="25">
        <f>IF(B733&lt;62,0,'Combined Retirement'!$I$14)</f>
        <v>2345</v>
      </c>
      <c r="I733" s="25">
        <f>IF(C733&lt;62,0,'Combined Retirement'!$I$13)</f>
        <v>2420</v>
      </c>
      <c r="J733" s="25">
        <f t="shared" si="523"/>
        <v>8395.6297298201844</v>
      </c>
      <c r="K733" s="25">
        <f t="shared" si="524"/>
        <v>21655.303514578787</v>
      </c>
      <c r="L733" s="25"/>
      <c r="N733" s="25">
        <f>'Combined Retirement'!$C$18/12</f>
        <v>40940.569999999992</v>
      </c>
      <c r="O733" s="25">
        <f t="shared" si="525"/>
        <v>10889.636755601023</v>
      </c>
      <c r="P733" s="25">
        <f t="shared" si="526"/>
        <v>30050.93324439897</v>
      </c>
      <c r="Q733" s="25">
        <f t="array" aca="1" ref="Q733" ca="1">INDEX('Isaac 401k'!L:L,MATCH('Retirement Calculator'!A733,'Isaac 401k'!N:N,0),0)</f>
        <v>-4098769.3525130288</v>
      </c>
      <c r="R733" s="25">
        <f t="array" aca="1" ref="R733" ca="1">INDEX('Lorri 401b'!L:L,MATCH('Retirement Calculator'!A733,'Lorri 401b'!N:N,0),0)</f>
        <v>-6902372.4754907647</v>
      </c>
      <c r="S733" s="25">
        <f t="shared" ca="1" si="527"/>
        <v>-11001141.828003794</v>
      </c>
    </row>
    <row r="734" spans="1:19" ht="15.75" customHeight="1" x14ac:dyDescent="0.3">
      <c r="A734" s="37">
        <v>73294</v>
      </c>
      <c r="B734" s="398">
        <f t="shared" ref="B734:C734" si="740">($A734-B$9)/365.25</f>
        <v>118.78986995208761</v>
      </c>
      <c r="C734" s="398">
        <f t="shared" si="740"/>
        <v>114.17932922655716</v>
      </c>
      <c r="E734" s="25">
        <f>IF(C734&gt;$B$7,0,'Combined Retirement'!$D$13/12)</f>
        <v>0</v>
      </c>
      <c r="F734" s="25">
        <f>IF(H734=0,'Combined Retirement'!$D$32,0)+'Combined Retirement'!$B$24</f>
        <v>2870.372285649099</v>
      </c>
      <c r="G734" s="25">
        <f>'Combined Retirement'!$C$24</f>
        <v>3254.2644699519233</v>
      </c>
      <c r="H734" s="25">
        <f>IF(B734&lt;62,0,'Combined Retirement'!$I$14)</f>
        <v>2345</v>
      </c>
      <c r="I734" s="25">
        <f>IF(C734&lt;62,0,'Combined Retirement'!$I$13)</f>
        <v>2420</v>
      </c>
      <c r="J734" s="25">
        <f t="shared" si="523"/>
        <v>8395.6297298201844</v>
      </c>
      <c r="K734" s="25">
        <f t="shared" si="524"/>
        <v>21655.303514578787</v>
      </c>
      <c r="L734" s="25"/>
      <c r="N734" s="25">
        <f>'Combined Retirement'!$C$18/12</f>
        <v>40940.569999999992</v>
      </c>
      <c r="O734" s="25">
        <f t="shared" si="525"/>
        <v>10889.636755601023</v>
      </c>
      <c r="P734" s="25">
        <f t="shared" si="526"/>
        <v>30050.93324439897</v>
      </c>
      <c r="Q734" s="25">
        <f t="array" aca="1" ref="Q734" ca="1">INDEX('Isaac 401k'!L:L,MATCH('Retirement Calculator'!A734,'Isaac 401k'!N:N,0),0)</f>
        <v>-4124278.1696688612</v>
      </c>
      <c r="R734" s="25">
        <f t="array" aca="1" ref="R734" ca="1">INDEX('Lorri 401b'!L:L,MATCH('Retirement Calculator'!A734,'Lorri 401b'!N:N,0),0)</f>
        <v>-6952877.8947511986</v>
      </c>
      <c r="S734" s="25">
        <f t="shared" ca="1" si="527"/>
        <v>-11077156.064420059</v>
      </c>
    </row>
    <row r="735" spans="1:19" ht="15.75" customHeight="1" x14ac:dyDescent="0.3">
      <c r="A735" s="37">
        <v>73324</v>
      </c>
      <c r="B735" s="398">
        <f t="shared" ref="B735:C735" si="741">($A735-B$9)/365.25</f>
        <v>118.87200547570157</v>
      </c>
      <c r="C735" s="398">
        <f t="shared" si="741"/>
        <v>114.26146475017111</v>
      </c>
      <c r="E735" s="25">
        <f>IF(C735&gt;$B$7,0,'Combined Retirement'!$D$13/12)</f>
        <v>0</v>
      </c>
      <c r="F735" s="25">
        <f>IF(H735=0,'Combined Retirement'!$D$32,0)+'Combined Retirement'!$B$24</f>
        <v>2870.372285649099</v>
      </c>
      <c r="G735" s="25">
        <f>'Combined Retirement'!$C$24</f>
        <v>3254.2644699519233</v>
      </c>
      <c r="H735" s="25">
        <f>IF(B735&lt;62,0,'Combined Retirement'!$I$14)</f>
        <v>2345</v>
      </c>
      <c r="I735" s="25">
        <f>IF(C735&lt;62,0,'Combined Retirement'!$I$13)</f>
        <v>2420</v>
      </c>
      <c r="J735" s="25">
        <f t="shared" si="523"/>
        <v>8395.6297298201844</v>
      </c>
      <c r="K735" s="25">
        <f t="shared" si="524"/>
        <v>21655.303514578787</v>
      </c>
      <c r="L735" s="25"/>
      <c r="N735" s="25">
        <f>'Combined Retirement'!$C$18/12</f>
        <v>40940.569999999992</v>
      </c>
      <c r="O735" s="25">
        <f t="shared" si="525"/>
        <v>10889.636755601023</v>
      </c>
      <c r="P735" s="25">
        <f t="shared" si="526"/>
        <v>30050.93324439897</v>
      </c>
      <c r="Q735" s="25">
        <f t="array" aca="1" ref="Q735" ca="1">INDEX('Isaac 401k'!L:L,MATCH('Retirement Calculator'!A735,'Isaac 401k'!N:N,0),0)</f>
        <v>-4149893.273562843</v>
      </c>
      <c r="R735" s="25">
        <f t="array" aca="1" ref="R735" ca="1">INDEX('Lorri 401b'!L:L,MATCH('Retirement Calculator'!A735,'Lorri 401b'!N:N,0),0)</f>
        <v>-7003593.7532585515</v>
      </c>
      <c r="S735" s="25">
        <f t="shared" ca="1" si="527"/>
        <v>-11153487.026821394</v>
      </c>
    </row>
    <row r="736" spans="1:19" ht="15.75" customHeight="1" x14ac:dyDescent="0.3">
      <c r="A736" s="37">
        <v>73355</v>
      </c>
      <c r="B736" s="398">
        <f t="shared" ref="B736:C736" si="742">($A736-B$9)/365.25</f>
        <v>118.95687885010267</v>
      </c>
      <c r="C736" s="398">
        <f t="shared" si="742"/>
        <v>114.34633812457221</v>
      </c>
      <c r="E736" s="25">
        <f>IF(C736&gt;$B$7,0,'Combined Retirement'!$D$13/12)</f>
        <v>0</v>
      </c>
      <c r="F736" s="25">
        <f>IF(H736=0,'Combined Retirement'!$D$32,0)+'Combined Retirement'!$B$24</f>
        <v>2870.372285649099</v>
      </c>
      <c r="G736" s="25">
        <f>'Combined Retirement'!$C$24</f>
        <v>3254.2644699519233</v>
      </c>
      <c r="H736" s="25">
        <f>IF(B736&lt;62,0,'Combined Retirement'!$I$14)</f>
        <v>2345</v>
      </c>
      <c r="I736" s="25">
        <f>IF(C736&lt;62,0,'Combined Retirement'!$I$13)</f>
        <v>2420</v>
      </c>
      <c r="J736" s="25">
        <f t="shared" si="523"/>
        <v>8395.6297298201844</v>
      </c>
      <c r="K736" s="25">
        <f t="shared" si="524"/>
        <v>21655.303514578787</v>
      </c>
      <c r="L736" s="25"/>
      <c r="N736" s="25">
        <f>'Combined Retirement'!$C$18/12</f>
        <v>40940.569999999992</v>
      </c>
      <c r="O736" s="25">
        <f t="shared" si="525"/>
        <v>10889.636755601023</v>
      </c>
      <c r="P736" s="25">
        <f t="shared" si="526"/>
        <v>30050.93324439897</v>
      </c>
      <c r="Q736" s="25">
        <f t="array" aca="1" ref="Q736" ca="1">INDEX('Isaac 401k'!L:L,MATCH('Retirement Calculator'!A736,'Isaac 401k'!N:N,0),0)</f>
        <v>-4175615.107056383</v>
      </c>
      <c r="R736" s="25">
        <f t="array" aca="1" ref="R736" ca="1">INDEX('Lorri 401b'!L:L,MATCH('Retirement Calculator'!A736,'Lorri 401b'!N:N,0),0)</f>
        <v>-7054520.9278430175</v>
      </c>
      <c r="S736" s="25">
        <f t="shared" ca="1" si="527"/>
        <v>-11230136.034899401</v>
      </c>
    </row>
    <row r="737" spans="1:19" ht="15.75" customHeight="1" x14ac:dyDescent="0.3">
      <c r="A737" s="37">
        <v>73385</v>
      </c>
      <c r="B737" s="398">
        <f t="shared" ref="B737:C737" si="743">($A737-B$9)/365.25</f>
        <v>119.03901437371663</v>
      </c>
      <c r="C737" s="398">
        <f t="shared" si="743"/>
        <v>114.42847364818617</v>
      </c>
      <c r="E737" s="25">
        <f>IF(C737&gt;$B$7,0,'Combined Retirement'!$D$13/12)</f>
        <v>0</v>
      </c>
      <c r="F737" s="25">
        <f>IF(H737=0,'Combined Retirement'!$D$32,0)+'Combined Retirement'!$B$24</f>
        <v>2870.372285649099</v>
      </c>
      <c r="G737" s="25">
        <f>'Combined Retirement'!$C$24</f>
        <v>3254.2644699519233</v>
      </c>
      <c r="H737" s="25">
        <f>IF(B737&lt;62,0,'Combined Retirement'!$I$14)</f>
        <v>2345</v>
      </c>
      <c r="I737" s="25">
        <f>IF(C737&lt;62,0,'Combined Retirement'!$I$13)</f>
        <v>2420</v>
      </c>
      <c r="J737" s="25">
        <f t="shared" si="523"/>
        <v>8395.6297298201844</v>
      </c>
      <c r="K737" s="25">
        <f t="shared" si="524"/>
        <v>21655.303514578787</v>
      </c>
      <c r="L737" s="25"/>
      <c r="N737" s="25">
        <f>'Combined Retirement'!$C$18/12</f>
        <v>40940.569999999992</v>
      </c>
      <c r="O737" s="25">
        <f t="shared" si="525"/>
        <v>10889.636755601023</v>
      </c>
      <c r="P737" s="25">
        <f t="shared" si="526"/>
        <v>30050.93324439897</v>
      </c>
      <c r="Q737" s="25">
        <f t="array" aca="1" ref="Q737" ca="1">INDEX('Isaac 401k'!L:L,MATCH('Retirement Calculator'!A737,'Isaac 401k'!N:N,0),0)</f>
        <v>-4201444.1148561463</v>
      </c>
      <c r="R737" s="25">
        <f t="array" aca="1" ref="R737" ca="1">INDEX('Lorri 401b'!L:L,MATCH('Retirement Calculator'!A737,'Lorri 401b'!N:N,0),0)</f>
        <v>-7105660.2989882529</v>
      </c>
      <c r="S737" s="25">
        <f t="shared" ca="1" si="527"/>
        <v>-11307104.413844399</v>
      </c>
    </row>
    <row r="738" spans="1:19" ht="15.75" customHeight="1" x14ac:dyDescent="0.3">
      <c r="A738" s="37">
        <v>73416</v>
      </c>
      <c r="B738" s="398">
        <f t="shared" ref="B738:C738" si="744">($A738-B$9)/365.25</f>
        <v>119.12388774811772</v>
      </c>
      <c r="C738" s="398">
        <f t="shared" si="744"/>
        <v>114.51334702258727</v>
      </c>
      <c r="E738" s="25">
        <f>IF(C738&gt;$B$7,0,'Combined Retirement'!$D$13/12)</f>
        <v>0</v>
      </c>
      <c r="F738" s="25">
        <f>IF(H738=0,'Combined Retirement'!$D$32,0)+'Combined Retirement'!$B$24</f>
        <v>2870.372285649099</v>
      </c>
      <c r="G738" s="25">
        <f>'Combined Retirement'!$C$24</f>
        <v>3254.2644699519233</v>
      </c>
      <c r="H738" s="25">
        <f>IF(B738&lt;62,0,'Combined Retirement'!$I$14)</f>
        <v>2345</v>
      </c>
      <c r="I738" s="25">
        <f>IF(C738&lt;62,0,'Combined Retirement'!$I$13)</f>
        <v>2420</v>
      </c>
      <c r="J738" s="25">
        <f t="shared" si="523"/>
        <v>8395.6297298201844</v>
      </c>
      <c r="K738" s="25">
        <f t="shared" si="524"/>
        <v>21655.303514578787</v>
      </c>
      <c r="L738" s="25"/>
      <c r="N738" s="25">
        <f>'Combined Retirement'!$C$18/12</f>
        <v>40940.569999999992</v>
      </c>
      <c r="O738" s="25">
        <f t="shared" si="525"/>
        <v>10889.636755601023</v>
      </c>
      <c r="P738" s="25">
        <f t="shared" si="526"/>
        <v>30050.93324439897</v>
      </c>
      <c r="Q738" s="25">
        <f t="array" aca="1" ref="Q738" ca="1">INDEX('Isaac 401k'!L:L,MATCH('Retirement Calculator'!A738,'Isaac 401k'!N:N,0),0)</f>
        <v>-4227380.7435217416</v>
      </c>
      <c r="R738" s="25">
        <f t="array" aca="1" ref="R738" ca="1">INDEX('Lorri 401b'!L:L,MATCH('Retirement Calculator'!A738,'Lorri 401b'!N:N,0),0)</f>
        <v>-7157012.7508465927</v>
      </c>
      <c r="S738" s="25">
        <f t="shared" ca="1" si="527"/>
        <v>-11384393.494368333</v>
      </c>
    </row>
    <row r="739" spans="1:19" ht="15.75" customHeight="1" x14ac:dyDescent="0.3">
      <c r="A739" s="37">
        <v>73447</v>
      </c>
      <c r="B739" s="398">
        <f t="shared" ref="B739:C739" si="745">($A739-B$9)/365.25</f>
        <v>119.20876112251882</v>
      </c>
      <c r="C739" s="398">
        <f t="shared" si="745"/>
        <v>114.59822039698837</v>
      </c>
      <c r="E739" s="25">
        <f>IF(C739&gt;$B$7,0,'Combined Retirement'!$D$13/12)</f>
        <v>0</v>
      </c>
      <c r="F739" s="25">
        <f>IF(H739=0,'Combined Retirement'!$D$32,0)+'Combined Retirement'!$B$24</f>
        <v>2870.372285649099</v>
      </c>
      <c r="G739" s="25">
        <f>'Combined Retirement'!$C$24</f>
        <v>3254.2644699519233</v>
      </c>
      <c r="H739" s="25">
        <f>IF(B739&lt;62,0,'Combined Retirement'!$I$14)</f>
        <v>2345</v>
      </c>
      <c r="I739" s="25">
        <f>IF(C739&lt;62,0,'Combined Retirement'!$I$13)</f>
        <v>2420</v>
      </c>
      <c r="J739" s="25">
        <f t="shared" si="523"/>
        <v>8395.6297298201844</v>
      </c>
      <c r="K739" s="25">
        <f t="shared" si="524"/>
        <v>21655.303514578787</v>
      </c>
      <c r="L739" s="25"/>
      <c r="N739" s="25">
        <f>'Combined Retirement'!$C$18/12</f>
        <v>40940.569999999992</v>
      </c>
      <c r="O739" s="25">
        <f t="shared" si="525"/>
        <v>10889.636755601023</v>
      </c>
      <c r="P739" s="25">
        <f t="shared" si="526"/>
        <v>30050.93324439897</v>
      </c>
      <c r="Q739" s="25">
        <f t="array" aca="1" ref="Q739" ca="1">INDEX('Isaac 401k'!L:L,MATCH('Retirement Calculator'!A739,'Isaac 401k'!N:N,0),0)</f>
        <v>-4253425.4414734431</v>
      </c>
      <c r="R739" s="25">
        <f t="array" aca="1" ref="R739" ca="1">INDEX('Lorri 401b'!L:L,MATCH('Retirement Calculator'!A739,'Lorri 401b'!N:N,0),0)</f>
        <v>-7208579.1712543424</v>
      </c>
      <c r="S739" s="25">
        <f t="shared" ca="1" si="527"/>
        <v>-11462004.612727785</v>
      </c>
    </row>
    <row r="740" spans="1:19" ht="15.75" customHeight="1" x14ac:dyDescent="0.3">
      <c r="A740" s="37">
        <v>73475</v>
      </c>
      <c r="B740" s="398">
        <f t="shared" ref="B740:C740" si="746">($A740-B$9)/365.25</f>
        <v>119.28542094455852</v>
      </c>
      <c r="C740" s="398">
        <f t="shared" si="746"/>
        <v>114.67488021902807</v>
      </c>
      <c r="E740" s="25">
        <f>IF(C740&gt;$B$7,0,'Combined Retirement'!$D$13/12)</f>
        <v>0</v>
      </c>
      <c r="F740" s="25">
        <f>IF(H740=0,'Combined Retirement'!$D$32,0)+'Combined Retirement'!$B$24</f>
        <v>2870.372285649099</v>
      </c>
      <c r="G740" s="25">
        <f>'Combined Retirement'!$C$24</f>
        <v>3254.2644699519233</v>
      </c>
      <c r="H740" s="25">
        <f>IF(B740&lt;62,0,'Combined Retirement'!$I$14)</f>
        <v>2345</v>
      </c>
      <c r="I740" s="25">
        <f>IF(C740&lt;62,0,'Combined Retirement'!$I$13)</f>
        <v>2420</v>
      </c>
      <c r="J740" s="25">
        <f t="shared" si="523"/>
        <v>8395.6297298201844</v>
      </c>
      <c r="K740" s="25">
        <f t="shared" si="524"/>
        <v>21655.303514578787</v>
      </c>
      <c r="L740" s="25"/>
      <c r="N740" s="25">
        <f>'Combined Retirement'!$C$18/12</f>
        <v>40940.569999999992</v>
      </c>
      <c r="O740" s="25">
        <f t="shared" si="525"/>
        <v>10889.636755601023</v>
      </c>
      <c r="P740" s="25">
        <f t="shared" si="526"/>
        <v>30050.93324439897</v>
      </c>
      <c r="Q740" s="25">
        <f t="array" aca="1" ref="Q740" ca="1">INDEX('Isaac 401k'!L:L,MATCH('Retirement Calculator'!A740,'Isaac 401k'!N:N,0),0)</f>
        <v>-4279578.6589999441</v>
      </c>
      <c r="R740" s="25">
        <f t="array" aca="1" ref="R740" ca="1">INDEX('Lorri 401b'!L:L,MATCH('Retirement Calculator'!A740,'Lorri 401b'!N:N,0),0)</f>
        <v>-7260360.451747125</v>
      </c>
      <c r="S740" s="25">
        <f t="shared" ca="1" si="527"/>
        <v>-11539939.110747069</v>
      </c>
    </row>
    <row r="741" spans="1:19" ht="15.75" customHeight="1" x14ac:dyDescent="0.3">
      <c r="A741" s="37">
        <v>73506</v>
      </c>
      <c r="B741" s="398">
        <f t="shared" ref="B741:C741" si="747">($A741-B$9)/365.25</f>
        <v>119.37029431895962</v>
      </c>
      <c r="C741" s="398">
        <f t="shared" si="747"/>
        <v>114.75975359342915</v>
      </c>
      <c r="E741" s="25">
        <f>IF(C741&gt;$B$7,0,'Combined Retirement'!$D$13/12)</f>
        <v>0</v>
      </c>
      <c r="F741" s="25">
        <f>IF(H741=0,'Combined Retirement'!$D$32,0)+'Combined Retirement'!$B$24</f>
        <v>2870.372285649099</v>
      </c>
      <c r="G741" s="25">
        <f>'Combined Retirement'!$C$24</f>
        <v>3254.2644699519233</v>
      </c>
      <c r="H741" s="25">
        <f>IF(B741&lt;62,0,'Combined Retirement'!$I$14)</f>
        <v>2345</v>
      </c>
      <c r="I741" s="25">
        <f>IF(C741&lt;62,0,'Combined Retirement'!$I$13)</f>
        <v>2420</v>
      </c>
      <c r="J741" s="25">
        <f t="shared" si="523"/>
        <v>8395.6297298201844</v>
      </c>
      <c r="K741" s="25">
        <f t="shared" si="524"/>
        <v>21655.303514578787</v>
      </c>
      <c r="L741" s="25"/>
      <c r="N741" s="25">
        <f>'Combined Retirement'!$C$18/12</f>
        <v>40940.569999999992</v>
      </c>
      <c r="O741" s="25">
        <f t="shared" si="525"/>
        <v>10889.636755601023</v>
      </c>
      <c r="P741" s="25">
        <f t="shared" si="526"/>
        <v>30050.93324439897</v>
      </c>
      <c r="Q741" s="25">
        <f t="array" aca="1" ref="Q741" ca="1">INDEX('Isaac 401k'!L:L,MATCH('Retirement Calculator'!A741,'Isaac 401k'!N:N,0),0)</f>
        <v>-4305840.8482661387</v>
      </c>
      <c r="R741" s="25">
        <f t="array" aca="1" ref="R741" ca="1">INDEX('Lorri 401b'!L:L,MATCH('Retirement Calculator'!A741,'Lorri 401b'!N:N,0),0)</f>
        <v>-7312357.4875752935</v>
      </c>
      <c r="S741" s="25">
        <f t="shared" ca="1" si="527"/>
        <v>-11618198.335841432</v>
      </c>
    </row>
    <row r="742" spans="1:19" ht="15.75" customHeight="1" x14ac:dyDescent="0.3">
      <c r="A742" s="37">
        <v>73536</v>
      </c>
      <c r="B742" s="398">
        <f t="shared" ref="B742:C742" si="748">($A742-B$9)/365.25</f>
        <v>119.45242984257358</v>
      </c>
      <c r="C742" s="398">
        <f t="shared" si="748"/>
        <v>114.84188911704312</v>
      </c>
      <c r="E742" s="25">
        <f>IF(C742&gt;$B$7,0,'Combined Retirement'!$D$13/12)</f>
        <v>0</v>
      </c>
      <c r="F742" s="25">
        <f>IF(H742=0,'Combined Retirement'!$D$32,0)+'Combined Retirement'!$B$24</f>
        <v>2870.372285649099</v>
      </c>
      <c r="G742" s="25">
        <f>'Combined Retirement'!$C$24</f>
        <v>3254.2644699519233</v>
      </c>
      <c r="H742" s="25">
        <f>IF(B742&lt;62,0,'Combined Retirement'!$I$14)</f>
        <v>2345</v>
      </c>
      <c r="I742" s="25">
        <f>IF(C742&lt;62,0,'Combined Retirement'!$I$13)</f>
        <v>2420</v>
      </c>
      <c r="J742" s="25">
        <f t="shared" si="523"/>
        <v>8395.6297298201844</v>
      </c>
      <c r="K742" s="25">
        <f t="shared" si="524"/>
        <v>21655.303514578787</v>
      </c>
      <c r="L742" s="25"/>
      <c r="N742" s="25">
        <f>'Combined Retirement'!$C$18/12</f>
        <v>40940.569999999992</v>
      </c>
      <c r="O742" s="25">
        <f t="shared" si="525"/>
        <v>10889.636755601023</v>
      </c>
      <c r="P742" s="25">
        <f t="shared" si="526"/>
        <v>30050.93324439897</v>
      </c>
      <c r="Q742" s="25">
        <f t="array" aca="1" ref="Q742" ca="1">INDEX('Isaac 401k'!L:L,MATCH('Retirement Calculator'!A742,'Isaac 401k'!N:N,0),0)</f>
        <v>-4332212.4633209426</v>
      </c>
      <c r="R742" s="25">
        <f t="array" aca="1" ref="R742" ca="1">INDEX('Lorri 401b'!L:L,MATCH('Retirement Calculator'!A742,'Lorri 401b'!N:N,0),0)</f>
        <v>-7364571.1777194133</v>
      </c>
      <c r="S742" s="25">
        <f t="shared" ca="1" si="527"/>
        <v>-11696783.641040355</v>
      </c>
    </row>
    <row r="743" spans="1:19" ht="15.75" customHeight="1" x14ac:dyDescent="0.3">
      <c r="A743" s="37">
        <v>73567</v>
      </c>
      <c r="B743" s="398">
        <f t="shared" ref="B743:C743" si="749">($A743-B$9)/365.25</f>
        <v>119.53730321697468</v>
      </c>
      <c r="C743" s="398">
        <f t="shared" si="749"/>
        <v>114.92676249144422</v>
      </c>
      <c r="E743" s="25">
        <f>IF(C743&gt;$B$7,0,'Combined Retirement'!$D$13/12)</f>
        <v>0</v>
      </c>
      <c r="F743" s="25">
        <f>IF(H743=0,'Combined Retirement'!$D$32,0)+'Combined Retirement'!$B$24</f>
        <v>2870.372285649099</v>
      </c>
      <c r="G743" s="25">
        <f>'Combined Retirement'!$C$24</f>
        <v>3254.2644699519233</v>
      </c>
      <c r="H743" s="25">
        <f>IF(B743&lt;62,0,'Combined Retirement'!$I$14)</f>
        <v>2345</v>
      </c>
      <c r="I743" s="25">
        <f>IF(C743&lt;62,0,'Combined Retirement'!$I$13)</f>
        <v>2420</v>
      </c>
      <c r="J743" s="25">
        <f t="shared" si="523"/>
        <v>8395.6297298201844</v>
      </c>
      <c r="K743" s="25">
        <f t="shared" si="524"/>
        <v>21655.303514578787</v>
      </c>
      <c r="L743" s="25"/>
      <c r="N743" s="25">
        <f>'Combined Retirement'!$C$18/12</f>
        <v>40940.569999999992</v>
      </c>
      <c r="O743" s="25">
        <f t="shared" si="525"/>
        <v>10889.636755601023</v>
      </c>
      <c r="P743" s="25">
        <f t="shared" si="526"/>
        <v>30050.93324439897</v>
      </c>
      <c r="Q743" s="25">
        <f t="array" aca="1" ref="Q743" ca="1">INDEX('Isaac 401k'!L:L,MATCH('Retirement Calculator'!A743,'Isaac 401k'!N:N,0),0)</f>
        <v>-4358693.9601051416</v>
      </c>
      <c r="R743" s="25">
        <f t="array" aca="1" ref="R743" ca="1">INDEX('Lorri 401b'!L:L,MATCH('Retirement Calculator'!A743,'Lorri 401b'!N:N,0),0)</f>
        <v>-7417002.4249058003</v>
      </c>
      <c r="S743" s="25">
        <f t="shared" ca="1" si="527"/>
        <v>-11775696.385010943</v>
      </c>
    </row>
    <row r="744" spans="1:19" ht="15.75" customHeight="1" x14ac:dyDescent="0.3">
      <c r="A744" s="37">
        <v>73597</v>
      </c>
      <c r="B744" s="398">
        <f t="shared" ref="B744:C744" si="750">($A744-B$9)/365.25</f>
        <v>119.61943874058863</v>
      </c>
      <c r="C744" s="398">
        <f t="shared" si="750"/>
        <v>115.00889801505818</v>
      </c>
      <c r="E744" s="25">
        <f>IF(C744&gt;$B$7,0,'Combined Retirement'!$D$13/12)</f>
        <v>0</v>
      </c>
      <c r="F744" s="25">
        <f>IF(H744=0,'Combined Retirement'!$D$32,0)+'Combined Retirement'!$B$24</f>
        <v>2870.372285649099</v>
      </c>
      <c r="G744" s="25">
        <f>'Combined Retirement'!$C$24</f>
        <v>3254.2644699519233</v>
      </c>
      <c r="H744" s="25">
        <f>IF(B744&lt;62,0,'Combined Retirement'!$I$14)</f>
        <v>2345</v>
      </c>
      <c r="I744" s="25">
        <f>IF(C744&lt;62,0,'Combined Retirement'!$I$13)</f>
        <v>2420</v>
      </c>
      <c r="J744" s="25">
        <f t="shared" si="523"/>
        <v>8395.6297298201844</v>
      </c>
      <c r="K744" s="25">
        <f t="shared" si="524"/>
        <v>21655.303514578787</v>
      </c>
      <c r="L744" s="25"/>
      <c r="N744" s="25">
        <f>'Combined Retirement'!$C$18/12</f>
        <v>40940.569999999992</v>
      </c>
      <c r="O744" s="25">
        <f t="shared" si="525"/>
        <v>10889.636755601023</v>
      </c>
      <c r="P744" s="25">
        <f t="shared" si="526"/>
        <v>30050.93324439897</v>
      </c>
      <c r="Q744" s="25">
        <f t="array" aca="1" ref="Q744" ca="1">INDEX('Isaac 401k'!L:L,MATCH('Retirement Calculator'!A744,'Isaac 401k'!N:N,0),0)</f>
        <v>-4385285.7964592744</v>
      </c>
      <c r="R744" s="25">
        <f t="array" aca="1" ref="R744" ca="1">INDEX('Lorri 401b'!L:L,MATCH('Retirement Calculator'!A744,'Lorri 401b'!N:N,0),0)</f>
        <v>-7469652.1356221298</v>
      </c>
      <c r="S744" s="25">
        <f t="shared" ca="1" si="527"/>
        <v>-11854937.932081405</v>
      </c>
    </row>
    <row r="745" spans="1:19" ht="15.75" customHeight="1" x14ac:dyDescent="0.3">
      <c r="A745" s="37">
        <v>73628</v>
      </c>
      <c r="B745" s="398">
        <f t="shared" ref="B745:C745" si="751">($A745-B$9)/365.25</f>
        <v>119.70431211498973</v>
      </c>
      <c r="C745" s="398">
        <f t="shared" si="751"/>
        <v>115.09377138945928</v>
      </c>
      <c r="E745" s="25">
        <f>IF(C745&gt;$B$7,0,'Combined Retirement'!$D$13/12)</f>
        <v>0</v>
      </c>
      <c r="F745" s="25">
        <f>IF(H745=0,'Combined Retirement'!$D$32,0)+'Combined Retirement'!$B$24</f>
        <v>2870.372285649099</v>
      </c>
      <c r="G745" s="25">
        <f>'Combined Retirement'!$C$24</f>
        <v>3254.2644699519233</v>
      </c>
      <c r="H745" s="25">
        <f>IF(B745&lt;62,0,'Combined Retirement'!$I$14)</f>
        <v>2345</v>
      </c>
      <c r="I745" s="25">
        <f>IF(C745&lt;62,0,'Combined Retirement'!$I$13)</f>
        <v>2420</v>
      </c>
      <c r="J745" s="25">
        <f t="shared" si="523"/>
        <v>8395.6297298201844</v>
      </c>
      <c r="K745" s="25">
        <f t="shared" si="524"/>
        <v>21655.303514578787</v>
      </c>
      <c r="L745" s="25"/>
      <c r="N745" s="25">
        <f>'Combined Retirement'!$C$18/12</f>
        <v>40940.569999999992</v>
      </c>
      <c r="O745" s="25">
        <f t="shared" si="525"/>
        <v>10889.636755601023</v>
      </c>
      <c r="P745" s="25">
        <f t="shared" si="526"/>
        <v>30050.93324439897</v>
      </c>
      <c r="Q745" s="25">
        <f t="array" aca="1" ref="Q745" ca="1">INDEX('Isaac 401k'!L:L,MATCH('Retirement Calculator'!A745,'Isaac 401k'!N:N,0),0)</f>
        <v>-4411988.4321315493</v>
      </c>
      <c r="R745" s="25">
        <f t="array" aca="1" ref="R745" ca="1">INDEX('Lorri 401b'!L:L,MATCH('Retirement Calculator'!A745,'Lorri 401b'!N:N,0),0)</f>
        <v>-7522521.2201331109</v>
      </c>
      <c r="S745" s="25">
        <f t="shared" ca="1" si="527"/>
        <v>-11934509.65226466</v>
      </c>
    </row>
    <row r="746" spans="1:19" ht="15.75" customHeight="1" x14ac:dyDescent="0.3">
      <c r="A746" s="37">
        <v>73659</v>
      </c>
      <c r="B746" s="398">
        <f t="shared" ref="B746:C746" si="752">($A746-B$9)/365.25</f>
        <v>119.78918548939083</v>
      </c>
      <c r="C746" s="398">
        <f t="shared" si="752"/>
        <v>115.17864476386038</v>
      </c>
      <c r="E746" s="25">
        <f>IF(C746&gt;$B$7,0,'Combined Retirement'!$D$13/12)</f>
        <v>0</v>
      </c>
      <c r="F746" s="25">
        <f>IF(H746=0,'Combined Retirement'!$D$32,0)+'Combined Retirement'!$B$24</f>
        <v>2870.372285649099</v>
      </c>
      <c r="G746" s="25">
        <f>'Combined Retirement'!$C$24</f>
        <v>3254.2644699519233</v>
      </c>
      <c r="H746" s="25">
        <f>IF(B746&lt;62,0,'Combined Retirement'!$I$14)</f>
        <v>2345</v>
      </c>
      <c r="I746" s="25">
        <f>IF(C746&lt;62,0,'Combined Retirement'!$I$13)</f>
        <v>2420</v>
      </c>
      <c r="J746" s="25">
        <f t="shared" si="523"/>
        <v>8395.6297298201844</v>
      </c>
      <c r="K746" s="25">
        <f t="shared" si="524"/>
        <v>21655.303514578787</v>
      </c>
      <c r="L746" s="25"/>
      <c r="N746" s="25">
        <f>'Combined Retirement'!$C$18/12</f>
        <v>40940.569999999992</v>
      </c>
      <c r="O746" s="25">
        <f t="shared" si="525"/>
        <v>10889.636755601023</v>
      </c>
      <c r="P746" s="25">
        <f t="shared" si="526"/>
        <v>30050.93324439897</v>
      </c>
      <c r="Q746" s="25">
        <f t="array" aca="1" ref="Q746" ca="1">INDEX('Isaac 401k'!L:L,MATCH('Retirement Calculator'!A746,'Isaac 401k'!N:N,0),0)</f>
        <v>-4438802.328785792</v>
      </c>
      <c r="R746" s="25">
        <f t="array" aca="1" ref="R746" ca="1">INDEX('Lorri 401b'!L:L,MATCH('Retirement Calculator'!A746,'Lorri 401b'!N:N,0),0)</f>
        <v>-7575610.592496221</v>
      </c>
      <c r="S746" s="25">
        <f t="shared" ca="1" si="527"/>
        <v>-12014412.921282012</v>
      </c>
    </row>
    <row r="747" spans="1:19" ht="15.75" customHeight="1" x14ac:dyDescent="0.3">
      <c r="A747" s="37">
        <v>73689</v>
      </c>
      <c r="B747" s="398">
        <f t="shared" ref="B747:C747" si="753">($A747-B$9)/365.25</f>
        <v>119.87132101300479</v>
      </c>
      <c r="C747" s="398">
        <f t="shared" si="753"/>
        <v>115.26078028747433</v>
      </c>
      <c r="E747" s="25">
        <f>IF(C747&gt;$B$7,0,'Combined Retirement'!$D$13/12)</f>
        <v>0</v>
      </c>
      <c r="F747" s="25">
        <f>IF(H747=0,'Combined Retirement'!$D$32,0)+'Combined Retirement'!$B$24</f>
        <v>2870.372285649099</v>
      </c>
      <c r="G747" s="25">
        <f>'Combined Retirement'!$C$24</f>
        <v>3254.2644699519233</v>
      </c>
      <c r="H747" s="25">
        <f>IF(B747&lt;62,0,'Combined Retirement'!$I$14)</f>
        <v>2345</v>
      </c>
      <c r="I747" s="25">
        <f>IF(C747&lt;62,0,'Combined Retirement'!$I$13)</f>
        <v>2420</v>
      </c>
      <c r="J747" s="25">
        <f t="shared" si="523"/>
        <v>8395.6297298201844</v>
      </c>
      <c r="K747" s="25">
        <f t="shared" si="524"/>
        <v>21655.303514578787</v>
      </c>
      <c r="L747" s="25"/>
      <c r="N747" s="25">
        <f>'Combined Retirement'!$C$18/12</f>
        <v>40940.569999999992</v>
      </c>
      <c r="O747" s="25">
        <f t="shared" si="525"/>
        <v>10889.636755601023</v>
      </c>
      <c r="P747" s="25">
        <f t="shared" si="526"/>
        <v>30050.93324439897</v>
      </c>
      <c r="Q747" s="25">
        <f t="array" aca="1" ref="Q747" ca="1">INDEX('Isaac 401k'!L:L,MATCH('Retirement Calculator'!A747,'Isaac 401k'!N:N,0),0)</f>
        <v>-4465727.950009427</v>
      </c>
      <c r="R747" s="25">
        <f t="array" aca="1" ref="R747" ca="1">INDEX('Lorri 401b'!L:L,MATCH('Retirement Calculator'!A747,'Lorri 401b'!N:N,0),0)</f>
        <v>-7628921.1705775112</v>
      </c>
      <c r="S747" s="25">
        <f t="shared" ca="1" si="527"/>
        <v>-12094649.120586939</v>
      </c>
    </row>
    <row r="748" spans="1:19" ht="15.75" customHeight="1" x14ac:dyDescent="0.3">
      <c r="A748" s="37">
        <v>73720</v>
      </c>
      <c r="B748" s="398">
        <f t="shared" ref="B748:C748" si="754">($A748-B$9)/365.25</f>
        <v>119.95619438740589</v>
      </c>
      <c r="C748" s="398">
        <f t="shared" si="754"/>
        <v>115.34565366187543</v>
      </c>
      <c r="E748" s="25">
        <f>IF(C748&gt;$B$7,0,'Combined Retirement'!$D$13/12)</f>
        <v>0</v>
      </c>
      <c r="F748" s="25">
        <f>IF(H748=0,'Combined Retirement'!$D$32,0)+'Combined Retirement'!$B$24</f>
        <v>2870.372285649099</v>
      </c>
      <c r="G748" s="25">
        <f>'Combined Retirement'!$C$24</f>
        <v>3254.2644699519233</v>
      </c>
      <c r="H748" s="25">
        <f>IF(B748&lt;62,0,'Combined Retirement'!$I$14)</f>
        <v>2345</v>
      </c>
      <c r="I748" s="25">
        <f>IF(C748&lt;62,0,'Combined Retirement'!$I$13)</f>
        <v>2420</v>
      </c>
      <c r="J748" s="25">
        <f t="shared" si="523"/>
        <v>8395.6297298201844</v>
      </c>
      <c r="K748" s="25">
        <f t="shared" si="524"/>
        <v>21655.303514578787</v>
      </c>
      <c r="L748" s="25"/>
      <c r="N748" s="25">
        <f>'Combined Retirement'!$C$18/12</f>
        <v>40940.569999999992</v>
      </c>
      <c r="O748" s="25">
        <f t="shared" si="525"/>
        <v>10889.636755601023</v>
      </c>
      <c r="P748" s="25">
        <f t="shared" si="526"/>
        <v>30050.93324439897</v>
      </c>
      <c r="Q748" s="25">
        <f t="array" aca="1" ref="Q748" ca="1">INDEX('Isaac 401k'!L:L,MATCH('Retirement Calculator'!A748,'Isaac 401k'!N:N,0),0)</f>
        <v>-4492765.7613214944</v>
      </c>
      <c r="R748" s="25">
        <f t="array" aca="1" ref="R748" ca="1">INDEX('Lorri 401b'!L:L,MATCH('Retirement Calculator'!A748,'Lorri 401b'!N:N,0),0)</f>
        <v>-7682453.8760674736</v>
      </c>
      <c r="S748" s="25">
        <f t="shared" ca="1" si="527"/>
        <v>-12175219.637388967</v>
      </c>
    </row>
    <row r="749" spans="1:19" ht="15.75" customHeight="1" x14ac:dyDescent="0.3">
      <c r="A749" s="37">
        <v>73750</v>
      </c>
      <c r="B749" s="398">
        <f t="shared" ref="B749:C749" si="755">($A749-B$9)/365.25</f>
        <v>120.03832991101984</v>
      </c>
      <c r="C749" s="398">
        <f t="shared" si="755"/>
        <v>115.42778918548939</v>
      </c>
      <c r="E749" s="25">
        <f>IF(C749&gt;$B$7,0,'Combined Retirement'!$D$13/12)</f>
        <v>0</v>
      </c>
      <c r="F749" s="25">
        <f>IF(H749=0,'Combined Retirement'!$D$32,0)+'Combined Retirement'!$B$24</f>
        <v>2870.372285649099</v>
      </c>
      <c r="G749" s="25">
        <f>'Combined Retirement'!$C$24</f>
        <v>3254.2644699519233</v>
      </c>
      <c r="H749" s="25">
        <f>IF(B749&lt;62,0,'Combined Retirement'!$I$14)</f>
        <v>2345</v>
      </c>
      <c r="I749" s="25">
        <f>IF(C749&lt;62,0,'Combined Retirement'!$I$13)</f>
        <v>2420</v>
      </c>
      <c r="J749" s="25">
        <f t="shared" si="523"/>
        <v>8395.6297298201844</v>
      </c>
      <c r="K749" s="25">
        <f t="shared" si="524"/>
        <v>21655.303514578787</v>
      </c>
      <c r="L749" s="25"/>
      <c r="N749" s="25">
        <f>'Combined Retirement'!$C$18/12</f>
        <v>40940.569999999992</v>
      </c>
      <c r="O749" s="25">
        <f t="shared" si="525"/>
        <v>10889.636755601023</v>
      </c>
      <c r="P749" s="25">
        <f t="shared" si="526"/>
        <v>30050.93324439897</v>
      </c>
      <c r="Q749" s="25">
        <f t="array" aca="1" ref="Q749" ca="1">INDEX('Isaac 401k'!L:L,MATCH('Retirement Calculator'!A749,'Isaac 401k'!N:N,0),0)</f>
        <v>-4519916.2301806957</v>
      </c>
      <c r="R749" s="25">
        <f t="array" aca="1" ref="R749" ca="1">INDEX('Lorri 401b'!L:L,MATCH('Retirement Calculator'!A749,'Lorri 401b'!N:N,0),0)</f>
        <v>-7736209.6344969776</v>
      </c>
      <c r="S749" s="25">
        <f t="shared" ca="1" si="527"/>
        <v>-12256125.864677673</v>
      </c>
    </row>
    <row r="750" spans="1:19" ht="15.75" customHeight="1" x14ac:dyDescent="0.3">
      <c r="A750" s="37">
        <v>73781</v>
      </c>
      <c r="B750" s="398">
        <f t="shared" ref="B750:C750" si="756">($A750-B$9)/365.25</f>
        <v>120.12320328542094</v>
      </c>
      <c r="C750" s="398">
        <f t="shared" si="756"/>
        <v>115.51266255989049</v>
      </c>
      <c r="E750" s="25">
        <f>IF(C750&gt;$B$7,0,'Combined Retirement'!$D$13/12)</f>
        <v>0</v>
      </c>
      <c r="F750" s="25">
        <f>IF(H750=0,'Combined Retirement'!$D$32,0)+'Combined Retirement'!$B$24</f>
        <v>2870.372285649099</v>
      </c>
      <c r="G750" s="25">
        <f>'Combined Retirement'!$C$24</f>
        <v>3254.2644699519233</v>
      </c>
      <c r="H750" s="25">
        <f>IF(B750&lt;62,0,'Combined Retirement'!$I$14)</f>
        <v>2345</v>
      </c>
      <c r="I750" s="25">
        <f>IF(C750&lt;62,0,'Combined Retirement'!$I$13)</f>
        <v>2420</v>
      </c>
      <c r="J750" s="25">
        <f t="shared" si="523"/>
        <v>8395.6297298201844</v>
      </c>
      <c r="K750" s="25">
        <f t="shared" si="524"/>
        <v>21655.303514578787</v>
      </c>
      <c r="L750" s="25"/>
      <c r="N750" s="25">
        <f>'Combined Retirement'!$C$18/12</f>
        <v>40940.569999999992</v>
      </c>
      <c r="O750" s="25">
        <f t="shared" si="525"/>
        <v>10889.636755601023</v>
      </c>
      <c r="P750" s="25">
        <f t="shared" si="526"/>
        <v>30050.93324439897</v>
      </c>
      <c r="Q750" s="25">
        <f t="array" aca="1" ref="Q750" ca="1">INDEX('Isaac 401k'!L:L,MATCH('Retirement Calculator'!A750,'Isaac 401k'!N:N,0),0)</f>
        <v>-4547179.8259934764</v>
      </c>
      <c r="R750" s="25">
        <f t="array" aca="1" ref="R750" ca="1">INDEX('Lorri 401b'!L:L,MATCH('Retirement Calculator'!A750,'Lorri 401b'!N:N,0),0)</f>
        <v>-7790189.3752532704</v>
      </c>
      <c r="S750" s="25">
        <f t="shared" ca="1" si="527"/>
        <v>-12337369.201246746</v>
      </c>
    </row>
    <row r="751" spans="1:19" ht="15.75" customHeight="1" x14ac:dyDescent="0.3">
      <c r="A751" s="37">
        <v>73812</v>
      </c>
      <c r="B751" s="398">
        <f t="shared" ref="B751:C751" si="757">($A751-B$9)/365.25</f>
        <v>120.20807665982204</v>
      </c>
      <c r="C751" s="398">
        <f t="shared" si="757"/>
        <v>115.59753593429159</v>
      </c>
      <c r="E751" s="25">
        <f>IF(C751&gt;$B$7,0,'Combined Retirement'!$D$13/12)</f>
        <v>0</v>
      </c>
      <c r="F751" s="25">
        <f>IF(H751=0,'Combined Retirement'!$D$32,0)+'Combined Retirement'!$B$24</f>
        <v>2870.372285649099</v>
      </c>
      <c r="G751" s="25">
        <f>'Combined Retirement'!$C$24</f>
        <v>3254.2644699519233</v>
      </c>
      <c r="H751" s="25">
        <f>IF(B751&lt;62,0,'Combined Retirement'!$I$14)</f>
        <v>2345</v>
      </c>
      <c r="I751" s="25">
        <f>IF(C751&lt;62,0,'Combined Retirement'!$I$13)</f>
        <v>2420</v>
      </c>
      <c r="J751" s="25">
        <f t="shared" si="523"/>
        <v>8395.6297298201844</v>
      </c>
      <c r="K751" s="25">
        <f t="shared" si="524"/>
        <v>21655.303514578787</v>
      </c>
      <c r="L751" s="25"/>
      <c r="N751" s="25">
        <f>'Combined Retirement'!$C$18/12</f>
        <v>40940.569999999992</v>
      </c>
      <c r="O751" s="25">
        <f t="shared" si="525"/>
        <v>10889.636755601023</v>
      </c>
      <c r="P751" s="25">
        <f t="shared" si="526"/>
        <v>30050.93324439897</v>
      </c>
      <c r="Q751" s="25">
        <f t="array" aca="1" ref="Q751" ca="1">INDEX('Isaac 401k'!L:L,MATCH('Retirement Calculator'!A751,'Isaac 401k'!N:N,0),0)</f>
        <v>-4574557.0201221444</v>
      </c>
      <c r="R751" s="25">
        <f t="array" aca="1" ref="R751" ca="1">INDEX('Lorri 401b'!L:L,MATCH('Retirement Calculator'!A751,'Lorri 401b'!N:N,0),0)</f>
        <v>-7844394.0315960478</v>
      </c>
      <c r="S751" s="25">
        <f t="shared" ca="1" si="527"/>
        <v>-12418951.051718192</v>
      </c>
    </row>
    <row r="752" spans="1:19" ht="15.75" customHeight="1" x14ac:dyDescent="0.3">
      <c r="A752" s="37">
        <v>73840</v>
      </c>
      <c r="B752" s="398">
        <f t="shared" ref="B752:C752" si="758">($A752-B$9)/365.25</f>
        <v>120.28473648186174</v>
      </c>
      <c r="C752" s="398">
        <f t="shared" si="758"/>
        <v>115.67419575633129</v>
      </c>
      <c r="E752" s="25">
        <f>IF(C752&gt;$B$7,0,'Combined Retirement'!$D$13/12)</f>
        <v>0</v>
      </c>
      <c r="F752" s="25">
        <f>IF(H752=0,'Combined Retirement'!$D$32,0)+'Combined Retirement'!$B$24</f>
        <v>2870.372285649099</v>
      </c>
      <c r="G752" s="25">
        <f>'Combined Retirement'!$C$24</f>
        <v>3254.2644699519233</v>
      </c>
      <c r="H752" s="25">
        <f>IF(B752&lt;62,0,'Combined Retirement'!$I$14)</f>
        <v>2345</v>
      </c>
      <c r="I752" s="25">
        <f>IF(C752&lt;62,0,'Combined Retirement'!$I$13)</f>
        <v>2420</v>
      </c>
      <c r="J752" s="25">
        <f t="shared" si="523"/>
        <v>8395.6297298201844</v>
      </c>
      <c r="K752" s="25">
        <f t="shared" si="524"/>
        <v>21655.303514578787</v>
      </c>
      <c r="L752" s="25"/>
      <c r="N752" s="25">
        <f>'Combined Retirement'!$C$18/12</f>
        <v>40940.569999999992</v>
      </c>
      <c r="O752" s="25">
        <f t="shared" si="525"/>
        <v>10889.636755601023</v>
      </c>
      <c r="P752" s="25">
        <f t="shared" si="526"/>
        <v>30050.93324439897</v>
      </c>
      <c r="Q752" s="25">
        <f t="array" aca="1" ref="Q752" ca="1">INDEX('Isaac 401k'!L:L,MATCH('Retirement Calculator'!A752,'Isaac 401k'!N:N,0),0)</f>
        <v>-4602048.2858930146</v>
      </c>
      <c r="R752" s="25">
        <f t="array" aca="1" ref="R752" ca="1">INDEX('Lorri 401b'!L:L,MATCH('Retirement Calculator'!A752,'Lorri 401b'!N:N,0),0)</f>
        <v>-7898824.5406735875</v>
      </c>
      <c r="S752" s="25">
        <f t="shared" ca="1" si="527"/>
        <v>-12500872.826566603</v>
      </c>
    </row>
    <row r="753" spans="1:19" ht="15.75" customHeight="1" x14ac:dyDescent="0.3">
      <c r="A753" s="37">
        <v>73871</v>
      </c>
      <c r="B753" s="398">
        <f t="shared" ref="B753:C753" si="759">($A753-B$9)/365.25</f>
        <v>120.36960985626284</v>
      </c>
      <c r="C753" s="398">
        <f t="shared" si="759"/>
        <v>115.75906913073237</v>
      </c>
      <c r="E753" s="25">
        <f>IF(C753&gt;$B$7,0,'Combined Retirement'!$D$13/12)</f>
        <v>0</v>
      </c>
      <c r="F753" s="25">
        <f>IF(H753=0,'Combined Retirement'!$D$32,0)+'Combined Retirement'!$B$24</f>
        <v>2870.372285649099</v>
      </c>
      <c r="G753" s="25">
        <f>'Combined Retirement'!$C$24</f>
        <v>3254.2644699519233</v>
      </c>
      <c r="H753" s="25">
        <f>IF(B753&lt;62,0,'Combined Retirement'!$I$14)</f>
        <v>2345</v>
      </c>
      <c r="I753" s="25">
        <f>IF(C753&lt;62,0,'Combined Retirement'!$I$13)</f>
        <v>2420</v>
      </c>
      <c r="J753" s="25">
        <f t="shared" si="523"/>
        <v>8395.6297298201844</v>
      </c>
      <c r="K753" s="25">
        <f t="shared" si="524"/>
        <v>21655.303514578787</v>
      </c>
      <c r="L753" s="25"/>
      <c r="N753" s="25">
        <f>'Combined Retirement'!$C$18/12</f>
        <v>40940.569999999992</v>
      </c>
      <c r="O753" s="25">
        <f t="shared" si="525"/>
        <v>10889.636755601023</v>
      </c>
      <c r="P753" s="25">
        <f t="shared" si="526"/>
        <v>30050.93324439897</v>
      </c>
      <c r="Q753" s="25">
        <f t="array" aca="1" ref="Q753" ca="1">INDEX('Isaac 401k'!L:L,MATCH('Retirement Calculator'!A753,'Isaac 401k'!N:N,0),0)</f>
        <v>-4629654.0986045972</v>
      </c>
      <c r="R753" s="25">
        <f t="array" aca="1" ref="R753" ca="1">INDEX('Lorri 401b'!L:L,MATCH('Retirement Calculator'!A753,'Lorri 401b'!N:N,0),0)</f>
        <v>-7953481.8435389502</v>
      </c>
      <c r="S753" s="25">
        <f t="shared" ca="1" si="527"/>
        <v>-12583135.942143548</v>
      </c>
    </row>
    <row r="754" spans="1:19" ht="15.75" customHeight="1" x14ac:dyDescent="0.3">
      <c r="A754" s="37">
        <v>73901</v>
      </c>
      <c r="B754" s="398">
        <f t="shared" ref="B754:C754" si="760">($A754-B$9)/365.25</f>
        <v>120.4517453798768</v>
      </c>
      <c r="C754" s="398">
        <f t="shared" si="760"/>
        <v>115.84120465434634</v>
      </c>
      <c r="E754" s="25">
        <f>IF(C754&gt;$B$7,0,'Combined Retirement'!$D$13/12)</f>
        <v>0</v>
      </c>
      <c r="F754" s="25">
        <f>IF(H754=0,'Combined Retirement'!$D$32,0)+'Combined Retirement'!$B$24</f>
        <v>2870.372285649099</v>
      </c>
      <c r="G754" s="25">
        <f>'Combined Retirement'!$C$24</f>
        <v>3254.2644699519233</v>
      </c>
      <c r="H754" s="25">
        <f>IF(B754&lt;62,0,'Combined Retirement'!$I$14)</f>
        <v>2345</v>
      </c>
      <c r="I754" s="25">
        <f>IF(C754&lt;62,0,'Combined Retirement'!$I$13)</f>
        <v>2420</v>
      </c>
      <c r="J754" s="25">
        <f t="shared" si="523"/>
        <v>8395.6297298201844</v>
      </c>
      <c r="K754" s="25">
        <f t="shared" si="524"/>
        <v>21655.303514578787</v>
      </c>
      <c r="L754" s="25"/>
      <c r="N754" s="25">
        <f>'Combined Retirement'!$C$18/12</f>
        <v>40940.569999999992</v>
      </c>
      <c r="O754" s="25">
        <f t="shared" si="525"/>
        <v>10889.636755601023</v>
      </c>
      <c r="P754" s="25">
        <f t="shared" si="526"/>
        <v>30050.93324439897</v>
      </c>
      <c r="Q754" s="25">
        <f t="array" aca="1" ref="Q754" ca="1">INDEX('Isaac 401k'!L:L,MATCH('Retirement Calculator'!A754,'Isaac 401k'!N:N,0),0)</f>
        <v>-4657374.9355358109</v>
      </c>
      <c r="R754" s="25">
        <f t="array" aca="1" ref="R754" ca="1">INDEX('Lorri 401b'!L:L,MATCH('Retirement Calculator'!A754,'Lorri 401b'!N:N,0),0)</f>
        <v>-8008366.885166252</v>
      </c>
      <c r="S754" s="25">
        <f t="shared" ca="1" si="527"/>
        <v>-12665741.820702063</v>
      </c>
    </row>
    <row r="755" spans="1:19" ht="15.75" customHeight="1" x14ac:dyDescent="0.3">
      <c r="A755" s="37">
        <v>73932</v>
      </c>
      <c r="B755" s="398">
        <f t="shared" ref="B755:C755" si="761">($A755-B$9)/365.25</f>
        <v>120.5366187542779</v>
      </c>
      <c r="C755" s="398">
        <f t="shared" si="761"/>
        <v>115.92607802874743</v>
      </c>
      <c r="E755" s="25">
        <f>IF(C755&gt;$B$7,0,'Combined Retirement'!$D$13/12)</f>
        <v>0</v>
      </c>
      <c r="F755" s="25">
        <f>IF(H755=0,'Combined Retirement'!$D$32,0)+'Combined Retirement'!$B$24</f>
        <v>2870.372285649099</v>
      </c>
      <c r="G755" s="25">
        <f>'Combined Retirement'!$C$24</f>
        <v>3254.2644699519233</v>
      </c>
      <c r="H755" s="25">
        <f>IF(B755&lt;62,0,'Combined Retirement'!$I$14)</f>
        <v>2345</v>
      </c>
      <c r="I755" s="25">
        <f>IF(C755&lt;62,0,'Combined Retirement'!$I$13)</f>
        <v>2420</v>
      </c>
      <c r="J755" s="25">
        <f t="shared" si="523"/>
        <v>8395.6297298201844</v>
      </c>
      <c r="K755" s="25">
        <f t="shared" si="524"/>
        <v>21655.303514578787</v>
      </c>
      <c r="L755" s="25"/>
      <c r="N755" s="25">
        <f>'Combined Retirement'!$C$18/12</f>
        <v>40940.569999999992</v>
      </c>
      <c r="O755" s="25">
        <f t="shared" si="525"/>
        <v>10889.636755601023</v>
      </c>
      <c r="P755" s="25">
        <f t="shared" si="526"/>
        <v>30050.93324439897</v>
      </c>
      <c r="Q755" s="25">
        <f t="array" aca="1" ref="Q755" ca="1">INDEX('Isaac 401k'!L:L,MATCH('Retirement Calculator'!A755,'Isaac 401k'!N:N,0),0)</f>
        <v>-4685211.2759542381</v>
      </c>
      <c r="R755" s="25">
        <f t="array" aca="1" ref="R755" ca="1">INDEX('Lorri 401b'!L:L,MATCH('Retirement Calculator'!A755,'Lorri 401b'!N:N,0),0)</f>
        <v>-8063480.6144670006</v>
      </c>
      <c r="S755" s="25">
        <f t="shared" ca="1" si="527"/>
        <v>-12748691.890421238</v>
      </c>
    </row>
    <row r="756" spans="1:19" ht="15.75" customHeight="1" x14ac:dyDescent="0.3">
      <c r="A756" s="37">
        <v>73962</v>
      </c>
      <c r="B756" s="398">
        <f t="shared" ref="B756:C756" si="762">($A756-B$9)/365.25</f>
        <v>120.61875427789185</v>
      </c>
      <c r="C756" s="398">
        <f t="shared" si="762"/>
        <v>116.0082135523614</v>
      </c>
      <c r="E756" s="25">
        <f>IF(C756&gt;$B$7,0,'Combined Retirement'!$D$13/12)</f>
        <v>0</v>
      </c>
      <c r="F756" s="25">
        <f>IF(H756=0,'Combined Retirement'!$D$32,0)+'Combined Retirement'!$B$24</f>
        <v>2870.372285649099</v>
      </c>
      <c r="G756" s="25">
        <f>'Combined Retirement'!$C$24</f>
        <v>3254.2644699519233</v>
      </c>
      <c r="H756" s="25">
        <f>IF(B756&lt;62,0,'Combined Retirement'!$I$14)</f>
        <v>2345</v>
      </c>
      <c r="I756" s="25">
        <f>IF(C756&lt;62,0,'Combined Retirement'!$I$13)</f>
        <v>2420</v>
      </c>
      <c r="J756" s="25">
        <f t="shared" si="523"/>
        <v>8395.6297298201844</v>
      </c>
      <c r="K756" s="25">
        <f t="shared" si="524"/>
        <v>21655.303514578787</v>
      </c>
      <c r="L756" s="25"/>
      <c r="N756" s="25">
        <f>'Combined Retirement'!$C$18/12</f>
        <v>40940.569999999992</v>
      </c>
      <c r="O756" s="25">
        <f t="shared" si="525"/>
        <v>10889.636755601023</v>
      </c>
      <c r="P756" s="25">
        <f t="shared" si="526"/>
        <v>30050.93324439897</v>
      </c>
      <c r="Q756" s="25">
        <f t="array" aca="1" ref="Q756" ca="1">INDEX('Isaac 401k'!L:L,MATCH('Retirement Calculator'!A756,'Isaac 401k'!N:N,0),0)</f>
        <v>-4713163.6011244087</v>
      </c>
      <c r="R756" s="25">
        <f t="array" aca="1" ref="R756" ca="1">INDEX('Lorri 401b'!L:L,MATCH('Retirement Calculator'!A756,'Lorri 401b'!N:N,0),0)</f>
        <v>-8118823.9843065022</v>
      </c>
      <c r="S756" s="25">
        <f t="shared" ca="1" si="527"/>
        <v>-12831987.585430911</v>
      </c>
    </row>
    <row r="757" spans="1:19" ht="15.75" customHeight="1" x14ac:dyDescent="0.3">
      <c r="A757" s="37">
        <v>73993</v>
      </c>
      <c r="B757" s="398">
        <f t="shared" ref="B757:C757" si="763">($A757-B$9)/365.25</f>
        <v>120.70362765229295</v>
      </c>
      <c r="C757" s="398">
        <f t="shared" si="763"/>
        <v>116.0930869267625</v>
      </c>
      <c r="E757" s="25">
        <f>IF(C757&gt;$B$7,0,'Combined Retirement'!$D$13/12)</f>
        <v>0</v>
      </c>
      <c r="F757" s="25">
        <f>IF(H757=0,'Combined Retirement'!$D$32,0)+'Combined Retirement'!$B$24</f>
        <v>2870.372285649099</v>
      </c>
      <c r="G757" s="25">
        <f>'Combined Retirement'!$C$24</f>
        <v>3254.2644699519233</v>
      </c>
      <c r="H757" s="25">
        <f>IF(B757&lt;62,0,'Combined Retirement'!$I$14)</f>
        <v>2345</v>
      </c>
      <c r="I757" s="25">
        <f>IF(C757&lt;62,0,'Combined Retirement'!$I$13)</f>
        <v>2420</v>
      </c>
      <c r="J757" s="25">
        <f t="shared" si="523"/>
        <v>8395.6297298201844</v>
      </c>
      <c r="K757" s="25">
        <f t="shared" si="524"/>
        <v>21655.303514578787</v>
      </c>
      <c r="L757" s="25"/>
      <c r="N757" s="25">
        <f>'Combined Retirement'!$C$18/12</f>
        <v>40940.569999999992</v>
      </c>
      <c r="O757" s="25">
        <f t="shared" si="525"/>
        <v>10889.636755601023</v>
      </c>
      <c r="P757" s="25">
        <f t="shared" si="526"/>
        <v>30050.93324439897</v>
      </c>
      <c r="Q757" s="25">
        <f t="array" aca="1" ref="Q757" ca="1">INDEX('Isaac 401k'!L:L,MATCH('Retirement Calculator'!A757,'Isaac 401k'!N:N,0),0)</f>
        <v>-4741232.3943161219</v>
      </c>
      <c r="R757" s="25">
        <f t="array" aca="1" ref="R757" ca="1">INDEX('Lorri 401b'!L:L,MATCH('Retirement Calculator'!A757,'Lorri 401b'!N:N,0),0)</f>
        <v>-8174397.9515203349</v>
      </c>
      <c r="S757" s="25">
        <f t="shared" ca="1" si="527"/>
        <v>-12915630.345836457</v>
      </c>
    </row>
    <row r="758" spans="1:19" ht="15.75" customHeight="1" x14ac:dyDescent="0.3">
      <c r="A758" s="37">
        <v>74024</v>
      </c>
      <c r="B758" s="398">
        <f t="shared" ref="B758:C758" si="764">($A758-B$9)/365.25</f>
        <v>120.78850102669405</v>
      </c>
      <c r="C758" s="398">
        <f t="shared" si="764"/>
        <v>116.17796030116358</v>
      </c>
      <c r="E758" s="25">
        <f>IF(C758&gt;$B$7,0,'Combined Retirement'!$D$13/12)</f>
        <v>0</v>
      </c>
      <c r="F758" s="25">
        <f>IF(H758=0,'Combined Retirement'!$D$32,0)+'Combined Retirement'!$B$24</f>
        <v>2870.372285649099</v>
      </c>
      <c r="G758" s="25">
        <f>'Combined Retirement'!$C$24</f>
        <v>3254.2644699519233</v>
      </c>
      <c r="H758" s="25">
        <f>IF(B758&lt;62,0,'Combined Retirement'!$I$14)</f>
        <v>2345</v>
      </c>
      <c r="I758" s="25">
        <f>IF(C758&lt;62,0,'Combined Retirement'!$I$13)</f>
        <v>2420</v>
      </c>
      <c r="J758" s="25">
        <f t="shared" si="523"/>
        <v>8395.6297298201844</v>
      </c>
      <c r="K758" s="25">
        <f t="shared" si="524"/>
        <v>21655.303514578787</v>
      </c>
      <c r="L758" s="25"/>
      <c r="N758" s="25">
        <f>'Combined Retirement'!$C$18/12</f>
        <v>40940.569999999992</v>
      </c>
      <c r="O758" s="25">
        <f t="shared" si="525"/>
        <v>10889.636755601023</v>
      </c>
      <c r="P758" s="25">
        <f t="shared" si="526"/>
        <v>30050.93324439897</v>
      </c>
      <c r="Q758" s="25">
        <f t="array" aca="1" ref="Q758" ca="1">INDEX('Isaac 401k'!L:L,MATCH('Retirement Calculator'!A758,'Isaac 401k'!N:N,0),0)</f>
        <v>-4769418.1408128003</v>
      </c>
      <c r="R758" s="25">
        <f t="array" aca="1" ref="R758" ca="1">INDEX('Lorri 401b'!L:L,MATCH('Retirement Calculator'!A758,'Lorri 401b'!N:N,0),0)</f>
        <v>-8230203.4769308921</v>
      </c>
      <c r="S758" s="25">
        <f t="shared" ca="1" si="527"/>
        <v>-12999621.617743693</v>
      </c>
    </row>
    <row r="759" spans="1:19" ht="15.75" customHeight="1" x14ac:dyDescent="0.3">
      <c r="A759" s="37">
        <v>74054</v>
      </c>
      <c r="B759" s="398">
        <f t="shared" ref="B759:C759" si="765">($A759-B$9)/365.25</f>
        <v>120.87063655030801</v>
      </c>
      <c r="C759" s="398">
        <f t="shared" si="765"/>
        <v>116.26009582477755</v>
      </c>
      <c r="E759" s="25">
        <f>IF(C759&gt;$B$7,0,'Combined Retirement'!$D$13/12)</f>
        <v>0</v>
      </c>
      <c r="F759" s="25">
        <f>IF(H759=0,'Combined Retirement'!$D$32,0)+'Combined Retirement'!$B$24</f>
        <v>2870.372285649099</v>
      </c>
      <c r="G759" s="25">
        <f>'Combined Retirement'!$C$24</f>
        <v>3254.2644699519233</v>
      </c>
      <c r="H759" s="25">
        <f>IF(B759&lt;62,0,'Combined Retirement'!$I$14)</f>
        <v>2345</v>
      </c>
      <c r="I759" s="25">
        <f>IF(C759&lt;62,0,'Combined Retirement'!$I$13)</f>
        <v>2420</v>
      </c>
      <c r="J759" s="25">
        <f t="shared" si="523"/>
        <v>8395.6297298201844</v>
      </c>
      <c r="K759" s="25">
        <f t="shared" si="524"/>
        <v>21655.303514578787</v>
      </c>
      <c r="L759" s="25"/>
      <c r="N759" s="25">
        <f>'Combined Retirement'!$C$18/12</f>
        <v>40940.569999999992</v>
      </c>
      <c r="O759" s="25">
        <f t="shared" si="525"/>
        <v>10889.636755601023</v>
      </c>
      <c r="P759" s="25">
        <f t="shared" si="526"/>
        <v>30050.93324439897</v>
      </c>
      <c r="Q759" s="25">
        <f t="array" aca="1" ref="Q759" ca="1">INDEX('Isaac 401k'!L:L,MATCH('Retirement Calculator'!A759,'Isaac 401k'!N:N,0),0)</f>
        <v>-4797721.3279198818</v>
      </c>
      <c r="R759" s="25">
        <f t="array" aca="1" ref="R759" ca="1">INDEX('Lorri 401b'!L:L,MATCH('Retirement Calculator'!A759,'Lorri 401b'!N:N,0),0)</f>
        <v>-8286241.5253639929</v>
      </c>
      <c r="S759" s="25">
        <f t="shared" ca="1" si="527"/>
        <v>-13083962.853283875</v>
      </c>
    </row>
    <row r="760" spans="1:19" ht="15.75" customHeight="1" x14ac:dyDescent="0.3">
      <c r="A760" s="37">
        <v>74085</v>
      </c>
      <c r="B760" s="398">
        <f t="shared" ref="B760:C760" si="766">($A760-B$9)/365.25</f>
        <v>120.95550992470911</v>
      </c>
      <c r="C760" s="398">
        <f t="shared" si="766"/>
        <v>116.34496919917865</v>
      </c>
      <c r="E760" s="25">
        <f>IF(C760&gt;$B$7,0,'Combined Retirement'!$D$13/12)</f>
        <v>0</v>
      </c>
      <c r="F760" s="25">
        <f>IF(H760=0,'Combined Retirement'!$D$32,0)+'Combined Retirement'!$B$24</f>
        <v>2870.372285649099</v>
      </c>
      <c r="G760" s="25">
        <f>'Combined Retirement'!$C$24</f>
        <v>3254.2644699519233</v>
      </c>
      <c r="H760" s="25">
        <f>IF(B760&lt;62,0,'Combined Retirement'!$I$14)</f>
        <v>2345</v>
      </c>
      <c r="I760" s="25">
        <f>IF(C760&lt;62,0,'Combined Retirement'!$I$13)</f>
        <v>2420</v>
      </c>
      <c r="J760" s="25">
        <f t="shared" si="523"/>
        <v>8395.6297298201844</v>
      </c>
      <c r="K760" s="25">
        <f t="shared" si="524"/>
        <v>21655.303514578787</v>
      </c>
      <c r="L760" s="25"/>
      <c r="N760" s="25">
        <f>'Combined Retirement'!$C$18/12</f>
        <v>40940.569999999992</v>
      </c>
      <c r="O760" s="25">
        <f t="shared" si="525"/>
        <v>10889.636755601023</v>
      </c>
      <c r="P760" s="25">
        <f t="shared" si="526"/>
        <v>30050.93324439897</v>
      </c>
      <c r="Q760" s="25">
        <f t="array" aca="1" ref="Q760" ca="1">INDEX('Isaac 401k'!L:L,MATCH('Retirement Calculator'!A760,'Isaac 401k'!N:N,0),0)</f>
        <v>-4826142.4449732425</v>
      </c>
      <c r="R760" s="25">
        <f t="array" aca="1" ref="R760" ca="1">INDEX('Lorri 401b'!L:L,MATCH('Retirement Calculator'!A760,'Lorri 401b'!N:N,0),0)</f>
        <v>-8342513.0656655654</v>
      </c>
      <c r="S760" s="25">
        <f t="shared" ca="1" si="527"/>
        <v>-13168655.510638807</v>
      </c>
    </row>
    <row r="761" spans="1:19" ht="15.75" customHeight="1" x14ac:dyDescent="0.3">
      <c r="A761" s="37">
        <v>74115</v>
      </c>
      <c r="B761" s="398">
        <f t="shared" ref="B761:C761" si="767">($A761-B$9)/365.25</f>
        <v>121.03764544832306</v>
      </c>
      <c r="C761" s="398">
        <f t="shared" si="767"/>
        <v>116.42710472279261</v>
      </c>
      <c r="E761" s="25">
        <f>IF(C761&gt;$B$7,0,'Combined Retirement'!$D$13/12)</f>
        <v>0</v>
      </c>
      <c r="F761" s="25">
        <f>IF(H761=0,'Combined Retirement'!$D$32,0)+'Combined Retirement'!$B$24</f>
        <v>2870.372285649099</v>
      </c>
      <c r="G761" s="25">
        <f>'Combined Retirement'!$C$24</f>
        <v>3254.2644699519233</v>
      </c>
      <c r="H761" s="25">
        <f>IF(B761&lt;62,0,'Combined Retirement'!$I$14)</f>
        <v>2345</v>
      </c>
      <c r="I761" s="25">
        <f>IF(C761&lt;62,0,'Combined Retirement'!$I$13)</f>
        <v>2420</v>
      </c>
      <c r="J761" s="25">
        <f t="shared" si="523"/>
        <v>8395.6297298201844</v>
      </c>
      <c r="K761" s="25">
        <f t="shared" si="524"/>
        <v>21655.303514578787</v>
      </c>
      <c r="L761" s="25"/>
      <c r="N761" s="25">
        <f>'Combined Retirement'!$C$18/12</f>
        <v>40940.569999999992</v>
      </c>
      <c r="O761" s="25">
        <f t="shared" si="525"/>
        <v>10889.636755601023</v>
      </c>
      <c r="P761" s="25">
        <f t="shared" si="526"/>
        <v>30050.93324439897</v>
      </c>
      <c r="Q761" s="25">
        <f t="array" aca="1" ref="Q761" ca="1">INDEX('Isaac 401k'!L:L,MATCH('Retirement Calculator'!A761,'Isaac 401k'!N:N,0),0)</f>
        <v>-4854681.983347659</v>
      </c>
      <c r="R761" s="25">
        <f t="array" aca="1" ref="R761" ca="1">INDEX('Lorri 401b'!L:L,MATCH('Retirement Calculator'!A761,'Lorri 401b'!N:N,0),0)</f>
        <v>-8399019.0707183946</v>
      </c>
      <c r="S761" s="25">
        <f t="shared" ca="1" si="527"/>
        <v>-13253701.054066055</v>
      </c>
    </row>
    <row r="762" spans="1:19" ht="15.75" customHeight="1" x14ac:dyDescent="0.3">
      <c r="A762" s="37">
        <v>74146</v>
      </c>
      <c r="B762" s="398">
        <f t="shared" ref="B762:C762" si="768">($A762-B$9)/365.25</f>
        <v>121.12251882272416</v>
      </c>
      <c r="C762" s="398">
        <f t="shared" si="768"/>
        <v>116.5119780971937</v>
      </c>
      <c r="E762" s="25">
        <f>IF(C762&gt;$B$7,0,'Combined Retirement'!$D$13/12)</f>
        <v>0</v>
      </c>
      <c r="F762" s="25">
        <f>IF(H762=0,'Combined Retirement'!$D$32,0)+'Combined Retirement'!$B$24</f>
        <v>2870.372285649099</v>
      </c>
      <c r="G762" s="25">
        <f>'Combined Retirement'!$C$24</f>
        <v>3254.2644699519233</v>
      </c>
      <c r="H762" s="25">
        <f>IF(B762&lt;62,0,'Combined Retirement'!$I$14)</f>
        <v>2345</v>
      </c>
      <c r="I762" s="25">
        <f>IF(C762&lt;62,0,'Combined Retirement'!$I$13)</f>
        <v>2420</v>
      </c>
      <c r="J762" s="25">
        <f t="shared" si="523"/>
        <v>8395.6297298201844</v>
      </c>
      <c r="K762" s="25">
        <f t="shared" si="524"/>
        <v>21655.303514578787</v>
      </c>
      <c r="L762" s="25"/>
      <c r="N762" s="25">
        <f>'Combined Retirement'!$C$18/12</f>
        <v>40940.569999999992</v>
      </c>
      <c r="O762" s="25">
        <f t="shared" si="525"/>
        <v>10889.636755601023</v>
      </c>
      <c r="P762" s="25">
        <f t="shared" si="526"/>
        <v>30050.93324439897</v>
      </c>
      <c r="Q762" s="25">
        <f t="array" aca="1" ref="Q762" ca="1">INDEX('Isaac 401k'!L:L,MATCH('Retirement Calculator'!A762,'Isaac 401k'!N:N,0),0)</f>
        <v>-4883340.4364653025</v>
      </c>
      <c r="R762" s="25">
        <f t="array" aca="1" ref="R762" ca="1">INDEX('Lorri 401b'!L:L,MATCH('Retirement Calculator'!A762,'Lorri 401b'!N:N,0),0)</f>
        <v>-8455760.5174589455</v>
      </c>
      <c r="S762" s="25">
        <f t="shared" ca="1" si="527"/>
        <v>-13339100.953924248</v>
      </c>
    </row>
    <row r="763" spans="1:19" ht="15.75" customHeight="1" x14ac:dyDescent="0.3">
      <c r="A763" s="37">
        <v>74177</v>
      </c>
      <c r="B763" s="398">
        <f t="shared" ref="B763:C763" si="769">($A763-B$9)/365.25</f>
        <v>121.20739219712526</v>
      </c>
      <c r="C763" s="398">
        <f t="shared" si="769"/>
        <v>116.5968514715948</v>
      </c>
      <c r="E763" s="25">
        <f>IF(C763&gt;$B$7,0,'Combined Retirement'!$D$13/12)</f>
        <v>0</v>
      </c>
      <c r="F763" s="25">
        <f>IF(H763=0,'Combined Retirement'!$D$32,0)+'Combined Retirement'!$B$24</f>
        <v>2870.372285649099</v>
      </c>
      <c r="G763" s="25">
        <f>'Combined Retirement'!$C$24</f>
        <v>3254.2644699519233</v>
      </c>
      <c r="H763" s="25">
        <f>IF(B763&lt;62,0,'Combined Retirement'!$I$14)</f>
        <v>2345</v>
      </c>
      <c r="I763" s="25">
        <f>IF(C763&lt;62,0,'Combined Retirement'!$I$13)</f>
        <v>2420</v>
      </c>
      <c r="J763" s="25">
        <f t="shared" si="523"/>
        <v>8395.6297298201844</v>
      </c>
      <c r="K763" s="25">
        <f t="shared" si="524"/>
        <v>21655.303514578787</v>
      </c>
      <c r="L763" s="25"/>
      <c r="N763" s="25">
        <f>'Combined Retirement'!$C$18/12</f>
        <v>40940.569999999992</v>
      </c>
      <c r="O763" s="25">
        <f t="shared" si="525"/>
        <v>10889.636755601023</v>
      </c>
      <c r="P763" s="25">
        <f t="shared" si="526"/>
        <v>30050.93324439897</v>
      </c>
      <c r="Q763" s="25">
        <f t="array" aca="1" ref="Q763" ca="1">INDEX('Isaac 401k'!L:L,MATCH('Retirement Calculator'!A763,'Isaac 401k'!N:N,0),0)</f>
        <v>-4912118.2998042693</v>
      </c>
      <c r="R763" s="25">
        <f t="array" aca="1" ref="R763" ca="1">INDEX('Lorri 401b'!L:L,MATCH('Retirement Calculator'!A763,'Lorri 401b'!N:N,0),0)</f>
        <v>-8512738.3868942484</v>
      </c>
      <c r="S763" s="25">
        <f t="shared" ca="1" si="527"/>
        <v>-13424856.686698519</v>
      </c>
    </row>
    <row r="764" spans="1:19" ht="15.75" customHeight="1" x14ac:dyDescent="0.3">
      <c r="A764" s="37">
        <v>74205</v>
      </c>
      <c r="B764" s="398">
        <f t="shared" ref="B764:C764" si="770">($A764-B$9)/365.25</f>
        <v>121.28405201916496</v>
      </c>
      <c r="C764" s="398">
        <f t="shared" si="770"/>
        <v>116.67351129363449</v>
      </c>
      <c r="E764" s="25">
        <f>IF(C764&gt;$B$7,0,'Combined Retirement'!$D$13/12)</f>
        <v>0</v>
      </c>
      <c r="F764" s="25">
        <f>IF(H764=0,'Combined Retirement'!$D$32,0)+'Combined Retirement'!$B$24</f>
        <v>2870.372285649099</v>
      </c>
      <c r="G764" s="25">
        <f>'Combined Retirement'!$C$24</f>
        <v>3254.2644699519233</v>
      </c>
      <c r="H764" s="25">
        <f>IF(B764&lt;62,0,'Combined Retirement'!$I$14)</f>
        <v>2345</v>
      </c>
      <c r="I764" s="25">
        <f>IF(C764&lt;62,0,'Combined Retirement'!$I$13)</f>
        <v>2420</v>
      </c>
      <c r="J764" s="25">
        <f t="shared" si="523"/>
        <v>8395.6297298201844</v>
      </c>
      <c r="K764" s="25">
        <f t="shared" si="524"/>
        <v>21655.303514578787</v>
      </c>
      <c r="L764" s="25"/>
      <c r="N764" s="25">
        <f>'Combined Retirement'!$C$18/12</f>
        <v>40940.569999999992</v>
      </c>
      <c r="O764" s="25">
        <f t="shared" si="525"/>
        <v>10889.636755601023</v>
      </c>
      <c r="P764" s="25">
        <f t="shared" si="526"/>
        <v>30050.93324439897</v>
      </c>
      <c r="Q764" s="25">
        <f t="array" aca="1" ref="Q764" ca="1">INDEX('Isaac 401k'!L:L,MATCH('Retirement Calculator'!A764,'Isaac 401k'!N:N,0),0)</f>
        <v>-4941016.0709071485</v>
      </c>
      <c r="R764" s="25">
        <f t="array" aca="1" ref="R764" ca="1">INDEX('Lorri 401b'!L:L,MATCH('Retirement Calculator'!A764,'Lorri 401b'!N:N,0),0)</f>
        <v>-8569953.6641188636</v>
      </c>
      <c r="S764" s="25">
        <f t="shared" ca="1" si="527"/>
        <v>-13510969.735026013</v>
      </c>
    </row>
    <row r="765" spans="1:19" ht="15.75" customHeight="1" x14ac:dyDescent="0.3">
      <c r="A765" s="37">
        <v>74236</v>
      </c>
      <c r="B765" s="398">
        <f t="shared" ref="B765:C765" si="771">($A765-B$9)/365.25</f>
        <v>121.36892539356604</v>
      </c>
      <c r="C765" s="398">
        <f t="shared" si="771"/>
        <v>116.75838466803559</v>
      </c>
      <c r="E765" s="25">
        <f>IF(C765&gt;$B$7,0,'Combined Retirement'!$D$13/12)</f>
        <v>0</v>
      </c>
      <c r="F765" s="25">
        <f>IF(H765=0,'Combined Retirement'!$D$32,0)+'Combined Retirement'!$B$24</f>
        <v>2870.372285649099</v>
      </c>
      <c r="G765" s="25">
        <f>'Combined Retirement'!$C$24</f>
        <v>3254.2644699519233</v>
      </c>
      <c r="H765" s="25">
        <f>IF(B765&lt;62,0,'Combined Retirement'!$I$14)</f>
        <v>2345</v>
      </c>
      <c r="I765" s="25">
        <f>IF(C765&lt;62,0,'Combined Retirement'!$I$13)</f>
        <v>2420</v>
      </c>
      <c r="J765" s="25">
        <f t="shared" si="523"/>
        <v>8395.6297298201844</v>
      </c>
      <c r="K765" s="25">
        <f t="shared" si="524"/>
        <v>21655.303514578787</v>
      </c>
      <c r="L765" s="25"/>
      <c r="N765" s="25">
        <f>'Combined Retirement'!$C$18/12</f>
        <v>40940.569999999992</v>
      </c>
      <c r="O765" s="25">
        <f t="shared" si="525"/>
        <v>10889.636755601023</v>
      </c>
      <c r="P765" s="25">
        <f t="shared" si="526"/>
        <v>30050.93324439897</v>
      </c>
      <c r="Q765" s="25">
        <f t="array" aca="1" ref="Q765" ca="1">INDEX('Isaac 401k'!L:L,MATCH('Retirement Calculator'!A765,'Isaac 401k'!N:N,0),0)</f>
        <v>-4970034.2493896233</v>
      </c>
      <c r="R765" s="25">
        <f t="array" aca="1" ref="R765" ca="1">INDEX('Lorri 401b'!L:L,MATCH('Retirement Calculator'!A765,'Lorri 401b'!N:N,0),0)</f>
        <v>-8627407.3383319154</v>
      </c>
      <c r="S765" s="25">
        <f t="shared" ca="1" si="527"/>
        <v>-13597441.587721538</v>
      </c>
    </row>
    <row r="766" spans="1:19" ht="15.75" customHeight="1" x14ac:dyDescent="0.3">
      <c r="A766" s="37">
        <v>74266</v>
      </c>
      <c r="B766" s="398">
        <f t="shared" ref="B766:C766" si="772">($A766-B$9)/365.25</f>
        <v>121.45106091718002</v>
      </c>
      <c r="C766" s="398">
        <f t="shared" si="772"/>
        <v>116.84052019164956</v>
      </c>
      <c r="E766" s="25">
        <f>IF(C766&gt;$B$7,0,'Combined Retirement'!$D$13/12)</f>
        <v>0</v>
      </c>
      <c r="F766" s="25">
        <f>IF(H766=0,'Combined Retirement'!$D$32,0)+'Combined Retirement'!$B$24</f>
        <v>2870.372285649099</v>
      </c>
      <c r="G766" s="25">
        <f>'Combined Retirement'!$C$24</f>
        <v>3254.2644699519233</v>
      </c>
      <c r="H766" s="25">
        <f>IF(B766&lt;62,0,'Combined Retirement'!$I$14)</f>
        <v>2345</v>
      </c>
      <c r="I766" s="25">
        <f>IF(C766&lt;62,0,'Combined Retirement'!$I$13)</f>
        <v>2420</v>
      </c>
      <c r="J766" s="25">
        <f t="shared" si="523"/>
        <v>8395.6297298201844</v>
      </c>
      <c r="K766" s="25">
        <f t="shared" si="524"/>
        <v>21655.303514578787</v>
      </c>
      <c r="L766" s="25"/>
      <c r="N766" s="25">
        <f>'Combined Retirement'!$C$18/12</f>
        <v>40940.569999999992</v>
      </c>
      <c r="O766" s="25">
        <f t="shared" si="525"/>
        <v>10889.636755601023</v>
      </c>
      <c r="P766" s="25">
        <f t="shared" si="526"/>
        <v>30050.93324439897</v>
      </c>
      <c r="Q766" s="25">
        <f t="array" aca="1" ref="Q766" ca="1">INDEX('Isaac 401k'!L:L,MATCH('Retirement Calculator'!A766,'Isaac 401k'!N:N,0),0)</f>
        <v>-4999173.3369491082</v>
      </c>
      <c r="R766" s="25">
        <f t="array" aca="1" ref="R766" ca="1">INDEX('Lorri 401b'!L:L,MATCH('Retirement Calculator'!A766,'Lorri 401b'!N:N,0),0)</f>
        <v>-8685100.4028541893</v>
      </c>
      <c r="S766" s="25">
        <f t="shared" ca="1" si="527"/>
        <v>-13684273.739803297</v>
      </c>
    </row>
    <row r="767" spans="1:19" ht="15.75" customHeight="1" x14ac:dyDescent="0.3">
      <c r="A767" s="37">
        <v>74297</v>
      </c>
      <c r="B767" s="398">
        <f t="shared" ref="B767:C767" si="773">($A767-B$9)/365.25</f>
        <v>121.53593429158111</v>
      </c>
      <c r="C767" s="398">
        <f t="shared" si="773"/>
        <v>116.92539356605064</v>
      </c>
      <c r="E767" s="25">
        <f>IF(C767&gt;$B$7,0,'Combined Retirement'!$D$13/12)</f>
        <v>0</v>
      </c>
      <c r="F767" s="25">
        <f>IF(H767=0,'Combined Retirement'!$D$32,0)+'Combined Retirement'!$B$24</f>
        <v>2870.372285649099</v>
      </c>
      <c r="G767" s="25">
        <f>'Combined Retirement'!$C$24</f>
        <v>3254.2644699519233</v>
      </c>
      <c r="H767" s="25">
        <f>IF(B767&lt;62,0,'Combined Retirement'!$I$14)</f>
        <v>2345</v>
      </c>
      <c r="I767" s="25">
        <f>IF(C767&lt;62,0,'Combined Retirement'!$I$13)</f>
        <v>2420</v>
      </c>
      <c r="J767" s="25">
        <f t="shared" si="523"/>
        <v>8395.6297298201844</v>
      </c>
      <c r="K767" s="25">
        <f t="shared" si="524"/>
        <v>21655.303514578787</v>
      </c>
      <c r="L767" s="25"/>
      <c r="N767" s="25">
        <f>'Combined Retirement'!$C$18/12</f>
        <v>40940.569999999992</v>
      </c>
      <c r="O767" s="25">
        <f t="shared" si="525"/>
        <v>10889.636755601023</v>
      </c>
      <c r="P767" s="25">
        <f t="shared" si="526"/>
        <v>30050.93324439897</v>
      </c>
      <c r="Q767" s="25">
        <f t="array" aca="1" ref="Q767" ca="1">INDEX('Isaac 401k'!L:L,MATCH('Retirement Calculator'!A767,'Isaac 401k'!N:N,0),0)</f>
        <v>-5028433.8373734243</v>
      </c>
      <c r="R767" s="25">
        <f t="array" aca="1" ref="R767" ca="1">INDEX('Lorri 401b'!L:L,MATCH('Retirement Calculator'!A767,'Lorri 401b'!N:N,0),0)</f>
        <v>-8743033.8551453054</v>
      </c>
      <c r="S767" s="25">
        <f t="shared" ca="1" si="527"/>
        <v>-13771467.69251873</v>
      </c>
    </row>
    <row r="768" spans="1:19" ht="15.75" customHeight="1" x14ac:dyDescent="0.3">
      <c r="A768" s="37">
        <v>74327</v>
      </c>
      <c r="B768" s="398">
        <f t="shared" ref="B768:C768" si="774">($A768-B$9)/365.25</f>
        <v>121.61806981519507</v>
      </c>
      <c r="C768" s="398">
        <f t="shared" si="774"/>
        <v>117.00752908966462</v>
      </c>
      <c r="E768" s="25">
        <f>IF(C768&gt;$B$7,0,'Combined Retirement'!$D$13/12)</f>
        <v>0</v>
      </c>
      <c r="F768" s="25">
        <f>IF(H768=0,'Combined Retirement'!$D$32,0)+'Combined Retirement'!$B$24</f>
        <v>2870.372285649099</v>
      </c>
      <c r="G768" s="25">
        <f>'Combined Retirement'!$C$24</f>
        <v>3254.2644699519233</v>
      </c>
      <c r="H768" s="25">
        <f>IF(B768&lt;62,0,'Combined Retirement'!$I$14)</f>
        <v>2345</v>
      </c>
      <c r="I768" s="25">
        <f>IF(C768&lt;62,0,'Combined Retirement'!$I$13)</f>
        <v>2420</v>
      </c>
      <c r="J768" s="25">
        <f t="shared" si="523"/>
        <v>8395.6297298201844</v>
      </c>
      <c r="K768" s="25">
        <f t="shared" si="524"/>
        <v>21655.303514578787</v>
      </c>
      <c r="L768" s="25"/>
      <c r="N768" s="25">
        <f>'Combined Retirement'!$C$18/12</f>
        <v>40940.569999999992</v>
      </c>
      <c r="O768" s="25">
        <f t="shared" si="525"/>
        <v>10889.636755601023</v>
      </c>
      <c r="P768" s="25">
        <f t="shared" si="526"/>
        <v>30050.93324439897</v>
      </c>
      <c r="Q768" s="25">
        <f t="array" aca="1" ref="Q768" ca="1">INDEX('Isaac 401k'!L:L,MATCH('Retirement Calculator'!A768,'Isaac 401k'!N:N,0),0)</f>
        <v>-5057816.2565495083</v>
      </c>
      <c r="R768" s="25">
        <f t="array" aca="1" ref="R768" ca="1">INDEX('Lorri 401b'!L:L,MATCH('Retirement Calculator'!A768,'Lorri 401b'!N:N,0),0)</f>
        <v>-8801208.6968209669</v>
      </c>
      <c r="S768" s="25">
        <f t="shared" ca="1" si="527"/>
        <v>-13859024.953370474</v>
      </c>
    </row>
    <row r="769" spans="1:19" ht="15.75" customHeight="1" x14ac:dyDescent="0.3">
      <c r="A769" s="37">
        <v>74358</v>
      </c>
      <c r="B769" s="398">
        <f t="shared" ref="B769:C769" si="775">($A769-B$9)/365.25</f>
        <v>121.70294318959617</v>
      </c>
      <c r="C769" s="398">
        <f t="shared" si="775"/>
        <v>117.09240246406571</v>
      </c>
      <c r="E769" s="25">
        <f>IF(C769&gt;$B$7,0,'Combined Retirement'!$D$13/12)</f>
        <v>0</v>
      </c>
      <c r="F769" s="25">
        <f>IF(H769=0,'Combined Retirement'!$D$32,0)+'Combined Retirement'!$B$24</f>
        <v>2870.372285649099</v>
      </c>
      <c r="G769" s="25">
        <f>'Combined Retirement'!$C$24</f>
        <v>3254.2644699519233</v>
      </c>
      <c r="H769" s="25">
        <f>IF(B769&lt;62,0,'Combined Retirement'!$I$14)</f>
        <v>2345</v>
      </c>
      <c r="I769" s="25">
        <f>IF(C769&lt;62,0,'Combined Retirement'!$I$13)</f>
        <v>2420</v>
      </c>
      <c r="J769" s="25">
        <f t="shared" si="523"/>
        <v>8395.6297298201844</v>
      </c>
      <c r="K769" s="25">
        <f t="shared" si="524"/>
        <v>21655.303514578787</v>
      </c>
      <c r="L769" s="25"/>
      <c r="N769" s="25">
        <f>'Combined Retirement'!$C$18/12</f>
        <v>40940.569999999992</v>
      </c>
      <c r="O769" s="25">
        <f t="shared" si="525"/>
        <v>10889.636755601023</v>
      </c>
      <c r="P769" s="25">
        <f t="shared" si="526"/>
        <v>30050.93324439897</v>
      </c>
      <c r="Q769" s="25">
        <f t="array" aca="1" ref="Q769" ca="1">INDEX('Isaac 401k'!L:L,MATCH('Retirement Calculator'!A769,'Isaac 401k'!N:N,0),0)</f>
        <v>-5087321.1024721591</v>
      </c>
      <c r="R769" s="25">
        <f t="array" aca="1" ref="R769" ca="1">INDEX('Lorri 401b'!L:L,MATCH('Retirement Calculator'!A769,'Lorri 401b'!N:N,0),0)</f>
        <v>-8859625.9336702768</v>
      </c>
      <c r="S769" s="25">
        <f t="shared" ca="1" si="527"/>
        <v>-13946947.036142435</v>
      </c>
    </row>
    <row r="770" spans="1:19" ht="15.75" customHeight="1" x14ac:dyDescent="0.3">
      <c r="A770" s="37">
        <v>74389</v>
      </c>
      <c r="B770" s="398">
        <f t="shared" ref="B770:C770" si="776">($A770-B$9)/365.25</f>
        <v>121.78781656399727</v>
      </c>
      <c r="C770" s="398">
        <f t="shared" si="776"/>
        <v>117.1772758384668</v>
      </c>
      <c r="E770" s="25">
        <f>IF(C770&gt;$B$7,0,'Combined Retirement'!$D$13/12)</f>
        <v>0</v>
      </c>
      <c r="F770" s="25">
        <f>IF(H770=0,'Combined Retirement'!$D$32,0)+'Combined Retirement'!$B$24</f>
        <v>2870.372285649099</v>
      </c>
      <c r="G770" s="25">
        <f>'Combined Retirement'!$C$24</f>
        <v>3254.2644699519233</v>
      </c>
      <c r="H770" s="25">
        <f>IF(B770&lt;62,0,'Combined Retirement'!$I$14)</f>
        <v>2345</v>
      </c>
      <c r="I770" s="25">
        <f>IF(C770&lt;62,0,'Combined Retirement'!$I$13)</f>
        <v>2420</v>
      </c>
      <c r="J770" s="25">
        <f t="shared" si="523"/>
        <v>8395.6297298201844</v>
      </c>
      <c r="K770" s="25">
        <f t="shared" si="524"/>
        <v>21655.303514578787</v>
      </c>
      <c r="L770" s="25"/>
      <c r="N770" s="25">
        <f>'Combined Retirement'!$C$18/12</f>
        <v>40940.569999999992</v>
      </c>
      <c r="O770" s="25">
        <f t="shared" si="525"/>
        <v>10889.636755601023</v>
      </c>
      <c r="P770" s="25">
        <f t="shared" si="526"/>
        <v>30050.93324439897</v>
      </c>
      <c r="Q770" s="25">
        <f t="array" aca="1" ref="Q770" ca="1">INDEX('Isaac 401k'!L:L,MATCH('Retirement Calculator'!A770,'Isaac 401k'!N:N,0),0)</f>
        <v>-5116948.8852528213</v>
      </c>
      <c r="R770" s="25">
        <f t="array" aca="1" ref="R770" ca="1">INDEX('Lorri 401b'!L:L,MATCH('Retirement Calculator'!A770,'Lorri 401b'!N:N,0),0)</f>
        <v>-8918286.5756731257</v>
      </c>
      <c r="S770" s="25">
        <f t="shared" ca="1" si="527"/>
        <v>-14035235.460925948</v>
      </c>
    </row>
    <row r="771" spans="1:19" ht="15.75" customHeight="1" x14ac:dyDescent="0.3">
      <c r="A771" s="37">
        <v>74419</v>
      </c>
      <c r="B771" s="398">
        <f t="shared" ref="B771:C771" si="777">($A771-B$9)/365.25</f>
        <v>121.86995208761122</v>
      </c>
      <c r="C771" s="398">
        <f t="shared" si="777"/>
        <v>117.25941136208077</v>
      </c>
      <c r="E771" s="25">
        <f>IF(C771&gt;$B$7,0,'Combined Retirement'!$D$13/12)</f>
        <v>0</v>
      </c>
      <c r="F771" s="25">
        <f>IF(H771=0,'Combined Retirement'!$D$32,0)+'Combined Retirement'!$B$24</f>
        <v>2870.372285649099</v>
      </c>
      <c r="G771" s="25">
        <f>'Combined Retirement'!$C$24</f>
        <v>3254.2644699519233</v>
      </c>
      <c r="H771" s="25">
        <f>IF(B771&lt;62,0,'Combined Retirement'!$I$14)</f>
        <v>2345</v>
      </c>
      <c r="I771" s="25">
        <f>IF(C771&lt;62,0,'Combined Retirement'!$I$13)</f>
        <v>2420</v>
      </c>
      <c r="J771" s="25">
        <f t="shared" si="523"/>
        <v>8395.6297298201844</v>
      </c>
      <c r="K771" s="25">
        <f t="shared" si="524"/>
        <v>21655.303514578787</v>
      </c>
      <c r="L771" s="25"/>
      <c r="N771" s="25">
        <f>'Combined Retirement'!$C$18/12</f>
        <v>40940.569999999992</v>
      </c>
      <c r="O771" s="25">
        <f t="shared" si="525"/>
        <v>10889.636755601023</v>
      </c>
      <c r="P771" s="25">
        <f t="shared" si="526"/>
        <v>30050.93324439897</v>
      </c>
      <c r="Q771" s="25">
        <f t="array" aca="1" ref="Q771" ca="1">INDEX('Isaac 401k'!L:L,MATCH('Retirement Calculator'!A771,'Isaac 401k'!N:N,0),0)</f>
        <v>-5146700.1171284029</v>
      </c>
      <c r="R771" s="25">
        <f t="array" aca="1" ref="R771" ca="1">INDEX('Lorri 401b'!L:L,MATCH('Retirement Calculator'!A771,'Lorri 401b'!N:N,0),0)</f>
        <v>-8977191.6370176543</v>
      </c>
      <c r="S771" s="25">
        <f t="shared" ca="1" si="527"/>
        <v>-14123891.754146058</v>
      </c>
    </row>
    <row r="772" spans="1:19" ht="15.75" customHeight="1" x14ac:dyDescent="0.3">
      <c r="A772" s="37">
        <v>74450</v>
      </c>
      <c r="B772" s="398">
        <f t="shared" ref="B772:C772" si="778">($A772-B$9)/365.25</f>
        <v>121.95482546201232</v>
      </c>
      <c r="C772" s="398">
        <f t="shared" si="778"/>
        <v>117.34428473648187</v>
      </c>
      <c r="E772" s="25">
        <f>IF(C772&gt;$B$7,0,'Combined Retirement'!$D$13/12)</f>
        <v>0</v>
      </c>
      <c r="F772" s="25">
        <f>IF(H772=0,'Combined Retirement'!$D$32,0)+'Combined Retirement'!$B$24</f>
        <v>2870.372285649099</v>
      </c>
      <c r="G772" s="25">
        <f>'Combined Retirement'!$C$24</f>
        <v>3254.2644699519233</v>
      </c>
      <c r="H772" s="25">
        <f>IF(B772&lt;62,0,'Combined Retirement'!$I$14)</f>
        <v>2345</v>
      </c>
      <c r="I772" s="25">
        <f>IF(C772&lt;62,0,'Combined Retirement'!$I$13)</f>
        <v>2420</v>
      </c>
      <c r="J772" s="25">
        <f t="shared" si="523"/>
        <v>8395.6297298201844</v>
      </c>
      <c r="K772" s="25">
        <f t="shared" si="524"/>
        <v>21655.303514578787</v>
      </c>
      <c r="L772" s="25"/>
      <c r="N772" s="25">
        <f>'Combined Retirement'!$C$18/12</f>
        <v>40940.569999999992</v>
      </c>
      <c r="O772" s="25">
        <f t="shared" si="525"/>
        <v>10889.636755601023</v>
      </c>
      <c r="P772" s="25">
        <f t="shared" si="526"/>
        <v>30050.93324439897</v>
      </c>
      <c r="Q772" s="25">
        <f t="array" aca="1" ref="Q772" ca="1">INDEX('Isaac 401k'!L:L,MATCH('Retirement Calculator'!A772,'Isaac 401k'!N:N,0),0)</f>
        <v>-5176575.3124701325</v>
      </c>
      <c r="R772" s="25">
        <f t="array" aca="1" ref="R772" ca="1">INDEX('Lorri 401b'!L:L,MATCH('Retirement Calculator'!A772,'Lorri 401b'!N:N,0),0)</f>
        <v>-9036342.1361177843</v>
      </c>
      <c r="S772" s="25">
        <f t="shared" ca="1" si="527"/>
        <v>-14212917.448587917</v>
      </c>
    </row>
    <row r="773" spans="1:19" ht="15.75" customHeight="1" x14ac:dyDescent="0.3">
      <c r="A773" s="37">
        <v>74480</v>
      </c>
      <c r="B773" s="398">
        <f t="shared" ref="B773:C773" si="779">($A773-B$9)/365.25</f>
        <v>122.03696098562628</v>
      </c>
      <c r="C773" s="398">
        <f t="shared" si="779"/>
        <v>117.42642026009582</v>
      </c>
      <c r="E773" s="25">
        <f>IF(C773&gt;$B$7,0,'Combined Retirement'!$D$13/12)</f>
        <v>0</v>
      </c>
      <c r="F773" s="25">
        <f>IF(H773=0,'Combined Retirement'!$D$32,0)+'Combined Retirement'!$B$24</f>
        <v>2870.372285649099</v>
      </c>
      <c r="G773" s="25">
        <f>'Combined Retirement'!$C$24</f>
        <v>3254.2644699519233</v>
      </c>
      <c r="H773" s="25">
        <f>IF(B773&lt;62,0,'Combined Retirement'!$I$14)</f>
        <v>2345</v>
      </c>
      <c r="I773" s="25">
        <f>IF(C773&lt;62,0,'Combined Retirement'!$I$13)</f>
        <v>2420</v>
      </c>
      <c r="J773" s="25">
        <f t="shared" si="523"/>
        <v>8395.6297298201844</v>
      </c>
      <c r="K773" s="25">
        <f t="shared" si="524"/>
        <v>21655.303514578787</v>
      </c>
      <c r="L773" s="25"/>
      <c r="N773" s="25">
        <f>'Combined Retirement'!$C$18/12</f>
        <v>40940.569999999992</v>
      </c>
      <c r="O773" s="25">
        <f t="shared" si="525"/>
        <v>10889.636755601023</v>
      </c>
      <c r="P773" s="25">
        <f t="shared" si="526"/>
        <v>30050.93324439897</v>
      </c>
      <c r="Q773" s="25">
        <f t="array" aca="1" ref="Q773" ca="1">INDEX('Isaac 401k'!L:L,MATCH('Retirement Calculator'!A773,'Isaac 401k'!N:N,0),0)</f>
        <v>-5206574.9877924528</v>
      </c>
      <c r="R773" s="25">
        <f t="array" aca="1" ref="R773" ca="1">INDEX('Lorri 401b'!L:L,MATCH('Retirement Calculator'!A773,'Lorri 401b'!N:N,0),0)</f>
        <v>-9095739.095630832</v>
      </c>
      <c r="S773" s="25">
        <f t="shared" ca="1" si="527"/>
        <v>-14302314.083423285</v>
      </c>
    </row>
    <row r="774" spans="1:19" ht="15.75" customHeight="1" x14ac:dyDescent="0.3">
      <c r="A774" s="37">
        <v>74511</v>
      </c>
      <c r="B774" s="398">
        <f t="shared" ref="B774:C774" si="780">($A774-B$9)/365.25</f>
        <v>122.12183436002738</v>
      </c>
      <c r="C774" s="398">
        <f t="shared" si="780"/>
        <v>117.51129363449692</v>
      </c>
      <c r="E774" s="25">
        <f>IF(C774&gt;$B$7,0,'Combined Retirement'!$D$13/12)</f>
        <v>0</v>
      </c>
      <c r="F774" s="25">
        <f>IF(H774=0,'Combined Retirement'!$D$32,0)+'Combined Retirement'!$B$24</f>
        <v>2870.372285649099</v>
      </c>
      <c r="G774" s="25">
        <f>'Combined Retirement'!$C$24</f>
        <v>3254.2644699519233</v>
      </c>
      <c r="H774" s="25">
        <f>IF(B774&lt;62,0,'Combined Retirement'!$I$14)</f>
        <v>2345</v>
      </c>
      <c r="I774" s="25">
        <f>IF(C774&lt;62,0,'Combined Retirement'!$I$13)</f>
        <v>2420</v>
      </c>
      <c r="J774" s="25">
        <f t="shared" si="523"/>
        <v>8395.6297298201844</v>
      </c>
      <c r="K774" s="25">
        <f t="shared" si="524"/>
        <v>21655.303514578787</v>
      </c>
      <c r="L774" s="25"/>
      <c r="N774" s="25">
        <f>'Combined Retirement'!$C$18/12</f>
        <v>40940.569999999992</v>
      </c>
      <c r="O774" s="25">
        <f t="shared" si="525"/>
        <v>10889.636755601023</v>
      </c>
      <c r="P774" s="25">
        <f t="shared" si="526"/>
        <v>30050.93324439897</v>
      </c>
      <c r="Q774" s="25">
        <f t="array" aca="1" ref="Q774" ca="1">INDEX('Isaac 401k'!L:L,MATCH('Retirement Calculator'!A774,'Isaac 401k'!N:N,0),0)</f>
        <v>-5236699.6617619498</v>
      </c>
      <c r="R774" s="25">
        <f t="array" aca="1" ref="R774" ca="1">INDEX('Lorri 401b'!L:L,MATCH('Retirement Calculator'!A774,'Lorri 401b'!N:N,0),0)</f>
        <v>-9155383.5424751844</v>
      </c>
      <c r="S774" s="25">
        <f t="shared" ca="1" si="527"/>
        <v>-14392083.204237133</v>
      </c>
    </row>
    <row r="775" spans="1:19" ht="15.75" customHeight="1" x14ac:dyDescent="0.3">
      <c r="A775" s="37">
        <v>74542</v>
      </c>
      <c r="B775" s="398">
        <f t="shared" ref="B775:C775" si="781">($A775-B$9)/365.25</f>
        <v>122.20670773442848</v>
      </c>
      <c r="C775" s="398">
        <f t="shared" si="781"/>
        <v>117.59616700889802</v>
      </c>
      <c r="E775" s="25">
        <f>IF(C775&gt;$B$7,0,'Combined Retirement'!$D$13/12)</f>
        <v>0</v>
      </c>
      <c r="F775" s="25">
        <f>IF(H775=0,'Combined Retirement'!$D$32,0)+'Combined Retirement'!$B$24</f>
        <v>2870.372285649099</v>
      </c>
      <c r="G775" s="25">
        <f>'Combined Retirement'!$C$24</f>
        <v>3254.2644699519233</v>
      </c>
      <c r="H775" s="25">
        <f>IF(B775&lt;62,0,'Combined Retirement'!$I$14)</f>
        <v>2345</v>
      </c>
      <c r="I775" s="25">
        <f>IF(C775&lt;62,0,'Combined Retirement'!$I$13)</f>
        <v>2420</v>
      </c>
      <c r="J775" s="25">
        <f t="shared" si="523"/>
        <v>8395.6297298201844</v>
      </c>
      <c r="K775" s="25">
        <f t="shared" si="524"/>
        <v>21655.303514578787</v>
      </c>
      <c r="L775" s="25"/>
      <c r="N775" s="25">
        <f>'Combined Retirement'!$C$18/12</f>
        <v>40940.569999999992</v>
      </c>
      <c r="O775" s="25">
        <f t="shared" si="525"/>
        <v>10889.636755601023</v>
      </c>
      <c r="P775" s="25">
        <f t="shared" si="526"/>
        <v>30050.93324439897</v>
      </c>
      <c r="Q775" s="25">
        <f t="array" aca="1" ref="Q775" ca="1">INDEX('Isaac 401k'!L:L,MATCH('Retirement Calculator'!A775,'Isaac 401k'!N:N,0),0)</f>
        <v>-5266949.8552063191</v>
      </c>
      <c r="R775" s="25">
        <f t="array" aca="1" ref="R775" ca="1">INDEX('Lorri 401b'!L:L,MATCH('Retirement Calculator'!A775,'Lorri 401b'!N:N,0),0)</f>
        <v>-9215276.5078480542</v>
      </c>
      <c r="S775" s="25">
        <f t="shared" ca="1" si="527"/>
        <v>-14482226.363054372</v>
      </c>
    </row>
    <row r="776" spans="1:19" ht="15.75" customHeight="1" x14ac:dyDescent="0.3">
      <c r="A776" s="37">
        <v>74571</v>
      </c>
      <c r="B776" s="398">
        <f t="shared" ref="B776:C776" si="782">($A776-B$9)/365.25</f>
        <v>122.28610540725531</v>
      </c>
      <c r="C776" s="398">
        <f t="shared" si="782"/>
        <v>117.67556468172485</v>
      </c>
      <c r="E776" s="25">
        <f>IF(C776&gt;$B$7,0,'Combined Retirement'!$D$13/12)</f>
        <v>0</v>
      </c>
      <c r="F776" s="25">
        <f>IF(H776=0,'Combined Retirement'!$D$32,0)+'Combined Retirement'!$B$24</f>
        <v>2870.372285649099</v>
      </c>
      <c r="G776" s="25">
        <f>'Combined Retirement'!$C$24</f>
        <v>3254.2644699519233</v>
      </c>
      <c r="H776" s="25">
        <f>IF(B776&lt;62,0,'Combined Retirement'!$I$14)</f>
        <v>2345</v>
      </c>
      <c r="I776" s="25">
        <f>IF(C776&lt;62,0,'Combined Retirement'!$I$13)</f>
        <v>2420</v>
      </c>
      <c r="J776" s="25">
        <f t="shared" ref="J776:J1030" si="783">IF(C776&lt;59.5,P776,P776*$J$7)</f>
        <v>8395.6297298201844</v>
      </c>
      <c r="K776" s="25">
        <f t="shared" ref="K776:K1030" si="784">IF(C776&lt;59.5,0,IF(C776&lt;$B$7,0,P776*$K$7))</f>
        <v>21655.303514578787</v>
      </c>
      <c r="L776" s="25"/>
      <c r="N776" s="25">
        <f>'Combined Retirement'!$C$18/12</f>
        <v>40940.569999999992</v>
      </c>
      <c r="O776" s="25">
        <f t="shared" ref="O776:O1030" si="785">SUM(E776:I776)</f>
        <v>10889.636755601023</v>
      </c>
      <c r="P776" s="25">
        <f t="shared" ref="P776:P1030" si="786">N776-O776</f>
        <v>30050.93324439897</v>
      </c>
      <c r="Q776" s="25">
        <f t="array" aca="1" ref="Q776" ca="1">INDEX('Isaac 401k'!L:L,MATCH('Retirement Calculator'!A776,'Isaac 401k'!N:N,0),0)</f>
        <v>-5297326.0911233732</v>
      </c>
      <c r="R776" s="25">
        <f t="array" aca="1" ref="R776" ca="1">INDEX('Lorri 401b'!L:L,MATCH('Retirement Calculator'!A776,'Lorri 401b'!N:N,0),0)</f>
        <v>-9275419.0272433106</v>
      </c>
      <c r="S776" s="25">
        <f t="shared" ref="S776:S1030" ca="1" si="787">SUM(Q776:R776)</f>
        <v>-14572745.118366685</v>
      </c>
    </row>
    <row r="777" spans="1:19" ht="15.75" customHeight="1" x14ac:dyDescent="0.3">
      <c r="A777" s="37">
        <v>74602</v>
      </c>
      <c r="B777" s="398">
        <f t="shared" ref="B777:C777" si="788">($A777-B$9)/365.25</f>
        <v>122.3709787816564</v>
      </c>
      <c r="C777" s="398">
        <f t="shared" si="788"/>
        <v>117.76043805612593</v>
      </c>
      <c r="E777" s="25">
        <f>IF(C777&gt;$B$7,0,'Combined Retirement'!$D$13/12)</f>
        <v>0</v>
      </c>
      <c r="F777" s="25">
        <f>IF(H777=0,'Combined Retirement'!$D$32,0)+'Combined Retirement'!$B$24</f>
        <v>2870.372285649099</v>
      </c>
      <c r="G777" s="25">
        <f>'Combined Retirement'!$C$24</f>
        <v>3254.2644699519233</v>
      </c>
      <c r="H777" s="25">
        <f>IF(B777&lt;62,0,'Combined Retirement'!$I$14)</f>
        <v>2345</v>
      </c>
      <c r="I777" s="25">
        <f>IF(C777&lt;62,0,'Combined Retirement'!$I$13)</f>
        <v>2420</v>
      </c>
      <c r="J777" s="25">
        <f t="shared" si="783"/>
        <v>8395.6297298201844</v>
      </c>
      <c r="K777" s="25">
        <f t="shared" si="784"/>
        <v>21655.303514578787</v>
      </c>
      <c r="L777" s="25"/>
      <c r="N777" s="25">
        <f>'Combined Retirement'!$C$18/12</f>
        <v>40940.569999999992</v>
      </c>
      <c r="O777" s="25">
        <f t="shared" si="785"/>
        <v>10889.636755601023</v>
      </c>
      <c r="P777" s="25">
        <f t="shared" si="786"/>
        <v>30050.93324439897</v>
      </c>
      <c r="Q777" s="25">
        <f t="array" aca="1" ref="Q777" ca="1">INDEX('Isaac 401k'!L:L,MATCH('Retirement Calculator'!A777,'Isaac 401k'!N:N,0),0)</f>
        <v>-5327828.8946900824</v>
      </c>
      <c r="R777" s="25">
        <f t="array" aca="1" ref="R777" ca="1">INDEX('Lorri 401b'!L:L,MATCH('Retirement Calculator'!A777,'Lorri 401b'!N:N,0),0)</f>
        <v>-9335812.1404693816</v>
      </c>
      <c r="S777" s="25">
        <f t="shared" ca="1" si="787"/>
        <v>-14663641.035159465</v>
      </c>
    </row>
    <row r="778" spans="1:19" ht="15.75" customHeight="1" x14ac:dyDescent="0.3">
      <c r="A778" s="37">
        <v>74632</v>
      </c>
      <c r="B778" s="398">
        <f t="shared" ref="B778:C778" si="789">($A778-B$9)/365.25</f>
        <v>122.45311430527036</v>
      </c>
      <c r="C778" s="398">
        <f t="shared" si="789"/>
        <v>117.84257357973991</v>
      </c>
      <c r="E778" s="25">
        <f>IF(C778&gt;$B$7,0,'Combined Retirement'!$D$13/12)</f>
        <v>0</v>
      </c>
      <c r="F778" s="25">
        <f>IF(H778=0,'Combined Retirement'!$D$32,0)+'Combined Retirement'!$B$24</f>
        <v>2870.372285649099</v>
      </c>
      <c r="G778" s="25">
        <f>'Combined Retirement'!$C$24</f>
        <v>3254.2644699519233</v>
      </c>
      <c r="H778" s="25">
        <f>IF(B778&lt;62,0,'Combined Retirement'!$I$14)</f>
        <v>2345</v>
      </c>
      <c r="I778" s="25">
        <f>IF(C778&lt;62,0,'Combined Retirement'!$I$13)</f>
        <v>2420</v>
      </c>
      <c r="J778" s="25">
        <f t="shared" si="783"/>
        <v>8395.6297298201844</v>
      </c>
      <c r="K778" s="25">
        <f t="shared" si="784"/>
        <v>21655.303514578787</v>
      </c>
      <c r="L778" s="25"/>
      <c r="N778" s="25">
        <f>'Combined Retirement'!$C$18/12</f>
        <v>40940.569999999992</v>
      </c>
      <c r="O778" s="25">
        <f t="shared" si="785"/>
        <v>10889.636755601023</v>
      </c>
      <c r="P778" s="25">
        <f t="shared" si="786"/>
        <v>30050.93324439897</v>
      </c>
      <c r="Q778" s="25">
        <f t="array" aca="1" ref="Q778" ca="1">INDEX('Isaac 401k'!L:L,MATCH('Retirement Calculator'!A778,'Isaac 401k'!N:N,0),0)</f>
        <v>-5358458.7932716524</v>
      </c>
      <c r="R778" s="25">
        <f t="array" aca="1" ref="R778" ca="1">INDEX('Lorri 401b'!L:L,MATCH('Retirement Calculator'!A778,'Lorri 401b'!N:N,0),0)</f>
        <v>-9396456.8916672282</v>
      </c>
      <c r="S778" s="25">
        <f t="shared" ca="1" si="787"/>
        <v>-14754915.684938882</v>
      </c>
    </row>
    <row r="779" spans="1:19" ht="15.75" customHeight="1" x14ac:dyDescent="0.3">
      <c r="A779" s="37">
        <v>74663</v>
      </c>
      <c r="B779" s="398">
        <f t="shared" ref="B779:C779" si="790">($A779-B$9)/365.25</f>
        <v>122.53798767967146</v>
      </c>
      <c r="C779" s="398">
        <f t="shared" si="790"/>
        <v>117.927446954141</v>
      </c>
      <c r="E779" s="25">
        <f>IF(C779&gt;$B$7,0,'Combined Retirement'!$D$13/12)</f>
        <v>0</v>
      </c>
      <c r="F779" s="25">
        <f>IF(H779=0,'Combined Retirement'!$D$32,0)+'Combined Retirement'!$B$24</f>
        <v>2870.372285649099</v>
      </c>
      <c r="G779" s="25">
        <f>'Combined Retirement'!$C$24</f>
        <v>3254.2644699519233</v>
      </c>
      <c r="H779" s="25">
        <f>IF(B779&lt;62,0,'Combined Retirement'!$I$14)</f>
        <v>2345</v>
      </c>
      <c r="I779" s="25">
        <f>IF(C779&lt;62,0,'Combined Retirement'!$I$13)</f>
        <v>2420</v>
      </c>
      <c r="J779" s="25">
        <f t="shared" si="783"/>
        <v>8395.6297298201844</v>
      </c>
      <c r="K779" s="25">
        <f t="shared" si="784"/>
        <v>21655.303514578787</v>
      </c>
      <c r="L779" s="25"/>
      <c r="N779" s="25">
        <f>'Combined Retirement'!$C$18/12</f>
        <v>40940.569999999992</v>
      </c>
      <c r="O779" s="25">
        <f t="shared" si="785"/>
        <v>10889.636755601023</v>
      </c>
      <c r="P779" s="25">
        <f t="shared" si="786"/>
        <v>30050.93324439897</v>
      </c>
      <c r="Q779" s="25">
        <f t="array" aca="1" ref="Q779" ca="1">INDEX('Isaac 401k'!L:L,MATCH('Retirement Calculator'!A779,'Isaac 401k'!N:N,0),0)</f>
        <v>-5389216.316430646</v>
      </c>
      <c r="R779" s="25">
        <f t="array" aca="1" ref="R779" ca="1">INDEX('Lorri 401b'!L:L,MATCH('Retirement Calculator'!A779,'Lorri 401b'!N:N,0),0)</f>
        <v>-9457354.3293283992</v>
      </c>
      <c r="S779" s="25">
        <f t="shared" ca="1" si="787"/>
        <v>-14846570.645759046</v>
      </c>
    </row>
    <row r="780" spans="1:19" ht="15.75" customHeight="1" x14ac:dyDescent="0.3">
      <c r="A780" s="37">
        <v>74693</v>
      </c>
      <c r="B780" s="398">
        <f t="shared" ref="B780:C780" si="791">($A780-B$9)/365.25</f>
        <v>122.62012320328542</v>
      </c>
      <c r="C780" s="398">
        <f t="shared" si="791"/>
        <v>118.00958247775496</v>
      </c>
      <c r="E780" s="25">
        <f>IF(C780&gt;$B$7,0,'Combined Retirement'!$D$13/12)</f>
        <v>0</v>
      </c>
      <c r="F780" s="25">
        <f>IF(H780=0,'Combined Retirement'!$D$32,0)+'Combined Retirement'!$B$24</f>
        <v>2870.372285649099</v>
      </c>
      <c r="G780" s="25">
        <f>'Combined Retirement'!$C$24</f>
        <v>3254.2644699519233</v>
      </c>
      <c r="H780" s="25">
        <f>IF(B780&lt;62,0,'Combined Retirement'!$I$14)</f>
        <v>2345</v>
      </c>
      <c r="I780" s="25">
        <f>IF(C780&lt;62,0,'Combined Retirement'!$I$13)</f>
        <v>2420</v>
      </c>
      <c r="J780" s="25">
        <f t="shared" si="783"/>
        <v>8395.6297298201844</v>
      </c>
      <c r="K780" s="25">
        <f t="shared" si="784"/>
        <v>21655.303514578787</v>
      </c>
      <c r="L780" s="25"/>
      <c r="N780" s="25">
        <f>'Combined Retirement'!$C$18/12</f>
        <v>40940.569999999992</v>
      </c>
      <c r="O780" s="25">
        <f t="shared" si="785"/>
        <v>10889.636755601023</v>
      </c>
      <c r="P780" s="25">
        <f t="shared" si="786"/>
        <v>30050.93324439897</v>
      </c>
      <c r="Q780" s="25">
        <f t="array" aca="1" ref="Q780" ca="1">INDEX('Isaac 401k'!L:L,MATCH('Retirement Calculator'!A780,'Isaac 401k'!N:N,0),0)</f>
        <v>-5420101.9959361348</v>
      </c>
      <c r="R780" s="25">
        <f t="array" aca="1" ref="R780" ca="1">INDEX('Lorri 401b'!L:L,MATCH('Retirement Calculator'!A780,'Lorri 401b'!N:N,0),0)</f>
        <v>-9518505.5063131582</v>
      </c>
      <c r="S780" s="25">
        <f t="shared" ca="1" si="787"/>
        <v>-14938607.502249293</v>
      </c>
    </row>
    <row r="781" spans="1:19" ht="15.75" customHeight="1" x14ac:dyDescent="0.3">
      <c r="A781" s="37">
        <v>74724</v>
      </c>
      <c r="B781" s="398">
        <f t="shared" ref="B781:C781" si="792">($A781-B$9)/365.25</f>
        <v>122.70499657768652</v>
      </c>
      <c r="C781" s="398">
        <f t="shared" si="792"/>
        <v>118.09445585215606</v>
      </c>
      <c r="E781" s="25">
        <f>IF(C781&gt;$B$7,0,'Combined Retirement'!$D$13/12)</f>
        <v>0</v>
      </c>
      <c r="F781" s="25">
        <f>IF(H781=0,'Combined Retirement'!$D$32,0)+'Combined Retirement'!$B$24</f>
        <v>2870.372285649099</v>
      </c>
      <c r="G781" s="25">
        <f>'Combined Retirement'!$C$24</f>
        <v>3254.2644699519233</v>
      </c>
      <c r="H781" s="25">
        <f>IF(B781&lt;62,0,'Combined Retirement'!$I$14)</f>
        <v>2345</v>
      </c>
      <c r="I781" s="25">
        <f>IF(C781&lt;62,0,'Combined Retirement'!$I$13)</f>
        <v>2420</v>
      </c>
      <c r="J781" s="25">
        <f t="shared" si="783"/>
        <v>8395.6297298201844</v>
      </c>
      <c r="K781" s="25">
        <f t="shared" si="784"/>
        <v>21655.303514578787</v>
      </c>
      <c r="L781" s="25"/>
      <c r="N781" s="25">
        <f>'Combined Retirement'!$C$18/12</f>
        <v>40940.569999999992</v>
      </c>
      <c r="O781" s="25">
        <f t="shared" si="785"/>
        <v>10889.636755601023</v>
      </c>
      <c r="P781" s="25">
        <f t="shared" si="786"/>
        <v>30050.93324439897</v>
      </c>
      <c r="Q781" s="25">
        <f t="array" aca="1" ref="Q781" ca="1">INDEX('Isaac 401k'!L:L,MATCH('Retirement Calculator'!A781,'Isaac 401k'!N:N,0),0)</f>
        <v>-5451116.3657728964</v>
      </c>
      <c r="R781" s="25">
        <f t="array" aca="1" ref="R781" ca="1">INDEX('Lorri 401b'!L:L,MATCH('Retirement Calculator'!A781,'Lorri 401b'!N:N,0),0)</f>
        <v>-9579911.4798686858</v>
      </c>
      <c r="S781" s="25">
        <f t="shared" ca="1" si="787"/>
        <v>-15031027.845641583</v>
      </c>
    </row>
    <row r="782" spans="1:19" ht="15.75" customHeight="1" x14ac:dyDescent="0.3">
      <c r="A782" s="37">
        <v>74755</v>
      </c>
      <c r="B782" s="398">
        <f t="shared" ref="B782:C782" si="793">($A782-B$9)/365.25</f>
        <v>122.78986995208761</v>
      </c>
      <c r="C782" s="398">
        <f t="shared" si="793"/>
        <v>118.17932922655716</v>
      </c>
      <c r="E782" s="25">
        <f>IF(C782&gt;$B$7,0,'Combined Retirement'!$D$13/12)</f>
        <v>0</v>
      </c>
      <c r="F782" s="25">
        <f>IF(H782=0,'Combined Retirement'!$D$32,0)+'Combined Retirement'!$B$24</f>
        <v>2870.372285649099</v>
      </c>
      <c r="G782" s="25">
        <f>'Combined Retirement'!$C$24</f>
        <v>3254.2644699519233</v>
      </c>
      <c r="H782" s="25">
        <f>IF(B782&lt;62,0,'Combined Retirement'!$I$14)</f>
        <v>2345</v>
      </c>
      <c r="I782" s="25">
        <f>IF(C782&lt;62,0,'Combined Retirement'!$I$13)</f>
        <v>2420</v>
      </c>
      <c r="J782" s="25">
        <f t="shared" si="783"/>
        <v>8395.6297298201844</v>
      </c>
      <c r="K782" s="25">
        <f t="shared" si="784"/>
        <v>21655.303514578787</v>
      </c>
      <c r="L782" s="25"/>
      <c r="N782" s="25">
        <f>'Combined Retirement'!$C$18/12</f>
        <v>40940.569999999992</v>
      </c>
      <c r="O782" s="25">
        <f t="shared" si="785"/>
        <v>10889.636755601023</v>
      </c>
      <c r="P782" s="25">
        <f t="shared" si="786"/>
        <v>30050.93324439897</v>
      </c>
      <c r="Q782" s="25">
        <f t="array" aca="1" ref="Q782" ca="1">INDEX('Isaac 401k'!L:L,MATCH('Retirement Calculator'!A782,'Isaac 401k'!N:N,0),0)</f>
        <v>-5482259.9621506445</v>
      </c>
      <c r="R782" s="25">
        <f t="array" aca="1" ref="R782" ca="1">INDEX('Lorri 401b'!L:L,MATCH('Retirement Calculator'!A782,'Lorri 401b'!N:N,0),0)</f>
        <v>-9641573.311647363</v>
      </c>
      <c r="S782" s="25">
        <f t="shared" ca="1" si="787"/>
        <v>-15123833.273798008</v>
      </c>
    </row>
    <row r="783" spans="1:19" ht="15.75" customHeight="1" x14ac:dyDescent="0.3">
      <c r="A783" s="37">
        <v>74785</v>
      </c>
      <c r="B783" s="398">
        <f t="shared" ref="B783:C783" si="794">($A783-B$9)/365.25</f>
        <v>122.87200547570157</v>
      </c>
      <c r="C783" s="398">
        <f t="shared" si="794"/>
        <v>118.26146475017111</v>
      </c>
      <c r="E783" s="25">
        <f>IF(C783&gt;$B$7,0,'Combined Retirement'!$D$13/12)</f>
        <v>0</v>
      </c>
      <c r="F783" s="25">
        <f>IF(H783=0,'Combined Retirement'!$D$32,0)+'Combined Retirement'!$B$24</f>
        <v>2870.372285649099</v>
      </c>
      <c r="G783" s="25">
        <f>'Combined Retirement'!$C$24</f>
        <v>3254.2644699519233</v>
      </c>
      <c r="H783" s="25">
        <f>IF(B783&lt;62,0,'Combined Retirement'!$I$14)</f>
        <v>2345</v>
      </c>
      <c r="I783" s="25">
        <f>IF(C783&lt;62,0,'Combined Retirement'!$I$13)</f>
        <v>2420</v>
      </c>
      <c r="J783" s="25">
        <f t="shared" si="783"/>
        <v>8395.6297298201844</v>
      </c>
      <c r="K783" s="25">
        <f t="shared" si="784"/>
        <v>21655.303514578787</v>
      </c>
      <c r="L783" s="25"/>
      <c r="N783" s="25">
        <f>'Combined Retirement'!$C$18/12</f>
        <v>40940.569999999992</v>
      </c>
      <c r="O783" s="25">
        <f t="shared" si="785"/>
        <v>10889.636755601023</v>
      </c>
      <c r="P783" s="25">
        <f t="shared" si="786"/>
        <v>30050.93324439897</v>
      </c>
      <c r="Q783" s="25">
        <f t="array" aca="1" ref="Q783" ca="1">INDEX('Isaac 401k'!L:L,MATCH('Retirement Calculator'!A783,'Isaac 401k'!N:N,0),0)</f>
        <v>-5513533.3235133002</v>
      </c>
      <c r="R783" s="25">
        <f t="array" aca="1" ref="R783" ca="1">INDEX('Lorri 401b'!L:L,MATCH('Retirement Calculator'!A783,'Lorri 401b'!N:N,0),0)</f>
        <v>-9703492.0677251164</v>
      </c>
      <c r="S783" s="25">
        <f t="shared" ca="1" si="787"/>
        <v>-15217025.391238417</v>
      </c>
    </row>
    <row r="784" spans="1:19" ht="15.75" customHeight="1" x14ac:dyDescent="0.3">
      <c r="A784" s="37">
        <v>74816</v>
      </c>
      <c r="B784" s="398">
        <f t="shared" ref="B784:C784" si="795">($A784-B$9)/365.25</f>
        <v>122.95687885010267</v>
      </c>
      <c r="C784" s="398">
        <f t="shared" si="795"/>
        <v>118.34633812457221</v>
      </c>
      <c r="E784" s="25">
        <f>IF(C784&gt;$B$7,0,'Combined Retirement'!$D$13/12)</f>
        <v>0</v>
      </c>
      <c r="F784" s="25">
        <f>IF(H784=0,'Combined Retirement'!$D$32,0)+'Combined Retirement'!$B$24</f>
        <v>2870.372285649099</v>
      </c>
      <c r="G784" s="25">
        <f>'Combined Retirement'!$C$24</f>
        <v>3254.2644699519233</v>
      </c>
      <c r="H784" s="25">
        <f>IF(B784&lt;62,0,'Combined Retirement'!$I$14)</f>
        <v>2345</v>
      </c>
      <c r="I784" s="25">
        <f>IF(C784&lt;62,0,'Combined Retirement'!$I$13)</f>
        <v>2420</v>
      </c>
      <c r="J784" s="25">
        <f t="shared" si="783"/>
        <v>8395.6297298201844</v>
      </c>
      <c r="K784" s="25">
        <f t="shared" si="784"/>
        <v>21655.303514578787</v>
      </c>
      <c r="L784" s="25"/>
      <c r="N784" s="25">
        <f>'Combined Retirement'!$C$18/12</f>
        <v>40940.569999999992</v>
      </c>
      <c r="O784" s="25">
        <f t="shared" si="785"/>
        <v>10889.636755601023</v>
      </c>
      <c r="P784" s="25">
        <f t="shared" si="786"/>
        <v>30050.93324439897</v>
      </c>
      <c r="Q784" s="25">
        <f t="array" aca="1" ref="Q784" ca="1">INDEX('Isaac 401k'!L:L,MATCH('Retirement Calculator'!A784,'Isaac 401k'!N:N,0),0)</f>
        <v>-5544936.9905483006</v>
      </c>
      <c r="R784" s="25">
        <f t="array" aca="1" ref="R784" ca="1">INDEX('Lorri 401b'!L:L,MATCH('Retirement Calculator'!A784,'Lorri 401b'!N:N,0),0)</f>
        <v>-9765668.8186198603</v>
      </c>
      <c r="S784" s="25">
        <f t="shared" ca="1" si="787"/>
        <v>-15310605.80916816</v>
      </c>
    </row>
    <row r="785" spans="1:19" ht="15.75" customHeight="1" x14ac:dyDescent="0.3">
      <c r="A785" s="37">
        <v>74846</v>
      </c>
      <c r="B785" s="398">
        <f t="shared" ref="B785:C785" si="796">($A785-B$9)/365.25</f>
        <v>123.03901437371663</v>
      </c>
      <c r="C785" s="398">
        <f t="shared" si="796"/>
        <v>118.42847364818617</v>
      </c>
      <c r="E785" s="25">
        <f>IF(C785&gt;$B$7,0,'Combined Retirement'!$D$13/12)</f>
        <v>0</v>
      </c>
      <c r="F785" s="25">
        <f>IF(H785=0,'Combined Retirement'!$D$32,0)+'Combined Retirement'!$B$24</f>
        <v>2870.372285649099</v>
      </c>
      <c r="G785" s="25">
        <f>'Combined Retirement'!$C$24</f>
        <v>3254.2644699519233</v>
      </c>
      <c r="H785" s="25">
        <f>IF(B785&lt;62,0,'Combined Retirement'!$I$14)</f>
        <v>2345</v>
      </c>
      <c r="I785" s="25">
        <f>IF(C785&lt;62,0,'Combined Retirement'!$I$13)</f>
        <v>2420</v>
      </c>
      <c r="J785" s="25">
        <f t="shared" si="783"/>
        <v>8395.6297298201844</v>
      </c>
      <c r="K785" s="25">
        <f t="shared" si="784"/>
        <v>21655.303514578787</v>
      </c>
      <c r="L785" s="25"/>
      <c r="N785" s="25">
        <f>'Combined Retirement'!$C$18/12</f>
        <v>40940.569999999992</v>
      </c>
      <c r="O785" s="25">
        <f t="shared" si="785"/>
        <v>10889.636755601023</v>
      </c>
      <c r="P785" s="25">
        <f t="shared" si="786"/>
        <v>30050.93324439897</v>
      </c>
      <c r="Q785" s="25">
        <f t="array" aca="1" ref="Q785" ca="1">INDEX('Isaac 401k'!L:L,MATCH('Retirement Calculator'!A785,'Isaac 401k'!N:N,0),0)</f>
        <v>-5576471.5061959466</v>
      </c>
      <c r="R785" s="25">
        <f t="array" aca="1" ref="R785" ca="1">INDEX('Lorri 401b'!L:L,MATCH('Retirement Calculator'!A785,'Lorri 401b'!N:N,0),0)</f>
        <v>-9828104.6393100005</v>
      </c>
      <c r="S785" s="25">
        <f t="shared" ca="1" si="787"/>
        <v>-15404576.145505946</v>
      </c>
    </row>
    <row r="786" spans="1:19" ht="15.75" customHeight="1" x14ac:dyDescent="0.3">
      <c r="A786" s="37">
        <v>74877</v>
      </c>
      <c r="B786" s="398">
        <f t="shared" ref="B786:C786" si="797">($A786-B$9)/365.25</f>
        <v>123.12388774811772</v>
      </c>
      <c r="C786" s="398">
        <f t="shared" si="797"/>
        <v>118.51334702258727</v>
      </c>
      <c r="E786" s="25">
        <f>IF(C786&gt;$B$7,0,'Combined Retirement'!$D$13/12)</f>
        <v>0</v>
      </c>
      <c r="F786" s="25">
        <f>IF(H786=0,'Combined Retirement'!$D$32,0)+'Combined Retirement'!$B$24</f>
        <v>2870.372285649099</v>
      </c>
      <c r="G786" s="25">
        <f>'Combined Retirement'!$C$24</f>
        <v>3254.2644699519233</v>
      </c>
      <c r="H786" s="25">
        <f>IF(B786&lt;62,0,'Combined Retirement'!$I$14)</f>
        <v>2345</v>
      </c>
      <c r="I786" s="25">
        <f>IF(C786&lt;62,0,'Combined Retirement'!$I$13)</f>
        <v>2420</v>
      </c>
      <c r="J786" s="25">
        <f t="shared" si="783"/>
        <v>8395.6297298201844</v>
      </c>
      <c r="K786" s="25">
        <f t="shared" si="784"/>
        <v>21655.303514578787</v>
      </c>
      <c r="L786" s="25"/>
      <c r="N786" s="25">
        <f>'Combined Retirement'!$C$18/12</f>
        <v>40940.569999999992</v>
      </c>
      <c r="O786" s="25">
        <f t="shared" si="785"/>
        <v>10889.636755601023</v>
      </c>
      <c r="P786" s="25">
        <f t="shared" si="786"/>
        <v>30050.93324439897</v>
      </c>
      <c r="Q786" s="25">
        <f t="array" aca="1" ref="Q786" ca="1">INDEX('Isaac 401k'!L:L,MATCH('Retirement Calculator'!A786,'Isaac 401k'!N:N,0),0)</f>
        <v>-5608137.4156587906</v>
      </c>
      <c r="R786" s="25">
        <f t="array" aca="1" ref="R786" ca="1">INDEX('Lorri 401b'!L:L,MATCH('Retirement Calculator'!A786,'Lorri 401b'!N:N,0),0)</f>
        <v>-9890800.6092530154</v>
      </c>
      <c r="S786" s="25">
        <f t="shared" ca="1" si="787"/>
        <v>-15498938.024911806</v>
      </c>
    </row>
    <row r="787" spans="1:19" ht="15.75" customHeight="1" x14ac:dyDescent="0.3">
      <c r="A787" s="37">
        <v>74908</v>
      </c>
      <c r="B787" s="398">
        <f t="shared" ref="B787:C787" si="798">($A787-B$9)/365.25</f>
        <v>123.20876112251882</v>
      </c>
      <c r="C787" s="398">
        <f t="shared" si="798"/>
        <v>118.59822039698837</v>
      </c>
      <c r="E787" s="25">
        <f>IF(C787&gt;$B$7,0,'Combined Retirement'!$D$13/12)</f>
        <v>0</v>
      </c>
      <c r="F787" s="25">
        <f>IF(H787=0,'Combined Retirement'!$D$32,0)+'Combined Retirement'!$B$24</f>
        <v>2870.372285649099</v>
      </c>
      <c r="G787" s="25">
        <f>'Combined Retirement'!$C$24</f>
        <v>3254.2644699519233</v>
      </c>
      <c r="H787" s="25">
        <f>IF(B787&lt;62,0,'Combined Retirement'!$I$14)</f>
        <v>2345</v>
      </c>
      <c r="I787" s="25">
        <f>IF(C787&lt;62,0,'Combined Retirement'!$I$13)</f>
        <v>2420</v>
      </c>
      <c r="J787" s="25">
        <f t="shared" si="783"/>
        <v>8395.6297298201844</v>
      </c>
      <c r="K787" s="25">
        <f t="shared" si="784"/>
        <v>21655.303514578787</v>
      </c>
      <c r="L787" s="25"/>
      <c r="N787" s="25">
        <f>'Combined Retirement'!$C$18/12</f>
        <v>40940.569999999992</v>
      </c>
      <c r="O787" s="25">
        <f t="shared" si="785"/>
        <v>10889.636755601023</v>
      </c>
      <c r="P787" s="25">
        <f t="shared" si="786"/>
        <v>30050.93324439897</v>
      </c>
      <c r="Q787" s="25">
        <f t="array" aca="1" ref="Q787" ca="1">INDEX('Isaac 401k'!L:L,MATCH('Retirement Calculator'!A787,'Isaac 401k'!N:N,0),0)</f>
        <v>-5639935.2664110633</v>
      </c>
      <c r="R787" s="25">
        <f t="array" aca="1" ref="R787" ca="1">INDEX('Lorri 401b'!L:L,MATCH('Retirement Calculator'!A787,'Lorri 401b'!N:N,0),0)</f>
        <v>-9953757.8124041259</v>
      </c>
      <c r="S787" s="25">
        <f t="shared" ca="1" si="787"/>
        <v>-15593693.078815188</v>
      </c>
    </row>
    <row r="788" spans="1:19" ht="15.75" customHeight="1" x14ac:dyDescent="0.3">
      <c r="A788" s="37">
        <v>74936</v>
      </c>
      <c r="B788" s="398">
        <f t="shared" ref="B788:C788" si="799">($A788-B$9)/365.25</f>
        <v>123.28542094455852</v>
      </c>
      <c r="C788" s="398">
        <f t="shared" si="799"/>
        <v>118.67488021902807</v>
      </c>
      <c r="E788" s="25">
        <f>IF(C788&gt;$B$7,0,'Combined Retirement'!$D$13/12)</f>
        <v>0</v>
      </c>
      <c r="F788" s="25">
        <f>IF(H788=0,'Combined Retirement'!$D$32,0)+'Combined Retirement'!$B$24</f>
        <v>2870.372285649099</v>
      </c>
      <c r="G788" s="25">
        <f>'Combined Retirement'!$C$24</f>
        <v>3254.2644699519233</v>
      </c>
      <c r="H788" s="25">
        <f>IF(B788&lt;62,0,'Combined Retirement'!$I$14)</f>
        <v>2345</v>
      </c>
      <c r="I788" s="25">
        <f>IF(C788&lt;62,0,'Combined Retirement'!$I$13)</f>
        <v>2420</v>
      </c>
      <c r="J788" s="25">
        <f t="shared" si="783"/>
        <v>8395.6297298201844</v>
      </c>
      <c r="K788" s="25">
        <f t="shared" si="784"/>
        <v>21655.303514578787</v>
      </c>
      <c r="L788" s="25"/>
      <c r="N788" s="25">
        <f>'Combined Retirement'!$C$18/12</f>
        <v>40940.569999999992</v>
      </c>
      <c r="O788" s="25">
        <f t="shared" si="785"/>
        <v>10889.636755601023</v>
      </c>
      <c r="P788" s="25">
        <f t="shared" si="786"/>
        <v>30050.93324439897</v>
      </c>
      <c r="Q788" s="25">
        <f t="array" aca="1" ref="Q788" ca="1">INDEX('Isaac 401k'!L:L,MATCH('Retirement Calculator'!A788,'Isaac 401k'!N:N,0),0)</f>
        <v>-5671865.6082081376</v>
      </c>
      <c r="R788" s="25">
        <f t="array" aca="1" ref="R788" ca="1">INDEX('Lorri 401b'!L:L,MATCH('Retirement Calculator'!A788,'Lorri 401b'!N:N,0),0)</f>
        <v>-10016977.337235034</v>
      </c>
      <c r="S788" s="25">
        <f t="shared" ca="1" si="787"/>
        <v>-15688842.945443172</v>
      </c>
    </row>
    <row r="789" spans="1:19" ht="15.75" customHeight="1" x14ac:dyDescent="0.3">
      <c r="A789" s="37">
        <v>74967</v>
      </c>
      <c r="B789" s="398">
        <f t="shared" ref="B789:C789" si="800">($A789-B$9)/365.25</f>
        <v>123.37029431895962</v>
      </c>
      <c r="C789" s="398">
        <f t="shared" si="800"/>
        <v>118.75975359342915</v>
      </c>
      <c r="E789" s="25">
        <f>IF(C789&gt;$B$7,0,'Combined Retirement'!$D$13/12)</f>
        <v>0</v>
      </c>
      <c r="F789" s="25">
        <f>IF(H789=0,'Combined Retirement'!$D$32,0)+'Combined Retirement'!$B$24</f>
        <v>2870.372285649099</v>
      </c>
      <c r="G789" s="25">
        <f>'Combined Retirement'!$C$24</f>
        <v>3254.2644699519233</v>
      </c>
      <c r="H789" s="25">
        <f>IF(B789&lt;62,0,'Combined Retirement'!$I$14)</f>
        <v>2345</v>
      </c>
      <c r="I789" s="25">
        <f>IF(C789&lt;62,0,'Combined Retirement'!$I$13)</f>
        <v>2420</v>
      </c>
      <c r="J789" s="25">
        <f t="shared" si="783"/>
        <v>8395.6297298201844</v>
      </c>
      <c r="K789" s="25">
        <f t="shared" si="784"/>
        <v>21655.303514578787</v>
      </c>
      <c r="L789" s="25"/>
      <c r="N789" s="25">
        <f>'Combined Retirement'!$C$18/12</f>
        <v>40940.569999999992</v>
      </c>
      <c r="O789" s="25">
        <f t="shared" si="785"/>
        <v>10889.636755601023</v>
      </c>
      <c r="P789" s="25">
        <f t="shared" si="786"/>
        <v>30050.93324439897</v>
      </c>
      <c r="Q789" s="25">
        <f t="array" aca="1" ref="Q789" ca="1">INDEX('Isaac 401k'!L:L,MATCH('Retirement Calculator'!A789,'Isaac 401k'!N:N,0),0)</f>
        <v>-5703928.9930960331</v>
      </c>
      <c r="R789" s="25">
        <f t="array" aca="1" ref="R789" ca="1">INDEX('Lorri 401b'!L:L,MATCH('Retirement Calculator'!A789,'Lorri 401b'!N:N,0),0)</f>
        <v>-10080460.276752736</v>
      </c>
      <c r="S789" s="25">
        <f t="shared" ca="1" si="787"/>
        <v>-15784389.26984877</v>
      </c>
    </row>
    <row r="790" spans="1:19" ht="15.75" customHeight="1" x14ac:dyDescent="0.3">
      <c r="A790" s="37">
        <v>74997</v>
      </c>
      <c r="B790" s="398">
        <f t="shared" ref="B790:C790" si="801">($A790-B$9)/365.25</f>
        <v>123.45242984257358</v>
      </c>
      <c r="C790" s="398">
        <f t="shared" si="801"/>
        <v>118.84188911704312</v>
      </c>
      <c r="E790" s="25">
        <f>IF(C790&gt;$B$7,0,'Combined Retirement'!$D$13/12)</f>
        <v>0</v>
      </c>
      <c r="F790" s="25">
        <f>IF(H790=0,'Combined Retirement'!$D$32,0)+'Combined Retirement'!$B$24</f>
        <v>2870.372285649099</v>
      </c>
      <c r="G790" s="25">
        <f>'Combined Retirement'!$C$24</f>
        <v>3254.2644699519233</v>
      </c>
      <c r="H790" s="25">
        <f>IF(B790&lt;62,0,'Combined Retirement'!$I$14)</f>
        <v>2345</v>
      </c>
      <c r="I790" s="25">
        <f>IF(C790&lt;62,0,'Combined Retirement'!$I$13)</f>
        <v>2420</v>
      </c>
      <c r="J790" s="25">
        <f t="shared" si="783"/>
        <v>8395.6297298201844</v>
      </c>
      <c r="K790" s="25">
        <f t="shared" si="784"/>
        <v>21655.303514578787</v>
      </c>
      <c r="L790" s="25"/>
      <c r="N790" s="25">
        <f>'Combined Retirement'!$C$18/12</f>
        <v>40940.569999999992</v>
      </c>
      <c r="O790" s="25">
        <f t="shared" si="785"/>
        <v>10889.636755601023</v>
      </c>
      <c r="P790" s="25">
        <f t="shared" si="786"/>
        <v>30050.93324439897</v>
      </c>
      <c r="Q790" s="25">
        <f t="array" aca="1" ref="Q790" ca="1">INDEX('Isaac 401k'!L:L,MATCH('Retirement Calculator'!A790,'Isaac 401k'!N:N,0),0)</f>
        <v>-5736125.9754209612</v>
      </c>
      <c r="R790" s="25">
        <f t="array" aca="1" ref="R790" ca="1">INDEX('Lorri 401b'!L:L,MATCH('Retirement Calculator'!A790,'Lorri 401b'!N:N,0),0)</f>
        <v>-10144207.72851843</v>
      </c>
      <c r="S790" s="25">
        <f t="shared" ca="1" si="787"/>
        <v>-15880333.703939391</v>
      </c>
    </row>
    <row r="791" spans="1:19" ht="15.75" customHeight="1" x14ac:dyDescent="0.3">
      <c r="A791" s="37">
        <v>75028</v>
      </c>
      <c r="B791" s="398">
        <f t="shared" ref="B791:C791" si="802">($A791-B$9)/365.25</f>
        <v>123.53730321697468</v>
      </c>
      <c r="C791" s="398">
        <f t="shared" si="802"/>
        <v>118.92676249144422</v>
      </c>
      <c r="E791" s="25">
        <f>IF(C791&gt;$B$7,0,'Combined Retirement'!$D$13/12)</f>
        <v>0</v>
      </c>
      <c r="F791" s="25">
        <f>IF(H791=0,'Combined Retirement'!$D$32,0)+'Combined Retirement'!$B$24</f>
        <v>2870.372285649099</v>
      </c>
      <c r="G791" s="25">
        <f>'Combined Retirement'!$C$24</f>
        <v>3254.2644699519233</v>
      </c>
      <c r="H791" s="25">
        <f>IF(B791&lt;62,0,'Combined Retirement'!$I$14)</f>
        <v>2345</v>
      </c>
      <c r="I791" s="25">
        <f>IF(C791&lt;62,0,'Combined Retirement'!$I$13)</f>
        <v>2420</v>
      </c>
      <c r="J791" s="25">
        <f t="shared" si="783"/>
        <v>8395.6297298201844</v>
      </c>
      <c r="K791" s="25">
        <f t="shared" si="784"/>
        <v>21655.303514578787</v>
      </c>
      <c r="L791" s="25"/>
      <c r="N791" s="25">
        <f>'Combined Retirement'!$C$18/12</f>
        <v>40940.569999999992</v>
      </c>
      <c r="O791" s="25">
        <f t="shared" si="785"/>
        <v>10889.636755601023</v>
      </c>
      <c r="P791" s="25">
        <f t="shared" si="786"/>
        <v>30050.93324439897</v>
      </c>
      <c r="Q791" s="25">
        <f t="array" aca="1" ref="Q791" ca="1">INDEX('Isaac 401k'!L:L,MATCH('Retirement Calculator'!A791,'Isaac 401k'!N:N,0),0)</f>
        <v>-5768457.1118389098</v>
      </c>
      <c r="R791" s="25">
        <f t="array" aca="1" ref="R791" ca="1">INDEX('Lorri 401b'!L:L,MATCH('Retirement Calculator'!A791,'Lorri 401b'!N:N,0),0)</f>
        <v>-10208220.79466648</v>
      </c>
      <c r="S791" s="25">
        <f t="shared" ca="1" si="787"/>
        <v>-15976677.906505391</v>
      </c>
    </row>
    <row r="792" spans="1:19" ht="15.75" customHeight="1" x14ac:dyDescent="0.3">
      <c r="A792" s="37">
        <v>75058</v>
      </c>
      <c r="B792" s="398">
        <f t="shared" ref="B792:C792" si="803">($A792-B$9)/365.25</f>
        <v>123.61943874058863</v>
      </c>
      <c r="C792" s="398">
        <f t="shared" si="803"/>
        <v>119.00889801505818</v>
      </c>
      <c r="E792" s="25">
        <f>IF(C792&gt;$B$7,0,'Combined Retirement'!$D$13/12)</f>
        <v>0</v>
      </c>
      <c r="F792" s="25">
        <f>IF(H792=0,'Combined Retirement'!$D$32,0)+'Combined Retirement'!$B$24</f>
        <v>2870.372285649099</v>
      </c>
      <c r="G792" s="25">
        <f>'Combined Retirement'!$C$24</f>
        <v>3254.2644699519233</v>
      </c>
      <c r="H792" s="25">
        <f>IF(B792&lt;62,0,'Combined Retirement'!$I$14)</f>
        <v>2345</v>
      </c>
      <c r="I792" s="25">
        <f>IF(C792&lt;62,0,'Combined Retirement'!$I$13)</f>
        <v>2420</v>
      </c>
      <c r="J792" s="25">
        <f t="shared" si="783"/>
        <v>8395.6297298201844</v>
      </c>
      <c r="K792" s="25">
        <f t="shared" si="784"/>
        <v>21655.303514578787</v>
      </c>
      <c r="L792" s="25"/>
      <c r="N792" s="25">
        <f>'Combined Retirement'!$C$18/12</f>
        <v>40940.569999999992</v>
      </c>
      <c r="O792" s="25">
        <f t="shared" si="785"/>
        <v>10889.636755601023</v>
      </c>
      <c r="P792" s="25">
        <f t="shared" si="786"/>
        <v>30050.93324439897</v>
      </c>
      <c r="Q792" s="25">
        <f t="array" aca="1" ref="Q792" ca="1">INDEX('Isaac 401k'!L:L,MATCH('Retirement Calculator'!A792,'Isaac 401k'!N:N,0),0)</f>
        <v>-5800922.9613252664</v>
      </c>
      <c r="R792" s="25">
        <f t="array" aca="1" ref="R792" ca="1">INDEX('Lorri 401b'!L:L,MATCH('Retirement Calculator'!A792,'Lorri 401b'!N:N,0),0)</f>
        <v>-10272500.581923481</v>
      </c>
      <c r="S792" s="25">
        <f t="shared" ca="1" si="787"/>
        <v>-16073423.543248747</v>
      </c>
    </row>
    <row r="793" spans="1:19" ht="15.75" customHeight="1" x14ac:dyDescent="0.3">
      <c r="A793" s="37">
        <v>75089</v>
      </c>
      <c r="B793" s="398">
        <f t="shared" ref="B793:C793" si="804">($A793-B$9)/365.25</f>
        <v>123.70431211498973</v>
      </c>
      <c r="C793" s="398">
        <f t="shared" si="804"/>
        <v>119.09377138945928</v>
      </c>
      <c r="E793" s="25">
        <f>IF(C793&gt;$B$7,0,'Combined Retirement'!$D$13/12)</f>
        <v>0</v>
      </c>
      <c r="F793" s="25">
        <f>IF(H793=0,'Combined Retirement'!$D$32,0)+'Combined Retirement'!$B$24</f>
        <v>2870.372285649099</v>
      </c>
      <c r="G793" s="25">
        <f>'Combined Retirement'!$C$24</f>
        <v>3254.2644699519233</v>
      </c>
      <c r="H793" s="25">
        <f>IF(B793&lt;62,0,'Combined Retirement'!$I$14)</f>
        <v>2345</v>
      </c>
      <c r="I793" s="25">
        <f>IF(C793&lt;62,0,'Combined Retirement'!$I$13)</f>
        <v>2420</v>
      </c>
      <c r="J793" s="25">
        <f t="shared" si="783"/>
        <v>8395.6297298201844</v>
      </c>
      <c r="K793" s="25">
        <f t="shared" si="784"/>
        <v>21655.303514578787</v>
      </c>
      <c r="L793" s="25"/>
      <c r="N793" s="25">
        <f>'Combined Retirement'!$C$18/12</f>
        <v>40940.569999999992</v>
      </c>
      <c r="O793" s="25">
        <f t="shared" si="785"/>
        <v>10889.636755601023</v>
      </c>
      <c r="P793" s="25">
        <f t="shared" si="786"/>
        <v>30050.93324439897</v>
      </c>
      <c r="Q793" s="25">
        <f t="array" aca="1" ref="Q793" ca="1">INDEX('Isaac 401k'!L:L,MATCH('Retirement Calculator'!A793,'Isaac 401k'!N:N,0),0)</f>
        <v>-5833524.0851844829</v>
      </c>
      <c r="R793" s="25">
        <f t="array" aca="1" ref="R793" ca="1">INDEX('Lorri 401b'!L:L,MATCH('Retirement Calculator'!A793,'Lorri 401b'!N:N,0),0)</f>
        <v>-10337048.201627385</v>
      </c>
      <c r="S793" s="25">
        <f t="shared" ca="1" si="787"/>
        <v>-16170572.286811868</v>
      </c>
    </row>
    <row r="794" spans="1:19" ht="15.75" customHeight="1" x14ac:dyDescent="0.3">
      <c r="A794" s="37">
        <v>75120</v>
      </c>
      <c r="B794" s="398">
        <f t="shared" ref="B794:C794" si="805">($A794-B$9)/365.25</f>
        <v>123.78918548939083</v>
      </c>
      <c r="C794" s="398">
        <f t="shared" si="805"/>
        <v>119.17864476386038</v>
      </c>
      <c r="E794" s="25">
        <f>IF(C794&gt;$B$7,0,'Combined Retirement'!$D$13/12)</f>
        <v>0</v>
      </c>
      <c r="F794" s="25">
        <f>IF(H794=0,'Combined Retirement'!$D$32,0)+'Combined Retirement'!$B$24</f>
        <v>2870.372285649099</v>
      </c>
      <c r="G794" s="25">
        <f>'Combined Retirement'!$C$24</f>
        <v>3254.2644699519233</v>
      </c>
      <c r="H794" s="25">
        <f>IF(B794&lt;62,0,'Combined Retirement'!$I$14)</f>
        <v>2345</v>
      </c>
      <c r="I794" s="25">
        <f>IF(C794&lt;62,0,'Combined Retirement'!$I$13)</f>
        <v>2420</v>
      </c>
      <c r="J794" s="25">
        <f t="shared" si="783"/>
        <v>8395.6297298201844</v>
      </c>
      <c r="K794" s="25">
        <f t="shared" si="784"/>
        <v>21655.303514578787</v>
      </c>
      <c r="L794" s="25"/>
      <c r="N794" s="25">
        <f>'Combined Retirement'!$C$18/12</f>
        <v>40940.569999999992</v>
      </c>
      <c r="O794" s="25">
        <f t="shared" si="785"/>
        <v>10889.636755601023</v>
      </c>
      <c r="P794" s="25">
        <f t="shared" si="786"/>
        <v>30050.93324439897</v>
      </c>
      <c r="Q794" s="25">
        <f t="array" aca="1" ref="Q794" ca="1">INDEX('Isaac 401k'!L:L,MATCH('Retirement Calculator'!A794,'Isaac 401k'!N:N,0),0)</f>
        <v>-5866261.04705978</v>
      </c>
      <c r="R794" s="25">
        <f t="array" aca="1" ref="R794" ca="1">INDEX('Lorri 401b'!L:L,MATCH('Retirement Calculator'!A794,'Lorri 401b'!N:N,0),0)</f>
        <v>-10401864.769746723</v>
      </c>
      <c r="S794" s="25">
        <f t="shared" ca="1" si="787"/>
        <v>-16268125.816806503</v>
      </c>
    </row>
    <row r="795" spans="1:19" ht="15.75" customHeight="1" x14ac:dyDescent="0.3">
      <c r="A795" s="37">
        <v>75150</v>
      </c>
      <c r="B795" s="398">
        <f t="shared" ref="B795:C795" si="806">($A795-B$9)/365.25</f>
        <v>123.87132101300479</v>
      </c>
      <c r="C795" s="398">
        <f t="shared" si="806"/>
        <v>119.26078028747433</v>
      </c>
      <c r="E795" s="25">
        <f>IF(C795&gt;$B$7,0,'Combined Retirement'!$D$13/12)</f>
        <v>0</v>
      </c>
      <c r="F795" s="25">
        <f>IF(H795=0,'Combined Retirement'!$D$32,0)+'Combined Retirement'!$B$24</f>
        <v>2870.372285649099</v>
      </c>
      <c r="G795" s="25">
        <f>'Combined Retirement'!$C$24</f>
        <v>3254.2644699519233</v>
      </c>
      <c r="H795" s="25">
        <f>IF(B795&lt;62,0,'Combined Retirement'!$I$14)</f>
        <v>2345</v>
      </c>
      <c r="I795" s="25">
        <f>IF(C795&lt;62,0,'Combined Retirement'!$I$13)</f>
        <v>2420</v>
      </c>
      <c r="J795" s="25">
        <f t="shared" si="783"/>
        <v>8395.6297298201844</v>
      </c>
      <c r="K795" s="25">
        <f t="shared" si="784"/>
        <v>21655.303514578787</v>
      </c>
      <c r="L795" s="25"/>
      <c r="N795" s="25">
        <f>'Combined Retirement'!$C$18/12</f>
        <v>40940.569999999992</v>
      </c>
      <c r="O795" s="25">
        <f t="shared" si="785"/>
        <v>10889.636755601023</v>
      </c>
      <c r="P795" s="25">
        <f t="shared" si="786"/>
        <v>30050.93324439897</v>
      </c>
      <c r="Q795" s="25">
        <f t="array" aca="1" ref="Q795" ca="1">INDEX('Isaac 401k'!L:L,MATCH('Retirement Calculator'!A795,'Isaac 401k'!N:N,0),0)</f>
        <v>-5899134.4129428901</v>
      </c>
      <c r="R795" s="25">
        <f t="array" aca="1" ref="R795" ca="1">INDEX('Lorri 401b'!L:L,MATCH('Retirement Calculator'!A795,'Lorri 401b'!N:N,0),0)</f>
        <v>-10466951.40689989</v>
      </c>
      <c r="S795" s="25">
        <f t="shared" ca="1" si="787"/>
        <v>-16366085.81984278</v>
      </c>
    </row>
    <row r="796" spans="1:19" ht="15.75" customHeight="1" x14ac:dyDescent="0.3">
      <c r="A796" s="37">
        <v>75181</v>
      </c>
      <c r="B796" s="398">
        <f t="shared" ref="B796:C796" si="807">($A796-B$9)/365.25</f>
        <v>123.95619438740589</v>
      </c>
      <c r="C796" s="398">
        <f t="shared" si="807"/>
        <v>119.34565366187543</v>
      </c>
      <c r="E796" s="25">
        <f>IF(C796&gt;$B$7,0,'Combined Retirement'!$D$13/12)</f>
        <v>0</v>
      </c>
      <c r="F796" s="25">
        <f>IF(H796=0,'Combined Retirement'!$D$32,0)+'Combined Retirement'!$B$24</f>
        <v>2870.372285649099</v>
      </c>
      <c r="G796" s="25">
        <f>'Combined Retirement'!$C$24</f>
        <v>3254.2644699519233</v>
      </c>
      <c r="H796" s="25">
        <f>IF(B796&lt;62,0,'Combined Retirement'!$I$14)</f>
        <v>2345</v>
      </c>
      <c r="I796" s="25">
        <f>IF(C796&lt;62,0,'Combined Retirement'!$I$13)</f>
        <v>2420</v>
      </c>
      <c r="J796" s="25">
        <f t="shared" si="783"/>
        <v>8395.6297298201844</v>
      </c>
      <c r="K796" s="25">
        <f t="shared" si="784"/>
        <v>21655.303514578787</v>
      </c>
      <c r="L796" s="25"/>
      <c r="N796" s="25">
        <f>'Combined Retirement'!$C$18/12</f>
        <v>40940.569999999992</v>
      </c>
      <c r="O796" s="25">
        <f t="shared" si="785"/>
        <v>10889.636755601023</v>
      </c>
      <c r="P796" s="25">
        <f t="shared" si="786"/>
        <v>30050.93324439897</v>
      </c>
      <c r="Q796" s="25">
        <f t="array" aca="1" ref="Q796" ca="1">INDEX('Isaac 401k'!L:L,MATCH('Retirement Calculator'!A796,'Isaac 401k'!N:N,0),0)</f>
        <v>-5932144.751183847</v>
      </c>
      <c r="R796" s="25">
        <f t="array" aca="1" ref="R796" ca="1">INDEX('Lorri 401b'!L:L,MATCH('Retirement Calculator'!A796,'Lorri 401b'!N:N,0),0)</f>
        <v>-10532309.238374529</v>
      </c>
      <c r="S796" s="25">
        <f t="shared" ca="1" si="787"/>
        <v>-16464453.989558376</v>
      </c>
    </row>
    <row r="797" spans="1:19" ht="15.75" customHeight="1" x14ac:dyDescent="0.3">
      <c r="A797" s="37">
        <v>75211</v>
      </c>
      <c r="B797" s="398">
        <f t="shared" ref="B797:C797" si="808">($A797-B$9)/365.25</f>
        <v>124.03832991101984</v>
      </c>
      <c r="C797" s="398">
        <f t="shared" si="808"/>
        <v>119.42778918548939</v>
      </c>
      <c r="E797" s="25">
        <f>IF(C797&gt;$B$7,0,'Combined Retirement'!$D$13/12)</f>
        <v>0</v>
      </c>
      <c r="F797" s="25">
        <f>IF(H797=0,'Combined Retirement'!$D$32,0)+'Combined Retirement'!$B$24</f>
        <v>2870.372285649099</v>
      </c>
      <c r="G797" s="25">
        <f>'Combined Retirement'!$C$24</f>
        <v>3254.2644699519233</v>
      </c>
      <c r="H797" s="25">
        <f>IF(B797&lt;62,0,'Combined Retirement'!$I$14)</f>
        <v>2345</v>
      </c>
      <c r="I797" s="25">
        <f>IF(C797&lt;62,0,'Combined Retirement'!$I$13)</f>
        <v>2420</v>
      </c>
      <c r="J797" s="25">
        <f t="shared" si="783"/>
        <v>8395.6297298201844</v>
      </c>
      <c r="K797" s="25">
        <f t="shared" si="784"/>
        <v>21655.303514578787</v>
      </c>
      <c r="L797" s="25"/>
      <c r="N797" s="25">
        <f>'Combined Retirement'!$C$18/12</f>
        <v>40940.569999999992</v>
      </c>
      <c r="O797" s="25">
        <f t="shared" si="785"/>
        <v>10889.636755601023</v>
      </c>
      <c r="P797" s="25">
        <f t="shared" si="786"/>
        <v>30050.93324439897</v>
      </c>
      <c r="Q797" s="25">
        <f t="array" aca="1" ref="Q797" ca="1">INDEX('Isaac 401k'!L:L,MATCH('Retirement Calculator'!A797,'Isaac 401k'!N:N,0),0)</f>
        <v>-5965292.6325008078</v>
      </c>
      <c r="R797" s="25">
        <f t="array" aca="1" ref="R797" ca="1">INDEX('Lorri 401b'!L:L,MATCH('Retirement Calculator'!A797,'Lorri 401b'!N:N,0),0)</f>
        <v>-10597939.394146981</v>
      </c>
      <c r="S797" s="25">
        <f t="shared" ca="1" si="787"/>
        <v>-16563232.026647788</v>
      </c>
    </row>
    <row r="798" spans="1:19" ht="15.75" customHeight="1" x14ac:dyDescent="0.3">
      <c r="A798" s="37">
        <v>75242</v>
      </c>
      <c r="B798" s="398">
        <f t="shared" ref="B798:C798" si="809">($A798-B$9)/365.25</f>
        <v>124.12320328542094</v>
      </c>
      <c r="C798" s="398">
        <f t="shared" si="809"/>
        <v>119.51266255989049</v>
      </c>
      <c r="E798" s="25">
        <f>IF(C798&gt;$B$7,0,'Combined Retirement'!$D$13/12)</f>
        <v>0</v>
      </c>
      <c r="F798" s="25">
        <f>IF(H798=0,'Combined Retirement'!$D$32,0)+'Combined Retirement'!$B$24</f>
        <v>2870.372285649099</v>
      </c>
      <c r="G798" s="25">
        <f>'Combined Retirement'!$C$24</f>
        <v>3254.2644699519233</v>
      </c>
      <c r="H798" s="25">
        <f>IF(B798&lt;62,0,'Combined Retirement'!$I$14)</f>
        <v>2345</v>
      </c>
      <c r="I798" s="25">
        <f>IF(C798&lt;62,0,'Combined Retirement'!$I$13)</f>
        <v>2420</v>
      </c>
      <c r="J798" s="25">
        <f t="shared" si="783"/>
        <v>8395.6297298201844</v>
      </c>
      <c r="K798" s="25">
        <f t="shared" si="784"/>
        <v>21655.303514578787</v>
      </c>
      <c r="L798" s="25"/>
      <c r="N798" s="25">
        <f>'Combined Retirement'!$C$18/12</f>
        <v>40940.569999999992</v>
      </c>
      <c r="O798" s="25">
        <f t="shared" si="785"/>
        <v>10889.636755601023</v>
      </c>
      <c r="P798" s="25">
        <f t="shared" si="786"/>
        <v>30050.93324439897</v>
      </c>
      <c r="Q798" s="25">
        <f t="array" aca="1" ref="Q798" ca="1">INDEX('Isaac 401k'!L:L,MATCH('Retirement Calculator'!A798,'Isaac 401k'!N:N,0),0)</f>
        <v>-5998578.629989922</v>
      </c>
      <c r="R798" s="25">
        <f t="array" aca="1" ref="R798" ca="1">INDEX('Lorri 401b'!L:L,MATCH('Retirement Calculator'!A798,'Lorri 401b'!N:N,0),0)</f>
        <v>-10663843.008901816</v>
      </c>
      <c r="S798" s="25">
        <f t="shared" ca="1" si="787"/>
        <v>-16662421.638891738</v>
      </c>
    </row>
    <row r="799" spans="1:19" ht="15.75" customHeight="1" x14ac:dyDescent="0.3">
      <c r="A799" s="37">
        <v>75273</v>
      </c>
      <c r="B799" s="398">
        <f t="shared" ref="B799:C799" si="810">($A799-B$9)/365.25</f>
        <v>124.20807665982204</v>
      </c>
      <c r="C799" s="398">
        <f t="shared" si="810"/>
        <v>119.59753593429159</v>
      </c>
      <c r="E799" s="25">
        <f>IF(C799&gt;$B$7,0,'Combined Retirement'!$D$13/12)</f>
        <v>0</v>
      </c>
      <c r="F799" s="25">
        <f>IF(H799=0,'Combined Retirement'!$D$32,0)+'Combined Retirement'!$B$24</f>
        <v>2870.372285649099</v>
      </c>
      <c r="G799" s="25">
        <f>'Combined Retirement'!$C$24</f>
        <v>3254.2644699519233</v>
      </c>
      <c r="H799" s="25">
        <f>IF(B799&lt;62,0,'Combined Retirement'!$I$14)</f>
        <v>2345</v>
      </c>
      <c r="I799" s="25">
        <f>IF(C799&lt;62,0,'Combined Retirement'!$I$13)</f>
        <v>2420</v>
      </c>
      <c r="J799" s="25">
        <f t="shared" si="783"/>
        <v>8395.6297298201844</v>
      </c>
      <c r="K799" s="25">
        <f t="shared" si="784"/>
        <v>21655.303514578787</v>
      </c>
      <c r="L799" s="25"/>
      <c r="N799" s="25">
        <f>'Combined Retirement'!$C$18/12</f>
        <v>40940.569999999992</v>
      </c>
      <c r="O799" s="25">
        <f t="shared" si="785"/>
        <v>10889.636755601023</v>
      </c>
      <c r="P799" s="25">
        <f t="shared" si="786"/>
        <v>30050.93324439897</v>
      </c>
      <c r="Q799" s="25">
        <f t="array" aca="1" ref="Q799" ca="1">INDEX('Isaac 401k'!L:L,MATCH('Retirement Calculator'!A799,'Isaac 401k'!N:N,0),0)</f>
        <v>-6032003.3191352412</v>
      </c>
      <c r="R799" s="25">
        <f t="array" aca="1" ref="R799" ca="1">INDEX('Lorri 401b'!L:L,MATCH('Retirement Calculator'!A799,'Lorri 401b'!N:N,0),0)</f>
        <v>-10730021.222051464</v>
      </c>
      <c r="S799" s="25">
        <f t="shared" ca="1" si="787"/>
        <v>-16762024.541186705</v>
      </c>
    </row>
    <row r="800" spans="1:19" ht="15.75" customHeight="1" x14ac:dyDescent="0.3">
      <c r="A800" s="37">
        <v>75301</v>
      </c>
      <c r="B800" s="398">
        <f t="shared" ref="B800:C800" si="811">($A800-B$9)/365.25</f>
        <v>124.28473648186174</v>
      </c>
      <c r="C800" s="398">
        <f t="shared" si="811"/>
        <v>119.67419575633129</v>
      </c>
      <c r="E800" s="25">
        <f>IF(C800&gt;$B$7,0,'Combined Retirement'!$D$13/12)</f>
        <v>0</v>
      </c>
      <c r="F800" s="25">
        <f>IF(H800=0,'Combined Retirement'!$D$32,0)+'Combined Retirement'!$B$24</f>
        <v>2870.372285649099</v>
      </c>
      <c r="G800" s="25">
        <f>'Combined Retirement'!$C$24</f>
        <v>3254.2644699519233</v>
      </c>
      <c r="H800" s="25">
        <f>IF(B800&lt;62,0,'Combined Retirement'!$I$14)</f>
        <v>2345</v>
      </c>
      <c r="I800" s="25">
        <f>IF(C800&lt;62,0,'Combined Retirement'!$I$13)</f>
        <v>2420</v>
      </c>
      <c r="J800" s="25">
        <f t="shared" si="783"/>
        <v>8395.6297298201844</v>
      </c>
      <c r="K800" s="25">
        <f t="shared" si="784"/>
        <v>21655.303514578787</v>
      </c>
      <c r="L800" s="25"/>
      <c r="N800" s="25">
        <f>'Combined Retirement'!$C$18/12</f>
        <v>40940.569999999992</v>
      </c>
      <c r="O800" s="25">
        <f t="shared" si="785"/>
        <v>10889.636755601023</v>
      </c>
      <c r="P800" s="25">
        <f t="shared" si="786"/>
        <v>30050.93324439897</v>
      </c>
      <c r="Q800" s="25">
        <f t="array" aca="1" ref="Q800" ca="1">INDEX('Isaac 401k'!L:L,MATCH('Retirement Calculator'!A800,'Isaac 401k'!N:N,0),0)</f>
        <v>-6065567.2778186658</v>
      </c>
      <c r="R800" s="25">
        <f t="array" aca="1" ref="R800" ca="1">INDEX('Lorri 401b'!L:L,MATCH('Retirement Calculator'!A800,'Lorri 401b'!N:N,0),0)</f>
        <v>-10796475.177755902</v>
      </c>
      <c r="S800" s="25">
        <f t="shared" ca="1" si="787"/>
        <v>-16862042.455574568</v>
      </c>
    </row>
    <row r="801" spans="1:19" ht="15.75" customHeight="1" x14ac:dyDescent="0.3">
      <c r="A801" s="37">
        <v>75332</v>
      </c>
      <c r="B801" s="398">
        <f t="shared" ref="B801:C801" si="812">($A801-B$9)/365.25</f>
        <v>124.36960985626284</v>
      </c>
      <c r="C801" s="398">
        <f t="shared" si="812"/>
        <v>119.75906913073237</v>
      </c>
      <c r="E801" s="25">
        <f>IF(C801&gt;$B$7,0,'Combined Retirement'!$D$13/12)</f>
        <v>0</v>
      </c>
      <c r="F801" s="25">
        <f>IF(H801=0,'Combined Retirement'!$D$32,0)+'Combined Retirement'!$B$24</f>
        <v>2870.372285649099</v>
      </c>
      <c r="G801" s="25">
        <f>'Combined Retirement'!$C$24</f>
        <v>3254.2644699519233</v>
      </c>
      <c r="H801" s="25">
        <f>IF(B801&lt;62,0,'Combined Retirement'!$I$14)</f>
        <v>2345</v>
      </c>
      <c r="I801" s="25">
        <f>IF(C801&lt;62,0,'Combined Retirement'!$I$13)</f>
        <v>2420</v>
      </c>
      <c r="J801" s="25">
        <f t="shared" si="783"/>
        <v>8395.6297298201844</v>
      </c>
      <c r="K801" s="25">
        <f t="shared" si="784"/>
        <v>21655.303514578787</v>
      </c>
      <c r="L801" s="25"/>
      <c r="N801" s="25">
        <f>'Combined Retirement'!$C$18/12</f>
        <v>40940.569999999992</v>
      </c>
      <c r="O801" s="25">
        <f t="shared" si="785"/>
        <v>10889.636755601023</v>
      </c>
      <c r="P801" s="25">
        <f t="shared" si="786"/>
        <v>30050.93324439897</v>
      </c>
      <c r="Q801" s="25">
        <f t="array" aca="1" ref="Q801" ca="1">INDEX('Isaac 401k'!L:L,MATCH('Retirement Calculator'!A801,'Isaac 401k'!N:N,0),0)</f>
        <v>-6099271.0863299379</v>
      </c>
      <c r="R801" s="25">
        <f t="array" aca="1" ref="R801" ca="1">INDEX('Lorri 401b'!L:L,MATCH('Retirement Calculator'!A801,'Lorri 401b'!N:N,0),0)</f>
        <v>-10863206.024942441</v>
      </c>
      <c r="S801" s="25">
        <f t="shared" ca="1" si="787"/>
        <v>-16962477.11127238</v>
      </c>
    </row>
    <row r="802" spans="1:19" ht="15.75" customHeight="1" x14ac:dyDescent="0.3">
      <c r="A802" s="37">
        <v>75362</v>
      </c>
      <c r="B802" s="398">
        <f t="shared" ref="B802:C802" si="813">($A802-B$9)/365.25</f>
        <v>124.4517453798768</v>
      </c>
      <c r="C802" s="398">
        <f t="shared" si="813"/>
        <v>119.84120465434634</v>
      </c>
      <c r="E802" s="25">
        <f>IF(C802&gt;$B$7,0,'Combined Retirement'!$D$13/12)</f>
        <v>0</v>
      </c>
      <c r="F802" s="25">
        <f>IF(H802=0,'Combined Retirement'!$D$32,0)+'Combined Retirement'!$B$24</f>
        <v>2870.372285649099</v>
      </c>
      <c r="G802" s="25">
        <f>'Combined Retirement'!$C$24</f>
        <v>3254.2644699519233</v>
      </c>
      <c r="H802" s="25">
        <f>IF(B802&lt;62,0,'Combined Retirement'!$I$14)</f>
        <v>2345</v>
      </c>
      <c r="I802" s="25">
        <f>IF(C802&lt;62,0,'Combined Retirement'!$I$13)</f>
        <v>2420</v>
      </c>
      <c r="J802" s="25">
        <f t="shared" si="783"/>
        <v>8395.6297298201844</v>
      </c>
      <c r="K802" s="25">
        <f t="shared" si="784"/>
        <v>21655.303514578787</v>
      </c>
      <c r="L802" s="25"/>
      <c r="N802" s="25">
        <f>'Combined Retirement'!$C$18/12</f>
        <v>40940.569999999992</v>
      </c>
      <c r="O802" s="25">
        <f t="shared" si="785"/>
        <v>10889.636755601023</v>
      </c>
      <c r="P802" s="25">
        <f t="shared" si="786"/>
        <v>30050.93324439897</v>
      </c>
      <c r="Q802" s="25">
        <f t="array" aca="1" ref="Q802" ca="1">INDEX('Isaac 401k'!L:L,MATCH('Retirement Calculator'!A802,'Isaac 401k'!N:N,0),0)</f>
        <v>-6133115.3273766739</v>
      </c>
      <c r="R802" s="25">
        <f t="array" aca="1" ref="R802" ca="1">INDEX('Lorri 401b'!L:L,MATCH('Retirement Calculator'!A802,'Lorri 401b'!N:N,0),0)</f>
        <v>-10930214.917325592</v>
      </c>
      <c r="S802" s="25">
        <f t="shared" ca="1" si="787"/>
        <v>-17063330.244702265</v>
      </c>
    </row>
    <row r="803" spans="1:19" ht="15.75" customHeight="1" x14ac:dyDescent="0.3">
      <c r="A803" s="37">
        <v>75393</v>
      </c>
      <c r="B803" s="398">
        <f t="shared" ref="B803:C803" si="814">($A803-B$9)/365.25</f>
        <v>124.5366187542779</v>
      </c>
      <c r="C803" s="398">
        <f t="shared" si="814"/>
        <v>119.92607802874743</v>
      </c>
      <c r="E803" s="25">
        <f>IF(C803&gt;$B$7,0,'Combined Retirement'!$D$13/12)</f>
        <v>0</v>
      </c>
      <c r="F803" s="25">
        <f>IF(H803=0,'Combined Retirement'!$D$32,0)+'Combined Retirement'!$B$24</f>
        <v>2870.372285649099</v>
      </c>
      <c r="G803" s="25">
        <f>'Combined Retirement'!$C$24</f>
        <v>3254.2644699519233</v>
      </c>
      <c r="H803" s="25">
        <f>IF(B803&lt;62,0,'Combined Retirement'!$I$14)</f>
        <v>2345</v>
      </c>
      <c r="I803" s="25">
        <f>IF(C803&lt;62,0,'Combined Retirement'!$I$13)</f>
        <v>2420</v>
      </c>
      <c r="J803" s="25">
        <f t="shared" si="783"/>
        <v>8395.6297298201844</v>
      </c>
      <c r="K803" s="25">
        <f t="shared" si="784"/>
        <v>21655.303514578787</v>
      </c>
      <c r="L803" s="25"/>
      <c r="N803" s="25">
        <f>'Combined Retirement'!$C$18/12</f>
        <v>40940.569999999992</v>
      </c>
      <c r="O803" s="25">
        <f t="shared" si="785"/>
        <v>10889.636755601023</v>
      </c>
      <c r="P803" s="25">
        <f t="shared" si="786"/>
        <v>30050.93324439897</v>
      </c>
      <c r="Q803" s="25">
        <f t="array" aca="1" ref="Q803" ca="1">INDEX('Isaac 401k'!L:L,MATCH('Retirement Calculator'!A803,'Isaac 401k'!N:N,0),0)</f>
        <v>-6167100.5860944381</v>
      </c>
      <c r="R803" s="25">
        <f t="array" aca="1" ref="R803" ca="1">INDEX('Lorri 401b'!L:L,MATCH('Retirement Calculator'!A803,'Lorri 401b'!N:N,0),0)</f>
        <v>-10997503.013427004</v>
      </c>
      <c r="S803" s="25">
        <f t="shared" ca="1" si="787"/>
        <v>-17164603.599521443</v>
      </c>
    </row>
    <row r="804" spans="1:19" ht="15.75" customHeight="1" x14ac:dyDescent="0.3">
      <c r="A804" s="37">
        <v>75423</v>
      </c>
      <c r="B804" s="398">
        <f t="shared" ref="B804:C804" si="815">($A804-B$9)/365.25</f>
        <v>124.61875427789185</v>
      </c>
      <c r="C804" s="398">
        <f t="shared" si="815"/>
        <v>120.0082135523614</v>
      </c>
      <c r="E804" s="25">
        <f>IF(C804&gt;$B$7,0,'Combined Retirement'!$D$13/12)</f>
        <v>0</v>
      </c>
      <c r="F804" s="25">
        <f>IF(H804=0,'Combined Retirement'!$D$32,0)+'Combined Retirement'!$B$24</f>
        <v>2870.372285649099</v>
      </c>
      <c r="G804" s="25">
        <f>'Combined Retirement'!$C$24</f>
        <v>3254.2644699519233</v>
      </c>
      <c r="H804" s="25">
        <f>IF(B804&lt;62,0,'Combined Retirement'!$I$14)</f>
        <v>2345</v>
      </c>
      <c r="I804" s="25">
        <f>IF(C804&lt;62,0,'Combined Retirement'!$I$13)</f>
        <v>2420</v>
      </c>
      <c r="J804" s="25">
        <f t="shared" si="783"/>
        <v>8395.6297298201844</v>
      </c>
      <c r="K804" s="25">
        <f t="shared" si="784"/>
        <v>21655.303514578787</v>
      </c>
      <c r="L804" s="25"/>
      <c r="N804" s="25">
        <f>'Combined Retirement'!$C$18/12</f>
        <v>40940.569999999992</v>
      </c>
      <c r="O804" s="25">
        <f t="shared" si="785"/>
        <v>10889.636755601023</v>
      </c>
      <c r="P804" s="25">
        <f t="shared" si="786"/>
        <v>30050.93324439897</v>
      </c>
      <c r="Q804" s="25">
        <f t="array" aca="1" ref="Q804" ca="1">INDEX('Isaac 401k'!L:L,MATCH('Retirement Calculator'!A804,'Isaac 401k'!N:N,0),0)</f>
        <v>-6201227.4500568593</v>
      </c>
      <c r="R804" s="25">
        <f t="array" aca="1" ref="R804" ca="1">INDEX('Lorri 401b'!L:L,MATCH('Retirement Calculator'!A804,'Lorri 401b'!N:N,0),0)</f>
        <v>-11065071.476595506</v>
      </c>
      <c r="S804" s="25">
        <f t="shared" ca="1" si="787"/>
        <v>-17266298.926652364</v>
      </c>
    </row>
    <row r="805" spans="1:19" ht="15.75" customHeight="1" x14ac:dyDescent="0.3">
      <c r="A805" s="37">
        <v>75454</v>
      </c>
      <c r="B805" s="398">
        <f t="shared" ref="B805:C805" si="816">($A805-B$9)/365.25</f>
        <v>124.70362765229295</v>
      </c>
      <c r="C805" s="398">
        <f t="shared" si="816"/>
        <v>120.0930869267625</v>
      </c>
      <c r="E805" s="25">
        <f>IF(C805&gt;$B$7,0,'Combined Retirement'!$D$13/12)</f>
        <v>0</v>
      </c>
      <c r="F805" s="25">
        <f>IF(H805=0,'Combined Retirement'!$D$32,0)+'Combined Retirement'!$B$24</f>
        <v>2870.372285649099</v>
      </c>
      <c r="G805" s="25">
        <f>'Combined Retirement'!$C$24</f>
        <v>3254.2644699519233</v>
      </c>
      <c r="H805" s="25">
        <f>IF(B805&lt;62,0,'Combined Retirement'!$I$14)</f>
        <v>2345</v>
      </c>
      <c r="I805" s="25">
        <f>IF(C805&lt;62,0,'Combined Retirement'!$I$13)</f>
        <v>2420</v>
      </c>
      <c r="J805" s="25">
        <f t="shared" si="783"/>
        <v>8395.6297298201844</v>
      </c>
      <c r="K805" s="25">
        <f t="shared" si="784"/>
        <v>21655.303514578787</v>
      </c>
      <c r="L805" s="25"/>
      <c r="N805" s="25">
        <f>'Combined Retirement'!$C$18/12</f>
        <v>40940.569999999992</v>
      </c>
      <c r="O805" s="25">
        <f t="shared" si="785"/>
        <v>10889.636755601023</v>
      </c>
      <c r="P805" s="25">
        <f t="shared" si="786"/>
        <v>30050.93324439897</v>
      </c>
      <c r="Q805" s="25">
        <f t="array" aca="1" ref="Q805" ca="1">INDEX('Isaac 401k'!L:L,MATCH('Retirement Calculator'!A805,'Isaac 401k'!N:N,0),0)</f>
        <v>-6235496.5092857908</v>
      </c>
      <c r="R805" s="25">
        <f t="array" aca="1" ref="R805" ca="1">INDEX('Lorri 401b'!L:L,MATCH('Retirement Calculator'!A805,'Lorri 401b'!N:N,0),0)</f>
        <v>-11132921.475027211</v>
      </c>
      <c r="S805" s="25">
        <f t="shared" ca="1" si="787"/>
        <v>-17368417.984313004</v>
      </c>
    </row>
    <row r="806" spans="1:19" ht="15.75" customHeight="1" x14ac:dyDescent="0.3">
      <c r="A806" s="37">
        <v>75485</v>
      </c>
      <c r="B806" s="398">
        <f t="shared" ref="B806:C806" si="817">($A806-B$9)/365.25</f>
        <v>124.78850102669405</v>
      </c>
      <c r="C806" s="398">
        <f t="shared" si="817"/>
        <v>120.17796030116358</v>
      </c>
      <c r="E806" s="25">
        <f>IF(C806&gt;$B$7,0,'Combined Retirement'!$D$13/12)</f>
        <v>0</v>
      </c>
      <c r="F806" s="25">
        <f>IF(H806=0,'Combined Retirement'!$D$32,0)+'Combined Retirement'!$B$24</f>
        <v>2870.372285649099</v>
      </c>
      <c r="G806" s="25">
        <f>'Combined Retirement'!$C$24</f>
        <v>3254.2644699519233</v>
      </c>
      <c r="H806" s="25">
        <f>IF(B806&lt;62,0,'Combined Retirement'!$I$14)</f>
        <v>2345</v>
      </c>
      <c r="I806" s="25">
        <f>IF(C806&lt;62,0,'Combined Retirement'!$I$13)</f>
        <v>2420</v>
      </c>
      <c r="J806" s="25">
        <f t="shared" si="783"/>
        <v>8395.6297298201844</v>
      </c>
      <c r="K806" s="25">
        <f t="shared" si="784"/>
        <v>21655.303514578787</v>
      </c>
      <c r="L806" s="25"/>
      <c r="N806" s="25">
        <f>'Combined Retirement'!$C$18/12</f>
        <v>40940.569999999992</v>
      </c>
      <c r="O806" s="25">
        <f t="shared" si="785"/>
        <v>10889.636755601023</v>
      </c>
      <c r="P806" s="25">
        <f t="shared" si="786"/>
        <v>30050.93324439897</v>
      </c>
      <c r="Q806" s="25">
        <f t="array" aca="1" ref="Q806" ca="1">INDEX('Isaac 401k'!L:L,MATCH('Retirement Calculator'!A806,'Isaac 401k'!N:N,0),0)</f>
        <v>-6269908.3562615095</v>
      </c>
      <c r="R806" s="25">
        <f t="array" aca="1" ref="R806" ca="1">INDEX('Lorri 401b'!L:L,MATCH('Retirement Calculator'!A806,'Lorri 401b'!N:N,0),0)</f>
        <v>-11201054.181785714</v>
      </c>
      <c r="S806" s="25">
        <f t="shared" ca="1" si="787"/>
        <v>-17470962.538047224</v>
      </c>
    </row>
    <row r="807" spans="1:19" ht="15.75" customHeight="1" x14ac:dyDescent="0.3">
      <c r="A807" s="37">
        <v>75515</v>
      </c>
      <c r="B807" s="398">
        <f t="shared" ref="B807:C807" si="818">($A807-B$9)/365.25</f>
        <v>124.87063655030801</v>
      </c>
      <c r="C807" s="398">
        <f t="shared" si="818"/>
        <v>120.26009582477755</v>
      </c>
      <c r="E807" s="25">
        <f>IF(C807&gt;$B$7,0,'Combined Retirement'!$D$13/12)</f>
        <v>0</v>
      </c>
      <c r="F807" s="25">
        <f>IF(H807=0,'Combined Retirement'!$D$32,0)+'Combined Retirement'!$B$24</f>
        <v>2870.372285649099</v>
      </c>
      <c r="G807" s="25">
        <f>'Combined Retirement'!$C$24</f>
        <v>3254.2644699519233</v>
      </c>
      <c r="H807" s="25">
        <f>IF(B807&lt;62,0,'Combined Retirement'!$I$14)</f>
        <v>2345</v>
      </c>
      <c r="I807" s="25">
        <f>IF(C807&lt;62,0,'Combined Retirement'!$I$13)</f>
        <v>2420</v>
      </c>
      <c r="J807" s="25">
        <f t="shared" si="783"/>
        <v>8395.6297298201844</v>
      </c>
      <c r="K807" s="25">
        <f t="shared" si="784"/>
        <v>21655.303514578787</v>
      </c>
      <c r="L807" s="25"/>
      <c r="N807" s="25">
        <f>'Combined Retirement'!$C$18/12</f>
        <v>40940.569999999992</v>
      </c>
      <c r="O807" s="25">
        <f t="shared" si="785"/>
        <v>10889.636755601023</v>
      </c>
      <c r="P807" s="25">
        <f t="shared" si="786"/>
        <v>30050.93324439897</v>
      </c>
      <c r="Q807" s="25">
        <f t="array" aca="1" ref="Q807" ca="1">INDEX('Isaac 401k'!L:L,MATCH('Retirement Calculator'!A807,'Isaac 401k'!N:N,0),0)</f>
        <v>-6304463.5859329607</v>
      </c>
      <c r="R807" s="25">
        <f t="array" aca="1" ref="R807" ca="1">INDEX('Lorri 401b'!L:L,MATCH('Retirement Calculator'!A807,'Lorri 401b'!N:N,0),0)</f>
        <v>-11269470.774822379</v>
      </c>
      <c r="S807" s="25">
        <f t="shared" ca="1" si="787"/>
        <v>-17573934.360755339</v>
      </c>
    </row>
    <row r="808" spans="1:19" ht="15.75" customHeight="1" x14ac:dyDescent="0.3">
      <c r="A808" s="37">
        <v>75546</v>
      </c>
      <c r="B808" s="398">
        <f t="shared" ref="B808:C808" si="819">($A808-B$9)/365.25</f>
        <v>124.95550992470911</v>
      </c>
      <c r="C808" s="398">
        <f t="shared" si="819"/>
        <v>120.34496919917865</v>
      </c>
      <c r="E808" s="25">
        <f>IF(C808&gt;$B$7,0,'Combined Retirement'!$D$13/12)</f>
        <v>0</v>
      </c>
      <c r="F808" s="25">
        <f>IF(H808=0,'Combined Retirement'!$D$32,0)+'Combined Retirement'!$B$24</f>
        <v>2870.372285649099</v>
      </c>
      <c r="G808" s="25">
        <f>'Combined Retirement'!$C$24</f>
        <v>3254.2644699519233</v>
      </c>
      <c r="H808" s="25">
        <f>IF(B808&lt;62,0,'Combined Retirement'!$I$14)</f>
        <v>2345</v>
      </c>
      <c r="I808" s="25">
        <f>IF(C808&lt;62,0,'Combined Retirement'!$I$13)</f>
        <v>2420</v>
      </c>
      <c r="J808" s="25">
        <f t="shared" si="783"/>
        <v>8395.6297298201844</v>
      </c>
      <c r="K808" s="25">
        <f t="shared" si="784"/>
        <v>21655.303514578787</v>
      </c>
      <c r="L808" s="25"/>
      <c r="N808" s="25">
        <f>'Combined Retirement'!$C$18/12</f>
        <v>40940.569999999992</v>
      </c>
      <c r="O808" s="25">
        <f t="shared" si="785"/>
        <v>10889.636755601023</v>
      </c>
      <c r="P808" s="25">
        <f t="shared" si="786"/>
        <v>30050.93324439897</v>
      </c>
      <c r="Q808" s="25">
        <f t="array" aca="1" ref="Q808" ca="1">INDEX('Isaac 401k'!L:L,MATCH('Retirement Calculator'!A808,'Isaac 401k'!N:N,0),0)</f>
        <v>-6339162.7957280427</v>
      </c>
      <c r="R808" s="25">
        <f t="array" aca="1" ref="R808" ca="1">INDEX('Lorri 401b'!L:L,MATCH('Retirement Calculator'!A808,'Lorri 401b'!N:N,0),0)</f>
        <v>-11338172.436996695</v>
      </c>
      <c r="S808" s="25">
        <f t="shared" ca="1" si="787"/>
        <v>-17677335.232724737</v>
      </c>
    </row>
    <row r="809" spans="1:19" ht="15.75" customHeight="1" x14ac:dyDescent="0.3">
      <c r="A809" s="37">
        <v>75576</v>
      </c>
      <c r="B809" s="398">
        <f t="shared" ref="B809:C809" si="820">($A809-B$9)/365.25</f>
        <v>125.03764544832306</v>
      </c>
      <c r="C809" s="398">
        <f t="shared" si="820"/>
        <v>120.42710472279261</v>
      </c>
      <c r="E809" s="25">
        <f>IF(C809&gt;$B$7,0,'Combined Retirement'!$D$13/12)</f>
        <v>0</v>
      </c>
      <c r="F809" s="25">
        <f>IF(H809=0,'Combined Retirement'!$D$32,0)+'Combined Retirement'!$B$24</f>
        <v>2870.372285649099</v>
      </c>
      <c r="G809" s="25">
        <f>'Combined Retirement'!$C$24</f>
        <v>3254.2644699519233</v>
      </c>
      <c r="H809" s="25">
        <f>IF(B809&lt;62,0,'Combined Retirement'!$I$14)</f>
        <v>2345</v>
      </c>
      <c r="I809" s="25">
        <f>IF(C809&lt;62,0,'Combined Retirement'!$I$13)</f>
        <v>2420</v>
      </c>
      <c r="J809" s="25">
        <f t="shared" si="783"/>
        <v>8395.6297298201844</v>
      </c>
      <c r="K809" s="25">
        <f t="shared" si="784"/>
        <v>21655.303514578787</v>
      </c>
      <c r="L809" s="25"/>
      <c r="N809" s="25">
        <f>'Combined Retirement'!$C$18/12</f>
        <v>40940.569999999992</v>
      </c>
      <c r="O809" s="25">
        <f t="shared" si="785"/>
        <v>10889.636755601023</v>
      </c>
      <c r="P809" s="25">
        <f t="shared" si="786"/>
        <v>30050.93324439897</v>
      </c>
      <c r="Q809" s="25">
        <f t="array" aca="1" ref="Q809" ca="1">INDEX('Isaac 401k'!L:L,MATCH('Retirement Calculator'!A809,'Isaac 401k'!N:N,0),0)</f>
        <v>-6374006.5855639372</v>
      </c>
      <c r="R809" s="25">
        <f t="array" aca="1" ref="R809" ca="1">INDEX('Lorri 401b'!L:L,MATCH('Retirement Calculator'!A809,'Lorri 401b'!N:N,0),0)</f>
        <v>-11407160.356096737</v>
      </c>
      <c r="S809" s="25">
        <f t="shared" ca="1" si="787"/>
        <v>-17781166.941660672</v>
      </c>
    </row>
    <row r="810" spans="1:19" ht="15.75" customHeight="1" x14ac:dyDescent="0.3">
      <c r="A810" s="37">
        <v>75607</v>
      </c>
      <c r="B810" s="398">
        <f t="shared" ref="B810:C810" si="821">($A810-B$9)/365.25</f>
        <v>125.12251882272416</v>
      </c>
      <c r="C810" s="398">
        <f t="shared" si="821"/>
        <v>120.5119780971937</v>
      </c>
      <c r="E810" s="25">
        <f>IF(C810&gt;$B$7,0,'Combined Retirement'!$D$13/12)</f>
        <v>0</v>
      </c>
      <c r="F810" s="25">
        <f>IF(H810=0,'Combined Retirement'!$D$32,0)+'Combined Retirement'!$B$24</f>
        <v>2870.372285649099</v>
      </c>
      <c r="G810" s="25">
        <f>'Combined Retirement'!$C$24</f>
        <v>3254.2644699519233</v>
      </c>
      <c r="H810" s="25">
        <f>IF(B810&lt;62,0,'Combined Retirement'!$I$14)</f>
        <v>2345</v>
      </c>
      <c r="I810" s="25">
        <f>IF(C810&lt;62,0,'Combined Retirement'!$I$13)</f>
        <v>2420</v>
      </c>
      <c r="J810" s="25">
        <f t="shared" si="783"/>
        <v>8395.6297298201844</v>
      </c>
      <c r="K810" s="25">
        <f t="shared" si="784"/>
        <v>21655.303514578787</v>
      </c>
      <c r="L810" s="25"/>
      <c r="N810" s="25">
        <f>'Combined Retirement'!$C$18/12</f>
        <v>40940.569999999992</v>
      </c>
      <c r="O810" s="25">
        <f t="shared" si="785"/>
        <v>10889.636755601023</v>
      </c>
      <c r="P810" s="25">
        <f t="shared" si="786"/>
        <v>30050.93324439897</v>
      </c>
      <c r="Q810" s="25">
        <f t="array" aca="1" ref="Q810" ca="1">INDEX('Isaac 401k'!L:L,MATCH('Retirement Calculator'!A810,'Isaac 401k'!N:N,0),0)</f>
        <v>-6408995.5578574818</v>
      </c>
      <c r="R810" s="25">
        <f t="array" aca="1" ref="R810" ca="1">INDEX('Lorri 401b'!L:L,MATCH('Retirement Calculator'!A810,'Lorri 401b'!N:N,0),0)</f>
        <v>-11476435.724859698</v>
      </c>
      <c r="S810" s="25">
        <f t="shared" ca="1" si="787"/>
        <v>-17885431.28271718</v>
      </c>
    </row>
    <row r="811" spans="1:19" ht="15.75" customHeight="1" x14ac:dyDescent="0.3">
      <c r="A811" s="37">
        <v>75638</v>
      </c>
      <c r="B811" s="398">
        <f t="shared" ref="B811:C811" si="822">($A811-B$9)/365.25</f>
        <v>125.20739219712526</v>
      </c>
      <c r="C811" s="398">
        <f t="shared" si="822"/>
        <v>120.5968514715948</v>
      </c>
      <c r="E811" s="25">
        <f>IF(C811&gt;$B$7,0,'Combined Retirement'!$D$13/12)</f>
        <v>0</v>
      </c>
      <c r="F811" s="25">
        <f>IF(H811=0,'Combined Retirement'!$D$32,0)+'Combined Retirement'!$B$24</f>
        <v>2870.372285649099</v>
      </c>
      <c r="G811" s="25">
        <f>'Combined Retirement'!$C$24</f>
        <v>3254.2644699519233</v>
      </c>
      <c r="H811" s="25">
        <f>IF(B811&lt;62,0,'Combined Retirement'!$I$14)</f>
        <v>2345</v>
      </c>
      <c r="I811" s="25">
        <f>IF(C811&lt;62,0,'Combined Retirement'!$I$13)</f>
        <v>2420</v>
      </c>
      <c r="J811" s="25">
        <f t="shared" si="783"/>
        <v>8395.6297298201844</v>
      </c>
      <c r="K811" s="25">
        <f t="shared" si="784"/>
        <v>21655.303514578787</v>
      </c>
      <c r="L811" s="25"/>
      <c r="N811" s="25">
        <f>'Combined Retirement'!$C$18/12</f>
        <v>40940.569999999992</v>
      </c>
      <c r="O811" s="25">
        <f t="shared" si="785"/>
        <v>10889.636755601023</v>
      </c>
      <c r="P811" s="25">
        <f t="shared" si="786"/>
        <v>30050.93324439897</v>
      </c>
      <c r="Q811" s="25">
        <f t="array" aca="1" ref="Q811" ca="1">INDEX('Isaac 401k'!L:L,MATCH('Retirement Calculator'!A811,'Isaac 401k'!N:N,0),0)</f>
        <v>-6444130.3175355829</v>
      </c>
      <c r="R811" s="25">
        <f t="array" aca="1" ref="R811" ca="1">INDEX('Lorri 401b'!L:L,MATCH('Retirement Calculator'!A811,'Lorri 401b'!N:N,0),0)</f>
        <v>-11545999.740992503</v>
      </c>
      <c r="S811" s="25">
        <f t="shared" ca="1" si="787"/>
        <v>-17990130.058528088</v>
      </c>
    </row>
    <row r="812" spans="1:19" ht="15.75" customHeight="1" x14ac:dyDescent="0.3">
      <c r="A812" s="37">
        <v>75666</v>
      </c>
      <c r="B812" s="398">
        <f t="shared" ref="B812:C812" si="823">($A812-B$9)/365.25</f>
        <v>125.28405201916496</v>
      </c>
      <c r="C812" s="398">
        <f t="shared" si="823"/>
        <v>120.67351129363449</v>
      </c>
      <c r="E812" s="25">
        <f>IF(C812&gt;$B$7,0,'Combined Retirement'!$D$13/12)</f>
        <v>0</v>
      </c>
      <c r="F812" s="25">
        <f>IF(H812=0,'Combined Retirement'!$D$32,0)+'Combined Retirement'!$B$24</f>
        <v>2870.372285649099</v>
      </c>
      <c r="G812" s="25">
        <f>'Combined Retirement'!$C$24</f>
        <v>3254.2644699519233</v>
      </c>
      <c r="H812" s="25">
        <f>IF(B812&lt;62,0,'Combined Retirement'!$I$14)</f>
        <v>2345</v>
      </c>
      <c r="I812" s="25">
        <f>IF(C812&lt;62,0,'Combined Retirement'!$I$13)</f>
        <v>2420</v>
      </c>
      <c r="J812" s="25">
        <f t="shared" si="783"/>
        <v>8395.6297298201844</v>
      </c>
      <c r="K812" s="25">
        <f t="shared" si="784"/>
        <v>21655.303514578787</v>
      </c>
      <c r="L812" s="25"/>
      <c r="N812" s="25">
        <f>'Combined Retirement'!$C$18/12</f>
        <v>40940.569999999992</v>
      </c>
      <c r="O812" s="25">
        <f t="shared" si="785"/>
        <v>10889.636755601023</v>
      </c>
      <c r="P812" s="25">
        <f t="shared" si="786"/>
        <v>30050.93324439897</v>
      </c>
      <c r="Q812" s="25">
        <f t="array" aca="1" ref="Q812" ca="1">INDEX('Isaac 401k'!L:L,MATCH('Retirement Calculator'!A812,'Isaac 401k'!N:N,0),0)</f>
        <v>-6479411.4720456759</v>
      </c>
      <c r="R812" s="25">
        <f t="array" aca="1" ref="R812" ca="1">INDEX('Lorri 401b'!L:L,MATCH('Retirement Calculator'!A812,'Lorri 401b'!N:N,0),0)</f>
        <v>-11615853.607192529</v>
      </c>
      <c r="S812" s="25">
        <f t="shared" ca="1" si="787"/>
        <v>-18095265.079238206</v>
      </c>
    </row>
    <row r="813" spans="1:19" ht="15.75" customHeight="1" x14ac:dyDescent="0.3">
      <c r="A813" s="37">
        <v>75697</v>
      </c>
      <c r="B813" s="398">
        <f t="shared" ref="B813:C813" si="824">($A813-B$9)/365.25</f>
        <v>125.36892539356604</v>
      </c>
      <c r="C813" s="398">
        <f t="shared" si="824"/>
        <v>120.75838466803559</v>
      </c>
      <c r="E813" s="25">
        <f>IF(C813&gt;$B$7,0,'Combined Retirement'!$D$13/12)</f>
        <v>0</v>
      </c>
      <c r="F813" s="25">
        <f>IF(H813=0,'Combined Retirement'!$D$32,0)+'Combined Retirement'!$B$24</f>
        <v>2870.372285649099</v>
      </c>
      <c r="G813" s="25">
        <f>'Combined Retirement'!$C$24</f>
        <v>3254.2644699519233</v>
      </c>
      <c r="H813" s="25">
        <f>IF(B813&lt;62,0,'Combined Retirement'!$I$14)</f>
        <v>2345</v>
      </c>
      <c r="I813" s="25">
        <f>IF(C813&lt;62,0,'Combined Retirement'!$I$13)</f>
        <v>2420</v>
      </c>
      <c r="J813" s="25">
        <f t="shared" si="783"/>
        <v>8395.6297298201844</v>
      </c>
      <c r="K813" s="25">
        <f t="shared" si="784"/>
        <v>21655.303514578787</v>
      </c>
      <c r="L813" s="25"/>
      <c r="N813" s="25">
        <f>'Combined Retirement'!$C$18/12</f>
        <v>40940.569999999992</v>
      </c>
      <c r="O813" s="25">
        <f t="shared" si="785"/>
        <v>10889.636755601023</v>
      </c>
      <c r="P813" s="25">
        <f t="shared" si="786"/>
        <v>30050.93324439897</v>
      </c>
      <c r="Q813" s="25">
        <f t="array" aca="1" ref="Q813" ca="1">INDEX('Isaac 401k'!L:L,MATCH('Retirement Calculator'!A813,'Isaac 401k'!N:N,0),0)</f>
        <v>-6514839.6313662278</v>
      </c>
      <c r="R813" s="25">
        <f t="array" aca="1" ref="R813" ca="1">INDEX('Lorri 401b'!L:L,MATCH('Retirement Calculator'!A813,'Lorri 401b'!N:N,0),0)</f>
        <v>-11685998.531168388</v>
      </c>
      <c r="S813" s="25">
        <f t="shared" ca="1" si="787"/>
        <v>-18200838.162534617</v>
      </c>
    </row>
    <row r="814" spans="1:19" ht="15.75" customHeight="1" x14ac:dyDescent="0.3">
      <c r="A814" s="37">
        <v>75727</v>
      </c>
      <c r="B814" s="398">
        <f t="shared" ref="B814:C814" si="825">($A814-B$9)/365.25</f>
        <v>125.45106091718002</v>
      </c>
      <c r="C814" s="398">
        <f t="shared" si="825"/>
        <v>120.84052019164956</v>
      </c>
      <c r="E814" s="25">
        <f>IF(C814&gt;$B$7,0,'Combined Retirement'!$D$13/12)</f>
        <v>0</v>
      </c>
      <c r="F814" s="25">
        <f>IF(H814=0,'Combined Retirement'!$D$32,0)+'Combined Retirement'!$B$24</f>
        <v>2870.372285649099</v>
      </c>
      <c r="G814" s="25">
        <f>'Combined Retirement'!$C$24</f>
        <v>3254.2644699519233</v>
      </c>
      <c r="H814" s="25">
        <f>IF(B814&lt;62,0,'Combined Retirement'!$I$14)</f>
        <v>2345</v>
      </c>
      <c r="I814" s="25">
        <f>IF(C814&lt;62,0,'Combined Retirement'!$I$13)</f>
        <v>2420</v>
      </c>
      <c r="J814" s="25">
        <f t="shared" si="783"/>
        <v>8395.6297298201844</v>
      </c>
      <c r="K814" s="25">
        <f t="shared" si="784"/>
        <v>21655.303514578787</v>
      </c>
      <c r="L814" s="25"/>
      <c r="N814" s="25">
        <f>'Combined Retirement'!$C$18/12</f>
        <v>40940.569999999992</v>
      </c>
      <c r="O814" s="25">
        <f t="shared" si="785"/>
        <v>10889.636755601023</v>
      </c>
      <c r="P814" s="25">
        <f t="shared" si="786"/>
        <v>30050.93324439897</v>
      </c>
      <c r="Q814" s="25">
        <f t="array" aca="1" ref="Q814" ca="1">INDEX('Isaac 401k'!L:L,MATCH('Retirement Calculator'!A814,'Isaac 401k'!N:N,0),0)</f>
        <v>-6550415.4080172814</v>
      </c>
      <c r="R814" s="25">
        <f t="array" aca="1" ref="R814" ca="1">INDEX('Lorri 401b'!L:L,MATCH('Retirement Calculator'!A814,'Lorri 401b'!N:N,0),0)</f>
        <v>-11756435.725660814</v>
      </c>
      <c r="S814" s="25">
        <f t="shared" ca="1" si="787"/>
        <v>-18306851.133678094</v>
      </c>
    </row>
    <row r="815" spans="1:19" ht="15.75" customHeight="1" x14ac:dyDescent="0.3">
      <c r="A815" s="37">
        <v>75758</v>
      </c>
      <c r="B815" s="398">
        <f t="shared" ref="B815:C815" si="826">($A815-B$9)/365.25</f>
        <v>125.53593429158111</v>
      </c>
      <c r="C815" s="398">
        <f t="shared" si="826"/>
        <v>120.92539356605064</v>
      </c>
      <c r="E815" s="25">
        <f>IF(C815&gt;$B$7,0,'Combined Retirement'!$D$13/12)</f>
        <v>0</v>
      </c>
      <c r="F815" s="25">
        <f>IF(H815=0,'Combined Retirement'!$D$32,0)+'Combined Retirement'!$B$24</f>
        <v>2870.372285649099</v>
      </c>
      <c r="G815" s="25">
        <f>'Combined Retirement'!$C$24</f>
        <v>3254.2644699519233</v>
      </c>
      <c r="H815" s="25">
        <f>IF(B815&lt;62,0,'Combined Retirement'!$I$14)</f>
        <v>2345</v>
      </c>
      <c r="I815" s="25">
        <f>IF(C815&lt;62,0,'Combined Retirement'!$I$13)</f>
        <v>2420</v>
      </c>
      <c r="J815" s="25">
        <f t="shared" si="783"/>
        <v>8395.6297298201844</v>
      </c>
      <c r="K815" s="25">
        <f t="shared" si="784"/>
        <v>21655.303514578787</v>
      </c>
      <c r="L815" s="25"/>
      <c r="N815" s="25">
        <f>'Combined Retirement'!$C$18/12</f>
        <v>40940.569999999992</v>
      </c>
      <c r="O815" s="25">
        <f t="shared" si="785"/>
        <v>10889.636755601023</v>
      </c>
      <c r="P815" s="25">
        <f t="shared" si="786"/>
        <v>30050.93324439897</v>
      </c>
      <c r="Q815" s="25">
        <f t="array" aca="1" ref="Q815" ca="1">INDEX('Isaac 401k'!L:L,MATCH('Retirement Calculator'!A815,'Isaac 401k'!N:N,0),0)</f>
        <v>-6586139.4170710482</v>
      </c>
      <c r="R815" s="25">
        <f t="array" aca="1" ref="R815" ca="1">INDEX('Lorri 401b'!L:L,MATCH('Retirement Calculator'!A815,'Lorri 401b'!N:N,0),0)</f>
        <v>-11827166.408463623</v>
      </c>
      <c r="S815" s="25">
        <f t="shared" ca="1" si="787"/>
        <v>-18413305.825534672</v>
      </c>
    </row>
    <row r="816" spans="1:19" ht="15.75" customHeight="1" x14ac:dyDescent="0.3">
      <c r="A816" s="37">
        <v>75788</v>
      </c>
      <c r="B816" s="398">
        <f t="shared" ref="B816:C816" si="827">($A816-B$9)/365.25</f>
        <v>125.61806981519507</v>
      </c>
      <c r="C816" s="398">
        <f t="shared" si="827"/>
        <v>121.00752908966462</v>
      </c>
      <c r="E816" s="25">
        <f>IF(C816&gt;$B$7,0,'Combined Retirement'!$D$13/12)</f>
        <v>0</v>
      </c>
      <c r="F816" s="25">
        <f>IF(H816=0,'Combined Retirement'!$D$32,0)+'Combined Retirement'!$B$24</f>
        <v>2870.372285649099</v>
      </c>
      <c r="G816" s="25">
        <f>'Combined Retirement'!$C$24</f>
        <v>3254.2644699519233</v>
      </c>
      <c r="H816" s="25">
        <f>IF(B816&lt;62,0,'Combined Retirement'!$I$14)</f>
        <v>2345</v>
      </c>
      <c r="I816" s="25">
        <f>IF(C816&lt;62,0,'Combined Retirement'!$I$13)</f>
        <v>2420</v>
      </c>
      <c r="J816" s="25">
        <f t="shared" si="783"/>
        <v>8395.6297298201844</v>
      </c>
      <c r="K816" s="25">
        <f t="shared" si="784"/>
        <v>21655.303514578787</v>
      </c>
      <c r="L816" s="25"/>
      <c r="N816" s="25">
        <f>'Combined Retirement'!$C$18/12</f>
        <v>40940.569999999992</v>
      </c>
      <c r="O816" s="25">
        <f t="shared" si="785"/>
        <v>10889.636755601023</v>
      </c>
      <c r="P816" s="25">
        <f t="shared" si="786"/>
        <v>30050.93324439897</v>
      </c>
      <c r="Q816" s="25">
        <f t="array" aca="1" ref="Q816" ca="1">INDEX('Isaac 401k'!L:L,MATCH('Retirement Calculator'!A816,'Isaac 401k'!N:N,0),0)</f>
        <v>-6622012.2761625387</v>
      </c>
      <c r="R816" s="25">
        <f t="array" aca="1" ref="R816" ca="1">INDEX('Lorri 401b'!L:L,MATCH('Retirement Calculator'!A816,'Lorri 401b'!N:N,0),0)</f>
        <v>-11898191.802444778</v>
      </c>
      <c r="S816" s="25">
        <f t="shared" ca="1" si="787"/>
        <v>-18520204.078607317</v>
      </c>
    </row>
    <row r="817" spans="1:19" ht="15.75" customHeight="1" x14ac:dyDescent="0.3">
      <c r="A817" s="37">
        <v>75819</v>
      </c>
      <c r="B817" s="398">
        <f t="shared" ref="B817:C817" si="828">($A817-B$9)/365.25</f>
        <v>125.70294318959617</v>
      </c>
      <c r="C817" s="398">
        <f t="shared" si="828"/>
        <v>121.09240246406571</v>
      </c>
      <c r="E817" s="25">
        <f>IF(C817&gt;$B$7,0,'Combined Retirement'!$D$13/12)</f>
        <v>0</v>
      </c>
      <c r="F817" s="25">
        <f>IF(H817=0,'Combined Retirement'!$D$32,0)+'Combined Retirement'!$B$24</f>
        <v>2870.372285649099</v>
      </c>
      <c r="G817" s="25">
        <f>'Combined Retirement'!$C$24</f>
        <v>3254.2644699519233</v>
      </c>
      <c r="H817" s="25">
        <f>IF(B817&lt;62,0,'Combined Retirement'!$I$14)</f>
        <v>2345</v>
      </c>
      <c r="I817" s="25">
        <f>IF(C817&lt;62,0,'Combined Retirement'!$I$13)</f>
        <v>2420</v>
      </c>
      <c r="J817" s="25">
        <f t="shared" si="783"/>
        <v>8395.6297298201844</v>
      </c>
      <c r="K817" s="25">
        <f t="shared" si="784"/>
        <v>21655.303514578787</v>
      </c>
      <c r="L817" s="25"/>
      <c r="N817" s="25">
        <f>'Combined Retirement'!$C$18/12</f>
        <v>40940.569999999992</v>
      </c>
      <c r="O817" s="25">
        <f t="shared" si="785"/>
        <v>10889.636755601023</v>
      </c>
      <c r="P817" s="25">
        <f t="shared" si="786"/>
        <v>30050.93324439897</v>
      </c>
      <c r="Q817" s="25">
        <f t="array" aca="1" ref="Q817" ca="1">INDEX('Isaac 401k'!L:L,MATCH('Retirement Calculator'!A817,'Isaac 401k'!N:N,0),0)</f>
        <v>-6658034.6055002436</v>
      </c>
      <c r="R817" s="25">
        <f t="array" aca="1" ref="R817" ca="1">INDEX('Lorri 401b'!L:L,MATCH('Retirement Calculator'!A817,'Lorri 401b'!N:N,0),0)</f>
        <v>-11969513.135567522</v>
      </c>
      <c r="S817" s="25">
        <f t="shared" ca="1" si="787"/>
        <v>-18627547.741067767</v>
      </c>
    </row>
    <row r="818" spans="1:19" ht="15.75" customHeight="1" x14ac:dyDescent="0.3">
      <c r="A818" s="37">
        <v>75850</v>
      </c>
      <c r="B818" s="398">
        <f t="shared" ref="B818:C818" si="829">($A818-B$9)/365.25</f>
        <v>125.78781656399727</v>
      </c>
      <c r="C818" s="398">
        <f t="shared" si="829"/>
        <v>121.1772758384668</v>
      </c>
      <c r="E818" s="25">
        <f>IF(C818&gt;$B$7,0,'Combined Retirement'!$D$13/12)</f>
        <v>0</v>
      </c>
      <c r="F818" s="25">
        <f>IF(H818=0,'Combined Retirement'!$D$32,0)+'Combined Retirement'!$B$24</f>
        <v>2870.372285649099</v>
      </c>
      <c r="G818" s="25">
        <f>'Combined Retirement'!$C$24</f>
        <v>3254.2644699519233</v>
      </c>
      <c r="H818" s="25">
        <f>IF(B818&lt;62,0,'Combined Retirement'!$I$14)</f>
        <v>2345</v>
      </c>
      <c r="I818" s="25">
        <f>IF(C818&lt;62,0,'Combined Retirement'!$I$13)</f>
        <v>2420</v>
      </c>
      <c r="J818" s="25">
        <f t="shared" si="783"/>
        <v>8395.6297298201844</v>
      </c>
      <c r="K818" s="25">
        <f t="shared" si="784"/>
        <v>21655.303514578787</v>
      </c>
      <c r="L818" s="25"/>
      <c r="N818" s="25">
        <f>'Combined Retirement'!$C$18/12</f>
        <v>40940.569999999992</v>
      </c>
      <c r="O818" s="25">
        <f t="shared" si="785"/>
        <v>10889.636755601023</v>
      </c>
      <c r="P818" s="25">
        <f t="shared" si="786"/>
        <v>30050.93324439897</v>
      </c>
      <c r="Q818" s="25">
        <f t="array" aca="1" ref="Q818" ca="1">INDEX('Isaac 401k'!L:L,MATCH('Retirement Calculator'!A818,'Isaac 401k'!N:N,0),0)</f>
        <v>-6694207.0278768558</v>
      </c>
      <c r="R818" s="25">
        <f t="array" aca="1" ref="R818" ca="1">INDEX('Lorri 401b'!L:L,MATCH('Retirement Calculator'!A818,'Lorri 401b'!N:N,0),0)</f>
        <v>-12041131.640911609</v>
      </c>
      <c r="S818" s="25">
        <f t="shared" ca="1" si="787"/>
        <v>-18735338.668788463</v>
      </c>
    </row>
    <row r="819" spans="1:19" ht="15.75" customHeight="1" x14ac:dyDescent="0.3">
      <c r="A819" s="37">
        <v>75880</v>
      </c>
      <c r="B819" s="398">
        <f t="shared" ref="B819:C819" si="830">($A819-B$9)/365.25</f>
        <v>125.86995208761122</v>
      </c>
      <c r="C819" s="398">
        <f t="shared" si="830"/>
        <v>121.25941136208077</v>
      </c>
      <c r="E819" s="25">
        <f>IF(C819&gt;$B$7,0,'Combined Retirement'!$D$13/12)</f>
        <v>0</v>
      </c>
      <c r="F819" s="25">
        <f>IF(H819=0,'Combined Retirement'!$D$32,0)+'Combined Retirement'!$B$24</f>
        <v>2870.372285649099</v>
      </c>
      <c r="G819" s="25">
        <f>'Combined Retirement'!$C$24</f>
        <v>3254.2644699519233</v>
      </c>
      <c r="H819" s="25">
        <f>IF(B819&lt;62,0,'Combined Retirement'!$I$14)</f>
        <v>2345</v>
      </c>
      <c r="I819" s="25">
        <f>IF(C819&lt;62,0,'Combined Retirement'!$I$13)</f>
        <v>2420</v>
      </c>
      <c r="J819" s="25">
        <f t="shared" si="783"/>
        <v>8395.6297298201844</v>
      </c>
      <c r="K819" s="25">
        <f t="shared" si="784"/>
        <v>21655.303514578787</v>
      </c>
      <c r="L819" s="25"/>
      <c r="N819" s="25">
        <f>'Combined Retirement'!$C$18/12</f>
        <v>40940.569999999992</v>
      </c>
      <c r="O819" s="25">
        <f t="shared" si="785"/>
        <v>10889.636755601023</v>
      </c>
      <c r="P819" s="25">
        <f t="shared" si="786"/>
        <v>30050.93324439897</v>
      </c>
      <c r="Q819" s="25">
        <f t="array" aca="1" ref="Q819" ca="1">INDEX('Isaac 401k'!L:L,MATCH('Retirement Calculator'!A819,'Isaac 401k'!N:N,0),0)</f>
        <v>-6730530.1686800374</v>
      </c>
      <c r="R819" s="25">
        <f t="array" aca="1" ref="R819" ca="1">INDEX('Lorri 401b'!L:L,MATCH('Retirement Calculator'!A819,'Lorri 401b'!N:N,0),0)</f>
        <v>-12113048.556694631</v>
      </c>
      <c r="S819" s="25">
        <f t="shared" ca="1" si="787"/>
        <v>-18843578.725374669</v>
      </c>
    </row>
    <row r="820" spans="1:19" ht="15.75" customHeight="1" x14ac:dyDescent="0.3">
      <c r="A820" s="37">
        <v>75911</v>
      </c>
      <c r="B820" s="398">
        <f t="shared" ref="B820:C820" si="831">($A820-B$9)/365.25</f>
        <v>125.95482546201232</v>
      </c>
      <c r="C820" s="398">
        <f t="shared" si="831"/>
        <v>121.34428473648187</v>
      </c>
      <c r="E820" s="25">
        <f>IF(C820&gt;$B$7,0,'Combined Retirement'!$D$13/12)</f>
        <v>0</v>
      </c>
      <c r="F820" s="25">
        <f>IF(H820=0,'Combined Retirement'!$D$32,0)+'Combined Retirement'!$B$24</f>
        <v>2870.372285649099</v>
      </c>
      <c r="G820" s="25">
        <f>'Combined Retirement'!$C$24</f>
        <v>3254.2644699519233</v>
      </c>
      <c r="H820" s="25">
        <f>IF(B820&lt;62,0,'Combined Retirement'!$I$14)</f>
        <v>2345</v>
      </c>
      <c r="I820" s="25">
        <f>IF(C820&lt;62,0,'Combined Retirement'!$I$13)</f>
        <v>2420</v>
      </c>
      <c r="J820" s="25">
        <f t="shared" si="783"/>
        <v>8395.6297298201844</v>
      </c>
      <c r="K820" s="25">
        <f t="shared" si="784"/>
        <v>21655.303514578787</v>
      </c>
      <c r="L820" s="25"/>
      <c r="N820" s="25">
        <f>'Combined Retirement'!$C$18/12</f>
        <v>40940.569999999992</v>
      </c>
      <c r="O820" s="25">
        <f t="shared" si="785"/>
        <v>10889.636755601023</v>
      </c>
      <c r="P820" s="25">
        <f t="shared" si="786"/>
        <v>30050.93324439897</v>
      </c>
      <c r="Q820" s="25">
        <f t="array" aca="1" ref="Q820" ca="1">INDEX('Isaac 401k'!L:L,MATCH('Retirement Calculator'!A820,'Isaac 401k'!N:N,0),0)</f>
        <v>-6767004.6559032323</v>
      </c>
      <c r="R820" s="25">
        <f t="array" aca="1" ref="R820" ca="1">INDEX('Lorri 401b'!L:L,MATCH('Retirement Calculator'!A820,'Lorri 401b'!N:N,0),0)</f>
        <v>-12185265.126293415</v>
      </c>
      <c r="S820" s="25">
        <f t="shared" ca="1" si="787"/>
        <v>-18952269.782196648</v>
      </c>
    </row>
    <row r="821" spans="1:19" ht="15.75" customHeight="1" x14ac:dyDescent="0.3">
      <c r="A821" s="37">
        <v>75941</v>
      </c>
      <c r="B821" s="398">
        <f t="shared" ref="B821:C821" si="832">($A821-B$9)/365.25</f>
        <v>126.03696098562628</v>
      </c>
      <c r="C821" s="398">
        <f t="shared" si="832"/>
        <v>121.42642026009582</v>
      </c>
      <c r="E821" s="25">
        <f>IF(C821&gt;$B$7,0,'Combined Retirement'!$D$13/12)</f>
        <v>0</v>
      </c>
      <c r="F821" s="25">
        <f>IF(H821=0,'Combined Retirement'!$D$32,0)+'Combined Retirement'!$B$24</f>
        <v>2870.372285649099</v>
      </c>
      <c r="G821" s="25">
        <f>'Combined Retirement'!$C$24</f>
        <v>3254.2644699519233</v>
      </c>
      <c r="H821" s="25">
        <f>IF(B821&lt;62,0,'Combined Retirement'!$I$14)</f>
        <v>2345</v>
      </c>
      <c r="I821" s="25">
        <f>IF(C821&lt;62,0,'Combined Retirement'!$I$13)</f>
        <v>2420</v>
      </c>
      <c r="J821" s="25">
        <f t="shared" si="783"/>
        <v>8395.6297298201844</v>
      </c>
      <c r="K821" s="25">
        <f t="shared" si="784"/>
        <v>21655.303514578787</v>
      </c>
      <c r="L821" s="25"/>
      <c r="N821" s="25">
        <f>'Combined Retirement'!$C$18/12</f>
        <v>40940.569999999992</v>
      </c>
      <c r="O821" s="25">
        <f t="shared" si="785"/>
        <v>10889.636755601023</v>
      </c>
      <c r="P821" s="25">
        <f t="shared" si="786"/>
        <v>30050.93324439897</v>
      </c>
      <c r="Q821" s="25">
        <f t="array" aca="1" ref="Q821" ca="1">INDEX('Isaac 401k'!L:L,MATCH('Retirement Calculator'!A821,'Isaac 401k'!N:N,0),0)</f>
        <v>-6803631.1201565238</v>
      </c>
      <c r="R821" s="25">
        <f t="array" aca="1" ref="R821" ca="1">INDEX('Lorri 401b'!L:L,MATCH('Retirement Calculator'!A821,'Lorri 401b'!N:N,0),0)</f>
        <v>-12257782.598265529</v>
      </c>
      <c r="S821" s="25">
        <f t="shared" ca="1" si="787"/>
        <v>-19061413.718422052</v>
      </c>
    </row>
    <row r="822" spans="1:19" ht="15.75" customHeight="1" x14ac:dyDescent="0.3">
      <c r="A822" s="37">
        <v>75972</v>
      </c>
      <c r="B822" s="398">
        <f t="shared" ref="B822:C822" si="833">($A822-B$9)/365.25</f>
        <v>126.12183436002738</v>
      </c>
      <c r="C822" s="398">
        <f t="shared" si="833"/>
        <v>121.51129363449692</v>
      </c>
      <c r="E822" s="25">
        <f>IF(C822&gt;$B$7,0,'Combined Retirement'!$D$13/12)</f>
        <v>0</v>
      </c>
      <c r="F822" s="25">
        <f>IF(H822=0,'Combined Retirement'!$D$32,0)+'Combined Retirement'!$B$24</f>
        <v>2870.372285649099</v>
      </c>
      <c r="G822" s="25">
        <f>'Combined Retirement'!$C$24</f>
        <v>3254.2644699519233</v>
      </c>
      <c r="H822" s="25">
        <f>IF(B822&lt;62,0,'Combined Retirement'!$I$14)</f>
        <v>2345</v>
      </c>
      <c r="I822" s="25">
        <f>IF(C822&lt;62,0,'Combined Retirement'!$I$13)</f>
        <v>2420</v>
      </c>
      <c r="J822" s="25">
        <f t="shared" si="783"/>
        <v>8395.6297298201844</v>
      </c>
      <c r="K822" s="25">
        <f t="shared" si="784"/>
        <v>21655.303514578787</v>
      </c>
      <c r="L822" s="25"/>
      <c r="N822" s="25">
        <f>'Combined Retirement'!$C$18/12</f>
        <v>40940.569999999992</v>
      </c>
      <c r="O822" s="25">
        <f t="shared" si="785"/>
        <v>10889.636755601023</v>
      </c>
      <c r="P822" s="25">
        <f t="shared" si="786"/>
        <v>30050.93324439897</v>
      </c>
      <c r="Q822" s="25">
        <f t="array" aca="1" ref="Q822" ca="1">INDEX('Isaac 401k'!L:L,MATCH('Retirement Calculator'!A822,'Isaac 401k'!N:N,0),0)</f>
        <v>-6840410.1946775373</v>
      </c>
      <c r="R822" s="25">
        <f t="array" aca="1" ref="R822" ca="1">INDEX('Lorri 401b'!L:L,MATCH('Retirement Calculator'!A822,'Lorri 401b'!N:N,0),0)</f>
        <v>-12330602.226370858</v>
      </c>
      <c r="S822" s="25">
        <f t="shared" ca="1" si="787"/>
        <v>-19171012.421048395</v>
      </c>
    </row>
    <row r="823" spans="1:19" ht="15.75" customHeight="1" x14ac:dyDescent="0.3">
      <c r="A823" s="37">
        <v>76003</v>
      </c>
      <c r="B823" s="398">
        <f t="shared" ref="B823:C823" si="834">($A823-B$9)/365.25</f>
        <v>126.20670773442848</v>
      </c>
      <c r="C823" s="398">
        <f t="shared" si="834"/>
        <v>121.59616700889802</v>
      </c>
      <c r="E823" s="25">
        <f>IF(C823&gt;$B$7,0,'Combined Retirement'!$D$13/12)</f>
        <v>0</v>
      </c>
      <c r="F823" s="25">
        <f>IF(H823=0,'Combined Retirement'!$D$32,0)+'Combined Retirement'!$B$24</f>
        <v>2870.372285649099</v>
      </c>
      <c r="G823" s="25">
        <f>'Combined Retirement'!$C$24</f>
        <v>3254.2644699519233</v>
      </c>
      <c r="H823" s="25">
        <f>IF(B823&lt;62,0,'Combined Retirement'!$I$14)</f>
        <v>2345</v>
      </c>
      <c r="I823" s="25">
        <f>IF(C823&lt;62,0,'Combined Retirement'!$I$13)</f>
        <v>2420</v>
      </c>
      <c r="J823" s="25">
        <f t="shared" si="783"/>
        <v>8395.6297298201844</v>
      </c>
      <c r="K823" s="25">
        <f t="shared" si="784"/>
        <v>21655.303514578787</v>
      </c>
      <c r="L823" s="25"/>
      <c r="N823" s="25">
        <f>'Combined Retirement'!$C$18/12</f>
        <v>40940.569999999992</v>
      </c>
      <c r="O823" s="25">
        <f t="shared" si="785"/>
        <v>10889.636755601023</v>
      </c>
      <c r="P823" s="25">
        <f t="shared" si="786"/>
        <v>30050.93324439897</v>
      </c>
      <c r="Q823" s="25">
        <f t="array" aca="1" ref="Q823" ca="1">INDEX('Isaac 401k'!L:L,MATCH('Retirement Calculator'!A823,'Isaac 401k'!N:N,0),0)</f>
        <v>-6877342.5153423883</v>
      </c>
      <c r="R823" s="25">
        <f t="array" aca="1" ref="R823" ca="1">INDEX('Lorri 401b'!L:L,MATCH('Retirement Calculator'!A823,'Lorri 401b'!N:N,0),0)</f>
        <v>-12403725.269593293</v>
      </c>
      <c r="S823" s="25">
        <f t="shared" ca="1" si="787"/>
        <v>-19281067.784935683</v>
      </c>
    </row>
    <row r="824" spans="1:19" ht="15.75" customHeight="1" x14ac:dyDescent="0.3">
      <c r="A824" s="37">
        <v>76032</v>
      </c>
      <c r="B824" s="398">
        <f t="shared" ref="B824:C824" si="835">($A824-B$9)/365.25</f>
        <v>126.28610540725531</v>
      </c>
      <c r="C824" s="398">
        <f t="shared" si="835"/>
        <v>121.67556468172485</v>
      </c>
      <c r="E824" s="25">
        <f>IF(C824&gt;$B$7,0,'Combined Retirement'!$D$13/12)</f>
        <v>0</v>
      </c>
      <c r="F824" s="25">
        <f>IF(H824=0,'Combined Retirement'!$D$32,0)+'Combined Retirement'!$B$24</f>
        <v>2870.372285649099</v>
      </c>
      <c r="G824" s="25">
        <f>'Combined Retirement'!$C$24</f>
        <v>3254.2644699519233</v>
      </c>
      <c r="H824" s="25">
        <f>IF(B824&lt;62,0,'Combined Retirement'!$I$14)</f>
        <v>2345</v>
      </c>
      <c r="I824" s="25">
        <f>IF(C824&lt;62,0,'Combined Retirement'!$I$13)</f>
        <v>2420</v>
      </c>
      <c r="J824" s="25">
        <f t="shared" si="783"/>
        <v>8395.6297298201844</v>
      </c>
      <c r="K824" s="25">
        <f t="shared" si="784"/>
        <v>21655.303514578787</v>
      </c>
      <c r="L824" s="25"/>
      <c r="N824" s="25">
        <f>'Combined Retirement'!$C$18/12</f>
        <v>40940.569999999992</v>
      </c>
      <c r="O824" s="25">
        <f t="shared" si="785"/>
        <v>10889.636755601023</v>
      </c>
      <c r="P824" s="25">
        <f t="shared" si="786"/>
        <v>30050.93324439897</v>
      </c>
      <c r="Q824" s="25">
        <f t="array" aca="1" ref="Q824" ca="1">INDEX('Isaac 401k'!L:L,MATCH('Retirement Calculator'!A824,'Isaac 401k'!N:N,0),0)</f>
        <v>-6914428.7206766764</v>
      </c>
      <c r="R824" s="25">
        <f t="array" aca="1" ref="R824" ca="1">INDEX('Lorri 401b'!L:L,MATCH('Retirement Calculator'!A824,'Lorri 401b'!N:N,0),0)</f>
        <v>-12477152.992162488</v>
      </c>
      <c r="S824" s="25">
        <f t="shared" ca="1" si="787"/>
        <v>-19391581.712839164</v>
      </c>
    </row>
    <row r="825" spans="1:19" ht="15.75" customHeight="1" x14ac:dyDescent="0.3">
      <c r="A825" s="37">
        <v>76063</v>
      </c>
      <c r="B825" s="398">
        <f t="shared" ref="B825:C825" si="836">($A825-B$9)/365.25</f>
        <v>126.3709787816564</v>
      </c>
      <c r="C825" s="398">
        <f t="shared" si="836"/>
        <v>121.76043805612593</v>
      </c>
      <c r="E825" s="25">
        <f>IF(C825&gt;$B$7,0,'Combined Retirement'!$D$13/12)</f>
        <v>0</v>
      </c>
      <c r="F825" s="25">
        <f>IF(H825=0,'Combined Retirement'!$D$32,0)+'Combined Retirement'!$B$24</f>
        <v>2870.372285649099</v>
      </c>
      <c r="G825" s="25">
        <f>'Combined Retirement'!$C$24</f>
        <v>3254.2644699519233</v>
      </c>
      <c r="H825" s="25">
        <f>IF(B825&lt;62,0,'Combined Retirement'!$I$14)</f>
        <v>2345</v>
      </c>
      <c r="I825" s="25">
        <f>IF(C825&lt;62,0,'Combined Retirement'!$I$13)</f>
        <v>2420</v>
      </c>
      <c r="J825" s="25">
        <f t="shared" si="783"/>
        <v>8395.6297298201844</v>
      </c>
      <c r="K825" s="25">
        <f t="shared" si="784"/>
        <v>21655.303514578787</v>
      </c>
      <c r="L825" s="25"/>
      <c r="N825" s="25">
        <f>'Combined Retirement'!$C$18/12</f>
        <v>40940.569999999992</v>
      </c>
      <c r="O825" s="25">
        <f t="shared" si="785"/>
        <v>10889.636755601023</v>
      </c>
      <c r="P825" s="25">
        <f t="shared" si="786"/>
        <v>30050.93324439897</v>
      </c>
      <c r="Q825" s="25">
        <f t="array" aca="1" ref="Q825" ca="1">INDEX('Isaac 401k'!L:L,MATCH('Retirement Calculator'!A825,'Isaac 401k'!N:N,0),0)</f>
        <v>-6951669.4518665243</v>
      </c>
      <c r="R825" s="25">
        <f t="array" aca="1" ref="R825" ca="1">INDEX('Lorri 401b'!L:L,MATCH('Retirement Calculator'!A825,'Lorri 401b'!N:N,0),0)</f>
        <v>-12550886.663575722</v>
      </c>
      <c r="S825" s="25">
        <f t="shared" ca="1" si="787"/>
        <v>-19502556.115442246</v>
      </c>
    </row>
    <row r="826" spans="1:19" ht="15.75" customHeight="1" x14ac:dyDescent="0.3">
      <c r="A826" s="37">
        <v>76093</v>
      </c>
      <c r="B826" s="398">
        <f t="shared" ref="B826:C826" si="837">($A826-B$9)/365.25</f>
        <v>126.45311430527036</v>
      </c>
      <c r="C826" s="398">
        <f t="shared" si="837"/>
        <v>121.84257357973991</v>
      </c>
      <c r="E826" s="25">
        <f>IF(C826&gt;$B$7,0,'Combined Retirement'!$D$13/12)</f>
        <v>0</v>
      </c>
      <c r="F826" s="25">
        <f>IF(H826=0,'Combined Retirement'!$D$32,0)+'Combined Retirement'!$B$24</f>
        <v>2870.372285649099</v>
      </c>
      <c r="G826" s="25">
        <f>'Combined Retirement'!$C$24</f>
        <v>3254.2644699519233</v>
      </c>
      <c r="H826" s="25">
        <f>IF(B826&lt;62,0,'Combined Retirement'!$I$14)</f>
        <v>2345</v>
      </c>
      <c r="I826" s="25">
        <f>IF(C826&lt;62,0,'Combined Retirement'!$I$13)</f>
        <v>2420</v>
      </c>
      <c r="J826" s="25">
        <f t="shared" si="783"/>
        <v>8395.6297298201844</v>
      </c>
      <c r="K826" s="25">
        <f t="shared" si="784"/>
        <v>21655.303514578787</v>
      </c>
      <c r="L826" s="25"/>
      <c r="N826" s="25">
        <f>'Combined Retirement'!$C$18/12</f>
        <v>40940.569999999992</v>
      </c>
      <c r="O826" s="25">
        <f t="shared" si="785"/>
        <v>10889.636755601023</v>
      </c>
      <c r="P826" s="25">
        <f t="shared" si="786"/>
        <v>30050.93324439897</v>
      </c>
      <c r="Q826" s="25">
        <f t="array" aca="1" ref="Q826" ca="1">INDEX('Isaac 401k'!L:L,MATCH('Retirement Calculator'!A826,'Isaac 401k'!N:N,0),0)</f>
        <v>-6989065.3527696626</v>
      </c>
      <c r="R826" s="25">
        <f t="array" aca="1" ref="R826" ca="1">INDEX('Lorri 401b'!L:L,MATCH('Retirement Calculator'!A826,'Lorri 401b'!N:N,0),0)</f>
        <v>-12624927.558619844</v>
      </c>
      <c r="S826" s="25">
        <f t="shared" ca="1" si="787"/>
        <v>-19613992.911389507</v>
      </c>
    </row>
    <row r="827" spans="1:19" ht="15.75" customHeight="1" x14ac:dyDescent="0.3">
      <c r="A827" s="37">
        <v>76124</v>
      </c>
      <c r="B827" s="398">
        <f t="shared" ref="B827:C827" si="838">($A827-B$9)/365.25</f>
        <v>126.53798767967146</v>
      </c>
      <c r="C827" s="398">
        <f t="shared" si="838"/>
        <v>121.927446954141</v>
      </c>
      <c r="E827" s="25">
        <f>IF(C827&gt;$B$7,0,'Combined Retirement'!$D$13/12)</f>
        <v>0</v>
      </c>
      <c r="F827" s="25">
        <f>IF(H827=0,'Combined Retirement'!$D$32,0)+'Combined Retirement'!$B$24</f>
        <v>2870.372285649099</v>
      </c>
      <c r="G827" s="25">
        <f>'Combined Retirement'!$C$24</f>
        <v>3254.2644699519233</v>
      </c>
      <c r="H827" s="25">
        <f>IF(B827&lt;62,0,'Combined Retirement'!$I$14)</f>
        <v>2345</v>
      </c>
      <c r="I827" s="25">
        <f>IF(C827&lt;62,0,'Combined Retirement'!$I$13)</f>
        <v>2420</v>
      </c>
      <c r="J827" s="25">
        <f t="shared" si="783"/>
        <v>8395.6297298201844</v>
      </c>
      <c r="K827" s="25">
        <f t="shared" si="784"/>
        <v>21655.303514578787</v>
      </c>
      <c r="L827" s="25"/>
      <c r="N827" s="25">
        <f>'Combined Retirement'!$C$18/12</f>
        <v>40940.569999999992</v>
      </c>
      <c r="O827" s="25">
        <f t="shared" si="785"/>
        <v>10889.636755601023</v>
      </c>
      <c r="P827" s="25">
        <f t="shared" si="786"/>
        <v>30050.93324439897</v>
      </c>
      <c r="Q827" s="25">
        <f t="array" aca="1" ref="Q827" ca="1">INDEX('Isaac 401k'!L:L,MATCH('Retirement Calculator'!A827,'Isaac 401k'!N:N,0),0)</f>
        <v>-7026617.0699265646</v>
      </c>
      <c r="R827" s="25">
        <f t="array" aca="1" ref="R827" ca="1">INDEX('Lorri 401b'!L:L,MATCH('Retirement Calculator'!A827,'Lorri 401b'!N:N,0),0)</f>
        <v>-12699276.957393317</v>
      </c>
      <c r="S827" s="25">
        <f t="shared" ca="1" si="787"/>
        <v>-19725894.027319882</v>
      </c>
    </row>
    <row r="828" spans="1:19" ht="15.75" customHeight="1" x14ac:dyDescent="0.3">
      <c r="A828" s="37">
        <v>76154</v>
      </c>
      <c r="B828" s="398">
        <f t="shared" ref="B828:C828" si="839">($A828-B$9)/365.25</f>
        <v>126.62012320328542</v>
      </c>
      <c r="C828" s="398">
        <f t="shared" si="839"/>
        <v>122.00958247775496</v>
      </c>
      <c r="E828" s="25">
        <f>IF(C828&gt;$B$7,0,'Combined Retirement'!$D$13/12)</f>
        <v>0</v>
      </c>
      <c r="F828" s="25">
        <f>IF(H828=0,'Combined Retirement'!$D$32,0)+'Combined Retirement'!$B$24</f>
        <v>2870.372285649099</v>
      </c>
      <c r="G828" s="25">
        <f>'Combined Retirement'!$C$24</f>
        <v>3254.2644699519233</v>
      </c>
      <c r="H828" s="25">
        <f>IF(B828&lt;62,0,'Combined Retirement'!$I$14)</f>
        <v>2345</v>
      </c>
      <c r="I828" s="25">
        <f>IF(C828&lt;62,0,'Combined Retirement'!$I$13)</f>
        <v>2420</v>
      </c>
      <c r="J828" s="25">
        <f t="shared" si="783"/>
        <v>8395.6297298201844</v>
      </c>
      <c r="K828" s="25">
        <f t="shared" si="784"/>
        <v>21655.303514578787</v>
      </c>
      <c r="L828" s="25"/>
      <c r="N828" s="25">
        <f>'Combined Retirement'!$C$18/12</f>
        <v>40940.569999999992</v>
      </c>
      <c r="O828" s="25">
        <f t="shared" si="785"/>
        <v>10889.636755601023</v>
      </c>
      <c r="P828" s="25">
        <f t="shared" si="786"/>
        <v>30050.93324439897</v>
      </c>
      <c r="Q828" s="25">
        <f t="array" aca="1" ref="Q828" ca="1">INDEX('Isaac 401k'!L:L,MATCH('Retirement Calculator'!A828,'Isaac 401k'!N:N,0),0)</f>
        <v>-7064325.25257162</v>
      </c>
      <c r="R828" s="25">
        <f t="array" aca="1" ref="R828" ca="1">INDEX('Lorri 401b'!L:L,MATCH('Retirement Calculator'!A828,'Lorri 401b'!N:N,0),0)</f>
        <v>-12773936.145328345</v>
      </c>
      <c r="S828" s="25">
        <f t="shared" ca="1" si="787"/>
        <v>-19838261.397899963</v>
      </c>
    </row>
    <row r="829" spans="1:19" ht="15.75" customHeight="1" x14ac:dyDescent="0.3">
      <c r="A829" s="37">
        <v>76185</v>
      </c>
      <c r="B829" s="398">
        <f t="shared" ref="B829:C829" si="840">($A829-B$9)/365.25</f>
        <v>126.70499657768652</v>
      </c>
      <c r="C829" s="398">
        <f t="shared" si="840"/>
        <v>122.09445585215606</v>
      </c>
      <c r="E829" s="25">
        <f>IF(C829&gt;$B$7,0,'Combined Retirement'!$D$13/12)</f>
        <v>0</v>
      </c>
      <c r="F829" s="25">
        <f>IF(H829=0,'Combined Retirement'!$D$32,0)+'Combined Retirement'!$B$24</f>
        <v>2870.372285649099</v>
      </c>
      <c r="G829" s="25">
        <f>'Combined Retirement'!$C$24</f>
        <v>3254.2644699519233</v>
      </c>
      <c r="H829" s="25">
        <f>IF(B829&lt;62,0,'Combined Retirement'!$I$14)</f>
        <v>2345</v>
      </c>
      <c r="I829" s="25">
        <f>IF(C829&lt;62,0,'Combined Retirement'!$I$13)</f>
        <v>2420</v>
      </c>
      <c r="J829" s="25">
        <f t="shared" si="783"/>
        <v>8395.6297298201844</v>
      </c>
      <c r="K829" s="25">
        <f t="shared" si="784"/>
        <v>21655.303514578787</v>
      </c>
      <c r="L829" s="25"/>
      <c r="N829" s="25">
        <f>'Combined Retirement'!$C$18/12</f>
        <v>40940.569999999992</v>
      </c>
      <c r="O829" s="25">
        <f t="shared" si="785"/>
        <v>10889.636755601023</v>
      </c>
      <c r="P829" s="25">
        <f t="shared" si="786"/>
        <v>30050.93324439897</v>
      </c>
      <c r="Q829" s="25">
        <f t="array" aca="1" ref="Q829" ca="1">INDEX('Isaac 401k'!L:L,MATCH('Retirement Calculator'!A829,'Isaac 401k'!N:N,0),0)</f>
        <v>-7102190.5526443627</v>
      </c>
      <c r="R829" s="25">
        <f t="array" aca="1" ref="R829" ca="1">INDEX('Lorri 401b'!L:L,MATCH('Retirement Calculator'!A829,'Lorri 401b'!N:N,0),0)</f>
        <v>-12848906.413213102</v>
      </c>
      <c r="S829" s="25">
        <f t="shared" ca="1" si="787"/>
        <v>-19951096.965857465</v>
      </c>
    </row>
    <row r="830" spans="1:19" ht="15.75" customHeight="1" x14ac:dyDescent="0.3">
      <c r="A830" s="37">
        <v>76216</v>
      </c>
      <c r="B830" s="398">
        <f t="shared" ref="B830:C830" si="841">($A830-B$9)/365.25</f>
        <v>126.78986995208761</v>
      </c>
      <c r="C830" s="398">
        <f t="shared" si="841"/>
        <v>122.17932922655716</v>
      </c>
      <c r="E830" s="25">
        <f>IF(C830&gt;$B$7,0,'Combined Retirement'!$D$13/12)</f>
        <v>0</v>
      </c>
      <c r="F830" s="25">
        <f>IF(H830=0,'Combined Retirement'!$D$32,0)+'Combined Retirement'!$B$24</f>
        <v>2870.372285649099</v>
      </c>
      <c r="G830" s="25">
        <f>'Combined Retirement'!$C$24</f>
        <v>3254.2644699519233</v>
      </c>
      <c r="H830" s="25">
        <f>IF(B830&lt;62,0,'Combined Retirement'!$I$14)</f>
        <v>2345</v>
      </c>
      <c r="I830" s="25">
        <f>IF(C830&lt;62,0,'Combined Retirement'!$I$13)</f>
        <v>2420</v>
      </c>
      <c r="J830" s="25">
        <f t="shared" si="783"/>
        <v>8395.6297298201844</v>
      </c>
      <c r="K830" s="25">
        <f t="shared" si="784"/>
        <v>21655.303514578787</v>
      </c>
      <c r="L830" s="25"/>
      <c r="N830" s="25">
        <f>'Combined Retirement'!$C$18/12</f>
        <v>40940.569999999992</v>
      </c>
      <c r="O830" s="25">
        <f t="shared" si="785"/>
        <v>10889.636755601023</v>
      </c>
      <c r="P830" s="25">
        <f t="shared" si="786"/>
        <v>30050.93324439897</v>
      </c>
      <c r="Q830" s="25">
        <f t="array" aca="1" ref="Q830" ca="1">INDEX('Isaac 401k'!L:L,MATCH('Retirement Calculator'!A830,'Isaac 401k'!N:N,0),0)</f>
        <v>-7140213.6248007426</v>
      </c>
      <c r="R830" s="25">
        <f t="array" aca="1" ref="R830" ca="1">INDEX('Lorri 401b'!L:L,MATCH('Retirement Calculator'!A830,'Lorri 401b'!N:N,0),0)</f>
        <v>-12924189.057214046</v>
      </c>
      <c r="S830" s="25">
        <f t="shared" ca="1" si="787"/>
        <v>-20064402.682014789</v>
      </c>
    </row>
    <row r="831" spans="1:19" ht="15.75" customHeight="1" x14ac:dyDescent="0.3">
      <c r="A831" s="37">
        <v>76246</v>
      </c>
      <c r="B831" s="398">
        <f t="shared" ref="B831:C831" si="842">($A831-B$9)/365.25</f>
        <v>126.87200547570157</v>
      </c>
      <c r="C831" s="398">
        <f t="shared" si="842"/>
        <v>122.26146475017111</v>
      </c>
      <c r="E831" s="25">
        <f>IF(C831&gt;$B$7,0,'Combined Retirement'!$D$13/12)</f>
        <v>0</v>
      </c>
      <c r="F831" s="25">
        <f>IF(H831=0,'Combined Retirement'!$D$32,0)+'Combined Retirement'!$B$24</f>
        <v>2870.372285649099</v>
      </c>
      <c r="G831" s="25">
        <f>'Combined Retirement'!$C$24</f>
        <v>3254.2644699519233</v>
      </c>
      <c r="H831" s="25">
        <f>IF(B831&lt;62,0,'Combined Retirement'!$I$14)</f>
        <v>2345</v>
      </c>
      <c r="I831" s="25">
        <f>IF(C831&lt;62,0,'Combined Retirement'!$I$13)</f>
        <v>2420</v>
      </c>
      <c r="J831" s="25">
        <f t="shared" si="783"/>
        <v>8395.6297298201844</v>
      </c>
      <c r="K831" s="25">
        <f t="shared" si="784"/>
        <v>21655.303514578787</v>
      </c>
      <c r="L831" s="25"/>
      <c r="N831" s="25">
        <f>'Combined Retirement'!$C$18/12</f>
        <v>40940.569999999992</v>
      </c>
      <c r="O831" s="25">
        <f t="shared" si="785"/>
        <v>10889.636755601023</v>
      </c>
      <c r="P831" s="25">
        <f t="shared" si="786"/>
        <v>30050.93324439897</v>
      </c>
      <c r="Q831" s="25">
        <f t="array" aca="1" ref="Q831" ca="1">INDEX('Isaac 401k'!L:L,MATCH('Retirement Calculator'!A831,'Isaac 401k'!N:N,0),0)</f>
        <v>-7178395.1264244402</v>
      </c>
      <c r="R831" s="25">
        <f t="array" aca="1" ref="R831" ca="1">INDEX('Lorri 401b'!L:L,MATCH('Retirement Calculator'!A831,'Lorri 401b'!N:N,0),0)</f>
        <v>-12999785.378898328</v>
      </c>
      <c r="S831" s="25">
        <f t="shared" ca="1" si="787"/>
        <v>-20178180.505322769</v>
      </c>
    </row>
    <row r="832" spans="1:19" ht="15.75" customHeight="1" x14ac:dyDescent="0.3">
      <c r="A832" s="37">
        <v>76277</v>
      </c>
      <c r="B832" s="398">
        <f t="shared" ref="B832:C832" si="843">($A832-B$9)/365.25</f>
        <v>126.95687885010267</v>
      </c>
      <c r="C832" s="398">
        <f t="shared" si="843"/>
        <v>122.34633812457221</v>
      </c>
      <c r="E832" s="25">
        <f>IF(C832&gt;$B$7,0,'Combined Retirement'!$D$13/12)</f>
        <v>0</v>
      </c>
      <c r="F832" s="25">
        <f>IF(H832=0,'Combined Retirement'!$D$32,0)+'Combined Retirement'!$B$24</f>
        <v>2870.372285649099</v>
      </c>
      <c r="G832" s="25">
        <f>'Combined Retirement'!$C$24</f>
        <v>3254.2644699519233</v>
      </c>
      <c r="H832" s="25">
        <f>IF(B832&lt;62,0,'Combined Retirement'!$I$14)</f>
        <v>2345</v>
      </c>
      <c r="I832" s="25">
        <f>IF(C832&lt;62,0,'Combined Retirement'!$I$13)</f>
        <v>2420</v>
      </c>
      <c r="J832" s="25">
        <f t="shared" si="783"/>
        <v>8395.6297298201844</v>
      </c>
      <c r="K832" s="25">
        <f t="shared" si="784"/>
        <v>21655.303514578787</v>
      </c>
      <c r="L832" s="25"/>
      <c r="N832" s="25">
        <f>'Combined Retirement'!$C$18/12</f>
        <v>40940.569999999992</v>
      </c>
      <c r="O832" s="25">
        <f t="shared" si="785"/>
        <v>10889.636755601023</v>
      </c>
      <c r="P832" s="25">
        <f t="shared" si="786"/>
        <v>30050.93324439897</v>
      </c>
      <c r="Q832" s="25">
        <f t="array" aca="1" ref="Q832" ca="1">INDEX('Isaac 401k'!L:L,MATCH('Retirement Calculator'!A832,'Isaac 401k'!N:N,0),0)</f>
        <v>-7216735.7176382365</v>
      </c>
      <c r="R832" s="25">
        <f t="array" aca="1" ref="R832" ca="1">INDEX('Lorri 401b'!L:L,MATCH('Retirement Calculator'!A832,'Lorri 401b'!N:N,0),0)</f>
        <v>-13075696.685256295</v>
      </c>
      <c r="S832" s="25">
        <f t="shared" ca="1" si="787"/>
        <v>-20292432.40289453</v>
      </c>
    </row>
    <row r="833" spans="1:19" ht="15.75" customHeight="1" x14ac:dyDescent="0.3">
      <c r="A833" s="37">
        <v>76307</v>
      </c>
      <c r="B833" s="398">
        <f t="shared" ref="B833:C833" si="844">($A833-B$9)/365.25</f>
        <v>127.03901437371663</v>
      </c>
      <c r="C833" s="398">
        <f t="shared" si="844"/>
        <v>122.42847364818617</v>
      </c>
      <c r="E833" s="25">
        <f>IF(C833&gt;$B$7,0,'Combined Retirement'!$D$13/12)</f>
        <v>0</v>
      </c>
      <c r="F833" s="25">
        <f>IF(H833=0,'Combined Retirement'!$D$32,0)+'Combined Retirement'!$B$24</f>
        <v>2870.372285649099</v>
      </c>
      <c r="G833" s="25">
        <f>'Combined Retirement'!$C$24</f>
        <v>3254.2644699519233</v>
      </c>
      <c r="H833" s="25">
        <f>IF(B833&lt;62,0,'Combined Retirement'!$I$14)</f>
        <v>2345</v>
      </c>
      <c r="I833" s="25">
        <f>IF(C833&lt;62,0,'Combined Retirement'!$I$13)</f>
        <v>2420</v>
      </c>
      <c r="J833" s="25">
        <f t="shared" si="783"/>
        <v>8395.6297298201844</v>
      </c>
      <c r="K833" s="25">
        <f t="shared" si="784"/>
        <v>21655.303514578787</v>
      </c>
      <c r="L833" s="25"/>
      <c r="N833" s="25">
        <f>'Combined Retirement'!$C$18/12</f>
        <v>40940.569999999992</v>
      </c>
      <c r="O833" s="25">
        <f t="shared" si="785"/>
        <v>10889.636755601023</v>
      </c>
      <c r="P833" s="25">
        <f t="shared" si="786"/>
        <v>30050.93324439897</v>
      </c>
      <c r="Q833" s="25">
        <f t="array" aca="1" ref="Q833" ca="1">INDEX('Isaac 401k'!L:L,MATCH('Retirement Calculator'!A833,'Isaac 401k'!N:N,0),0)</f>
        <v>-7255236.0613154238</v>
      </c>
      <c r="R833" s="25">
        <f t="array" aca="1" ref="R833" ca="1">INDEX('Lorri 401b'!L:L,MATCH('Retirement Calculator'!A833,'Lorri 401b'!N:N,0),0)</f>
        <v>-13151924.288724085</v>
      </c>
      <c r="S833" s="25">
        <f t="shared" ca="1" si="787"/>
        <v>-20407160.350039508</v>
      </c>
    </row>
    <row r="834" spans="1:19" ht="15.75" customHeight="1" x14ac:dyDescent="0.3">
      <c r="A834" s="37">
        <v>76338</v>
      </c>
      <c r="B834" s="398">
        <f t="shared" ref="B834:C834" si="845">($A834-B$9)/365.25</f>
        <v>127.12388774811772</v>
      </c>
      <c r="C834" s="398">
        <f t="shared" si="845"/>
        <v>122.51334702258727</v>
      </c>
      <c r="E834" s="25">
        <f>IF(C834&gt;$B$7,0,'Combined Retirement'!$D$13/12)</f>
        <v>0</v>
      </c>
      <c r="F834" s="25">
        <f>IF(H834=0,'Combined Retirement'!$D$32,0)+'Combined Retirement'!$B$24</f>
        <v>2870.372285649099</v>
      </c>
      <c r="G834" s="25">
        <f>'Combined Retirement'!$C$24</f>
        <v>3254.2644699519233</v>
      </c>
      <c r="H834" s="25">
        <f>IF(B834&lt;62,0,'Combined Retirement'!$I$14)</f>
        <v>2345</v>
      </c>
      <c r="I834" s="25">
        <f>IF(C834&lt;62,0,'Combined Retirement'!$I$13)</f>
        <v>2420</v>
      </c>
      <c r="J834" s="25">
        <f t="shared" si="783"/>
        <v>8395.6297298201844</v>
      </c>
      <c r="K834" s="25">
        <f t="shared" si="784"/>
        <v>21655.303514578787</v>
      </c>
      <c r="L834" s="25"/>
      <c r="N834" s="25">
        <f>'Combined Retirement'!$C$18/12</f>
        <v>40940.569999999992</v>
      </c>
      <c r="O834" s="25">
        <f t="shared" si="785"/>
        <v>10889.636755601023</v>
      </c>
      <c r="P834" s="25">
        <f t="shared" si="786"/>
        <v>30050.93324439897</v>
      </c>
      <c r="Q834" s="25">
        <f t="array" aca="1" ref="Q834" ca="1">INDEX('Isaac 401k'!L:L,MATCH('Retirement Calculator'!A834,'Isaac 401k'!N:N,0),0)</f>
        <v>-7293896.8230912657</v>
      </c>
      <c r="R834" s="25">
        <f t="array" aca="1" ref="R834" ca="1">INDEX('Lorri 401b'!L:L,MATCH('Retirement Calculator'!A834,'Lorri 401b'!N:N,0),0)</f>
        <v>-13228469.507206326</v>
      </c>
      <c r="S834" s="25">
        <f t="shared" ca="1" si="787"/>
        <v>-20522366.330297593</v>
      </c>
    </row>
    <row r="835" spans="1:19" ht="15.75" customHeight="1" x14ac:dyDescent="0.3">
      <c r="A835" s="37">
        <v>76369</v>
      </c>
      <c r="B835" s="398">
        <f t="shared" ref="B835:C835" si="846">($A835-B$9)/365.25</f>
        <v>127.20876112251882</v>
      </c>
      <c r="C835" s="398">
        <f t="shared" si="846"/>
        <v>122.59822039698837</v>
      </c>
      <c r="E835" s="25">
        <f>IF(C835&gt;$B$7,0,'Combined Retirement'!$D$13/12)</f>
        <v>0</v>
      </c>
      <c r="F835" s="25">
        <f>IF(H835=0,'Combined Retirement'!$D$32,0)+'Combined Retirement'!$B$24</f>
        <v>2870.372285649099</v>
      </c>
      <c r="G835" s="25">
        <f>'Combined Retirement'!$C$24</f>
        <v>3254.2644699519233</v>
      </c>
      <c r="H835" s="25">
        <f>IF(B835&lt;62,0,'Combined Retirement'!$I$14)</f>
        <v>2345</v>
      </c>
      <c r="I835" s="25">
        <f>IF(C835&lt;62,0,'Combined Retirement'!$I$13)</f>
        <v>2420</v>
      </c>
      <c r="J835" s="25">
        <f t="shared" si="783"/>
        <v>8395.6297298201844</v>
      </c>
      <c r="K835" s="25">
        <f t="shared" si="784"/>
        <v>21655.303514578787</v>
      </c>
      <c r="L835" s="25"/>
      <c r="N835" s="25">
        <f>'Combined Retirement'!$C$18/12</f>
        <v>40940.569999999992</v>
      </c>
      <c r="O835" s="25">
        <f t="shared" si="785"/>
        <v>10889.636755601023</v>
      </c>
      <c r="P835" s="25">
        <f t="shared" si="786"/>
        <v>30050.93324439897</v>
      </c>
      <c r="Q835" s="25">
        <f t="array" aca="1" ref="Q835" ca="1">INDEX('Isaac 401k'!L:L,MATCH('Retirement Calculator'!A835,'Isaac 401k'!N:N,0),0)</f>
        <v>-7332718.6713745072</v>
      </c>
      <c r="R835" s="25">
        <f t="array" aca="1" ref="R835" ca="1">INDEX('Lorri 401b'!L:L,MATCH('Retirement Calculator'!A835,'Lorri 401b'!N:N,0),0)</f>
        <v>-13305333.664098909</v>
      </c>
      <c r="S835" s="25">
        <f t="shared" ca="1" si="787"/>
        <v>-20638052.335473418</v>
      </c>
    </row>
    <row r="836" spans="1:19" ht="15.75" customHeight="1" x14ac:dyDescent="0.3">
      <c r="A836" s="37">
        <v>76397</v>
      </c>
      <c r="B836" s="398">
        <f t="shared" ref="B836:C836" si="847">($A836-B$9)/365.25</f>
        <v>127.28542094455852</v>
      </c>
      <c r="C836" s="398">
        <f t="shared" si="847"/>
        <v>122.67488021902807</v>
      </c>
      <c r="E836" s="25">
        <f>IF(C836&gt;$B$7,0,'Combined Retirement'!$D$13/12)</f>
        <v>0</v>
      </c>
      <c r="F836" s="25">
        <f>IF(H836=0,'Combined Retirement'!$D$32,0)+'Combined Retirement'!$B$24</f>
        <v>2870.372285649099</v>
      </c>
      <c r="G836" s="25">
        <f>'Combined Retirement'!$C$24</f>
        <v>3254.2644699519233</v>
      </c>
      <c r="H836" s="25">
        <f>IF(B836&lt;62,0,'Combined Retirement'!$I$14)</f>
        <v>2345</v>
      </c>
      <c r="I836" s="25">
        <f>IF(C836&lt;62,0,'Combined Retirement'!$I$13)</f>
        <v>2420</v>
      </c>
      <c r="J836" s="25">
        <f t="shared" si="783"/>
        <v>8395.6297298201844</v>
      </c>
      <c r="K836" s="25">
        <f t="shared" si="784"/>
        <v>21655.303514578787</v>
      </c>
      <c r="L836" s="25"/>
      <c r="N836" s="25">
        <f>'Combined Retirement'!$C$18/12</f>
        <v>40940.569999999992</v>
      </c>
      <c r="O836" s="25">
        <f t="shared" si="785"/>
        <v>10889.636755601023</v>
      </c>
      <c r="P836" s="25">
        <f t="shared" si="786"/>
        <v>30050.93324439897</v>
      </c>
      <c r="Q836" s="25">
        <f t="array" aca="1" ref="Q836" ca="1">INDEX('Isaac 401k'!L:L,MATCH('Retirement Calculator'!A836,'Isaac 401k'!N:N,0),0)</f>
        <v>-7371702.2773589287</v>
      </c>
      <c r="R836" s="25">
        <f t="array" aca="1" ref="R836" ca="1">INDEX('Lorri 401b'!L:L,MATCH('Retirement Calculator'!A836,'Lorri 401b'!N:N,0),0)</f>
        <v>-13382518.088311877</v>
      </c>
      <c r="S836" s="25">
        <f t="shared" ca="1" si="787"/>
        <v>-20754220.365670808</v>
      </c>
    </row>
    <row r="837" spans="1:19" ht="15.75" customHeight="1" x14ac:dyDescent="0.3">
      <c r="A837" s="37">
        <v>76428</v>
      </c>
      <c r="B837" s="398">
        <f t="shared" ref="B837:C837" si="848">($A837-B$9)/365.25</f>
        <v>127.37029431895962</v>
      </c>
      <c r="C837" s="398">
        <f t="shared" si="848"/>
        <v>122.75975359342915</v>
      </c>
      <c r="E837" s="25">
        <f>IF(C837&gt;$B$7,0,'Combined Retirement'!$D$13/12)</f>
        <v>0</v>
      </c>
      <c r="F837" s="25">
        <f>IF(H837=0,'Combined Retirement'!$D$32,0)+'Combined Retirement'!$B$24</f>
        <v>2870.372285649099</v>
      </c>
      <c r="G837" s="25">
        <f>'Combined Retirement'!$C$24</f>
        <v>3254.2644699519233</v>
      </c>
      <c r="H837" s="25">
        <f>IF(B837&lt;62,0,'Combined Retirement'!$I$14)</f>
        <v>2345</v>
      </c>
      <c r="I837" s="25">
        <f>IF(C837&lt;62,0,'Combined Retirement'!$I$13)</f>
        <v>2420</v>
      </c>
      <c r="J837" s="25">
        <f t="shared" si="783"/>
        <v>8395.6297298201844</v>
      </c>
      <c r="K837" s="25">
        <f t="shared" si="784"/>
        <v>21655.303514578787</v>
      </c>
      <c r="L837" s="25"/>
      <c r="N837" s="25">
        <f>'Combined Retirement'!$C$18/12</f>
        <v>40940.569999999992</v>
      </c>
      <c r="O837" s="25">
        <f t="shared" si="785"/>
        <v>10889.636755601023</v>
      </c>
      <c r="P837" s="25">
        <f t="shared" si="786"/>
        <v>30050.93324439897</v>
      </c>
      <c r="Q837" s="25">
        <f t="array" aca="1" ref="Q837" ca="1">INDEX('Isaac 401k'!L:L,MATCH('Retirement Calculator'!A837,'Isaac 401k'!N:N,0),0)</f>
        <v>-7410848.315034952</v>
      </c>
      <c r="R837" s="25">
        <f t="array" aca="1" ref="R837" ca="1">INDEX('Lorri 401b'!L:L,MATCH('Retirement Calculator'!A837,'Lorri 401b'!N:N,0),0)</f>
        <v>-13460024.1142924</v>
      </c>
      <c r="S837" s="25">
        <f t="shared" ca="1" si="787"/>
        <v>-20870872.429327354</v>
      </c>
    </row>
    <row r="838" spans="1:19" ht="15.75" customHeight="1" x14ac:dyDescent="0.3">
      <c r="A838" s="37">
        <v>76458</v>
      </c>
      <c r="B838" s="398">
        <f t="shared" ref="B838:C838" si="849">($A838-B$9)/365.25</f>
        <v>127.45242984257358</v>
      </c>
      <c r="C838" s="398">
        <f t="shared" si="849"/>
        <v>122.84188911704312</v>
      </c>
      <c r="E838" s="25">
        <f>IF(C838&gt;$B$7,0,'Combined Retirement'!$D$13/12)</f>
        <v>0</v>
      </c>
      <c r="F838" s="25">
        <f>IF(H838=0,'Combined Retirement'!$D$32,0)+'Combined Retirement'!$B$24</f>
        <v>2870.372285649099</v>
      </c>
      <c r="G838" s="25">
        <f>'Combined Retirement'!$C$24</f>
        <v>3254.2644699519233</v>
      </c>
      <c r="H838" s="25">
        <f>IF(B838&lt;62,0,'Combined Retirement'!$I$14)</f>
        <v>2345</v>
      </c>
      <c r="I838" s="25">
        <f>IF(C838&lt;62,0,'Combined Retirement'!$I$13)</f>
        <v>2420</v>
      </c>
      <c r="J838" s="25">
        <f t="shared" si="783"/>
        <v>8395.6297298201844</v>
      </c>
      <c r="K838" s="25">
        <f t="shared" si="784"/>
        <v>21655.303514578787</v>
      </c>
      <c r="L838" s="25"/>
      <c r="N838" s="25">
        <f>'Combined Retirement'!$C$18/12</f>
        <v>40940.569999999992</v>
      </c>
      <c r="O838" s="25">
        <f t="shared" si="785"/>
        <v>10889.636755601023</v>
      </c>
      <c r="P838" s="25">
        <f t="shared" si="786"/>
        <v>30050.93324439897</v>
      </c>
      <c r="Q838" s="25">
        <f t="array" aca="1" ref="Q838" ca="1">INDEX('Isaac 401k'!L:L,MATCH('Retirement Calculator'!A838,'Isaac 401k'!N:N,0),0)</f>
        <v>-7450157.4612012925</v>
      </c>
      <c r="R838" s="25">
        <f t="array" aca="1" ref="R838" ca="1">INDEX('Lorri 401b'!L:L,MATCH('Retirement Calculator'!A838,'Lorri 401b'!N:N,0),0)</f>
        <v>-13537853.082047842</v>
      </c>
      <c r="S838" s="25">
        <f t="shared" ca="1" si="787"/>
        <v>-20988010.543249134</v>
      </c>
    </row>
    <row r="839" spans="1:19" ht="15.75" customHeight="1" x14ac:dyDescent="0.3">
      <c r="A839" s="37">
        <v>76489</v>
      </c>
      <c r="B839" s="398">
        <f t="shared" ref="B839:C839" si="850">($A839-B$9)/365.25</f>
        <v>127.53730321697468</v>
      </c>
      <c r="C839" s="398">
        <f t="shared" si="850"/>
        <v>122.92676249144422</v>
      </c>
      <c r="E839" s="25">
        <f>IF(C839&gt;$B$7,0,'Combined Retirement'!$D$13/12)</f>
        <v>0</v>
      </c>
      <c r="F839" s="25">
        <f>IF(H839=0,'Combined Retirement'!$D$32,0)+'Combined Retirement'!$B$24</f>
        <v>2870.372285649099</v>
      </c>
      <c r="G839" s="25">
        <f>'Combined Retirement'!$C$24</f>
        <v>3254.2644699519233</v>
      </c>
      <c r="H839" s="25">
        <f>IF(B839&lt;62,0,'Combined Retirement'!$I$14)</f>
        <v>2345</v>
      </c>
      <c r="I839" s="25">
        <f>IF(C839&lt;62,0,'Combined Retirement'!$I$13)</f>
        <v>2420</v>
      </c>
      <c r="J839" s="25">
        <f t="shared" si="783"/>
        <v>8395.6297298201844</v>
      </c>
      <c r="K839" s="25">
        <f t="shared" si="784"/>
        <v>21655.303514578787</v>
      </c>
      <c r="L839" s="25"/>
      <c r="N839" s="25">
        <f>'Combined Retirement'!$C$18/12</f>
        <v>40940.569999999992</v>
      </c>
      <c r="O839" s="25">
        <f t="shared" si="785"/>
        <v>10889.636755601023</v>
      </c>
      <c r="P839" s="25">
        <f t="shared" si="786"/>
        <v>30050.93324439897</v>
      </c>
      <c r="Q839" s="25">
        <f t="array" aca="1" ref="Q839" ca="1">INDEX('Isaac 401k'!L:L,MATCH('Retirement Calculator'!A839,'Isaac 401k'!N:N,0),0)</f>
        <v>-7489630.3954766588</v>
      </c>
      <c r="R839" s="25">
        <f t="array" aca="1" ref="R839" ca="1">INDEX('Lorri 401b'!L:L,MATCH('Retirement Calculator'!A839,'Lorri 401b'!N:N,0),0)</f>
        <v>-13616006.337168932</v>
      </c>
      <c r="S839" s="25">
        <f t="shared" ca="1" si="787"/>
        <v>-21105636.73264559</v>
      </c>
    </row>
    <row r="840" spans="1:19" ht="15.75" customHeight="1" x14ac:dyDescent="0.3">
      <c r="A840" s="37">
        <v>76519</v>
      </c>
      <c r="B840" s="398">
        <f t="shared" ref="B840:C840" si="851">($A840-B$9)/365.25</f>
        <v>127.61943874058863</v>
      </c>
      <c r="C840" s="398">
        <f t="shared" si="851"/>
        <v>123.00889801505818</v>
      </c>
      <c r="E840" s="25">
        <f>IF(C840&gt;$B$7,0,'Combined Retirement'!$D$13/12)</f>
        <v>0</v>
      </c>
      <c r="F840" s="25">
        <f>IF(H840=0,'Combined Retirement'!$D$32,0)+'Combined Retirement'!$B$24</f>
        <v>2870.372285649099</v>
      </c>
      <c r="G840" s="25">
        <f>'Combined Retirement'!$C$24</f>
        <v>3254.2644699519233</v>
      </c>
      <c r="H840" s="25">
        <f>IF(B840&lt;62,0,'Combined Retirement'!$I$14)</f>
        <v>2345</v>
      </c>
      <c r="I840" s="25">
        <f>IF(C840&lt;62,0,'Combined Retirement'!$I$13)</f>
        <v>2420</v>
      </c>
      <c r="J840" s="25">
        <f t="shared" si="783"/>
        <v>8395.6297298201844</v>
      </c>
      <c r="K840" s="25">
        <f t="shared" si="784"/>
        <v>21655.303514578787</v>
      </c>
      <c r="L840" s="25"/>
      <c r="N840" s="25">
        <f>'Combined Retirement'!$C$18/12</f>
        <v>40940.569999999992</v>
      </c>
      <c r="O840" s="25">
        <f t="shared" si="785"/>
        <v>10889.636755601023</v>
      </c>
      <c r="P840" s="25">
        <f t="shared" si="786"/>
        <v>30050.93324439897</v>
      </c>
      <c r="Q840" s="25">
        <f t="array" aca="1" ref="Q840" ca="1">INDEX('Isaac 401k'!L:L,MATCH('Retirement Calculator'!A840,'Isaac 401k'!N:N,0),0)</f>
        <v>-7529267.8003115058</v>
      </c>
      <c r="R840" s="25">
        <f t="array" aca="1" ref="R840" ca="1">INDEX('Lorri 401b'!L:L,MATCH('Retirement Calculator'!A840,'Lorri 401b'!N:N,0),0)</f>
        <v>-13694485.230853027</v>
      </c>
      <c r="S840" s="25">
        <f t="shared" ca="1" si="787"/>
        <v>-21223753.031164534</v>
      </c>
    </row>
    <row r="841" spans="1:19" ht="15.75" customHeight="1" x14ac:dyDescent="0.3">
      <c r="A841" s="37">
        <v>76550</v>
      </c>
      <c r="B841" s="398">
        <f t="shared" ref="B841:C841" si="852">($A841-B$9)/365.25</f>
        <v>127.70431211498973</v>
      </c>
      <c r="C841" s="398">
        <f t="shared" si="852"/>
        <v>123.09377138945928</v>
      </c>
      <c r="E841" s="25">
        <f>IF(C841&gt;$B$7,0,'Combined Retirement'!$D$13/12)</f>
        <v>0</v>
      </c>
      <c r="F841" s="25">
        <f>IF(H841=0,'Combined Retirement'!$D$32,0)+'Combined Retirement'!$B$24</f>
        <v>2870.372285649099</v>
      </c>
      <c r="G841" s="25">
        <f>'Combined Retirement'!$C$24</f>
        <v>3254.2644699519233</v>
      </c>
      <c r="H841" s="25">
        <f>IF(B841&lt;62,0,'Combined Retirement'!$I$14)</f>
        <v>2345</v>
      </c>
      <c r="I841" s="25">
        <f>IF(C841&lt;62,0,'Combined Retirement'!$I$13)</f>
        <v>2420</v>
      </c>
      <c r="J841" s="25">
        <f t="shared" si="783"/>
        <v>8395.6297298201844</v>
      </c>
      <c r="K841" s="25">
        <f t="shared" si="784"/>
        <v>21655.303514578787</v>
      </c>
      <c r="L841" s="25"/>
      <c r="N841" s="25">
        <f>'Combined Retirement'!$C$18/12</f>
        <v>40940.569999999992</v>
      </c>
      <c r="O841" s="25">
        <f t="shared" si="785"/>
        <v>10889.636755601023</v>
      </c>
      <c r="P841" s="25">
        <f t="shared" si="786"/>
        <v>30050.93324439897</v>
      </c>
      <c r="Q841" s="25">
        <f t="array" aca="1" ref="Q841" ca="1">INDEX('Isaac 401k'!L:L,MATCH('Retirement Calculator'!A841,'Isaac 401k'!N:N,0),0)</f>
        <v>-7569070.3609998319</v>
      </c>
      <c r="R841" s="25">
        <f t="array" aca="1" ref="R841" ca="1">INDEX('Lorri 401b'!L:L,MATCH('Retirement Calculator'!A841,'Lorri 401b'!N:N,0),0)</f>
        <v>-13773291.119927472</v>
      </c>
      <c r="S841" s="25">
        <f t="shared" ca="1" si="787"/>
        <v>-21342361.480927303</v>
      </c>
    </row>
    <row r="842" spans="1:19" ht="15.75" customHeight="1" x14ac:dyDescent="0.3">
      <c r="A842" s="37">
        <v>76581</v>
      </c>
      <c r="B842" s="398">
        <f t="shared" ref="B842:C842" si="853">($A842-B$9)/365.25</f>
        <v>127.78918548939083</v>
      </c>
      <c r="C842" s="398">
        <f t="shared" si="853"/>
        <v>123.17864476386038</v>
      </c>
      <c r="E842" s="25">
        <f>IF(C842&gt;$B$7,0,'Combined Retirement'!$D$13/12)</f>
        <v>0</v>
      </c>
      <c r="F842" s="25">
        <f>IF(H842=0,'Combined Retirement'!$D$32,0)+'Combined Retirement'!$B$24</f>
        <v>2870.372285649099</v>
      </c>
      <c r="G842" s="25">
        <f>'Combined Retirement'!$C$24</f>
        <v>3254.2644699519233</v>
      </c>
      <c r="H842" s="25">
        <f>IF(B842&lt;62,0,'Combined Retirement'!$I$14)</f>
        <v>2345</v>
      </c>
      <c r="I842" s="25">
        <f>IF(C842&lt;62,0,'Combined Retirement'!$I$13)</f>
        <v>2420</v>
      </c>
      <c r="J842" s="25">
        <f t="shared" si="783"/>
        <v>8395.6297298201844</v>
      </c>
      <c r="K842" s="25">
        <f t="shared" si="784"/>
        <v>21655.303514578787</v>
      </c>
      <c r="L842" s="25"/>
      <c r="N842" s="25">
        <f>'Combined Retirement'!$C$18/12</f>
        <v>40940.569999999992</v>
      </c>
      <c r="O842" s="25">
        <f t="shared" si="785"/>
        <v>10889.636755601023</v>
      </c>
      <c r="P842" s="25">
        <f t="shared" si="786"/>
        <v>30050.93324439897</v>
      </c>
      <c r="Q842" s="25">
        <f t="array" aca="1" ref="Q842" ca="1">INDEX('Isaac 401k'!L:L,MATCH('Retirement Calculator'!A842,'Isaac 401k'!N:N,0),0)</f>
        <v>-7609038.7656910261</v>
      </c>
      <c r="R842" s="25">
        <f t="array" aca="1" ref="R842" ca="1">INDEX('Lorri 401b'!L:L,MATCH('Retirement Calculator'!A842,'Lorri 401b'!N:N,0),0)</f>
        <v>-13852425.366873059</v>
      </c>
      <c r="S842" s="25">
        <f t="shared" ca="1" si="787"/>
        <v>-21461464.132564086</v>
      </c>
    </row>
    <row r="843" spans="1:19" ht="15.75" customHeight="1" x14ac:dyDescent="0.3">
      <c r="A843" s="37">
        <v>76611</v>
      </c>
      <c r="B843" s="398">
        <f t="shared" ref="B843:C843" si="854">($A843-B$9)/365.25</f>
        <v>127.87132101300479</v>
      </c>
      <c r="C843" s="398">
        <f t="shared" si="854"/>
        <v>123.26078028747433</v>
      </c>
      <c r="E843" s="25">
        <f>IF(C843&gt;$B$7,0,'Combined Retirement'!$D$13/12)</f>
        <v>0</v>
      </c>
      <c r="F843" s="25">
        <f>IF(H843=0,'Combined Retirement'!$D$32,0)+'Combined Retirement'!$B$24</f>
        <v>2870.372285649099</v>
      </c>
      <c r="G843" s="25">
        <f>'Combined Retirement'!$C$24</f>
        <v>3254.2644699519233</v>
      </c>
      <c r="H843" s="25">
        <f>IF(B843&lt;62,0,'Combined Retirement'!$I$14)</f>
        <v>2345</v>
      </c>
      <c r="I843" s="25">
        <f>IF(C843&lt;62,0,'Combined Retirement'!$I$13)</f>
        <v>2420</v>
      </c>
      <c r="J843" s="25">
        <f t="shared" si="783"/>
        <v>8395.6297298201844</v>
      </c>
      <c r="K843" s="25">
        <f t="shared" si="784"/>
        <v>21655.303514578787</v>
      </c>
      <c r="L843" s="25"/>
      <c r="N843" s="25">
        <f>'Combined Retirement'!$C$18/12</f>
        <v>40940.569999999992</v>
      </c>
      <c r="O843" s="25">
        <f t="shared" si="785"/>
        <v>10889.636755601023</v>
      </c>
      <c r="P843" s="25">
        <f t="shared" si="786"/>
        <v>30050.93324439897</v>
      </c>
      <c r="Q843" s="25">
        <f t="array" aca="1" ref="Q843" ca="1">INDEX('Isaac 401k'!L:L,MATCH('Retirement Calculator'!A843,'Isaac 401k'!N:N,0),0)</f>
        <v>-7649173.705401767</v>
      </c>
      <c r="R843" s="25">
        <f t="array" aca="1" ref="R843" ca="1">INDEX('Lorri 401b'!L:L,MATCH('Retirement Calculator'!A843,'Lorri 401b'!N:N,0),0)</f>
        <v>-13931889.339847587</v>
      </c>
      <c r="S843" s="25">
        <f t="shared" ca="1" si="787"/>
        <v>-21581063.045249354</v>
      </c>
    </row>
    <row r="844" spans="1:19" ht="15.75" customHeight="1" x14ac:dyDescent="0.3">
      <c r="A844" s="37">
        <v>76642</v>
      </c>
      <c r="B844" s="398">
        <f t="shared" ref="B844:C844" si="855">($A844-B$9)/365.25</f>
        <v>127.95619438740589</v>
      </c>
      <c r="C844" s="398">
        <f t="shared" si="855"/>
        <v>123.34565366187543</v>
      </c>
      <c r="E844" s="25">
        <f>IF(C844&gt;$B$7,0,'Combined Retirement'!$D$13/12)</f>
        <v>0</v>
      </c>
      <c r="F844" s="25">
        <f>IF(H844=0,'Combined Retirement'!$D$32,0)+'Combined Retirement'!$B$24</f>
        <v>2870.372285649099</v>
      </c>
      <c r="G844" s="25">
        <f>'Combined Retirement'!$C$24</f>
        <v>3254.2644699519233</v>
      </c>
      <c r="H844" s="25">
        <f>IF(B844&lt;62,0,'Combined Retirement'!$I$14)</f>
        <v>2345</v>
      </c>
      <c r="I844" s="25">
        <f>IF(C844&lt;62,0,'Combined Retirement'!$I$13)</f>
        <v>2420</v>
      </c>
      <c r="J844" s="25">
        <f t="shared" si="783"/>
        <v>8395.6297298201844</v>
      </c>
      <c r="K844" s="25">
        <f t="shared" si="784"/>
        <v>21655.303514578787</v>
      </c>
      <c r="L844" s="25"/>
      <c r="N844" s="25">
        <f>'Combined Retirement'!$C$18/12</f>
        <v>40940.569999999992</v>
      </c>
      <c r="O844" s="25">
        <f t="shared" si="785"/>
        <v>10889.636755601023</v>
      </c>
      <c r="P844" s="25">
        <f t="shared" si="786"/>
        <v>30050.93324439897</v>
      </c>
      <c r="Q844" s="25">
        <f t="array" aca="1" ref="Q844" ca="1">INDEX('Isaac 401k'!L:L,MATCH('Retirement Calculator'!A844,'Isaac 401k'!N:N,0),0)</f>
        <v>-7689475.8740279693</v>
      </c>
      <c r="R844" s="25">
        <f t="array" aca="1" ref="R844" ca="1">INDEX('Lorri 401b'!L:L,MATCH('Retirement Calculator'!A844,'Lorri 401b'!N:N,0),0)</f>
        <v>-14011684.412709508</v>
      </c>
      <c r="S844" s="25">
        <f t="shared" ca="1" si="787"/>
        <v>-21701160.286737479</v>
      </c>
    </row>
    <row r="845" spans="1:19" ht="15.75" customHeight="1" x14ac:dyDescent="0.3">
      <c r="A845" s="37">
        <v>76672</v>
      </c>
      <c r="B845" s="398">
        <f t="shared" ref="B845:C845" si="856">($A845-B$9)/365.25</f>
        <v>128.03832991101984</v>
      </c>
      <c r="C845" s="398">
        <f t="shared" si="856"/>
        <v>123.42778918548939</v>
      </c>
      <c r="E845" s="25">
        <f>IF(C845&gt;$B$7,0,'Combined Retirement'!$D$13/12)</f>
        <v>0</v>
      </c>
      <c r="F845" s="25">
        <f>IF(H845=0,'Combined Retirement'!$D$32,0)+'Combined Retirement'!$B$24</f>
        <v>2870.372285649099</v>
      </c>
      <c r="G845" s="25">
        <f>'Combined Retirement'!$C$24</f>
        <v>3254.2644699519233</v>
      </c>
      <c r="H845" s="25">
        <f>IF(B845&lt;62,0,'Combined Retirement'!$I$14)</f>
        <v>2345</v>
      </c>
      <c r="I845" s="25">
        <f>IF(C845&lt;62,0,'Combined Retirement'!$I$13)</f>
        <v>2420</v>
      </c>
      <c r="J845" s="25">
        <f t="shared" si="783"/>
        <v>8395.6297298201844</v>
      </c>
      <c r="K845" s="25">
        <f t="shared" si="784"/>
        <v>21655.303514578787</v>
      </c>
      <c r="L845" s="25"/>
      <c r="N845" s="25">
        <f>'Combined Retirement'!$C$18/12</f>
        <v>40940.569999999992</v>
      </c>
      <c r="O845" s="25">
        <f t="shared" si="785"/>
        <v>10889.636755601023</v>
      </c>
      <c r="P845" s="25">
        <f t="shared" si="786"/>
        <v>30050.93324439897</v>
      </c>
      <c r="Q845" s="25">
        <f t="array" aca="1" ref="Q845" ca="1">INDEX('Isaac 401k'!L:L,MATCH('Retirement Calculator'!A845,'Isaac 401k'!N:N,0),0)</f>
        <v>-7729945.9683567807</v>
      </c>
      <c r="R845" s="25">
        <f t="array" aca="1" ref="R845" ca="1">INDEX('Lorri 401b'!L:L,MATCH('Retirement Calculator'!A845,'Lorri 401b'!N:N,0),0)</f>
        <v>-14091811.965041688</v>
      </c>
      <c r="S845" s="25">
        <f t="shared" ca="1" si="787"/>
        <v>-21821757.93339847</v>
      </c>
    </row>
    <row r="846" spans="1:19" ht="15.75" customHeight="1" x14ac:dyDescent="0.3">
      <c r="A846" s="37">
        <v>76703</v>
      </c>
      <c r="B846" s="398">
        <f t="shared" ref="B846:C846" si="857">($A846-B$9)/365.25</f>
        <v>128.12320328542094</v>
      </c>
      <c r="C846" s="398">
        <f t="shared" si="857"/>
        <v>123.51266255989049</v>
      </c>
      <c r="E846" s="25">
        <f>IF(C846&gt;$B$7,0,'Combined Retirement'!$D$13/12)</f>
        <v>0</v>
      </c>
      <c r="F846" s="25">
        <f>IF(H846=0,'Combined Retirement'!$D$32,0)+'Combined Retirement'!$B$24</f>
        <v>2870.372285649099</v>
      </c>
      <c r="G846" s="25">
        <f>'Combined Retirement'!$C$24</f>
        <v>3254.2644699519233</v>
      </c>
      <c r="H846" s="25">
        <f>IF(B846&lt;62,0,'Combined Retirement'!$I$14)</f>
        <v>2345</v>
      </c>
      <c r="I846" s="25">
        <f>IF(C846&lt;62,0,'Combined Retirement'!$I$13)</f>
        <v>2420</v>
      </c>
      <c r="J846" s="25">
        <f t="shared" si="783"/>
        <v>8395.6297298201844</v>
      </c>
      <c r="K846" s="25">
        <f t="shared" si="784"/>
        <v>21655.303514578787</v>
      </c>
      <c r="L846" s="25"/>
      <c r="N846" s="25">
        <f>'Combined Retirement'!$C$18/12</f>
        <v>40940.569999999992</v>
      </c>
      <c r="O846" s="25">
        <f t="shared" si="785"/>
        <v>10889.636755601023</v>
      </c>
      <c r="P846" s="25">
        <f t="shared" si="786"/>
        <v>30050.93324439897</v>
      </c>
      <c r="Q846" s="25">
        <f t="array" aca="1" ref="Q846" ca="1">INDEX('Isaac 401k'!L:L,MATCH('Retirement Calculator'!A846,'Isaac 401k'!N:N,0),0)</f>
        <v>-7770584.6880786289</v>
      </c>
      <c r="R846" s="25">
        <f t="array" aca="1" ref="R846" ca="1">INDEX('Lorri 401b'!L:L,MATCH('Retirement Calculator'!A846,'Lorri 401b'!N:N,0),0)</f>
        <v>-14172273.382175252</v>
      </c>
      <c r="S846" s="25">
        <f t="shared" ca="1" si="787"/>
        <v>-21942858.070253879</v>
      </c>
    </row>
    <row r="847" spans="1:19" ht="15.75" customHeight="1" x14ac:dyDescent="0.3">
      <c r="A847" s="37">
        <v>76734</v>
      </c>
      <c r="B847" s="398">
        <f t="shared" ref="B847:C847" si="858">($A847-B$9)/365.25</f>
        <v>128.20807665982204</v>
      </c>
      <c r="C847" s="398">
        <f t="shared" si="858"/>
        <v>123.59753593429159</v>
      </c>
      <c r="E847" s="25">
        <f>IF(C847&gt;$B$7,0,'Combined Retirement'!$D$13/12)</f>
        <v>0</v>
      </c>
      <c r="F847" s="25">
        <f>IF(H847=0,'Combined Retirement'!$D$32,0)+'Combined Retirement'!$B$24</f>
        <v>2870.372285649099</v>
      </c>
      <c r="G847" s="25">
        <f>'Combined Retirement'!$C$24</f>
        <v>3254.2644699519233</v>
      </c>
      <c r="H847" s="25">
        <f>IF(B847&lt;62,0,'Combined Retirement'!$I$14)</f>
        <v>2345</v>
      </c>
      <c r="I847" s="25">
        <f>IF(C847&lt;62,0,'Combined Retirement'!$I$13)</f>
        <v>2420</v>
      </c>
      <c r="J847" s="25">
        <f t="shared" si="783"/>
        <v>8395.6297298201844</v>
      </c>
      <c r="K847" s="25">
        <f t="shared" si="784"/>
        <v>21655.303514578787</v>
      </c>
      <c r="L847" s="25"/>
      <c r="N847" s="25">
        <f>'Combined Retirement'!$C$18/12</f>
        <v>40940.569999999992</v>
      </c>
      <c r="O847" s="25">
        <f t="shared" si="785"/>
        <v>10889.636755601023</v>
      </c>
      <c r="P847" s="25">
        <f t="shared" si="786"/>
        <v>30050.93324439897</v>
      </c>
      <c r="Q847" s="25">
        <f t="array" aca="1" ref="Q847" ca="1">INDEX('Isaac 401k'!L:L,MATCH('Retirement Calculator'!A847,'Isaac 401k'!N:N,0),0)</f>
        <v>-7811392.7357993182</v>
      </c>
      <c r="R847" s="25">
        <f t="array" aca="1" ref="R847" ca="1">INDEX('Lorri 401b'!L:L,MATCH('Retirement Calculator'!A847,'Lorri 401b'!N:N,0),0)</f>
        <v>-14253070.055213539</v>
      </c>
      <c r="S847" s="25">
        <f t="shared" ca="1" si="787"/>
        <v>-22064462.791012857</v>
      </c>
    </row>
    <row r="848" spans="1:19" ht="15.75" customHeight="1" x14ac:dyDescent="0.3">
      <c r="A848" s="37">
        <v>76762</v>
      </c>
      <c r="B848" s="398">
        <f t="shared" ref="B848:C848" si="859">($A848-B$9)/365.25</f>
        <v>128.28473648186173</v>
      </c>
      <c r="C848" s="398">
        <f t="shared" si="859"/>
        <v>123.67419575633129</v>
      </c>
      <c r="E848" s="25">
        <f>IF(C848&gt;$B$7,0,'Combined Retirement'!$D$13/12)</f>
        <v>0</v>
      </c>
      <c r="F848" s="25">
        <f>IF(H848=0,'Combined Retirement'!$D$32,0)+'Combined Retirement'!$B$24</f>
        <v>2870.372285649099</v>
      </c>
      <c r="G848" s="25">
        <f>'Combined Retirement'!$C$24</f>
        <v>3254.2644699519233</v>
      </c>
      <c r="H848" s="25">
        <f>IF(B848&lt;62,0,'Combined Retirement'!$I$14)</f>
        <v>2345</v>
      </c>
      <c r="I848" s="25">
        <f>IF(C848&lt;62,0,'Combined Retirement'!$I$13)</f>
        <v>2420</v>
      </c>
      <c r="J848" s="25">
        <f t="shared" si="783"/>
        <v>8395.6297298201844</v>
      </c>
      <c r="K848" s="25">
        <f t="shared" si="784"/>
        <v>21655.303514578787</v>
      </c>
      <c r="L848" s="25"/>
      <c r="N848" s="25">
        <f>'Combined Retirement'!$C$18/12</f>
        <v>40940.569999999992</v>
      </c>
      <c r="O848" s="25">
        <f t="shared" si="785"/>
        <v>10889.636755601023</v>
      </c>
      <c r="P848" s="25">
        <f t="shared" si="786"/>
        <v>30050.93324439897</v>
      </c>
      <c r="Q848" s="25">
        <f t="array" aca="1" ref="Q848" ca="1">INDEX('Isaac 401k'!L:L,MATCH('Retirement Calculator'!A848,'Isaac 401k'!N:N,0),0)</f>
        <v>-7852370.8170521762</v>
      </c>
      <c r="R848" s="25">
        <f t="array" aca="1" ref="R848" ca="1">INDEX('Lorri 401b'!L:L,MATCH('Retirement Calculator'!A848,'Lorri 401b'!N:N,0),0)</f>
        <v>-14334203.381056152</v>
      </c>
      <c r="S848" s="25">
        <f t="shared" ca="1" si="787"/>
        <v>-22186574.19810833</v>
      </c>
    </row>
    <row r="849" spans="1:19" ht="15.75" customHeight="1" x14ac:dyDescent="0.3">
      <c r="A849" s="37">
        <v>76793</v>
      </c>
      <c r="B849" s="398">
        <f t="shared" ref="B849:C849" si="860">($A849-B$9)/365.25</f>
        <v>128.36960985626283</v>
      </c>
      <c r="C849" s="398">
        <f t="shared" si="860"/>
        <v>123.75906913073237</v>
      </c>
      <c r="E849" s="25">
        <f>IF(C849&gt;$B$7,0,'Combined Retirement'!$D$13/12)</f>
        <v>0</v>
      </c>
      <c r="F849" s="25">
        <f>IF(H849=0,'Combined Retirement'!$D$32,0)+'Combined Retirement'!$B$24</f>
        <v>2870.372285649099</v>
      </c>
      <c r="G849" s="25">
        <f>'Combined Retirement'!$C$24</f>
        <v>3254.2644699519233</v>
      </c>
      <c r="H849" s="25">
        <f>IF(B849&lt;62,0,'Combined Retirement'!$I$14)</f>
        <v>2345</v>
      </c>
      <c r="I849" s="25">
        <f>IF(C849&lt;62,0,'Combined Retirement'!$I$13)</f>
        <v>2420</v>
      </c>
      <c r="J849" s="25">
        <f t="shared" si="783"/>
        <v>8395.6297298201844</v>
      </c>
      <c r="K849" s="25">
        <f t="shared" si="784"/>
        <v>21655.303514578787</v>
      </c>
      <c r="L849" s="25"/>
      <c r="N849" s="25">
        <f>'Combined Retirement'!$C$18/12</f>
        <v>40940.569999999992</v>
      </c>
      <c r="O849" s="25">
        <f t="shared" si="785"/>
        <v>10889.636755601023</v>
      </c>
      <c r="P849" s="25">
        <f t="shared" si="786"/>
        <v>30050.93324439897</v>
      </c>
      <c r="Q849" s="25">
        <f t="array" aca="1" ref="Q849" ca="1">INDEX('Isaac 401k'!L:L,MATCH('Retirement Calculator'!A849,'Isaac 401k'!N:N,0),0)</f>
        <v>-7893519.6403102549</v>
      </c>
      <c r="R849" s="25">
        <f t="array" aca="1" ref="R849" ca="1">INDEX('Lorri 401b'!L:L,MATCH('Retirement Calculator'!A849,'Lorri 401b'!N:N,0),0)</f>
        <v>-14415674.762423109</v>
      </c>
      <c r="S849" s="25">
        <f t="shared" ca="1" si="787"/>
        <v>-22309194.402733363</v>
      </c>
    </row>
    <row r="850" spans="1:19" ht="15.75" customHeight="1" x14ac:dyDescent="0.3">
      <c r="A850" s="37">
        <v>76823</v>
      </c>
      <c r="B850" s="398">
        <f t="shared" ref="B850:C850" si="861">($A850-B$9)/365.25</f>
        <v>128.4517453798768</v>
      </c>
      <c r="C850" s="398">
        <f t="shared" si="861"/>
        <v>123.84120465434634</v>
      </c>
      <c r="E850" s="25">
        <f>IF(C850&gt;$B$7,0,'Combined Retirement'!$D$13/12)</f>
        <v>0</v>
      </c>
      <c r="F850" s="25">
        <f>IF(H850=0,'Combined Retirement'!$D$32,0)+'Combined Retirement'!$B$24</f>
        <v>2870.372285649099</v>
      </c>
      <c r="G850" s="25">
        <f>'Combined Retirement'!$C$24</f>
        <v>3254.2644699519233</v>
      </c>
      <c r="H850" s="25">
        <f>IF(B850&lt;62,0,'Combined Retirement'!$I$14)</f>
        <v>2345</v>
      </c>
      <c r="I850" s="25">
        <f>IF(C850&lt;62,0,'Combined Retirement'!$I$13)</f>
        <v>2420</v>
      </c>
      <c r="J850" s="25">
        <f t="shared" si="783"/>
        <v>8395.6297298201844</v>
      </c>
      <c r="K850" s="25">
        <f t="shared" si="784"/>
        <v>21655.303514578787</v>
      </c>
      <c r="L850" s="25"/>
      <c r="N850" s="25">
        <f>'Combined Retirement'!$C$18/12</f>
        <v>40940.569999999992</v>
      </c>
      <c r="O850" s="25">
        <f t="shared" si="785"/>
        <v>10889.636755601023</v>
      </c>
      <c r="P850" s="25">
        <f t="shared" si="786"/>
        <v>30050.93324439897</v>
      </c>
      <c r="Q850" s="25">
        <f t="array" aca="1" ref="Q850" ca="1">INDEX('Isaac 401k'!L:L,MATCH('Retirement Calculator'!A850,'Isaac 401k'!N:N,0),0)</f>
        <v>-7934839.9169985754</v>
      </c>
      <c r="R850" s="25">
        <f t="array" aca="1" ref="R850" ca="1">INDEX('Lorri 401b'!L:L,MATCH('Retirement Calculator'!A850,'Lorri 401b'!N:N,0),0)</f>
        <v>-14497485.607879095</v>
      </c>
      <c r="S850" s="25">
        <f t="shared" ca="1" si="787"/>
        <v>-22432325.524877671</v>
      </c>
    </row>
    <row r="851" spans="1:19" ht="15.75" customHeight="1" x14ac:dyDescent="0.3">
      <c r="A851" s="37">
        <v>76854</v>
      </c>
      <c r="B851" s="398">
        <f t="shared" ref="B851:C851" si="862">($A851-B$9)/365.25</f>
        <v>128.5366187542779</v>
      </c>
      <c r="C851" s="398">
        <f t="shared" si="862"/>
        <v>123.92607802874743</v>
      </c>
      <c r="E851" s="25">
        <f>IF(C851&gt;$B$7,0,'Combined Retirement'!$D$13/12)</f>
        <v>0</v>
      </c>
      <c r="F851" s="25">
        <f>IF(H851=0,'Combined Retirement'!$D$32,0)+'Combined Retirement'!$B$24</f>
        <v>2870.372285649099</v>
      </c>
      <c r="G851" s="25">
        <f>'Combined Retirement'!$C$24</f>
        <v>3254.2644699519233</v>
      </c>
      <c r="H851" s="25">
        <f>IF(B851&lt;62,0,'Combined Retirement'!$I$14)</f>
        <v>2345</v>
      </c>
      <c r="I851" s="25">
        <f>IF(C851&lt;62,0,'Combined Retirement'!$I$13)</f>
        <v>2420</v>
      </c>
      <c r="J851" s="25">
        <f t="shared" si="783"/>
        <v>8395.6297298201844</v>
      </c>
      <c r="K851" s="25">
        <f t="shared" si="784"/>
        <v>21655.303514578787</v>
      </c>
      <c r="L851" s="25"/>
      <c r="N851" s="25">
        <f>'Combined Retirement'!$C$18/12</f>
        <v>40940.569999999992</v>
      </c>
      <c r="O851" s="25">
        <f t="shared" si="785"/>
        <v>10889.636755601023</v>
      </c>
      <c r="P851" s="25">
        <f t="shared" si="786"/>
        <v>30050.93324439897</v>
      </c>
      <c r="Q851" s="25">
        <f t="array" aca="1" ref="Q851" ca="1">INDEX('Isaac 401k'!L:L,MATCH('Retirement Calculator'!A851,'Isaac 401k'!N:N,0),0)</f>
        <v>-7976332.3615064304</v>
      </c>
      <c r="R851" s="25">
        <f t="array" aca="1" ref="R851" ca="1">INDEX('Lorri 401b'!L:L,MATCH('Retirement Calculator'!A851,'Lorri 401b'!N:N,0),0)</f>
        <v>-14579637.331857814</v>
      </c>
      <c r="S851" s="25">
        <f t="shared" ca="1" si="787"/>
        <v>-22555969.693364244</v>
      </c>
    </row>
    <row r="852" spans="1:19" ht="15.75" customHeight="1" x14ac:dyDescent="0.3">
      <c r="A852" s="37">
        <v>76884</v>
      </c>
      <c r="B852" s="398">
        <f t="shared" ref="B852:C852" si="863">($A852-B$9)/365.25</f>
        <v>128.61875427789187</v>
      </c>
      <c r="C852" s="398">
        <f t="shared" si="863"/>
        <v>124.0082135523614</v>
      </c>
      <c r="E852" s="25">
        <f>IF(C852&gt;$B$7,0,'Combined Retirement'!$D$13/12)</f>
        <v>0</v>
      </c>
      <c r="F852" s="25">
        <f>IF(H852=0,'Combined Retirement'!$D$32,0)+'Combined Retirement'!$B$24</f>
        <v>2870.372285649099</v>
      </c>
      <c r="G852" s="25">
        <f>'Combined Retirement'!$C$24</f>
        <v>3254.2644699519233</v>
      </c>
      <c r="H852" s="25">
        <f>IF(B852&lt;62,0,'Combined Retirement'!$I$14)</f>
        <v>2345</v>
      </c>
      <c r="I852" s="25">
        <f>IF(C852&lt;62,0,'Combined Retirement'!$I$13)</f>
        <v>2420</v>
      </c>
      <c r="J852" s="25">
        <f t="shared" si="783"/>
        <v>8395.6297298201844</v>
      </c>
      <c r="K852" s="25">
        <f t="shared" si="784"/>
        <v>21655.303514578787</v>
      </c>
      <c r="L852" s="25"/>
      <c r="N852" s="25">
        <f>'Combined Retirement'!$C$18/12</f>
        <v>40940.569999999992</v>
      </c>
      <c r="O852" s="25">
        <f t="shared" si="785"/>
        <v>10889.636755601023</v>
      </c>
      <c r="P852" s="25">
        <f t="shared" si="786"/>
        <v>30050.93324439897</v>
      </c>
      <c r="Q852" s="25">
        <f t="array" aca="1" ref="Q852" ca="1">INDEX('Isaac 401k'!L:L,MATCH('Retirement Calculator'!A852,'Isaac 401k'!N:N,0),0)</f>
        <v>-8017997.6911997348</v>
      </c>
      <c r="R852" s="25">
        <f t="array" aca="1" ref="R852" ca="1">INDEX('Lorri 401b'!L:L,MATCH('Retirement Calculator'!A852,'Lorri 401b'!N:N,0),0)</f>
        <v>-14662131.354686445</v>
      </c>
      <c r="S852" s="25">
        <f t="shared" ca="1" si="787"/>
        <v>-22680129.045886181</v>
      </c>
    </row>
    <row r="853" spans="1:19" ht="15.75" customHeight="1" x14ac:dyDescent="0.3">
      <c r="A853" s="37">
        <v>76915</v>
      </c>
      <c r="B853" s="398">
        <f t="shared" ref="B853:C853" si="864">($A853-B$9)/365.25</f>
        <v>128.70362765229294</v>
      </c>
      <c r="C853" s="398">
        <f t="shared" si="864"/>
        <v>124.0930869267625</v>
      </c>
      <c r="E853" s="25">
        <f>IF(C853&gt;$B$7,0,'Combined Retirement'!$D$13/12)</f>
        <v>0</v>
      </c>
      <c r="F853" s="25">
        <f>IF(H853=0,'Combined Retirement'!$D$32,0)+'Combined Retirement'!$B$24</f>
        <v>2870.372285649099</v>
      </c>
      <c r="G853" s="25">
        <f>'Combined Retirement'!$C$24</f>
        <v>3254.2644699519233</v>
      </c>
      <c r="H853" s="25">
        <f>IF(B853&lt;62,0,'Combined Retirement'!$I$14)</f>
        <v>2345</v>
      </c>
      <c r="I853" s="25">
        <f>IF(C853&lt;62,0,'Combined Retirement'!$I$13)</f>
        <v>2420</v>
      </c>
      <c r="J853" s="25">
        <f t="shared" si="783"/>
        <v>8395.6297298201844</v>
      </c>
      <c r="K853" s="25">
        <f t="shared" si="784"/>
        <v>21655.303514578787</v>
      </c>
      <c r="L853" s="25"/>
      <c r="N853" s="25">
        <f>'Combined Retirement'!$C$18/12</f>
        <v>40940.569999999992</v>
      </c>
      <c r="O853" s="25">
        <f t="shared" si="785"/>
        <v>10889.636755601023</v>
      </c>
      <c r="P853" s="25">
        <f t="shared" si="786"/>
        <v>30050.93324439897</v>
      </c>
      <c r="Q853" s="25">
        <f t="array" aca="1" ref="Q853" ca="1">INDEX('Isaac 401k'!L:L,MATCH('Retirement Calculator'!A853,'Isaac 401k'!N:N,0),0)</f>
        <v>-8059836.6264334284</v>
      </c>
      <c r="R853" s="25">
        <f t="array" aca="1" ref="R853" ca="1">INDEX('Lorri 401b'!L:L,MATCH('Retirement Calculator'!A853,'Lorri 401b'!N:N,0),0)</f>
        <v>-14744969.102610195</v>
      </c>
      <c r="S853" s="25">
        <f t="shared" ca="1" si="787"/>
        <v>-22804805.729043625</v>
      </c>
    </row>
    <row r="854" spans="1:19" ht="15.75" customHeight="1" x14ac:dyDescent="0.3">
      <c r="A854" s="37">
        <v>76946</v>
      </c>
      <c r="B854" s="398">
        <f t="shared" ref="B854:C854" si="865">($A854-B$9)/365.25</f>
        <v>128.78850102669404</v>
      </c>
      <c r="C854" s="398">
        <f t="shared" si="865"/>
        <v>124.17796030116358</v>
      </c>
      <c r="E854" s="25">
        <f>IF(C854&gt;$B$7,0,'Combined Retirement'!$D$13/12)</f>
        <v>0</v>
      </c>
      <c r="F854" s="25">
        <f>IF(H854=0,'Combined Retirement'!$D$32,0)+'Combined Retirement'!$B$24</f>
        <v>2870.372285649099</v>
      </c>
      <c r="G854" s="25">
        <f>'Combined Retirement'!$C$24</f>
        <v>3254.2644699519233</v>
      </c>
      <c r="H854" s="25">
        <f>IF(B854&lt;62,0,'Combined Retirement'!$I$14)</f>
        <v>2345</v>
      </c>
      <c r="I854" s="25">
        <f>IF(C854&lt;62,0,'Combined Retirement'!$I$13)</f>
        <v>2420</v>
      </c>
      <c r="J854" s="25">
        <f t="shared" si="783"/>
        <v>8395.6297298201844</v>
      </c>
      <c r="K854" s="25">
        <f t="shared" si="784"/>
        <v>21655.303514578787</v>
      </c>
      <c r="L854" s="25"/>
      <c r="N854" s="25">
        <f>'Combined Retirement'!$C$18/12</f>
        <v>40940.569999999992</v>
      </c>
      <c r="O854" s="25">
        <f t="shared" si="785"/>
        <v>10889.636755601023</v>
      </c>
      <c r="P854" s="25">
        <f t="shared" si="786"/>
        <v>30050.93324439897</v>
      </c>
      <c r="Q854" s="25">
        <f t="array" aca="1" ref="Q854" ca="1">INDEX('Isaac 401k'!L:L,MATCH('Retirement Calculator'!A854,'Isaac 401k'!N:N,0),0)</f>
        <v>-8101849.8905639295</v>
      </c>
      <c r="R854" s="25">
        <f t="array" aca="1" ref="R854" ca="1">INDEX('Lorri 401b'!L:L,MATCH('Retirement Calculator'!A854,'Lorri 401b'!N:N,0),0)</f>
        <v>-14828152.007816961</v>
      </c>
      <c r="S854" s="25">
        <f t="shared" ca="1" si="787"/>
        <v>-22930001.89838089</v>
      </c>
    </row>
    <row r="855" spans="1:19" ht="15.75" customHeight="1" x14ac:dyDescent="0.3">
      <c r="A855" s="37">
        <v>76976</v>
      </c>
      <c r="B855" s="398">
        <f t="shared" ref="B855:C855" si="866">($A855-B$9)/365.25</f>
        <v>128.87063655030801</v>
      </c>
      <c r="C855" s="398">
        <f t="shared" si="866"/>
        <v>124.26009582477755</v>
      </c>
      <c r="E855" s="25">
        <f>IF(C855&gt;$B$7,0,'Combined Retirement'!$D$13/12)</f>
        <v>0</v>
      </c>
      <c r="F855" s="25">
        <f>IF(H855=0,'Combined Retirement'!$D$32,0)+'Combined Retirement'!$B$24</f>
        <v>2870.372285649099</v>
      </c>
      <c r="G855" s="25">
        <f>'Combined Retirement'!$C$24</f>
        <v>3254.2644699519233</v>
      </c>
      <c r="H855" s="25">
        <f>IF(B855&lt;62,0,'Combined Retirement'!$I$14)</f>
        <v>2345</v>
      </c>
      <c r="I855" s="25">
        <f>IF(C855&lt;62,0,'Combined Retirement'!$I$13)</f>
        <v>2420</v>
      </c>
      <c r="J855" s="25">
        <f t="shared" si="783"/>
        <v>8395.6297298201844</v>
      </c>
      <c r="K855" s="25">
        <f t="shared" si="784"/>
        <v>21655.303514578787</v>
      </c>
      <c r="L855" s="25"/>
      <c r="N855" s="25">
        <f>'Combined Retirement'!$C$18/12</f>
        <v>40940.569999999992</v>
      </c>
      <c r="O855" s="25">
        <f t="shared" si="785"/>
        <v>10889.636755601023</v>
      </c>
      <c r="P855" s="25">
        <f t="shared" si="786"/>
        <v>30050.93324439897</v>
      </c>
      <c r="Q855" s="25">
        <f t="array" aca="1" ref="Q855" ca="1">INDEX('Isaac 401k'!L:L,MATCH('Retirement Calculator'!A855,'Isaac 401k'!N:N,0),0)</f>
        <v>-8144038.2099616406</v>
      </c>
      <c r="R855" s="25">
        <f t="array" aca="1" ref="R855" ca="1">INDEX('Lorri 401b'!L:L,MATCH('Retirement Calculator'!A855,'Lorri 401b'!N:N,0),0)</f>
        <v>-14911681.508462088</v>
      </c>
      <c r="S855" s="25">
        <f t="shared" ca="1" si="787"/>
        <v>-23055719.718423728</v>
      </c>
    </row>
    <row r="856" spans="1:19" ht="15.75" customHeight="1" x14ac:dyDescent="0.3">
      <c r="A856" s="37">
        <v>77007</v>
      </c>
      <c r="B856" s="398">
        <f t="shared" ref="B856:C856" si="867">($A856-B$9)/365.25</f>
        <v>128.95550992470911</v>
      </c>
      <c r="C856" s="398">
        <f t="shared" si="867"/>
        <v>124.34496919917865</v>
      </c>
      <c r="E856" s="25">
        <f>IF(C856&gt;$B$7,0,'Combined Retirement'!$D$13/12)</f>
        <v>0</v>
      </c>
      <c r="F856" s="25">
        <f>IF(H856=0,'Combined Retirement'!$D$32,0)+'Combined Retirement'!$B$24</f>
        <v>2870.372285649099</v>
      </c>
      <c r="G856" s="25">
        <f>'Combined Retirement'!$C$24</f>
        <v>3254.2644699519233</v>
      </c>
      <c r="H856" s="25">
        <f>IF(B856&lt;62,0,'Combined Retirement'!$I$14)</f>
        <v>2345</v>
      </c>
      <c r="I856" s="25">
        <f>IF(C856&lt;62,0,'Combined Retirement'!$I$13)</f>
        <v>2420</v>
      </c>
      <c r="J856" s="25">
        <f t="shared" si="783"/>
        <v>8395.6297298201844</v>
      </c>
      <c r="K856" s="25">
        <f t="shared" si="784"/>
        <v>21655.303514578787</v>
      </c>
      <c r="L856" s="25"/>
      <c r="N856" s="25">
        <f>'Combined Retirement'!$C$18/12</f>
        <v>40940.569999999992</v>
      </c>
      <c r="O856" s="25">
        <f t="shared" si="785"/>
        <v>10889.636755601023</v>
      </c>
      <c r="P856" s="25">
        <f t="shared" si="786"/>
        <v>30050.93324439897</v>
      </c>
      <c r="Q856" s="25">
        <f t="array" aca="1" ref="Q856" ca="1">INDEX('Isaac 401k'!L:L,MATCH('Retirement Calculator'!A856,'Isaac 401k'!N:N,0),0)</f>
        <v>-8186402.3140235087</v>
      </c>
      <c r="R856" s="25">
        <f t="array" aca="1" ref="R856" ca="1">INDEX('Lorri 401b'!L:L,MATCH('Retirement Calculator'!A856,'Lorri 401b'!N:N,0),0)</f>
        <v>-14995559.048693238</v>
      </c>
      <c r="S856" s="25">
        <f t="shared" ca="1" si="787"/>
        <v>-23181961.362716746</v>
      </c>
    </row>
    <row r="857" spans="1:19" ht="15.75" customHeight="1" x14ac:dyDescent="0.3">
      <c r="A857" s="37">
        <v>77037</v>
      </c>
      <c r="B857" s="398">
        <f t="shared" ref="B857:C857" si="868">($A857-B$9)/365.25</f>
        <v>129.03764544832308</v>
      </c>
      <c r="C857" s="398">
        <f t="shared" si="868"/>
        <v>124.42710472279261</v>
      </c>
      <c r="E857" s="25">
        <f>IF(C857&gt;$B$7,0,'Combined Retirement'!$D$13/12)</f>
        <v>0</v>
      </c>
      <c r="F857" s="25">
        <f>IF(H857=0,'Combined Retirement'!$D$32,0)+'Combined Retirement'!$B$24</f>
        <v>2870.372285649099</v>
      </c>
      <c r="G857" s="25">
        <f>'Combined Retirement'!$C$24</f>
        <v>3254.2644699519233</v>
      </c>
      <c r="H857" s="25">
        <f>IF(B857&lt;62,0,'Combined Retirement'!$I$14)</f>
        <v>2345</v>
      </c>
      <c r="I857" s="25">
        <f>IF(C857&lt;62,0,'Combined Retirement'!$I$13)</f>
        <v>2420</v>
      </c>
      <c r="J857" s="25">
        <f t="shared" si="783"/>
        <v>8395.6297298201844</v>
      </c>
      <c r="K857" s="25">
        <f t="shared" si="784"/>
        <v>21655.303514578787</v>
      </c>
      <c r="L857" s="25"/>
      <c r="N857" s="25">
        <f>'Combined Retirement'!$C$18/12</f>
        <v>40940.569999999992</v>
      </c>
      <c r="O857" s="25">
        <f t="shared" si="785"/>
        <v>10889.636755601023</v>
      </c>
      <c r="P857" s="25">
        <f t="shared" si="786"/>
        <v>30050.93324439897</v>
      </c>
      <c r="Q857" s="25">
        <f t="array" aca="1" ref="Q857" ca="1">INDEX('Isaac 401k'!L:L,MATCH('Retirement Calculator'!A857,'Isaac 401k'!N:N,0),0)</f>
        <v>-8228942.9351856345</v>
      </c>
      <c r="R857" s="25">
        <f t="array" aca="1" ref="R857" ca="1">INDEX('Lorri 401b'!L:L,MATCH('Retirement Calculator'!A857,'Lorri 401b'!N:N,0),0)</f>
        <v>-15079786.07867535</v>
      </c>
      <c r="S857" s="25">
        <f t="shared" ca="1" si="787"/>
        <v>-23308729.013860986</v>
      </c>
    </row>
    <row r="858" spans="1:19" ht="15.75" customHeight="1" x14ac:dyDescent="0.3">
      <c r="A858" s="37">
        <v>77068</v>
      </c>
      <c r="B858" s="398">
        <f t="shared" ref="B858:C858" si="869">($A858-B$9)/365.25</f>
        <v>129.12251882272417</v>
      </c>
      <c r="C858" s="398">
        <f t="shared" si="869"/>
        <v>124.5119780971937</v>
      </c>
      <c r="E858" s="25">
        <f>IF(C858&gt;$B$7,0,'Combined Retirement'!$D$13/12)</f>
        <v>0</v>
      </c>
      <c r="F858" s="25">
        <f>IF(H858=0,'Combined Retirement'!$D$32,0)+'Combined Retirement'!$B$24</f>
        <v>2870.372285649099</v>
      </c>
      <c r="G858" s="25">
        <f>'Combined Retirement'!$C$24</f>
        <v>3254.2644699519233</v>
      </c>
      <c r="H858" s="25">
        <f>IF(B858&lt;62,0,'Combined Retirement'!$I$14)</f>
        <v>2345</v>
      </c>
      <c r="I858" s="25">
        <f>IF(C858&lt;62,0,'Combined Retirement'!$I$13)</f>
        <v>2420</v>
      </c>
      <c r="J858" s="25">
        <f t="shared" si="783"/>
        <v>8395.6297298201844</v>
      </c>
      <c r="K858" s="25">
        <f t="shared" si="784"/>
        <v>21655.303514578787</v>
      </c>
      <c r="L858" s="25"/>
      <c r="N858" s="25">
        <f>'Combined Retirement'!$C$18/12</f>
        <v>40940.569999999992</v>
      </c>
      <c r="O858" s="25">
        <f t="shared" si="785"/>
        <v>10889.636755601023</v>
      </c>
      <c r="P858" s="25">
        <f t="shared" si="786"/>
        <v>30050.93324439897</v>
      </c>
      <c r="Q858" s="25">
        <f t="array" aca="1" ref="Q858" ca="1">INDEX('Isaac 401k'!L:L,MATCH('Retirement Calculator'!A858,'Isaac 401k'!N:N,0),0)</f>
        <v>-8271660.8089359356</v>
      </c>
      <c r="R858" s="25">
        <f t="array" aca="1" ref="R858" ca="1">INDEX('Lorri 401b'!L:L,MATCH('Retirement Calculator'!A858,'Lorri 401b'!N:N,0),0)</f>
        <v>-15164364.054615721</v>
      </c>
      <c r="S858" s="25">
        <f t="shared" ca="1" si="787"/>
        <v>-23436024.863551658</v>
      </c>
    </row>
    <row r="859" spans="1:19" ht="15.75" customHeight="1" x14ac:dyDescent="0.3">
      <c r="A859" s="37">
        <v>77099</v>
      </c>
      <c r="B859" s="398">
        <f t="shared" ref="B859:C859" si="870">($A859-B$9)/365.25</f>
        <v>129.20739219712524</v>
      </c>
      <c r="C859" s="398">
        <f t="shared" si="870"/>
        <v>124.5968514715948</v>
      </c>
      <c r="E859" s="25">
        <f>IF(C859&gt;$B$7,0,'Combined Retirement'!$D$13/12)</f>
        <v>0</v>
      </c>
      <c r="F859" s="25">
        <f>IF(H859=0,'Combined Retirement'!$D$32,0)+'Combined Retirement'!$B$24</f>
        <v>2870.372285649099</v>
      </c>
      <c r="G859" s="25">
        <f>'Combined Retirement'!$C$24</f>
        <v>3254.2644699519233</v>
      </c>
      <c r="H859" s="25">
        <f>IF(B859&lt;62,0,'Combined Retirement'!$I$14)</f>
        <v>2345</v>
      </c>
      <c r="I859" s="25">
        <f>IF(C859&lt;62,0,'Combined Retirement'!$I$13)</f>
        <v>2420</v>
      </c>
      <c r="J859" s="25">
        <f t="shared" si="783"/>
        <v>8395.6297298201844</v>
      </c>
      <c r="K859" s="25">
        <f t="shared" si="784"/>
        <v>21655.303514578787</v>
      </c>
      <c r="L859" s="25"/>
      <c r="N859" s="25">
        <f>'Combined Retirement'!$C$18/12</f>
        <v>40940.569999999992</v>
      </c>
      <c r="O859" s="25">
        <f t="shared" si="785"/>
        <v>10889.636755601023</v>
      </c>
      <c r="P859" s="25">
        <f t="shared" si="786"/>
        <v>30050.93324439897</v>
      </c>
      <c r="Q859" s="25">
        <f t="array" aca="1" ref="Q859" ca="1">INDEX('Isaac 401k'!L:L,MATCH('Retirement Calculator'!A859,'Isaac 401k'!N:N,0),0)</f>
        <v>-8314556.6738268631</v>
      </c>
      <c r="R859" s="25">
        <f t="array" aca="1" ref="R859" ca="1">INDEX('Lorri 401b'!L:L,MATCH('Retirement Calculator'!A859,'Lorri 401b'!N:N,0),0)</f>
        <v>-15249294.438789176</v>
      </c>
      <c r="S859" s="25">
        <f t="shared" ca="1" si="787"/>
        <v>-23563851.11261604</v>
      </c>
    </row>
    <row r="860" spans="1:19" ht="15.75" customHeight="1" x14ac:dyDescent="0.3">
      <c r="A860" s="37">
        <v>77127</v>
      </c>
      <c r="B860" s="398">
        <f t="shared" ref="B860:C860" si="871">($A860-B$9)/365.25</f>
        <v>129.28405201916496</v>
      </c>
      <c r="C860" s="398">
        <f t="shared" si="871"/>
        <v>124.67351129363449</v>
      </c>
      <c r="E860" s="25">
        <f>IF(C860&gt;$B$7,0,'Combined Retirement'!$D$13/12)</f>
        <v>0</v>
      </c>
      <c r="F860" s="25">
        <f>IF(H860=0,'Combined Retirement'!$D$32,0)+'Combined Retirement'!$B$24</f>
        <v>2870.372285649099</v>
      </c>
      <c r="G860" s="25">
        <f>'Combined Retirement'!$C$24</f>
        <v>3254.2644699519233</v>
      </c>
      <c r="H860" s="25">
        <f>IF(B860&lt;62,0,'Combined Retirement'!$I$14)</f>
        <v>2345</v>
      </c>
      <c r="I860" s="25">
        <f>IF(C860&lt;62,0,'Combined Retirement'!$I$13)</f>
        <v>2420</v>
      </c>
      <c r="J860" s="25">
        <f t="shared" si="783"/>
        <v>8395.6297298201844</v>
      </c>
      <c r="K860" s="25">
        <f t="shared" si="784"/>
        <v>21655.303514578787</v>
      </c>
      <c r="L860" s="25"/>
      <c r="N860" s="25">
        <f>'Combined Retirement'!$C$18/12</f>
        <v>40940.569999999992</v>
      </c>
      <c r="O860" s="25">
        <f t="shared" si="785"/>
        <v>10889.636755601023</v>
      </c>
      <c r="P860" s="25">
        <f t="shared" si="786"/>
        <v>30050.93324439897</v>
      </c>
      <c r="Q860" s="25">
        <f t="array" aca="1" ref="Q860" ca="1">INDEX('Isaac 401k'!L:L,MATCH('Retirement Calculator'!A860,'Isaac 401k'!N:N,0),0)</f>
        <v>-8357631.2714881692</v>
      </c>
      <c r="R860" s="25">
        <f t="array" aca="1" ref="R860" ca="1">INDEX('Lorri 401b'!L:L,MATCH('Retirement Calculator'!A860,'Lorri 401b'!N:N,0),0)</f>
        <v>-15334578.699563354</v>
      </c>
      <c r="S860" s="25">
        <f t="shared" ca="1" si="787"/>
        <v>-23692209.971051522</v>
      </c>
    </row>
    <row r="861" spans="1:19" ht="15.75" customHeight="1" x14ac:dyDescent="0.3">
      <c r="A861" s="37">
        <v>77158</v>
      </c>
      <c r="B861" s="398">
        <f t="shared" ref="B861:C861" si="872">($A861-B$9)/365.25</f>
        <v>129.36892539356606</v>
      </c>
      <c r="C861" s="398">
        <f t="shared" si="872"/>
        <v>124.75838466803559</v>
      </c>
      <c r="E861" s="25">
        <f>IF(C861&gt;$B$7,0,'Combined Retirement'!$D$13/12)</f>
        <v>0</v>
      </c>
      <c r="F861" s="25">
        <f>IF(H861=0,'Combined Retirement'!$D$32,0)+'Combined Retirement'!$B$24</f>
        <v>2870.372285649099</v>
      </c>
      <c r="G861" s="25">
        <f>'Combined Retirement'!$C$24</f>
        <v>3254.2644699519233</v>
      </c>
      <c r="H861" s="25">
        <f>IF(B861&lt;62,0,'Combined Retirement'!$I$14)</f>
        <v>2345</v>
      </c>
      <c r="I861" s="25">
        <f>IF(C861&lt;62,0,'Combined Retirement'!$I$13)</f>
        <v>2420</v>
      </c>
      <c r="J861" s="25">
        <f t="shared" si="783"/>
        <v>8395.6297298201844</v>
      </c>
      <c r="K861" s="25">
        <f t="shared" si="784"/>
        <v>21655.303514578787</v>
      </c>
      <c r="L861" s="25"/>
      <c r="N861" s="25">
        <f>'Combined Retirement'!$C$18/12</f>
        <v>40940.569999999992</v>
      </c>
      <c r="O861" s="25">
        <f t="shared" si="785"/>
        <v>10889.636755601023</v>
      </c>
      <c r="P861" s="25">
        <f t="shared" si="786"/>
        <v>30050.93324439897</v>
      </c>
      <c r="Q861" s="25">
        <f t="array" aca="1" ref="Q861" ca="1">INDEX('Isaac 401k'!L:L,MATCH('Retirement Calculator'!A861,'Isaac 401k'!N:N,0),0)</f>
        <v>-8400885.3466397319</v>
      </c>
      <c r="R861" s="25">
        <f t="array" aca="1" ref="R861" ca="1">INDEX('Lorri 401b'!L:L,MATCH('Retirement Calculator'!A861,'Lorri 401b'!N:N,0),0)</f>
        <v>-15420218.311424091</v>
      </c>
      <c r="S861" s="25">
        <f t="shared" ca="1" si="787"/>
        <v>-23821103.658063821</v>
      </c>
    </row>
    <row r="862" spans="1:19" ht="15.75" customHeight="1" x14ac:dyDescent="0.3">
      <c r="A862" s="37">
        <v>77188</v>
      </c>
      <c r="B862" s="398">
        <f t="shared" ref="B862:C862" si="873">($A862-B$9)/365.25</f>
        <v>129.45106091718</v>
      </c>
      <c r="C862" s="398">
        <f t="shared" si="873"/>
        <v>124.84052019164956</v>
      </c>
      <c r="E862" s="25">
        <f>IF(C862&gt;$B$7,0,'Combined Retirement'!$D$13/12)</f>
        <v>0</v>
      </c>
      <c r="F862" s="25">
        <f>IF(H862=0,'Combined Retirement'!$D$32,0)+'Combined Retirement'!$B$24</f>
        <v>2870.372285649099</v>
      </c>
      <c r="G862" s="25">
        <f>'Combined Retirement'!$C$24</f>
        <v>3254.2644699519233</v>
      </c>
      <c r="H862" s="25">
        <f>IF(B862&lt;62,0,'Combined Retirement'!$I$14)</f>
        <v>2345</v>
      </c>
      <c r="I862" s="25">
        <f>IF(C862&lt;62,0,'Combined Retirement'!$I$13)</f>
        <v>2420</v>
      </c>
      <c r="J862" s="25">
        <f t="shared" si="783"/>
        <v>8395.6297298201844</v>
      </c>
      <c r="K862" s="25">
        <f t="shared" si="784"/>
        <v>21655.303514578787</v>
      </c>
      <c r="L862" s="25"/>
      <c r="N862" s="25">
        <f>'Combined Retirement'!$C$18/12</f>
        <v>40940.569999999992</v>
      </c>
      <c r="O862" s="25">
        <f t="shared" si="785"/>
        <v>10889.636755601023</v>
      </c>
      <c r="P862" s="25">
        <f t="shared" si="786"/>
        <v>30050.93324439897</v>
      </c>
      <c r="Q862" s="25">
        <f t="array" aca="1" ref="Q862" ca="1">INDEX('Isaac 401k'!L:L,MATCH('Retirement Calculator'!A862,'Isaac 401k'!N:N,0),0)</f>
        <v>-8444319.6471044254</v>
      </c>
      <c r="R862" s="25">
        <f t="array" aca="1" ref="R862" ca="1">INDEX('Lorri 401b'!L:L,MATCH('Retirement Calculator'!A862,'Lorri 401b'!N:N,0),0)</f>
        <v>-15506214.755000915</v>
      </c>
      <c r="S862" s="25">
        <f t="shared" ca="1" si="787"/>
        <v>-23950534.402105339</v>
      </c>
    </row>
    <row r="863" spans="1:19" ht="15.75" customHeight="1" x14ac:dyDescent="0.3">
      <c r="A863" s="37">
        <v>77219</v>
      </c>
      <c r="B863" s="398">
        <f t="shared" ref="B863:C863" si="874">($A863-B$9)/365.25</f>
        <v>129.5359342915811</v>
      </c>
      <c r="C863" s="398">
        <f t="shared" si="874"/>
        <v>124.92539356605064</v>
      </c>
      <c r="E863" s="25">
        <f>IF(C863&gt;$B$7,0,'Combined Retirement'!$D$13/12)</f>
        <v>0</v>
      </c>
      <c r="F863" s="25">
        <f>IF(H863=0,'Combined Retirement'!$D$32,0)+'Combined Retirement'!$B$24</f>
        <v>2870.372285649099</v>
      </c>
      <c r="G863" s="25">
        <f>'Combined Retirement'!$C$24</f>
        <v>3254.2644699519233</v>
      </c>
      <c r="H863" s="25">
        <f>IF(B863&lt;62,0,'Combined Retirement'!$I$14)</f>
        <v>2345</v>
      </c>
      <c r="I863" s="25">
        <f>IF(C863&lt;62,0,'Combined Retirement'!$I$13)</f>
        <v>2420</v>
      </c>
      <c r="J863" s="25">
        <f t="shared" si="783"/>
        <v>8395.6297298201844</v>
      </c>
      <c r="K863" s="25">
        <f t="shared" si="784"/>
        <v>21655.303514578787</v>
      </c>
      <c r="L863" s="25"/>
      <c r="N863" s="25">
        <f>'Combined Retirement'!$C$18/12</f>
        <v>40940.569999999992</v>
      </c>
      <c r="O863" s="25">
        <f t="shared" si="785"/>
        <v>10889.636755601023</v>
      </c>
      <c r="P863" s="25">
        <f t="shared" si="786"/>
        <v>30050.93324439897</v>
      </c>
      <c r="Q863" s="25">
        <f t="array" aca="1" ref="Q863" ca="1">INDEX('Isaac 401k'!L:L,MATCH('Retirement Calculator'!A863,'Isaac 401k'!N:N,0),0)</f>
        <v>-8487934.9238210544</v>
      </c>
      <c r="R863" s="25">
        <f t="array" aca="1" ref="R863" ca="1">INDEX('Lorri 401b'!L:L,MATCH('Retirement Calculator'!A863,'Lorri 401b'!N:N,0),0)</f>
        <v>-15592569.517092643</v>
      </c>
      <c r="S863" s="25">
        <f t="shared" ca="1" si="787"/>
        <v>-24080504.4409137</v>
      </c>
    </row>
    <row r="864" spans="1:19" ht="15.75" customHeight="1" x14ac:dyDescent="0.3">
      <c r="A864" s="37">
        <v>77249</v>
      </c>
      <c r="B864" s="398">
        <f t="shared" ref="B864:C864" si="875">($A864-B$9)/365.25</f>
        <v>129.61806981519507</v>
      </c>
      <c r="C864" s="398">
        <f t="shared" si="875"/>
        <v>125.00752908966462</v>
      </c>
      <c r="E864" s="25">
        <f>IF(C864&gt;$B$7,0,'Combined Retirement'!$D$13/12)</f>
        <v>0</v>
      </c>
      <c r="F864" s="25">
        <f>IF(H864=0,'Combined Retirement'!$D$32,0)+'Combined Retirement'!$B$24</f>
        <v>2870.372285649099</v>
      </c>
      <c r="G864" s="25">
        <f>'Combined Retirement'!$C$24</f>
        <v>3254.2644699519233</v>
      </c>
      <c r="H864" s="25">
        <f>IF(B864&lt;62,0,'Combined Retirement'!$I$14)</f>
        <v>2345</v>
      </c>
      <c r="I864" s="25">
        <f>IF(C864&lt;62,0,'Combined Retirement'!$I$13)</f>
        <v>2420</v>
      </c>
      <c r="J864" s="25">
        <f t="shared" si="783"/>
        <v>8395.6297298201844</v>
      </c>
      <c r="K864" s="25">
        <f t="shared" si="784"/>
        <v>21655.303514578787</v>
      </c>
      <c r="L864" s="25"/>
      <c r="N864" s="25">
        <f>'Combined Retirement'!$C$18/12</f>
        <v>40940.569999999992</v>
      </c>
      <c r="O864" s="25">
        <f t="shared" si="785"/>
        <v>10889.636755601023</v>
      </c>
      <c r="P864" s="25">
        <f t="shared" si="786"/>
        <v>30050.93324439897</v>
      </c>
      <c r="Q864" s="25">
        <f t="array" aca="1" ref="Q864" ca="1">INDEX('Isaac 401k'!L:L,MATCH('Retirement Calculator'!A864,'Isaac 401k'!N:N,0),0)</f>
        <v>-8531731.9308573361</v>
      </c>
      <c r="R864" s="25">
        <f t="array" aca="1" ref="R864" ca="1">INDEX('Lorri 401b'!L:L,MATCH('Retirement Calculator'!A864,'Lorri 401b'!N:N,0),0)</f>
        <v>-15679284.090693086</v>
      </c>
      <c r="S864" s="25">
        <f t="shared" ca="1" si="787"/>
        <v>-24211016.021550424</v>
      </c>
    </row>
    <row r="865" spans="1:19" ht="15.75" customHeight="1" x14ac:dyDescent="0.3">
      <c r="A865" s="37">
        <v>77280</v>
      </c>
      <c r="B865" s="398">
        <f t="shared" ref="B865:C865" si="876">($A865-B$9)/365.25</f>
        <v>129.70294318959617</v>
      </c>
      <c r="C865" s="398">
        <f t="shared" si="876"/>
        <v>125.09240246406571</v>
      </c>
      <c r="E865" s="25">
        <f>IF(C865&gt;$B$7,0,'Combined Retirement'!$D$13/12)</f>
        <v>0</v>
      </c>
      <c r="F865" s="25">
        <f>IF(H865=0,'Combined Retirement'!$D$32,0)+'Combined Retirement'!$B$24</f>
        <v>2870.372285649099</v>
      </c>
      <c r="G865" s="25">
        <f>'Combined Retirement'!$C$24</f>
        <v>3254.2644699519233</v>
      </c>
      <c r="H865" s="25">
        <f>IF(B865&lt;62,0,'Combined Retirement'!$I$14)</f>
        <v>2345</v>
      </c>
      <c r="I865" s="25">
        <f>IF(C865&lt;62,0,'Combined Retirement'!$I$13)</f>
        <v>2420</v>
      </c>
      <c r="J865" s="25">
        <f t="shared" si="783"/>
        <v>8395.6297298201844</v>
      </c>
      <c r="K865" s="25">
        <f t="shared" si="784"/>
        <v>21655.303514578787</v>
      </c>
      <c r="L865" s="25"/>
      <c r="N865" s="25">
        <f>'Combined Retirement'!$C$18/12</f>
        <v>40940.569999999992</v>
      </c>
      <c r="O865" s="25">
        <f t="shared" si="785"/>
        <v>10889.636755601023</v>
      </c>
      <c r="P865" s="25">
        <f t="shared" si="786"/>
        <v>30050.93324439897</v>
      </c>
      <c r="Q865" s="25">
        <f t="array" aca="1" ref="Q865" ca="1">INDEX('Isaac 401k'!L:L,MATCH('Retirement Calculator'!A865,'Isaac 401k'!N:N,0),0)</f>
        <v>-8575711.4254229367</v>
      </c>
      <c r="R865" s="25">
        <f t="array" aca="1" ref="R865" ca="1">INDEX('Lorri 401b'!L:L,MATCH('Retirement Calculator'!A865,'Lorri 401b'!N:N,0),0)</f>
        <v>-15766359.975016864</v>
      </c>
      <c r="S865" s="25">
        <f t="shared" ca="1" si="787"/>
        <v>-24342071.400439799</v>
      </c>
    </row>
    <row r="866" spans="1:19" ht="15.75" customHeight="1" x14ac:dyDescent="0.3">
      <c r="A866" s="37">
        <v>77311</v>
      </c>
      <c r="B866" s="398">
        <f t="shared" ref="B866:C866" si="877">($A866-B$9)/365.25</f>
        <v>129.78781656399727</v>
      </c>
      <c r="C866" s="398">
        <f t="shared" si="877"/>
        <v>125.1772758384668</v>
      </c>
      <c r="E866" s="25">
        <f>IF(C866&gt;$B$7,0,'Combined Retirement'!$D$13/12)</f>
        <v>0</v>
      </c>
      <c r="F866" s="25">
        <f>IF(H866=0,'Combined Retirement'!$D$32,0)+'Combined Retirement'!$B$24</f>
        <v>2870.372285649099</v>
      </c>
      <c r="G866" s="25">
        <f>'Combined Retirement'!$C$24</f>
        <v>3254.2644699519233</v>
      </c>
      <c r="H866" s="25">
        <f>IF(B866&lt;62,0,'Combined Retirement'!$I$14)</f>
        <v>2345</v>
      </c>
      <c r="I866" s="25">
        <f>IF(C866&lt;62,0,'Combined Retirement'!$I$13)</f>
        <v>2420</v>
      </c>
      <c r="J866" s="25">
        <f t="shared" si="783"/>
        <v>8395.6297298201844</v>
      </c>
      <c r="K866" s="25">
        <f t="shared" si="784"/>
        <v>21655.303514578787</v>
      </c>
      <c r="L866" s="25"/>
      <c r="N866" s="25">
        <f>'Combined Retirement'!$C$18/12</f>
        <v>40940.569999999992</v>
      </c>
      <c r="O866" s="25">
        <f t="shared" si="785"/>
        <v>10889.636755601023</v>
      </c>
      <c r="P866" s="25">
        <f t="shared" si="786"/>
        <v>30050.93324439897</v>
      </c>
      <c r="Q866" s="25">
        <f t="array" aca="1" ref="Q866" ca="1">INDEX('Isaac 401k'!L:L,MATCH('Retirement Calculator'!A866,'Isaac 401k'!N:N,0),0)</f>
        <v>-8619874.1678825598</v>
      </c>
      <c r="R866" s="25">
        <f t="array" aca="1" ref="R866" ca="1">INDEX('Lorri 401b'!L:L,MATCH('Retirement Calculator'!A866,'Lorri 401b'!N:N,0),0)</f>
        <v>-15853798.675525324</v>
      </c>
      <c r="S866" s="25">
        <f t="shared" ca="1" si="787"/>
        <v>-24473672.843407884</v>
      </c>
    </row>
    <row r="867" spans="1:19" ht="15.75" customHeight="1" x14ac:dyDescent="0.3">
      <c r="A867" s="37">
        <v>77341</v>
      </c>
      <c r="B867" s="398">
        <f t="shared" ref="B867:C867" si="878">($A867-B$9)/365.25</f>
        <v>129.86995208761124</v>
      </c>
      <c r="C867" s="398">
        <f t="shared" si="878"/>
        <v>125.25941136208077</v>
      </c>
      <c r="E867" s="25">
        <f>IF(C867&gt;$B$7,0,'Combined Retirement'!$D$13/12)</f>
        <v>0</v>
      </c>
      <c r="F867" s="25">
        <f>IF(H867=0,'Combined Retirement'!$D$32,0)+'Combined Retirement'!$B$24</f>
        <v>2870.372285649099</v>
      </c>
      <c r="G867" s="25">
        <f>'Combined Retirement'!$C$24</f>
        <v>3254.2644699519233</v>
      </c>
      <c r="H867" s="25">
        <f>IF(B867&lt;62,0,'Combined Retirement'!$I$14)</f>
        <v>2345</v>
      </c>
      <c r="I867" s="25">
        <f>IF(C867&lt;62,0,'Combined Retirement'!$I$13)</f>
        <v>2420</v>
      </c>
      <c r="J867" s="25">
        <f t="shared" si="783"/>
        <v>8395.6297298201844</v>
      </c>
      <c r="K867" s="25">
        <f t="shared" si="784"/>
        <v>21655.303514578787</v>
      </c>
      <c r="L867" s="25"/>
      <c r="N867" s="25">
        <f>'Combined Retirement'!$C$18/12</f>
        <v>40940.569999999992</v>
      </c>
      <c r="O867" s="25">
        <f t="shared" si="785"/>
        <v>10889.636755601023</v>
      </c>
      <c r="P867" s="25">
        <f t="shared" si="786"/>
        <v>30050.93324439897</v>
      </c>
      <c r="Q867" s="25">
        <f t="array" aca="1" ref="Q867" ca="1">INDEX('Isaac 401k'!L:L,MATCH('Retirement Calculator'!A867,'Isaac 401k'!N:N,0),0)</f>
        <v>-8664220.9217690993</v>
      </c>
      <c r="R867" s="25">
        <f t="array" aca="1" ref="R867" ca="1">INDEX('Lorri 401b'!L:L,MATCH('Retirement Calculator'!A867,'Lorri 401b'!N:N,0),0)</f>
        <v>-15941601.70395257</v>
      </c>
      <c r="S867" s="25">
        <f t="shared" ca="1" si="787"/>
        <v>-24605822.625721671</v>
      </c>
    </row>
    <row r="868" spans="1:19" ht="15.75" customHeight="1" x14ac:dyDescent="0.3">
      <c r="A868" s="37">
        <v>77372</v>
      </c>
      <c r="B868" s="398">
        <f t="shared" ref="B868:C868" si="879">($A868-B$9)/365.25</f>
        <v>129.95482546201231</v>
      </c>
      <c r="C868" s="398">
        <f t="shared" si="879"/>
        <v>125.34428473648187</v>
      </c>
      <c r="E868" s="25">
        <f>IF(C868&gt;$B$7,0,'Combined Retirement'!$D$13/12)</f>
        <v>0</v>
      </c>
      <c r="F868" s="25">
        <f>IF(H868=0,'Combined Retirement'!$D$32,0)+'Combined Retirement'!$B$24</f>
        <v>2870.372285649099</v>
      </c>
      <c r="G868" s="25">
        <f>'Combined Retirement'!$C$24</f>
        <v>3254.2644699519233</v>
      </c>
      <c r="H868" s="25">
        <f>IF(B868&lt;62,0,'Combined Retirement'!$I$14)</f>
        <v>2345</v>
      </c>
      <c r="I868" s="25">
        <f>IF(C868&lt;62,0,'Combined Retirement'!$I$13)</f>
        <v>2420</v>
      </c>
      <c r="J868" s="25">
        <f t="shared" si="783"/>
        <v>8395.6297298201844</v>
      </c>
      <c r="K868" s="25">
        <f t="shared" si="784"/>
        <v>21655.303514578787</v>
      </c>
      <c r="L868" s="25"/>
      <c r="N868" s="25">
        <f>'Combined Retirement'!$C$18/12</f>
        <v>40940.569999999992</v>
      </c>
      <c r="O868" s="25">
        <f t="shared" si="785"/>
        <v>10889.636755601023</v>
      </c>
      <c r="P868" s="25">
        <f t="shared" si="786"/>
        <v>30050.93324439897</v>
      </c>
      <c r="Q868" s="25">
        <f t="array" aca="1" ref="Q868" ca="1">INDEX('Isaac 401k'!L:L,MATCH('Retirement Calculator'!A868,'Isaac 401k'!N:N,0),0)</f>
        <v>-8708752.4537968319</v>
      </c>
      <c r="R868" s="25">
        <f t="array" aca="1" ref="R868" ca="1">INDEX('Lorri 401b'!L:L,MATCH('Retirement Calculator'!A868,'Lorri 401b'!N:N,0),0)</f>
        <v>-16029770.578331595</v>
      </c>
      <c r="S868" s="25">
        <f t="shared" ca="1" si="787"/>
        <v>-24738523.032128427</v>
      </c>
    </row>
    <row r="869" spans="1:19" ht="15.75" customHeight="1" x14ac:dyDescent="0.3">
      <c r="A869" s="37">
        <v>77402</v>
      </c>
      <c r="B869" s="398">
        <f t="shared" ref="B869:C869" si="880">($A869-B$9)/365.25</f>
        <v>130.03696098562628</v>
      </c>
      <c r="C869" s="398">
        <f t="shared" si="880"/>
        <v>125.42642026009582</v>
      </c>
      <c r="E869" s="25">
        <f>IF(C869&gt;$B$7,0,'Combined Retirement'!$D$13/12)</f>
        <v>0</v>
      </c>
      <c r="F869" s="25">
        <f>IF(H869=0,'Combined Retirement'!$D$32,0)+'Combined Retirement'!$B$24</f>
        <v>2870.372285649099</v>
      </c>
      <c r="G869" s="25">
        <f>'Combined Retirement'!$C$24</f>
        <v>3254.2644699519233</v>
      </c>
      <c r="H869" s="25">
        <f>IF(B869&lt;62,0,'Combined Retirement'!$I$14)</f>
        <v>2345</v>
      </c>
      <c r="I869" s="25">
        <f>IF(C869&lt;62,0,'Combined Retirement'!$I$13)</f>
        <v>2420</v>
      </c>
      <c r="J869" s="25">
        <f t="shared" si="783"/>
        <v>8395.6297298201844</v>
      </c>
      <c r="K869" s="25">
        <f t="shared" si="784"/>
        <v>21655.303514578787</v>
      </c>
      <c r="L869" s="25"/>
      <c r="N869" s="25">
        <f>'Combined Retirement'!$C$18/12</f>
        <v>40940.569999999992</v>
      </c>
      <c r="O869" s="25">
        <f t="shared" si="785"/>
        <v>10889.636755601023</v>
      </c>
      <c r="P869" s="25">
        <f t="shared" si="786"/>
        <v>30050.93324439897</v>
      </c>
      <c r="Q869" s="25">
        <f t="array" aca="1" ref="Q869" ca="1">INDEX('Isaac 401k'!L:L,MATCH('Retirement Calculator'!A869,'Isaac 401k'!N:N,0),0)</f>
        <v>-8753469.5338746794</v>
      </c>
      <c r="R869" s="25">
        <f t="array" aca="1" ref="R869" ca="1">INDEX('Lorri 401b'!L:L,MATCH('Retirement Calculator'!A869,'Lorri 401b'!N:N,0),0)</f>
        <v>-16118306.823020533</v>
      </c>
      <c r="S869" s="25">
        <f t="shared" ca="1" si="787"/>
        <v>-24871776.356895212</v>
      </c>
    </row>
    <row r="870" spans="1:19" ht="15.75" customHeight="1" x14ac:dyDescent="0.3">
      <c r="A870" s="37">
        <v>77433</v>
      </c>
      <c r="B870" s="398">
        <f t="shared" ref="B870:C870" si="881">($A870-B$9)/365.25</f>
        <v>130.12183436002738</v>
      </c>
      <c r="C870" s="398">
        <f t="shared" si="881"/>
        <v>125.51129363449692</v>
      </c>
      <c r="E870" s="25">
        <f>IF(C870&gt;$B$7,0,'Combined Retirement'!$D$13/12)</f>
        <v>0</v>
      </c>
      <c r="F870" s="25">
        <f>IF(H870=0,'Combined Retirement'!$D$32,0)+'Combined Retirement'!$B$24</f>
        <v>2870.372285649099</v>
      </c>
      <c r="G870" s="25">
        <f>'Combined Retirement'!$C$24</f>
        <v>3254.2644699519233</v>
      </c>
      <c r="H870" s="25">
        <f>IF(B870&lt;62,0,'Combined Retirement'!$I$14)</f>
        <v>2345</v>
      </c>
      <c r="I870" s="25">
        <f>IF(C870&lt;62,0,'Combined Retirement'!$I$13)</f>
        <v>2420</v>
      </c>
      <c r="J870" s="25">
        <f t="shared" si="783"/>
        <v>8395.6297298201844</v>
      </c>
      <c r="K870" s="25">
        <f t="shared" si="784"/>
        <v>21655.303514578787</v>
      </c>
      <c r="L870" s="25"/>
      <c r="N870" s="25">
        <f>'Combined Retirement'!$C$18/12</f>
        <v>40940.569999999992</v>
      </c>
      <c r="O870" s="25">
        <f t="shared" si="785"/>
        <v>10889.636755601023</v>
      </c>
      <c r="P870" s="25">
        <f t="shared" si="786"/>
        <v>30050.93324439897</v>
      </c>
      <c r="Q870" s="25">
        <f t="array" aca="1" ref="Q870" ca="1">INDEX('Isaac 401k'!L:L,MATCH('Retirement Calculator'!A870,'Isaac 401k'!N:N,0),0)</f>
        <v>-8798372.935119519</v>
      </c>
      <c r="R870" s="25">
        <f t="array" aca="1" ref="R870" ca="1">INDEX('Lorri 401b'!L:L,MATCH('Retirement Calculator'!A870,'Lorri 401b'!N:N,0),0)</f>
        <v>-16207211.968729008</v>
      </c>
      <c r="S870" s="25">
        <f t="shared" ca="1" si="787"/>
        <v>-25005584.903848529</v>
      </c>
    </row>
    <row r="871" spans="1:19" ht="15.75" customHeight="1" x14ac:dyDescent="0.3">
      <c r="A871" s="37">
        <v>77464</v>
      </c>
      <c r="B871" s="398">
        <f t="shared" ref="B871:C871" si="882">($A871-B$9)/365.25</f>
        <v>130.20670773442848</v>
      </c>
      <c r="C871" s="398">
        <f t="shared" si="882"/>
        <v>125.59616700889802</v>
      </c>
      <c r="E871" s="25">
        <f>IF(C871&gt;$B$7,0,'Combined Retirement'!$D$13/12)</f>
        <v>0</v>
      </c>
      <c r="F871" s="25">
        <f>IF(H871=0,'Combined Retirement'!$D$32,0)+'Combined Retirement'!$B$24</f>
        <v>2870.372285649099</v>
      </c>
      <c r="G871" s="25">
        <f>'Combined Retirement'!$C$24</f>
        <v>3254.2644699519233</v>
      </c>
      <c r="H871" s="25">
        <f>IF(B871&lt;62,0,'Combined Retirement'!$I$14)</f>
        <v>2345</v>
      </c>
      <c r="I871" s="25">
        <f>IF(C871&lt;62,0,'Combined Retirement'!$I$13)</f>
        <v>2420</v>
      </c>
      <c r="J871" s="25">
        <f t="shared" si="783"/>
        <v>8395.6297298201844</v>
      </c>
      <c r="K871" s="25">
        <f t="shared" si="784"/>
        <v>21655.303514578787</v>
      </c>
      <c r="L871" s="25"/>
      <c r="N871" s="25">
        <f>'Combined Retirement'!$C$18/12</f>
        <v>40940.569999999992</v>
      </c>
      <c r="O871" s="25">
        <f t="shared" si="785"/>
        <v>10889.636755601023</v>
      </c>
      <c r="P871" s="25">
        <f t="shared" si="786"/>
        <v>30050.93324439897</v>
      </c>
      <c r="Q871" s="25">
        <f t="array" aca="1" ref="Q871" ca="1">INDEX('Isaac 401k'!L:L,MATCH('Retirement Calculator'!A871,'Isaac 401k'!N:N,0),0)</f>
        <v>-8843463.4338695444</v>
      </c>
      <c r="R871" s="25">
        <f t="array" aca="1" ref="R871" ca="1">INDEX('Lorri 401b'!L:L,MATCH('Retirement Calculator'!A871,'Lorri 401b'!N:N,0),0)</f>
        <v>-16296487.552544603</v>
      </c>
      <c r="S871" s="25">
        <f t="shared" ca="1" si="787"/>
        <v>-25139950.986414149</v>
      </c>
    </row>
    <row r="872" spans="1:19" ht="15.75" customHeight="1" x14ac:dyDescent="0.3">
      <c r="A872" s="37">
        <v>77493</v>
      </c>
      <c r="B872" s="398">
        <f t="shared" ref="B872:C872" si="883">($A872-B$9)/365.25</f>
        <v>130.28610540725529</v>
      </c>
      <c r="C872" s="398">
        <f t="shared" si="883"/>
        <v>125.67556468172485</v>
      </c>
      <c r="E872" s="25">
        <f>IF(C872&gt;$B$7,0,'Combined Retirement'!$D$13/12)</f>
        <v>0</v>
      </c>
      <c r="F872" s="25">
        <f>IF(H872=0,'Combined Retirement'!$D$32,0)+'Combined Retirement'!$B$24</f>
        <v>2870.372285649099</v>
      </c>
      <c r="G872" s="25">
        <f>'Combined Retirement'!$C$24</f>
        <v>3254.2644699519233</v>
      </c>
      <c r="H872" s="25">
        <f>IF(B872&lt;62,0,'Combined Retirement'!$I$14)</f>
        <v>2345</v>
      </c>
      <c r="I872" s="25">
        <f>IF(C872&lt;62,0,'Combined Retirement'!$I$13)</f>
        <v>2420</v>
      </c>
      <c r="J872" s="25">
        <f t="shared" si="783"/>
        <v>8395.6297298201844</v>
      </c>
      <c r="K872" s="25">
        <f t="shared" si="784"/>
        <v>21655.303514578787</v>
      </c>
      <c r="L872" s="25"/>
      <c r="N872" s="25">
        <f>'Combined Retirement'!$C$18/12</f>
        <v>40940.569999999992</v>
      </c>
      <c r="O872" s="25">
        <f t="shared" si="785"/>
        <v>10889.636755601023</v>
      </c>
      <c r="P872" s="25">
        <f t="shared" si="786"/>
        <v>30050.93324439897</v>
      </c>
      <c r="Q872" s="25">
        <f t="array" aca="1" ref="Q872" ca="1">INDEX('Isaac 401k'!L:L,MATCH('Retirement Calculator'!A872,'Isaac 401k'!N:N,0),0)</f>
        <v>-8888741.8096976951</v>
      </c>
      <c r="R872" s="25">
        <f t="array" aca="1" ref="R872" ca="1">INDEX('Lorri 401b'!L:L,MATCH('Retirement Calculator'!A872,'Lorri 401b'!N:N,0),0)</f>
        <v>-16386135.117959429</v>
      </c>
      <c r="S872" s="25">
        <f t="shared" ca="1" si="787"/>
        <v>-25274876.927657124</v>
      </c>
    </row>
    <row r="873" spans="1:19" ht="15.75" customHeight="1" x14ac:dyDescent="0.3">
      <c r="A873" s="37">
        <v>77524</v>
      </c>
      <c r="B873" s="398">
        <f t="shared" ref="B873:C873" si="884">($A873-B$9)/365.25</f>
        <v>130.37097878165639</v>
      </c>
      <c r="C873" s="398">
        <f t="shared" si="884"/>
        <v>125.76043805612593</v>
      </c>
      <c r="E873" s="25">
        <f>IF(C873&gt;$B$7,0,'Combined Retirement'!$D$13/12)</f>
        <v>0</v>
      </c>
      <c r="F873" s="25">
        <f>IF(H873=0,'Combined Retirement'!$D$32,0)+'Combined Retirement'!$B$24</f>
        <v>2870.372285649099</v>
      </c>
      <c r="G873" s="25">
        <f>'Combined Retirement'!$C$24</f>
        <v>3254.2644699519233</v>
      </c>
      <c r="H873" s="25">
        <f>IF(B873&lt;62,0,'Combined Retirement'!$I$14)</f>
        <v>2345</v>
      </c>
      <c r="I873" s="25">
        <f>IF(C873&lt;62,0,'Combined Retirement'!$I$13)</f>
        <v>2420</v>
      </c>
      <c r="J873" s="25">
        <f t="shared" si="783"/>
        <v>8395.6297298201844</v>
      </c>
      <c r="K873" s="25">
        <f t="shared" si="784"/>
        <v>21655.303514578787</v>
      </c>
      <c r="L873" s="25"/>
      <c r="N873" s="25">
        <f>'Combined Retirement'!$C$18/12</f>
        <v>40940.569999999992</v>
      </c>
      <c r="O873" s="25">
        <f t="shared" si="785"/>
        <v>10889.636755601023</v>
      </c>
      <c r="P873" s="25">
        <f t="shared" si="786"/>
        <v>30050.93324439897</v>
      </c>
      <c r="Q873" s="25">
        <f t="array" aca="1" ref="Q873" ca="1">INDEX('Isaac 401k'!L:L,MATCH('Retirement Calculator'!A873,'Isaac 401k'!N:N,0),0)</f>
        <v>-8934208.8454251308</v>
      </c>
      <c r="R873" s="25">
        <f t="array" aca="1" ref="R873" ca="1">INDEX('Lorri 401b'!L:L,MATCH('Retirement Calculator'!A873,'Lorri 401b'!N:N,0),0)</f>
        <v>-16476156.214896817</v>
      </c>
      <c r="S873" s="25">
        <f t="shared" ca="1" si="787"/>
        <v>-25410365.060321949</v>
      </c>
    </row>
    <row r="874" spans="1:19" ht="15.75" customHeight="1" x14ac:dyDescent="0.3">
      <c r="A874" s="37">
        <v>77554</v>
      </c>
      <c r="B874" s="398">
        <f t="shared" ref="B874:C874" si="885">($A874-B$9)/365.25</f>
        <v>130.45311430527036</v>
      </c>
      <c r="C874" s="398">
        <f t="shared" si="885"/>
        <v>125.84257357973991</v>
      </c>
      <c r="E874" s="25">
        <f>IF(C874&gt;$B$7,0,'Combined Retirement'!$D$13/12)</f>
        <v>0</v>
      </c>
      <c r="F874" s="25">
        <f>IF(H874=0,'Combined Retirement'!$D$32,0)+'Combined Retirement'!$B$24</f>
        <v>2870.372285649099</v>
      </c>
      <c r="G874" s="25">
        <f>'Combined Retirement'!$C$24</f>
        <v>3254.2644699519233</v>
      </c>
      <c r="H874" s="25">
        <f>IF(B874&lt;62,0,'Combined Retirement'!$I$14)</f>
        <v>2345</v>
      </c>
      <c r="I874" s="25">
        <f>IF(C874&lt;62,0,'Combined Retirement'!$I$13)</f>
        <v>2420</v>
      </c>
      <c r="J874" s="25">
        <f t="shared" si="783"/>
        <v>8395.6297298201844</v>
      </c>
      <c r="K874" s="25">
        <f t="shared" si="784"/>
        <v>21655.303514578787</v>
      </c>
      <c r="L874" s="25"/>
      <c r="N874" s="25">
        <f>'Combined Retirement'!$C$18/12</f>
        <v>40940.569999999992</v>
      </c>
      <c r="O874" s="25">
        <f t="shared" si="785"/>
        <v>10889.636755601023</v>
      </c>
      <c r="P874" s="25">
        <f t="shared" si="786"/>
        <v>30050.93324439897</v>
      </c>
      <c r="Q874" s="25">
        <f t="array" aca="1" ref="Q874" ca="1">INDEX('Isaac 401k'!L:L,MATCH('Retirement Calculator'!A874,'Isaac 401k'!N:N,0),0)</f>
        <v>-8979865.3271347638</v>
      </c>
      <c r="R874" s="25">
        <f t="array" aca="1" ref="R874" ca="1">INDEX('Lorri 401b'!L:L,MATCH('Retirement Calculator'!A874,'Lorri 401b'!N:N,0),0)</f>
        <v>-16566552.399738111</v>
      </c>
      <c r="S874" s="25">
        <f t="shared" ca="1" si="787"/>
        <v>-25546417.726872876</v>
      </c>
    </row>
    <row r="875" spans="1:19" ht="15.75" customHeight="1" x14ac:dyDescent="0.3">
      <c r="A875" s="37">
        <v>77585</v>
      </c>
      <c r="B875" s="398">
        <f t="shared" ref="B875:C875" si="886">($A875-B$9)/365.25</f>
        <v>130.53798767967146</v>
      </c>
      <c r="C875" s="398">
        <f t="shared" si="886"/>
        <v>125.927446954141</v>
      </c>
      <c r="E875" s="25">
        <f>IF(C875&gt;$B$7,0,'Combined Retirement'!$D$13/12)</f>
        <v>0</v>
      </c>
      <c r="F875" s="25">
        <f>IF(H875=0,'Combined Retirement'!$D$32,0)+'Combined Retirement'!$B$24</f>
        <v>2870.372285649099</v>
      </c>
      <c r="G875" s="25">
        <f>'Combined Retirement'!$C$24</f>
        <v>3254.2644699519233</v>
      </c>
      <c r="H875" s="25">
        <f>IF(B875&lt;62,0,'Combined Retirement'!$I$14)</f>
        <v>2345</v>
      </c>
      <c r="I875" s="25">
        <f>IF(C875&lt;62,0,'Combined Retirement'!$I$13)</f>
        <v>2420</v>
      </c>
      <c r="J875" s="25">
        <f t="shared" si="783"/>
        <v>8395.6297298201844</v>
      </c>
      <c r="K875" s="25">
        <f t="shared" si="784"/>
        <v>21655.303514578787</v>
      </c>
      <c r="L875" s="25"/>
      <c r="N875" s="25">
        <f>'Combined Retirement'!$C$18/12</f>
        <v>40940.569999999992</v>
      </c>
      <c r="O875" s="25">
        <f t="shared" si="785"/>
        <v>10889.636755601023</v>
      </c>
      <c r="P875" s="25">
        <f t="shared" si="786"/>
        <v>30050.93324439897</v>
      </c>
      <c r="Q875" s="25">
        <f t="array" aca="1" ref="Q875" ca="1">INDEX('Isaac 401k'!L:L,MATCH('Retirement Calculator'!A875,'Isaac 401k'!N:N,0),0)</f>
        <v>-9025712.0441848543</v>
      </c>
      <c r="R875" s="25">
        <f t="array" aca="1" ref="R875" ca="1">INDEX('Lorri 401b'!L:L,MATCH('Retirement Calculator'!A875,'Lorri 401b'!N:N,0),0)</f>
        <v>-16657325.235349577</v>
      </c>
      <c r="S875" s="25">
        <f t="shared" ca="1" si="787"/>
        <v>-25683037.279534429</v>
      </c>
    </row>
    <row r="876" spans="1:19" ht="15.75" customHeight="1" x14ac:dyDescent="0.3">
      <c r="A876" s="37">
        <v>77615</v>
      </c>
      <c r="B876" s="398">
        <f t="shared" ref="B876:C876" si="887">($A876-B$9)/365.25</f>
        <v>130.62012320328543</v>
      </c>
      <c r="C876" s="398">
        <f t="shared" si="887"/>
        <v>126.00958247775496</v>
      </c>
      <c r="E876" s="25">
        <f>IF(C876&gt;$B$7,0,'Combined Retirement'!$D$13/12)</f>
        <v>0</v>
      </c>
      <c r="F876" s="25">
        <f>IF(H876=0,'Combined Retirement'!$D$32,0)+'Combined Retirement'!$B$24</f>
        <v>2870.372285649099</v>
      </c>
      <c r="G876" s="25">
        <f>'Combined Retirement'!$C$24</f>
        <v>3254.2644699519233</v>
      </c>
      <c r="H876" s="25">
        <f>IF(B876&lt;62,0,'Combined Retirement'!$I$14)</f>
        <v>2345</v>
      </c>
      <c r="I876" s="25">
        <f>IF(C876&lt;62,0,'Combined Retirement'!$I$13)</f>
        <v>2420</v>
      </c>
      <c r="J876" s="25">
        <f t="shared" si="783"/>
        <v>8395.6297298201844</v>
      </c>
      <c r="K876" s="25">
        <f t="shared" si="784"/>
        <v>21655.303514578787</v>
      </c>
      <c r="L876" s="25"/>
      <c r="N876" s="25">
        <f>'Combined Retirement'!$C$18/12</f>
        <v>40940.569999999992</v>
      </c>
      <c r="O876" s="25">
        <f t="shared" si="785"/>
        <v>10889.636755601023</v>
      </c>
      <c r="P876" s="25">
        <f t="shared" si="786"/>
        <v>30050.93324439897</v>
      </c>
      <c r="Q876" s="25">
        <f t="array" aca="1" ref="Q876" ca="1">INDEX('Isaac 401k'!L:L,MATCH('Retirement Calculator'!A876,'Isaac 401k'!N:N,0),0)</f>
        <v>-9071749.7892226521</v>
      </c>
      <c r="R876" s="25">
        <f t="array" aca="1" ref="R876" ca="1">INDEX('Lorri 401b'!L:L,MATCH('Retirement Calculator'!A876,'Lorri 401b'!N:N,0),0)</f>
        <v>-16748476.291109424</v>
      </c>
      <c r="S876" s="25">
        <f t="shared" ca="1" si="787"/>
        <v>-25820226.080332078</v>
      </c>
    </row>
    <row r="877" spans="1:19" ht="15.75" customHeight="1" x14ac:dyDescent="0.3">
      <c r="A877" s="37">
        <v>77646</v>
      </c>
      <c r="B877" s="398">
        <f t="shared" ref="B877:C877" si="888">($A877-B$9)/365.25</f>
        <v>130.70499657768653</v>
      </c>
      <c r="C877" s="398">
        <f t="shared" si="888"/>
        <v>126.09445585215606</v>
      </c>
      <c r="E877" s="25">
        <f>IF(C877&gt;$B$7,0,'Combined Retirement'!$D$13/12)</f>
        <v>0</v>
      </c>
      <c r="F877" s="25">
        <f>IF(H877=0,'Combined Retirement'!$D$32,0)+'Combined Retirement'!$B$24</f>
        <v>2870.372285649099</v>
      </c>
      <c r="G877" s="25">
        <f>'Combined Retirement'!$C$24</f>
        <v>3254.2644699519233</v>
      </c>
      <c r="H877" s="25">
        <f>IF(B877&lt;62,0,'Combined Retirement'!$I$14)</f>
        <v>2345</v>
      </c>
      <c r="I877" s="25">
        <f>IF(C877&lt;62,0,'Combined Retirement'!$I$13)</f>
        <v>2420</v>
      </c>
      <c r="J877" s="25">
        <f t="shared" si="783"/>
        <v>8395.6297298201844</v>
      </c>
      <c r="K877" s="25">
        <f t="shared" si="784"/>
        <v>21655.303514578787</v>
      </c>
      <c r="L877" s="25"/>
      <c r="N877" s="25">
        <f>'Combined Retirement'!$C$18/12</f>
        <v>40940.569999999992</v>
      </c>
      <c r="O877" s="25">
        <f t="shared" si="785"/>
        <v>10889.636755601023</v>
      </c>
      <c r="P877" s="25">
        <f t="shared" si="786"/>
        <v>30050.93324439897</v>
      </c>
      <c r="Q877" s="25">
        <f t="array" aca="1" ref="Q877" ca="1">INDEX('Isaac 401k'!L:L,MATCH('Retirement Calculator'!A877,'Isaac 401k'!N:N,0),0)</f>
        <v>-9117979.3581981082</v>
      </c>
      <c r="R877" s="25">
        <f t="array" aca="1" ref="R877" ca="1">INDEX('Lorri 401b'!L:L,MATCH('Retirement Calculator'!A877,'Lorri 401b'!N:N,0),0)</f>
        <v>-16840007.142934937</v>
      </c>
      <c r="S877" s="25">
        <f t="shared" ca="1" si="787"/>
        <v>-25957986.501133047</v>
      </c>
    </row>
    <row r="878" spans="1:19" ht="15.75" customHeight="1" x14ac:dyDescent="0.3">
      <c r="A878" s="37">
        <v>77677</v>
      </c>
      <c r="B878" s="398">
        <f t="shared" ref="B878:C878" si="889">($A878-B$9)/365.25</f>
        <v>130.7898699520876</v>
      </c>
      <c r="C878" s="398">
        <f t="shared" si="889"/>
        <v>126.17932922655716</v>
      </c>
      <c r="E878" s="25">
        <f>IF(C878&gt;$B$7,0,'Combined Retirement'!$D$13/12)</f>
        <v>0</v>
      </c>
      <c r="F878" s="25">
        <f>IF(H878=0,'Combined Retirement'!$D$32,0)+'Combined Retirement'!$B$24</f>
        <v>2870.372285649099</v>
      </c>
      <c r="G878" s="25">
        <f>'Combined Retirement'!$C$24</f>
        <v>3254.2644699519233</v>
      </c>
      <c r="H878" s="25">
        <f>IF(B878&lt;62,0,'Combined Retirement'!$I$14)</f>
        <v>2345</v>
      </c>
      <c r="I878" s="25">
        <f>IF(C878&lt;62,0,'Combined Retirement'!$I$13)</f>
        <v>2420</v>
      </c>
      <c r="J878" s="25">
        <f t="shared" si="783"/>
        <v>8395.6297298201844</v>
      </c>
      <c r="K878" s="25">
        <f t="shared" si="784"/>
        <v>21655.303514578787</v>
      </c>
      <c r="L878" s="25"/>
      <c r="N878" s="25">
        <f>'Combined Retirement'!$C$18/12</f>
        <v>40940.569999999992</v>
      </c>
      <c r="O878" s="25">
        <f t="shared" si="785"/>
        <v>10889.636755601023</v>
      </c>
      <c r="P878" s="25">
        <f t="shared" si="786"/>
        <v>30050.93324439897</v>
      </c>
      <c r="Q878" s="25">
        <f t="array" aca="1" ref="Q878" ca="1">INDEX('Isaac 401k'!L:L,MATCH('Retirement Calculator'!A878,'Isaac 401k'!N:N,0),0)</f>
        <v>-9164401.5503776278</v>
      </c>
      <c r="R878" s="25">
        <f t="array" aca="1" ref="R878" ca="1">INDEX('Lorri 401b'!L:L,MATCH('Retirement Calculator'!A878,'Lorri 401b'!N:N,0),0)</f>
        <v>-16931919.37330972</v>
      </c>
      <c r="S878" s="25">
        <f t="shared" ca="1" si="787"/>
        <v>-26096320.923687346</v>
      </c>
    </row>
    <row r="879" spans="1:19" ht="15.75" customHeight="1" x14ac:dyDescent="0.3">
      <c r="A879" s="37">
        <v>77707</v>
      </c>
      <c r="B879" s="398">
        <f t="shared" ref="B879:C879" si="890">($A879-B$9)/365.25</f>
        <v>130.87200547570157</v>
      </c>
      <c r="C879" s="398">
        <f t="shared" si="890"/>
        <v>126.26146475017111</v>
      </c>
      <c r="E879" s="25">
        <f>IF(C879&gt;$B$7,0,'Combined Retirement'!$D$13/12)</f>
        <v>0</v>
      </c>
      <c r="F879" s="25">
        <f>IF(H879=0,'Combined Retirement'!$D$32,0)+'Combined Retirement'!$B$24</f>
        <v>2870.372285649099</v>
      </c>
      <c r="G879" s="25">
        <f>'Combined Retirement'!$C$24</f>
        <v>3254.2644699519233</v>
      </c>
      <c r="H879" s="25">
        <f>IF(B879&lt;62,0,'Combined Retirement'!$I$14)</f>
        <v>2345</v>
      </c>
      <c r="I879" s="25">
        <f>IF(C879&lt;62,0,'Combined Retirement'!$I$13)</f>
        <v>2420</v>
      </c>
      <c r="J879" s="25">
        <f t="shared" si="783"/>
        <v>8395.6297298201844</v>
      </c>
      <c r="K879" s="25">
        <f t="shared" si="784"/>
        <v>21655.303514578787</v>
      </c>
      <c r="L879" s="25"/>
      <c r="N879" s="25">
        <f>'Combined Retirement'!$C$18/12</f>
        <v>40940.569999999992</v>
      </c>
      <c r="O879" s="25">
        <f t="shared" si="785"/>
        <v>10889.636755601023</v>
      </c>
      <c r="P879" s="25">
        <f t="shared" si="786"/>
        <v>30050.93324439897</v>
      </c>
      <c r="Q879" s="25">
        <f t="array" aca="1" ref="Q879" ca="1">INDEX('Isaac 401k'!L:L,MATCH('Retirement Calculator'!A879,'Isaac 401k'!N:N,0),0)</f>
        <v>-9211017.1683578957</v>
      </c>
      <c r="R879" s="25">
        <f t="array" aca="1" ref="R879" ca="1">INDEX('Lorri 401b'!L:L,MATCH('Retirement Calculator'!A879,'Lorri 401b'!N:N,0),0)</f>
        <v>-17024214.571311064</v>
      </c>
      <c r="S879" s="25">
        <f t="shared" ca="1" si="787"/>
        <v>-26235231.739668958</v>
      </c>
    </row>
    <row r="880" spans="1:19" ht="15.75" customHeight="1" x14ac:dyDescent="0.3">
      <c r="A880" s="37">
        <v>77738</v>
      </c>
      <c r="B880" s="398">
        <f t="shared" ref="B880:C880" si="891">($A880-B$9)/365.25</f>
        <v>130.95687885010267</v>
      </c>
      <c r="C880" s="398">
        <f t="shared" si="891"/>
        <v>126.34633812457221</v>
      </c>
      <c r="E880" s="25">
        <f>IF(C880&gt;$B$7,0,'Combined Retirement'!$D$13/12)</f>
        <v>0</v>
      </c>
      <c r="F880" s="25">
        <f>IF(H880=0,'Combined Retirement'!$D$32,0)+'Combined Retirement'!$B$24</f>
        <v>2870.372285649099</v>
      </c>
      <c r="G880" s="25">
        <f>'Combined Retirement'!$C$24</f>
        <v>3254.2644699519233</v>
      </c>
      <c r="H880" s="25">
        <f>IF(B880&lt;62,0,'Combined Retirement'!$I$14)</f>
        <v>2345</v>
      </c>
      <c r="I880" s="25">
        <f>IF(C880&lt;62,0,'Combined Retirement'!$I$13)</f>
        <v>2420</v>
      </c>
      <c r="J880" s="25">
        <f t="shared" si="783"/>
        <v>8395.6297298201844</v>
      </c>
      <c r="K880" s="25">
        <f t="shared" si="784"/>
        <v>21655.303514578787</v>
      </c>
      <c r="L880" s="25"/>
      <c r="N880" s="25">
        <f>'Combined Retirement'!$C$18/12</f>
        <v>40940.569999999992</v>
      </c>
      <c r="O880" s="25">
        <f t="shared" si="785"/>
        <v>10889.636755601023</v>
      </c>
      <c r="P880" s="25">
        <f t="shared" si="786"/>
        <v>30050.93324439897</v>
      </c>
      <c r="Q880" s="25">
        <f t="array" aca="1" ref="Q880" ca="1">INDEX('Isaac 401k'!L:L,MATCH('Retirement Calculator'!A880,'Isaac 401k'!N:N,0),0)</f>
        <v>-9257827.0180797484</v>
      </c>
      <c r="R880" s="25">
        <f t="array" aca="1" ref="R880" ca="1">INDEX('Lorri 401b'!L:L,MATCH('Retirement Calculator'!A880,'Lorri 401b'!N:N,0),0)</f>
        <v>-17116894.332637414</v>
      </c>
      <c r="S880" s="25">
        <f t="shared" ca="1" si="787"/>
        <v>-26374721.350717165</v>
      </c>
    </row>
    <row r="881" spans="1:19" ht="15.75" customHeight="1" x14ac:dyDescent="0.3">
      <c r="A881" s="37">
        <v>77768</v>
      </c>
      <c r="B881" s="398">
        <f t="shared" ref="B881:C881" si="892">($A881-B$9)/365.25</f>
        <v>131.03901437371664</v>
      </c>
      <c r="C881" s="398">
        <f t="shared" si="892"/>
        <v>126.42847364818617</v>
      </c>
      <c r="E881" s="25">
        <f>IF(C881&gt;$B$7,0,'Combined Retirement'!$D$13/12)</f>
        <v>0</v>
      </c>
      <c r="F881" s="25">
        <f>IF(H881=0,'Combined Retirement'!$D$32,0)+'Combined Retirement'!$B$24</f>
        <v>2870.372285649099</v>
      </c>
      <c r="G881" s="25">
        <f>'Combined Retirement'!$C$24</f>
        <v>3254.2644699519233</v>
      </c>
      <c r="H881" s="25">
        <f>IF(B881&lt;62,0,'Combined Retirement'!$I$14)</f>
        <v>2345</v>
      </c>
      <c r="I881" s="25">
        <f>IF(C881&lt;62,0,'Combined Retirement'!$I$13)</f>
        <v>2420</v>
      </c>
      <c r="J881" s="25">
        <f t="shared" si="783"/>
        <v>8395.6297298201844</v>
      </c>
      <c r="K881" s="25">
        <f t="shared" si="784"/>
        <v>21655.303514578787</v>
      </c>
      <c r="L881" s="25"/>
      <c r="N881" s="25">
        <f>'Combined Retirement'!$C$18/12</f>
        <v>40940.569999999992</v>
      </c>
      <c r="O881" s="25">
        <f t="shared" si="785"/>
        <v>10889.636755601023</v>
      </c>
      <c r="P881" s="25">
        <f t="shared" si="786"/>
        <v>30050.93324439897</v>
      </c>
      <c r="Q881" s="25">
        <f t="array" aca="1" ref="Q881" ca="1">INDEX('Isaac 401k'!L:L,MATCH('Retirement Calculator'!A881,'Isaac 401k'!N:N,0),0)</f>
        <v>-9304831.9088421091</v>
      </c>
      <c r="R881" s="25">
        <f t="array" aca="1" ref="R881" ca="1">INDEX('Lorri 401b'!L:L,MATCH('Retirement Calculator'!A881,'Lorri 401b'!N:N,0),0)</f>
        <v>-17209960.259635959</v>
      </c>
      <c r="S881" s="25">
        <f t="shared" ca="1" si="787"/>
        <v>-26514792.168478068</v>
      </c>
    </row>
    <row r="882" spans="1:19" ht="15.75" customHeight="1" x14ac:dyDescent="0.3">
      <c r="A882" s="37">
        <v>77799</v>
      </c>
      <c r="B882" s="398">
        <f t="shared" ref="B882:C882" si="893">($A882-B$9)/365.25</f>
        <v>131.12388774811774</v>
      </c>
      <c r="C882" s="398">
        <f t="shared" si="893"/>
        <v>126.51334702258727</v>
      </c>
      <c r="E882" s="25">
        <f>IF(C882&gt;$B$7,0,'Combined Retirement'!$D$13/12)</f>
        <v>0</v>
      </c>
      <c r="F882" s="25">
        <f>IF(H882=0,'Combined Retirement'!$D$32,0)+'Combined Retirement'!$B$24</f>
        <v>2870.372285649099</v>
      </c>
      <c r="G882" s="25">
        <f>'Combined Retirement'!$C$24</f>
        <v>3254.2644699519233</v>
      </c>
      <c r="H882" s="25">
        <f>IF(B882&lt;62,0,'Combined Retirement'!$I$14)</f>
        <v>2345</v>
      </c>
      <c r="I882" s="25">
        <f>IF(C882&lt;62,0,'Combined Retirement'!$I$13)</f>
        <v>2420</v>
      </c>
      <c r="J882" s="25">
        <f t="shared" si="783"/>
        <v>8395.6297298201844</v>
      </c>
      <c r="K882" s="25">
        <f t="shared" si="784"/>
        <v>21655.303514578787</v>
      </c>
      <c r="L882" s="25"/>
      <c r="N882" s="25">
        <f>'Combined Retirement'!$C$18/12</f>
        <v>40940.569999999992</v>
      </c>
      <c r="O882" s="25">
        <f t="shared" si="785"/>
        <v>10889.636755601023</v>
      </c>
      <c r="P882" s="25">
        <f t="shared" si="786"/>
        <v>30050.93324439897</v>
      </c>
      <c r="Q882" s="25">
        <f t="array" aca="1" ref="Q882" ca="1">INDEX('Isaac 401k'!L:L,MATCH('Retirement Calculator'!A882,'Isaac 401k'!N:N,0),0)</f>
        <v>-9352032.65331598</v>
      </c>
      <c r="R882" s="25">
        <f t="array" aca="1" ref="R882" ca="1">INDEX('Lorri 401b'!L:L,MATCH('Retirement Calculator'!A882,'Lorri 401b'!N:N,0),0)</f>
        <v>-17303413.961330332</v>
      </c>
      <c r="S882" s="25">
        <f t="shared" ca="1" si="787"/>
        <v>-26655446.614646312</v>
      </c>
    </row>
    <row r="883" spans="1:19" ht="15.75" customHeight="1" x14ac:dyDescent="0.3">
      <c r="A883" s="37">
        <v>77830</v>
      </c>
      <c r="B883" s="398">
        <f t="shared" ref="B883:C883" si="894">($A883-B$9)/365.25</f>
        <v>131.20876112251884</v>
      </c>
      <c r="C883" s="398">
        <f t="shared" si="894"/>
        <v>126.59822039698837</v>
      </c>
      <c r="E883" s="25">
        <f>IF(C883&gt;$B$7,0,'Combined Retirement'!$D$13/12)</f>
        <v>0</v>
      </c>
      <c r="F883" s="25">
        <f>IF(H883=0,'Combined Retirement'!$D$32,0)+'Combined Retirement'!$B$24</f>
        <v>2870.372285649099</v>
      </c>
      <c r="G883" s="25">
        <f>'Combined Retirement'!$C$24</f>
        <v>3254.2644699519233</v>
      </c>
      <c r="H883" s="25">
        <f>IF(B883&lt;62,0,'Combined Retirement'!$I$14)</f>
        <v>2345</v>
      </c>
      <c r="I883" s="25">
        <f>IF(C883&lt;62,0,'Combined Retirement'!$I$13)</f>
        <v>2420</v>
      </c>
      <c r="J883" s="25">
        <f t="shared" si="783"/>
        <v>8395.6297298201844</v>
      </c>
      <c r="K883" s="25">
        <f t="shared" si="784"/>
        <v>21655.303514578787</v>
      </c>
      <c r="L883" s="25"/>
      <c r="N883" s="25">
        <f>'Combined Retirement'!$C$18/12</f>
        <v>40940.569999999992</v>
      </c>
      <c r="O883" s="25">
        <f t="shared" si="785"/>
        <v>10889.636755601023</v>
      </c>
      <c r="P883" s="25">
        <f t="shared" si="786"/>
        <v>30050.93324439897</v>
      </c>
      <c r="Q883" s="25">
        <f t="array" aca="1" ref="Q883" ca="1">INDEX('Isaac 401k'!L:L,MATCH('Retirement Calculator'!A883,'Isaac 401k'!N:N,0),0)</f>
        <v>-9399430.0675584916</v>
      </c>
      <c r="R883" s="25">
        <f t="array" aca="1" ref="R883" ca="1">INDEX('Lorri 401b'!L:L,MATCH('Retirement Calculator'!A883,'Lorri 401b'!N:N,0),0)</f>
        <v>-17397257.053448431</v>
      </c>
      <c r="S883" s="25">
        <f t="shared" ca="1" si="787"/>
        <v>-26796687.121006921</v>
      </c>
    </row>
    <row r="884" spans="1:19" ht="15.75" customHeight="1" x14ac:dyDescent="0.3">
      <c r="A884" s="37">
        <v>77858</v>
      </c>
      <c r="B884" s="398">
        <f t="shared" ref="B884:C884" si="895">($A884-B$9)/365.25</f>
        <v>131.28542094455852</v>
      </c>
      <c r="C884" s="398">
        <f t="shared" si="895"/>
        <v>126.67488021902807</v>
      </c>
      <c r="E884" s="25">
        <f>IF(C884&gt;$B$7,0,'Combined Retirement'!$D$13/12)</f>
        <v>0</v>
      </c>
      <c r="F884" s="25">
        <f>IF(H884=0,'Combined Retirement'!$D$32,0)+'Combined Retirement'!$B$24</f>
        <v>2870.372285649099</v>
      </c>
      <c r="G884" s="25">
        <f>'Combined Retirement'!$C$24</f>
        <v>3254.2644699519233</v>
      </c>
      <c r="H884" s="25">
        <f>IF(B884&lt;62,0,'Combined Retirement'!$I$14)</f>
        <v>2345</v>
      </c>
      <c r="I884" s="25">
        <f>IF(C884&lt;62,0,'Combined Retirement'!$I$13)</f>
        <v>2420</v>
      </c>
      <c r="J884" s="25">
        <f t="shared" si="783"/>
        <v>8395.6297298201844</v>
      </c>
      <c r="K884" s="25">
        <f t="shared" si="784"/>
        <v>21655.303514578787</v>
      </c>
      <c r="L884" s="25"/>
      <c r="N884" s="25">
        <f>'Combined Retirement'!$C$18/12</f>
        <v>40940.569999999992</v>
      </c>
      <c r="O884" s="25">
        <f t="shared" si="785"/>
        <v>10889.636755601023</v>
      </c>
      <c r="P884" s="25">
        <f t="shared" si="786"/>
        <v>30050.93324439897</v>
      </c>
      <c r="Q884" s="25">
        <f t="array" aca="1" ref="Q884" ca="1">INDEX('Isaac 401k'!L:L,MATCH('Retirement Calculator'!A884,'Isaac 401k'!N:N,0),0)</f>
        <v>-9447024.9710270129</v>
      </c>
      <c r="R884" s="25">
        <f t="array" aca="1" ref="R884" ca="1">INDEX('Lorri 401b'!L:L,MATCH('Retirement Calculator'!A884,'Lorri 401b'!N:N,0),0)</f>
        <v>-17491491.158450354</v>
      </c>
      <c r="S884" s="25">
        <f t="shared" ca="1" si="787"/>
        <v>-26938516.129477367</v>
      </c>
    </row>
    <row r="885" spans="1:19" ht="15.75" customHeight="1" x14ac:dyDescent="0.3">
      <c r="A885" s="37">
        <v>77889</v>
      </c>
      <c r="B885" s="398">
        <f t="shared" ref="B885:C885" si="896">($A885-B$9)/365.25</f>
        <v>131.37029431895962</v>
      </c>
      <c r="C885" s="398">
        <f t="shared" si="896"/>
        <v>126.75975359342915</v>
      </c>
      <c r="E885" s="25">
        <f>IF(C885&gt;$B$7,0,'Combined Retirement'!$D$13/12)</f>
        <v>0</v>
      </c>
      <c r="F885" s="25">
        <f>IF(H885=0,'Combined Retirement'!$D$32,0)+'Combined Retirement'!$B$24</f>
        <v>2870.372285649099</v>
      </c>
      <c r="G885" s="25">
        <f>'Combined Retirement'!$C$24</f>
        <v>3254.2644699519233</v>
      </c>
      <c r="H885" s="25">
        <f>IF(B885&lt;62,0,'Combined Retirement'!$I$14)</f>
        <v>2345</v>
      </c>
      <c r="I885" s="25">
        <f>IF(C885&lt;62,0,'Combined Retirement'!$I$13)</f>
        <v>2420</v>
      </c>
      <c r="J885" s="25">
        <f t="shared" si="783"/>
        <v>8395.6297298201844</v>
      </c>
      <c r="K885" s="25">
        <f t="shared" si="784"/>
        <v>21655.303514578787</v>
      </c>
      <c r="L885" s="25"/>
      <c r="N885" s="25">
        <f>'Combined Retirement'!$C$18/12</f>
        <v>40940.569999999992</v>
      </c>
      <c r="O885" s="25">
        <f t="shared" si="785"/>
        <v>10889.636755601023</v>
      </c>
      <c r="P885" s="25">
        <f t="shared" si="786"/>
        <v>30050.93324439897</v>
      </c>
      <c r="Q885" s="25">
        <f t="array" aca="1" ref="Q885" ca="1">INDEX('Isaac 401k'!L:L,MATCH('Retirement Calculator'!A885,'Isaac 401k'!N:N,0),0)</f>
        <v>-9494818.1865933202</v>
      </c>
      <c r="R885" s="25">
        <f t="array" aca="1" ref="R885" ca="1">INDEX('Lorri 401b'!L:L,MATCH('Retirement Calculator'!A885,'Lorri 401b'!N:N,0),0)</f>
        <v>-17586117.905556452</v>
      </c>
      <c r="S885" s="25">
        <f t="shared" ca="1" si="787"/>
        <v>-27080936.092149772</v>
      </c>
    </row>
    <row r="886" spans="1:19" ht="15.75" customHeight="1" x14ac:dyDescent="0.3">
      <c r="A886" s="37">
        <v>77919</v>
      </c>
      <c r="B886" s="398">
        <f t="shared" ref="B886:C886" si="897">($A886-B$9)/365.25</f>
        <v>131.45242984257359</v>
      </c>
      <c r="C886" s="398">
        <f t="shared" si="897"/>
        <v>126.84188911704312</v>
      </c>
      <c r="E886" s="25">
        <f>IF(C886&gt;$B$7,0,'Combined Retirement'!$D$13/12)</f>
        <v>0</v>
      </c>
      <c r="F886" s="25">
        <f>IF(H886=0,'Combined Retirement'!$D$32,0)+'Combined Retirement'!$B$24</f>
        <v>2870.372285649099</v>
      </c>
      <c r="G886" s="25">
        <f>'Combined Retirement'!$C$24</f>
        <v>3254.2644699519233</v>
      </c>
      <c r="H886" s="25">
        <f>IF(B886&lt;62,0,'Combined Retirement'!$I$14)</f>
        <v>2345</v>
      </c>
      <c r="I886" s="25">
        <f>IF(C886&lt;62,0,'Combined Retirement'!$I$13)</f>
        <v>2420</v>
      </c>
      <c r="J886" s="25">
        <f t="shared" si="783"/>
        <v>8395.6297298201844</v>
      </c>
      <c r="K886" s="25">
        <f t="shared" si="784"/>
        <v>21655.303514578787</v>
      </c>
      <c r="L886" s="25"/>
      <c r="N886" s="25">
        <f>'Combined Retirement'!$C$18/12</f>
        <v>40940.569999999992</v>
      </c>
      <c r="O886" s="25">
        <f t="shared" si="785"/>
        <v>10889.636755601023</v>
      </c>
      <c r="P886" s="25">
        <f t="shared" si="786"/>
        <v>30050.93324439897</v>
      </c>
      <c r="Q886" s="25">
        <f t="array" aca="1" ref="Q886" ca="1">INDEX('Isaac 401k'!L:L,MATCH('Retirement Calculator'!A886,'Isaac 401k'!N:N,0),0)</f>
        <v>-9542810.5405578203</v>
      </c>
      <c r="R886" s="25">
        <f t="array" aca="1" ref="R886" ca="1">INDEX('Lorri 401b'!L:L,MATCH('Retirement Calculator'!A886,'Lorri 401b'!N:N,0),0)</f>
        <v>-17681138.930775493</v>
      </c>
      <c r="S886" s="25">
        <f t="shared" ca="1" si="787"/>
        <v>-27223949.471333314</v>
      </c>
    </row>
    <row r="887" spans="1:19" ht="15.75" customHeight="1" x14ac:dyDescent="0.3">
      <c r="A887" s="37">
        <v>77950</v>
      </c>
      <c r="B887" s="398">
        <f t="shared" ref="B887:C887" si="898">($A887-B$9)/365.25</f>
        <v>131.53730321697466</v>
      </c>
      <c r="C887" s="398">
        <f t="shared" si="898"/>
        <v>126.92676249144422</v>
      </c>
      <c r="E887" s="25">
        <f>IF(C887&gt;$B$7,0,'Combined Retirement'!$D$13/12)</f>
        <v>0</v>
      </c>
      <c r="F887" s="25">
        <f>IF(H887=0,'Combined Retirement'!$D$32,0)+'Combined Retirement'!$B$24</f>
        <v>2870.372285649099</v>
      </c>
      <c r="G887" s="25">
        <f>'Combined Retirement'!$C$24</f>
        <v>3254.2644699519233</v>
      </c>
      <c r="H887" s="25">
        <f>IF(B887&lt;62,0,'Combined Retirement'!$I$14)</f>
        <v>2345</v>
      </c>
      <c r="I887" s="25">
        <f>IF(C887&lt;62,0,'Combined Retirement'!$I$13)</f>
        <v>2420</v>
      </c>
      <c r="J887" s="25">
        <f t="shared" si="783"/>
        <v>8395.6297298201844</v>
      </c>
      <c r="K887" s="25">
        <f t="shared" si="784"/>
        <v>21655.303514578787</v>
      </c>
      <c r="L887" s="25"/>
      <c r="N887" s="25">
        <f>'Combined Retirement'!$C$18/12</f>
        <v>40940.569999999992</v>
      </c>
      <c r="O887" s="25">
        <f t="shared" si="785"/>
        <v>10889.636755601023</v>
      </c>
      <c r="P887" s="25">
        <f t="shared" si="786"/>
        <v>30050.93324439897</v>
      </c>
      <c r="Q887" s="25">
        <f t="array" aca="1" ref="Q887" ca="1">INDEX('Isaac 401k'!L:L,MATCH('Retirement Calculator'!A887,'Isaac 401k'!N:N,0),0)</f>
        <v>-9591002.862663839</v>
      </c>
      <c r="R887" s="25">
        <f t="array" aca="1" ref="R887" ca="1">INDEX('Lorri 401b'!L:L,MATCH('Retirement Calculator'!A887,'Lorri 401b'!N:N,0),0)</f>
        <v>-17776555.876932945</v>
      </c>
      <c r="S887" s="25">
        <f t="shared" ca="1" si="787"/>
        <v>-27367558.739596784</v>
      </c>
    </row>
    <row r="888" spans="1:19" ht="15.75" customHeight="1" x14ac:dyDescent="0.3">
      <c r="A888" s="37">
        <v>77980</v>
      </c>
      <c r="B888" s="398">
        <f t="shared" ref="B888:C888" si="899">($A888-B$9)/365.25</f>
        <v>131.61943874058863</v>
      </c>
      <c r="C888" s="398">
        <f t="shared" si="899"/>
        <v>127.00889801505818</v>
      </c>
      <c r="E888" s="25">
        <f>IF(C888&gt;$B$7,0,'Combined Retirement'!$D$13/12)</f>
        <v>0</v>
      </c>
      <c r="F888" s="25">
        <f>IF(H888=0,'Combined Retirement'!$D$32,0)+'Combined Retirement'!$B$24</f>
        <v>2870.372285649099</v>
      </c>
      <c r="G888" s="25">
        <f>'Combined Retirement'!$C$24</f>
        <v>3254.2644699519233</v>
      </c>
      <c r="H888" s="25">
        <f>IF(B888&lt;62,0,'Combined Retirement'!$I$14)</f>
        <v>2345</v>
      </c>
      <c r="I888" s="25">
        <f>IF(C888&lt;62,0,'Combined Retirement'!$I$13)</f>
        <v>2420</v>
      </c>
      <c r="J888" s="25">
        <f t="shared" si="783"/>
        <v>8395.6297298201844</v>
      </c>
      <c r="K888" s="25">
        <f t="shared" si="784"/>
        <v>21655.303514578787</v>
      </c>
      <c r="L888" s="25"/>
      <c r="N888" s="25">
        <f>'Combined Retirement'!$C$18/12</f>
        <v>40940.569999999992</v>
      </c>
      <c r="O888" s="25">
        <f t="shared" si="785"/>
        <v>10889.636755601023</v>
      </c>
      <c r="P888" s="25">
        <f t="shared" si="786"/>
        <v>30050.93324439897</v>
      </c>
      <c r="Q888" s="25">
        <f t="array" aca="1" ref="Q888" ca="1">INDEX('Isaac 401k'!L:L,MATCH('Retirement Calculator'!A888,'Isaac 401k'!N:N,0),0)</f>
        <v>-9639395.9861119669</v>
      </c>
      <c r="R888" s="25">
        <f t="array" aca="1" ref="R888" ca="1">INDEX('Lorri 401b'!L:L,MATCH('Retirement Calculator'!A888,'Lorri 401b'!N:N,0),0)</f>
        <v>-17872370.393699389</v>
      </c>
      <c r="S888" s="25">
        <f t="shared" ca="1" si="787"/>
        <v>-27511766.379811354</v>
      </c>
    </row>
    <row r="889" spans="1:19" ht="15.75" customHeight="1" x14ac:dyDescent="0.3">
      <c r="A889" s="37">
        <v>78011</v>
      </c>
      <c r="B889" s="398">
        <f t="shared" ref="B889:C889" si="900">($A889-B$9)/365.25</f>
        <v>131.70431211498973</v>
      </c>
      <c r="C889" s="398">
        <f t="shared" si="900"/>
        <v>127.09377138945928</v>
      </c>
      <c r="E889" s="25">
        <f>IF(C889&gt;$B$7,0,'Combined Retirement'!$D$13/12)</f>
        <v>0</v>
      </c>
      <c r="F889" s="25">
        <f>IF(H889=0,'Combined Retirement'!$D$32,0)+'Combined Retirement'!$B$24</f>
        <v>2870.372285649099</v>
      </c>
      <c r="G889" s="25">
        <f>'Combined Retirement'!$C$24</f>
        <v>3254.2644699519233</v>
      </c>
      <c r="H889" s="25">
        <f>IF(B889&lt;62,0,'Combined Retirement'!$I$14)</f>
        <v>2345</v>
      </c>
      <c r="I889" s="25">
        <f>IF(C889&lt;62,0,'Combined Retirement'!$I$13)</f>
        <v>2420</v>
      </c>
      <c r="J889" s="25">
        <f t="shared" si="783"/>
        <v>8395.6297298201844</v>
      </c>
      <c r="K889" s="25">
        <f t="shared" si="784"/>
        <v>21655.303514578787</v>
      </c>
      <c r="L889" s="25"/>
      <c r="N889" s="25">
        <f>'Combined Retirement'!$C$18/12</f>
        <v>40940.569999999992</v>
      </c>
      <c r="O889" s="25">
        <f t="shared" si="785"/>
        <v>10889.636755601023</v>
      </c>
      <c r="P889" s="25">
        <f t="shared" si="786"/>
        <v>30050.93324439897</v>
      </c>
      <c r="Q889" s="25">
        <f t="array" aca="1" ref="Q889" ca="1">INDEX('Isaac 401k'!L:L,MATCH('Retirement Calculator'!A889,'Isaac 401k'!N:N,0),0)</f>
        <v>-9687990.7475744616</v>
      </c>
      <c r="R889" s="25">
        <f t="array" aca="1" ref="R889" ca="1">INDEX('Lorri 401b'!L:L,MATCH('Retirement Calculator'!A889,'Lorri 401b'!N:N,0),0)</f>
        <v>-17968584.137619026</v>
      </c>
      <c r="S889" s="25">
        <f t="shared" ca="1" si="787"/>
        <v>-27656574.885193489</v>
      </c>
    </row>
    <row r="890" spans="1:19" ht="15.75" customHeight="1" x14ac:dyDescent="0.3">
      <c r="A890" s="37">
        <v>78042</v>
      </c>
      <c r="B890" s="398">
        <f t="shared" ref="B890:C890" si="901">($A890-B$9)/365.25</f>
        <v>131.78918548939083</v>
      </c>
      <c r="C890" s="398">
        <f t="shared" si="901"/>
        <v>127.17864476386038</v>
      </c>
      <c r="E890" s="25">
        <f>IF(C890&gt;$B$7,0,'Combined Retirement'!$D$13/12)</f>
        <v>0</v>
      </c>
      <c r="F890" s="25">
        <f>IF(H890=0,'Combined Retirement'!$D$32,0)+'Combined Retirement'!$B$24</f>
        <v>2870.372285649099</v>
      </c>
      <c r="G890" s="25">
        <f>'Combined Retirement'!$C$24</f>
        <v>3254.2644699519233</v>
      </c>
      <c r="H890" s="25">
        <f>IF(B890&lt;62,0,'Combined Retirement'!$I$14)</f>
        <v>2345</v>
      </c>
      <c r="I890" s="25">
        <f>IF(C890&lt;62,0,'Combined Retirement'!$I$13)</f>
        <v>2420</v>
      </c>
      <c r="J890" s="25">
        <f t="shared" si="783"/>
        <v>8395.6297298201844</v>
      </c>
      <c r="K890" s="25">
        <f t="shared" si="784"/>
        <v>21655.303514578787</v>
      </c>
      <c r="L890" s="25"/>
      <c r="N890" s="25">
        <f>'Combined Retirement'!$C$18/12</f>
        <v>40940.569999999992</v>
      </c>
      <c r="O890" s="25">
        <f t="shared" si="785"/>
        <v>10889.636755601023</v>
      </c>
      <c r="P890" s="25">
        <f t="shared" si="786"/>
        <v>30050.93324439897</v>
      </c>
      <c r="Q890" s="25">
        <f t="array" aca="1" ref="Q890" ca="1">INDEX('Isaac 401k'!L:L,MATCH('Retirement Calculator'!A890,'Isaac 401k'!N:N,0),0)</f>
        <v>-9736787.9872097168</v>
      </c>
      <c r="R890" s="25">
        <f t="array" aca="1" ref="R890" ca="1">INDEX('Lorri 401b'!L:L,MATCH('Retirement Calculator'!A890,'Lorri 401b'!N:N,0),0)</f>
        <v>-18065198.772138327</v>
      </c>
      <c r="S890" s="25">
        <f t="shared" ca="1" si="787"/>
        <v>-27801986.759348042</v>
      </c>
    </row>
    <row r="891" spans="1:19" ht="15.75" customHeight="1" x14ac:dyDescent="0.3">
      <c r="A891" s="37">
        <v>78072</v>
      </c>
      <c r="B891" s="398">
        <f t="shared" ref="B891:C891" si="902">($A891-B$9)/365.25</f>
        <v>131.8713210130048</v>
      </c>
      <c r="C891" s="398">
        <f t="shared" si="902"/>
        <v>127.26078028747433</v>
      </c>
      <c r="E891" s="25">
        <f>IF(C891&gt;$B$7,0,'Combined Retirement'!$D$13/12)</f>
        <v>0</v>
      </c>
      <c r="F891" s="25">
        <f>IF(H891=0,'Combined Retirement'!$D$32,0)+'Combined Retirement'!$B$24</f>
        <v>2870.372285649099</v>
      </c>
      <c r="G891" s="25">
        <f>'Combined Retirement'!$C$24</f>
        <v>3254.2644699519233</v>
      </c>
      <c r="H891" s="25">
        <f>IF(B891&lt;62,0,'Combined Retirement'!$I$14)</f>
        <v>2345</v>
      </c>
      <c r="I891" s="25">
        <f>IF(C891&lt;62,0,'Combined Retirement'!$I$13)</f>
        <v>2420</v>
      </c>
      <c r="J891" s="25">
        <f t="shared" si="783"/>
        <v>8395.6297298201844</v>
      </c>
      <c r="K891" s="25">
        <f t="shared" si="784"/>
        <v>21655.303514578787</v>
      </c>
      <c r="L891" s="25"/>
      <c r="N891" s="25">
        <f>'Combined Retirement'!$C$18/12</f>
        <v>40940.569999999992</v>
      </c>
      <c r="O891" s="25">
        <f t="shared" si="785"/>
        <v>10889.636755601023</v>
      </c>
      <c r="P891" s="25">
        <f t="shared" si="786"/>
        <v>30050.93324439897</v>
      </c>
      <c r="Q891" s="25">
        <f t="array" aca="1" ref="Q891" ca="1">INDEX('Isaac 401k'!L:L,MATCH('Retirement Calculator'!A891,'Isaac 401k'!N:N,0),0)</f>
        <v>-9785788.5486767851</v>
      </c>
      <c r="R891" s="25">
        <f t="array" aca="1" ref="R891" ca="1">INDEX('Lorri 401b'!L:L,MATCH('Retirement Calculator'!A891,'Lorri 401b'!N:N,0),0)</f>
        <v>-18162215.967634793</v>
      </c>
      <c r="S891" s="25">
        <f t="shared" ca="1" si="787"/>
        <v>-27948004.516311578</v>
      </c>
    </row>
    <row r="892" spans="1:19" ht="15.75" customHeight="1" x14ac:dyDescent="0.3">
      <c r="A892" s="37">
        <v>78103</v>
      </c>
      <c r="B892" s="398">
        <f t="shared" ref="B892:C892" si="903">($A892-B$9)/365.25</f>
        <v>131.95619438740587</v>
      </c>
      <c r="C892" s="398">
        <f t="shared" si="903"/>
        <v>127.34565366187543</v>
      </c>
      <c r="E892" s="25">
        <f>IF(C892&gt;$B$7,0,'Combined Retirement'!$D$13/12)</f>
        <v>0</v>
      </c>
      <c r="F892" s="25">
        <f>IF(H892=0,'Combined Retirement'!$D$32,0)+'Combined Retirement'!$B$24</f>
        <v>2870.372285649099</v>
      </c>
      <c r="G892" s="25">
        <f>'Combined Retirement'!$C$24</f>
        <v>3254.2644699519233</v>
      </c>
      <c r="H892" s="25">
        <f>IF(B892&lt;62,0,'Combined Retirement'!$I$14)</f>
        <v>2345</v>
      </c>
      <c r="I892" s="25">
        <f>IF(C892&lt;62,0,'Combined Retirement'!$I$13)</f>
        <v>2420</v>
      </c>
      <c r="J892" s="25">
        <f t="shared" si="783"/>
        <v>8395.6297298201844</v>
      </c>
      <c r="K892" s="25">
        <f t="shared" si="784"/>
        <v>21655.303514578787</v>
      </c>
      <c r="L892" s="25"/>
      <c r="N892" s="25">
        <f>'Combined Retirement'!$C$18/12</f>
        <v>40940.569999999992</v>
      </c>
      <c r="O892" s="25">
        <f t="shared" si="785"/>
        <v>10889.636755601023</v>
      </c>
      <c r="P892" s="25">
        <f t="shared" si="786"/>
        <v>30050.93324439897</v>
      </c>
      <c r="Q892" s="25">
        <f t="array" aca="1" ref="Q892" ca="1">INDEX('Isaac 401k'!L:L,MATCH('Retirement Calculator'!A892,'Isaac 401k'!N:N,0),0)</f>
        <v>-9834993.2791499663</v>
      </c>
      <c r="R892" s="25">
        <f t="array" aca="1" ref="R892" ca="1">INDEX('Lorri 401b'!L:L,MATCH('Retirement Calculator'!A892,'Lorri 401b'!N:N,0),0)</f>
        <v>-18259637.401445828</v>
      </c>
      <c r="S892" s="25">
        <f t="shared" ca="1" si="787"/>
        <v>-28094630.680595793</v>
      </c>
    </row>
    <row r="893" spans="1:19" ht="15.75" customHeight="1" x14ac:dyDescent="0.3">
      <c r="A893" s="37">
        <v>78133</v>
      </c>
      <c r="B893" s="398">
        <f t="shared" ref="B893:C893" si="904">($A893-B$9)/365.25</f>
        <v>132.03832991101984</v>
      </c>
      <c r="C893" s="398">
        <f t="shared" si="904"/>
        <v>127.42778918548939</v>
      </c>
      <c r="E893" s="25">
        <f>IF(C893&gt;$B$7,0,'Combined Retirement'!$D$13/12)</f>
        <v>0</v>
      </c>
      <c r="F893" s="25">
        <f>IF(H893=0,'Combined Retirement'!$D$32,0)+'Combined Retirement'!$B$24</f>
        <v>2870.372285649099</v>
      </c>
      <c r="G893" s="25">
        <f>'Combined Retirement'!$C$24</f>
        <v>3254.2644699519233</v>
      </c>
      <c r="H893" s="25">
        <f>IF(B893&lt;62,0,'Combined Retirement'!$I$14)</f>
        <v>2345</v>
      </c>
      <c r="I893" s="25">
        <f>IF(C893&lt;62,0,'Combined Retirement'!$I$13)</f>
        <v>2420</v>
      </c>
      <c r="J893" s="25">
        <f t="shared" si="783"/>
        <v>8395.6297298201844</v>
      </c>
      <c r="K893" s="25">
        <f t="shared" si="784"/>
        <v>21655.303514578787</v>
      </c>
      <c r="L893" s="25"/>
      <c r="N893" s="25">
        <f>'Combined Retirement'!$C$18/12</f>
        <v>40940.569999999992</v>
      </c>
      <c r="O893" s="25">
        <f t="shared" si="785"/>
        <v>10889.636755601023</v>
      </c>
      <c r="P893" s="25">
        <f t="shared" si="786"/>
        <v>30050.93324439897</v>
      </c>
      <c r="Q893" s="25">
        <f t="array" aca="1" ref="Q893" ca="1">INDEX('Isaac 401k'!L:L,MATCH('Retirement Calculator'!A893,'Isaac 401k'!N:N,0),0)</f>
        <v>-9884403.0293334518</v>
      </c>
      <c r="R893" s="25">
        <f t="array" aca="1" ref="R893" ca="1">INDEX('Lorri 401b'!L:L,MATCH('Retirement Calculator'!A893,'Lorri 401b'!N:N,0),0)</f>
        <v>-18357464.757897742</v>
      </c>
      <c r="S893" s="25">
        <f t="shared" ca="1" si="787"/>
        <v>-28241867.787231192</v>
      </c>
    </row>
    <row r="894" spans="1:19" ht="15.75" customHeight="1" x14ac:dyDescent="0.3">
      <c r="A894" s="37">
        <v>78164</v>
      </c>
      <c r="B894" s="398">
        <f t="shared" ref="B894:C894" si="905">($A894-B$9)/365.25</f>
        <v>132.12320328542094</v>
      </c>
      <c r="C894" s="398">
        <f t="shared" si="905"/>
        <v>127.51266255989049</v>
      </c>
      <c r="E894" s="25">
        <f>IF(C894&gt;$B$7,0,'Combined Retirement'!$D$13/12)</f>
        <v>0</v>
      </c>
      <c r="F894" s="25">
        <f>IF(H894=0,'Combined Retirement'!$D$32,0)+'Combined Retirement'!$B$24</f>
        <v>2870.372285649099</v>
      </c>
      <c r="G894" s="25">
        <f>'Combined Retirement'!$C$24</f>
        <v>3254.2644699519233</v>
      </c>
      <c r="H894" s="25">
        <f>IF(B894&lt;62,0,'Combined Retirement'!$I$14)</f>
        <v>2345</v>
      </c>
      <c r="I894" s="25">
        <f>IF(C894&lt;62,0,'Combined Retirement'!$I$13)</f>
        <v>2420</v>
      </c>
      <c r="J894" s="25">
        <f t="shared" si="783"/>
        <v>8395.6297298201844</v>
      </c>
      <c r="K894" s="25">
        <f t="shared" si="784"/>
        <v>21655.303514578787</v>
      </c>
      <c r="L894" s="25"/>
      <c r="N894" s="25">
        <f>'Combined Retirement'!$C$18/12</f>
        <v>40940.569999999992</v>
      </c>
      <c r="O894" s="25">
        <f t="shared" si="785"/>
        <v>10889.636755601023</v>
      </c>
      <c r="P894" s="25">
        <f t="shared" si="786"/>
        <v>30050.93324439897</v>
      </c>
      <c r="Q894" s="25">
        <f t="array" aca="1" ref="Q894" ca="1">INDEX('Isaac 401k'!L:L,MATCH('Retirement Calculator'!A894,'Isaac 401k'!N:N,0),0)</f>
        <v>-9934018.6534760352</v>
      </c>
      <c r="R894" s="25">
        <f t="array" aca="1" ref="R894" ca="1">INDEX('Lorri 401b'!L:L,MATCH('Retirement Calculator'!A894,'Lorri 401b'!N:N,0),0)</f>
        <v>-18455699.72833487</v>
      </c>
      <c r="S894" s="25">
        <f t="shared" ca="1" si="787"/>
        <v>-28389718.381810904</v>
      </c>
    </row>
    <row r="895" spans="1:19" ht="15.75" customHeight="1" x14ac:dyDescent="0.3">
      <c r="A895" s="37">
        <v>78195</v>
      </c>
      <c r="B895" s="398">
        <f t="shared" ref="B895:C895" si="906">($A895-B$9)/365.25</f>
        <v>132.20807665982204</v>
      </c>
      <c r="C895" s="398">
        <f t="shared" si="906"/>
        <v>127.59753593429159</v>
      </c>
      <c r="E895" s="25">
        <f>IF(C895&gt;$B$7,0,'Combined Retirement'!$D$13/12)</f>
        <v>0</v>
      </c>
      <c r="F895" s="25">
        <f>IF(H895=0,'Combined Retirement'!$D$32,0)+'Combined Retirement'!$B$24</f>
        <v>2870.372285649099</v>
      </c>
      <c r="G895" s="25">
        <f>'Combined Retirement'!$C$24</f>
        <v>3254.2644699519233</v>
      </c>
      <c r="H895" s="25">
        <f>IF(B895&lt;62,0,'Combined Retirement'!$I$14)</f>
        <v>2345</v>
      </c>
      <c r="I895" s="25">
        <f>IF(C895&lt;62,0,'Combined Retirement'!$I$13)</f>
        <v>2420</v>
      </c>
      <c r="J895" s="25">
        <f t="shared" si="783"/>
        <v>8395.6297298201844</v>
      </c>
      <c r="K895" s="25">
        <f t="shared" si="784"/>
        <v>21655.303514578787</v>
      </c>
      <c r="L895" s="25"/>
      <c r="N895" s="25">
        <f>'Combined Retirement'!$C$18/12</f>
        <v>40940.569999999992</v>
      </c>
      <c r="O895" s="25">
        <f t="shared" si="785"/>
        <v>10889.636755601023</v>
      </c>
      <c r="P895" s="25">
        <f t="shared" si="786"/>
        <v>30050.93324439897</v>
      </c>
      <c r="Q895" s="25">
        <f t="array" aca="1" ref="Q895" ca="1">INDEX('Isaac 401k'!L:L,MATCH('Retirement Calculator'!A895,'Isaac 401k'!N:N,0),0)</f>
        <v>-9983841.0093858801</v>
      </c>
      <c r="R895" s="25">
        <f t="array" aca="1" ref="R895" ca="1">INDEX('Lorri 401b'!L:L,MATCH('Retirement Calculator'!A895,'Lorri 401b'!N:N,0),0)</f>
        <v>-18554344.011148822</v>
      </c>
      <c r="S895" s="25">
        <f t="shared" ca="1" si="787"/>
        <v>-28538185.020534702</v>
      </c>
    </row>
    <row r="896" spans="1:19" ht="15.75" customHeight="1" x14ac:dyDescent="0.3">
      <c r="A896" s="37">
        <v>78223</v>
      </c>
      <c r="B896" s="398">
        <f t="shared" ref="B896:C896" si="907">($A896-B$9)/365.25</f>
        <v>132.28473648186173</v>
      </c>
      <c r="C896" s="398">
        <f t="shared" si="907"/>
        <v>127.67419575633129</v>
      </c>
      <c r="E896" s="25">
        <f>IF(C896&gt;$B$7,0,'Combined Retirement'!$D$13/12)</f>
        <v>0</v>
      </c>
      <c r="F896" s="25">
        <f>IF(H896=0,'Combined Retirement'!$D$32,0)+'Combined Retirement'!$B$24</f>
        <v>2870.372285649099</v>
      </c>
      <c r="G896" s="25">
        <f>'Combined Retirement'!$C$24</f>
        <v>3254.2644699519233</v>
      </c>
      <c r="H896" s="25">
        <f>IF(B896&lt;62,0,'Combined Retirement'!$I$14)</f>
        <v>2345</v>
      </c>
      <c r="I896" s="25">
        <f>IF(C896&lt;62,0,'Combined Retirement'!$I$13)</f>
        <v>2420</v>
      </c>
      <c r="J896" s="25">
        <f t="shared" si="783"/>
        <v>8395.6297298201844</v>
      </c>
      <c r="K896" s="25">
        <f t="shared" si="784"/>
        <v>21655.303514578787</v>
      </c>
      <c r="L896" s="25"/>
      <c r="N896" s="25">
        <f>'Combined Retirement'!$C$18/12</f>
        <v>40940.569999999992</v>
      </c>
      <c r="O896" s="25">
        <f t="shared" si="785"/>
        <v>10889.636755601023</v>
      </c>
      <c r="P896" s="25">
        <f t="shared" si="786"/>
        <v>30050.93324439897</v>
      </c>
      <c r="Q896" s="25">
        <f t="array" aca="1" ref="Q896" ca="1">INDEX('Isaac 401k'!L:L,MATCH('Retirement Calculator'!A896,'Isaac 401k'!N:N,0),0)</f>
        <v>-10033870.95844535</v>
      </c>
      <c r="R896" s="25">
        <f t="array" aca="1" ref="R896" ca="1">INDEX('Lorri 401b'!L:L,MATCH('Retirement Calculator'!A896,'Lorri 401b'!N:N,0),0)</f>
        <v>-18653399.31180783</v>
      </c>
      <c r="S896" s="25">
        <f t="shared" ca="1" si="787"/>
        <v>-28687270.270253181</v>
      </c>
    </row>
    <row r="897" spans="1:19" ht="15.75" customHeight="1" x14ac:dyDescent="0.3">
      <c r="A897" s="37">
        <v>78254</v>
      </c>
      <c r="B897" s="398">
        <f t="shared" ref="B897:C897" si="908">($A897-B$9)/365.25</f>
        <v>132.36960985626283</v>
      </c>
      <c r="C897" s="398">
        <f t="shared" si="908"/>
        <v>127.75906913073237</v>
      </c>
      <c r="E897" s="25">
        <f>IF(C897&gt;$B$7,0,'Combined Retirement'!$D$13/12)</f>
        <v>0</v>
      </c>
      <c r="F897" s="25">
        <f>IF(H897=0,'Combined Retirement'!$D$32,0)+'Combined Retirement'!$B$24</f>
        <v>2870.372285649099</v>
      </c>
      <c r="G897" s="25">
        <f>'Combined Retirement'!$C$24</f>
        <v>3254.2644699519233</v>
      </c>
      <c r="H897" s="25">
        <f>IF(B897&lt;62,0,'Combined Retirement'!$I$14)</f>
        <v>2345</v>
      </c>
      <c r="I897" s="25">
        <f>IF(C897&lt;62,0,'Combined Retirement'!$I$13)</f>
        <v>2420</v>
      </c>
      <c r="J897" s="25">
        <f t="shared" si="783"/>
        <v>8395.6297298201844</v>
      </c>
      <c r="K897" s="25">
        <f t="shared" si="784"/>
        <v>21655.303514578787</v>
      </c>
      <c r="L897" s="25"/>
      <c r="N897" s="25">
        <f>'Combined Retirement'!$C$18/12</f>
        <v>40940.569999999992</v>
      </c>
      <c r="O897" s="25">
        <f t="shared" si="785"/>
        <v>10889.636755601023</v>
      </c>
      <c r="P897" s="25">
        <f t="shared" si="786"/>
        <v>30050.93324439897</v>
      </c>
      <c r="Q897" s="25">
        <f t="array" aca="1" ref="Q897" ca="1">INDEX('Isaac 401k'!L:L,MATCH('Retirement Calculator'!A897,'Isaac 401k'!N:N,0),0)</f>
        <v>-10084109.365625899</v>
      </c>
      <c r="R897" s="25">
        <f t="array" aca="1" ref="R897" ca="1">INDEX('Lorri 401b'!L:L,MATCH('Retirement Calculator'!A897,'Lorri 401b'!N:N,0),0)</f>
        <v>-18752867.34288625</v>
      </c>
      <c r="S897" s="25">
        <f t="shared" ca="1" si="787"/>
        <v>-28836976.70851215</v>
      </c>
    </row>
    <row r="898" spans="1:19" ht="15.75" customHeight="1" x14ac:dyDescent="0.3">
      <c r="A898" s="37">
        <v>78284</v>
      </c>
      <c r="B898" s="398">
        <f t="shared" ref="B898:C898" si="909">($A898-B$9)/365.25</f>
        <v>132.4517453798768</v>
      </c>
      <c r="C898" s="398">
        <f t="shared" si="909"/>
        <v>127.84120465434634</v>
      </c>
      <c r="E898" s="25">
        <f>IF(C898&gt;$B$7,0,'Combined Retirement'!$D$13/12)</f>
        <v>0</v>
      </c>
      <c r="F898" s="25">
        <f>IF(H898=0,'Combined Retirement'!$D$32,0)+'Combined Retirement'!$B$24</f>
        <v>2870.372285649099</v>
      </c>
      <c r="G898" s="25">
        <f>'Combined Retirement'!$C$24</f>
        <v>3254.2644699519233</v>
      </c>
      <c r="H898" s="25">
        <f>IF(B898&lt;62,0,'Combined Retirement'!$I$14)</f>
        <v>2345</v>
      </c>
      <c r="I898" s="25">
        <f>IF(C898&lt;62,0,'Combined Retirement'!$I$13)</f>
        <v>2420</v>
      </c>
      <c r="J898" s="25">
        <f t="shared" si="783"/>
        <v>8395.6297298201844</v>
      </c>
      <c r="K898" s="25">
        <f t="shared" si="784"/>
        <v>21655.303514578787</v>
      </c>
      <c r="L898" s="25"/>
      <c r="N898" s="25">
        <f>'Combined Retirement'!$C$18/12</f>
        <v>40940.569999999992</v>
      </c>
      <c r="O898" s="25">
        <f t="shared" si="785"/>
        <v>10889.636755601023</v>
      </c>
      <c r="P898" s="25">
        <f t="shared" si="786"/>
        <v>30050.93324439897</v>
      </c>
      <c r="Q898" s="25">
        <f t="array" aca="1" ref="Q898" ca="1">INDEX('Isaac 401k'!L:L,MATCH('Retirement Calculator'!A898,'Isaac 401k'!N:N,0),0)</f>
        <v>-10134557.099503035</v>
      </c>
      <c r="R898" s="25">
        <f t="array" aca="1" ref="R898" ca="1">INDEX('Lorri 401b'!L:L,MATCH('Retirement Calculator'!A898,'Lorri 401b'!N:N,0),0)</f>
        <v>-18852749.824094165</v>
      </c>
      <c r="S898" s="25">
        <f t="shared" ca="1" si="787"/>
        <v>-28987306.923597202</v>
      </c>
    </row>
    <row r="899" spans="1:19" ht="15.75" customHeight="1" x14ac:dyDescent="0.3">
      <c r="A899" s="37">
        <v>78315</v>
      </c>
      <c r="B899" s="398">
        <f t="shared" ref="B899:C899" si="910">($A899-B$9)/365.25</f>
        <v>132.5366187542779</v>
      </c>
      <c r="C899" s="398">
        <f t="shared" si="910"/>
        <v>127.92607802874743</v>
      </c>
      <c r="E899" s="25">
        <f>IF(C899&gt;$B$7,0,'Combined Retirement'!$D$13/12)</f>
        <v>0</v>
      </c>
      <c r="F899" s="25">
        <f>IF(H899=0,'Combined Retirement'!$D$32,0)+'Combined Retirement'!$B$24</f>
        <v>2870.372285649099</v>
      </c>
      <c r="G899" s="25">
        <f>'Combined Retirement'!$C$24</f>
        <v>3254.2644699519233</v>
      </c>
      <c r="H899" s="25">
        <f>IF(B899&lt;62,0,'Combined Retirement'!$I$14)</f>
        <v>2345</v>
      </c>
      <c r="I899" s="25">
        <f>IF(C899&lt;62,0,'Combined Retirement'!$I$13)</f>
        <v>2420</v>
      </c>
      <c r="J899" s="25">
        <f t="shared" si="783"/>
        <v>8395.6297298201844</v>
      </c>
      <c r="K899" s="25">
        <f t="shared" si="784"/>
        <v>21655.303514578787</v>
      </c>
      <c r="L899" s="25"/>
      <c r="N899" s="25">
        <f>'Combined Retirement'!$C$18/12</f>
        <v>40940.569999999992</v>
      </c>
      <c r="O899" s="25">
        <f t="shared" si="785"/>
        <v>10889.636755601023</v>
      </c>
      <c r="P899" s="25">
        <f t="shared" si="786"/>
        <v>30050.93324439897</v>
      </c>
      <c r="Q899" s="25">
        <f t="array" aca="1" ref="Q899" ca="1">INDEX('Isaac 401k'!L:L,MATCH('Retirement Calculator'!A899,'Isaac 401k'!N:N,0),0)</f>
        <v>-10185215.032271326</v>
      </c>
      <c r="R899" s="25">
        <f t="array" aca="1" ref="R899" ca="1">INDEX('Lorri 401b'!L:L,MATCH('Retirement Calculator'!A899,'Lorri 401b'!N:N,0),0)</f>
        <v>-18953048.482307114</v>
      </c>
      <c r="S899" s="25">
        <f t="shared" ca="1" si="787"/>
        <v>-29138263.514578439</v>
      </c>
    </row>
    <row r="900" spans="1:19" ht="15.75" customHeight="1" x14ac:dyDescent="0.3">
      <c r="A900" s="37">
        <v>78345</v>
      </c>
      <c r="B900" s="398">
        <f t="shared" ref="B900:C900" si="911">($A900-B$9)/365.25</f>
        <v>132.61875427789187</v>
      </c>
      <c r="C900" s="398">
        <f t="shared" si="911"/>
        <v>128.00821355236138</v>
      </c>
      <c r="E900" s="25">
        <f>IF(C900&gt;$B$7,0,'Combined Retirement'!$D$13/12)</f>
        <v>0</v>
      </c>
      <c r="F900" s="25">
        <f>IF(H900=0,'Combined Retirement'!$D$32,0)+'Combined Retirement'!$B$24</f>
        <v>2870.372285649099</v>
      </c>
      <c r="G900" s="25">
        <f>'Combined Retirement'!$C$24</f>
        <v>3254.2644699519233</v>
      </c>
      <c r="H900" s="25">
        <f>IF(B900&lt;62,0,'Combined Retirement'!$I$14)</f>
        <v>2345</v>
      </c>
      <c r="I900" s="25">
        <f>IF(C900&lt;62,0,'Combined Retirement'!$I$13)</f>
        <v>2420</v>
      </c>
      <c r="J900" s="25">
        <f t="shared" si="783"/>
        <v>8395.6297298201844</v>
      </c>
      <c r="K900" s="25">
        <f t="shared" si="784"/>
        <v>21655.303514578787</v>
      </c>
      <c r="L900" s="25"/>
      <c r="N900" s="25">
        <f>'Combined Retirement'!$C$18/12</f>
        <v>40940.569999999992</v>
      </c>
      <c r="O900" s="25">
        <f t="shared" si="785"/>
        <v>10889.636755601023</v>
      </c>
      <c r="P900" s="25">
        <f t="shared" si="786"/>
        <v>30050.93324439897</v>
      </c>
      <c r="Q900" s="25">
        <f t="array" aca="1" ref="Q900" ca="1">INDEX('Isaac 401k'!L:L,MATCH('Retirement Calculator'!A900,'Isaac 401k'!N:N,0),0)</f>
        <v>-10236084.039759483</v>
      </c>
      <c r="R900" s="25">
        <f t="array" aca="1" ref="R900" ca="1">INDEX('Lorri 401b'!L:L,MATCH('Retirement Calculator'!A900,'Lorri 401b'!N:N,0),0)</f>
        <v>-19053765.051595949</v>
      </c>
      <c r="S900" s="25">
        <f t="shared" ca="1" si="787"/>
        <v>-29289849.091355432</v>
      </c>
    </row>
    <row r="901" spans="1:19" ht="15.75" customHeight="1" x14ac:dyDescent="0.3">
      <c r="A901" s="37">
        <v>78376</v>
      </c>
      <c r="B901" s="398">
        <f t="shared" ref="B901:C901" si="912">($A901-B$9)/365.25</f>
        <v>132.70362765229294</v>
      </c>
      <c r="C901" s="398">
        <f t="shared" si="912"/>
        <v>128.09308692676248</v>
      </c>
      <c r="E901" s="25">
        <f>IF(C901&gt;$B$7,0,'Combined Retirement'!$D$13/12)</f>
        <v>0</v>
      </c>
      <c r="F901" s="25">
        <f>IF(H901=0,'Combined Retirement'!$D$32,0)+'Combined Retirement'!$B$24</f>
        <v>2870.372285649099</v>
      </c>
      <c r="G901" s="25">
        <f>'Combined Retirement'!$C$24</f>
        <v>3254.2644699519233</v>
      </c>
      <c r="H901" s="25">
        <f>IF(B901&lt;62,0,'Combined Retirement'!$I$14)</f>
        <v>2345</v>
      </c>
      <c r="I901" s="25">
        <f>IF(C901&lt;62,0,'Combined Retirement'!$I$13)</f>
        <v>2420</v>
      </c>
      <c r="J901" s="25">
        <f t="shared" si="783"/>
        <v>8395.6297298201844</v>
      </c>
      <c r="K901" s="25">
        <f t="shared" si="784"/>
        <v>21655.303514578787</v>
      </c>
      <c r="L901" s="25"/>
      <c r="N901" s="25">
        <f>'Combined Retirement'!$C$18/12</f>
        <v>40940.569999999992</v>
      </c>
      <c r="O901" s="25">
        <f t="shared" si="785"/>
        <v>10889.636755601023</v>
      </c>
      <c r="P901" s="25">
        <f t="shared" si="786"/>
        <v>30050.93324439897</v>
      </c>
      <c r="Q901" s="25">
        <f t="array" aca="1" ref="Q901" ca="1">INDEX('Isaac 401k'!L:L,MATCH('Retirement Calculator'!A901,'Isaac 401k'!N:N,0),0)</f>
        <v>-10287165.001445509</v>
      </c>
      <c r="R901" s="25">
        <f t="array" aca="1" ref="R901" ca="1">INDEX('Lorri 401b'!L:L,MATCH('Retirement Calculator'!A901,'Lorri 401b'!N:N,0),0)</f>
        <v>-19154901.27325682</v>
      </c>
      <c r="S901" s="25">
        <f t="shared" ca="1" si="787"/>
        <v>-29442066.274702329</v>
      </c>
    </row>
    <row r="902" spans="1:19" ht="15.75" customHeight="1" x14ac:dyDescent="0.3">
      <c r="A902" s="37">
        <v>78407</v>
      </c>
      <c r="B902" s="398">
        <f t="shared" ref="B902:C902" si="913">($A902-B$9)/365.25</f>
        <v>132.78850102669404</v>
      </c>
      <c r="C902" s="398">
        <f t="shared" si="913"/>
        <v>128.17796030116358</v>
      </c>
      <c r="E902" s="25">
        <f>IF(C902&gt;$B$7,0,'Combined Retirement'!$D$13/12)</f>
        <v>0</v>
      </c>
      <c r="F902" s="25">
        <f>IF(H902=0,'Combined Retirement'!$D$32,0)+'Combined Retirement'!$B$24</f>
        <v>2870.372285649099</v>
      </c>
      <c r="G902" s="25">
        <f>'Combined Retirement'!$C$24</f>
        <v>3254.2644699519233</v>
      </c>
      <c r="H902" s="25">
        <f>IF(B902&lt;62,0,'Combined Retirement'!$I$14)</f>
        <v>2345</v>
      </c>
      <c r="I902" s="25">
        <f>IF(C902&lt;62,0,'Combined Retirement'!$I$13)</f>
        <v>2420</v>
      </c>
      <c r="J902" s="25">
        <f t="shared" si="783"/>
        <v>8395.6297298201844</v>
      </c>
      <c r="K902" s="25">
        <f t="shared" si="784"/>
        <v>21655.303514578787</v>
      </c>
      <c r="L902" s="25"/>
      <c r="N902" s="25">
        <f>'Combined Retirement'!$C$18/12</f>
        <v>40940.569999999992</v>
      </c>
      <c r="O902" s="25">
        <f t="shared" si="785"/>
        <v>10889.636755601023</v>
      </c>
      <c r="P902" s="25">
        <f t="shared" si="786"/>
        <v>30050.93324439897</v>
      </c>
      <c r="Q902" s="25">
        <f t="array" aca="1" ref="Q902" ca="1">INDEX('Isaac 401k'!L:L,MATCH('Retirement Calculator'!A902,'Isaac 401k'!N:N,0),0)</f>
        <v>-10338458.800471894</v>
      </c>
      <c r="R902" s="25">
        <f t="array" aca="1" ref="R902" ca="1">INDEX('Lorri 401b'!L:L,MATCH('Retirement Calculator'!A902,'Lorri 401b'!N:N,0),0)</f>
        <v>-19256458.895841278</v>
      </c>
      <c r="S902" s="25">
        <f t="shared" ca="1" si="787"/>
        <v>-29594917.696313173</v>
      </c>
    </row>
    <row r="903" spans="1:19" ht="15.75" customHeight="1" x14ac:dyDescent="0.3">
      <c r="A903" s="37">
        <v>78437</v>
      </c>
      <c r="B903" s="398">
        <f t="shared" ref="B903:C903" si="914">($A903-B$9)/365.25</f>
        <v>132.87063655030801</v>
      </c>
      <c r="C903" s="398">
        <f t="shared" si="914"/>
        <v>128.26009582477755</v>
      </c>
      <c r="E903" s="25">
        <f>IF(C903&gt;$B$7,0,'Combined Retirement'!$D$13/12)</f>
        <v>0</v>
      </c>
      <c r="F903" s="25">
        <f>IF(H903=0,'Combined Retirement'!$D$32,0)+'Combined Retirement'!$B$24</f>
        <v>2870.372285649099</v>
      </c>
      <c r="G903" s="25">
        <f>'Combined Retirement'!$C$24</f>
        <v>3254.2644699519233</v>
      </c>
      <c r="H903" s="25">
        <f>IF(B903&lt;62,0,'Combined Retirement'!$I$14)</f>
        <v>2345</v>
      </c>
      <c r="I903" s="25">
        <f>IF(C903&lt;62,0,'Combined Retirement'!$I$13)</f>
        <v>2420</v>
      </c>
      <c r="J903" s="25">
        <f t="shared" si="783"/>
        <v>8395.6297298201844</v>
      </c>
      <c r="K903" s="25">
        <f t="shared" si="784"/>
        <v>21655.303514578787</v>
      </c>
      <c r="L903" s="25"/>
      <c r="N903" s="25">
        <f>'Combined Retirement'!$C$18/12</f>
        <v>40940.569999999992</v>
      </c>
      <c r="O903" s="25">
        <f t="shared" si="785"/>
        <v>10889.636755601023</v>
      </c>
      <c r="P903" s="25">
        <f t="shared" si="786"/>
        <v>30050.93324439897</v>
      </c>
      <c r="Q903" s="25">
        <f t="array" aca="1" ref="Q903" ca="1">INDEX('Isaac 401k'!L:L,MATCH('Retirement Calculator'!A903,'Isaac 401k'!N:N,0),0)</f>
        <v>-10389966.323660888</v>
      </c>
      <c r="R903" s="25">
        <f t="array" aca="1" ref="R903" ca="1">INDEX('Lorri 401b'!L:L,MATCH('Retirement Calculator'!A903,'Lorri 401b'!N:N,0),0)</f>
        <v>-19358439.675186504</v>
      </c>
      <c r="S903" s="25">
        <f t="shared" ca="1" si="787"/>
        <v>-29748405.998847391</v>
      </c>
    </row>
    <row r="904" spans="1:19" ht="15.75" customHeight="1" x14ac:dyDescent="0.3">
      <c r="A904" s="37">
        <v>78468</v>
      </c>
      <c r="B904" s="398">
        <f t="shared" ref="B904:C904" si="915">($A904-B$9)/365.25</f>
        <v>132.95550992470911</v>
      </c>
      <c r="C904" s="398">
        <f t="shared" si="915"/>
        <v>128.34496919917865</v>
      </c>
      <c r="E904" s="25">
        <f>IF(C904&gt;$B$7,0,'Combined Retirement'!$D$13/12)</f>
        <v>0</v>
      </c>
      <c r="F904" s="25">
        <f>IF(H904=0,'Combined Retirement'!$D$32,0)+'Combined Retirement'!$B$24</f>
        <v>2870.372285649099</v>
      </c>
      <c r="G904" s="25">
        <f>'Combined Retirement'!$C$24</f>
        <v>3254.2644699519233</v>
      </c>
      <c r="H904" s="25">
        <f>IF(B904&lt;62,0,'Combined Retirement'!$I$14)</f>
        <v>2345</v>
      </c>
      <c r="I904" s="25">
        <f>IF(C904&lt;62,0,'Combined Retirement'!$I$13)</f>
        <v>2420</v>
      </c>
      <c r="J904" s="25">
        <f t="shared" si="783"/>
        <v>8395.6297298201844</v>
      </c>
      <c r="K904" s="25">
        <f t="shared" si="784"/>
        <v>21655.303514578787</v>
      </c>
      <c r="L904" s="25"/>
      <c r="N904" s="25">
        <f>'Combined Retirement'!$C$18/12</f>
        <v>40940.569999999992</v>
      </c>
      <c r="O904" s="25">
        <f t="shared" si="785"/>
        <v>10889.636755601023</v>
      </c>
      <c r="P904" s="25">
        <f t="shared" si="786"/>
        <v>30050.93324439897</v>
      </c>
      <c r="Q904" s="25">
        <f t="array" aca="1" ref="Q904" ca="1">INDEX('Isaac 401k'!L:L,MATCH('Retirement Calculator'!A904,'Isaac 401k'!N:N,0),0)</f>
        <v>-10441688.461529836</v>
      </c>
      <c r="R904" s="25">
        <f t="array" aca="1" ref="R904" ca="1">INDEX('Lorri 401b'!L:L,MATCH('Retirement Calculator'!A904,'Lorri 401b'!N:N,0),0)</f>
        <v>-19460845.374445669</v>
      </c>
      <c r="S904" s="25">
        <f t="shared" ca="1" si="787"/>
        <v>-29902533.835975505</v>
      </c>
    </row>
    <row r="905" spans="1:19" ht="15.75" customHeight="1" x14ac:dyDescent="0.3">
      <c r="A905" s="37">
        <v>78498</v>
      </c>
      <c r="B905" s="398">
        <f t="shared" ref="B905:C905" si="916">($A905-B$9)/365.25</f>
        <v>133.03764544832308</v>
      </c>
      <c r="C905" s="398">
        <f t="shared" si="916"/>
        <v>128.42710472279262</v>
      </c>
      <c r="E905" s="25">
        <f>IF(C905&gt;$B$7,0,'Combined Retirement'!$D$13/12)</f>
        <v>0</v>
      </c>
      <c r="F905" s="25">
        <f>IF(H905=0,'Combined Retirement'!$D$32,0)+'Combined Retirement'!$B$24</f>
        <v>2870.372285649099</v>
      </c>
      <c r="G905" s="25">
        <f>'Combined Retirement'!$C$24</f>
        <v>3254.2644699519233</v>
      </c>
      <c r="H905" s="25">
        <f>IF(B905&lt;62,0,'Combined Retirement'!$I$14)</f>
        <v>2345</v>
      </c>
      <c r="I905" s="25">
        <f>IF(C905&lt;62,0,'Combined Retirement'!$I$13)</f>
        <v>2420</v>
      </c>
      <c r="J905" s="25">
        <f t="shared" si="783"/>
        <v>8395.6297298201844</v>
      </c>
      <c r="K905" s="25">
        <f t="shared" si="784"/>
        <v>21655.303514578787</v>
      </c>
      <c r="L905" s="25"/>
      <c r="N905" s="25">
        <f>'Combined Retirement'!$C$18/12</f>
        <v>40940.569999999992</v>
      </c>
      <c r="O905" s="25">
        <f t="shared" si="785"/>
        <v>10889.636755601023</v>
      </c>
      <c r="P905" s="25">
        <f t="shared" si="786"/>
        <v>30050.93324439897</v>
      </c>
      <c r="Q905" s="25">
        <f t="array" aca="1" ref="Q905" ca="1">INDEX('Isaac 401k'!L:L,MATCH('Retirement Calculator'!A905,'Isaac 401k'!N:N,0),0)</f>
        <v>-10493626.108306572</v>
      </c>
      <c r="R905" s="25">
        <f t="array" aca="1" ref="R905" ca="1">INDEX('Lorri 401b'!L:L,MATCH('Retirement Calculator'!A905,'Lorri 401b'!N:N,0),0)</f>
        <v>-19563677.764118414</v>
      </c>
      <c r="S905" s="25">
        <f t="shared" ca="1" si="787"/>
        <v>-30057303.872424986</v>
      </c>
    </row>
    <row r="906" spans="1:19" ht="15.75" customHeight="1" x14ac:dyDescent="0.3">
      <c r="A906" s="37">
        <v>78529</v>
      </c>
      <c r="B906" s="398">
        <f t="shared" ref="B906:C906" si="917">($A906-B$9)/365.25</f>
        <v>133.12251882272417</v>
      </c>
      <c r="C906" s="398">
        <f t="shared" si="917"/>
        <v>128.51197809719369</v>
      </c>
      <c r="E906" s="25">
        <f>IF(C906&gt;$B$7,0,'Combined Retirement'!$D$13/12)</f>
        <v>0</v>
      </c>
      <c r="F906" s="25">
        <f>IF(H906=0,'Combined Retirement'!$D$32,0)+'Combined Retirement'!$B$24</f>
        <v>2870.372285649099</v>
      </c>
      <c r="G906" s="25">
        <f>'Combined Retirement'!$C$24</f>
        <v>3254.2644699519233</v>
      </c>
      <c r="H906" s="25">
        <f>IF(B906&lt;62,0,'Combined Retirement'!$I$14)</f>
        <v>2345</v>
      </c>
      <c r="I906" s="25">
        <f>IF(C906&lt;62,0,'Combined Retirement'!$I$13)</f>
        <v>2420</v>
      </c>
      <c r="J906" s="25">
        <f t="shared" si="783"/>
        <v>8395.6297298201844</v>
      </c>
      <c r="K906" s="25">
        <f t="shared" si="784"/>
        <v>21655.303514578787</v>
      </c>
      <c r="L906" s="25"/>
      <c r="N906" s="25">
        <f>'Combined Retirement'!$C$18/12</f>
        <v>40940.569999999992</v>
      </c>
      <c r="O906" s="25">
        <f t="shared" si="785"/>
        <v>10889.636755601023</v>
      </c>
      <c r="P906" s="25">
        <f t="shared" si="786"/>
        <v>30050.93324439897</v>
      </c>
      <c r="Q906" s="25">
        <f t="array" aca="1" ref="Q906" ca="1">INDEX('Isaac 401k'!L:L,MATCH('Retirement Calculator'!A906,'Isaac 401k'!N:N,0),0)</f>
        <v>-10545780.161944877</v>
      </c>
      <c r="R906" s="25">
        <f t="array" aca="1" ref="R906" ca="1">INDEX('Lorri 401b'!L:L,MATCH('Retirement Calculator'!A906,'Lorri 401b'!N:N,0),0)</f>
        <v>-19666938.622081462</v>
      </c>
      <c r="S906" s="25">
        <f t="shared" ca="1" si="787"/>
        <v>-30212718.78402634</v>
      </c>
    </row>
    <row r="907" spans="1:19" ht="15.75" customHeight="1" x14ac:dyDescent="0.3">
      <c r="A907" s="37">
        <v>78560</v>
      </c>
      <c r="B907" s="398">
        <f t="shared" ref="B907:C907" si="918">($A907-B$9)/365.25</f>
        <v>133.20739219712524</v>
      </c>
      <c r="C907" s="398">
        <f t="shared" si="918"/>
        <v>128.59685147159479</v>
      </c>
      <c r="E907" s="25">
        <f>IF(C907&gt;$B$7,0,'Combined Retirement'!$D$13/12)</f>
        <v>0</v>
      </c>
      <c r="F907" s="25">
        <f>IF(H907=0,'Combined Retirement'!$D$32,0)+'Combined Retirement'!$B$24</f>
        <v>2870.372285649099</v>
      </c>
      <c r="G907" s="25">
        <f>'Combined Retirement'!$C$24</f>
        <v>3254.2644699519233</v>
      </c>
      <c r="H907" s="25">
        <f>IF(B907&lt;62,0,'Combined Retirement'!$I$14)</f>
        <v>2345</v>
      </c>
      <c r="I907" s="25">
        <f>IF(C907&lt;62,0,'Combined Retirement'!$I$13)</f>
        <v>2420</v>
      </c>
      <c r="J907" s="25">
        <f t="shared" si="783"/>
        <v>8395.6297298201844</v>
      </c>
      <c r="K907" s="25">
        <f t="shared" si="784"/>
        <v>21655.303514578787</v>
      </c>
      <c r="L907" s="25"/>
      <c r="N907" s="25">
        <f>'Combined Retirement'!$C$18/12</f>
        <v>40940.569999999992</v>
      </c>
      <c r="O907" s="25">
        <f t="shared" si="785"/>
        <v>10889.636755601023</v>
      </c>
      <c r="P907" s="25">
        <f t="shared" si="786"/>
        <v>30050.93324439897</v>
      </c>
      <c r="Q907" s="25">
        <f t="array" aca="1" ref="Q907" ca="1">INDEX('Isaac 401k'!L:L,MATCH('Retirement Calculator'!A907,'Isaac 401k'!N:N,0),0)</f>
        <v>-10598151.52414001</v>
      </c>
      <c r="R907" s="25">
        <f t="array" aca="1" ref="R907" ca="1">INDEX('Lorri 401b'!L:L,MATCH('Retirement Calculator'!A907,'Lorri 401b'!N:N,0),0)</f>
        <v>-19770629.733619358</v>
      </c>
      <c r="S907" s="25">
        <f t="shared" ca="1" si="787"/>
        <v>-30368781.25775937</v>
      </c>
    </row>
    <row r="908" spans="1:19" ht="15.75" customHeight="1" x14ac:dyDescent="0.3">
      <c r="A908" s="37">
        <v>78588</v>
      </c>
      <c r="B908" s="398">
        <f t="shared" ref="B908:C908" si="919">($A908-B$9)/365.25</f>
        <v>133.28405201916496</v>
      </c>
      <c r="C908" s="398">
        <f t="shared" si="919"/>
        <v>128.6735112936345</v>
      </c>
      <c r="E908" s="25">
        <f>IF(C908&gt;$B$7,0,'Combined Retirement'!$D$13/12)</f>
        <v>0</v>
      </c>
      <c r="F908" s="25">
        <f>IF(H908=0,'Combined Retirement'!$D$32,0)+'Combined Retirement'!$B$24</f>
        <v>2870.372285649099</v>
      </c>
      <c r="G908" s="25">
        <f>'Combined Retirement'!$C$24</f>
        <v>3254.2644699519233</v>
      </c>
      <c r="H908" s="25">
        <f>IF(B908&lt;62,0,'Combined Retirement'!$I$14)</f>
        <v>2345</v>
      </c>
      <c r="I908" s="25">
        <f>IF(C908&lt;62,0,'Combined Retirement'!$I$13)</f>
        <v>2420</v>
      </c>
      <c r="J908" s="25">
        <f t="shared" si="783"/>
        <v>8395.6297298201844</v>
      </c>
      <c r="K908" s="25">
        <f t="shared" si="784"/>
        <v>21655.303514578787</v>
      </c>
      <c r="L908" s="25"/>
      <c r="N908" s="25">
        <f>'Combined Retirement'!$C$18/12</f>
        <v>40940.569999999992</v>
      </c>
      <c r="O908" s="25">
        <f t="shared" si="785"/>
        <v>10889.636755601023</v>
      </c>
      <c r="P908" s="25">
        <f t="shared" si="786"/>
        <v>30050.93324439897</v>
      </c>
      <c r="Q908" s="25">
        <f t="array" aca="1" ref="Q908" ca="1">INDEX('Isaac 401k'!L:L,MATCH('Retirement Calculator'!A908,'Isaac 401k'!N:N,0),0)</f>
        <v>-10650741.100344287</v>
      </c>
      <c r="R908" s="25">
        <f t="array" aca="1" ref="R908" ca="1">INDEX('Lorri 401b'!L:L,MATCH('Retirement Calculator'!A908,'Lorri 401b'!N:N,0),0)</f>
        <v>-19874752.891455326</v>
      </c>
      <c r="S908" s="25">
        <f t="shared" ca="1" si="787"/>
        <v>-30525493.991799615</v>
      </c>
    </row>
    <row r="909" spans="1:19" ht="15.75" customHeight="1" x14ac:dyDescent="0.3">
      <c r="A909" s="37">
        <v>78619</v>
      </c>
      <c r="B909" s="398">
        <f t="shared" ref="B909:C909" si="920">($A909-B$9)/365.25</f>
        <v>133.36892539356606</v>
      </c>
      <c r="C909" s="398">
        <f t="shared" si="920"/>
        <v>128.7583846680356</v>
      </c>
      <c r="E909" s="25">
        <f>IF(C909&gt;$B$7,0,'Combined Retirement'!$D$13/12)</f>
        <v>0</v>
      </c>
      <c r="F909" s="25">
        <f>IF(H909=0,'Combined Retirement'!$D$32,0)+'Combined Retirement'!$B$24</f>
        <v>2870.372285649099</v>
      </c>
      <c r="G909" s="25">
        <f>'Combined Retirement'!$C$24</f>
        <v>3254.2644699519233</v>
      </c>
      <c r="H909" s="25">
        <f>IF(B909&lt;62,0,'Combined Retirement'!$I$14)</f>
        <v>2345</v>
      </c>
      <c r="I909" s="25">
        <f>IF(C909&lt;62,0,'Combined Retirement'!$I$13)</f>
        <v>2420</v>
      </c>
      <c r="J909" s="25">
        <f t="shared" si="783"/>
        <v>8395.6297298201844</v>
      </c>
      <c r="K909" s="25">
        <f t="shared" si="784"/>
        <v>21655.303514578787</v>
      </c>
      <c r="L909" s="25"/>
      <c r="N909" s="25">
        <f>'Combined Retirement'!$C$18/12</f>
        <v>40940.569999999992</v>
      </c>
      <c r="O909" s="25">
        <f t="shared" si="785"/>
        <v>10889.636755601023</v>
      </c>
      <c r="P909" s="25">
        <f t="shared" si="786"/>
        <v>30050.93324439897</v>
      </c>
      <c r="Q909" s="25">
        <f t="array" aca="1" ref="Q909" ca="1">INDEX('Isaac 401k'!L:L,MATCH('Retirement Calculator'!A909,'Isaac 401k'!N:N,0),0)</f>
        <v>-10703549.799782749</v>
      </c>
      <c r="R909" s="25">
        <f t="array" aca="1" ref="R909" ca="1">INDEX('Lorri 401b'!L:L,MATCH('Retirement Calculator'!A909,'Lorri 401b'!N:N,0),0)</f>
        <v>-19979309.895782277</v>
      </c>
      <c r="S909" s="25">
        <f t="shared" ca="1" si="787"/>
        <v>-30682859.695565026</v>
      </c>
    </row>
    <row r="910" spans="1:19" ht="15.75" customHeight="1" x14ac:dyDescent="0.3">
      <c r="A910" s="37">
        <v>78649</v>
      </c>
      <c r="B910" s="398">
        <f t="shared" ref="B910:C910" si="921">($A910-B$9)/365.25</f>
        <v>133.45106091718</v>
      </c>
      <c r="C910" s="398">
        <f t="shared" si="921"/>
        <v>128.84052019164955</v>
      </c>
      <c r="E910" s="25">
        <f>IF(C910&gt;$B$7,0,'Combined Retirement'!$D$13/12)</f>
        <v>0</v>
      </c>
      <c r="F910" s="25">
        <f>IF(H910=0,'Combined Retirement'!$D$32,0)+'Combined Retirement'!$B$24</f>
        <v>2870.372285649099</v>
      </c>
      <c r="G910" s="25">
        <f>'Combined Retirement'!$C$24</f>
        <v>3254.2644699519233</v>
      </c>
      <c r="H910" s="25">
        <f>IF(B910&lt;62,0,'Combined Retirement'!$I$14)</f>
        <v>2345</v>
      </c>
      <c r="I910" s="25">
        <f>IF(C910&lt;62,0,'Combined Retirement'!$I$13)</f>
        <v>2420</v>
      </c>
      <c r="J910" s="25">
        <f t="shared" si="783"/>
        <v>8395.6297298201844</v>
      </c>
      <c r="K910" s="25">
        <f t="shared" si="784"/>
        <v>21655.303514578787</v>
      </c>
      <c r="L910" s="25"/>
      <c r="N910" s="25">
        <f>'Combined Retirement'!$C$18/12</f>
        <v>40940.569999999992</v>
      </c>
      <c r="O910" s="25">
        <f t="shared" si="785"/>
        <v>10889.636755601023</v>
      </c>
      <c r="P910" s="25">
        <f t="shared" si="786"/>
        <v>30050.93324439897</v>
      </c>
      <c r="Q910" s="25">
        <f t="array" aca="1" ref="Q910" ca="1">INDEX('Isaac 401k'!L:L,MATCH('Retirement Calculator'!A910,'Isaac 401k'!N:N,0),0)</f>
        <v>-10756578.535468873</v>
      </c>
      <c r="R910" s="25">
        <f t="array" aca="1" ref="R910" ca="1">INDEX('Lorri 401b'!L:L,MATCH('Retirement Calculator'!A910,'Lorri 401b'!N:N,0),0)</f>
        <v>-20084302.554293923</v>
      </c>
      <c r="S910" s="25">
        <f t="shared" ca="1" si="787"/>
        <v>-30840881.089762796</v>
      </c>
    </row>
    <row r="911" spans="1:19" ht="15.75" customHeight="1" x14ac:dyDescent="0.3">
      <c r="A911" s="37">
        <v>78680</v>
      </c>
      <c r="B911" s="398">
        <f t="shared" ref="B911:C911" si="922">($A911-B$9)/365.25</f>
        <v>133.5359342915811</v>
      </c>
      <c r="C911" s="398">
        <f t="shared" si="922"/>
        <v>128.92539356605064</v>
      </c>
      <c r="E911" s="25">
        <f>IF(C911&gt;$B$7,0,'Combined Retirement'!$D$13/12)</f>
        <v>0</v>
      </c>
      <c r="F911" s="25">
        <f>IF(H911=0,'Combined Retirement'!$D$32,0)+'Combined Retirement'!$B$24</f>
        <v>2870.372285649099</v>
      </c>
      <c r="G911" s="25">
        <f>'Combined Retirement'!$C$24</f>
        <v>3254.2644699519233</v>
      </c>
      <c r="H911" s="25">
        <f>IF(B911&lt;62,0,'Combined Retirement'!$I$14)</f>
        <v>2345</v>
      </c>
      <c r="I911" s="25">
        <f>IF(C911&lt;62,0,'Combined Retirement'!$I$13)</f>
        <v>2420</v>
      </c>
      <c r="J911" s="25">
        <f t="shared" si="783"/>
        <v>8395.6297298201844</v>
      </c>
      <c r="K911" s="25">
        <f t="shared" si="784"/>
        <v>21655.303514578787</v>
      </c>
      <c r="L911" s="25"/>
      <c r="N911" s="25">
        <f>'Combined Retirement'!$C$18/12</f>
        <v>40940.569999999992</v>
      </c>
      <c r="O911" s="25">
        <f t="shared" si="785"/>
        <v>10889.636755601023</v>
      </c>
      <c r="P911" s="25">
        <f t="shared" si="786"/>
        <v>30050.93324439897</v>
      </c>
      <c r="Q911" s="25">
        <f t="array" aca="1" ref="Q911" ca="1">INDEX('Isaac 401k'!L:L,MATCH('Retirement Calculator'!A911,'Isaac 401k'!N:N,0),0)</f>
        <v>-10809828.224220354</v>
      </c>
      <c r="R911" s="25">
        <f t="array" aca="1" ref="R911" ca="1">INDEX('Lorri 401b'!L:L,MATCH('Retirement Calculator'!A911,'Lorri 401b'!N:N,0),0)</f>
        <v>-20189732.682216037</v>
      </c>
      <c r="S911" s="25">
        <f t="shared" ca="1" si="787"/>
        <v>-30999560.906436391</v>
      </c>
    </row>
    <row r="912" spans="1:19" ht="15.75" customHeight="1" x14ac:dyDescent="0.3">
      <c r="A912" s="37">
        <v>78710</v>
      </c>
      <c r="B912" s="398">
        <f t="shared" ref="B912:C912" si="923">($A912-B$9)/365.25</f>
        <v>133.61806981519507</v>
      </c>
      <c r="C912" s="398">
        <f t="shared" si="923"/>
        <v>129.00752908966462</v>
      </c>
      <c r="E912" s="25">
        <f>IF(C912&gt;$B$7,0,'Combined Retirement'!$D$13/12)</f>
        <v>0</v>
      </c>
      <c r="F912" s="25">
        <f>IF(H912=0,'Combined Retirement'!$D$32,0)+'Combined Retirement'!$B$24</f>
        <v>2870.372285649099</v>
      </c>
      <c r="G912" s="25">
        <f>'Combined Retirement'!$C$24</f>
        <v>3254.2644699519233</v>
      </c>
      <c r="H912" s="25">
        <f>IF(B912&lt;62,0,'Combined Retirement'!$I$14)</f>
        <v>2345</v>
      </c>
      <c r="I912" s="25">
        <f>IF(C912&lt;62,0,'Combined Retirement'!$I$13)</f>
        <v>2420</v>
      </c>
      <c r="J912" s="25">
        <f t="shared" si="783"/>
        <v>8395.6297298201844</v>
      </c>
      <c r="K912" s="25">
        <f t="shared" si="784"/>
        <v>21655.303514578787</v>
      </c>
      <c r="L912" s="25"/>
      <c r="N912" s="25">
        <f>'Combined Retirement'!$C$18/12</f>
        <v>40940.569999999992</v>
      </c>
      <c r="O912" s="25">
        <f t="shared" si="785"/>
        <v>10889.636755601023</v>
      </c>
      <c r="P912" s="25">
        <f t="shared" si="786"/>
        <v>30050.93324439897</v>
      </c>
      <c r="Q912" s="25">
        <f t="array" aca="1" ref="Q912" ca="1">INDEX('Isaac 401k'!L:L,MATCH('Retirement Calculator'!A912,'Isaac 401k'!N:N,0),0)</f>
        <v>-10863299.786674967</v>
      </c>
      <c r="R912" s="25">
        <f t="array" aca="1" ref="R912" ca="1">INDEX('Lorri 401b'!L:L,MATCH('Retirement Calculator'!A912,'Lorri 401b'!N:N,0),0)</f>
        <v>-20295602.102337826</v>
      </c>
      <c r="S912" s="25">
        <f t="shared" ca="1" si="787"/>
        <v>-31158901.889012791</v>
      </c>
    </row>
    <row r="913" spans="1:19" ht="15.75" customHeight="1" x14ac:dyDescent="0.3">
      <c r="A913" s="37">
        <v>78741</v>
      </c>
      <c r="B913" s="398">
        <f t="shared" ref="B913:C913" si="924">($A913-B$9)/365.25</f>
        <v>133.70294318959617</v>
      </c>
      <c r="C913" s="398">
        <f t="shared" si="924"/>
        <v>129.09240246406571</v>
      </c>
      <c r="E913" s="25">
        <f>IF(C913&gt;$B$7,0,'Combined Retirement'!$D$13/12)</f>
        <v>0</v>
      </c>
      <c r="F913" s="25">
        <f>IF(H913=0,'Combined Retirement'!$D$32,0)+'Combined Retirement'!$B$24</f>
        <v>2870.372285649099</v>
      </c>
      <c r="G913" s="25">
        <f>'Combined Retirement'!$C$24</f>
        <v>3254.2644699519233</v>
      </c>
      <c r="H913" s="25">
        <f>IF(B913&lt;62,0,'Combined Retirement'!$I$14)</f>
        <v>2345</v>
      </c>
      <c r="I913" s="25">
        <f>IF(C913&lt;62,0,'Combined Retirement'!$I$13)</f>
        <v>2420</v>
      </c>
      <c r="J913" s="25">
        <f t="shared" si="783"/>
        <v>8395.6297298201844</v>
      </c>
      <c r="K913" s="25">
        <f t="shared" si="784"/>
        <v>21655.303514578787</v>
      </c>
      <c r="L913" s="25"/>
      <c r="N913" s="25">
        <f>'Combined Retirement'!$C$18/12</f>
        <v>40940.569999999992</v>
      </c>
      <c r="O913" s="25">
        <f t="shared" si="785"/>
        <v>10889.636755601023</v>
      </c>
      <c r="P913" s="25">
        <f t="shared" si="786"/>
        <v>30050.93324439897</v>
      </c>
      <c r="Q913" s="25">
        <f t="array" aca="1" ref="Q913" ca="1">INDEX('Isaac 401k'!L:L,MATCH('Retirement Calculator'!A913,'Isaac 401k'!N:N,0),0)</f>
        <v>-10916994.147306474</v>
      </c>
      <c r="R913" s="25">
        <f t="array" aca="1" ref="R913" ca="1">INDEX('Lorri 401b'!L:L,MATCH('Retirement Calculator'!A913,'Lorri 401b'!N:N,0),0)</f>
        <v>-20401912.645043455</v>
      </c>
      <c r="S913" s="25">
        <f t="shared" ca="1" si="787"/>
        <v>-31318906.792349927</v>
      </c>
    </row>
    <row r="914" spans="1:19" ht="15.75" customHeight="1" x14ac:dyDescent="0.3">
      <c r="A914" s="37">
        <v>78772</v>
      </c>
      <c r="B914" s="398">
        <f t="shared" ref="B914:C914" si="925">($A914-B$9)/365.25</f>
        <v>133.78781656399727</v>
      </c>
      <c r="C914" s="398">
        <f t="shared" si="925"/>
        <v>129.17727583846681</v>
      </c>
      <c r="E914" s="25">
        <f>IF(C914&gt;$B$7,0,'Combined Retirement'!$D$13/12)</f>
        <v>0</v>
      </c>
      <c r="F914" s="25">
        <f>IF(H914=0,'Combined Retirement'!$D$32,0)+'Combined Retirement'!$B$24</f>
        <v>2870.372285649099</v>
      </c>
      <c r="G914" s="25">
        <f>'Combined Retirement'!$C$24</f>
        <v>3254.2644699519233</v>
      </c>
      <c r="H914" s="25">
        <f>IF(B914&lt;62,0,'Combined Retirement'!$I$14)</f>
        <v>2345</v>
      </c>
      <c r="I914" s="25">
        <f>IF(C914&lt;62,0,'Combined Retirement'!$I$13)</f>
        <v>2420</v>
      </c>
      <c r="J914" s="25">
        <f t="shared" si="783"/>
        <v>8395.6297298201844</v>
      </c>
      <c r="K914" s="25">
        <f t="shared" si="784"/>
        <v>21655.303514578787</v>
      </c>
      <c r="L914" s="25"/>
      <c r="N914" s="25">
        <f>'Combined Retirement'!$C$18/12</f>
        <v>40940.569999999992</v>
      </c>
      <c r="O914" s="25">
        <f t="shared" si="785"/>
        <v>10889.636755601023</v>
      </c>
      <c r="P914" s="25">
        <f t="shared" si="786"/>
        <v>30050.93324439897</v>
      </c>
      <c r="Q914" s="25">
        <f t="array" aca="1" ref="Q914" ca="1">INDEX('Isaac 401k'!L:L,MATCH('Retirement Calculator'!A914,'Isaac 401k'!N:N,0),0)</f>
        <v>-10970912.234440612</v>
      </c>
      <c r="R914" s="25">
        <f t="array" aca="1" ref="R914" ca="1">INDEX('Lorri 401b'!L:L,MATCH('Retirement Calculator'!A914,'Lorri 401b'!N:N,0),0)</f>
        <v>-20508666.14834369</v>
      </c>
      <c r="S914" s="25">
        <f t="shared" ca="1" si="787"/>
        <v>-31479578.3827843</v>
      </c>
    </row>
    <row r="915" spans="1:19" ht="15.75" customHeight="1" x14ac:dyDescent="0.3">
      <c r="A915" s="37">
        <v>78802</v>
      </c>
      <c r="B915" s="398">
        <f t="shared" ref="B915:C915" si="926">($A915-B$9)/365.25</f>
        <v>133.86995208761124</v>
      </c>
      <c r="C915" s="398">
        <f t="shared" si="926"/>
        <v>129.25941136208075</v>
      </c>
      <c r="E915" s="25">
        <f>IF(C915&gt;$B$7,0,'Combined Retirement'!$D$13/12)</f>
        <v>0</v>
      </c>
      <c r="F915" s="25">
        <f>IF(H915=0,'Combined Retirement'!$D$32,0)+'Combined Retirement'!$B$24</f>
        <v>2870.372285649099</v>
      </c>
      <c r="G915" s="25">
        <f>'Combined Retirement'!$C$24</f>
        <v>3254.2644699519233</v>
      </c>
      <c r="H915" s="25">
        <f>IF(B915&lt;62,0,'Combined Retirement'!$I$14)</f>
        <v>2345</v>
      </c>
      <c r="I915" s="25">
        <f>IF(C915&lt;62,0,'Combined Retirement'!$I$13)</f>
        <v>2420</v>
      </c>
      <c r="J915" s="25">
        <f t="shared" si="783"/>
        <v>8395.6297298201844</v>
      </c>
      <c r="K915" s="25">
        <f t="shared" si="784"/>
        <v>21655.303514578787</v>
      </c>
      <c r="L915" s="25"/>
      <c r="N915" s="25">
        <f>'Combined Retirement'!$C$18/12</f>
        <v>40940.569999999992</v>
      </c>
      <c r="O915" s="25">
        <f t="shared" si="785"/>
        <v>10889.636755601023</v>
      </c>
      <c r="P915" s="25">
        <f t="shared" si="786"/>
        <v>30050.93324439897</v>
      </c>
      <c r="Q915" s="25">
        <f t="array" aca="1" ref="Q915" ca="1">INDEX('Isaac 401k'!L:L,MATCH('Retirement Calculator'!A915,'Isaac 401k'!N:N,0),0)</f>
        <v>-11025054.980271142</v>
      </c>
      <c r="R915" s="25">
        <f t="array" aca="1" ref="R915" ca="1">INDEX('Lorri 401b'!L:L,MATCH('Retirement Calculator'!A915,'Lorri 401b'!N:N,0),0)</f>
        <v>-20615864.457907677</v>
      </c>
      <c r="S915" s="25">
        <f t="shared" ca="1" si="787"/>
        <v>-31640919.438178819</v>
      </c>
    </row>
    <row r="916" spans="1:19" ht="15.75" customHeight="1" x14ac:dyDescent="0.3">
      <c r="A916" s="37">
        <v>78833</v>
      </c>
      <c r="B916" s="398">
        <f t="shared" ref="B916:C916" si="927">($A916-B$9)/365.25</f>
        <v>133.95482546201231</v>
      </c>
      <c r="C916" s="398">
        <f t="shared" si="927"/>
        <v>129.34428473648185</v>
      </c>
      <c r="E916" s="25">
        <f>IF(C916&gt;$B$7,0,'Combined Retirement'!$D$13/12)</f>
        <v>0</v>
      </c>
      <c r="F916" s="25">
        <f>IF(H916=0,'Combined Retirement'!$D$32,0)+'Combined Retirement'!$B$24</f>
        <v>2870.372285649099</v>
      </c>
      <c r="G916" s="25">
        <f>'Combined Retirement'!$C$24</f>
        <v>3254.2644699519233</v>
      </c>
      <c r="H916" s="25">
        <f>IF(B916&lt;62,0,'Combined Retirement'!$I$14)</f>
        <v>2345</v>
      </c>
      <c r="I916" s="25">
        <f>IF(C916&lt;62,0,'Combined Retirement'!$I$13)</f>
        <v>2420</v>
      </c>
      <c r="J916" s="25">
        <f t="shared" si="783"/>
        <v>8395.6297298201844</v>
      </c>
      <c r="K916" s="25">
        <f t="shared" si="784"/>
        <v>21655.303514578787</v>
      </c>
      <c r="L916" s="25"/>
      <c r="N916" s="25">
        <f>'Combined Retirement'!$C$18/12</f>
        <v>40940.569999999992</v>
      </c>
      <c r="O916" s="25">
        <f t="shared" si="785"/>
        <v>10889.636755601023</v>
      </c>
      <c r="P916" s="25">
        <f t="shared" si="786"/>
        <v>30050.93324439897</v>
      </c>
      <c r="Q916" s="25">
        <f t="array" aca="1" ref="Q916" ca="1">INDEX('Isaac 401k'!L:L,MATCH('Retirement Calculator'!A916,'Isaac 401k'!N:N,0),0)</f>
        <v>-11079423.320875967</v>
      </c>
      <c r="R916" s="25">
        <f t="array" aca="1" ref="R916" ca="1">INDEX('Lorri 401b'!L:L,MATCH('Retirement Calculator'!A916,'Lorri 401b'!N:N,0),0)</f>
        <v>-20723509.427094847</v>
      </c>
      <c r="S916" s="25">
        <f t="shared" ca="1" si="787"/>
        <v>-31802932.747970812</v>
      </c>
    </row>
    <row r="917" spans="1:19" ht="15.75" customHeight="1" x14ac:dyDescent="0.3">
      <c r="A917" s="37">
        <v>78863</v>
      </c>
      <c r="B917" s="398">
        <f t="shared" ref="B917:C917" si="928">($A917-B$9)/365.25</f>
        <v>134.03696098562628</v>
      </c>
      <c r="C917" s="398">
        <f t="shared" si="928"/>
        <v>129.42642026009582</v>
      </c>
      <c r="E917" s="25">
        <f>IF(C917&gt;$B$7,0,'Combined Retirement'!$D$13/12)</f>
        <v>0</v>
      </c>
      <c r="F917" s="25">
        <f>IF(H917=0,'Combined Retirement'!$D$32,0)+'Combined Retirement'!$B$24</f>
        <v>2870.372285649099</v>
      </c>
      <c r="G917" s="25">
        <f>'Combined Retirement'!$C$24</f>
        <v>3254.2644699519233</v>
      </c>
      <c r="H917" s="25">
        <f>IF(B917&lt;62,0,'Combined Retirement'!$I$14)</f>
        <v>2345</v>
      </c>
      <c r="I917" s="25">
        <f>IF(C917&lt;62,0,'Combined Retirement'!$I$13)</f>
        <v>2420</v>
      </c>
      <c r="J917" s="25">
        <f t="shared" si="783"/>
        <v>8395.6297298201844</v>
      </c>
      <c r="K917" s="25">
        <f t="shared" si="784"/>
        <v>21655.303514578787</v>
      </c>
      <c r="L917" s="25"/>
      <c r="N917" s="25">
        <f>'Combined Retirement'!$C$18/12</f>
        <v>40940.569999999992</v>
      </c>
      <c r="O917" s="25">
        <f t="shared" si="785"/>
        <v>10889.636755601023</v>
      </c>
      <c r="P917" s="25">
        <f t="shared" si="786"/>
        <v>30050.93324439897</v>
      </c>
      <c r="Q917" s="25">
        <f t="array" aca="1" ref="Q917" ca="1">INDEX('Isaac 401k'!L:L,MATCH('Retirement Calculator'!A917,'Isaac 401k'!N:N,0),0)</f>
        <v>-11134018.196233312</v>
      </c>
      <c r="R917" s="25">
        <f t="array" aca="1" ref="R917" ca="1">INDEX('Lorri 401b'!L:L,MATCH('Retirement Calculator'!A917,'Lorri 401b'!N:N,0),0)</f>
        <v>-20831602.916986965</v>
      </c>
      <c r="S917" s="25">
        <f t="shared" ca="1" si="787"/>
        <v>-31965621.113220274</v>
      </c>
    </row>
    <row r="918" spans="1:19" ht="15.75" customHeight="1" x14ac:dyDescent="0.3">
      <c r="A918" s="37">
        <v>78894</v>
      </c>
      <c r="B918" s="398">
        <f t="shared" ref="B918:C918" si="929">($A918-B$9)/365.25</f>
        <v>134.12183436002738</v>
      </c>
      <c r="C918" s="398">
        <f t="shared" si="929"/>
        <v>129.51129363449692</v>
      </c>
      <c r="E918" s="25">
        <f>IF(C918&gt;$B$7,0,'Combined Retirement'!$D$13/12)</f>
        <v>0</v>
      </c>
      <c r="F918" s="25">
        <f>IF(H918=0,'Combined Retirement'!$D$32,0)+'Combined Retirement'!$B$24</f>
        <v>2870.372285649099</v>
      </c>
      <c r="G918" s="25">
        <f>'Combined Retirement'!$C$24</f>
        <v>3254.2644699519233</v>
      </c>
      <c r="H918" s="25">
        <f>IF(B918&lt;62,0,'Combined Retirement'!$I$14)</f>
        <v>2345</v>
      </c>
      <c r="I918" s="25">
        <f>IF(C918&lt;62,0,'Combined Retirement'!$I$13)</f>
        <v>2420</v>
      </c>
      <c r="J918" s="25">
        <f t="shared" si="783"/>
        <v>8395.6297298201844</v>
      </c>
      <c r="K918" s="25">
        <f t="shared" si="784"/>
        <v>21655.303514578787</v>
      </c>
      <c r="L918" s="25"/>
      <c r="N918" s="25">
        <f>'Combined Retirement'!$C$18/12</f>
        <v>40940.569999999992</v>
      </c>
      <c r="O918" s="25">
        <f t="shared" si="785"/>
        <v>10889.636755601023</v>
      </c>
      <c r="P918" s="25">
        <f t="shared" si="786"/>
        <v>30050.93324439897</v>
      </c>
      <c r="Q918" s="25">
        <f t="array" aca="1" ref="Q918" ca="1">INDEX('Isaac 401k'!L:L,MATCH('Retirement Calculator'!A918,'Isaac 401k'!N:N,0),0)</f>
        <v>-11188840.550237978</v>
      </c>
      <c r="R918" s="25">
        <f t="array" aca="1" ref="R918" ca="1">INDEX('Lorri 401b'!L:L,MATCH('Retirement Calculator'!A918,'Lorri 401b'!N:N,0),0)</f>
        <v>-20940146.796420299</v>
      </c>
      <c r="S918" s="25">
        <f t="shared" ca="1" si="787"/>
        <v>-32128987.346658275</v>
      </c>
    </row>
    <row r="919" spans="1:19" ht="15.75" customHeight="1" x14ac:dyDescent="0.3">
      <c r="A919" s="37">
        <v>78925</v>
      </c>
      <c r="B919" s="398">
        <f t="shared" ref="B919:C919" si="930">($A919-B$9)/365.25</f>
        <v>134.20670773442848</v>
      </c>
      <c r="C919" s="398">
        <f t="shared" si="930"/>
        <v>129.59616700889802</v>
      </c>
      <c r="E919" s="25">
        <f>IF(C919&gt;$B$7,0,'Combined Retirement'!$D$13/12)</f>
        <v>0</v>
      </c>
      <c r="F919" s="25">
        <f>IF(H919=0,'Combined Retirement'!$D$32,0)+'Combined Retirement'!$B$24</f>
        <v>2870.372285649099</v>
      </c>
      <c r="G919" s="25">
        <f>'Combined Retirement'!$C$24</f>
        <v>3254.2644699519233</v>
      </c>
      <c r="H919" s="25">
        <f>IF(B919&lt;62,0,'Combined Retirement'!$I$14)</f>
        <v>2345</v>
      </c>
      <c r="I919" s="25">
        <f>IF(C919&lt;62,0,'Combined Retirement'!$I$13)</f>
        <v>2420</v>
      </c>
      <c r="J919" s="25">
        <f t="shared" si="783"/>
        <v>8395.6297298201844</v>
      </c>
      <c r="K919" s="25">
        <f t="shared" si="784"/>
        <v>21655.303514578787</v>
      </c>
      <c r="L919" s="25"/>
      <c r="N919" s="25">
        <f>'Combined Retirement'!$C$18/12</f>
        <v>40940.569999999992</v>
      </c>
      <c r="O919" s="25">
        <f t="shared" si="785"/>
        <v>10889.636755601023</v>
      </c>
      <c r="P919" s="25">
        <f t="shared" si="786"/>
        <v>30050.93324439897</v>
      </c>
      <c r="Q919" s="25">
        <f t="array" aca="1" ref="Q919" ca="1">INDEX('Isaac 401k'!L:L,MATCH('Retirement Calculator'!A919,'Isaac 401k'!N:N,0),0)</f>
        <v>-11243891.330717664</v>
      </c>
      <c r="R919" s="25">
        <f t="array" aca="1" ref="R919" ca="1">INDEX('Lorri 401b'!L:L,MATCH('Retirement Calculator'!A919,'Lorri 401b'!N:N,0),0)</f>
        <v>-21049142.942017939</v>
      </c>
      <c r="S919" s="25">
        <f t="shared" ca="1" si="787"/>
        <v>-32293034.272735603</v>
      </c>
    </row>
    <row r="920" spans="1:19" ht="15.75" customHeight="1" x14ac:dyDescent="0.3">
      <c r="A920" s="37">
        <v>78954</v>
      </c>
      <c r="B920" s="398">
        <f t="shared" ref="B920:C920" si="931">($A920-B$9)/365.25</f>
        <v>134.28610540725529</v>
      </c>
      <c r="C920" s="398">
        <f t="shared" si="931"/>
        <v>129.67556468172484</v>
      </c>
      <c r="E920" s="25">
        <f>IF(C920&gt;$B$7,0,'Combined Retirement'!$D$13/12)</f>
        <v>0</v>
      </c>
      <c r="F920" s="25">
        <f>IF(H920=0,'Combined Retirement'!$D$32,0)+'Combined Retirement'!$B$24</f>
        <v>2870.372285649099</v>
      </c>
      <c r="G920" s="25">
        <f>'Combined Retirement'!$C$24</f>
        <v>3254.2644699519233</v>
      </c>
      <c r="H920" s="25">
        <f>IF(B920&lt;62,0,'Combined Retirement'!$I$14)</f>
        <v>2345</v>
      </c>
      <c r="I920" s="25">
        <f>IF(C920&lt;62,0,'Combined Retirement'!$I$13)</f>
        <v>2420</v>
      </c>
      <c r="J920" s="25">
        <f t="shared" si="783"/>
        <v>8395.6297298201844</v>
      </c>
      <c r="K920" s="25">
        <f t="shared" si="784"/>
        <v>21655.303514578787</v>
      </c>
      <c r="L920" s="25"/>
      <c r="N920" s="25">
        <f>'Combined Retirement'!$C$18/12</f>
        <v>40940.569999999992</v>
      </c>
      <c r="O920" s="25">
        <f t="shared" si="785"/>
        <v>10889.636755601023</v>
      </c>
      <c r="P920" s="25">
        <f t="shared" si="786"/>
        <v>30050.93324439897</v>
      </c>
      <c r="Q920" s="25">
        <f t="array" aca="1" ref="Q920" ca="1">INDEX('Isaac 401k'!L:L,MATCH('Retirement Calculator'!A920,'Isaac 401k'!N:N,0),0)</f>
        <v>-11299171.489449348</v>
      </c>
      <c r="R920" s="25">
        <f t="array" aca="1" ref="R920" ca="1">INDEX('Lorri 401b'!L:L,MATCH('Retirement Calculator'!A920,'Lorri 401b'!N:N,0),0)</f>
        <v>-21158593.238222234</v>
      </c>
      <c r="S920" s="25">
        <f t="shared" ca="1" si="787"/>
        <v>-32457764.727671582</v>
      </c>
    </row>
    <row r="921" spans="1:19" ht="15.75" customHeight="1" x14ac:dyDescent="0.3">
      <c r="A921" s="37">
        <v>78985</v>
      </c>
      <c r="B921" s="398">
        <f t="shared" ref="B921:C921" si="932">($A921-B$9)/365.25</f>
        <v>134.37097878165639</v>
      </c>
      <c r="C921" s="398">
        <f t="shared" si="932"/>
        <v>129.76043805612593</v>
      </c>
      <c r="E921" s="25">
        <f>IF(C921&gt;$B$7,0,'Combined Retirement'!$D$13/12)</f>
        <v>0</v>
      </c>
      <c r="F921" s="25">
        <f>IF(H921=0,'Combined Retirement'!$D$32,0)+'Combined Retirement'!$B$24</f>
        <v>2870.372285649099</v>
      </c>
      <c r="G921" s="25">
        <f>'Combined Retirement'!$C$24</f>
        <v>3254.2644699519233</v>
      </c>
      <c r="H921" s="25">
        <f>IF(B921&lt;62,0,'Combined Retirement'!$I$14)</f>
        <v>2345</v>
      </c>
      <c r="I921" s="25">
        <f>IF(C921&lt;62,0,'Combined Retirement'!$I$13)</f>
        <v>2420</v>
      </c>
      <c r="J921" s="25">
        <f t="shared" si="783"/>
        <v>8395.6297298201844</v>
      </c>
      <c r="K921" s="25">
        <f t="shared" si="784"/>
        <v>21655.303514578787</v>
      </c>
      <c r="L921" s="25"/>
      <c r="N921" s="25">
        <f>'Combined Retirement'!$C$18/12</f>
        <v>40940.569999999992</v>
      </c>
      <c r="O921" s="25">
        <f t="shared" si="785"/>
        <v>10889.636755601023</v>
      </c>
      <c r="P921" s="25">
        <f t="shared" si="786"/>
        <v>30050.93324439897</v>
      </c>
      <c r="Q921" s="25">
        <f t="array" aca="1" ref="Q921" ca="1">INDEX('Isaac 401k'!L:L,MATCH('Retirement Calculator'!A921,'Isaac 401k'!N:N,0),0)</f>
        <v>-11354681.982175749</v>
      </c>
      <c r="R921" s="25">
        <f t="array" aca="1" ref="R921" ca="1">INDEX('Lorri 401b'!L:L,MATCH('Retirement Calculator'!A921,'Lorri 401b'!N:N,0),0)</f>
        <v>-21268499.577327382</v>
      </c>
      <c r="S921" s="25">
        <f t="shared" ca="1" si="787"/>
        <v>-32623181.559503131</v>
      </c>
    </row>
    <row r="922" spans="1:19" ht="15.75" customHeight="1" x14ac:dyDescent="0.3">
      <c r="A922" s="37">
        <v>79015</v>
      </c>
      <c r="B922" s="398">
        <f t="shared" ref="B922:C922" si="933">($A922-B$9)/365.25</f>
        <v>134.45311430527036</v>
      </c>
      <c r="C922" s="398">
        <f t="shared" si="933"/>
        <v>129.84257357973991</v>
      </c>
      <c r="E922" s="25">
        <f>IF(C922&gt;$B$7,0,'Combined Retirement'!$D$13/12)</f>
        <v>0</v>
      </c>
      <c r="F922" s="25">
        <f>IF(H922=0,'Combined Retirement'!$D$32,0)+'Combined Retirement'!$B$24</f>
        <v>2870.372285649099</v>
      </c>
      <c r="G922" s="25">
        <f>'Combined Retirement'!$C$24</f>
        <v>3254.2644699519233</v>
      </c>
      <c r="H922" s="25">
        <f>IF(B922&lt;62,0,'Combined Retirement'!$I$14)</f>
        <v>2345</v>
      </c>
      <c r="I922" s="25">
        <f>IF(C922&lt;62,0,'Combined Retirement'!$I$13)</f>
        <v>2420</v>
      </c>
      <c r="J922" s="25">
        <f t="shared" si="783"/>
        <v>8395.6297298201844</v>
      </c>
      <c r="K922" s="25">
        <f t="shared" si="784"/>
        <v>21655.303514578787</v>
      </c>
      <c r="L922" s="25"/>
      <c r="N922" s="25">
        <f>'Combined Retirement'!$C$18/12</f>
        <v>40940.569999999992</v>
      </c>
      <c r="O922" s="25">
        <f t="shared" si="785"/>
        <v>10889.636755601023</v>
      </c>
      <c r="P922" s="25">
        <f t="shared" si="786"/>
        <v>30050.93324439897</v>
      </c>
      <c r="Q922" s="25">
        <f t="array" aca="1" ref="Q922" ca="1">INDEX('Isaac 401k'!L:L,MATCH('Retirement Calculator'!A922,'Isaac 401k'!N:N,0),0)</f>
        <v>-11410423.768621843</v>
      </c>
      <c r="R922" s="25">
        <f t="array" aca="1" ref="R922" ca="1">INDEX('Lorri 401b'!L:L,MATCH('Retirement Calculator'!A922,'Lorri 401b'!N:N,0),0)</f>
        <v>-21378863.859512135</v>
      </c>
      <c r="S922" s="25">
        <f t="shared" ca="1" si="787"/>
        <v>-32789287.628133979</v>
      </c>
    </row>
    <row r="923" spans="1:19" ht="15.75" customHeight="1" x14ac:dyDescent="0.3">
      <c r="A923" s="37">
        <v>79046</v>
      </c>
      <c r="B923" s="398">
        <f t="shared" ref="B923:C923" si="934">($A923-B$9)/365.25</f>
        <v>134.53798767967146</v>
      </c>
      <c r="C923" s="398">
        <f t="shared" si="934"/>
        <v>129.927446954141</v>
      </c>
      <c r="E923" s="25">
        <f>IF(C923&gt;$B$7,0,'Combined Retirement'!$D$13/12)</f>
        <v>0</v>
      </c>
      <c r="F923" s="25">
        <f>IF(H923=0,'Combined Retirement'!$D$32,0)+'Combined Retirement'!$B$24</f>
        <v>2870.372285649099</v>
      </c>
      <c r="G923" s="25">
        <f>'Combined Retirement'!$C$24</f>
        <v>3254.2644699519233</v>
      </c>
      <c r="H923" s="25">
        <f>IF(B923&lt;62,0,'Combined Retirement'!$I$14)</f>
        <v>2345</v>
      </c>
      <c r="I923" s="25">
        <f>IF(C923&lt;62,0,'Combined Retirement'!$I$13)</f>
        <v>2420</v>
      </c>
      <c r="J923" s="25">
        <f t="shared" si="783"/>
        <v>8395.6297298201844</v>
      </c>
      <c r="K923" s="25">
        <f t="shared" si="784"/>
        <v>21655.303514578787</v>
      </c>
      <c r="L923" s="25"/>
      <c r="N923" s="25">
        <f>'Combined Retirement'!$C$18/12</f>
        <v>40940.569999999992</v>
      </c>
      <c r="O923" s="25">
        <f t="shared" si="785"/>
        <v>10889.636755601023</v>
      </c>
      <c r="P923" s="25">
        <f t="shared" si="786"/>
        <v>30050.93324439897</v>
      </c>
      <c r="Q923" s="25">
        <f t="array" aca="1" ref="Q923" ca="1">INDEX('Isaac 401k'!L:L,MATCH('Retirement Calculator'!A923,'Isaac 401k'!N:N,0),0)</f>
        <v>-11466397.812511463</v>
      </c>
      <c r="R923" s="25">
        <f t="array" aca="1" ref="R923" ca="1">INDEX('Lorri 401b'!L:L,MATCH('Retirement Calculator'!A923,'Lorri 401b'!N:N,0),0)</f>
        <v>-21489687.992872659</v>
      </c>
      <c r="S923" s="25">
        <f t="shared" ca="1" si="787"/>
        <v>-32956085.805384122</v>
      </c>
    </row>
    <row r="924" spans="1:19" ht="15.75" customHeight="1" x14ac:dyDescent="0.3">
      <c r="A924" s="37">
        <v>79076</v>
      </c>
      <c r="B924" s="398">
        <f t="shared" ref="B924:C924" si="935">($A924-B$9)/365.25</f>
        <v>134.62012320328543</v>
      </c>
      <c r="C924" s="398">
        <f t="shared" si="935"/>
        <v>130.00958247775498</v>
      </c>
      <c r="E924" s="25">
        <f>IF(C924&gt;$B$7,0,'Combined Retirement'!$D$13/12)</f>
        <v>0</v>
      </c>
      <c r="F924" s="25">
        <f>IF(H924=0,'Combined Retirement'!$D$32,0)+'Combined Retirement'!$B$24</f>
        <v>2870.372285649099</v>
      </c>
      <c r="G924" s="25">
        <f>'Combined Retirement'!$C$24</f>
        <v>3254.2644699519233</v>
      </c>
      <c r="H924" s="25">
        <f>IF(B924&lt;62,0,'Combined Retirement'!$I$14)</f>
        <v>2345</v>
      </c>
      <c r="I924" s="25">
        <f>IF(C924&lt;62,0,'Combined Retirement'!$I$13)</f>
        <v>2420</v>
      </c>
      <c r="J924" s="25">
        <f t="shared" si="783"/>
        <v>8395.6297298201844</v>
      </c>
      <c r="K924" s="25">
        <f t="shared" si="784"/>
        <v>21655.303514578787</v>
      </c>
      <c r="L924" s="25"/>
      <c r="N924" s="25">
        <f>'Combined Retirement'!$C$18/12</f>
        <v>40940.569999999992</v>
      </c>
      <c r="O924" s="25">
        <f t="shared" si="785"/>
        <v>10889.636755601023</v>
      </c>
      <c r="P924" s="25">
        <f t="shared" si="786"/>
        <v>30050.93324439897</v>
      </c>
      <c r="Q924" s="25">
        <f t="array" aca="1" ref="Q924" ca="1">INDEX('Isaac 401k'!L:L,MATCH('Retirement Calculator'!A924,'Isaac 401k'!N:N,0),0)</f>
        <v>-11522605.081583954</v>
      </c>
      <c r="R924" s="25">
        <f t="array" aca="1" ref="R924" ca="1">INDEX('Lorri 401b'!L:L,MATCH('Retirement Calculator'!A924,'Lorri 401b'!N:N,0),0)</f>
        <v>-21600973.893455517</v>
      </c>
      <c r="S924" s="25">
        <f t="shared" ca="1" si="787"/>
        <v>-33123578.975039471</v>
      </c>
    </row>
    <row r="925" spans="1:19" ht="15.75" customHeight="1" x14ac:dyDescent="0.3">
      <c r="A925" s="37">
        <v>79107</v>
      </c>
      <c r="B925" s="398">
        <f t="shared" ref="B925:C925" si="936">($A925-B$9)/365.25</f>
        <v>134.70499657768653</v>
      </c>
      <c r="C925" s="398">
        <f t="shared" si="936"/>
        <v>130.09445585215605</v>
      </c>
      <c r="E925" s="25">
        <f>IF(C925&gt;$B$7,0,'Combined Retirement'!$D$13/12)</f>
        <v>0</v>
      </c>
      <c r="F925" s="25">
        <f>IF(H925=0,'Combined Retirement'!$D$32,0)+'Combined Retirement'!$B$24</f>
        <v>2870.372285649099</v>
      </c>
      <c r="G925" s="25">
        <f>'Combined Retirement'!$C$24</f>
        <v>3254.2644699519233</v>
      </c>
      <c r="H925" s="25">
        <f>IF(B925&lt;62,0,'Combined Retirement'!$I$14)</f>
        <v>2345</v>
      </c>
      <c r="I925" s="25">
        <f>IF(C925&lt;62,0,'Combined Retirement'!$I$13)</f>
        <v>2420</v>
      </c>
      <c r="J925" s="25">
        <f t="shared" si="783"/>
        <v>8395.6297298201844</v>
      </c>
      <c r="K925" s="25">
        <f t="shared" si="784"/>
        <v>21655.303514578787</v>
      </c>
      <c r="L925" s="25"/>
      <c r="N925" s="25">
        <f>'Combined Retirement'!$C$18/12</f>
        <v>40940.569999999992</v>
      </c>
      <c r="O925" s="25">
        <f t="shared" si="785"/>
        <v>10889.636755601023</v>
      </c>
      <c r="P925" s="25">
        <f t="shared" si="786"/>
        <v>30050.93324439897</v>
      </c>
      <c r="Q925" s="25">
        <f t="array" aca="1" ref="Q925" ca="1">INDEX('Isaac 401k'!L:L,MATCH('Retirement Calculator'!A925,'Isaac 401k'!N:N,0),0)</f>
        <v>-11579046.547610916</v>
      </c>
      <c r="R925" s="25">
        <f t="array" aca="1" ref="R925" ca="1">INDEX('Lorri 401b'!L:L,MATCH('Retirement Calculator'!A925,'Lorri 401b'!N:N,0),0)</f>
        <v>-21712723.485290803</v>
      </c>
      <c r="S925" s="25">
        <f t="shared" ca="1" si="787"/>
        <v>-33291770.032901719</v>
      </c>
    </row>
    <row r="926" spans="1:19" ht="15.75" customHeight="1" x14ac:dyDescent="0.3">
      <c r="A926" s="37">
        <v>79138</v>
      </c>
      <c r="B926" s="398">
        <f t="shared" ref="B926:C926" si="937">($A926-B$9)/365.25</f>
        <v>134.7898699520876</v>
      </c>
      <c r="C926" s="398">
        <f t="shared" si="937"/>
        <v>130.17932922655714</v>
      </c>
      <c r="E926" s="25">
        <f>IF(C926&gt;$B$7,0,'Combined Retirement'!$D$13/12)</f>
        <v>0</v>
      </c>
      <c r="F926" s="25">
        <f>IF(H926=0,'Combined Retirement'!$D$32,0)+'Combined Retirement'!$B$24</f>
        <v>2870.372285649099</v>
      </c>
      <c r="G926" s="25">
        <f>'Combined Retirement'!$C$24</f>
        <v>3254.2644699519233</v>
      </c>
      <c r="H926" s="25">
        <f>IF(B926&lt;62,0,'Combined Retirement'!$I$14)</f>
        <v>2345</v>
      </c>
      <c r="I926" s="25">
        <f>IF(C926&lt;62,0,'Combined Retirement'!$I$13)</f>
        <v>2420</v>
      </c>
      <c r="J926" s="25">
        <f t="shared" si="783"/>
        <v>8395.6297298201844</v>
      </c>
      <c r="K926" s="25">
        <f t="shared" si="784"/>
        <v>21655.303514578787</v>
      </c>
      <c r="L926" s="25"/>
      <c r="N926" s="25">
        <f>'Combined Retirement'!$C$18/12</f>
        <v>40940.569999999992</v>
      </c>
      <c r="O926" s="25">
        <f t="shared" si="785"/>
        <v>10889.636755601023</v>
      </c>
      <c r="P926" s="25">
        <f t="shared" si="786"/>
        <v>30050.93324439897</v>
      </c>
      <c r="Q926" s="25">
        <f t="array" aca="1" ref="Q926" ca="1">INDEX('Isaac 401k'!L:L,MATCH('Retirement Calculator'!A926,'Isaac 401k'!N:N,0),0)</f>
        <v>-11635723.18641299</v>
      </c>
      <c r="R926" s="25">
        <f t="array" aca="1" ref="R926" ca="1">INDEX('Lorri 401b'!L:L,MATCH('Retirement Calculator'!A926,'Lorri 401b'!N:N,0),0)</f>
        <v>-21824938.700425401</v>
      </c>
      <c r="S926" s="25">
        <f t="shared" ca="1" si="787"/>
        <v>-33460661.886838391</v>
      </c>
    </row>
    <row r="927" spans="1:19" ht="15.75" customHeight="1" x14ac:dyDescent="0.3">
      <c r="A927" s="37">
        <v>79168</v>
      </c>
      <c r="B927" s="398">
        <f t="shared" ref="B927:C927" si="938">($A927-B$9)/365.25</f>
        <v>134.87200547570157</v>
      </c>
      <c r="C927" s="398">
        <f t="shared" si="938"/>
        <v>130.26146475017111</v>
      </c>
      <c r="E927" s="25">
        <f>IF(C927&gt;$B$7,0,'Combined Retirement'!$D$13/12)</f>
        <v>0</v>
      </c>
      <c r="F927" s="25">
        <f>IF(H927=0,'Combined Retirement'!$D$32,0)+'Combined Retirement'!$B$24</f>
        <v>2870.372285649099</v>
      </c>
      <c r="G927" s="25">
        <f>'Combined Retirement'!$C$24</f>
        <v>3254.2644699519233</v>
      </c>
      <c r="H927" s="25">
        <f>IF(B927&lt;62,0,'Combined Retirement'!$I$14)</f>
        <v>2345</v>
      </c>
      <c r="I927" s="25">
        <f>IF(C927&lt;62,0,'Combined Retirement'!$I$13)</f>
        <v>2420</v>
      </c>
      <c r="J927" s="25">
        <f t="shared" si="783"/>
        <v>8395.6297298201844</v>
      </c>
      <c r="K927" s="25">
        <f t="shared" si="784"/>
        <v>21655.303514578787</v>
      </c>
      <c r="L927" s="25"/>
      <c r="N927" s="25">
        <f>'Combined Retirement'!$C$18/12</f>
        <v>40940.569999999992</v>
      </c>
      <c r="O927" s="25">
        <f t="shared" si="785"/>
        <v>10889.636755601023</v>
      </c>
      <c r="P927" s="25">
        <f t="shared" si="786"/>
        <v>30050.93324439897</v>
      </c>
      <c r="Q927" s="25">
        <f t="array" aca="1" ref="Q927" ca="1">INDEX('Isaac 401k'!L:L,MATCH('Retirement Calculator'!A927,'Isaac 401k'!N:N,0),0)</f>
        <v>-11692635.97787674</v>
      </c>
      <c r="R927" s="25">
        <f t="array" aca="1" ref="R927" ca="1">INDEX('Lorri 401b'!L:L,MATCH('Retirement Calculator'!A927,'Lorri 401b'!N:N,0),0)</f>
        <v>-21937621.478956394</v>
      </c>
      <c r="S927" s="25">
        <f t="shared" ca="1" si="787"/>
        <v>-33630257.456833132</v>
      </c>
    </row>
    <row r="928" spans="1:19" ht="15.75" customHeight="1" x14ac:dyDescent="0.3">
      <c r="A928" s="37">
        <v>79199</v>
      </c>
      <c r="B928" s="398">
        <f t="shared" ref="B928:C928" si="939">($A928-B$9)/365.25</f>
        <v>134.95687885010267</v>
      </c>
      <c r="C928" s="398">
        <f t="shared" si="939"/>
        <v>130.34633812457221</v>
      </c>
      <c r="E928" s="25">
        <f>IF(C928&gt;$B$7,0,'Combined Retirement'!$D$13/12)</f>
        <v>0</v>
      </c>
      <c r="F928" s="25">
        <f>IF(H928=0,'Combined Retirement'!$D$32,0)+'Combined Retirement'!$B$24</f>
        <v>2870.372285649099</v>
      </c>
      <c r="G928" s="25">
        <f>'Combined Retirement'!$C$24</f>
        <v>3254.2644699519233</v>
      </c>
      <c r="H928" s="25">
        <f>IF(B928&lt;62,0,'Combined Retirement'!$I$14)</f>
        <v>2345</v>
      </c>
      <c r="I928" s="25">
        <f>IF(C928&lt;62,0,'Combined Retirement'!$I$13)</f>
        <v>2420</v>
      </c>
      <c r="J928" s="25">
        <f t="shared" si="783"/>
        <v>8395.6297298201844</v>
      </c>
      <c r="K928" s="25">
        <f t="shared" si="784"/>
        <v>21655.303514578787</v>
      </c>
      <c r="L928" s="25"/>
      <c r="N928" s="25">
        <f>'Combined Retirement'!$C$18/12</f>
        <v>40940.569999999992</v>
      </c>
      <c r="O928" s="25">
        <f t="shared" si="785"/>
        <v>10889.636755601023</v>
      </c>
      <c r="P928" s="25">
        <f t="shared" si="786"/>
        <v>30050.93324439897</v>
      </c>
      <c r="Q928" s="25">
        <f t="array" aca="1" ref="Q928" ca="1">INDEX('Isaac 401k'!L:L,MATCH('Retirement Calculator'!A928,'Isaac 401k'!N:N,0),0)</f>
        <v>-11749785.905971587</v>
      </c>
      <c r="R928" s="25">
        <f t="array" aca="1" ref="R928" ca="1">INDEX('Lorri 401b'!L:L,MATCH('Retirement Calculator'!A928,'Lorri 401b'!N:N,0),0)</f>
        <v>-22050773.769064602</v>
      </c>
      <c r="S928" s="25">
        <f t="shared" ca="1" si="787"/>
        <v>-33800559.675036192</v>
      </c>
    </row>
    <row r="929" spans="1:19" ht="15.75" customHeight="1" x14ac:dyDescent="0.3">
      <c r="A929" s="37">
        <v>79229</v>
      </c>
      <c r="B929" s="398">
        <f t="shared" ref="B929:C929" si="940">($A929-B$9)/365.25</f>
        <v>135.03901437371664</v>
      </c>
      <c r="C929" s="398">
        <f t="shared" si="940"/>
        <v>130.42847364818618</v>
      </c>
      <c r="E929" s="25">
        <f>IF(C929&gt;$B$7,0,'Combined Retirement'!$D$13/12)</f>
        <v>0</v>
      </c>
      <c r="F929" s="25">
        <f>IF(H929=0,'Combined Retirement'!$D$32,0)+'Combined Retirement'!$B$24</f>
        <v>2870.372285649099</v>
      </c>
      <c r="G929" s="25">
        <f>'Combined Retirement'!$C$24</f>
        <v>3254.2644699519233</v>
      </c>
      <c r="H929" s="25">
        <f>IF(B929&lt;62,0,'Combined Retirement'!$I$14)</f>
        <v>2345</v>
      </c>
      <c r="I929" s="25">
        <f>IF(C929&lt;62,0,'Combined Retirement'!$I$13)</f>
        <v>2420</v>
      </c>
      <c r="J929" s="25">
        <f t="shared" si="783"/>
        <v>8395.6297298201844</v>
      </c>
      <c r="K929" s="25">
        <f t="shared" si="784"/>
        <v>21655.303514578787</v>
      </c>
      <c r="L929" s="25"/>
      <c r="N929" s="25">
        <f>'Combined Retirement'!$C$18/12</f>
        <v>40940.569999999992</v>
      </c>
      <c r="O929" s="25">
        <f t="shared" si="785"/>
        <v>10889.636755601023</v>
      </c>
      <c r="P929" s="25">
        <f t="shared" si="786"/>
        <v>30050.93324439897</v>
      </c>
      <c r="Q929" s="25">
        <f t="array" aca="1" ref="Q929" ca="1">INDEX('Isaac 401k'!L:L,MATCH('Retirement Calculator'!A929,'Isaac 401k'!N:N,0),0)</f>
        <v>-11807173.958766829</v>
      </c>
      <c r="R929" s="25">
        <f t="array" aca="1" ref="R929" ca="1">INDEX('Lorri 401b'!L:L,MATCH('Retirement Calculator'!A929,'Lorri 401b'!N:N,0),0)</f>
        <v>-22164397.52704826</v>
      </c>
      <c r="S929" s="25">
        <f t="shared" ca="1" si="787"/>
        <v>-33971571.485815093</v>
      </c>
    </row>
    <row r="930" spans="1:19" ht="15.75" customHeight="1" x14ac:dyDescent="0.3">
      <c r="A930" s="37">
        <v>79260</v>
      </c>
      <c r="B930" s="398">
        <f t="shared" ref="B930:C930" si="941">($A930-B$9)/365.25</f>
        <v>135.12388774811774</v>
      </c>
      <c r="C930" s="398">
        <f t="shared" si="941"/>
        <v>130.51334702258728</v>
      </c>
      <c r="E930" s="25">
        <f>IF(C930&gt;$B$7,0,'Combined Retirement'!$D$13/12)</f>
        <v>0</v>
      </c>
      <c r="F930" s="25">
        <f>IF(H930=0,'Combined Retirement'!$D$32,0)+'Combined Retirement'!$B$24</f>
        <v>2870.372285649099</v>
      </c>
      <c r="G930" s="25">
        <f>'Combined Retirement'!$C$24</f>
        <v>3254.2644699519233</v>
      </c>
      <c r="H930" s="25">
        <f>IF(B930&lt;62,0,'Combined Retirement'!$I$14)</f>
        <v>2345</v>
      </c>
      <c r="I930" s="25">
        <f>IF(C930&lt;62,0,'Combined Retirement'!$I$13)</f>
        <v>2420</v>
      </c>
      <c r="J930" s="25">
        <f t="shared" si="783"/>
        <v>8395.6297298201844</v>
      </c>
      <c r="K930" s="25">
        <f t="shared" si="784"/>
        <v>21655.303514578787</v>
      </c>
      <c r="L930" s="25"/>
      <c r="N930" s="25">
        <f>'Combined Retirement'!$C$18/12</f>
        <v>40940.569999999992</v>
      </c>
      <c r="O930" s="25">
        <f t="shared" si="785"/>
        <v>10889.636755601023</v>
      </c>
      <c r="P930" s="25">
        <f t="shared" si="786"/>
        <v>30050.93324439897</v>
      </c>
      <c r="Q930" s="25">
        <f t="array" aca="1" ref="Q930" ca="1">INDEX('Isaac 401k'!L:L,MATCH('Retirement Calculator'!A930,'Isaac 401k'!N:N,0),0)</f>
        <v>-11864801.128448719</v>
      </c>
      <c r="R930" s="25">
        <f t="array" aca="1" ref="R930" ca="1">INDEX('Lorri 401b'!L:L,MATCH('Retirement Calculator'!A930,'Lorri 401b'!N:N,0),0)</f>
        <v>-22278494.717356849</v>
      </c>
      <c r="S930" s="25">
        <f t="shared" ca="1" si="787"/>
        <v>-34143295.84580557</v>
      </c>
    </row>
    <row r="931" spans="1:19" ht="15.75" customHeight="1" x14ac:dyDescent="0.3">
      <c r="A931" s="37">
        <v>79291</v>
      </c>
      <c r="B931" s="398">
        <f t="shared" ref="B931:C931" si="942">($A931-B$9)/365.25</f>
        <v>135.20876112251884</v>
      </c>
      <c r="C931" s="398">
        <f t="shared" si="942"/>
        <v>130.59822039698835</v>
      </c>
      <c r="E931" s="25">
        <f>IF(C931&gt;$B$7,0,'Combined Retirement'!$D$13/12)</f>
        <v>0</v>
      </c>
      <c r="F931" s="25">
        <f>IF(H931=0,'Combined Retirement'!$D$32,0)+'Combined Retirement'!$B$24</f>
        <v>2870.372285649099</v>
      </c>
      <c r="G931" s="25">
        <f>'Combined Retirement'!$C$24</f>
        <v>3254.2644699519233</v>
      </c>
      <c r="H931" s="25">
        <f>IF(B931&lt;62,0,'Combined Retirement'!$I$14)</f>
        <v>2345</v>
      </c>
      <c r="I931" s="25">
        <f>IF(C931&lt;62,0,'Combined Retirement'!$I$13)</f>
        <v>2420</v>
      </c>
      <c r="J931" s="25">
        <f t="shared" si="783"/>
        <v>8395.6297298201844</v>
      </c>
      <c r="K931" s="25">
        <f t="shared" si="784"/>
        <v>21655.303514578787</v>
      </c>
      <c r="L931" s="25"/>
      <c r="N931" s="25">
        <f>'Combined Retirement'!$C$18/12</f>
        <v>40940.569999999992</v>
      </c>
      <c r="O931" s="25">
        <f t="shared" si="785"/>
        <v>10889.636755601023</v>
      </c>
      <c r="P931" s="25">
        <f t="shared" si="786"/>
        <v>30050.93324439897</v>
      </c>
      <c r="Q931" s="25">
        <f t="array" aca="1" ref="Q931" ca="1">INDEX('Isaac 401k'!L:L,MATCH('Retirement Calculator'!A931,'Isaac 401k'!N:N,0),0)</f>
        <v>-11922668.411337616</v>
      </c>
      <c r="R931" s="25">
        <f t="array" aca="1" ref="R931" ca="1">INDEX('Lorri 401b'!L:L,MATCH('Retirement Calculator'!A931,'Lorri 401b'!N:N,0),0)</f>
        <v>-22393067.312625058</v>
      </c>
      <c r="S931" s="25">
        <f t="shared" ca="1" si="787"/>
        <v>-34315735.723962672</v>
      </c>
    </row>
    <row r="932" spans="1:19" ht="15.75" customHeight="1" x14ac:dyDescent="0.3">
      <c r="A932" s="37">
        <v>79319</v>
      </c>
      <c r="B932" s="398">
        <f t="shared" ref="B932:C932" si="943">($A932-B$9)/365.25</f>
        <v>135.28542094455852</v>
      </c>
      <c r="C932" s="398">
        <f t="shared" si="943"/>
        <v>130.67488021902807</v>
      </c>
      <c r="E932" s="25">
        <f>IF(C932&gt;$B$7,0,'Combined Retirement'!$D$13/12)</f>
        <v>0</v>
      </c>
      <c r="F932" s="25">
        <f>IF(H932=0,'Combined Retirement'!$D$32,0)+'Combined Retirement'!$B$24</f>
        <v>2870.372285649099</v>
      </c>
      <c r="G932" s="25">
        <f>'Combined Retirement'!$C$24</f>
        <v>3254.2644699519233</v>
      </c>
      <c r="H932" s="25">
        <f>IF(B932&lt;62,0,'Combined Retirement'!$I$14)</f>
        <v>2345</v>
      </c>
      <c r="I932" s="25">
        <f>IF(C932&lt;62,0,'Combined Retirement'!$I$13)</f>
        <v>2420</v>
      </c>
      <c r="J932" s="25">
        <f t="shared" si="783"/>
        <v>8395.6297298201844</v>
      </c>
      <c r="K932" s="25">
        <f t="shared" si="784"/>
        <v>21655.303514578787</v>
      </c>
      <c r="L932" s="25"/>
      <c r="N932" s="25">
        <f>'Combined Retirement'!$C$18/12</f>
        <v>40940.569999999992</v>
      </c>
      <c r="O932" s="25">
        <f t="shared" si="785"/>
        <v>10889.636755601023</v>
      </c>
      <c r="P932" s="25">
        <f t="shared" si="786"/>
        <v>30050.93324439897</v>
      </c>
      <c r="Q932" s="25">
        <f t="array" aca="1" ref="Q932" ca="1">INDEX('Isaac 401k'!L:L,MATCH('Retirement Calculator'!A932,'Isaac 401k'!N:N,0),0)</f>
        <v>-11980776.807905218</v>
      </c>
      <c r="R932" s="25">
        <f t="array" aca="1" ref="R932" ca="1">INDEX('Lorri 401b'!L:L,MATCH('Retirement Calculator'!A932,'Lorri 401b'!N:N,0),0)</f>
        <v>-22508117.293706883</v>
      </c>
      <c r="S932" s="25">
        <f t="shared" ca="1" si="787"/>
        <v>-34488894.101612099</v>
      </c>
    </row>
    <row r="933" spans="1:19" ht="15.75" customHeight="1" x14ac:dyDescent="0.3">
      <c r="A933" s="37">
        <v>79350</v>
      </c>
      <c r="B933" s="398">
        <f t="shared" ref="B933:C933" si="944">($A933-B$9)/365.25</f>
        <v>135.37029431895962</v>
      </c>
      <c r="C933" s="398">
        <f t="shared" si="944"/>
        <v>130.75975359342917</v>
      </c>
      <c r="E933" s="25">
        <f>IF(C933&gt;$B$7,0,'Combined Retirement'!$D$13/12)</f>
        <v>0</v>
      </c>
      <c r="F933" s="25">
        <f>IF(H933=0,'Combined Retirement'!$D$32,0)+'Combined Retirement'!$B$24</f>
        <v>2870.372285649099</v>
      </c>
      <c r="G933" s="25">
        <f>'Combined Retirement'!$C$24</f>
        <v>3254.2644699519233</v>
      </c>
      <c r="H933" s="25">
        <f>IF(B933&lt;62,0,'Combined Retirement'!$I$14)</f>
        <v>2345</v>
      </c>
      <c r="I933" s="25">
        <f>IF(C933&lt;62,0,'Combined Retirement'!$I$13)</f>
        <v>2420</v>
      </c>
      <c r="J933" s="25">
        <f t="shared" si="783"/>
        <v>8395.6297298201844</v>
      </c>
      <c r="K933" s="25">
        <f t="shared" si="784"/>
        <v>21655.303514578787</v>
      </c>
      <c r="L933" s="25"/>
      <c r="N933" s="25">
        <f>'Combined Retirement'!$C$18/12</f>
        <v>40940.569999999992</v>
      </c>
      <c r="O933" s="25">
        <f t="shared" si="785"/>
        <v>10889.636755601023</v>
      </c>
      <c r="P933" s="25">
        <f t="shared" si="786"/>
        <v>30050.93324439897</v>
      </c>
      <c r="Q933" s="25">
        <f t="array" aca="1" ref="Q933" ca="1">INDEX('Isaac 401k'!L:L,MATCH('Retirement Calculator'!A933,'Isaac 401k'!N:N,0),0)</f>
        <v>-12039127.32279185</v>
      </c>
      <c r="R933" s="25">
        <f t="array" aca="1" ref="R933" ca="1">INDEX('Lorri 401b'!L:L,MATCH('Retirement Calculator'!A933,'Lorri 401b'!N:N,0),0)</f>
        <v>-22623646.649709884</v>
      </c>
      <c r="S933" s="25">
        <f t="shared" ca="1" si="787"/>
        <v>-34662773.972501732</v>
      </c>
    </row>
    <row r="934" spans="1:19" ht="15.75" customHeight="1" x14ac:dyDescent="0.3">
      <c r="A934" s="37">
        <v>79380</v>
      </c>
      <c r="B934" s="398">
        <f t="shared" ref="B934:C934" si="945">($A934-B$9)/365.25</f>
        <v>135.45242984257359</v>
      </c>
      <c r="C934" s="398">
        <f t="shared" si="945"/>
        <v>130.84188911704311</v>
      </c>
      <c r="E934" s="25">
        <f>IF(C934&gt;$B$7,0,'Combined Retirement'!$D$13/12)</f>
        <v>0</v>
      </c>
      <c r="F934" s="25">
        <f>IF(H934=0,'Combined Retirement'!$D$32,0)+'Combined Retirement'!$B$24</f>
        <v>2870.372285649099</v>
      </c>
      <c r="G934" s="25">
        <f>'Combined Retirement'!$C$24</f>
        <v>3254.2644699519233</v>
      </c>
      <c r="H934" s="25">
        <f>IF(B934&lt;62,0,'Combined Retirement'!$I$14)</f>
        <v>2345</v>
      </c>
      <c r="I934" s="25">
        <f>IF(C934&lt;62,0,'Combined Retirement'!$I$13)</f>
        <v>2420</v>
      </c>
      <c r="J934" s="25">
        <f t="shared" si="783"/>
        <v>8395.6297298201844</v>
      </c>
      <c r="K934" s="25">
        <f t="shared" si="784"/>
        <v>21655.303514578787</v>
      </c>
      <c r="L934" s="25"/>
      <c r="N934" s="25">
        <f>'Combined Retirement'!$C$18/12</f>
        <v>40940.569999999992</v>
      </c>
      <c r="O934" s="25">
        <f t="shared" si="785"/>
        <v>10889.636755601023</v>
      </c>
      <c r="P934" s="25">
        <f t="shared" si="786"/>
        <v>30050.93324439897</v>
      </c>
      <c r="Q934" s="25">
        <f t="array" aca="1" ref="Q934" ca="1">INDEX('Isaac 401k'!L:L,MATCH('Retirement Calculator'!A934,'Isaac 401k'!N:N,0),0)</f>
        <v>-12097720.964823844</v>
      </c>
      <c r="R934" s="25">
        <f t="array" aca="1" ref="R934" ca="1">INDEX('Lorri 401b'!L:L,MATCH('Retirement Calculator'!A934,'Lorri 401b'!N:N,0),0)</f>
        <v>-22739657.378029563</v>
      </c>
      <c r="S934" s="25">
        <f t="shared" ca="1" si="787"/>
        <v>-34837378.342853405</v>
      </c>
    </row>
    <row r="935" spans="1:19" ht="15.75" customHeight="1" x14ac:dyDescent="0.3">
      <c r="A935" s="37">
        <v>79411</v>
      </c>
      <c r="B935" s="398">
        <f t="shared" ref="B935:C935" si="946">($A935-B$9)/365.25</f>
        <v>135.53730321697466</v>
      </c>
      <c r="C935" s="398">
        <f t="shared" si="946"/>
        <v>130.92676249144421</v>
      </c>
      <c r="E935" s="25">
        <f>IF(C935&gt;$B$7,0,'Combined Retirement'!$D$13/12)</f>
        <v>0</v>
      </c>
      <c r="F935" s="25">
        <f>IF(H935=0,'Combined Retirement'!$D$32,0)+'Combined Retirement'!$B$24</f>
        <v>2870.372285649099</v>
      </c>
      <c r="G935" s="25">
        <f>'Combined Retirement'!$C$24</f>
        <v>3254.2644699519233</v>
      </c>
      <c r="H935" s="25">
        <f>IF(B935&lt;62,0,'Combined Retirement'!$I$14)</f>
        <v>2345</v>
      </c>
      <c r="I935" s="25">
        <f>IF(C935&lt;62,0,'Combined Retirement'!$I$13)</f>
        <v>2420</v>
      </c>
      <c r="J935" s="25">
        <f t="shared" si="783"/>
        <v>8395.6297298201844</v>
      </c>
      <c r="K935" s="25">
        <f t="shared" si="784"/>
        <v>21655.303514578787</v>
      </c>
      <c r="L935" s="25"/>
      <c r="N935" s="25">
        <f>'Combined Retirement'!$C$18/12</f>
        <v>40940.569999999992</v>
      </c>
      <c r="O935" s="25">
        <f t="shared" si="785"/>
        <v>10889.636755601023</v>
      </c>
      <c r="P935" s="25">
        <f t="shared" si="786"/>
        <v>30050.93324439897</v>
      </c>
      <c r="Q935" s="25">
        <f t="array" aca="1" ref="Q935" ca="1">INDEX('Isaac 401k'!L:L,MATCH('Retirement Calculator'!A935,'Isaac 401k'!N:N,0),0)</f>
        <v>-12156558.747030972</v>
      </c>
      <c r="R935" s="25">
        <f t="array" aca="1" ref="R935" ca="1">INDEX('Lorri 401b'!L:L,MATCH('Retirement Calculator'!A935,'Lorri 401b'!N:N,0),0)</f>
        <v>-22856151.484383907</v>
      </c>
      <c r="S935" s="25">
        <f t="shared" ca="1" si="787"/>
        <v>-35012710.231414877</v>
      </c>
    </row>
    <row r="936" spans="1:19" ht="15.75" customHeight="1" x14ac:dyDescent="0.3">
      <c r="A936" s="37">
        <v>79441</v>
      </c>
      <c r="B936" s="398">
        <f t="shared" ref="B936:C936" si="947">($A936-B$9)/365.25</f>
        <v>135.61943874058863</v>
      </c>
      <c r="C936" s="398">
        <f t="shared" si="947"/>
        <v>131.00889801505818</v>
      </c>
      <c r="E936" s="25">
        <f>IF(C936&gt;$B$7,0,'Combined Retirement'!$D$13/12)</f>
        <v>0</v>
      </c>
      <c r="F936" s="25">
        <f>IF(H936=0,'Combined Retirement'!$D$32,0)+'Combined Retirement'!$B$24</f>
        <v>2870.372285649099</v>
      </c>
      <c r="G936" s="25">
        <f>'Combined Retirement'!$C$24</f>
        <v>3254.2644699519233</v>
      </c>
      <c r="H936" s="25">
        <f>IF(B936&lt;62,0,'Combined Retirement'!$I$14)</f>
        <v>2345</v>
      </c>
      <c r="I936" s="25">
        <f>IF(C936&lt;62,0,'Combined Retirement'!$I$13)</f>
        <v>2420</v>
      </c>
      <c r="J936" s="25">
        <f t="shared" si="783"/>
        <v>8395.6297298201844</v>
      </c>
      <c r="K936" s="25">
        <f t="shared" si="784"/>
        <v>21655.303514578787</v>
      </c>
      <c r="L936" s="25"/>
      <c r="N936" s="25">
        <f>'Combined Retirement'!$C$18/12</f>
        <v>40940.569999999992</v>
      </c>
      <c r="O936" s="25">
        <f t="shared" si="785"/>
        <v>10889.636755601023</v>
      </c>
      <c r="P936" s="25">
        <f t="shared" si="786"/>
        <v>30050.93324439897</v>
      </c>
      <c r="Q936" s="25">
        <f t="array" aca="1" ref="Q936" ca="1">INDEX('Isaac 401k'!L:L,MATCH('Retirement Calculator'!A936,'Isaac 401k'!N:N,0),0)</f>
        <v>-12215641.686663961</v>
      </c>
      <c r="R936" s="25">
        <f t="array" aca="1" ref="R936" ca="1">INDEX('Lorri 401b'!L:L,MATCH('Retirement Calculator'!A936,'Lorri 401b'!N:N,0),0)</f>
        <v>-22973130.982848063</v>
      </c>
      <c r="S936" s="25">
        <f t="shared" ca="1" si="787"/>
        <v>-35188772.669512026</v>
      </c>
    </row>
    <row r="937" spans="1:19" ht="15.75" customHeight="1" x14ac:dyDescent="0.3">
      <c r="A937" s="37">
        <v>79472</v>
      </c>
      <c r="B937" s="398">
        <f t="shared" ref="B937:C937" si="948">($A937-B$9)/365.25</f>
        <v>135.70431211498973</v>
      </c>
      <c r="C937" s="398">
        <f t="shared" si="948"/>
        <v>131.09377138945928</v>
      </c>
      <c r="E937" s="25">
        <f>IF(C937&gt;$B$7,0,'Combined Retirement'!$D$13/12)</f>
        <v>0</v>
      </c>
      <c r="F937" s="25">
        <f>IF(H937=0,'Combined Retirement'!$D$32,0)+'Combined Retirement'!$B$24</f>
        <v>2870.372285649099</v>
      </c>
      <c r="G937" s="25">
        <f>'Combined Retirement'!$C$24</f>
        <v>3254.2644699519233</v>
      </c>
      <c r="H937" s="25">
        <f>IF(B937&lt;62,0,'Combined Retirement'!$I$14)</f>
        <v>2345</v>
      </c>
      <c r="I937" s="25">
        <f>IF(C937&lt;62,0,'Combined Retirement'!$I$13)</f>
        <v>2420</v>
      </c>
      <c r="J937" s="25">
        <f t="shared" si="783"/>
        <v>8395.6297298201844</v>
      </c>
      <c r="K937" s="25">
        <f t="shared" si="784"/>
        <v>21655.303514578787</v>
      </c>
      <c r="L937" s="25"/>
      <c r="N937" s="25">
        <f>'Combined Retirement'!$C$18/12</f>
        <v>40940.569999999992</v>
      </c>
      <c r="O937" s="25">
        <f t="shared" si="785"/>
        <v>10889.636755601023</v>
      </c>
      <c r="P937" s="25">
        <f t="shared" si="786"/>
        <v>30050.93324439897</v>
      </c>
      <c r="Q937" s="25">
        <f t="array" aca="1" ref="Q937" ca="1">INDEX('Isaac 401k'!L:L,MATCH('Retirement Calculator'!A937,'Isaac 401k'!N:N,0),0)</f>
        <v>-12274970.80521209</v>
      </c>
      <c r="R937" s="25">
        <f t="array" aca="1" ref="R937" ca="1">INDEX('Lorri 401b'!L:L,MATCH('Retirement Calculator'!A937,'Lorri 401b'!N:N,0),0)</f>
        <v>-23090597.895889152</v>
      </c>
      <c r="S937" s="25">
        <f t="shared" ca="1" si="787"/>
        <v>-35365568.701101243</v>
      </c>
    </row>
    <row r="938" spans="1:19" ht="15.75" customHeight="1" x14ac:dyDescent="0.3">
      <c r="A938" s="37">
        <v>79503</v>
      </c>
      <c r="B938" s="398">
        <f t="shared" ref="B938:C938" si="949">($A938-B$9)/365.25</f>
        <v>135.78918548939083</v>
      </c>
      <c r="C938" s="398">
        <f t="shared" si="949"/>
        <v>131.17864476386038</v>
      </c>
      <c r="E938" s="25">
        <f>IF(C938&gt;$B$7,0,'Combined Retirement'!$D$13/12)</f>
        <v>0</v>
      </c>
      <c r="F938" s="25">
        <f>IF(H938=0,'Combined Retirement'!$D$32,0)+'Combined Retirement'!$B$24</f>
        <v>2870.372285649099</v>
      </c>
      <c r="G938" s="25">
        <f>'Combined Retirement'!$C$24</f>
        <v>3254.2644699519233</v>
      </c>
      <c r="H938" s="25">
        <f>IF(B938&lt;62,0,'Combined Retirement'!$I$14)</f>
        <v>2345</v>
      </c>
      <c r="I938" s="25">
        <f>IF(C938&lt;62,0,'Combined Retirement'!$I$13)</f>
        <v>2420</v>
      </c>
      <c r="J938" s="25">
        <f t="shared" si="783"/>
        <v>8395.6297298201844</v>
      </c>
      <c r="K938" s="25">
        <f t="shared" si="784"/>
        <v>21655.303514578787</v>
      </c>
      <c r="L938" s="25"/>
      <c r="N938" s="25">
        <f>'Combined Retirement'!$C$18/12</f>
        <v>40940.569999999992</v>
      </c>
      <c r="O938" s="25">
        <f t="shared" si="785"/>
        <v>10889.636755601023</v>
      </c>
      <c r="P938" s="25">
        <f t="shared" si="786"/>
        <v>30050.93324439897</v>
      </c>
      <c r="Q938" s="25">
        <f t="array" aca="1" ref="Q938" ca="1">INDEX('Isaac 401k'!L:L,MATCH('Retirement Calculator'!A938,'Isaac 401k'!N:N,0),0)</f>
        <v>-12334547.128420835</v>
      </c>
      <c r="R938" s="25">
        <f t="array" aca="1" ref="R938" ca="1">INDEX('Lorri 401b'!L:L,MATCH('Retirement Calculator'!A938,'Lorri 401b'!N:N,0),0)</f>
        <v>-23208554.254401244</v>
      </c>
      <c r="S938" s="25">
        <f t="shared" ca="1" si="787"/>
        <v>-35543101.382822081</v>
      </c>
    </row>
    <row r="939" spans="1:19" ht="15.75" customHeight="1" x14ac:dyDescent="0.3">
      <c r="A939" s="37">
        <v>79533</v>
      </c>
      <c r="B939" s="398">
        <f t="shared" ref="B939:C939" si="950">($A939-B$9)/365.25</f>
        <v>135.8713210130048</v>
      </c>
      <c r="C939" s="398">
        <f t="shared" si="950"/>
        <v>131.26078028747432</v>
      </c>
      <c r="E939" s="25">
        <f>IF(C939&gt;$B$7,0,'Combined Retirement'!$D$13/12)</f>
        <v>0</v>
      </c>
      <c r="F939" s="25">
        <f>IF(H939=0,'Combined Retirement'!$D$32,0)+'Combined Retirement'!$B$24</f>
        <v>2870.372285649099</v>
      </c>
      <c r="G939" s="25">
        <f>'Combined Retirement'!$C$24</f>
        <v>3254.2644699519233</v>
      </c>
      <c r="H939" s="25">
        <f>IF(B939&lt;62,0,'Combined Retirement'!$I$14)</f>
        <v>2345</v>
      </c>
      <c r="I939" s="25">
        <f>IF(C939&lt;62,0,'Combined Retirement'!$I$13)</f>
        <v>2420</v>
      </c>
      <c r="J939" s="25">
        <f t="shared" si="783"/>
        <v>8395.6297298201844</v>
      </c>
      <c r="K939" s="25">
        <f t="shared" si="784"/>
        <v>21655.303514578787</v>
      </c>
      <c r="L939" s="25"/>
      <c r="N939" s="25">
        <f>'Combined Retirement'!$C$18/12</f>
        <v>40940.569999999992</v>
      </c>
      <c r="O939" s="25">
        <f t="shared" si="785"/>
        <v>10889.636755601023</v>
      </c>
      <c r="P939" s="25">
        <f t="shared" si="786"/>
        <v>30050.93324439897</v>
      </c>
      <c r="Q939" s="25">
        <f t="array" aca="1" ref="Q939" ca="1">INDEX('Isaac 401k'!L:L,MATCH('Retirement Calculator'!A939,'Isaac 401k'!N:N,0),0)</f>
        <v>-12394371.686309617</v>
      </c>
      <c r="R939" s="25">
        <f t="array" aca="1" ref="R939" ca="1">INDEX('Lorri 401b'!L:L,MATCH('Retirement Calculator'!A939,'Lorri 401b'!N:N,0),0)</f>
        <v>-23327002.097740471</v>
      </c>
      <c r="S939" s="25">
        <f t="shared" ca="1" si="787"/>
        <v>-35721373.784050092</v>
      </c>
    </row>
    <row r="940" spans="1:19" ht="15.75" customHeight="1" x14ac:dyDescent="0.3">
      <c r="A940" s="37">
        <v>79564</v>
      </c>
      <c r="B940" s="398">
        <f t="shared" ref="B940:C940" si="951">($A940-B$9)/365.25</f>
        <v>135.95619438740587</v>
      </c>
      <c r="C940" s="398">
        <f t="shared" si="951"/>
        <v>131.34565366187542</v>
      </c>
      <c r="E940" s="25">
        <f>IF(C940&gt;$B$7,0,'Combined Retirement'!$D$13/12)</f>
        <v>0</v>
      </c>
      <c r="F940" s="25">
        <f>IF(H940=0,'Combined Retirement'!$D$32,0)+'Combined Retirement'!$B$24</f>
        <v>2870.372285649099</v>
      </c>
      <c r="G940" s="25">
        <f>'Combined Retirement'!$C$24</f>
        <v>3254.2644699519233</v>
      </c>
      <c r="H940" s="25">
        <f>IF(B940&lt;62,0,'Combined Retirement'!$I$14)</f>
        <v>2345</v>
      </c>
      <c r="I940" s="25">
        <f>IF(C940&lt;62,0,'Combined Retirement'!$I$13)</f>
        <v>2420</v>
      </c>
      <c r="J940" s="25">
        <f t="shared" si="783"/>
        <v>8395.6297298201844</v>
      </c>
      <c r="K940" s="25">
        <f t="shared" si="784"/>
        <v>21655.303514578787</v>
      </c>
      <c r="L940" s="25"/>
      <c r="N940" s="25">
        <f>'Combined Retirement'!$C$18/12</f>
        <v>40940.569999999992</v>
      </c>
      <c r="O940" s="25">
        <f t="shared" si="785"/>
        <v>10889.636755601023</v>
      </c>
      <c r="P940" s="25">
        <f t="shared" si="786"/>
        <v>30050.93324439897</v>
      </c>
      <c r="Q940" s="25">
        <f t="array" aca="1" ref="Q940" ca="1">INDEX('Isaac 401k'!L:L,MATCH('Retirement Calculator'!A940,'Isaac 401k'!N:N,0),0)</f>
        <v>-12454445.513189603</v>
      </c>
      <c r="R940" s="25">
        <f t="array" aca="1" ref="R940" ca="1">INDEX('Lorri 401b'!L:L,MATCH('Retirement Calculator'!A940,'Lorri 401b'!N:N,0),0)</f>
        <v>-23445943.473760277</v>
      </c>
      <c r="S940" s="25">
        <f t="shared" ca="1" si="787"/>
        <v>-35900388.986949876</v>
      </c>
    </row>
    <row r="941" spans="1:19" ht="15.75" customHeight="1" x14ac:dyDescent="0.3">
      <c r="A941" s="37">
        <v>79594</v>
      </c>
      <c r="B941" s="398">
        <f t="shared" ref="B941:C941" si="952">($A941-B$9)/365.25</f>
        <v>136.03832991101984</v>
      </c>
      <c r="C941" s="398">
        <f t="shared" si="952"/>
        <v>131.42778918548939</v>
      </c>
      <c r="E941" s="25">
        <f>IF(C941&gt;$B$7,0,'Combined Retirement'!$D$13/12)</f>
        <v>0</v>
      </c>
      <c r="F941" s="25">
        <f>IF(H941=0,'Combined Retirement'!$D$32,0)+'Combined Retirement'!$B$24</f>
        <v>2870.372285649099</v>
      </c>
      <c r="G941" s="25">
        <f>'Combined Retirement'!$C$24</f>
        <v>3254.2644699519233</v>
      </c>
      <c r="H941" s="25">
        <f>IF(B941&lt;62,0,'Combined Retirement'!$I$14)</f>
        <v>2345</v>
      </c>
      <c r="I941" s="25">
        <f>IF(C941&lt;62,0,'Combined Retirement'!$I$13)</f>
        <v>2420</v>
      </c>
      <c r="J941" s="25">
        <f t="shared" si="783"/>
        <v>8395.6297298201844</v>
      </c>
      <c r="K941" s="25">
        <f t="shared" si="784"/>
        <v>21655.303514578787</v>
      </c>
      <c r="L941" s="25"/>
      <c r="N941" s="25">
        <f>'Combined Retirement'!$C$18/12</f>
        <v>40940.569999999992</v>
      </c>
      <c r="O941" s="25">
        <f t="shared" si="785"/>
        <v>10889.636755601023</v>
      </c>
      <c r="P941" s="25">
        <f t="shared" si="786"/>
        <v>30050.93324439897</v>
      </c>
      <c r="Q941" s="25">
        <f t="array" aca="1" ref="Q941" ca="1">INDEX('Isaac 401k'!L:L,MATCH('Retirement Calculator'!A941,'Isaac 401k'!N:N,0),0)</f>
        <v>-12514769.647681586</v>
      </c>
      <c r="R941" s="25">
        <f t="array" aca="1" ref="R941" ca="1">INDEX('Lorri 401b'!L:L,MATCH('Retirement Calculator'!A941,'Lorri 401b'!N:N,0),0)</f>
        <v>-23565380.438846834</v>
      </c>
      <c r="S941" s="25">
        <f t="shared" ca="1" si="787"/>
        <v>-36080150.08652842</v>
      </c>
    </row>
    <row r="942" spans="1:19" ht="15.75" customHeight="1" x14ac:dyDescent="0.3">
      <c r="A942" s="37">
        <v>79625</v>
      </c>
      <c r="B942" s="398">
        <f t="shared" ref="B942:C942" si="953">($A942-B$9)/365.25</f>
        <v>136.12320328542094</v>
      </c>
      <c r="C942" s="398">
        <f t="shared" si="953"/>
        <v>131.51266255989049</v>
      </c>
      <c r="E942" s="25">
        <f>IF(C942&gt;$B$7,0,'Combined Retirement'!$D$13/12)</f>
        <v>0</v>
      </c>
      <c r="F942" s="25">
        <f>IF(H942=0,'Combined Retirement'!$D$32,0)+'Combined Retirement'!$B$24</f>
        <v>2870.372285649099</v>
      </c>
      <c r="G942" s="25">
        <f>'Combined Retirement'!$C$24</f>
        <v>3254.2644699519233</v>
      </c>
      <c r="H942" s="25">
        <f>IF(B942&lt;62,0,'Combined Retirement'!$I$14)</f>
        <v>2345</v>
      </c>
      <c r="I942" s="25">
        <f>IF(C942&lt;62,0,'Combined Retirement'!$I$13)</f>
        <v>2420</v>
      </c>
      <c r="J942" s="25">
        <f t="shared" si="783"/>
        <v>8395.6297298201844</v>
      </c>
      <c r="K942" s="25">
        <f t="shared" si="784"/>
        <v>21655.303514578787</v>
      </c>
      <c r="L942" s="25"/>
      <c r="N942" s="25">
        <f>'Combined Retirement'!$C$18/12</f>
        <v>40940.569999999992</v>
      </c>
      <c r="O942" s="25">
        <f t="shared" si="785"/>
        <v>10889.636755601023</v>
      </c>
      <c r="P942" s="25">
        <f t="shared" si="786"/>
        <v>30050.93324439897</v>
      </c>
      <c r="Q942" s="25">
        <f t="array" aca="1" ref="Q942" ca="1">INDEX('Isaac 401k'!L:L,MATCH('Retirement Calculator'!A942,'Isaac 401k'!N:N,0),0)</f>
        <v>-12575345.132733954</v>
      </c>
      <c r="R942" s="25">
        <f t="array" aca="1" ref="R942" ca="1">INDEX('Lorri 401b'!L:L,MATCH('Retirement Calculator'!A942,'Lorri 401b'!N:N,0),0)</f>
        <v>-23685315.057954583</v>
      </c>
      <c r="S942" s="25">
        <f t="shared" ca="1" si="787"/>
        <v>-36260660.190688536</v>
      </c>
    </row>
    <row r="943" spans="1:19" ht="15.75" customHeight="1" x14ac:dyDescent="0.3">
      <c r="A943" s="37">
        <v>79656</v>
      </c>
      <c r="B943" s="398">
        <f t="shared" ref="B943:C943" si="954">($A943-B$9)/365.25</f>
        <v>136.20807665982204</v>
      </c>
      <c r="C943" s="398">
        <f t="shared" si="954"/>
        <v>131.59753593429159</v>
      </c>
      <c r="E943" s="25">
        <f>IF(C943&gt;$B$7,0,'Combined Retirement'!$D$13/12)</f>
        <v>0</v>
      </c>
      <c r="F943" s="25">
        <f>IF(H943=0,'Combined Retirement'!$D$32,0)+'Combined Retirement'!$B$24</f>
        <v>2870.372285649099</v>
      </c>
      <c r="G943" s="25">
        <f>'Combined Retirement'!$C$24</f>
        <v>3254.2644699519233</v>
      </c>
      <c r="H943" s="25">
        <f>IF(B943&lt;62,0,'Combined Retirement'!$I$14)</f>
        <v>2345</v>
      </c>
      <c r="I943" s="25">
        <f>IF(C943&lt;62,0,'Combined Retirement'!$I$13)</f>
        <v>2420</v>
      </c>
      <c r="J943" s="25">
        <f t="shared" si="783"/>
        <v>8395.6297298201844</v>
      </c>
      <c r="K943" s="25">
        <f t="shared" si="784"/>
        <v>21655.303514578787</v>
      </c>
      <c r="L943" s="25"/>
      <c r="N943" s="25">
        <f>'Combined Retirement'!$C$18/12</f>
        <v>40940.569999999992</v>
      </c>
      <c r="O943" s="25">
        <f t="shared" si="785"/>
        <v>10889.636755601023</v>
      </c>
      <c r="P943" s="25">
        <f t="shared" si="786"/>
        <v>30050.93324439897</v>
      </c>
      <c r="Q943" s="25">
        <f t="array" aca="1" ref="Q943" ca="1">INDEX('Isaac 401k'!L:L,MATCH('Retirement Calculator'!A943,'Isaac 401k'!N:N,0),0)</f>
        <v>-12636173.015640708</v>
      </c>
      <c r="R943" s="25">
        <f t="array" aca="1" ref="R943" ca="1">INDEX('Lorri 401b'!L:L,MATCH('Retirement Calculator'!A943,'Lorri 401b'!N:N,0),0)</f>
        <v>-23805749.404641949</v>
      </c>
      <c r="S943" s="25">
        <f t="shared" ca="1" si="787"/>
        <v>-36441922.420282654</v>
      </c>
    </row>
    <row r="944" spans="1:19" ht="15.75" customHeight="1" x14ac:dyDescent="0.3">
      <c r="A944" s="37">
        <v>79684</v>
      </c>
      <c r="B944" s="398">
        <f t="shared" ref="B944:C944" si="955">($A944-B$9)/365.25</f>
        <v>136.28473648186173</v>
      </c>
      <c r="C944" s="398">
        <f t="shared" si="955"/>
        <v>131.67419575633127</v>
      </c>
      <c r="E944" s="25">
        <f>IF(C944&gt;$B$7,0,'Combined Retirement'!$D$13/12)</f>
        <v>0</v>
      </c>
      <c r="F944" s="25">
        <f>IF(H944=0,'Combined Retirement'!$D$32,0)+'Combined Retirement'!$B$24</f>
        <v>2870.372285649099</v>
      </c>
      <c r="G944" s="25">
        <f>'Combined Retirement'!$C$24</f>
        <v>3254.2644699519233</v>
      </c>
      <c r="H944" s="25">
        <f>IF(B944&lt;62,0,'Combined Retirement'!$I$14)</f>
        <v>2345</v>
      </c>
      <c r="I944" s="25">
        <f>IF(C944&lt;62,0,'Combined Retirement'!$I$13)</f>
        <v>2420</v>
      </c>
      <c r="J944" s="25">
        <f t="shared" si="783"/>
        <v>8395.6297298201844</v>
      </c>
      <c r="K944" s="25">
        <f t="shared" si="784"/>
        <v>21655.303514578787</v>
      </c>
      <c r="L944" s="25"/>
      <c r="N944" s="25">
        <f>'Combined Retirement'!$C$18/12</f>
        <v>40940.569999999992</v>
      </c>
      <c r="O944" s="25">
        <f t="shared" si="785"/>
        <v>10889.636755601023</v>
      </c>
      <c r="P944" s="25">
        <f t="shared" si="786"/>
        <v>30050.93324439897</v>
      </c>
      <c r="Q944" s="25">
        <f t="array" aca="1" ref="Q944" ca="1">INDEX('Isaac 401k'!L:L,MATCH('Retirement Calculator'!A944,'Isaac 401k'!N:N,0),0)</f>
        <v>-12697254.348059572</v>
      </c>
      <c r="R944" s="25">
        <f t="array" aca="1" ref="R944" ca="1">INDEX('Lorri 401b'!L:L,MATCH('Retirement Calculator'!A944,'Lorri 401b'!N:N,0),0)</f>
        <v>-23926685.561107177</v>
      </c>
      <c r="S944" s="25">
        <f t="shared" ca="1" si="787"/>
        <v>-36623939.909166753</v>
      </c>
    </row>
    <row r="945" spans="1:19" ht="15.75" customHeight="1" x14ac:dyDescent="0.3">
      <c r="A945" s="37">
        <v>79715</v>
      </c>
      <c r="B945" s="398">
        <f t="shared" ref="B945:C945" si="956">($A945-B$9)/365.25</f>
        <v>136.36960985626283</v>
      </c>
      <c r="C945" s="398">
        <f t="shared" si="956"/>
        <v>131.75906913073237</v>
      </c>
      <c r="E945" s="25">
        <f>IF(C945&gt;$B$7,0,'Combined Retirement'!$D$13/12)</f>
        <v>0</v>
      </c>
      <c r="F945" s="25">
        <f>IF(H945=0,'Combined Retirement'!$D$32,0)+'Combined Retirement'!$B$24</f>
        <v>2870.372285649099</v>
      </c>
      <c r="G945" s="25">
        <f>'Combined Retirement'!$C$24</f>
        <v>3254.2644699519233</v>
      </c>
      <c r="H945" s="25">
        <f>IF(B945&lt;62,0,'Combined Retirement'!$I$14)</f>
        <v>2345</v>
      </c>
      <c r="I945" s="25">
        <f>IF(C945&lt;62,0,'Combined Retirement'!$I$13)</f>
        <v>2420</v>
      </c>
      <c r="J945" s="25">
        <f t="shared" si="783"/>
        <v>8395.6297298201844</v>
      </c>
      <c r="K945" s="25">
        <f t="shared" si="784"/>
        <v>21655.303514578787</v>
      </c>
      <c r="L945" s="25"/>
      <c r="N945" s="25">
        <f>'Combined Retirement'!$C$18/12</f>
        <v>40940.569999999992</v>
      </c>
      <c r="O945" s="25">
        <f t="shared" si="785"/>
        <v>10889.636755601023</v>
      </c>
      <c r="P945" s="25">
        <f t="shared" si="786"/>
        <v>30050.93324439897</v>
      </c>
      <c r="Q945" s="25">
        <f t="array" aca="1" ref="Q945" ca="1">INDEX('Isaac 401k'!L:L,MATCH('Retirement Calculator'!A945,'Isaac 401k'!N:N,0),0)</f>
        <v>-12758590.186030181</v>
      </c>
      <c r="R945" s="25">
        <f t="array" aca="1" ref="R945" ca="1">INDEX('Lorri 401b'!L:L,MATCH('Retirement Calculator'!A945,'Lorri 401b'!N:N,0),0)</f>
        <v>-24048125.618224345</v>
      </c>
      <c r="S945" s="25">
        <f t="shared" ca="1" si="787"/>
        <v>-36806715.804254524</v>
      </c>
    </row>
    <row r="946" spans="1:19" ht="15.75" customHeight="1" x14ac:dyDescent="0.3">
      <c r="A946" s="37">
        <v>79745</v>
      </c>
      <c r="B946" s="398">
        <f t="shared" ref="B946:C946" si="957">($A946-B$9)/365.25</f>
        <v>136.4517453798768</v>
      </c>
      <c r="C946" s="398">
        <f t="shared" si="957"/>
        <v>131.84120465434634</v>
      </c>
      <c r="E946" s="25">
        <f>IF(C946&gt;$B$7,0,'Combined Retirement'!$D$13/12)</f>
        <v>0</v>
      </c>
      <c r="F946" s="25">
        <f>IF(H946=0,'Combined Retirement'!$D$32,0)+'Combined Retirement'!$B$24</f>
        <v>2870.372285649099</v>
      </c>
      <c r="G946" s="25">
        <f>'Combined Retirement'!$C$24</f>
        <v>3254.2644699519233</v>
      </c>
      <c r="H946" s="25">
        <f>IF(B946&lt;62,0,'Combined Retirement'!$I$14)</f>
        <v>2345</v>
      </c>
      <c r="I946" s="25">
        <f>IF(C946&lt;62,0,'Combined Retirement'!$I$13)</f>
        <v>2420</v>
      </c>
      <c r="J946" s="25">
        <f t="shared" si="783"/>
        <v>8395.6297298201844</v>
      </c>
      <c r="K946" s="25">
        <f t="shared" si="784"/>
        <v>21655.303514578787</v>
      </c>
      <c r="L946" s="25"/>
      <c r="N946" s="25">
        <f>'Combined Retirement'!$C$18/12</f>
        <v>40940.569999999992</v>
      </c>
      <c r="O946" s="25">
        <f t="shared" si="785"/>
        <v>10889.636755601023</v>
      </c>
      <c r="P946" s="25">
        <f t="shared" si="786"/>
        <v>30050.93324439897</v>
      </c>
      <c r="Q946" s="25">
        <f t="array" aca="1" ref="Q946" ca="1">INDEX('Isaac 401k'!L:L,MATCH('Retirement Calculator'!A946,'Isaac 401k'!N:N,0),0)</f>
        <v>-12820181.589992335</v>
      </c>
      <c r="R946" s="25">
        <f t="array" aca="1" ref="R946" ca="1">INDEX('Lorri 401b'!L:L,MATCH('Retirement Calculator'!A946,'Lorri 401b'!N:N,0),0)</f>
        <v>-24170071.675579503</v>
      </c>
      <c r="S946" s="25">
        <f t="shared" ca="1" si="787"/>
        <v>-36990253.26557184</v>
      </c>
    </row>
    <row r="947" spans="1:19" ht="15.75" customHeight="1" x14ac:dyDescent="0.3">
      <c r="A947" s="37">
        <v>79776</v>
      </c>
      <c r="B947" s="398">
        <f t="shared" ref="B947:C947" si="958">($A947-B$9)/365.25</f>
        <v>136.5366187542779</v>
      </c>
      <c r="C947" s="398">
        <f t="shared" si="958"/>
        <v>131.92607802874744</v>
      </c>
      <c r="E947" s="25">
        <f>IF(C947&gt;$B$7,0,'Combined Retirement'!$D$13/12)</f>
        <v>0</v>
      </c>
      <c r="F947" s="25">
        <f>IF(H947=0,'Combined Retirement'!$D$32,0)+'Combined Retirement'!$B$24</f>
        <v>2870.372285649099</v>
      </c>
      <c r="G947" s="25">
        <f>'Combined Retirement'!$C$24</f>
        <v>3254.2644699519233</v>
      </c>
      <c r="H947" s="25">
        <f>IF(B947&lt;62,0,'Combined Retirement'!$I$14)</f>
        <v>2345</v>
      </c>
      <c r="I947" s="25">
        <f>IF(C947&lt;62,0,'Combined Retirement'!$I$13)</f>
        <v>2420</v>
      </c>
      <c r="J947" s="25">
        <f t="shared" si="783"/>
        <v>8395.6297298201844</v>
      </c>
      <c r="K947" s="25">
        <f t="shared" si="784"/>
        <v>21655.303514578787</v>
      </c>
      <c r="L947" s="25"/>
      <c r="N947" s="25">
        <f>'Combined Retirement'!$C$18/12</f>
        <v>40940.569999999992</v>
      </c>
      <c r="O947" s="25">
        <f t="shared" si="785"/>
        <v>10889.636755601023</v>
      </c>
      <c r="P947" s="25">
        <f t="shared" si="786"/>
        <v>30050.93324439897</v>
      </c>
      <c r="Q947" s="25">
        <f t="array" aca="1" ref="Q947" ca="1">INDEX('Isaac 401k'!L:L,MATCH('Retirement Calculator'!A947,'Isaac 401k'!N:N,0),0)</f>
        <v>-12882029.624804331</v>
      </c>
      <c r="R947" s="25">
        <f t="array" aca="1" ref="R947" ca="1">INDEX('Lorri 401b'!L:L,MATCH('Retirement Calculator'!A947,'Lorri 401b'!N:N,0),0)</f>
        <v>-24292525.841506973</v>
      </c>
      <c r="S947" s="25">
        <f t="shared" ca="1" si="787"/>
        <v>-37174555.466311306</v>
      </c>
    </row>
    <row r="948" spans="1:19" ht="15.75" customHeight="1" x14ac:dyDescent="0.3">
      <c r="A948" s="37">
        <v>79806</v>
      </c>
      <c r="B948" s="398">
        <f t="shared" ref="B948:C948" si="959">($A948-B$9)/365.25</f>
        <v>136.61875427789187</v>
      </c>
      <c r="C948" s="398">
        <f t="shared" si="959"/>
        <v>132.00821355236138</v>
      </c>
      <c r="E948" s="25">
        <f>IF(C948&gt;$B$7,0,'Combined Retirement'!$D$13/12)</f>
        <v>0</v>
      </c>
      <c r="F948" s="25">
        <f>IF(H948=0,'Combined Retirement'!$D$32,0)+'Combined Retirement'!$B$24</f>
        <v>2870.372285649099</v>
      </c>
      <c r="G948" s="25">
        <f>'Combined Retirement'!$C$24</f>
        <v>3254.2644699519233</v>
      </c>
      <c r="H948" s="25">
        <f>IF(B948&lt;62,0,'Combined Retirement'!$I$14)</f>
        <v>2345</v>
      </c>
      <c r="I948" s="25">
        <f>IF(C948&lt;62,0,'Combined Retirement'!$I$13)</f>
        <v>2420</v>
      </c>
      <c r="J948" s="25">
        <f t="shared" si="783"/>
        <v>8395.6297298201844</v>
      </c>
      <c r="K948" s="25">
        <f t="shared" si="784"/>
        <v>21655.303514578787</v>
      </c>
      <c r="L948" s="25"/>
      <c r="N948" s="25">
        <f>'Combined Retirement'!$C$18/12</f>
        <v>40940.569999999992</v>
      </c>
      <c r="O948" s="25">
        <f t="shared" si="785"/>
        <v>10889.636755601023</v>
      </c>
      <c r="P948" s="25">
        <f t="shared" si="786"/>
        <v>30050.93324439897</v>
      </c>
      <c r="Q948" s="25">
        <f t="array" aca="1" ref="Q948" ca="1">INDEX('Isaac 401k'!L:L,MATCH('Retirement Calculator'!A948,'Isaac 401k'!N:N,0),0)</f>
        <v>-12944135.359761378</v>
      </c>
      <c r="R948" s="25">
        <f t="array" aca="1" ref="R948" ca="1">INDEX('Lorri 401b'!L:L,MATCH('Retirement Calculator'!A948,'Lorri 401b'!N:N,0),0)</f>
        <v>-24415490.233125806</v>
      </c>
      <c r="S948" s="25">
        <f t="shared" ca="1" si="787"/>
        <v>-37359625.592887186</v>
      </c>
    </row>
    <row r="949" spans="1:19" ht="15.75" customHeight="1" x14ac:dyDescent="0.3">
      <c r="A949" s="37">
        <v>79837</v>
      </c>
      <c r="B949" s="398">
        <f t="shared" ref="B949:C949" si="960">($A949-B$9)/365.25</f>
        <v>136.70362765229294</v>
      </c>
      <c r="C949" s="398">
        <f t="shared" si="960"/>
        <v>132.09308692676248</v>
      </c>
      <c r="E949" s="25">
        <f>IF(C949&gt;$B$7,0,'Combined Retirement'!$D$13/12)</f>
        <v>0</v>
      </c>
      <c r="F949" s="25">
        <f>IF(H949=0,'Combined Retirement'!$D$32,0)+'Combined Retirement'!$B$24</f>
        <v>2870.372285649099</v>
      </c>
      <c r="G949" s="25">
        <f>'Combined Retirement'!$C$24</f>
        <v>3254.2644699519233</v>
      </c>
      <c r="H949" s="25">
        <f>IF(B949&lt;62,0,'Combined Retirement'!$I$14)</f>
        <v>2345</v>
      </c>
      <c r="I949" s="25">
        <f>IF(C949&lt;62,0,'Combined Retirement'!$I$13)</f>
        <v>2420</v>
      </c>
      <c r="J949" s="25">
        <f t="shared" si="783"/>
        <v>8395.6297298201844</v>
      </c>
      <c r="K949" s="25">
        <f t="shared" si="784"/>
        <v>21655.303514578787</v>
      </c>
      <c r="L949" s="25"/>
      <c r="N949" s="25">
        <f>'Combined Retirement'!$C$18/12</f>
        <v>40940.569999999992</v>
      </c>
      <c r="O949" s="25">
        <f t="shared" si="785"/>
        <v>10889.636755601023</v>
      </c>
      <c r="P949" s="25">
        <f t="shared" si="786"/>
        <v>30050.93324439897</v>
      </c>
      <c r="Q949" s="25">
        <f t="array" aca="1" ref="Q949" ca="1">INDEX('Isaac 401k'!L:L,MATCH('Retirement Calculator'!A949,'Isaac 401k'!N:N,0),0)</f>
        <v>-13006499.868614078</v>
      </c>
      <c r="R949" s="25">
        <f t="array" aca="1" ref="R949" ca="1">INDEX('Lorri 401b'!L:L,MATCH('Retirement Calculator'!A949,'Lorri 401b'!N:N,0),0)</f>
        <v>-24538966.976376384</v>
      </c>
      <c r="S949" s="25">
        <f t="shared" ca="1" si="787"/>
        <v>-37545466.844990462</v>
      </c>
    </row>
    <row r="950" spans="1:19" ht="15.75" customHeight="1" x14ac:dyDescent="0.3">
      <c r="A950" s="37">
        <v>79868</v>
      </c>
      <c r="B950" s="398">
        <f t="shared" ref="B950:C950" si="961">($A950-B$9)/365.25</f>
        <v>136.78850102669404</v>
      </c>
      <c r="C950" s="398">
        <f t="shared" si="961"/>
        <v>132.17796030116358</v>
      </c>
      <c r="E950" s="25">
        <f>IF(C950&gt;$B$7,0,'Combined Retirement'!$D$13/12)</f>
        <v>0</v>
      </c>
      <c r="F950" s="25">
        <f>IF(H950=0,'Combined Retirement'!$D$32,0)+'Combined Retirement'!$B$24</f>
        <v>2870.372285649099</v>
      </c>
      <c r="G950" s="25">
        <f>'Combined Retirement'!$C$24</f>
        <v>3254.2644699519233</v>
      </c>
      <c r="H950" s="25">
        <f>IF(B950&lt;62,0,'Combined Retirement'!$I$14)</f>
        <v>2345</v>
      </c>
      <c r="I950" s="25">
        <f>IF(C950&lt;62,0,'Combined Retirement'!$I$13)</f>
        <v>2420</v>
      </c>
      <c r="J950" s="25">
        <f t="shared" si="783"/>
        <v>8395.6297298201844</v>
      </c>
      <c r="K950" s="25">
        <f t="shared" si="784"/>
        <v>21655.303514578787</v>
      </c>
      <c r="L950" s="25"/>
      <c r="N950" s="25">
        <f>'Combined Retirement'!$C$18/12</f>
        <v>40940.569999999992</v>
      </c>
      <c r="O950" s="25">
        <f t="shared" si="785"/>
        <v>10889.636755601023</v>
      </c>
      <c r="P950" s="25">
        <f t="shared" si="786"/>
        <v>30050.93324439897</v>
      </c>
      <c r="Q950" s="25">
        <f t="array" aca="1" ref="Q950" ca="1">INDEX('Isaac 401k'!L:L,MATCH('Retirement Calculator'!A950,'Isaac 401k'!N:N,0),0)</f>
        <v>-13069124.229586998</v>
      </c>
      <c r="R950" s="25">
        <f t="array" aca="1" ref="R950" ca="1">INDEX('Lorri 401b'!L:L,MATCH('Retirement Calculator'!A950,'Lorri 401b'!N:N,0),0)</f>
        <v>-24662958.206057176</v>
      </c>
      <c r="S950" s="25">
        <f t="shared" ca="1" si="787"/>
        <v>-37732082.435644172</v>
      </c>
    </row>
    <row r="951" spans="1:19" ht="15.75" customHeight="1" x14ac:dyDescent="0.3">
      <c r="A951" s="37">
        <v>79898</v>
      </c>
      <c r="B951" s="398">
        <f t="shared" ref="B951:C951" si="962">($A951-B$9)/365.25</f>
        <v>136.87063655030801</v>
      </c>
      <c r="C951" s="398">
        <f t="shared" si="962"/>
        <v>132.26009582477755</v>
      </c>
      <c r="E951" s="25">
        <f>IF(C951&gt;$B$7,0,'Combined Retirement'!$D$13/12)</f>
        <v>0</v>
      </c>
      <c r="F951" s="25">
        <f>IF(H951=0,'Combined Retirement'!$D$32,0)+'Combined Retirement'!$B$24</f>
        <v>2870.372285649099</v>
      </c>
      <c r="G951" s="25">
        <f>'Combined Retirement'!$C$24</f>
        <v>3254.2644699519233</v>
      </c>
      <c r="H951" s="25">
        <f>IF(B951&lt;62,0,'Combined Retirement'!$I$14)</f>
        <v>2345</v>
      </c>
      <c r="I951" s="25">
        <f>IF(C951&lt;62,0,'Combined Retirement'!$I$13)</f>
        <v>2420</v>
      </c>
      <c r="J951" s="25">
        <f t="shared" si="783"/>
        <v>8395.6297298201844</v>
      </c>
      <c r="K951" s="25">
        <f t="shared" si="784"/>
        <v>21655.303514578787</v>
      </c>
      <c r="L951" s="25"/>
      <c r="N951" s="25">
        <f>'Combined Retirement'!$C$18/12</f>
        <v>40940.569999999992</v>
      </c>
      <c r="O951" s="25">
        <f t="shared" si="785"/>
        <v>10889.636755601023</v>
      </c>
      <c r="P951" s="25">
        <f t="shared" si="786"/>
        <v>30050.93324439897</v>
      </c>
      <c r="Q951" s="25">
        <f t="array" aca="1" ref="Q951" ca="1">INDEX('Isaac 401k'!L:L,MATCH('Retirement Calculator'!A951,'Isaac 401k'!N:N,0),0)</f>
        <v>-13132009.525397304</v>
      </c>
      <c r="R951" s="25">
        <f t="array" aca="1" ref="R951" ca="1">INDEX('Lorri 401b'!L:L,MATCH('Retirement Calculator'!A951,'Lorri 401b'!N:N,0),0)</f>
        <v>-24787466.065861635</v>
      </c>
      <c r="S951" s="25">
        <f t="shared" ca="1" si="787"/>
        <v>-37919475.591258943</v>
      </c>
    </row>
    <row r="952" spans="1:19" ht="15.75" customHeight="1" x14ac:dyDescent="0.3">
      <c r="A952" s="37">
        <v>79929</v>
      </c>
      <c r="B952" s="398">
        <f t="shared" ref="B952:C952" si="963">($A952-B$9)/365.25</f>
        <v>136.95550992470911</v>
      </c>
      <c r="C952" s="398">
        <f t="shared" si="963"/>
        <v>132.34496919917865</v>
      </c>
      <c r="E952" s="25">
        <f>IF(C952&gt;$B$7,0,'Combined Retirement'!$D$13/12)</f>
        <v>0</v>
      </c>
      <c r="F952" s="25">
        <f>IF(H952=0,'Combined Retirement'!$D$32,0)+'Combined Retirement'!$B$24</f>
        <v>2870.372285649099</v>
      </c>
      <c r="G952" s="25">
        <f>'Combined Retirement'!$C$24</f>
        <v>3254.2644699519233</v>
      </c>
      <c r="H952" s="25">
        <f>IF(B952&lt;62,0,'Combined Retirement'!$I$14)</f>
        <v>2345</v>
      </c>
      <c r="I952" s="25">
        <f>IF(C952&lt;62,0,'Combined Retirement'!$I$13)</f>
        <v>2420</v>
      </c>
      <c r="J952" s="25">
        <f t="shared" si="783"/>
        <v>8395.6297298201844</v>
      </c>
      <c r="K952" s="25">
        <f t="shared" si="784"/>
        <v>21655.303514578787</v>
      </c>
      <c r="L952" s="25"/>
      <c r="N952" s="25">
        <f>'Combined Retirement'!$C$18/12</f>
        <v>40940.569999999992</v>
      </c>
      <c r="O952" s="25">
        <f t="shared" si="785"/>
        <v>10889.636755601023</v>
      </c>
      <c r="P952" s="25">
        <f t="shared" si="786"/>
        <v>30050.93324439897</v>
      </c>
      <c r="Q952" s="25">
        <f t="array" aca="1" ref="Q952" ca="1">INDEX('Isaac 401k'!L:L,MATCH('Retirement Calculator'!A952,'Isaac 401k'!N:N,0),0)</f>
        <v>-13195156.843273487</v>
      </c>
      <c r="R952" s="25">
        <f t="array" aca="1" ref="R952" ca="1">INDEX('Lorri 401b'!L:L,MATCH('Retirement Calculator'!A952,'Lorri 401b'!N:N,0),0)</f>
        <v>-24912492.708415281</v>
      </c>
      <c r="S952" s="25">
        <f t="shared" ca="1" si="787"/>
        <v>-38107649.551688768</v>
      </c>
    </row>
    <row r="953" spans="1:19" ht="15.75" customHeight="1" x14ac:dyDescent="0.3">
      <c r="A953" s="37">
        <v>79959</v>
      </c>
      <c r="B953" s="398">
        <f t="shared" ref="B953:C953" si="964">($A953-B$9)/365.25</f>
        <v>137.03764544832308</v>
      </c>
      <c r="C953" s="398">
        <f t="shared" si="964"/>
        <v>132.42710472279262</v>
      </c>
      <c r="E953" s="25">
        <f>IF(C953&gt;$B$7,0,'Combined Retirement'!$D$13/12)</f>
        <v>0</v>
      </c>
      <c r="F953" s="25">
        <f>IF(H953=0,'Combined Retirement'!$D$32,0)+'Combined Retirement'!$B$24</f>
        <v>2870.372285649099</v>
      </c>
      <c r="G953" s="25">
        <f>'Combined Retirement'!$C$24</f>
        <v>3254.2644699519233</v>
      </c>
      <c r="H953" s="25">
        <f>IF(B953&lt;62,0,'Combined Retirement'!$I$14)</f>
        <v>2345</v>
      </c>
      <c r="I953" s="25">
        <f>IF(C953&lt;62,0,'Combined Retirement'!$I$13)</f>
        <v>2420</v>
      </c>
      <c r="J953" s="25">
        <f t="shared" si="783"/>
        <v>8395.6297298201844</v>
      </c>
      <c r="K953" s="25">
        <f t="shared" si="784"/>
        <v>21655.303514578787</v>
      </c>
      <c r="L953" s="25"/>
      <c r="N953" s="25">
        <f>'Combined Retirement'!$C$18/12</f>
        <v>40940.569999999992</v>
      </c>
      <c r="O953" s="25">
        <f t="shared" si="785"/>
        <v>10889.636755601023</v>
      </c>
      <c r="P953" s="25">
        <f t="shared" si="786"/>
        <v>30050.93324439897</v>
      </c>
      <c r="Q953" s="25">
        <f t="array" aca="1" ref="Q953" ca="1">INDEX('Isaac 401k'!L:L,MATCH('Retirement Calculator'!A953,'Isaac 401k'!N:N,0),0)</f>
        <v>-13258567.274974154</v>
      </c>
      <c r="R953" s="25">
        <f t="array" aca="1" ref="R953" ca="1">INDEX('Lorri 401b'!L:L,MATCH('Retirement Calculator'!A953,'Lorri 401b'!N:N,0),0)</f>
        <v>-25038040.2953129</v>
      </c>
      <c r="S953" s="25">
        <f t="shared" ca="1" si="787"/>
        <v>-38296607.570287056</v>
      </c>
    </row>
    <row r="954" spans="1:19" ht="15.75" customHeight="1" x14ac:dyDescent="0.3">
      <c r="A954" s="37">
        <v>79990</v>
      </c>
      <c r="B954" s="398">
        <f t="shared" ref="B954:C954" si="965">($A954-B$9)/365.25</f>
        <v>137.12251882272417</v>
      </c>
      <c r="C954" s="398">
        <f t="shared" si="965"/>
        <v>132.51197809719369</v>
      </c>
      <c r="E954" s="25">
        <f>IF(C954&gt;$B$7,0,'Combined Retirement'!$D$13/12)</f>
        <v>0</v>
      </c>
      <c r="F954" s="25">
        <f>IF(H954=0,'Combined Retirement'!$D$32,0)+'Combined Retirement'!$B$24</f>
        <v>2870.372285649099</v>
      </c>
      <c r="G954" s="25">
        <f>'Combined Retirement'!$C$24</f>
        <v>3254.2644699519233</v>
      </c>
      <c r="H954" s="25">
        <f>IF(B954&lt;62,0,'Combined Retirement'!$I$14)</f>
        <v>2345</v>
      </c>
      <c r="I954" s="25">
        <f>IF(C954&lt;62,0,'Combined Retirement'!$I$13)</f>
        <v>2420</v>
      </c>
      <c r="J954" s="25">
        <f t="shared" si="783"/>
        <v>8395.6297298201844</v>
      </c>
      <c r="K954" s="25">
        <f t="shared" si="784"/>
        <v>21655.303514578787</v>
      </c>
      <c r="L954" s="25"/>
      <c r="N954" s="25">
        <f>'Combined Retirement'!$C$18/12</f>
        <v>40940.569999999992</v>
      </c>
      <c r="O954" s="25">
        <f t="shared" si="785"/>
        <v>10889.636755601023</v>
      </c>
      <c r="P954" s="25">
        <f t="shared" si="786"/>
        <v>30050.93324439897</v>
      </c>
      <c r="Q954" s="25">
        <f t="array" aca="1" ref="Q954" ca="1">INDEX('Isaac 401k'!L:L,MATCH('Retirement Calculator'!A954,'Isaac 401k'!N:N,0),0)</f>
        <v>-13322241.916806908</v>
      </c>
      <c r="R954" s="25">
        <f t="array" aca="1" ref="R954" ca="1">INDEX('Lorri 401b'!L:L,MATCH('Retirement Calculator'!A954,'Lorri 401b'!N:N,0),0)</f>
        <v>-25164110.997155927</v>
      </c>
      <c r="S954" s="25">
        <f t="shared" ca="1" si="787"/>
        <v>-38486352.913962834</v>
      </c>
    </row>
    <row r="955" spans="1:19" ht="15.75" customHeight="1" x14ac:dyDescent="0.3">
      <c r="A955" s="37">
        <v>80021</v>
      </c>
      <c r="B955" s="398">
        <f t="shared" ref="B955:C955" si="966">($A955-B$9)/365.25</f>
        <v>137.20739219712524</v>
      </c>
      <c r="C955" s="398">
        <f t="shared" si="966"/>
        <v>132.59685147159479</v>
      </c>
      <c r="E955" s="25">
        <f>IF(C955&gt;$B$7,0,'Combined Retirement'!$D$13/12)</f>
        <v>0</v>
      </c>
      <c r="F955" s="25">
        <f>IF(H955=0,'Combined Retirement'!$D$32,0)+'Combined Retirement'!$B$24</f>
        <v>2870.372285649099</v>
      </c>
      <c r="G955" s="25">
        <f>'Combined Retirement'!$C$24</f>
        <v>3254.2644699519233</v>
      </c>
      <c r="H955" s="25">
        <f>IF(B955&lt;62,0,'Combined Retirement'!$I$14)</f>
        <v>2345</v>
      </c>
      <c r="I955" s="25">
        <f>IF(C955&lt;62,0,'Combined Retirement'!$I$13)</f>
        <v>2420</v>
      </c>
      <c r="J955" s="25">
        <f t="shared" si="783"/>
        <v>8395.6297298201844</v>
      </c>
      <c r="K955" s="25">
        <f t="shared" si="784"/>
        <v>21655.303514578787</v>
      </c>
      <c r="L955" s="25"/>
      <c r="N955" s="25">
        <f>'Combined Retirement'!$C$18/12</f>
        <v>40940.569999999992</v>
      </c>
      <c r="O955" s="25">
        <f t="shared" si="785"/>
        <v>10889.636755601023</v>
      </c>
      <c r="P955" s="25">
        <f t="shared" si="786"/>
        <v>30050.93324439897</v>
      </c>
      <c r="Q955" s="25">
        <f t="array" aca="1" ref="Q955" ca="1">INDEX('Isaac 401k'!L:L,MATCH('Retirement Calculator'!A955,'Isaac 401k'!N:N,0),0)</f>
        <v>-13386181.869647298</v>
      </c>
      <c r="R955" s="25">
        <f t="array" aca="1" ref="R955" ca="1">INDEX('Lorri 401b'!L:L,MATCH('Retirement Calculator'!A955,'Lorri 401b'!N:N,0),0)</f>
        <v>-25290706.993589964</v>
      </c>
      <c r="S955" s="25">
        <f t="shared" ca="1" si="787"/>
        <v>-38676888.863237262</v>
      </c>
    </row>
    <row r="956" spans="1:19" ht="15.75" customHeight="1" x14ac:dyDescent="0.3">
      <c r="A956" s="37">
        <v>80049</v>
      </c>
      <c r="B956" s="398">
        <f t="shared" ref="B956:C956" si="967">($A956-B$9)/365.25</f>
        <v>137.28405201916496</v>
      </c>
      <c r="C956" s="398">
        <f t="shared" si="967"/>
        <v>132.6735112936345</v>
      </c>
      <c r="E956" s="25">
        <f>IF(C956&gt;$B$7,0,'Combined Retirement'!$D$13/12)</f>
        <v>0</v>
      </c>
      <c r="F956" s="25">
        <f>IF(H956=0,'Combined Retirement'!$D$32,0)+'Combined Retirement'!$B$24</f>
        <v>2870.372285649099</v>
      </c>
      <c r="G956" s="25">
        <f>'Combined Retirement'!$C$24</f>
        <v>3254.2644699519233</v>
      </c>
      <c r="H956" s="25">
        <f>IF(B956&lt;62,0,'Combined Retirement'!$I$14)</f>
        <v>2345</v>
      </c>
      <c r="I956" s="25">
        <f>IF(C956&lt;62,0,'Combined Retirement'!$I$13)</f>
        <v>2420</v>
      </c>
      <c r="J956" s="25">
        <f t="shared" si="783"/>
        <v>8395.6297298201844</v>
      </c>
      <c r="K956" s="25">
        <f t="shared" si="784"/>
        <v>21655.303514578787</v>
      </c>
      <c r="L956" s="25"/>
      <c r="N956" s="25">
        <f>'Combined Retirement'!$C$18/12</f>
        <v>40940.569999999992</v>
      </c>
      <c r="O956" s="25">
        <f t="shared" si="785"/>
        <v>10889.636755601023</v>
      </c>
      <c r="P956" s="25">
        <f t="shared" si="786"/>
        <v>30050.93324439897</v>
      </c>
      <c r="Q956" s="25">
        <f t="array" aca="1" ref="Q956" ca="1">INDEX('Isaac 401k'!L:L,MATCH('Retirement Calculator'!A956,'Isaac 401k'!N:N,0),0)</f>
        <v>-13450388.238957856</v>
      </c>
      <c r="R956" s="25">
        <f t="array" aca="1" ref="R956" ca="1">INDEX('Lorri 401b'!L:L,MATCH('Retirement Calculator'!A956,'Lorri 401b'!N:N,0),0)</f>
        <v>-25417830.473342478</v>
      </c>
      <c r="S956" s="25">
        <f t="shared" ca="1" si="787"/>
        <v>-38868218.71230033</v>
      </c>
    </row>
    <row r="957" spans="1:19" ht="15.75" customHeight="1" x14ac:dyDescent="0.3">
      <c r="A957" s="37">
        <v>80080</v>
      </c>
      <c r="B957" s="398">
        <f t="shared" ref="B957:C957" si="968">($A957-B$9)/365.25</f>
        <v>137.36892539356606</v>
      </c>
      <c r="C957" s="398">
        <f t="shared" si="968"/>
        <v>132.7583846680356</v>
      </c>
      <c r="E957" s="25">
        <f>IF(C957&gt;$B$7,0,'Combined Retirement'!$D$13/12)</f>
        <v>0</v>
      </c>
      <c r="F957" s="25">
        <f>IF(H957=0,'Combined Retirement'!$D$32,0)+'Combined Retirement'!$B$24</f>
        <v>2870.372285649099</v>
      </c>
      <c r="G957" s="25">
        <f>'Combined Retirement'!$C$24</f>
        <v>3254.2644699519233</v>
      </c>
      <c r="H957" s="25">
        <f>IF(B957&lt;62,0,'Combined Retirement'!$I$14)</f>
        <v>2345</v>
      </c>
      <c r="I957" s="25">
        <f>IF(C957&lt;62,0,'Combined Retirement'!$I$13)</f>
        <v>2420</v>
      </c>
      <c r="J957" s="25">
        <f t="shared" si="783"/>
        <v>8395.6297298201844</v>
      </c>
      <c r="K957" s="25">
        <f t="shared" si="784"/>
        <v>21655.303514578787</v>
      </c>
      <c r="L957" s="25"/>
      <c r="N957" s="25">
        <f>'Combined Retirement'!$C$18/12</f>
        <v>40940.569999999992</v>
      </c>
      <c r="O957" s="25">
        <f t="shared" si="785"/>
        <v>10889.636755601023</v>
      </c>
      <c r="P957" s="25">
        <f t="shared" si="786"/>
        <v>30050.93324439897</v>
      </c>
      <c r="Q957" s="25">
        <f t="array" aca="1" ref="Q957" ca="1">INDEX('Isaac 401k'!L:L,MATCH('Retirement Calculator'!A957,'Isaac 401k'!N:N,0),0)</f>
        <v>-13514862.134807209</v>
      </c>
      <c r="R957" s="25">
        <f t="array" aca="1" ref="R957" ca="1">INDEX('Lorri 401b'!L:L,MATCH('Retirement Calculator'!A957,'Lorri 401b'!N:N,0),0)</f>
        <v>-25545483.634260628</v>
      </c>
      <c r="S957" s="25">
        <f t="shared" ca="1" si="787"/>
        <v>-39060345.769067839</v>
      </c>
    </row>
    <row r="958" spans="1:19" ht="15.75" customHeight="1" x14ac:dyDescent="0.3">
      <c r="A958" s="37">
        <v>80110</v>
      </c>
      <c r="B958" s="398">
        <f t="shared" ref="B958:C958" si="969">($A958-B$9)/365.25</f>
        <v>137.45106091718</v>
      </c>
      <c r="C958" s="398">
        <f t="shared" si="969"/>
        <v>132.84052019164955</v>
      </c>
      <c r="E958" s="25">
        <f>IF(C958&gt;$B$7,0,'Combined Retirement'!$D$13/12)</f>
        <v>0</v>
      </c>
      <c r="F958" s="25">
        <f>IF(H958=0,'Combined Retirement'!$D$32,0)+'Combined Retirement'!$B$24</f>
        <v>2870.372285649099</v>
      </c>
      <c r="G958" s="25">
        <f>'Combined Retirement'!$C$24</f>
        <v>3254.2644699519233</v>
      </c>
      <c r="H958" s="25">
        <f>IF(B958&lt;62,0,'Combined Retirement'!$I$14)</f>
        <v>2345</v>
      </c>
      <c r="I958" s="25">
        <f>IF(C958&lt;62,0,'Combined Retirement'!$I$13)</f>
        <v>2420</v>
      </c>
      <c r="J958" s="25">
        <f t="shared" si="783"/>
        <v>8395.6297298201844</v>
      </c>
      <c r="K958" s="25">
        <f t="shared" si="784"/>
        <v>21655.303514578787</v>
      </c>
      <c r="L958" s="25"/>
      <c r="N958" s="25">
        <f>'Combined Retirement'!$C$18/12</f>
        <v>40940.569999999992</v>
      </c>
      <c r="O958" s="25">
        <f t="shared" si="785"/>
        <v>10889.636755601023</v>
      </c>
      <c r="P958" s="25">
        <f t="shared" si="786"/>
        <v>30050.93324439897</v>
      </c>
      <c r="Q958" s="25">
        <f t="array" aca="1" ref="Q958" ca="1">INDEX('Isaac 401k'!L:L,MATCH('Retirement Calculator'!A958,'Isaac 401k'!N:N,0),0)</f>
        <v>-13579604.671889266</v>
      </c>
      <c r="R958" s="25">
        <f t="array" aca="1" ref="R958" ca="1">INDEX('Lorri 401b'!L:L,MATCH('Retirement Calculator'!A958,'Lorri 401b'!N:N,0),0)</f>
        <v>-25673668.68334927</v>
      </c>
      <c r="S958" s="25">
        <f t="shared" ca="1" si="787"/>
        <v>-39253273.355238535</v>
      </c>
    </row>
    <row r="959" spans="1:19" ht="15.75" customHeight="1" x14ac:dyDescent="0.3">
      <c r="A959" s="37">
        <v>80141</v>
      </c>
      <c r="B959" s="398">
        <f t="shared" ref="B959:C959" si="970">($A959-B$9)/365.25</f>
        <v>137.5359342915811</v>
      </c>
      <c r="C959" s="398">
        <f t="shared" si="970"/>
        <v>132.92539356605064</v>
      </c>
      <c r="E959" s="25">
        <f>IF(C959&gt;$B$7,0,'Combined Retirement'!$D$13/12)</f>
        <v>0</v>
      </c>
      <c r="F959" s="25">
        <f>IF(H959=0,'Combined Retirement'!$D$32,0)+'Combined Retirement'!$B$24</f>
        <v>2870.372285649099</v>
      </c>
      <c r="G959" s="25">
        <f>'Combined Retirement'!$C$24</f>
        <v>3254.2644699519233</v>
      </c>
      <c r="H959" s="25">
        <f>IF(B959&lt;62,0,'Combined Retirement'!$I$14)</f>
        <v>2345</v>
      </c>
      <c r="I959" s="25">
        <f>IF(C959&lt;62,0,'Combined Retirement'!$I$13)</f>
        <v>2420</v>
      </c>
      <c r="J959" s="25">
        <f t="shared" si="783"/>
        <v>8395.6297298201844</v>
      </c>
      <c r="K959" s="25">
        <f t="shared" si="784"/>
        <v>21655.303514578787</v>
      </c>
      <c r="L959" s="25"/>
      <c r="N959" s="25">
        <f>'Combined Retirement'!$C$18/12</f>
        <v>40940.569999999992</v>
      </c>
      <c r="O959" s="25">
        <f t="shared" si="785"/>
        <v>10889.636755601023</v>
      </c>
      <c r="P959" s="25">
        <f t="shared" si="786"/>
        <v>30050.93324439897</v>
      </c>
      <c r="Q959" s="25">
        <f t="array" aca="1" ref="Q959" ca="1">INDEX('Isaac 401k'!L:L,MATCH('Retirement Calculator'!A959,'Isaac 401k'!N:N,0),0)</f>
        <v>-13644616.9695425</v>
      </c>
      <c r="R959" s="25">
        <f t="array" aca="1" ref="R959" ca="1">INDEX('Lorri 401b'!L:L,MATCH('Retirement Calculator'!A959,'Lorri 401b'!N:N,0),0)</f>
        <v>-25802387.836809114</v>
      </c>
      <c r="S959" s="25">
        <f t="shared" ca="1" si="787"/>
        <v>-39447004.806351617</v>
      </c>
    </row>
    <row r="960" spans="1:19" ht="15.75" customHeight="1" x14ac:dyDescent="0.3">
      <c r="A960" s="37">
        <v>80171</v>
      </c>
      <c r="B960" s="398">
        <f t="shared" ref="B960:C960" si="971">($A960-B$9)/365.25</f>
        <v>137.61806981519507</v>
      </c>
      <c r="C960" s="398">
        <f t="shared" si="971"/>
        <v>133.00752908966462</v>
      </c>
      <c r="E960" s="25">
        <f>IF(C960&gt;$B$7,0,'Combined Retirement'!$D$13/12)</f>
        <v>0</v>
      </c>
      <c r="F960" s="25">
        <f>IF(H960=0,'Combined Retirement'!$D$32,0)+'Combined Retirement'!$B$24</f>
        <v>2870.372285649099</v>
      </c>
      <c r="G960" s="25">
        <f>'Combined Retirement'!$C$24</f>
        <v>3254.2644699519233</v>
      </c>
      <c r="H960" s="25">
        <f>IF(B960&lt;62,0,'Combined Retirement'!$I$14)</f>
        <v>2345</v>
      </c>
      <c r="I960" s="25">
        <f>IF(C960&lt;62,0,'Combined Retirement'!$I$13)</f>
        <v>2420</v>
      </c>
      <c r="J960" s="25">
        <f t="shared" si="783"/>
        <v>8395.6297298201844</v>
      </c>
      <c r="K960" s="25">
        <f t="shared" si="784"/>
        <v>21655.303514578787</v>
      </c>
      <c r="L960" s="25"/>
      <c r="N960" s="25">
        <f>'Combined Retirement'!$C$18/12</f>
        <v>40940.569999999992</v>
      </c>
      <c r="O960" s="25">
        <f t="shared" si="785"/>
        <v>10889.636755601023</v>
      </c>
      <c r="P960" s="25">
        <f t="shared" si="786"/>
        <v>30050.93324439897</v>
      </c>
      <c r="Q960" s="25">
        <f t="array" aca="1" ref="Q960" ca="1">INDEX('Isaac 401k'!L:L,MATCH('Retirement Calculator'!A960,'Isaac 401k'!N:N,0),0)</f>
        <v>-13709900.151769288</v>
      </c>
      <c r="R960" s="25">
        <f t="array" aca="1" ref="R960" ca="1">INDEX('Lorri 401b'!L:L,MATCH('Retirement Calculator'!A960,'Lorri 401b'!N:N,0),0)</f>
        <v>-25931643.320075039</v>
      </c>
      <c r="S960" s="25">
        <f t="shared" ca="1" si="787"/>
        <v>-39641543.47184433</v>
      </c>
    </row>
    <row r="961" spans="1:19" ht="15.75" customHeight="1" x14ac:dyDescent="0.3">
      <c r="A961" s="37">
        <v>80202</v>
      </c>
      <c r="B961" s="398">
        <f t="shared" ref="B961:C961" si="972">($A961-B$9)/365.25</f>
        <v>137.70294318959617</v>
      </c>
      <c r="C961" s="398">
        <f t="shared" si="972"/>
        <v>133.09240246406571</v>
      </c>
      <c r="E961" s="25">
        <f>IF(C961&gt;$B$7,0,'Combined Retirement'!$D$13/12)</f>
        <v>0</v>
      </c>
      <c r="F961" s="25">
        <f>IF(H961=0,'Combined Retirement'!$D$32,0)+'Combined Retirement'!$B$24</f>
        <v>2870.372285649099</v>
      </c>
      <c r="G961" s="25">
        <f>'Combined Retirement'!$C$24</f>
        <v>3254.2644699519233</v>
      </c>
      <c r="H961" s="25">
        <f>IF(B961&lt;62,0,'Combined Retirement'!$I$14)</f>
        <v>2345</v>
      </c>
      <c r="I961" s="25">
        <f>IF(C961&lt;62,0,'Combined Retirement'!$I$13)</f>
        <v>2420</v>
      </c>
      <c r="J961" s="25">
        <f t="shared" si="783"/>
        <v>8395.6297298201844</v>
      </c>
      <c r="K961" s="25">
        <f t="shared" si="784"/>
        <v>21655.303514578787</v>
      </c>
      <c r="L961" s="25"/>
      <c r="N961" s="25">
        <f>'Combined Retirement'!$C$18/12</f>
        <v>40940.569999999992</v>
      </c>
      <c r="O961" s="25">
        <f t="shared" si="785"/>
        <v>10889.636755601023</v>
      </c>
      <c r="P961" s="25">
        <f t="shared" si="786"/>
        <v>30050.93324439897</v>
      </c>
      <c r="Q961" s="25">
        <f t="array" aca="1" ref="Q961" ca="1">INDEX('Isaac 401k'!L:L,MATCH('Retirement Calculator'!A961,'Isaac 401k'!N:N,0),0)</f>
        <v>-13775455.347255355</v>
      </c>
      <c r="R961" s="25">
        <f t="array" aca="1" ref="R961" ca="1">INDEX('Lorri 401b'!L:L,MATCH('Retirement Calculator'!A961,'Lorri 401b'!N:N,0),0)</f>
        <v>-26061437.367854573</v>
      </c>
      <c r="S961" s="25">
        <f t="shared" ca="1" si="787"/>
        <v>-39836892.715109929</v>
      </c>
    </row>
    <row r="962" spans="1:19" ht="15.75" customHeight="1" x14ac:dyDescent="0.3">
      <c r="A962" s="37">
        <v>80233</v>
      </c>
      <c r="B962" s="398">
        <f t="shared" ref="B962:C962" si="973">($A962-B$9)/365.25</f>
        <v>137.78781656399727</v>
      </c>
      <c r="C962" s="398">
        <f t="shared" si="973"/>
        <v>133.17727583846681</v>
      </c>
      <c r="E962" s="25">
        <f>IF(C962&gt;$B$7,0,'Combined Retirement'!$D$13/12)</f>
        <v>0</v>
      </c>
      <c r="F962" s="25">
        <f>IF(H962=0,'Combined Retirement'!$D$32,0)+'Combined Retirement'!$B$24</f>
        <v>2870.372285649099</v>
      </c>
      <c r="G962" s="25">
        <f>'Combined Retirement'!$C$24</f>
        <v>3254.2644699519233</v>
      </c>
      <c r="H962" s="25">
        <f>IF(B962&lt;62,0,'Combined Retirement'!$I$14)</f>
        <v>2345</v>
      </c>
      <c r="I962" s="25">
        <f>IF(C962&lt;62,0,'Combined Retirement'!$I$13)</f>
        <v>2420</v>
      </c>
      <c r="J962" s="25">
        <f t="shared" si="783"/>
        <v>8395.6297298201844</v>
      </c>
      <c r="K962" s="25">
        <f t="shared" si="784"/>
        <v>21655.303514578787</v>
      </c>
      <c r="L962" s="25"/>
      <c r="N962" s="25">
        <f>'Combined Retirement'!$C$18/12</f>
        <v>40940.569999999992</v>
      </c>
      <c r="O962" s="25">
        <f t="shared" si="785"/>
        <v>10889.636755601023</v>
      </c>
      <c r="P962" s="25">
        <f t="shared" si="786"/>
        <v>30050.93324439897</v>
      </c>
      <c r="Q962" s="25">
        <f t="array" aca="1" ref="Q962" ca="1">INDEX('Isaac 401k'!L:L,MATCH('Retirement Calculator'!A962,'Isaac 401k'!N:N,0),0)</f>
        <v>-13841283.689389281</v>
      </c>
      <c r="R962" s="25">
        <f t="array" aca="1" ref="R962" ca="1">INDEX('Lorri 401b'!L:L,MATCH('Retirement Calculator'!A962,'Lorri 401b'!N:N,0),0)</f>
        <v>-26191772.22416652</v>
      </c>
      <c r="S962" s="25">
        <f t="shared" ca="1" si="787"/>
        <v>-40033055.913555801</v>
      </c>
    </row>
    <row r="963" spans="1:19" ht="15.75" customHeight="1" x14ac:dyDescent="0.3">
      <c r="A963" s="37">
        <v>80263</v>
      </c>
      <c r="B963" s="398">
        <f t="shared" ref="B963:C963" si="974">($A963-B$9)/365.25</f>
        <v>137.86995208761124</v>
      </c>
      <c r="C963" s="398">
        <f t="shared" si="974"/>
        <v>133.25941136208075</v>
      </c>
      <c r="E963" s="25">
        <f>IF(C963&gt;$B$7,0,'Combined Retirement'!$D$13/12)</f>
        <v>0</v>
      </c>
      <c r="F963" s="25">
        <f>IF(H963=0,'Combined Retirement'!$D$32,0)+'Combined Retirement'!$B$24</f>
        <v>2870.372285649099</v>
      </c>
      <c r="G963" s="25">
        <f>'Combined Retirement'!$C$24</f>
        <v>3254.2644699519233</v>
      </c>
      <c r="H963" s="25">
        <f>IF(B963&lt;62,0,'Combined Retirement'!$I$14)</f>
        <v>2345</v>
      </c>
      <c r="I963" s="25">
        <f>IF(C963&lt;62,0,'Combined Retirement'!$I$13)</f>
        <v>2420</v>
      </c>
      <c r="J963" s="25">
        <f t="shared" si="783"/>
        <v>8395.6297298201844</v>
      </c>
      <c r="K963" s="25">
        <f t="shared" si="784"/>
        <v>21655.303514578787</v>
      </c>
      <c r="L963" s="25"/>
      <c r="N963" s="25">
        <f>'Combined Retirement'!$C$18/12</f>
        <v>40940.569999999992</v>
      </c>
      <c r="O963" s="25">
        <f t="shared" si="785"/>
        <v>10889.636755601023</v>
      </c>
      <c r="P963" s="25">
        <f t="shared" si="786"/>
        <v>30050.93324439897</v>
      </c>
      <c r="Q963" s="25">
        <f t="array" aca="1" ref="Q963" ca="1">INDEX('Isaac 401k'!L:L,MATCH('Retirement Calculator'!A963,'Isaac 401k'!N:N,0),0)</f>
        <v>-13907386.316282097</v>
      </c>
      <c r="R963" s="25">
        <f t="array" aca="1" ref="R963" ca="1">INDEX('Lorri 401b'!L:L,MATCH('Retirement Calculator'!A963,'Lorri 401b'!N:N,0),0)</f>
        <v>-26322650.142379768</v>
      </c>
      <c r="S963" s="25">
        <f t="shared" ca="1" si="787"/>
        <v>-40230036.458661869</v>
      </c>
    </row>
    <row r="964" spans="1:19" ht="15.75" customHeight="1" x14ac:dyDescent="0.3">
      <c r="A964" s="37">
        <v>80294</v>
      </c>
      <c r="B964" s="398">
        <f t="shared" ref="B964:C964" si="975">($A964-B$9)/365.25</f>
        <v>137.95482546201231</v>
      </c>
      <c r="C964" s="398">
        <f t="shared" si="975"/>
        <v>133.34428473648185</v>
      </c>
      <c r="E964" s="25">
        <f>IF(C964&gt;$B$7,0,'Combined Retirement'!$D$13/12)</f>
        <v>0</v>
      </c>
      <c r="F964" s="25">
        <f>IF(H964=0,'Combined Retirement'!$D$32,0)+'Combined Retirement'!$B$24</f>
        <v>2870.372285649099</v>
      </c>
      <c r="G964" s="25">
        <f>'Combined Retirement'!$C$24</f>
        <v>3254.2644699519233</v>
      </c>
      <c r="H964" s="25">
        <f>IF(B964&lt;62,0,'Combined Retirement'!$I$14)</f>
        <v>2345</v>
      </c>
      <c r="I964" s="25">
        <f>IF(C964&lt;62,0,'Combined Retirement'!$I$13)</f>
        <v>2420</v>
      </c>
      <c r="J964" s="25">
        <f t="shared" si="783"/>
        <v>8395.6297298201844</v>
      </c>
      <c r="K964" s="25">
        <f t="shared" si="784"/>
        <v>21655.303514578787</v>
      </c>
      <c r="L964" s="25"/>
      <c r="N964" s="25">
        <f>'Combined Retirement'!$C$18/12</f>
        <v>40940.569999999992</v>
      </c>
      <c r="O964" s="25">
        <f t="shared" si="785"/>
        <v>10889.636755601023</v>
      </c>
      <c r="P964" s="25">
        <f t="shared" si="786"/>
        <v>30050.93324439897</v>
      </c>
      <c r="Q964" s="25">
        <f t="array" aca="1" ref="Q964" ca="1">INDEX('Isaac 401k'!L:L,MATCH('Retirement Calculator'!A964,'Isaac 401k'!N:N,0),0)</f>
        <v>-13973764.370786967</v>
      </c>
      <c r="R964" s="25">
        <f t="array" aca="1" ref="R964" ca="1">INDEX('Lorri 401b'!L:L,MATCH('Retirement Calculator'!A964,'Lorri 401b'!N:N,0),0)</f>
        <v>-26454073.385252237</v>
      </c>
      <c r="S964" s="25">
        <f t="shared" ca="1" si="787"/>
        <v>-40427837.756039202</v>
      </c>
    </row>
    <row r="965" spans="1:19" ht="15.75" customHeight="1" x14ac:dyDescent="0.3">
      <c r="A965" s="37">
        <v>80324</v>
      </c>
      <c r="B965" s="398">
        <f t="shared" ref="B965:C965" si="976">($A965-B$9)/365.25</f>
        <v>138.03696098562628</v>
      </c>
      <c r="C965" s="398">
        <f t="shared" si="976"/>
        <v>133.42642026009582</v>
      </c>
      <c r="E965" s="25">
        <f>IF(C965&gt;$B$7,0,'Combined Retirement'!$D$13/12)</f>
        <v>0</v>
      </c>
      <c r="F965" s="25">
        <f>IF(H965=0,'Combined Retirement'!$D$32,0)+'Combined Retirement'!$B$24</f>
        <v>2870.372285649099</v>
      </c>
      <c r="G965" s="25">
        <f>'Combined Retirement'!$C$24</f>
        <v>3254.2644699519233</v>
      </c>
      <c r="H965" s="25">
        <f>IF(B965&lt;62,0,'Combined Retirement'!$I$14)</f>
        <v>2345</v>
      </c>
      <c r="I965" s="25">
        <f>IF(C965&lt;62,0,'Combined Retirement'!$I$13)</f>
        <v>2420</v>
      </c>
      <c r="J965" s="25">
        <f t="shared" si="783"/>
        <v>8395.6297298201844</v>
      </c>
      <c r="K965" s="25">
        <f t="shared" si="784"/>
        <v>21655.303514578787</v>
      </c>
      <c r="L965" s="25"/>
      <c r="N965" s="25">
        <f>'Combined Retirement'!$C$18/12</f>
        <v>40940.569999999992</v>
      </c>
      <c r="O965" s="25">
        <f t="shared" si="785"/>
        <v>10889.636755601023</v>
      </c>
      <c r="P965" s="25">
        <f t="shared" si="786"/>
        <v>30050.93324439897</v>
      </c>
      <c r="Q965" s="25">
        <f t="array" aca="1" ref="Q965" ca="1">INDEX('Isaac 401k'!L:L,MATCH('Retirement Calculator'!A965,'Isaac 401k'!N:N,0),0)</f>
        <v>-14040419.00051894</v>
      </c>
      <c r="R965" s="25">
        <f t="array" aca="1" ref="R965" ca="1">INDEX('Lorri 401b'!L:L,MATCH('Retirement Calculator'!A965,'Lorri 401b'!N:N,0),0)</f>
        <v>-26586044.224970009</v>
      </c>
      <c r="S965" s="25">
        <f t="shared" ca="1" si="787"/>
        <v>-40626463.225488946</v>
      </c>
    </row>
    <row r="966" spans="1:19" ht="15.75" customHeight="1" x14ac:dyDescent="0.3">
      <c r="A966" s="37">
        <v>80355</v>
      </c>
      <c r="B966" s="398">
        <f t="shared" ref="B966:C966" si="977">($A966-B$9)/365.25</f>
        <v>138.12183436002738</v>
      </c>
      <c r="C966" s="398">
        <f t="shared" si="977"/>
        <v>133.51129363449692</v>
      </c>
      <c r="E966" s="25">
        <f>IF(C966&gt;$B$7,0,'Combined Retirement'!$D$13/12)</f>
        <v>0</v>
      </c>
      <c r="F966" s="25">
        <f>IF(H966=0,'Combined Retirement'!$D$32,0)+'Combined Retirement'!$B$24</f>
        <v>2870.372285649099</v>
      </c>
      <c r="G966" s="25">
        <f>'Combined Retirement'!$C$24</f>
        <v>3254.2644699519233</v>
      </c>
      <c r="H966" s="25">
        <f>IF(B966&lt;62,0,'Combined Retirement'!$I$14)</f>
        <v>2345</v>
      </c>
      <c r="I966" s="25">
        <f>IF(C966&lt;62,0,'Combined Retirement'!$I$13)</f>
        <v>2420</v>
      </c>
      <c r="J966" s="25">
        <f t="shared" si="783"/>
        <v>8395.6297298201844</v>
      </c>
      <c r="K966" s="25">
        <f t="shared" si="784"/>
        <v>21655.303514578787</v>
      </c>
      <c r="L966" s="25"/>
      <c r="N966" s="25">
        <f>'Combined Retirement'!$C$18/12</f>
        <v>40940.569999999992</v>
      </c>
      <c r="O966" s="25">
        <f t="shared" si="785"/>
        <v>10889.636755601023</v>
      </c>
      <c r="P966" s="25">
        <f t="shared" si="786"/>
        <v>30050.93324439897</v>
      </c>
      <c r="Q966" s="25">
        <f t="array" aca="1" ref="Q966" ca="1">INDEX('Isaac 401k'!L:L,MATCH('Retirement Calculator'!A966,'Isaac 401k'!N:N,0),0)</f>
        <v>-14107351.357874798</v>
      </c>
      <c r="R966" s="25">
        <f t="array" aca="1" ref="R966" ca="1">INDEX('Lorri 401b'!L:L,MATCH('Retirement Calculator'!A966,'Lorri 401b'!N:N,0),0)</f>
        <v>-26718564.943186607</v>
      </c>
      <c r="S966" s="25">
        <f t="shared" ca="1" si="787"/>
        <v>-40825916.301061407</v>
      </c>
    </row>
    <row r="967" spans="1:19" ht="15.75" customHeight="1" x14ac:dyDescent="0.3">
      <c r="A967" s="37">
        <v>80386</v>
      </c>
      <c r="B967" s="398">
        <f t="shared" ref="B967:C967" si="978">($A967-B$9)/365.25</f>
        <v>138.20670773442848</v>
      </c>
      <c r="C967" s="398">
        <f t="shared" si="978"/>
        <v>133.59616700889802</v>
      </c>
      <c r="E967" s="25">
        <f>IF(C967&gt;$B$7,0,'Combined Retirement'!$D$13/12)</f>
        <v>0</v>
      </c>
      <c r="F967" s="25">
        <f>IF(H967=0,'Combined Retirement'!$D$32,0)+'Combined Retirement'!$B$24</f>
        <v>2870.372285649099</v>
      </c>
      <c r="G967" s="25">
        <f>'Combined Retirement'!$C$24</f>
        <v>3254.2644699519233</v>
      </c>
      <c r="H967" s="25">
        <f>IF(B967&lt;62,0,'Combined Retirement'!$I$14)</f>
        <v>2345</v>
      </c>
      <c r="I967" s="25">
        <f>IF(C967&lt;62,0,'Combined Retirement'!$I$13)</f>
        <v>2420</v>
      </c>
      <c r="J967" s="25">
        <f t="shared" si="783"/>
        <v>8395.6297298201844</v>
      </c>
      <c r="K967" s="25">
        <f t="shared" si="784"/>
        <v>21655.303514578787</v>
      </c>
      <c r="L967" s="25"/>
      <c r="N967" s="25">
        <f>'Combined Retirement'!$C$18/12</f>
        <v>40940.569999999992</v>
      </c>
      <c r="O967" s="25">
        <f t="shared" si="785"/>
        <v>10889.636755601023</v>
      </c>
      <c r="P967" s="25">
        <f t="shared" si="786"/>
        <v>30050.93324439897</v>
      </c>
      <c r="Q967" s="25">
        <f t="array" aca="1" ref="Q967" ca="1">INDEX('Isaac 401k'!L:L,MATCH('Retirement Calculator'!A967,'Isaac 401k'!N:N,0),0)</f>
        <v>-14174562.600052971</v>
      </c>
      <c r="R967" s="25">
        <f t="array" aca="1" ref="R967" ca="1">INDEX('Lorri 401b'!L:L,MATCH('Retirement Calculator'!A967,'Lorri 401b'!N:N,0),0)</f>
        <v>-26851637.83106244</v>
      </c>
      <c r="S967" s="25">
        <f t="shared" ca="1" si="787"/>
        <v>-41026200.431115411</v>
      </c>
    </row>
    <row r="968" spans="1:19" ht="15.75" customHeight="1" x14ac:dyDescent="0.3">
      <c r="A968" s="37">
        <v>80415</v>
      </c>
      <c r="B968" s="398">
        <f t="shared" ref="B968:C968" si="979">($A968-B$9)/365.25</f>
        <v>138.28610540725529</v>
      </c>
      <c r="C968" s="398">
        <f t="shared" si="979"/>
        <v>133.67556468172484</v>
      </c>
      <c r="E968" s="25">
        <f>IF(C968&gt;$B$7,0,'Combined Retirement'!$D$13/12)</f>
        <v>0</v>
      </c>
      <c r="F968" s="25">
        <f>IF(H968=0,'Combined Retirement'!$D$32,0)+'Combined Retirement'!$B$24</f>
        <v>2870.372285649099</v>
      </c>
      <c r="G968" s="25">
        <f>'Combined Retirement'!$C$24</f>
        <v>3254.2644699519233</v>
      </c>
      <c r="H968" s="25">
        <f>IF(B968&lt;62,0,'Combined Retirement'!$I$14)</f>
        <v>2345</v>
      </c>
      <c r="I968" s="25">
        <f>IF(C968&lt;62,0,'Combined Retirement'!$I$13)</f>
        <v>2420</v>
      </c>
      <c r="J968" s="25">
        <f t="shared" si="783"/>
        <v>8395.6297298201844</v>
      </c>
      <c r="K968" s="25">
        <f t="shared" si="784"/>
        <v>21655.303514578787</v>
      </c>
      <c r="L968" s="25"/>
      <c r="N968" s="25">
        <f>'Combined Retirement'!$C$18/12</f>
        <v>40940.569999999992</v>
      </c>
      <c r="O968" s="25">
        <f t="shared" si="785"/>
        <v>10889.636755601023</v>
      </c>
      <c r="P968" s="25">
        <f t="shared" si="786"/>
        <v>30050.93324439897</v>
      </c>
      <c r="Q968" s="25">
        <f t="array" aca="1" ref="Q968" ca="1">INDEX('Isaac 401k'!L:L,MATCH('Retirement Calculator'!A968,'Isaac 401k'!N:N,0),0)</f>
        <v>-14242053.889073553</v>
      </c>
      <c r="R968" s="25">
        <f t="array" aca="1" ref="R968" ca="1">INDEX('Lorri 401b'!L:L,MATCH('Retirement Calculator'!A968,'Lorri 401b'!N:N,0),0)</f>
        <v>-26985265.189304423</v>
      </c>
      <c r="S968" s="25">
        <f t="shared" ca="1" si="787"/>
        <v>-41227319.078377977</v>
      </c>
    </row>
    <row r="969" spans="1:19" ht="15.75" customHeight="1" x14ac:dyDescent="0.3">
      <c r="A969" s="37">
        <v>80446</v>
      </c>
      <c r="B969" s="398">
        <f t="shared" ref="B969:C969" si="980">($A969-B$9)/365.25</f>
        <v>138.37097878165639</v>
      </c>
      <c r="C969" s="398">
        <f t="shared" si="980"/>
        <v>133.76043805612593</v>
      </c>
      <c r="E969" s="25">
        <f>IF(C969&gt;$B$7,0,'Combined Retirement'!$D$13/12)</f>
        <v>0</v>
      </c>
      <c r="F969" s="25">
        <f>IF(H969=0,'Combined Retirement'!$D$32,0)+'Combined Retirement'!$B$24</f>
        <v>2870.372285649099</v>
      </c>
      <c r="G969" s="25">
        <f>'Combined Retirement'!$C$24</f>
        <v>3254.2644699519233</v>
      </c>
      <c r="H969" s="25">
        <f>IF(B969&lt;62,0,'Combined Retirement'!$I$14)</f>
        <v>2345</v>
      </c>
      <c r="I969" s="25">
        <f>IF(C969&lt;62,0,'Combined Retirement'!$I$13)</f>
        <v>2420</v>
      </c>
      <c r="J969" s="25">
        <f t="shared" si="783"/>
        <v>8395.6297298201844</v>
      </c>
      <c r="K969" s="25">
        <f t="shared" si="784"/>
        <v>21655.303514578787</v>
      </c>
      <c r="L969" s="25"/>
      <c r="N969" s="25">
        <f>'Combined Retirement'!$C$18/12</f>
        <v>40940.569999999992</v>
      </c>
      <c r="O969" s="25">
        <f t="shared" si="785"/>
        <v>10889.636755601023</v>
      </c>
      <c r="P969" s="25">
        <f t="shared" si="786"/>
        <v>30050.93324439897</v>
      </c>
      <c r="Q969" s="25">
        <f t="array" aca="1" ref="Q969" ca="1">INDEX('Isaac 401k'!L:L,MATCH('Retirement Calculator'!A969,'Isaac 401k'!N:N,0),0)</f>
        <v>-14309826.391798386</v>
      </c>
      <c r="R969" s="25">
        <f t="array" aca="1" ref="R969" ca="1">INDEX('Lorri 401b'!L:L,MATCH('Retirement Calculator'!A969,'Lorri 401b'!N:N,0),0)</f>
        <v>-27119449.328205746</v>
      </c>
      <c r="S969" s="25">
        <f t="shared" ca="1" si="787"/>
        <v>-41429275.720004134</v>
      </c>
    </row>
    <row r="970" spans="1:19" ht="15.75" customHeight="1" x14ac:dyDescent="0.3">
      <c r="A970" s="37">
        <v>80476</v>
      </c>
      <c r="B970" s="398">
        <f t="shared" ref="B970:C970" si="981">($A970-B$9)/365.25</f>
        <v>138.45311430527036</v>
      </c>
      <c r="C970" s="398">
        <f t="shared" si="981"/>
        <v>133.84257357973991</v>
      </c>
      <c r="E970" s="25">
        <f>IF(C970&gt;$B$7,0,'Combined Retirement'!$D$13/12)</f>
        <v>0</v>
      </c>
      <c r="F970" s="25">
        <f>IF(H970=0,'Combined Retirement'!$D$32,0)+'Combined Retirement'!$B$24</f>
        <v>2870.372285649099</v>
      </c>
      <c r="G970" s="25">
        <f>'Combined Retirement'!$C$24</f>
        <v>3254.2644699519233</v>
      </c>
      <c r="H970" s="25">
        <f>IF(B970&lt;62,0,'Combined Retirement'!$I$14)</f>
        <v>2345</v>
      </c>
      <c r="I970" s="25">
        <f>IF(C970&lt;62,0,'Combined Retirement'!$I$13)</f>
        <v>2420</v>
      </c>
      <c r="J970" s="25">
        <f t="shared" si="783"/>
        <v>8395.6297298201844</v>
      </c>
      <c r="K970" s="25">
        <f t="shared" si="784"/>
        <v>21655.303514578787</v>
      </c>
      <c r="L970" s="25"/>
      <c r="N970" s="25">
        <f>'Combined Retirement'!$C$18/12</f>
        <v>40940.569999999992</v>
      </c>
      <c r="O970" s="25">
        <f t="shared" si="785"/>
        <v>10889.636755601023</v>
      </c>
      <c r="P970" s="25">
        <f t="shared" si="786"/>
        <v>30050.93324439897</v>
      </c>
      <c r="Q970" s="25">
        <f t="array" aca="1" ref="Q970" ca="1">INDEX('Isaac 401k'!L:L,MATCH('Retirement Calculator'!A970,'Isaac 401k'!N:N,0),0)</f>
        <v>-14377881.279951241</v>
      </c>
      <c r="R970" s="25">
        <f t="array" aca="1" ref="R970" ca="1">INDEX('Lorri 401b'!L:L,MATCH('Retirement Calculator'!A970,'Lorri 401b'!N:N,0),0)</f>
        <v>-27254192.567685824</v>
      </c>
      <c r="S970" s="25">
        <f t="shared" ca="1" si="787"/>
        <v>-41632073.847637065</v>
      </c>
    </row>
    <row r="971" spans="1:19" ht="15.75" customHeight="1" x14ac:dyDescent="0.3">
      <c r="A971" s="37">
        <v>80507</v>
      </c>
      <c r="B971" s="398">
        <f t="shared" ref="B971:C971" si="982">($A971-B$9)/365.25</f>
        <v>138.53798767967146</v>
      </c>
      <c r="C971" s="398">
        <f t="shared" si="982"/>
        <v>133.927446954141</v>
      </c>
      <c r="E971" s="25">
        <f>IF(C971&gt;$B$7,0,'Combined Retirement'!$D$13/12)</f>
        <v>0</v>
      </c>
      <c r="F971" s="25">
        <f>IF(H971=0,'Combined Retirement'!$D$32,0)+'Combined Retirement'!$B$24</f>
        <v>2870.372285649099</v>
      </c>
      <c r="G971" s="25">
        <f>'Combined Retirement'!$C$24</f>
        <v>3254.2644699519233</v>
      </c>
      <c r="H971" s="25">
        <f>IF(B971&lt;62,0,'Combined Retirement'!$I$14)</f>
        <v>2345</v>
      </c>
      <c r="I971" s="25">
        <f>IF(C971&lt;62,0,'Combined Retirement'!$I$13)</f>
        <v>2420</v>
      </c>
      <c r="J971" s="25">
        <f t="shared" si="783"/>
        <v>8395.6297298201844</v>
      </c>
      <c r="K971" s="25">
        <f t="shared" si="784"/>
        <v>21655.303514578787</v>
      </c>
      <c r="L971" s="25"/>
      <c r="N971" s="25">
        <f>'Combined Retirement'!$C$18/12</f>
        <v>40940.569999999992</v>
      </c>
      <c r="O971" s="25">
        <f t="shared" si="785"/>
        <v>10889.636755601023</v>
      </c>
      <c r="P971" s="25">
        <f t="shared" si="786"/>
        <v>30050.93324439897</v>
      </c>
      <c r="Q971" s="25">
        <f t="array" aca="1" ref="Q971" ca="1">INDEX('Isaac 401k'!L:L,MATCH('Retirement Calculator'!A971,'Isaac 401k'!N:N,0),0)</f>
        <v>-14446219.730138065</v>
      </c>
      <c r="R971" s="25">
        <f t="array" aca="1" ref="R971" ca="1">INDEX('Lorri 401b'!L:L,MATCH('Retirement Calculator'!A971,'Lorri 401b'!N:N,0),0)</f>
        <v>-27389497.237330403</v>
      </c>
      <c r="S971" s="25">
        <f t="shared" ca="1" si="787"/>
        <v>-41835716.96746847</v>
      </c>
    </row>
    <row r="972" spans="1:19" ht="15.75" customHeight="1" x14ac:dyDescent="0.3">
      <c r="A972" s="37">
        <v>80537</v>
      </c>
      <c r="B972" s="398">
        <f t="shared" ref="B972:C972" si="983">($A972-B$9)/365.25</f>
        <v>138.62012320328543</v>
      </c>
      <c r="C972" s="398">
        <f t="shared" si="983"/>
        <v>134.00958247775498</v>
      </c>
      <c r="E972" s="25">
        <f>IF(C972&gt;$B$7,0,'Combined Retirement'!$D$13/12)</f>
        <v>0</v>
      </c>
      <c r="F972" s="25">
        <f>IF(H972=0,'Combined Retirement'!$D$32,0)+'Combined Retirement'!$B$24</f>
        <v>2870.372285649099</v>
      </c>
      <c r="G972" s="25">
        <f>'Combined Retirement'!$C$24</f>
        <v>3254.2644699519233</v>
      </c>
      <c r="H972" s="25">
        <f>IF(B972&lt;62,0,'Combined Retirement'!$I$14)</f>
        <v>2345</v>
      </c>
      <c r="I972" s="25">
        <f>IF(C972&lt;62,0,'Combined Retirement'!$I$13)</f>
        <v>2420</v>
      </c>
      <c r="J972" s="25">
        <f t="shared" si="783"/>
        <v>8395.6297298201844</v>
      </c>
      <c r="K972" s="25">
        <f t="shared" si="784"/>
        <v>21655.303514578787</v>
      </c>
      <c r="L972" s="25"/>
      <c r="N972" s="25">
        <f>'Combined Retirement'!$C$18/12</f>
        <v>40940.569999999992</v>
      </c>
      <c r="O972" s="25">
        <f t="shared" si="785"/>
        <v>10889.636755601023</v>
      </c>
      <c r="P972" s="25">
        <f t="shared" si="786"/>
        <v>30050.93324439897</v>
      </c>
      <c r="Q972" s="25">
        <f t="array" aca="1" ref="Q972" ca="1">INDEX('Isaac 401k'!L:L,MATCH('Retirement Calculator'!A972,'Isaac 401k'!N:N,0),0)</f>
        <v>-14514842.923867336</v>
      </c>
      <c r="R972" s="25">
        <f t="array" aca="1" ref="R972" ca="1">INDEX('Lorri 401b'!L:L,MATCH('Retirement Calculator'!A972,'Lorri 401b'!N:N,0),0)</f>
        <v>-27525365.676431835</v>
      </c>
      <c r="S972" s="25">
        <f t="shared" ca="1" si="787"/>
        <v>-42040208.600299172</v>
      </c>
    </row>
    <row r="973" spans="1:19" ht="15.75" customHeight="1" x14ac:dyDescent="0.3">
      <c r="A973" s="37">
        <v>80568</v>
      </c>
      <c r="B973" s="398">
        <f t="shared" ref="B973:C973" si="984">($A973-B$9)/365.25</f>
        <v>138.70499657768653</v>
      </c>
      <c r="C973" s="398">
        <f t="shared" si="984"/>
        <v>134.09445585215605</v>
      </c>
      <c r="E973" s="25">
        <f>IF(C973&gt;$B$7,0,'Combined Retirement'!$D$13/12)</f>
        <v>0</v>
      </c>
      <c r="F973" s="25">
        <f>IF(H973=0,'Combined Retirement'!$D$32,0)+'Combined Retirement'!$B$24</f>
        <v>2870.372285649099</v>
      </c>
      <c r="G973" s="25">
        <f>'Combined Retirement'!$C$24</f>
        <v>3254.2644699519233</v>
      </c>
      <c r="H973" s="25">
        <f>IF(B973&lt;62,0,'Combined Retirement'!$I$14)</f>
        <v>2345</v>
      </c>
      <c r="I973" s="25">
        <f>IF(C973&lt;62,0,'Combined Retirement'!$I$13)</f>
        <v>2420</v>
      </c>
      <c r="J973" s="25">
        <f t="shared" si="783"/>
        <v>8395.6297298201844</v>
      </c>
      <c r="K973" s="25">
        <f t="shared" si="784"/>
        <v>21655.303514578787</v>
      </c>
      <c r="L973" s="25"/>
      <c r="N973" s="25">
        <f>'Combined Retirement'!$C$18/12</f>
        <v>40940.569999999992</v>
      </c>
      <c r="O973" s="25">
        <f t="shared" si="785"/>
        <v>10889.636755601023</v>
      </c>
      <c r="P973" s="25">
        <f t="shared" si="786"/>
        <v>30050.93324439897</v>
      </c>
      <c r="Q973" s="25">
        <f t="array" aca="1" ref="Q973" ca="1">INDEX('Isaac 401k'!L:L,MATCH('Retirement Calculator'!A973,'Isaac 401k'!N:N,0),0)</f>
        <v>-14583752.047570478</v>
      </c>
      <c r="R973" s="25">
        <f t="array" aca="1" ref="R973" ca="1">INDEX('Lorri 401b'!L:L,MATCH('Retirement Calculator'!A973,'Lorri 401b'!N:N,0),0)</f>
        <v>-27661800.234029524</v>
      </c>
      <c r="S973" s="25">
        <f t="shared" ca="1" si="787"/>
        <v>-42245552.281599998</v>
      </c>
    </row>
    <row r="974" spans="1:19" ht="15.75" customHeight="1" x14ac:dyDescent="0.3">
      <c r="A974" s="37">
        <v>80599</v>
      </c>
      <c r="B974" s="398">
        <f t="shared" ref="B974:C974" si="985">($A974-B$9)/365.25</f>
        <v>138.7898699520876</v>
      </c>
      <c r="C974" s="398">
        <f t="shared" si="985"/>
        <v>134.17932922655714</v>
      </c>
      <c r="E974" s="25">
        <f>IF(C974&gt;$B$7,0,'Combined Retirement'!$D$13/12)</f>
        <v>0</v>
      </c>
      <c r="F974" s="25">
        <f>IF(H974=0,'Combined Retirement'!$D$32,0)+'Combined Retirement'!$B$24</f>
        <v>2870.372285649099</v>
      </c>
      <c r="G974" s="25">
        <f>'Combined Retirement'!$C$24</f>
        <v>3254.2644699519233</v>
      </c>
      <c r="H974" s="25">
        <f>IF(B974&lt;62,0,'Combined Retirement'!$I$14)</f>
        <v>2345</v>
      </c>
      <c r="I974" s="25">
        <f>IF(C974&lt;62,0,'Combined Retirement'!$I$13)</f>
        <v>2420</v>
      </c>
      <c r="J974" s="25">
        <f t="shared" si="783"/>
        <v>8395.6297298201844</v>
      </c>
      <c r="K974" s="25">
        <f t="shared" si="784"/>
        <v>21655.303514578787</v>
      </c>
      <c r="L974" s="25"/>
      <c r="N974" s="25">
        <f>'Combined Retirement'!$C$18/12</f>
        <v>40940.569999999992</v>
      </c>
      <c r="O974" s="25">
        <f t="shared" si="785"/>
        <v>10889.636755601023</v>
      </c>
      <c r="P974" s="25">
        <f t="shared" si="786"/>
        <v>30050.93324439897</v>
      </c>
      <c r="Q974" s="25">
        <f t="array" aca="1" ref="Q974" ca="1">INDEX('Isaac 401k'!L:L,MATCH('Retirement Calculator'!A974,'Isaac 401k'!N:N,0),0)</f>
        <v>-14652948.292622384</v>
      </c>
      <c r="R974" s="25">
        <f t="array" aca="1" ref="R974" ca="1">INDEX('Lorri 401b'!L:L,MATCH('Retirement Calculator'!A974,'Lorri 401b'!N:N,0),0)</f>
        <v>-27798803.268950537</v>
      </c>
      <c r="S974" s="25">
        <f t="shared" ca="1" si="787"/>
        <v>-42451751.561572924</v>
      </c>
    </row>
    <row r="975" spans="1:19" ht="15.75" customHeight="1" x14ac:dyDescent="0.3">
      <c r="A975" s="37">
        <v>80629</v>
      </c>
      <c r="B975" s="398">
        <f t="shared" ref="B975:C975" si="986">($A975-B$9)/365.25</f>
        <v>138.87200547570157</v>
      </c>
      <c r="C975" s="398">
        <f t="shared" si="986"/>
        <v>134.26146475017111</v>
      </c>
      <c r="E975" s="25">
        <f>IF(C975&gt;$B$7,0,'Combined Retirement'!$D$13/12)</f>
        <v>0</v>
      </c>
      <c r="F975" s="25">
        <f>IF(H975=0,'Combined Retirement'!$D$32,0)+'Combined Retirement'!$B$24</f>
        <v>2870.372285649099</v>
      </c>
      <c r="G975" s="25">
        <f>'Combined Retirement'!$C$24</f>
        <v>3254.2644699519233</v>
      </c>
      <c r="H975" s="25">
        <f>IF(B975&lt;62,0,'Combined Retirement'!$I$14)</f>
        <v>2345</v>
      </c>
      <c r="I975" s="25">
        <f>IF(C975&lt;62,0,'Combined Retirement'!$I$13)</f>
        <v>2420</v>
      </c>
      <c r="J975" s="25">
        <f t="shared" si="783"/>
        <v>8395.6297298201844</v>
      </c>
      <c r="K975" s="25">
        <f t="shared" si="784"/>
        <v>21655.303514578787</v>
      </c>
      <c r="L975" s="25"/>
      <c r="N975" s="25">
        <f>'Combined Retirement'!$C$18/12</f>
        <v>40940.569999999992</v>
      </c>
      <c r="O975" s="25">
        <f t="shared" si="785"/>
        <v>10889.636755601023</v>
      </c>
      <c r="P975" s="25">
        <f t="shared" si="786"/>
        <v>30050.93324439897</v>
      </c>
      <c r="Q975" s="25">
        <f t="array" aca="1" ref="Q975" ca="1">INDEX('Isaac 401k'!L:L,MATCH('Retirement Calculator'!A975,'Isaac 401k'!N:N,0),0)</f>
        <v>-14722432.855362006</v>
      </c>
      <c r="R975" s="25">
        <f t="array" aca="1" ref="R975" ca="1">INDEX('Lorri 401b'!L:L,MATCH('Retirement Calculator'!A975,'Lorri 401b'!N:N,0),0)</f>
        <v>-27936377.149850387</v>
      </c>
      <c r="S975" s="25">
        <f t="shared" ca="1" si="787"/>
        <v>-42658810.005212396</v>
      </c>
    </row>
    <row r="976" spans="1:19" ht="15.75" customHeight="1" x14ac:dyDescent="0.3">
      <c r="A976" s="37">
        <v>80660</v>
      </c>
      <c r="B976" s="398">
        <f t="shared" ref="B976:C976" si="987">($A976-B$9)/365.25</f>
        <v>138.95687885010267</v>
      </c>
      <c r="C976" s="398">
        <f t="shared" si="987"/>
        <v>134.34633812457221</v>
      </c>
      <c r="E976" s="25">
        <f>IF(C976&gt;$B$7,0,'Combined Retirement'!$D$13/12)</f>
        <v>0</v>
      </c>
      <c r="F976" s="25">
        <f>IF(H976=0,'Combined Retirement'!$D$32,0)+'Combined Retirement'!$B$24</f>
        <v>2870.372285649099</v>
      </c>
      <c r="G976" s="25">
        <f>'Combined Retirement'!$C$24</f>
        <v>3254.2644699519233</v>
      </c>
      <c r="H976" s="25">
        <f>IF(B976&lt;62,0,'Combined Retirement'!$I$14)</f>
        <v>2345</v>
      </c>
      <c r="I976" s="25">
        <f>IF(C976&lt;62,0,'Combined Retirement'!$I$13)</f>
        <v>2420</v>
      </c>
      <c r="J976" s="25">
        <f t="shared" si="783"/>
        <v>8395.6297298201844</v>
      </c>
      <c r="K976" s="25">
        <f t="shared" si="784"/>
        <v>21655.303514578787</v>
      </c>
      <c r="L976" s="25"/>
      <c r="N976" s="25">
        <f>'Combined Retirement'!$C$18/12</f>
        <v>40940.569999999992</v>
      </c>
      <c r="O976" s="25">
        <f t="shared" si="785"/>
        <v>10889.636755601023</v>
      </c>
      <c r="P976" s="25">
        <f t="shared" si="786"/>
        <v>30050.93324439897</v>
      </c>
      <c r="Q976" s="25">
        <f t="array" aca="1" ref="Q976" ca="1">INDEX('Isaac 401k'!L:L,MATCH('Retirement Calculator'!A976,'Isaac 401k'!N:N,0),0)</f>
        <v>-14792206.937113041</v>
      </c>
      <c r="R976" s="25">
        <f t="array" aca="1" ref="R976" ca="1">INDEX('Lorri 401b'!L:L,MATCH('Retirement Calculator'!A976,'Lorri 401b'!N:N,0),0)</f>
        <v>-28074524.255253986</v>
      </c>
      <c r="S976" s="25">
        <f t="shared" ca="1" si="787"/>
        <v>-42866731.192367025</v>
      </c>
    </row>
    <row r="977" spans="1:19" ht="15.75" customHeight="1" x14ac:dyDescent="0.3">
      <c r="A977" s="37">
        <v>80690</v>
      </c>
      <c r="B977" s="398">
        <f t="shared" ref="B977:C977" si="988">($A977-B$9)/365.25</f>
        <v>139.03901437371664</v>
      </c>
      <c r="C977" s="398">
        <f t="shared" si="988"/>
        <v>134.42847364818618</v>
      </c>
      <c r="E977" s="25">
        <f>IF(C977&gt;$B$7,0,'Combined Retirement'!$D$13/12)</f>
        <v>0</v>
      </c>
      <c r="F977" s="25">
        <f>IF(H977=0,'Combined Retirement'!$D$32,0)+'Combined Retirement'!$B$24</f>
        <v>2870.372285649099</v>
      </c>
      <c r="G977" s="25">
        <f>'Combined Retirement'!$C$24</f>
        <v>3254.2644699519233</v>
      </c>
      <c r="H977" s="25">
        <f>IF(B977&lt;62,0,'Combined Retirement'!$I$14)</f>
        <v>2345</v>
      </c>
      <c r="I977" s="25">
        <f>IF(C977&lt;62,0,'Combined Retirement'!$I$13)</f>
        <v>2420</v>
      </c>
      <c r="J977" s="25">
        <f t="shared" si="783"/>
        <v>8395.6297298201844</v>
      </c>
      <c r="K977" s="25">
        <f t="shared" si="784"/>
        <v>21655.303514578787</v>
      </c>
      <c r="L977" s="25"/>
      <c r="N977" s="25">
        <f>'Combined Retirement'!$C$18/12</f>
        <v>40940.569999999992</v>
      </c>
      <c r="O977" s="25">
        <f t="shared" si="785"/>
        <v>10889.636755601023</v>
      </c>
      <c r="P977" s="25">
        <f t="shared" si="786"/>
        <v>30050.93324439897</v>
      </c>
      <c r="Q977" s="25">
        <f t="array" aca="1" ref="Q977" ca="1">INDEX('Isaac 401k'!L:L,MATCH('Retirement Calculator'!A977,'Isaac 401k'!N:N,0),0)</f>
        <v>-14862271.744204707</v>
      </c>
      <c r="R977" s="25">
        <f t="array" aca="1" ref="R977" ca="1">INDEX('Lorri 401b'!L:L,MATCH('Retirement Calculator'!A977,'Lorri 401b'!N:N,0),0)</f>
        <v>-28213246.973596767</v>
      </c>
      <c r="S977" s="25">
        <f t="shared" ca="1" si="787"/>
        <v>-43075518.717801474</v>
      </c>
    </row>
    <row r="978" spans="1:19" ht="15.75" customHeight="1" x14ac:dyDescent="0.3">
      <c r="A978" s="37">
        <v>80721</v>
      </c>
      <c r="B978" s="398">
        <f t="shared" ref="B978:C978" si="989">($A978-B$9)/365.25</f>
        <v>139.12388774811774</v>
      </c>
      <c r="C978" s="398">
        <f t="shared" si="989"/>
        <v>134.51334702258728</v>
      </c>
      <c r="E978" s="25">
        <f>IF(C978&gt;$B$7,0,'Combined Retirement'!$D$13/12)</f>
        <v>0</v>
      </c>
      <c r="F978" s="25">
        <f>IF(H978=0,'Combined Retirement'!$D$32,0)+'Combined Retirement'!$B$24</f>
        <v>2870.372285649099</v>
      </c>
      <c r="G978" s="25">
        <f>'Combined Retirement'!$C$24</f>
        <v>3254.2644699519233</v>
      </c>
      <c r="H978" s="25">
        <f>IF(B978&lt;62,0,'Combined Retirement'!$I$14)</f>
        <v>2345</v>
      </c>
      <c r="I978" s="25">
        <f>IF(C978&lt;62,0,'Combined Retirement'!$I$13)</f>
        <v>2420</v>
      </c>
      <c r="J978" s="25">
        <f t="shared" si="783"/>
        <v>8395.6297298201844</v>
      </c>
      <c r="K978" s="25">
        <f t="shared" si="784"/>
        <v>21655.303514578787</v>
      </c>
      <c r="L978" s="25"/>
      <c r="N978" s="25">
        <f>'Combined Retirement'!$C$18/12</f>
        <v>40940.569999999992</v>
      </c>
      <c r="O978" s="25">
        <f t="shared" si="785"/>
        <v>10889.636755601023</v>
      </c>
      <c r="P978" s="25">
        <f t="shared" si="786"/>
        <v>30050.93324439897</v>
      </c>
      <c r="Q978" s="25">
        <f t="array" aca="1" ref="Q978" ca="1">INDEX('Isaac 401k'!L:L,MATCH('Retirement Calculator'!A978,'Isaac 401k'!N:N,0),0)</f>
        <v>-14932628.487992588</v>
      </c>
      <c r="R978" s="25">
        <f t="array" aca="1" ref="R978" ca="1">INDEX('Lorri 401b'!L:L,MATCH('Retirement Calculator'!A978,'Lorri 401b'!N:N,0),0)</f>
        <v>-28352547.703265976</v>
      </c>
      <c r="S978" s="25">
        <f t="shared" ca="1" si="787"/>
        <v>-43285176.191258565</v>
      </c>
    </row>
    <row r="979" spans="1:19" ht="15.75" customHeight="1" x14ac:dyDescent="0.3">
      <c r="A979" s="37">
        <v>80752</v>
      </c>
      <c r="B979" s="398">
        <f t="shared" ref="B979:C979" si="990">($A979-B$9)/365.25</f>
        <v>139.20876112251884</v>
      </c>
      <c r="C979" s="398">
        <f t="shared" si="990"/>
        <v>134.59822039698835</v>
      </c>
      <c r="E979" s="25">
        <f>IF(C979&gt;$B$7,0,'Combined Retirement'!$D$13/12)</f>
        <v>0</v>
      </c>
      <c r="F979" s="25">
        <f>IF(H979=0,'Combined Retirement'!$D$32,0)+'Combined Retirement'!$B$24</f>
        <v>2870.372285649099</v>
      </c>
      <c r="G979" s="25">
        <f>'Combined Retirement'!$C$24</f>
        <v>3254.2644699519233</v>
      </c>
      <c r="H979" s="25">
        <f>IF(B979&lt;62,0,'Combined Retirement'!$I$14)</f>
        <v>2345</v>
      </c>
      <c r="I979" s="25">
        <f>IF(C979&lt;62,0,'Combined Retirement'!$I$13)</f>
        <v>2420</v>
      </c>
      <c r="J979" s="25">
        <f t="shared" si="783"/>
        <v>8395.6297298201844</v>
      </c>
      <c r="K979" s="25">
        <f t="shared" si="784"/>
        <v>21655.303514578787</v>
      </c>
      <c r="L979" s="25"/>
      <c r="N979" s="25">
        <f>'Combined Retirement'!$C$18/12</f>
        <v>40940.569999999992</v>
      </c>
      <c r="O979" s="25">
        <f t="shared" si="785"/>
        <v>10889.636755601023</v>
      </c>
      <c r="P979" s="25">
        <f t="shared" si="786"/>
        <v>30050.93324439897</v>
      </c>
      <c r="Q979" s="25">
        <f t="array" aca="1" ref="Q979" ca="1">INDEX('Isaac 401k'!L:L,MATCH('Retirement Calculator'!A979,'Isaac 401k'!N:N,0),0)</f>
        <v>-15003278.384879585</v>
      </c>
      <c r="R979" s="25">
        <f t="array" aca="1" ref="R979" ca="1">INDEX('Lorri 401b'!L:L,MATCH('Retirement Calculator'!A979,'Lorri 401b'!N:N,0),0)</f>
        <v>-28492428.852642138</v>
      </c>
      <c r="S979" s="25">
        <f t="shared" ca="1" si="787"/>
        <v>-43495707.237521723</v>
      </c>
    </row>
    <row r="980" spans="1:19" ht="15.75" customHeight="1" x14ac:dyDescent="0.3">
      <c r="A980" s="37">
        <v>80780</v>
      </c>
      <c r="B980" s="398">
        <f t="shared" ref="B980:C980" si="991">($A980-B$9)/365.25</f>
        <v>139.28542094455852</v>
      </c>
      <c r="C980" s="398">
        <f t="shared" si="991"/>
        <v>134.67488021902807</v>
      </c>
      <c r="E980" s="25">
        <f>IF(C980&gt;$B$7,0,'Combined Retirement'!$D$13/12)</f>
        <v>0</v>
      </c>
      <c r="F980" s="25">
        <f>IF(H980=0,'Combined Retirement'!$D$32,0)+'Combined Retirement'!$B$24</f>
        <v>2870.372285649099</v>
      </c>
      <c r="G980" s="25">
        <f>'Combined Retirement'!$C$24</f>
        <v>3254.2644699519233</v>
      </c>
      <c r="H980" s="25">
        <f>IF(B980&lt;62,0,'Combined Retirement'!$I$14)</f>
        <v>2345</v>
      </c>
      <c r="I980" s="25">
        <f>IF(C980&lt;62,0,'Combined Retirement'!$I$13)</f>
        <v>2420</v>
      </c>
      <c r="J980" s="25">
        <f t="shared" si="783"/>
        <v>8395.6297298201844</v>
      </c>
      <c r="K980" s="25">
        <f t="shared" si="784"/>
        <v>21655.303514578787</v>
      </c>
      <c r="L980" s="25"/>
      <c r="N980" s="25">
        <f>'Combined Retirement'!$C$18/12</f>
        <v>40940.569999999992</v>
      </c>
      <c r="O980" s="25">
        <f t="shared" si="785"/>
        <v>10889.636755601023</v>
      </c>
      <c r="P980" s="25">
        <f t="shared" si="786"/>
        <v>30050.93324439897</v>
      </c>
      <c r="Q980" s="25">
        <f t="array" aca="1" ref="Q980" ca="1">INDEX('Isaac 401k'!L:L,MATCH('Retirement Calculator'!A980,'Isaac 401k'!N:N,0),0)</f>
        <v>-15074222.656336945</v>
      </c>
      <c r="R980" s="25">
        <f t="array" aca="1" ref="R980" ca="1">INDEX('Lorri 401b'!L:L,MATCH('Retirement Calculator'!A980,'Lorri 401b'!N:N,0),0)</f>
        <v>-28632892.8401407</v>
      </c>
      <c r="S980" s="25">
        <f t="shared" ca="1" si="787"/>
        <v>-43707115.496477649</v>
      </c>
    </row>
    <row r="981" spans="1:19" ht="15.75" customHeight="1" x14ac:dyDescent="0.3">
      <c r="A981" s="37">
        <v>80811</v>
      </c>
      <c r="B981" s="398">
        <f t="shared" ref="B981:C981" si="992">($A981-B$9)/365.25</f>
        <v>139.37029431895962</v>
      </c>
      <c r="C981" s="398">
        <f t="shared" si="992"/>
        <v>134.75975359342917</v>
      </c>
      <c r="E981" s="25">
        <f>IF(C981&gt;$B$7,0,'Combined Retirement'!$D$13/12)</f>
        <v>0</v>
      </c>
      <c r="F981" s="25">
        <f>IF(H981=0,'Combined Retirement'!$D$32,0)+'Combined Retirement'!$B$24</f>
        <v>2870.372285649099</v>
      </c>
      <c r="G981" s="25">
        <f>'Combined Retirement'!$C$24</f>
        <v>3254.2644699519233</v>
      </c>
      <c r="H981" s="25">
        <f>IF(B981&lt;62,0,'Combined Retirement'!$I$14)</f>
        <v>2345</v>
      </c>
      <c r="I981" s="25">
        <f>IF(C981&lt;62,0,'Combined Retirement'!$I$13)</f>
        <v>2420</v>
      </c>
      <c r="J981" s="25">
        <f t="shared" si="783"/>
        <v>8395.6297298201844</v>
      </c>
      <c r="K981" s="25">
        <f t="shared" si="784"/>
        <v>21655.303514578787</v>
      </c>
      <c r="L981" s="25"/>
      <c r="N981" s="25">
        <f>'Combined Retirement'!$C$18/12</f>
        <v>40940.569999999992</v>
      </c>
      <c r="O981" s="25">
        <f t="shared" si="785"/>
        <v>10889.636755601023</v>
      </c>
      <c r="P981" s="25">
        <f t="shared" si="786"/>
        <v>30050.93324439897</v>
      </c>
      <c r="Q981" s="25">
        <f t="array" aca="1" ref="Q981" ca="1">INDEX('Isaac 401k'!L:L,MATCH('Retirement Calculator'!A981,'Isaac 401k'!N:N,0),0)</f>
        <v>-15145462.528925376</v>
      </c>
      <c r="R981" s="25">
        <f t="array" aca="1" ref="R981" ca="1">INDEX('Lorri 401b'!L:L,MATCH('Retirement Calculator'!A981,'Lorri 401b'!N:N,0),0)</f>
        <v>-28773942.094253842</v>
      </c>
      <c r="S981" s="25">
        <f t="shared" ca="1" si="787"/>
        <v>-43919404.62317922</v>
      </c>
    </row>
    <row r="982" spans="1:19" ht="15.75" customHeight="1" x14ac:dyDescent="0.3">
      <c r="A982" s="37">
        <v>80841</v>
      </c>
      <c r="B982" s="398">
        <f t="shared" ref="B982:C982" si="993">($A982-B$9)/365.25</f>
        <v>139.45242984257359</v>
      </c>
      <c r="C982" s="398">
        <f t="shared" si="993"/>
        <v>134.84188911704311</v>
      </c>
      <c r="E982" s="25">
        <f>IF(C982&gt;$B$7,0,'Combined Retirement'!$D$13/12)</f>
        <v>0</v>
      </c>
      <c r="F982" s="25">
        <f>IF(H982=0,'Combined Retirement'!$D$32,0)+'Combined Retirement'!$B$24</f>
        <v>2870.372285649099</v>
      </c>
      <c r="G982" s="25">
        <f>'Combined Retirement'!$C$24</f>
        <v>3254.2644699519233</v>
      </c>
      <c r="H982" s="25">
        <f>IF(B982&lt;62,0,'Combined Retirement'!$I$14)</f>
        <v>2345</v>
      </c>
      <c r="I982" s="25">
        <f>IF(C982&lt;62,0,'Combined Retirement'!$I$13)</f>
        <v>2420</v>
      </c>
      <c r="J982" s="25">
        <f t="shared" si="783"/>
        <v>8395.6297298201844</v>
      </c>
      <c r="K982" s="25">
        <f t="shared" si="784"/>
        <v>21655.303514578787</v>
      </c>
      <c r="L982" s="25"/>
      <c r="N982" s="25">
        <f>'Combined Retirement'!$C$18/12</f>
        <v>40940.569999999992</v>
      </c>
      <c r="O982" s="25">
        <f t="shared" si="785"/>
        <v>10889.636755601023</v>
      </c>
      <c r="P982" s="25">
        <f t="shared" si="786"/>
        <v>30050.93324439897</v>
      </c>
      <c r="Q982" s="25">
        <f t="array" aca="1" ref="Q982" ca="1">INDEX('Isaac 401k'!L:L,MATCH('Retirement Calculator'!A982,'Isaac 401k'!N:N,0),0)</f>
        <v>-15216999.23431626</v>
      </c>
      <c r="R982" s="25">
        <f t="array" aca="1" ref="R982" ca="1">INDEX('Lorri 401b'!L:L,MATCH('Retirement Calculator'!A982,'Lorri 401b'!N:N,0),0)</f>
        <v>-28915579.053592455</v>
      </c>
      <c r="S982" s="25">
        <f t="shared" ca="1" si="787"/>
        <v>-44132578.287908718</v>
      </c>
    </row>
    <row r="983" spans="1:19" ht="15.75" customHeight="1" x14ac:dyDescent="0.3">
      <c r="A983" s="37">
        <v>80872</v>
      </c>
      <c r="B983" s="398">
        <f t="shared" ref="B983:C983" si="994">($A983-B$9)/365.25</f>
        <v>139.53730321697466</v>
      </c>
      <c r="C983" s="398">
        <f t="shared" si="994"/>
        <v>134.92676249144421</v>
      </c>
      <c r="E983" s="25">
        <f>IF(C983&gt;$B$7,0,'Combined Retirement'!$D$13/12)</f>
        <v>0</v>
      </c>
      <c r="F983" s="25">
        <f>IF(H983=0,'Combined Retirement'!$D$32,0)+'Combined Retirement'!$B$24</f>
        <v>2870.372285649099</v>
      </c>
      <c r="G983" s="25">
        <f>'Combined Retirement'!$C$24</f>
        <v>3254.2644699519233</v>
      </c>
      <c r="H983" s="25">
        <f>IF(B983&lt;62,0,'Combined Retirement'!$I$14)</f>
        <v>2345</v>
      </c>
      <c r="I983" s="25">
        <f>IF(C983&lt;62,0,'Combined Retirement'!$I$13)</f>
        <v>2420</v>
      </c>
      <c r="J983" s="25">
        <f t="shared" si="783"/>
        <v>8395.6297298201844</v>
      </c>
      <c r="K983" s="25">
        <f t="shared" si="784"/>
        <v>21655.303514578787</v>
      </c>
      <c r="L983" s="25"/>
      <c r="N983" s="25">
        <f>'Combined Retirement'!$C$18/12</f>
        <v>40940.569999999992</v>
      </c>
      <c r="O983" s="25">
        <f t="shared" si="785"/>
        <v>10889.636755601023</v>
      </c>
      <c r="P983" s="25">
        <f t="shared" si="786"/>
        <v>30050.93324439897</v>
      </c>
      <c r="Q983" s="25">
        <f t="array" aca="1" ref="Q983" ca="1">INDEX('Isaac 401k'!L:L,MATCH('Retirement Calculator'!A983,'Isaac 401k'!N:N,0),0)</f>
        <v>-15288834.009312939</v>
      </c>
      <c r="R983" s="25">
        <f t="array" aca="1" ref="R983" ca="1">INDEX('Lorri 401b'!L:L,MATCH('Retirement Calculator'!A983,'Lorri 401b'!N:N,0),0)</f>
        <v>-29057806.16692831</v>
      </c>
      <c r="S983" s="25">
        <f t="shared" ca="1" si="787"/>
        <v>-44346640.176241249</v>
      </c>
    </row>
    <row r="984" spans="1:19" ht="15.75" customHeight="1" x14ac:dyDescent="0.3">
      <c r="A984" s="37">
        <v>80902</v>
      </c>
      <c r="B984" s="398">
        <f t="shared" ref="B984:C984" si="995">($A984-B$9)/365.25</f>
        <v>139.61943874058863</v>
      </c>
      <c r="C984" s="398">
        <f t="shared" si="995"/>
        <v>135.00889801505818</v>
      </c>
      <c r="E984" s="25">
        <f>IF(C984&gt;$B$7,0,'Combined Retirement'!$D$13/12)</f>
        <v>0</v>
      </c>
      <c r="F984" s="25">
        <f>IF(H984=0,'Combined Retirement'!$D$32,0)+'Combined Retirement'!$B$24</f>
        <v>2870.372285649099</v>
      </c>
      <c r="G984" s="25">
        <f>'Combined Retirement'!$C$24</f>
        <v>3254.2644699519233</v>
      </c>
      <c r="H984" s="25">
        <f>IF(B984&lt;62,0,'Combined Retirement'!$I$14)</f>
        <v>2345</v>
      </c>
      <c r="I984" s="25">
        <f>IF(C984&lt;62,0,'Combined Retirement'!$I$13)</f>
        <v>2420</v>
      </c>
      <c r="J984" s="25">
        <f t="shared" si="783"/>
        <v>8395.6297298201844</v>
      </c>
      <c r="K984" s="25">
        <f t="shared" si="784"/>
        <v>21655.303514578787</v>
      </c>
      <c r="L984" s="25"/>
      <c r="N984" s="25">
        <f>'Combined Retirement'!$C$18/12</f>
        <v>40940.569999999992</v>
      </c>
      <c r="O984" s="25">
        <f t="shared" si="785"/>
        <v>10889.636755601023</v>
      </c>
      <c r="P984" s="25">
        <f t="shared" si="786"/>
        <v>30050.93324439897</v>
      </c>
      <c r="Q984" s="25">
        <f t="array" aca="1" ref="Q984" ca="1">INDEX('Isaac 401k'!L:L,MATCH('Retirement Calculator'!A984,'Isaac 401k'!N:N,0),0)</f>
        <v>-15360968.095872104</v>
      </c>
      <c r="R984" s="25">
        <f t="array" aca="1" ref="R984" ca="1">INDEX('Lorri 401b'!L:L,MATCH('Retirement Calculator'!A984,'Lorri 401b'!N:N,0),0)</f>
        <v>-29200625.893236399</v>
      </c>
      <c r="S984" s="25">
        <f t="shared" ca="1" si="787"/>
        <v>-44561593.989108503</v>
      </c>
    </row>
    <row r="985" spans="1:19" ht="15.75" customHeight="1" x14ac:dyDescent="0.3">
      <c r="A985" s="37">
        <v>80933</v>
      </c>
      <c r="B985" s="398">
        <f t="shared" ref="B985:C985" si="996">($A985-B$9)/365.25</f>
        <v>139.70431211498973</v>
      </c>
      <c r="C985" s="398">
        <f t="shared" si="996"/>
        <v>135.09377138945928</v>
      </c>
      <c r="E985" s="25">
        <f>IF(C985&gt;$B$7,0,'Combined Retirement'!$D$13/12)</f>
        <v>0</v>
      </c>
      <c r="F985" s="25">
        <f>IF(H985=0,'Combined Retirement'!$D$32,0)+'Combined Retirement'!$B$24</f>
        <v>2870.372285649099</v>
      </c>
      <c r="G985" s="25">
        <f>'Combined Retirement'!$C$24</f>
        <v>3254.2644699519233</v>
      </c>
      <c r="H985" s="25">
        <f>IF(B985&lt;62,0,'Combined Retirement'!$I$14)</f>
        <v>2345</v>
      </c>
      <c r="I985" s="25">
        <f>IF(C985&lt;62,0,'Combined Retirement'!$I$13)</f>
        <v>2420</v>
      </c>
      <c r="J985" s="25">
        <f t="shared" si="783"/>
        <v>8395.6297298201844</v>
      </c>
      <c r="K985" s="25">
        <f t="shared" si="784"/>
        <v>21655.303514578787</v>
      </c>
      <c r="L985" s="25"/>
      <c r="N985" s="25">
        <f>'Combined Retirement'!$C$18/12</f>
        <v>40940.569999999992</v>
      </c>
      <c r="O985" s="25">
        <f t="shared" si="785"/>
        <v>10889.636755601023</v>
      </c>
      <c r="P985" s="25">
        <f t="shared" si="786"/>
        <v>30050.93324439897</v>
      </c>
      <c r="Q985" s="25">
        <f t="array" aca="1" ref="Q985" ca="1">INDEX('Isaac 401k'!L:L,MATCH('Retirement Calculator'!A985,'Isaac 401k'!N:N,0),0)</f>
        <v>-15433402.741125265</v>
      </c>
      <c r="R985" s="25">
        <f t="array" aca="1" ref="R985" ca="1">INDEX('Lorri 401b'!L:L,MATCH('Retirement Calculator'!A985,'Lorri 401b'!N:N,0),0)</f>
        <v>-29344040.701737437</v>
      </c>
      <c r="S985" s="25">
        <f t="shared" ca="1" si="787"/>
        <v>-44777443.442862704</v>
      </c>
    </row>
    <row r="986" spans="1:19" ht="15.75" customHeight="1" x14ac:dyDescent="0.3">
      <c r="A986" s="37">
        <v>80964</v>
      </c>
      <c r="B986" s="398">
        <f t="shared" ref="B986:C986" si="997">($A986-B$9)/365.25</f>
        <v>139.78918548939083</v>
      </c>
      <c r="C986" s="398">
        <f t="shared" si="997"/>
        <v>135.17864476386038</v>
      </c>
      <c r="E986" s="25">
        <f>IF(C986&gt;$B$7,0,'Combined Retirement'!$D$13/12)</f>
        <v>0</v>
      </c>
      <c r="F986" s="25">
        <f>IF(H986=0,'Combined Retirement'!$D$32,0)+'Combined Retirement'!$B$24</f>
        <v>2870.372285649099</v>
      </c>
      <c r="G986" s="25">
        <f>'Combined Retirement'!$C$24</f>
        <v>3254.2644699519233</v>
      </c>
      <c r="H986" s="25">
        <f>IF(B986&lt;62,0,'Combined Retirement'!$I$14)</f>
        <v>2345</v>
      </c>
      <c r="I986" s="25">
        <f>IF(C986&lt;62,0,'Combined Retirement'!$I$13)</f>
        <v>2420</v>
      </c>
      <c r="J986" s="25">
        <f t="shared" si="783"/>
        <v>8395.6297298201844</v>
      </c>
      <c r="K986" s="25">
        <f t="shared" si="784"/>
        <v>21655.303514578787</v>
      </c>
      <c r="L986" s="25"/>
      <c r="N986" s="25">
        <f>'Combined Retirement'!$C$18/12</f>
        <v>40940.569999999992</v>
      </c>
      <c r="O986" s="25">
        <f t="shared" si="785"/>
        <v>10889.636755601023</v>
      </c>
      <c r="P986" s="25">
        <f t="shared" si="786"/>
        <v>30050.93324439897</v>
      </c>
      <c r="Q986" s="25">
        <f t="array" aca="1" ref="Q986" ca="1">INDEX('Isaac 401k'!L:L,MATCH('Retirement Calculator'!A986,'Isaac 401k'!N:N,0),0)</f>
        <v>-15506139.197400315</v>
      </c>
      <c r="R986" s="25">
        <f t="array" aca="1" ref="R986" ca="1">INDEX('Lorri 401b'!L:L,MATCH('Retirement Calculator'!A986,'Lorri 401b'!N:N,0),0)</f>
        <v>-29488053.071940564</v>
      </c>
      <c r="S986" s="25">
        <f t="shared" ca="1" si="787"/>
        <v>-44994192.26934088</v>
      </c>
    </row>
    <row r="987" spans="1:19" ht="15.75" customHeight="1" x14ac:dyDescent="0.3">
      <c r="A987" s="37">
        <v>80994</v>
      </c>
      <c r="B987" s="398">
        <f t="shared" ref="B987:C987" si="998">($A987-B$9)/365.25</f>
        <v>139.8713210130048</v>
      </c>
      <c r="C987" s="398">
        <f t="shared" si="998"/>
        <v>135.26078028747432</v>
      </c>
      <c r="E987" s="25">
        <f>IF(C987&gt;$B$7,0,'Combined Retirement'!$D$13/12)</f>
        <v>0</v>
      </c>
      <c r="F987" s="25">
        <f>IF(H987=0,'Combined Retirement'!$D$32,0)+'Combined Retirement'!$B$24</f>
        <v>2870.372285649099</v>
      </c>
      <c r="G987" s="25">
        <f>'Combined Retirement'!$C$24</f>
        <v>3254.2644699519233</v>
      </c>
      <c r="H987" s="25">
        <f>IF(B987&lt;62,0,'Combined Retirement'!$I$14)</f>
        <v>2345</v>
      </c>
      <c r="I987" s="25">
        <f>IF(C987&lt;62,0,'Combined Retirement'!$I$13)</f>
        <v>2420</v>
      </c>
      <c r="J987" s="25">
        <f t="shared" si="783"/>
        <v>8395.6297298201844</v>
      </c>
      <c r="K987" s="25">
        <f t="shared" si="784"/>
        <v>21655.303514578787</v>
      </c>
      <c r="L987" s="25"/>
      <c r="N987" s="25">
        <f>'Combined Retirement'!$C$18/12</f>
        <v>40940.569999999992</v>
      </c>
      <c r="O987" s="25">
        <f t="shared" si="785"/>
        <v>10889.636755601023</v>
      </c>
      <c r="P987" s="25">
        <f t="shared" si="786"/>
        <v>30050.93324439897</v>
      </c>
      <c r="Q987" s="25">
        <f t="array" aca="1" ref="Q987" ca="1">INDEX('Isaac 401k'!L:L,MATCH('Retirement Calculator'!A987,'Isaac 401k'!N:N,0),0)</f>
        <v>-15579178.722243177</v>
      </c>
      <c r="R987" s="25">
        <f t="array" aca="1" ref="R987" ca="1">INDEX('Lorri 401b'!L:L,MATCH('Retirement Calculator'!A987,'Lorri 401b'!N:N,0),0)</f>
        <v>-29632665.493686203</v>
      </c>
      <c r="S987" s="25">
        <f t="shared" ca="1" si="787"/>
        <v>-45211844.215929382</v>
      </c>
    </row>
    <row r="988" spans="1:19" ht="15.75" customHeight="1" x14ac:dyDescent="0.3">
      <c r="A988" s="37">
        <v>81025</v>
      </c>
      <c r="B988" s="398">
        <f t="shared" ref="B988:C988" si="999">($A988-B$9)/365.25</f>
        <v>139.95619438740587</v>
      </c>
      <c r="C988" s="398">
        <f t="shared" si="999"/>
        <v>135.34565366187542</v>
      </c>
      <c r="E988" s="25">
        <f>IF(C988&gt;$B$7,0,'Combined Retirement'!$D$13/12)</f>
        <v>0</v>
      </c>
      <c r="F988" s="25">
        <f>IF(H988=0,'Combined Retirement'!$D$32,0)+'Combined Retirement'!$B$24</f>
        <v>2870.372285649099</v>
      </c>
      <c r="G988" s="25">
        <f>'Combined Retirement'!$C$24</f>
        <v>3254.2644699519233</v>
      </c>
      <c r="H988" s="25">
        <f>IF(B988&lt;62,0,'Combined Retirement'!$I$14)</f>
        <v>2345</v>
      </c>
      <c r="I988" s="25">
        <f>IF(C988&lt;62,0,'Combined Retirement'!$I$13)</f>
        <v>2420</v>
      </c>
      <c r="J988" s="25">
        <f t="shared" si="783"/>
        <v>8395.6297298201844</v>
      </c>
      <c r="K988" s="25">
        <f t="shared" si="784"/>
        <v>21655.303514578787</v>
      </c>
      <c r="L988" s="25"/>
      <c r="N988" s="25">
        <f>'Combined Retirement'!$C$18/12</f>
        <v>40940.569999999992</v>
      </c>
      <c r="O988" s="25">
        <f t="shared" si="785"/>
        <v>10889.636755601023</v>
      </c>
      <c r="P988" s="25">
        <f t="shared" si="786"/>
        <v>30050.93324439897</v>
      </c>
      <c r="Q988" s="25">
        <f t="array" aca="1" ref="Q988" ca="1">INDEX('Isaac 401k'!L:L,MATCH('Retirement Calculator'!A988,'Isaac 401k'!N:N,0),0)</f>
        <v>-15652522.57843955</v>
      </c>
      <c r="R988" s="25">
        <f t="array" aca="1" ref="R988" ca="1">INDEX('Lorri 401b'!L:L,MATCH('Retirement Calculator'!A988,'Lorri 401b'!N:N,0),0)</f>
        <v>-29777880.467189118</v>
      </c>
      <c r="S988" s="25">
        <f t="shared" ca="1" si="787"/>
        <v>-45430403.045628667</v>
      </c>
    </row>
    <row r="989" spans="1:19" ht="15.75" customHeight="1" x14ac:dyDescent="0.3">
      <c r="A989" s="37">
        <v>81055</v>
      </c>
      <c r="B989" s="398">
        <f t="shared" ref="B989:C989" si="1000">($A989-B$9)/365.25</f>
        <v>140.03832991101984</v>
      </c>
      <c r="C989" s="398">
        <f t="shared" si="1000"/>
        <v>135.42778918548939</v>
      </c>
      <c r="E989" s="25">
        <f>IF(C989&gt;$B$7,0,'Combined Retirement'!$D$13/12)</f>
        <v>0</v>
      </c>
      <c r="F989" s="25">
        <f>IF(H989=0,'Combined Retirement'!$D$32,0)+'Combined Retirement'!$B$24</f>
        <v>2870.372285649099</v>
      </c>
      <c r="G989" s="25">
        <f>'Combined Retirement'!$C$24</f>
        <v>3254.2644699519233</v>
      </c>
      <c r="H989" s="25">
        <f>IF(B989&lt;62,0,'Combined Retirement'!$I$14)</f>
        <v>2345</v>
      </c>
      <c r="I989" s="25">
        <f>IF(C989&lt;62,0,'Combined Retirement'!$I$13)</f>
        <v>2420</v>
      </c>
      <c r="J989" s="25">
        <f t="shared" si="783"/>
        <v>8395.6297298201844</v>
      </c>
      <c r="K989" s="25">
        <f t="shared" si="784"/>
        <v>21655.303514578787</v>
      </c>
      <c r="L989" s="25"/>
      <c r="N989" s="25">
        <f>'Combined Retirement'!$C$18/12</f>
        <v>40940.569999999992</v>
      </c>
      <c r="O989" s="25">
        <f t="shared" si="785"/>
        <v>10889.636755601023</v>
      </c>
      <c r="P989" s="25">
        <f t="shared" si="786"/>
        <v>30050.93324439897</v>
      </c>
      <c r="Q989" s="25">
        <f t="array" aca="1" ref="Q989" ca="1">INDEX('Isaac 401k'!L:L,MATCH('Retirement Calculator'!A989,'Isaac 401k'!N:N,0),0)</f>
        <v>-15726172.034036743</v>
      </c>
      <c r="R989" s="25">
        <f t="array" aca="1" ref="R989" ca="1">INDEX('Lorri 401b'!L:L,MATCH('Retirement Calculator'!A989,'Lorri 401b'!N:N,0),0)</f>
        <v>-29923700.503081627</v>
      </c>
      <c r="S989" s="25">
        <f t="shared" ca="1" si="787"/>
        <v>-45649872.537118368</v>
      </c>
    </row>
    <row r="990" spans="1:19" ht="15.75" customHeight="1" x14ac:dyDescent="0.3">
      <c r="A990" s="37">
        <v>81086</v>
      </c>
      <c r="B990" s="398">
        <f t="shared" ref="B990:C990" si="1001">($A990-B$9)/365.25</f>
        <v>140.12320328542094</v>
      </c>
      <c r="C990" s="398">
        <f t="shared" si="1001"/>
        <v>135.51266255989049</v>
      </c>
      <c r="E990" s="25">
        <f>IF(C990&gt;$B$7,0,'Combined Retirement'!$D$13/12)</f>
        <v>0</v>
      </c>
      <c r="F990" s="25">
        <f>IF(H990=0,'Combined Retirement'!$D$32,0)+'Combined Retirement'!$B$24</f>
        <v>2870.372285649099</v>
      </c>
      <c r="G990" s="25">
        <f>'Combined Retirement'!$C$24</f>
        <v>3254.2644699519233</v>
      </c>
      <c r="H990" s="25">
        <f>IF(B990&lt;62,0,'Combined Retirement'!$I$14)</f>
        <v>2345</v>
      </c>
      <c r="I990" s="25">
        <f>IF(C990&lt;62,0,'Combined Retirement'!$I$13)</f>
        <v>2420</v>
      </c>
      <c r="J990" s="25">
        <f t="shared" si="783"/>
        <v>8395.6297298201844</v>
      </c>
      <c r="K990" s="25">
        <f t="shared" si="784"/>
        <v>21655.303514578787</v>
      </c>
      <c r="L990" s="25"/>
      <c r="N990" s="25">
        <f>'Combined Retirement'!$C$18/12</f>
        <v>40940.569999999992</v>
      </c>
      <c r="O990" s="25">
        <f t="shared" si="785"/>
        <v>10889.636755601023</v>
      </c>
      <c r="P990" s="25">
        <f t="shared" si="786"/>
        <v>30050.93324439897</v>
      </c>
      <c r="Q990" s="25">
        <f t="array" aca="1" ref="Q990" ca="1">INDEX('Isaac 401k'!L:L,MATCH('Retirement Calculator'!A990,'Isaac 401k'!N:N,0),0)</f>
        <v>-15800128.36236559</v>
      </c>
      <c r="R990" s="25">
        <f t="array" aca="1" ref="R990" ca="1">INDEX('Lorri 401b'!L:L,MATCH('Retirement Calculator'!A990,'Lorri 401b'!N:N,0),0)</f>
        <v>-30070128.122457024</v>
      </c>
      <c r="S990" s="25">
        <f t="shared" ca="1" si="787"/>
        <v>-45870256.484822616</v>
      </c>
    </row>
    <row r="991" spans="1:19" ht="15.75" customHeight="1" x14ac:dyDescent="0.3">
      <c r="A991" s="37">
        <v>81117</v>
      </c>
      <c r="B991" s="398">
        <f t="shared" ref="B991:C991" si="1002">($A991-B$9)/365.25</f>
        <v>140.20807665982204</v>
      </c>
      <c r="C991" s="398">
        <f t="shared" si="1002"/>
        <v>135.59753593429159</v>
      </c>
      <c r="E991" s="25">
        <f>IF(C991&gt;$B$7,0,'Combined Retirement'!$D$13/12)</f>
        <v>0</v>
      </c>
      <c r="F991" s="25">
        <f>IF(H991=0,'Combined Retirement'!$D$32,0)+'Combined Retirement'!$B$24</f>
        <v>2870.372285649099</v>
      </c>
      <c r="G991" s="25">
        <f>'Combined Retirement'!$C$24</f>
        <v>3254.2644699519233</v>
      </c>
      <c r="H991" s="25">
        <f>IF(B991&lt;62,0,'Combined Retirement'!$I$14)</f>
        <v>2345</v>
      </c>
      <c r="I991" s="25">
        <f>IF(C991&lt;62,0,'Combined Retirement'!$I$13)</f>
        <v>2420</v>
      </c>
      <c r="J991" s="25">
        <f t="shared" si="783"/>
        <v>8395.6297298201844</v>
      </c>
      <c r="K991" s="25">
        <f t="shared" si="784"/>
        <v>21655.303514578787</v>
      </c>
      <c r="L991" s="25"/>
      <c r="N991" s="25">
        <f>'Combined Retirement'!$C$18/12</f>
        <v>40940.569999999992</v>
      </c>
      <c r="O991" s="25">
        <f t="shared" si="785"/>
        <v>10889.636755601023</v>
      </c>
      <c r="P991" s="25">
        <f t="shared" si="786"/>
        <v>30050.93324439897</v>
      </c>
      <c r="Q991" s="25">
        <f t="array" aca="1" ref="Q991" ca="1">INDEX('Isaac 401k'!L:L,MATCH('Retirement Calculator'!A991,'Isaac 401k'!N:N,0),0)</f>
        <v>-15874392.842062475</v>
      </c>
      <c r="R991" s="25">
        <f t="array" aca="1" ref="R991" ca="1">INDEX('Lorri 401b'!L:L,MATCH('Retirement Calculator'!A991,'Lorri 401b'!N:N,0),0)</f>
        <v>-30217165.856913149</v>
      </c>
      <c r="S991" s="25">
        <f t="shared" ca="1" si="787"/>
        <v>-46091558.698975623</v>
      </c>
    </row>
    <row r="992" spans="1:19" ht="15.75" customHeight="1" x14ac:dyDescent="0.3">
      <c r="A992" s="37">
        <v>81145</v>
      </c>
      <c r="B992" s="398">
        <f t="shared" ref="B992:C992" si="1003">($A992-B$9)/365.25</f>
        <v>140.28473648186173</v>
      </c>
      <c r="C992" s="398">
        <f t="shared" si="1003"/>
        <v>135.67419575633127</v>
      </c>
      <c r="E992" s="25">
        <f>IF(C992&gt;$B$7,0,'Combined Retirement'!$D$13/12)</f>
        <v>0</v>
      </c>
      <c r="F992" s="25">
        <f>IF(H992=0,'Combined Retirement'!$D$32,0)+'Combined Retirement'!$B$24</f>
        <v>2870.372285649099</v>
      </c>
      <c r="G992" s="25">
        <f>'Combined Retirement'!$C$24</f>
        <v>3254.2644699519233</v>
      </c>
      <c r="H992" s="25">
        <f>IF(B992&lt;62,0,'Combined Retirement'!$I$14)</f>
        <v>2345</v>
      </c>
      <c r="I992" s="25">
        <f>IF(C992&lt;62,0,'Combined Retirement'!$I$13)</f>
        <v>2420</v>
      </c>
      <c r="J992" s="25">
        <f t="shared" si="783"/>
        <v>8395.6297298201844</v>
      </c>
      <c r="K992" s="25">
        <f t="shared" si="784"/>
        <v>21655.303514578787</v>
      </c>
      <c r="L992" s="25"/>
      <c r="N992" s="25">
        <f>'Combined Retirement'!$C$18/12</f>
        <v>40940.569999999992</v>
      </c>
      <c r="O992" s="25">
        <f t="shared" si="785"/>
        <v>10889.636755601023</v>
      </c>
      <c r="P992" s="25">
        <f t="shared" si="786"/>
        <v>30050.93324439897</v>
      </c>
      <c r="Q992" s="25">
        <f t="array" aca="1" ref="Q992" ca="1">INDEX('Isaac 401k'!L:L,MATCH('Retirement Calculator'!A992,'Isaac 401k'!N:N,0),0)</f>
        <v>-15948966.757091431</v>
      </c>
      <c r="R992" s="25">
        <f t="array" aca="1" ref="R992" ca="1">INDEX('Lorri 401b'!L:L,MATCH('Retirement Calculator'!A992,'Lorri 401b'!N:N,0),0)</f>
        <v>-30364816.248596177</v>
      </c>
      <c r="S992" s="25">
        <f t="shared" ca="1" si="787"/>
        <v>-46313783.005687609</v>
      </c>
    </row>
    <row r="993" spans="1:19" ht="15.75" customHeight="1" x14ac:dyDescent="0.3">
      <c r="A993" s="37">
        <v>81176</v>
      </c>
      <c r="B993" s="398">
        <f t="shared" ref="B993:C993" si="1004">($A993-B$9)/365.25</f>
        <v>140.36960985626283</v>
      </c>
      <c r="C993" s="398">
        <f t="shared" si="1004"/>
        <v>135.75906913073237</v>
      </c>
      <c r="E993" s="25">
        <f>IF(C993&gt;$B$7,0,'Combined Retirement'!$D$13/12)</f>
        <v>0</v>
      </c>
      <c r="F993" s="25">
        <f>IF(H993=0,'Combined Retirement'!$D$32,0)+'Combined Retirement'!$B$24</f>
        <v>2870.372285649099</v>
      </c>
      <c r="G993" s="25">
        <f>'Combined Retirement'!$C$24</f>
        <v>3254.2644699519233</v>
      </c>
      <c r="H993" s="25">
        <f>IF(B993&lt;62,0,'Combined Retirement'!$I$14)</f>
        <v>2345</v>
      </c>
      <c r="I993" s="25">
        <f>IF(C993&lt;62,0,'Combined Retirement'!$I$13)</f>
        <v>2420</v>
      </c>
      <c r="J993" s="25">
        <f t="shared" si="783"/>
        <v>8395.6297298201844</v>
      </c>
      <c r="K993" s="25">
        <f t="shared" si="784"/>
        <v>21655.303514578787</v>
      </c>
      <c r="L993" s="25"/>
      <c r="N993" s="25">
        <f>'Combined Retirement'!$C$18/12</f>
        <v>40940.569999999992</v>
      </c>
      <c r="O993" s="25">
        <f t="shared" si="785"/>
        <v>10889.636755601023</v>
      </c>
      <c r="P993" s="25">
        <f t="shared" si="786"/>
        <v>30050.93324439897</v>
      </c>
      <c r="Q993" s="25">
        <f t="array" aca="1" ref="Q993" ca="1">INDEX('Isaac 401k'!L:L,MATCH('Retirement Calculator'!A993,'Isaac 401k'!N:N,0),0)</f>
        <v>-16023851.39676634</v>
      </c>
      <c r="R993" s="25">
        <f t="array" aca="1" ref="R993" ca="1">INDEX('Lorri 401b'!L:L,MATCH('Retirement Calculator'!A993,'Lorri 401b'!N:N,0),0)</f>
        <v>-30513081.850244548</v>
      </c>
      <c r="S993" s="25">
        <f t="shared" ca="1" si="787"/>
        <v>-46536933.247010887</v>
      </c>
    </row>
    <row r="994" spans="1:19" ht="15.75" customHeight="1" x14ac:dyDescent="0.3">
      <c r="A994" s="37">
        <v>81206</v>
      </c>
      <c r="B994" s="398">
        <f t="shared" ref="B994:C994" si="1005">($A994-B$9)/365.25</f>
        <v>140.4517453798768</v>
      </c>
      <c r="C994" s="398">
        <f t="shared" si="1005"/>
        <v>135.84120465434634</v>
      </c>
      <c r="E994" s="25">
        <f>IF(C994&gt;$B$7,0,'Combined Retirement'!$D$13/12)</f>
        <v>0</v>
      </c>
      <c r="F994" s="25">
        <f>IF(H994=0,'Combined Retirement'!$D$32,0)+'Combined Retirement'!$B$24</f>
        <v>2870.372285649099</v>
      </c>
      <c r="G994" s="25">
        <f>'Combined Retirement'!$C$24</f>
        <v>3254.2644699519233</v>
      </c>
      <c r="H994" s="25">
        <f>IF(B994&lt;62,0,'Combined Retirement'!$I$14)</f>
        <v>2345</v>
      </c>
      <c r="I994" s="25">
        <f>IF(C994&lt;62,0,'Combined Retirement'!$I$13)</f>
        <v>2420</v>
      </c>
      <c r="J994" s="25">
        <f t="shared" si="783"/>
        <v>8395.6297298201844</v>
      </c>
      <c r="K994" s="25">
        <f t="shared" si="784"/>
        <v>21655.303514578787</v>
      </c>
      <c r="L994" s="25"/>
      <c r="N994" s="25">
        <f>'Combined Retirement'!$C$18/12</f>
        <v>40940.569999999992</v>
      </c>
      <c r="O994" s="25">
        <f t="shared" si="785"/>
        <v>10889.636755601023</v>
      </c>
      <c r="P994" s="25">
        <f t="shared" si="786"/>
        <v>30050.93324439897</v>
      </c>
      <c r="Q994" s="25">
        <f t="array" aca="1" ref="Q994" ca="1">INDEX('Isaac 401k'!L:L,MATCH('Retirement Calculator'!A994,'Isaac 401k'!N:N,0),0)</f>
        <v>-16099048.055773228</v>
      </c>
      <c r="R994" s="25">
        <f t="array" aca="1" ref="R994" ca="1">INDEX('Lorri 401b'!L:L,MATCH('Retirement Calculator'!A994,'Lorri 401b'!N:N,0),0)</f>
        <v>-30661965.225233123</v>
      </c>
      <c r="S994" s="25">
        <f t="shared" ca="1" si="787"/>
        <v>-46761013.281006351</v>
      </c>
    </row>
    <row r="995" spans="1:19" ht="15.75" customHeight="1" x14ac:dyDescent="0.3">
      <c r="A995" s="37">
        <v>81237</v>
      </c>
      <c r="B995" s="398">
        <f t="shared" ref="B995:C995" si="1006">($A995-B$9)/365.25</f>
        <v>140.5366187542779</v>
      </c>
      <c r="C995" s="398">
        <f t="shared" si="1006"/>
        <v>135.92607802874744</v>
      </c>
      <c r="E995" s="25">
        <f>IF(C995&gt;$B$7,0,'Combined Retirement'!$D$13/12)</f>
        <v>0</v>
      </c>
      <c r="F995" s="25">
        <f>IF(H995=0,'Combined Retirement'!$D$32,0)+'Combined Retirement'!$B$24</f>
        <v>2870.372285649099</v>
      </c>
      <c r="G995" s="25">
        <f>'Combined Retirement'!$C$24</f>
        <v>3254.2644699519233</v>
      </c>
      <c r="H995" s="25">
        <f>IF(B995&lt;62,0,'Combined Retirement'!$I$14)</f>
        <v>2345</v>
      </c>
      <c r="I995" s="25">
        <f>IF(C995&lt;62,0,'Combined Retirement'!$I$13)</f>
        <v>2420</v>
      </c>
      <c r="J995" s="25">
        <f t="shared" si="783"/>
        <v>8395.6297298201844</v>
      </c>
      <c r="K995" s="25">
        <f t="shared" si="784"/>
        <v>21655.303514578787</v>
      </c>
      <c r="L995" s="25"/>
      <c r="N995" s="25">
        <f>'Combined Retirement'!$C$18/12</f>
        <v>40940.569999999992</v>
      </c>
      <c r="O995" s="25">
        <f t="shared" si="785"/>
        <v>10889.636755601023</v>
      </c>
      <c r="P995" s="25">
        <f t="shared" si="786"/>
        <v>30050.93324439897</v>
      </c>
      <c r="Q995" s="25">
        <f t="array" aca="1" ref="Q995" ca="1">INDEX('Isaac 401k'!L:L,MATCH('Retirement Calculator'!A995,'Isaac 401k'!N:N,0),0)</f>
        <v>-16174558.034192644</v>
      </c>
      <c r="R995" s="25">
        <f t="array" aca="1" ref="R995" ca="1">INDEX('Lorri 401b'!L:L,MATCH('Retirement Calculator'!A995,'Lorri 401b'!N:N,0),0)</f>
        <v>-30811468.947617482</v>
      </c>
      <c r="S995" s="25">
        <f t="shared" ca="1" si="787"/>
        <v>-46986026.981810123</v>
      </c>
    </row>
    <row r="996" spans="1:19" ht="15.75" customHeight="1" x14ac:dyDescent="0.3">
      <c r="A996" s="37">
        <v>81267</v>
      </c>
      <c r="B996" s="398">
        <f t="shared" ref="B996:C996" si="1007">($A996-B$9)/365.25</f>
        <v>140.61875427789187</v>
      </c>
      <c r="C996" s="398">
        <f t="shared" si="1007"/>
        <v>136.00821355236138</v>
      </c>
      <c r="E996" s="25">
        <f>IF(C996&gt;$B$7,0,'Combined Retirement'!$D$13/12)</f>
        <v>0</v>
      </c>
      <c r="F996" s="25">
        <f>IF(H996=0,'Combined Retirement'!$D$32,0)+'Combined Retirement'!$B$24</f>
        <v>2870.372285649099</v>
      </c>
      <c r="G996" s="25">
        <f>'Combined Retirement'!$C$24</f>
        <v>3254.2644699519233</v>
      </c>
      <c r="H996" s="25">
        <f>IF(B996&lt;62,0,'Combined Retirement'!$I$14)</f>
        <v>2345</v>
      </c>
      <c r="I996" s="25">
        <f>IF(C996&lt;62,0,'Combined Retirement'!$I$13)</f>
        <v>2420</v>
      </c>
      <c r="J996" s="25">
        <f t="shared" si="783"/>
        <v>8395.6297298201844</v>
      </c>
      <c r="K996" s="25">
        <f t="shared" si="784"/>
        <v>21655.303514578787</v>
      </c>
      <c r="L996" s="25"/>
      <c r="N996" s="25">
        <f>'Combined Retirement'!$C$18/12</f>
        <v>40940.569999999992</v>
      </c>
      <c r="O996" s="25">
        <f t="shared" si="785"/>
        <v>10889.636755601023</v>
      </c>
      <c r="P996" s="25">
        <f t="shared" si="786"/>
        <v>30050.93324439897</v>
      </c>
      <c r="Q996" s="25">
        <f t="array" aca="1" ref="Q996" ca="1">INDEX('Isaac 401k'!L:L,MATCH('Retirement Calculator'!A996,'Isaac 401k'!N:N,0),0)</f>
        <v>-16250382.637522141</v>
      </c>
      <c r="R996" s="25">
        <f t="array" aca="1" ref="R996" ca="1">INDEX('Lorri 401b'!L:L,MATCH('Retirement Calculator'!A996,'Lorri 401b'!N:N,0),0)</f>
        <v>-30961595.602178443</v>
      </c>
      <c r="S996" s="25">
        <f t="shared" ca="1" si="787"/>
        <v>-47211978.239700586</v>
      </c>
    </row>
    <row r="997" spans="1:19" ht="15.75" customHeight="1" x14ac:dyDescent="0.3">
      <c r="A997" s="37">
        <v>81298</v>
      </c>
      <c r="B997" s="398">
        <f t="shared" ref="B997:C997" si="1008">($A997-B$9)/365.25</f>
        <v>140.70362765229294</v>
      </c>
      <c r="C997" s="398">
        <f t="shared" si="1008"/>
        <v>136.09308692676248</v>
      </c>
      <c r="E997" s="25">
        <f>IF(C997&gt;$B$7,0,'Combined Retirement'!$D$13/12)</f>
        <v>0</v>
      </c>
      <c r="F997" s="25">
        <f>IF(H997=0,'Combined Retirement'!$D$32,0)+'Combined Retirement'!$B$24</f>
        <v>2870.372285649099</v>
      </c>
      <c r="G997" s="25">
        <f>'Combined Retirement'!$C$24</f>
        <v>3254.2644699519233</v>
      </c>
      <c r="H997" s="25">
        <f>IF(B997&lt;62,0,'Combined Retirement'!$I$14)</f>
        <v>2345</v>
      </c>
      <c r="I997" s="25">
        <f>IF(C997&lt;62,0,'Combined Retirement'!$I$13)</f>
        <v>2420</v>
      </c>
      <c r="J997" s="25">
        <f t="shared" si="783"/>
        <v>8395.6297298201844</v>
      </c>
      <c r="K997" s="25">
        <f t="shared" si="784"/>
        <v>21655.303514578787</v>
      </c>
      <c r="L997" s="25"/>
      <c r="N997" s="25">
        <f>'Combined Retirement'!$C$18/12</f>
        <v>40940.569999999992</v>
      </c>
      <c r="O997" s="25">
        <f t="shared" si="785"/>
        <v>10889.636755601023</v>
      </c>
      <c r="P997" s="25">
        <f t="shared" si="786"/>
        <v>30050.93324439897</v>
      </c>
      <c r="Q997" s="25">
        <f t="array" aca="1" ref="Q997" ca="1">INDEX('Isaac 401k'!L:L,MATCH('Retirement Calculator'!A997,'Isaac 401k'!N:N,0),0)</f>
        <v>-16326523.176698845</v>
      </c>
      <c r="R997" s="25">
        <f t="array" aca="1" ref="R997" ca="1">INDEX('Lorri 401b'!L:L,MATCH('Retirement Calculator'!A997,'Lorri 401b'!N:N,0),0)</f>
        <v>-31112347.784466743</v>
      </c>
      <c r="S997" s="25">
        <f t="shared" ca="1" si="787"/>
        <v>-47438870.961165592</v>
      </c>
    </row>
    <row r="998" spans="1:19" ht="15.75" customHeight="1" x14ac:dyDescent="0.3">
      <c r="A998" s="37">
        <v>81329</v>
      </c>
      <c r="B998" s="398">
        <f t="shared" ref="B998:C998" si="1009">($A998-B$9)/365.25</f>
        <v>140.78850102669404</v>
      </c>
      <c r="C998" s="398">
        <f t="shared" si="1009"/>
        <v>136.17796030116358</v>
      </c>
      <c r="E998" s="25">
        <f>IF(C998&gt;$B$7,0,'Combined Retirement'!$D$13/12)</f>
        <v>0</v>
      </c>
      <c r="F998" s="25">
        <f>IF(H998=0,'Combined Retirement'!$D$32,0)+'Combined Retirement'!$B$24</f>
        <v>2870.372285649099</v>
      </c>
      <c r="G998" s="25">
        <f>'Combined Retirement'!$C$24</f>
        <v>3254.2644699519233</v>
      </c>
      <c r="H998" s="25">
        <f>IF(B998&lt;62,0,'Combined Retirement'!$I$14)</f>
        <v>2345</v>
      </c>
      <c r="I998" s="25">
        <f>IF(C998&lt;62,0,'Combined Retirement'!$I$13)</f>
        <v>2420</v>
      </c>
      <c r="J998" s="25">
        <f t="shared" si="783"/>
        <v>8395.6297298201844</v>
      </c>
      <c r="K998" s="25">
        <f t="shared" si="784"/>
        <v>21655.303514578787</v>
      </c>
      <c r="L998" s="25"/>
      <c r="N998" s="25">
        <f>'Combined Retirement'!$C$18/12</f>
        <v>40940.569999999992</v>
      </c>
      <c r="O998" s="25">
        <f t="shared" si="785"/>
        <v>10889.636755601023</v>
      </c>
      <c r="P998" s="25">
        <f t="shared" si="786"/>
        <v>30050.93324439897</v>
      </c>
      <c r="Q998" s="25">
        <f t="array" aca="1" ref="Q998" ca="1">INDEX('Isaac 401k'!L:L,MATCH('Retirement Calculator'!A998,'Isaac 401k'!N:N,0),0)</f>
        <v>-16402980.968122117</v>
      </c>
      <c r="R998" s="25">
        <f t="array" aca="1" ref="R998" ca="1">INDEX('Lorri 401b'!L:L,MATCH('Retirement Calculator'!A998,'Lorri 401b'!N:N,0),0)</f>
        <v>-31263728.100847911</v>
      </c>
      <c r="S998" s="25">
        <f t="shared" ca="1" si="787"/>
        <v>-47666709.068970025</v>
      </c>
    </row>
    <row r="999" spans="1:19" ht="15.75" customHeight="1" x14ac:dyDescent="0.3">
      <c r="A999" s="37">
        <v>81359</v>
      </c>
      <c r="B999" s="398">
        <f t="shared" ref="B999:C999" si="1010">($A999-B$9)/365.25</f>
        <v>140.87063655030801</v>
      </c>
      <c r="C999" s="398">
        <f t="shared" si="1010"/>
        <v>136.26009582477755</v>
      </c>
      <c r="E999" s="25">
        <f>IF(C999&gt;$B$7,0,'Combined Retirement'!$D$13/12)</f>
        <v>0</v>
      </c>
      <c r="F999" s="25">
        <f>IF(H999=0,'Combined Retirement'!$D$32,0)+'Combined Retirement'!$B$24</f>
        <v>2870.372285649099</v>
      </c>
      <c r="G999" s="25">
        <f>'Combined Retirement'!$C$24</f>
        <v>3254.2644699519233</v>
      </c>
      <c r="H999" s="25">
        <f>IF(B999&lt;62,0,'Combined Retirement'!$I$14)</f>
        <v>2345</v>
      </c>
      <c r="I999" s="25">
        <f>IF(C999&lt;62,0,'Combined Retirement'!$I$13)</f>
        <v>2420</v>
      </c>
      <c r="J999" s="25">
        <f t="shared" si="783"/>
        <v>8395.6297298201844</v>
      </c>
      <c r="K999" s="25">
        <f t="shared" si="784"/>
        <v>21655.303514578787</v>
      </c>
      <c r="L999" s="25"/>
      <c r="N999" s="25">
        <f>'Combined Retirement'!$C$18/12</f>
        <v>40940.569999999992</v>
      </c>
      <c r="O999" s="25">
        <f t="shared" si="785"/>
        <v>10889.636755601023</v>
      </c>
      <c r="P999" s="25">
        <f t="shared" si="786"/>
        <v>30050.93324439897</v>
      </c>
      <c r="Q999" s="25">
        <f t="array" aca="1" ref="Q999" ca="1">INDEX('Isaac 401k'!L:L,MATCH('Retirement Calculator'!A999,'Isaac 401k'!N:N,0),0)</f>
        <v>-16479757.333676321</v>
      </c>
      <c r="R999" s="25">
        <f t="array" aca="1" ref="R999" ca="1">INDEX('Lorri 401b'!L:L,MATCH('Retirement Calculator'!A999,'Lorri 401b'!N:N,0),0)</f>
        <v>-31415739.168547332</v>
      </c>
      <c r="S999" s="25">
        <f t="shared" ca="1" si="787"/>
        <v>-47895496.502223656</v>
      </c>
    </row>
    <row r="1000" spans="1:19" ht="15.75" customHeight="1" x14ac:dyDescent="0.3">
      <c r="A1000" s="37">
        <v>81390</v>
      </c>
      <c r="B1000" s="398">
        <f t="shared" ref="B1000:C1000" si="1011">($A1000-B$9)/365.25</f>
        <v>140.95550992470911</v>
      </c>
      <c r="C1000" s="398">
        <f t="shared" si="1011"/>
        <v>136.34496919917865</v>
      </c>
      <c r="E1000" s="25">
        <f>IF(C1000&gt;$B$7,0,'Combined Retirement'!$D$13/12)</f>
        <v>0</v>
      </c>
      <c r="F1000" s="25">
        <f>IF(H1000=0,'Combined Retirement'!$D$32,0)+'Combined Retirement'!$B$24</f>
        <v>2870.372285649099</v>
      </c>
      <c r="G1000" s="25">
        <f>'Combined Retirement'!$C$24</f>
        <v>3254.2644699519233</v>
      </c>
      <c r="H1000" s="25">
        <f>IF(B1000&lt;62,0,'Combined Retirement'!$I$14)</f>
        <v>2345</v>
      </c>
      <c r="I1000" s="25">
        <f>IF(C1000&lt;62,0,'Combined Retirement'!$I$13)</f>
        <v>2420</v>
      </c>
      <c r="J1000" s="25">
        <f t="shared" si="783"/>
        <v>8395.6297298201844</v>
      </c>
      <c r="K1000" s="25">
        <f t="shared" si="784"/>
        <v>21655.303514578787</v>
      </c>
      <c r="L1000" s="25"/>
      <c r="N1000" s="25">
        <f>'Combined Retirement'!$C$18/12</f>
        <v>40940.569999999992</v>
      </c>
      <c r="O1000" s="25">
        <f t="shared" si="785"/>
        <v>10889.636755601023</v>
      </c>
      <c r="P1000" s="25">
        <f t="shared" si="786"/>
        <v>30050.93324439897</v>
      </c>
      <c r="Q1000" s="25">
        <f t="array" aca="1" ref="Q1000" ca="1">INDEX('Isaac 401k'!L:L,MATCH('Retirement Calculator'!A1000,'Isaac 401k'!N:N,0),0)</f>
        <v>-16556853.600753667</v>
      </c>
      <c r="R1000" s="25">
        <f t="array" aca="1" ref="R1000" ca="1">INDEX('Lorri 401b'!L:L,MATCH('Retirement Calculator'!A1000,'Lorri 401b'!N:N,0),0)</f>
        <v>-31568383.615695503</v>
      </c>
      <c r="S1000" s="25">
        <f t="shared" ca="1" si="787"/>
        <v>-48125237.216449171</v>
      </c>
    </row>
    <row r="1001" spans="1:19" ht="15.75" customHeight="1" x14ac:dyDescent="0.3">
      <c r="A1001" s="37">
        <v>81420</v>
      </c>
      <c r="B1001" s="398">
        <f t="shared" ref="B1001:C1001" si="1012">($A1001-B$9)/365.25</f>
        <v>141.03764544832308</v>
      </c>
      <c r="C1001" s="398">
        <f t="shared" si="1012"/>
        <v>136.42710472279262</v>
      </c>
      <c r="E1001" s="25">
        <f>IF(C1001&gt;$B$7,0,'Combined Retirement'!$D$13/12)</f>
        <v>0</v>
      </c>
      <c r="F1001" s="25">
        <f>IF(H1001=0,'Combined Retirement'!$D$32,0)+'Combined Retirement'!$B$24</f>
        <v>2870.372285649099</v>
      </c>
      <c r="G1001" s="25">
        <f>'Combined Retirement'!$C$24</f>
        <v>3254.2644699519233</v>
      </c>
      <c r="H1001" s="25">
        <f>IF(B1001&lt;62,0,'Combined Retirement'!$I$14)</f>
        <v>2345</v>
      </c>
      <c r="I1001" s="25">
        <f>IF(C1001&lt;62,0,'Combined Retirement'!$I$13)</f>
        <v>2420</v>
      </c>
      <c r="J1001" s="25">
        <f t="shared" si="783"/>
        <v>8395.6297298201844</v>
      </c>
      <c r="K1001" s="25">
        <f t="shared" si="784"/>
        <v>21655.303514578787</v>
      </c>
      <c r="L1001" s="25"/>
      <c r="N1001" s="25">
        <f>'Combined Retirement'!$C$18/12</f>
        <v>40940.569999999992</v>
      </c>
      <c r="O1001" s="25">
        <f t="shared" si="785"/>
        <v>10889.636755601023</v>
      </c>
      <c r="P1001" s="25">
        <f t="shared" si="786"/>
        <v>30050.93324439897</v>
      </c>
      <c r="Q1001" s="25">
        <f t="array" aca="1" ref="Q1001" ca="1">INDEX('Isaac 401k'!L:L,MATCH('Retirement Calculator'!A1001,'Isaac 401k'!N:N,0),0)</f>
        <v>-16634271.102277169</v>
      </c>
      <c r="R1001" s="25">
        <f t="array" aca="1" ref="R1001" ca="1">INDEX('Lorri 401b'!L:L,MATCH('Retirement Calculator'!A1001,'Lorri 401b'!N:N,0),0)</f>
        <v>-31721664.081373457</v>
      </c>
      <c r="S1001" s="25">
        <f t="shared" ca="1" si="787"/>
        <v>-48355935.183650628</v>
      </c>
    </row>
    <row r="1002" spans="1:19" ht="15.75" customHeight="1" x14ac:dyDescent="0.3">
      <c r="A1002" s="37">
        <v>81451</v>
      </c>
      <c r="B1002" s="398">
        <f t="shared" ref="B1002:C1002" si="1013">($A1002-B$9)/365.25</f>
        <v>141.12251882272417</v>
      </c>
      <c r="C1002" s="398">
        <f t="shared" si="1013"/>
        <v>136.51197809719369</v>
      </c>
      <c r="E1002" s="25">
        <f>IF(C1002&gt;$B$7,0,'Combined Retirement'!$D$13/12)</f>
        <v>0</v>
      </c>
      <c r="F1002" s="25">
        <f>IF(H1002=0,'Combined Retirement'!$D$32,0)+'Combined Retirement'!$B$24</f>
        <v>2870.372285649099</v>
      </c>
      <c r="G1002" s="25">
        <f>'Combined Retirement'!$C$24</f>
        <v>3254.2644699519233</v>
      </c>
      <c r="H1002" s="25">
        <f>IF(B1002&lt;62,0,'Combined Retirement'!$I$14)</f>
        <v>2345</v>
      </c>
      <c r="I1002" s="25">
        <f>IF(C1002&lt;62,0,'Combined Retirement'!$I$13)</f>
        <v>2420</v>
      </c>
      <c r="J1002" s="25">
        <f t="shared" si="783"/>
        <v>8395.6297298201844</v>
      </c>
      <c r="K1002" s="25">
        <f t="shared" si="784"/>
        <v>21655.303514578787</v>
      </c>
      <c r="L1002" s="25"/>
      <c r="N1002" s="25">
        <f>'Combined Retirement'!$C$18/12</f>
        <v>40940.569999999992</v>
      </c>
      <c r="O1002" s="25">
        <f t="shared" si="785"/>
        <v>10889.636755601023</v>
      </c>
      <c r="P1002" s="25">
        <f t="shared" si="786"/>
        <v>30050.93324439897</v>
      </c>
      <c r="Q1002" s="25">
        <f t="array" aca="1" ref="Q1002" ca="1">INDEX('Isaac 401k'!L:L,MATCH('Retirement Calculator'!A1002,'Isaac 401k'!N:N,0),0)</f>
        <v>-16712011.176723685</v>
      </c>
      <c r="R1002" s="25">
        <f t="array" aca="1" ref="R1002" ca="1">INDEX('Lorri 401b'!L:L,MATCH('Retirement Calculator'!A1002,'Lorri 401b'!N:N,0),0)</f>
        <v>-31875583.2156584</v>
      </c>
      <c r="S1002" s="25">
        <f t="shared" ca="1" si="787"/>
        <v>-48587594.392382085</v>
      </c>
    </row>
    <row r="1003" spans="1:19" ht="15.75" customHeight="1" x14ac:dyDescent="0.3">
      <c r="A1003" s="37">
        <v>81482</v>
      </c>
      <c r="B1003" s="398">
        <f t="shared" ref="B1003:C1003" si="1014">($A1003-B$9)/365.25</f>
        <v>141.20739219712524</v>
      </c>
      <c r="C1003" s="398">
        <f t="shared" si="1014"/>
        <v>136.59685147159479</v>
      </c>
      <c r="E1003" s="25">
        <f>IF(C1003&gt;$B$7,0,'Combined Retirement'!$D$13/12)</f>
        <v>0</v>
      </c>
      <c r="F1003" s="25">
        <f>IF(H1003=0,'Combined Retirement'!$D$32,0)+'Combined Retirement'!$B$24</f>
        <v>2870.372285649099</v>
      </c>
      <c r="G1003" s="25">
        <f>'Combined Retirement'!$C$24</f>
        <v>3254.2644699519233</v>
      </c>
      <c r="H1003" s="25">
        <f>IF(B1003&lt;62,0,'Combined Retirement'!$I$14)</f>
        <v>2345</v>
      </c>
      <c r="I1003" s="25">
        <f>IF(C1003&lt;62,0,'Combined Retirement'!$I$13)</f>
        <v>2420</v>
      </c>
      <c r="J1003" s="25">
        <f t="shared" si="783"/>
        <v>8395.6297298201844</v>
      </c>
      <c r="K1003" s="25">
        <f t="shared" si="784"/>
        <v>21655.303514578787</v>
      </c>
      <c r="L1003" s="25"/>
      <c r="N1003" s="25">
        <f>'Combined Retirement'!$C$18/12</f>
        <v>40940.569999999992</v>
      </c>
      <c r="O1003" s="25">
        <f t="shared" si="785"/>
        <v>10889.636755601023</v>
      </c>
      <c r="P1003" s="25">
        <f t="shared" si="786"/>
        <v>30050.93324439897</v>
      </c>
      <c r="Q1003" s="25">
        <f t="array" aca="1" ref="Q1003" ca="1">INDEX('Isaac 401k'!L:L,MATCH('Retirement Calculator'!A1003,'Isaac 401k'!N:N,0),0)</f>
        <v>-16790075.168147061</v>
      </c>
      <c r="R1003" s="25">
        <f t="array" aca="1" ref="R1003" ca="1">INDEX('Lorri 401b'!L:L,MATCH('Retirement Calculator'!A1003,'Lorri 401b'!N:N,0),0)</f>
        <v>-32030143.679669533</v>
      </c>
      <c r="S1003" s="25">
        <f t="shared" ca="1" si="787"/>
        <v>-48820218.847816594</v>
      </c>
    </row>
    <row r="1004" spans="1:19" ht="15.75" customHeight="1" x14ac:dyDescent="0.3">
      <c r="A1004" s="37">
        <v>81510</v>
      </c>
      <c r="B1004" s="398">
        <f t="shared" ref="B1004:C1004" si="1015">($A1004-B$9)/365.25</f>
        <v>141.28405201916496</v>
      </c>
      <c r="C1004" s="398">
        <f t="shared" si="1015"/>
        <v>136.6735112936345</v>
      </c>
      <c r="E1004" s="25">
        <f>IF(C1004&gt;$B$7,0,'Combined Retirement'!$D$13/12)</f>
        <v>0</v>
      </c>
      <c r="F1004" s="25">
        <f>IF(H1004=0,'Combined Retirement'!$D$32,0)+'Combined Retirement'!$B$24</f>
        <v>2870.372285649099</v>
      </c>
      <c r="G1004" s="25">
        <f>'Combined Retirement'!$C$24</f>
        <v>3254.2644699519233</v>
      </c>
      <c r="H1004" s="25">
        <f>IF(B1004&lt;62,0,'Combined Retirement'!$I$14)</f>
        <v>2345</v>
      </c>
      <c r="I1004" s="25">
        <f>IF(C1004&lt;62,0,'Combined Retirement'!$I$13)</f>
        <v>2420</v>
      </c>
      <c r="J1004" s="25">
        <f t="shared" si="783"/>
        <v>8395.6297298201844</v>
      </c>
      <c r="K1004" s="25">
        <f t="shared" si="784"/>
        <v>21655.303514578787</v>
      </c>
      <c r="L1004" s="25"/>
      <c r="N1004" s="25">
        <f>'Combined Retirement'!$C$18/12</f>
        <v>40940.569999999992</v>
      </c>
      <c r="O1004" s="25">
        <f t="shared" si="785"/>
        <v>10889.636755601023</v>
      </c>
      <c r="P1004" s="25">
        <f t="shared" si="786"/>
        <v>30050.93324439897</v>
      </c>
      <c r="Q1004" s="25">
        <f t="array" aca="1" ref="Q1004" ca="1">INDEX('Isaac 401k'!L:L,MATCH('Retirement Calculator'!A1004,'Isaac 401k'!N:N,0),0)</f>
        <v>-16868464.426201366</v>
      </c>
      <c r="R1004" s="25">
        <f t="array" aca="1" ref="R1004" ca="1">INDEX('Lorri 401b'!L:L,MATCH('Retirement Calculator'!A1004,'Lorri 401b'!N:N,0),0)</f>
        <v>-32185348.145614043</v>
      </c>
      <c r="S1004" s="25">
        <f t="shared" ca="1" si="787"/>
        <v>-49053812.571815409</v>
      </c>
    </row>
    <row r="1005" spans="1:19" ht="15.75" customHeight="1" x14ac:dyDescent="0.3">
      <c r="A1005" s="37">
        <v>81541</v>
      </c>
      <c r="B1005" s="398">
        <f t="shared" ref="B1005:C1005" si="1016">($A1005-B$9)/365.25</f>
        <v>141.36892539356606</v>
      </c>
      <c r="C1005" s="398">
        <f t="shared" si="1016"/>
        <v>136.7583846680356</v>
      </c>
      <c r="E1005" s="25">
        <f>IF(C1005&gt;$B$7,0,'Combined Retirement'!$D$13/12)</f>
        <v>0</v>
      </c>
      <c r="F1005" s="25">
        <f>IF(H1005=0,'Combined Retirement'!$D$32,0)+'Combined Retirement'!$B$24</f>
        <v>2870.372285649099</v>
      </c>
      <c r="G1005" s="25">
        <f>'Combined Retirement'!$C$24</f>
        <v>3254.2644699519233</v>
      </c>
      <c r="H1005" s="25">
        <f>IF(B1005&lt;62,0,'Combined Retirement'!$I$14)</f>
        <v>2345</v>
      </c>
      <c r="I1005" s="25">
        <f>IF(C1005&lt;62,0,'Combined Retirement'!$I$13)</f>
        <v>2420</v>
      </c>
      <c r="J1005" s="25">
        <f t="shared" si="783"/>
        <v>8395.6297298201844</v>
      </c>
      <c r="K1005" s="25">
        <f t="shared" si="784"/>
        <v>21655.303514578787</v>
      </c>
      <c r="L1005" s="25"/>
      <c r="N1005" s="25">
        <f>'Combined Retirement'!$C$18/12</f>
        <v>40940.569999999992</v>
      </c>
      <c r="O1005" s="25">
        <f t="shared" si="785"/>
        <v>10889.636755601023</v>
      </c>
      <c r="P1005" s="25">
        <f t="shared" si="786"/>
        <v>30050.93324439897</v>
      </c>
      <c r="Q1005" s="25">
        <f t="array" aca="1" ref="Q1005" ca="1">INDEX('Isaac 401k'!L:L,MATCH('Retirement Calculator'!A1005,'Isaac 401k'!N:N,0),0)</f>
        <v>-16947180.306164231</v>
      </c>
      <c r="R1005" s="25">
        <f t="array" aca="1" ref="R1005" ca="1">INDEX('Lorri 401b'!L:L,MATCH('Retirement Calculator'!A1005,'Lorri 401b'!N:N,0),0)</f>
        <v>-32341199.296833321</v>
      </c>
      <c r="S1005" s="25">
        <f t="shared" ca="1" si="787"/>
        <v>-49288379.602997556</v>
      </c>
    </row>
    <row r="1006" spans="1:19" ht="15.75" customHeight="1" x14ac:dyDescent="0.3">
      <c r="A1006" s="37">
        <v>81571</v>
      </c>
      <c r="B1006" s="398">
        <f t="shared" ref="B1006:C1006" si="1017">($A1006-B$9)/365.25</f>
        <v>141.45106091718</v>
      </c>
      <c r="C1006" s="398">
        <f t="shared" si="1017"/>
        <v>136.84052019164955</v>
      </c>
      <c r="E1006" s="25">
        <f>IF(C1006&gt;$B$7,0,'Combined Retirement'!$D$13/12)</f>
        <v>0</v>
      </c>
      <c r="F1006" s="25">
        <f>IF(H1006=0,'Combined Retirement'!$D$32,0)+'Combined Retirement'!$B$24</f>
        <v>2870.372285649099</v>
      </c>
      <c r="G1006" s="25">
        <f>'Combined Retirement'!$C$24</f>
        <v>3254.2644699519233</v>
      </c>
      <c r="H1006" s="25">
        <f>IF(B1006&lt;62,0,'Combined Retirement'!$I$14)</f>
        <v>2345</v>
      </c>
      <c r="I1006" s="25">
        <f>IF(C1006&lt;62,0,'Combined Retirement'!$I$13)</f>
        <v>2420</v>
      </c>
      <c r="J1006" s="25">
        <f t="shared" si="783"/>
        <v>8395.6297298201844</v>
      </c>
      <c r="K1006" s="25">
        <f t="shared" si="784"/>
        <v>21655.303514578787</v>
      </c>
      <c r="L1006" s="25"/>
      <c r="N1006" s="25">
        <f>'Combined Retirement'!$C$18/12</f>
        <v>40940.569999999992</v>
      </c>
      <c r="O1006" s="25">
        <f t="shared" si="785"/>
        <v>10889.636755601023</v>
      </c>
      <c r="P1006" s="25">
        <f t="shared" si="786"/>
        <v>30050.93324439897</v>
      </c>
      <c r="Q1006" s="25">
        <f t="array" aca="1" ref="Q1006" ca="1">INDEX('Isaac 401k'!L:L,MATCH('Retirement Calculator'!A1006,'Isaac 401k'!N:N,0),0)</f>
        <v>-17026224.168960273</v>
      </c>
      <c r="R1006" s="25">
        <f t="array" aca="1" ref="R1006" ca="1">INDEX('Lorri 401b'!L:L,MATCH('Retirement Calculator'!A1006,'Lorri 401b'!N:N,0),0)</f>
        <v>-32497699.827849347</v>
      </c>
      <c r="S1006" s="25">
        <f t="shared" ca="1" si="787"/>
        <v>-49523923.996809617</v>
      </c>
    </row>
    <row r="1007" spans="1:19" ht="15.75" customHeight="1" x14ac:dyDescent="0.3">
      <c r="A1007" s="37">
        <v>81602</v>
      </c>
      <c r="B1007" s="398">
        <f t="shared" ref="B1007:C1007" si="1018">($A1007-B$9)/365.25</f>
        <v>141.5359342915811</v>
      </c>
      <c r="C1007" s="398">
        <f t="shared" si="1018"/>
        <v>136.92539356605064</v>
      </c>
      <c r="E1007" s="25">
        <f>IF(C1007&gt;$B$7,0,'Combined Retirement'!$D$13/12)</f>
        <v>0</v>
      </c>
      <c r="F1007" s="25">
        <f>IF(H1007=0,'Combined Retirement'!$D$32,0)+'Combined Retirement'!$B$24</f>
        <v>2870.372285649099</v>
      </c>
      <c r="G1007" s="25">
        <f>'Combined Retirement'!$C$24</f>
        <v>3254.2644699519233</v>
      </c>
      <c r="H1007" s="25">
        <f>IF(B1007&lt;62,0,'Combined Retirement'!$I$14)</f>
        <v>2345</v>
      </c>
      <c r="I1007" s="25">
        <f>IF(C1007&lt;62,0,'Combined Retirement'!$I$13)</f>
        <v>2420</v>
      </c>
      <c r="J1007" s="25">
        <f t="shared" si="783"/>
        <v>8395.6297298201844</v>
      </c>
      <c r="K1007" s="25">
        <f t="shared" si="784"/>
        <v>21655.303514578787</v>
      </c>
      <c r="L1007" s="25"/>
      <c r="N1007" s="25">
        <f>'Combined Retirement'!$C$18/12</f>
        <v>40940.569999999992</v>
      </c>
      <c r="O1007" s="25">
        <f t="shared" si="785"/>
        <v>10889.636755601023</v>
      </c>
      <c r="P1007" s="25">
        <f t="shared" si="786"/>
        <v>30050.93324439897</v>
      </c>
      <c r="Q1007" s="25">
        <f t="array" aca="1" ref="Q1007" ca="1">INDEX('Isaac 401k'!L:L,MATCH('Retirement Calculator'!A1007,'Isaac 401k'!N:N,0),0)</f>
        <v>-17105597.381184634</v>
      </c>
      <c r="R1007" s="25">
        <f t="array" aca="1" ref="R1007" ca="1">INDEX('Lorri 401b'!L:L,MATCH('Retirement Calculator'!A1007,'Lorri 401b'!N:N,0),0)</f>
        <v>-32654852.444411274</v>
      </c>
      <c r="S1007" s="25">
        <f t="shared" ca="1" si="787"/>
        <v>-49760449.825595908</v>
      </c>
    </row>
    <row r="1008" spans="1:19" ht="15.75" customHeight="1" x14ac:dyDescent="0.3">
      <c r="A1008" s="37">
        <v>81632</v>
      </c>
      <c r="B1008" s="398">
        <f t="shared" ref="B1008:C1008" si="1019">($A1008-B$9)/365.25</f>
        <v>141.61806981519507</v>
      </c>
      <c r="C1008" s="398">
        <f t="shared" si="1019"/>
        <v>137.00752908966462</v>
      </c>
      <c r="E1008" s="25">
        <f>IF(C1008&gt;$B$7,0,'Combined Retirement'!$D$13/12)</f>
        <v>0</v>
      </c>
      <c r="F1008" s="25">
        <f>IF(H1008=0,'Combined Retirement'!$D$32,0)+'Combined Retirement'!$B$24</f>
        <v>2870.372285649099</v>
      </c>
      <c r="G1008" s="25">
        <f>'Combined Retirement'!$C$24</f>
        <v>3254.2644699519233</v>
      </c>
      <c r="H1008" s="25">
        <f>IF(B1008&lt;62,0,'Combined Retirement'!$I$14)</f>
        <v>2345</v>
      </c>
      <c r="I1008" s="25">
        <f>IF(C1008&lt;62,0,'Combined Retirement'!$I$13)</f>
        <v>2420</v>
      </c>
      <c r="J1008" s="25">
        <f t="shared" si="783"/>
        <v>8395.6297298201844</v>
      </c>
      <c r="K1008" s="25">
        <f t="shared" si="784"/>
        <v>21655.303514578787</v>
      </c>
      <c r="L1008" s="25"/>
      <c r="N1008" s="25">
        <f>'Combined Retirement'!$C$18/12</f>
        <v>40940.569999999992</v>
      </c>
      <c r="O1008" s="25">
        <f t="shared" si="785"/>
        <v>10889.636755601023</v>
      </c>
      <c r="P1008" s="25">
        <f t="shared" si="786"/>
        <v>30050.93324439897</v>
      </c>
      <c r="Q1008" s="25">
        <f t="array" aca="1" ref="Q1008" ca="1">INDEX('Isaac 401k'!L:L,MATCH('Retirement Calculator'!A1008,'Isaac 401k'!N:N,0),0)</f>
        <v>-17185301.315126594</v>
      </c>
      <c r="R1008" s="25">
        <f t="array" aca="1" ref="R1008" ca="1">INDEX('Lorri 401b'!L:L,MATCH('Retirement Calculator'!A1008,'Lorri 401b'!N:N,0),0)</f>
        <v>-32812659.86354221</v>
      </c>
      <c r="S1008" s="25">
        <f t="shared" ca="1" si="787"/>
        <v>-49997961.178668804</v>
      </c>
    </row>
    <row r="1009" spans="1:19" ht="15.75" customHeight="1" x14ac:dyDescent="0.3">
      <c r="A1009" s="37">
        <v>81663</v>
      </c>
      <c r="B1009" s="398">
        <f t="shared" ref="B1009:C1009" si="1020">($A1009-B$9)/365.25</f>
        <v>141.70294318959617</v>
      </c>
      <c r="C1009" s="398">
        <f t="shared" si="1020"/>
        <v>137.09240246406571</v>
      </c>
      <c r="E1009" s="25">
        <f>IF(C1009&gt;$B$7,0,'Combined Retirement'!$D$13/12)</f>
        <v>0</v>
      </c>
      <c r="F1009" s="25">
        <f>IF(H1009=0,'Combined Retirement'!$D$32,0)+'Combined Retirement'!$B$24</f>
        <v>2870.372285649099</v>
      </c>
      <c r="G1009" s="25">
        <f>'Combined Retirement'!$C$24</f>
        <v>3254.2644699519233</v>
      </c>
      <c r="H1009" s="25">
        <f>IF(B1009&lt;62,0,'Combined Retirement'!$I$14)</f>
        <v>2345</v>
      </c>
      <c r="I1009" s="25">
        <f>IF(C1009&lt;62,0,'Combined Retirement'!$I$13)</f>
        <v>2420</v>
      </c>
      <c r="J1009" s="25">
        <f t="shared" si="783"/>
        <v>8395.6297298201844</v>
      </c>
      <c r="K1009" s="25">
        <f t="shared" si="784"/>
        <v>21655.303514578787</v>
      </c>
      <c r="L1009" s="25"/>
      <c r="N1009" s="25">
        <f>'Combined Retirement'!$C$18/12</f>
        <v>40940.569999999992</v>
      </c>
      <c r="O1009" s="25">
        <f t="shared" si="785"/>
        <v>10889.636755601023</v>
      </c>
      <c r="P1009" s="25">
        <f t="shared" si="786"/>
        <v>30050.93324439897</v>
      </c>
      <c r="Q1009" s="25">
        <f t="array" aca="1" ref="Q1009" ca="1">INDEX('Isaac 401k'!L:L,MATCH('Retirement Calculator'!A1009,'Isaac 401k'!N:N,0),0)</f>
        <v>-17265337.348793313</v>
      </c>
      <c r="R1009" s="25">
        <f t="array" aca="1" ref="R1009" ca="1">INDEX('Lorri 401b'!L:L,MATCH('Retirement Calculator'!A1009,'Lorri 401b'!N:N,0),0)</f>
        <v>-32971124.81358619</v>
      </c>
      <c r="S1009" s="25">
        <f t="shared" ca="1" si="787"/>
        <v>-50236462.162379503</v>
      </c>
    </row>
    <row r="1010" spans="1:19" ht="15.75" customHeight="1" x14ac:dyDescent="0.3">
      <c r="A1010" s="37">
        <v>81694</v>
      </c>
      <c r="B1010" s="398">
        <f t="shared" ref="B1010:C1010" si="1021">($A1010-B$9)/365.25</f>
        <v>141.78781656399727</v>
      </c>
      <c r="C1010" s="398">
        <f t="shared" si="1021"/>
        <v>137.17727583846681</v>
      </c>
      <c r="E1010" s="25">
        <f>IF(C1010&gt;$B$7,0,'Combined Retirement'!$D$13/12)</f>
        <v>0</v>
      </c>
      <c r="F1010" s="25">
        <f>IF(H1010=0,'Combined Retirement'!$D$32,0)+'Combined Retirement'!$B$24</f>
        <v>2870.372285649099</v>
      </c>
      <c r="G1010" s="25">
        <f>'Combined Retirement'!$C$24</f>
        <v>3254.2644699519233</v>
      </c>
      <c r="H1010" s="25">
        <f>IF(B1010&lt;62,0,'Combined Retirement'!$I$14)</f>
        <v>2345</v>
      </c>
      <c r="I1010" s="25">
        <f>IF(C1010&lt;62,0,'Combined Retirement'!$I$13)</f>
        <v>2420</v>
      </c>
      <c r="J1010" s="25">
        <f t="shared" si="783"/>
        <v>8395.6297298201844</v>
      </c>
      <c r="K1010" s="25">
        <f t="shared" si="784"/>
        <v>21655.303514578787</v>
      </c>
      <c r="L1010" s="25"/>
      <c r="N1010" s="25">
        <f>'Combined Retirement'!$C$18/12</f>
        <v>40940.569999999992</v>
      </c>
      <c r="O1010" s="25">
        <f t="shared" si="785"/>
        <v>10889.636755601023</v>
      </c>
      <c r="P1010" s="25">
        <f t="shared" si="786"/>
        <v>30050.93324439897</v>
      </c>
      <c r="Q1010" s="25">
        <f t="array" aca="1" ref="Q1010" ca="1">INDEX('Isaac 401k'!L:L,MATCH('Retirement Calculator'!A1010,'Isaac 401k'!N:N,0),0)</f>
        <v>-17345706.865933646</v>
      </c>
      <c r="R1010" s="25">
        <f t="array" aca="1" ref="R1010" ca="1">INDEX('Lorri 401b'!L:L,MATCH('Retirement Calculator'!A1010,'Lorri 401b'!N:N,0),0)</f>
        <v>-33130250.034255356</v>
      </c>
      <c r="S1010" s="25">
        <f t="shared" ca="1" si="787"/>
        <v>-50475956.900188997</v>
      </c>
    </row>
    <row r="1011" spans="1:19" ht="15.75" customHeight="1" x14ac:dyDescent="0.3">
      <c r="A1011" s="37">
        <v>81724</v>
      </c>
      <c r="B1011" s="398">
        <f t="shared" ref="B1011:C1011" si="1022">($A1011-B$9)/365.25</f>
        <v>141.86995208761124</v>
      </c>
      <c r="C1011" s="398">
        <f t="shared" si="1022"/>
        <v>137.25941136208075</v>
      </c>
      <c r="E1011" s="25">
        <f>IF(C1011&gt;$B$7,0,'Combined Retirement'!$D$13/12)</f>
        <v>0</v>
      </c>
      <c r="F1011" s="25">
        <f>IF(H1011=0,'Combined Retirement'!$D$32,0)+'Combined Retirement'!$B$24</f>
        <v>2870.372285649099</v>
      </c>
      <c r="G1011" s="25">
        <f>'Combined Retirement'!$C$24</f>
        <v>3254.2644699519233</v>
      </c>
      <c r="H1011" s="25">
        <f>IF(B1011&lt;62,0,'Combined Retirement'!$I$14)</f>
        <v>2345</v>
      </c>
      <c r="I1011" s="25">
        <f>IF(C1011&lt;62,0,'Combined Retirement'!$I$13)</f>
        <v>2420</v>
      </c>
      <c r="J1011" s="25">
        <f t="shared" si="783"/>
        <v>8395.6297298201844</v>
      </c>
      <c r="K1011" s="25">
        <f t="shared" si="784"/>
        <v>21655.303514578787</v>
      </c>
      <c r="L1011" s="25"/>
      <c r="N1011" s="25">
        <f>'Combined Retirement'!$C$18/12</f>
        <v>40940.569999999992</v>
      </c>
      <c r="O1011" s="25">
        <f t="shared" si="785"/>
        <v>10889.636755601023</v>
      </c>
      <c r="P1011" s="25">
        <f t="shared" si="786"/>
        <v>30050.93324439897</v>
      </c>
      <c r="Q1011" s="25">
        <f t="array" aca="1" ref="Q1011" ca="1">INDEX('Isaac 401k'!L:L,MATCH('Retirement Calculator'!A1011,'Isaac 401k'!N:N,0),0)</f>
        <v>-17426411.256062061</v>
      </c>
      <c r="R1011" s="25">
        <f t="array" aca="1" ref="R1011" ca="1">INDEX('Lorri 401b'!L:L,MATCH('Retirement Calculator'!A1011,'Lorri 401b'!N:N,0),0)</f>
        <v>-33290038.276677307</v>
      </c>
      <c r="S1011" s="25">
        <f t="shared" ca="1" si="787"/>
        <v>-50716449.532739371</v>
      </c>
    </row>
    <row r="1012" spans="1:19" ht="15.75" customHeight="1" x14ac:dyDescent="0.3">
      <c r="A1012" s="37">
        <v>81755</v>
      </c>
      <c r="B1012" s="398">
        <f t="shared" ref="B1012:C1012" si="1023">($A1012-B$9)/365.25</f>
        <v>141.95482546201231</v>
      </c>
      <c r="C1012" s="398">
        <f t="shared" si="1023"/>
        <v>137.34428473648185</v>
      </c>
      <c r="E1012" s="25">
        <f>IF(C1012&gt;$B$7,0,'Combined Retirement'!$D$13/12)</f>
        <v>0</v>
      </c>
      <c r="F1012" s="25">
        <f>IF(H1012=0,'Combined Retirement'!$D$32,0)+'Combined Retirement'!$B$24</f>
        <v>2870.372285649099</v>
      </c>
      <c r="G1012" s="25">
        <f>'Combined Retirement'!$C$24</f>
        <v>3254.2644699519233</v>
      </c>
      <c r="H1012" s="25">
        <f>IF(B1012&lt;62,0,'Combined Retirement'!$I$14)</f>
        <v>2345</v>
      </c>
      <c r="I1012" s="25">
        <f>IF(C1012&lt;62,0,'Combined Retirement'!$I$13)</f>
        <v>2420</v>
      </c>
      <c r="J1012" s="25">
        <f t="shared" si="783"/>
        <v>8395.6297298201844</v>
      </c>
      <c r="K1012" s="25">
        <f t="shared" si="784"/>
        <v>21655.303514578787</v>
      </c>
      <c r="L1012" s="25"/>
      <c r="N1012" s="25">
        <f>'Combined Retirement'!$C$18/12</f>
        <v>40940.569999999992</v>
      </c>
      <c r="O1012" s="25">
        <f t="shared" si="785"/>
        <v>10889.636755601023</v>
      </c>
      <c r="P1012" s="25">
        <f t="shared" si="786"/>
        <v>30050.93324439897</v>
      </c>
      <c r="Q1012" s="25">
        <f t="array" aca="1" ref="Q1012" ca="1">INDEX('Isaac 401k'!L:L,MATCH('Retirement Calculator'!A1012,'Isaac 401k'!N:N,0),0)</f>
        <v>-17507451.914482679</v>
      </c>
      <c r="R1012" s="25">
        <f t="array" aca="1" ref="R1012" ca="1">INDEX('Lorri 401b'!L:L,MATCH('Retirement Calculator'!A1012,'Lorri 401b'!N:N,0),0)</f>
        <v>-33450492.303442683</v>
      </c>
      <c r="S1012" s="25">
        <f t="shared" ca="1" si="787"/>
        <v>-50957944.217925362</v>
      </c>
    </row>
    <row r="1013" spans="1:19" ht="15.75" customHeight="1" x14ac:dyDescent="0.3">
      <c r="A1013" s="37">
        <v>81785</v>
      </c>
      <c r="B1013" s="398">
        <f t="shared" ref="B1013:C1013" si="1024">($A1013-B$9)/365.25</f>
        <v>142.03696098562628</v>
      </c>
      <c r="C1013" s="398">
        <f t="shared" si="1024"/>
        <v>137.42642026009582</v>
      </c>
      <c r="E1013" s="25">
        <f>IF(C1013&gt;$B$7,0,'Combined Retirement'!$D$13/12)</f>
        <v>0</v>
      </c>
      <c r="F1013" s="25">
        <f>IF(H1013=0,'Combined Retirement'!$D$32,0)+'Combined Retirement'!$B$24</f>
        <v>2870.372285649099</v>
      </c>
      <c r="G1013" s="25">
        <f>'Combined Retirement'!$C$24</f>
        <v>3254.2644699519233</v>
      </c>
      <c r="H1013" s="25">
        <f>IF(B1013&lt;62,0,'Combined Retirement'!$I$14)</f>
        <v>2345</v>
      </c>
      <c r="I1013" s="25">
        <f>IF(C1013&lt;62,0,'Combined Retirement'!$I$13)</f>
        <v>2420</v>
      </c>
      <c r="J1013" s="25">
        <f t="shared" si="783"/>
        <v>8395.6297298201844</v>
      </c>
      <c r="K1013" s="25">
        <f t="shared" si="784"/>
        <v>21655.303514578787</v>
      </c>
      <c r="L1013" s="25"/>
      <c r="N1013" s="25">
        <f>'Combined Retirement'!$C$18/12</f>
        <v>40940.569999999992</v>
      </c>
      <c r="O1013" s="25">
        <f t="shared" si="785"/>
        <v>10889.636755601023</v>
      </c>
      <c r="P1013" s="25">
        <f t="shared" si="786"/>
        <v>30050.93324439897</v>
      </c>
      <c r="Q1013" s="25">
        <f t="array" aca="1" ref="Q1013" ca="1">INDEX('Isaac 401k'!L:L,MATCH('Retirement Calculator'!A1013,'Isaac 401k'!N:N,0),0)</f>
        <v>-17588830.242313385</v>
      </c>
      <c r="R1013" s="25">
        <f t="array" aca="1" ref="R1013" ca="1">INDEX('Lorri 401b'!L:L,MATCH('Retirement Calculator'!A1013,'Lorri 401b'!N:N,0),0)</f>
        <v>-33611614.888652913</v>
      </c>
      <c r="S1013" s="25">
        <f t="shared" ca="1" si="787"/>
        <v>-51200445.130966298</v>
      </c>
    </row>
    <row r="1014" spans="1:19" ht="15.75" customHeight="1" x14ac:dyDescent="0.3">
      <c r="A1014" s="37">
        <v>81816</v>
      </c>
      <c r="B1014" s="398">
        <f t="shared" ref="B1014:C1014" si="1025">($A1014-B$9)/365.25</f>
        <v>142.12183436002738</v>
      </c>
      <c r="C1014" s="398">
        <f t="shared" si="1025"/>
        <v>137.51129363449692</v>
      </c>
      <c r="E1014" s="25">
        <f>IF(C1014&gt;$B$7,0,'Combined Retirement'!$D$13/12)</f>
        <v>0</v>
      </c>
      <c r="F1014" s="25">
        <f>IF(H1014=0,'Combined Retirement'!$D$32,0)+'Combined Retirement'!$B$24</f>
        <v>2870.372285649099</v>
      </c>
      <c r="G1014" s="25">
        <f>'Combined Retirement'!$C$24</f>
        <v>3254.2644699519233</v>
      </c>
      <c r="H1014" s="25">
        <f>IF(B1014&lt;62,0,'Combined Retirement'!$I$14)</f>
        <v>2345</v>
      </c>
      <c r="I1014" s="25">
        <f>IF(C1014&lt;62,0,'Combined Retirement'!$I$13)</f>
        <v>2420</v>
      </c>
      <c r="J1014" s="25">
        <f t="shared" si="783"/>
        <v>8395.6297298201844</v>
      </c>
      <c r="K1014" s="25">
        <f t="shared" si="784"/>
        <v>21655.303514578787</v>
      </c>
      <c r="L1014" s="25"/>
      <c r="N1014" s="25">
        <f>'Combined Retirement'!$C$18/12</f>
        <v>40940.569999999992</v>
      </c>
      <c r="O1014" s="25">
        <f t="shared" si="785"/>
        <v>10889.636755601023</v>
      </c>
      <c r="P1014" s="25">
        <f t="shared" si="786"/>
        <v>30050.93324439897</v>
      </c>
      <c r="Q1014" s="25">
        <f t="array" aca="1" ref="Q1014" ca="1">INDEX('Isaac 401k'!L:L,MATCH('Retirement Calculator'!A1014,'Isaac 401k'!N:N,0),0)</f>
        <v>-17670547.64651005</v>
      </c>
      <c r="R1014" s="25">
        <f t="array" aca="1" ref="R1014" ca="1">INDEX('Lorri 401b'!L:L,MATCH('Retirement Calculator'!A1014,'Lorri 401b'!N:N,0),0)</f>
        <v>-33773408.81796819</v>
      </c>
      <c r="S1014" s="25">
        <f t="shared" ca="1" si="787"/>
        <v>-51443956.464478239</v>
      </c>
    </row>
    <row r="1015" spans="1:19" ht="15.75" customHeight="1" x14ac:dyDescent="0.3">
      <c r="A1015" s="37">
        <v>81847</v>
      </c>
      <c r="B1015" s="398">
        <f t="shared" ref="B1015:C1015" si="1026">($A1015-B$9)/365.25</f>
        <v>142.20670773442848</v>
      </c>
      <c r="C1015" s="398">
        <f t="shared" si="1026"/>
        <v>137.59616700889802</v>
      </c>
      <c r="E1015" s="25">
        <f>IF(C1015&gt;$B$7,0,'Combined Retirement'!$D$13/12)</f>
        <v>0</v>
      </c>
      <c r="F1015" s="25">
        <f>IF(H1015=0,'Combined Retirement'!$D$32,0)+'Combined Retirement'!$B$24</f>
        <v>2870.372285649099</v>
      </c>
      <c r="G1015" s="25">
        <f>'Combined Retirement'!$C$24</f>
        <v>3254.2644699519233</v>
      </c>
      <c r="H1015" s="25">
        <f>IF(B1015&lt;62,0,'Combined Retirement'!$I$14)</f>
        <v>2345</v>
      </c>
      <c r="I1015" s="25">
        <f>IF(C1015&lt;62,0,'Combined Retirement'!$I$13)</f>
        <v>2420</v>
      </c>
      <c r="J1015" s="25">
        <f t="shared" si="783"/>
        <v>8395.6297298201844</v>
      </c>
      <c r="K1015" s="25">
        <f t="shared" si="784"/>
        <v>21655.303514578787</v>
      </c>
      <c r="L1015" s="25"/>
      <c r="N1015" s="25">
        <f>'Combined Retirement'!$C$18/12</f>
        <v>40940.569999999992</v>
      </c>
      <c r="O1015" s="25">
        <f t="shared" si="785"/>
        <v>10889.636755601023</v>
      </c>
      <c r="P1015" s="25">
        <f t="shared" si="786"/>
        <v>30050.93324439897</v>
      </c>
      <c r="Q1015" s="25">
        <f t="array" aca="1" ref="Q1015" ca="1">INDEX('Isaac 401k'!L:L,MATCH('Retirement Calculator'!A1015,'Isaac 401k'!N:N,0),0)</f>
        <v>-17752605.539890867</v>
      </c>
      <c r="R1015" s="25">
        <f t="array" aca="1" ref="R1015" ca="1">INDEX('Lorri 401b'!L:L,MATCH('Retirement Calculator'!A1015,'Lorri 401b'!N:N,0),0)</f>
        <v>-33935876.88865561</v>
      </c>
      <c r="S1015" s="25">
        <f t="shared" ca="1" si="787"/>
        <v>-51688482.428546473</v>
      </c>
    </row>
    <row r="1016" spans="1:19" ht="15.75" customHeight="1" x14ac:dyDescent="0.3">
      <c r="A1016" s="37">
        <v>81876</v>
      </c>
      <c r="B1016" s="398">
        <f t="shared" ref="B1016:C1016" si="1027">($A1016-B$9)/365.25</f>
        <v>142.28610540725529</v>
      </c>
      <c r="C1016" s="398">
        <f t="shared" si="1027"/>
        <v>137.67556468172484</v>
      </c>
      <c r="E1016" s="25">
        <f>IF(C1016&gt;$B$7,0,'Combined Retirement'!$D$13/12)</f>
        <v>0</v>
      </c>
      <c r="F1016" s="25">
        <f>IF(H1016=0,'Combined Retirement'!$D$32,0)+'Combined Retirement'!$B$24</f>
        <v>2870.372285649099</v>
      </c>
      <c r="G1016" s="25">
        <f>'Combined Retirement'!$C$24</f>
        <v>3254.2644699519233</v>
      </c>
      <c r="H1016" s="25">
        <f>IF(B1016&lt;62,0,'Combined Retirement'!$I$14)</f>
        <v>2345</v>
      </c>
      <c r="I1016" s="25">
        <f>IF(C1016&lt;62,0,'Combined Retirement'!$I$13)</f>
        <v>2420</v>
      </c>
      <c r="J1016" s="25">
        <f t="shared" si="783"/>
        <v>8395.6297298201844</v>
      </c>
      <c r="K1016" s="25">
        <f t="shared" si="784"/>
        <v>21655.303514578787</v>
      </c>
      <c r="L1016" s="25"/>
      <c r="N1016" s="25">
        <f>'Combined Retirement'!$C$18/12</f>
        <v>40940.569999999992</v>
      </c>
      <c r="O1016" s="25">
        <f t="shared" si="785"/>
        <v>10889.636755601023</v>
      </c>
      <c r="P1016" s="25">
        <f t="shared" si="786"/>
        <v>30050.93324439897</v>
      </c>
      <c r="Q1016" s="25">
        <f t="array" aca="1" ref="Q1016" ca="1">INDEX('Isaac 401k'!L:L,MATCH('Retirement Calculator'!A1016,'Isaac 401k'!N:N,0),0)</f>
        <v>-17835005.341160771</v>
      </c>
      <c r="R1016" s="25">
        <f t="array" aca="1" ref="R1016" ca="1">INDEX('Lorri 401b'!L:L,MATCH('Retirement Calculator'!A1016,'Lorri 401b'!N:N,0),0)</f>
        <v>-34099021.909637563</v>
      </c>
      <c r="S1016" s="25">
        <f t="shared" ca="1" si="787"/>
        <v>-51934027.25079833</v>
      </c>
    </row>
    <row r="1017" spans="1:19" ht="15.75" customHeight="1" x14ac:dyDescent="0.3">
      <c r="A1017" s="37">
        <v>81907</v>
      </c>
      <c r="B1017" s="398">
        <f t="shared" ref="B1017:C1017" si="1028">($A1017-B$9)/365.25</f>
        <v>142.37097878165639</v>
      </c>
      <c r="C1017" s="398">
        <f t="shared" si="1028"/>
        <v>137.76043805612593</v>
      </c>
      <c r="E1017" s="25">
        <f>IF(C1017&gt;$B$7,0,'Combined Retirement'!$D$13/12)</f>
        <v>0</v>
      </c>
      <c r="F1017" s="25">
        <f>IF(H1017=0,'Combined Retirement'!$D$32,0)+'Combined Retirement'!$B$24</f>
        <v>2870.372285649099</v>
      </c>
      <c r="G1017" s="25">
        <f>'Combined Retirement'!$C$24</f>
        <v>3254.2644699519233</v>
      </c>
      <c r="H1017" s="25">
        <f>IF(B1017&lt;62,0,'Combined Retirement'!$I$14)</f>
        <v>2345</v>
      </c>
      <c r="I1017" s="25">
        <f>IF(C1017&lt;62,0,'Combined Retirement'!$I$13)</f>
        <v>2420</v>
      </c>
      <c r="J1017" s="25">
        <f t="shared" si="783"/>
        <v>8395.6297298201844</v>
      </c>
      <c r="K1017" s="25">
        <f t="shared" si="784"/>
        <v>21655.303514578787</v>
      </c>
      <c r="L1017" s="25"/>
      <c r="N1017" s="25">
        <f>'Combined Retirement'!$C$18/12</f>
        <v>40940.569999999992</v>
      </c>
      <c r="O1017" s="25">
        <f t="shared" si="785"/>
        <v>10889.636755601023</v>
      </c>
      <c r="P1017" s="25">
        <f t="shared" si="786"/>
        <v>30050.93324439897</v>
      </c>
      <c r="Q1017" s="25">
        <f t="array" aca="1" ref="Q1017" ca="1">INDEX('Isaac 401k'!L:L,MATCH('Retirement Calculator'!A1017,'Isaac 401k'!N:N,0),0)</f>
        <v>-17917748.474935967</v>
      </c>
      <c r="R1017" s="25">
        <f t="array" aca="1" ref="R1017" ca="1">INDEX('Lorri 401b'!L:L,MATCH('Retirement Calculator'!A1017,'Lorri 401b'!N:N,0),0)</f>
        <v>-34262846.701540276</v>
      </c>
      <c r="S1017" s="25">
        <f t="shared" ca="1" si="787"/>
        <v>-52180595.17647624</v>
      </c>
    </row>
    <row r="1018" spans="1:19" ht="15.75" customHeight="1" x14ac:dyDescent="0.3">
      <c r="A1018" s="37">
        <v>81937</v>
      </c>
      <c r="B1018" s="398">
        <f t="shared" ref="B1018:C1018" si="1029">($A1018-B$9)/365.25</f>
        <v>142.45311430527036</v>
      </c>
      <c r="C1018" s="398">
        <f t="shared" si="1029"/>
        <v>137.84257357973991</v>
      </c>
      <c r="E1018" s="25">
        <f>IF(C1018&gt;$B$7,0,'Combined Retirement'!$D$13/12)</f>
        <v>0</v>
      </c>
      <c r="F1018" s="25">
        <f>IF(H1018=0,'Combined Retirement'!$D$32,0)+'Combined Retirement'!$B$24</f>
        <v>2870.372285649099</v>
      </c>
      <c r="G1018" s="25">
        <f>'Combined Retirement'!$C$24</f>
        <v>3254.2644699519233</v>
      </c>
      <c r="H1018" s="25">
        <f>IF(B1018&lt;62,0,'Combined Retirement'!$I$14)</f>
        <v>2345</v>
      </c>
      <c r="I1018" s="25">
        <f>IF(C1018&lt;62,0,'Combined Retirement'!$I$13)</f>
        <v>2420</v>
      </c>
      <c r="J1018" s="25">
        <f t="shared" si="783"/>
        <v>8395.6297298201844</v>
      </c>
      <c r="K1018" s="25">
        <f t="shared" si="784"/>
        <v>21655.303514578787</v>
      </c>
      <c r="L1018" s="25"/>
      <c r="N1018" s="25">
        <f>'Combined Retirement'!$C$18/12</f>
        <v>40940.569999999992</v>
      </c>
      <c r="O1018" s="25">
        <f t="shared" si="785"/>
        <v>10889.636755601023</v>
      </c>
      <c r="P1018" s="25">
        <f t="shared" si="786"/>
        <v>30050.93324439897</v>
      </c>
      <c r="Q1018" s="25">
        <f t="array" aca="1" ref="Q1018" ca="1">INDEX('Isaac 401k'!L:L,MATCH('Retirement Calculator'!A1018,'Isaac 401k'!N:N,0),0)</f>
        <v>-18000836.37176856</v>
      </c>
      <c r="R1018" s="25">
        <f t="array" aca="1" ref="R1018" ca="1">INDEX('Lorri 401b'!L:L,MATCH('Retirement Calculator'!A1018,'Lorri 401b'!N:N,0),0)</f>
        <v>-34427354.096742585</v>
      </c>
      <c r="S1018" s="25">
        <f t="shared" ca="1" si="787"/>
        <v>-52428190.468511149</v>
      </c>
    </row>
    <row r="1019" spans="1:19" ht="15.75" customHeight="1" x14ac:dyDescent="0.3">
      <c r="A1019" s="37">
        <v>81968</v>
      </c>
      <c r="B1019" s="398">
        <f t="shared" ref="B1019:C1019" si="1030">($A1019-B$9)/365.25</f>
        <v>142.53798767967146</v>
      </c>
      <c r="C1019" s="398">
        <f t="shared" si="1030"/>
        <v>137.927446954141</v>
      </c>
      <c r="E1019" s="25">
        <f>IF(C1019&gt;$B$7,0,'Combined Retirement'!$D$13/12)</f>
        <v>0</v>
      </c>
      <c r="F1019" s="25">
        <f>IF(H1019=0,'Combined Retirement'!$D$32,0)+'Combined Retirement'!$B$24</f>
        <v>2870.372285649099</v>
      </c>
      <c r="G1019" s="25">
        <f>'Combined Retirement'!$C$24</f>
        <v>3254.2644699519233</v>
      </c>
      <c r="H1019" s="25">
        <f>IF(B1019&lt;62,0,'Combined Retirement'!$I$14)</f>
        <v>2345</v>
      </c>
      <c r="I1019" s="25">
        <f>IF(C1019&lt;62,0,'Combined Retirement'!$I$13)</f>
        <v>2420</v>
      </c>
      <c r="J1019" s="25">
        <f t="shared" si="783"/>
        <v>8395.6297298201844</v>
      </c>
      <c r="K1019" s="25">
        <f t="shared" si="784"/>
        <v>21655.303514578787</v>
      </c>
      <c r="L1019" s="25"/>
      <c r="N1019" s="25">
        <f>'Combined Retirement'!$C$18/12</f>
        <v>40940.569999999992</v>
      </c>
      <c r="O1019" s="25">
        <f t="shared" si="785"/>
        <v>10889.636755601023</v>
      </c>
      <c r="P1019" s="25">
        <f t="shared" si="786"/>
        <v>30050.93324439897</v>
      </c>
      <c r="Q1019" s="25">
        <f t="array" aca="1" ref="Q1019" ca="1">INDEX('Isaac 401k'!L:L,MATCH('Retirement Calculator'!A1019,'Isaac 401k'!N:N,0),0)</f>
        <v>-18084270.468171287</v>
      </c>
      <c r="R1019" s="25">
        <f t="array" aca="1" ref="R1019" ca="1">INDEX('Lorri 401b'!L:L,MATCH('Retirement Calculator'!A1019,'Lorri 401b'!N:N,0),0)</f>
        <v>-34592546.939424902</v>
      </c>
      <c r="S1019" s="25">
        <f t="shared" ca="1" si="787"/>
        <v>-52676817.407596186</v>
      </c>
    </row>
    <row r="1020" spans="1:19" ht="15.75" customHeight="1" x14ac:dyDescent="0.3">
      <c r="A1020" s="37">
        <v>81998</v>
      </c>
      <c r="B1020" s="398">
        <f t="shared" ref="B1020:C1020" si="1031">($A1020-B$9)/365.25</f>
        <v>142.62012320328543</v>
      </c>
      <c r="C1020" s="398">
        <f t="shared" si="1031"/>
        <v>138.00958247775498</v>
      </c>
      <c r="E1020" s="25">
        <f>IF(C1020&gt;$B$7,0,'Combined Retirement'!$D$13/12)</f>
        <v>0</v>
      </c>
      <c r="F1020" s="25">
        <f>IF(H1020=0,'Combined Retirement'!$D$32,0)+'Combined Retirement'!$B$24</f>
        <v>2870.372285649099</v>
      </c>
      <c r="G1020" s="25">
        <f>'Combined Retirement'!$C$24</f>
        <v>3254.2644699519233</v>
      </c>
      <c r="H1020" s="25">
        <f>IF(B1020&lt;62,0,'Combined Retirement'!$I$14)</f>
        <v>2345</v>
      </c>
      <c r="I1020" s="25">
        <f>IF(C1020&lt;62,0,'Combined Retirement'!$I$13)</f>
        <v>2420</v>
      </c>
      <c r="J1020" s="25">
        <f t="shared" si="783"/>
        <v>8395.6297298201844</v>
      </c>
      <c r="K1020" s="25">
        <f t="shared" si="784"/>
        <v>21655.303514578787</v>
      </c>
      <c r="L1020" s="25"/>
      <c r="N1020" s="25">
        <f>'Combined Retirement'!$C$18/12</f>
        <v>40940.569999999992</v>
      </c>
      <c r="O1020" s="25">
        <f t="shared" si="785"/>
        <v>10889.636755601023</v>
      </c>
      <c r="P1020" s="25">
        <f t="shared" si="786"/>
        <v>30050.93324439897</v>
      </c>
      <c r="Q1020" s="25">
        <f t="array" aca="1" ref="Q1020" ca="1">INDEX('Isaac 401k'!L:L,MATCH('Retirement Calculator'!A1020,'Isaac 401k'!N:N,0),0)</f>
        <v>-18168052.206642359</v>
      </c>
      <c r="R1020" s="25">
        <f t="array" aca="1" ref="R1020" ca="1">INDEX('Lorri 401b'!L:L,MATCH('Retirement Calculator'!A1020,'Lorri 401b'!N:N,0),0)</f>
        <v>-34758428.085618392</v>
      </c>
      <c r="S1020" s="25">
        <f t="shared" ca="1" si="787"/>
        <v>-52926480.292260751</v>
      </c>
    </row>
    <row r="1021" spans="1:19" ht="15.75" customHeight="1" x14ac:dyDescent="0.3">
      <c r="A1021" s="37">
        <v>82029</v>
      </c>
      <c r="B1021" s="398">
        <f t="shared" ref="B1021:C1021" si="1032">($A1021-B$9)/365.25</f>
        <v>142.70499657768653</v>
      </c>
      <c r="C1021" s="398">
        <f t="shared" si="1032"/>
        <v>138.09445585215605</v>
      </c>
      <c r="E1021" s="25">
        <f>IF(C1021&gt;$B$7,0,'Combined Retirement'!$D$13/12)</f>
        <v>0</v>
      </c>
      <c r="F1021" s="25">
        <f>IF(H1021=0,'Combined Retirement'!$D$32,0)+'Combined Retirement'!$B$24</f>
        <v>2870.372285649099</v>
      </c>
      <c r="G1021" s="25">
        <f>'Combined Retirement'!$C$24</f>
        <v>3254.2644699519233</v>
      </c>
      <c r="H1021" s="25">
        <f>IF(B1021&lt;62,0,'Combined Retirement'!$I$14)</f>
        <v>2345</v>
      </c>
      <c r="I1021" s="25">
        <f>IF(C1021&lt;62,0,'Combined Retirement'!$I$13)</f>
        <v>2420</v>
      </c>
      <c r="J1021" s="25">
        <f t="shared" si="783"/>
        <v>8395.6297298201844</v>
      </c>
      <c r="K1021" s="25">
        <f t="shared" si="784"/>
        <v>21655.303514578787</v>
      </c>
      <c r="L1021" s="25"/>
      <c r="N1021" s="25">
        <f>'Combined Retirement'!$C$18/12</f>
        <v>40940.569999999992</v>
      </c>
      <c r="O1021" s="25">
        <f t="shared" si="785"/>
        <v>10889.636755601023</v>
      </c>
      <c r="P1021" s="25">
        <f t="shared" si="786"/>
        <v>30050.93324439897</v>
      </c>
      <c r="Q1021" s="25">
        <f t="array" aca="1" ref="Q1021" ca="1">INDEX('Isaac 401k'!L:L,MATCH('Retirement Calculator'!A1021,'Isaac 401k'!N:N,0),0)</f>
        <v>-18252183.035690397</v>
      </c>
      <c r="R1021" s="25">
        <f t="array" aca="1" ref="R1021" ca="1">INDEX('Lorri 401b'!L:L,MATCH('Retirement Calculator'!A1021,'Lorri 401b'!N:N,0),0)</f>
        <v>-34925000.40325436</v>
      </c>
      <c r="S1021" s="25">
        <f t="shared" ca="1" si="787"/>
        <v>-53177183.438944757</v>
      </c>
    </row>
    <row r="1022" spans="1:19" ht="15.75" customHeight="1" x14ac:dyDescent="0.3">
      <c r="A1022" s="37">
        <v>82060</v>
      </c>
      <c r="B1022" s="398">
        <f t="shared" ref="B1022:C1022" si="1033">($A1022-B$9)/365.25</f>
        <v>142.7898699520876</v>
      </c>
      <c r="C1022" s="398">
        <f t="shared" si="1033"/>
        <v>138.17932922655714</v>
      </c>
      <c r="E1022" s="25">
        <f>IF(C1022&gt;$B$7,0,'Combined Retirement'!$D$13/12)</f>
        <v>0</v>
      </c>
      <c r="F1022" s="25">
        <f>IF(H1022=0,'Combined Retirement'!$D$32,0)+'Combined Retirement'!$B$24</f>
        <v>2870.372285649099</v>
      </c>
      <c r="G1022" s="25">
        <f>'Combined Retirement'!$C$24</f>
        <v>3254.2644699519233</v>
      </c>
      <c r="H1022" s="25">
        <f>IF(B1022&lt;62,0,'Combined Retirement'!$I$14)</f>
        <v>2345</v>
      </c>
      <c r="I1022" s="25">
        <f>IF(C1022&lt;62,0,'Combined Retirement'!$I$13)</f>
        <v>2420</v>
      </c>
      <c r="J1022" s="25">
        <f t="shared" si="783"/>
        <v>8395.6297298201844</v>
      </c>
      <c r="K1022" s="25">
        <f t="shared" si="784"/>
        <v>21655.303514578787</v>
      </c>
      <c r="L1022" s="25"/>
      <c r="N1022" s="25">
        <f>'Combined Retirement'!$C$18/12</f>
        <v>40940.569999999992</v>
      </c>
      <c r="O1022" s="25">
        <f t="shared" si="785"/>
        <v>10889.636755601023</v>
      </c>
      <c r="P1022" s="25">
        <f t="shared" si="786"/>
        <v>30050.93324439897</v>
      </c>
      <c r="Q1022" s="25">
        <f t="array" aca="1" ref="Q1022" ca="1">INDEX('Isaac 401k'!L:L,MATCH('Retirement Calculator'!A1022,'Isaac 401k'!N:N,0),0)</f>
        <v>-18336664.409859467</v>
      </c>
      <c r="R1022" s="25">
        <f t="array" aca="1" ref="R1022" ca="1">INDEX('Lorri 401b'!L:L,MATCH('Retirement Calculator'!A1022,'Lorri 401b'!N:N,0),0)</f>
        <v>-35092266.772213809</v>
      </c>
      <c r="S1022" s="25">
        <f t="shared" ca="1" si="787"/>
        <v>-53428931.18207328</v>
      </c>
    </row>
    <row r="1023" spans="1:19" ht="15.75" customHeight="1" x14ac:dyDescent="0.3">
      <c r="A1023" s="37">
        <v>82090</v>
      </c>
      <c r="B1023" s="398">
        <f t="shared" ref="B1023:C1023" si="1034">($A1023-B$9)/365.25</f>
        <v>142.87200547570157</v>
      </c>
      <c r="C1023" s="398">
        <f t="shared" si="1034"/>
        <v>138.26146475017111</v>
      </c>
      <c r="E1023" s="25">
        <f>IF(C1023&gt;$B$7,0,'Combined Retirement'!$D$13/12)</f>
        <v>0</v>
      </c>
      <c r="F1023" s="25">
        <f>IF(H1023=0,'Combined Retirement'!$D$32,0)+'Combined Retirement'!$B$24</f>
        <v>2870.372285649099</v>
      </c>
      <c r="G1023" s="25">
        <f>'Combined Retirement'!$C$24</f>
        <v>3254.2644699519233</v>
      </c>
      <c r="H1023" s="25">
        <f>IF(B1023&lt;62,0,'Combined Retirement'!$I$14)</f>
        <v>2345</v>
      </c>
      <c r="I1023" s="25">
        <f>IF(C1023&lt;62,0,'Combined Retirement'!$I$13)</f>
        <v>2420</v>
      </c>
      <c r="J1023" s="25">
        <f t="shared" si="783"/>
        <v>8395.6297298201844</v>
      </c>
      <c r="K1023" s="25">
        <f t="shared" si="784"/>
        <v>21655.303514578787</v>
      </c>
      <c r="L1023" s="25"/>
      <c r="N1023" s="25">
        <f>'Combined Retirement'!$C$18/12</f>
        <v>40940.569999999992</v>
      </c>
      <c r="O1023" s="25">
        <f t="shared" si="785"/>
        <v>10889.636755601023</v>
      </c>
      <c r="P1023" s="25">
        <f t="shared" si="786"/>
        <v>30050.93324439897</v>
      </c>
      <c r="Q1023" s="25">
        <f t="array" aca="1" ref="Q1023" ca="1">INDEX('Isaac 401k'!L:L,MATCH('Retirement Calculator'!A1023,'Isaac 401k'!N:N,0),0)</f>
        <v>-18421497.789754242</v>
      </c>
      <c r="R1023" s="25">
        <f t="array" aca="1" ref="R1023" ca="1">INDEX('Lorri 401b'!L:L,MATCH('Retirement Calculator'!A1023,'Lorri 401b'!N:N,0),0)</f>
        <v>-35260230.084377252</v>
      </c>
      <c r="S1023" s="25">
        <f t="shared" ca="1" si="787"/>
        <v>-53681727.874131493</v>
      </c>
    </row>
    <row r="1024" spans="1:19" ht="15.75" customHeight="1" x14ac:dyDescent="0.3">
      <c r="A1024" s="37">
        <v>82121</v>
      </c>
      <c r="B1024" s="398">
        <f t="shared" ref="B1024:C1024" si="1035">($A1024-B$9)/365.25</f>
        <v>142.95687885010267</v>
      </c>
      <c r="C1024" s="398">
        <f t="shared" si="1035"/>
        <v>138.34633812457221</v>
      </c>
      <c r="E1024" s="25">
        <f>IF(C1024&gt;$B$7,0,'Combined Retirement'!$D$13/12)</f>
        <v>0</v>
      </c>
      <c r="F1024" s="25">
        <f>IF(H1024=0,'Combined Retirement'!$D$32,0)+'Combined Retirement'!$B$24</f>
        <v>2870.372285649099</v>
      </c>
      <c r="G1024" s="25">
        <f>'Combined Retirement'!$C$24</f>
        <v>3254.2644699519233</v>
      </c>
      <c r="H1024" s="25">
        <f>IF(B1024&lt;62,0,'Combined Retirement'!$I$14)</f>
        <v>2345</v>
      </c>
      <c r="I1024" s="25">
        <f>IF(C1024&lt;62,0,'Combined Retirement'!$I$13)</f>
        <v>2420</v>
      </c>
      <c r="J1024" s="25">
        <f t="shared" si="783"/>
        <v>8395.6297298201844</v>
      </c>
      <c r="K1024" s="25">
        <f t="shared" si="784"/>
        <v>21655.303514578787</v>
      </c>
      <c r="L1024" s="25"/>
      <c r="N1024" s="25">
        <f>'Combined Retirement'!$C$18/12</f>
        <v>40940.569999999992</v>
      </c>
      <c r="O1024" s="25">
        <f t="shared" si="785"/>
        <v>10889.636755601023</v>
      </c>
      <c r="P1024" s="25">
        <f t="shared" si="786"/>
        <v>30050.93324439897</v>
      </c>
      <c r="Q1024" s="25">
        <f t="array" aca="1" ref="Q1024" ca="1">INDEX('Isaac 401k'!L:L,MATCH('Retirement Calculator'!A1024,'Isaac 401k'!N:N,0),0)</f>
        <v>-18506684.642065246</v>
      </c>
      <c r="R1024" s="25">
        <f t="array" aca="1" ref="R1024" ca="1">INDEX('Lorri 401b'!L:L,MATCH('Retirement Calculator'!A1024,'Lorri 401b'!N:N,0),0)</f>
        <v>-35428893.24367471</v>
      </c>
      <c r="S1024" s="25">
        <f t="shared" ca="1" si="787"/>
        <v>-53935577.885739952</v>
      </c>
    </row>
    <row r="1025" spans="1:19" ht="15.75" customHeight="1" x14ac:dyDescent="0.3">
      <c r="A1025" s="37">
        <v>82151</v>
      </c>
      <c r="B1025" s="398">
        <f t="shared" ref="B1025:C1025" si="1036">($A1025-B$9)/365.25</f>
        <v>143.03901437371664</v>
      </c>
      <c r="C1025" s="398">
        <f t="shared" si="1036"/>
        <v>138.42847364818618</v>
      </c>
      <c r="E1025" s="25">
        <f>IF(C1025&gt;$B$7,0,'Combined Retirement'!$D$13/12)</f>
        <v>0</v>
      </c>
      <c r="F1025" s="25">
        <f>IF(H1025=0,'Combined Retirement'!$D$32,0)+'Combined Retirement'!$B$24</f>
        <v>2870.372285649099</v>
      </c>
      <c r="G1025" s="25">
        <f>'Combined Retirement'!$C$24</f>
        <v>3254.2644699519233</v>
      </c>
      <c r="H1025" s="25">
        <f>IF(B1025&lt;62,0,'Combined Retirement'!$I$14)</f>
        <v>2345</v>
      </c>
      <c r="I1025" s="25">
        <f>IF(C1025&lt;62,0,'Combined Retirement'!$I$13)</f>
        <v>2420</v>
      </c>
      <c r="J1025" s="25">
        <f t="shared" si="783"/>
        <v>8395.6297298201844</v>
      </c>
      <c r="K1025" s="25">
        <f t="shared" si="784"/>
        <v>21655.303514578787</v>
      </c>
      <c r="L1025" s="25"/>
      <c r="N1025" s="25">
        <f>'Combined Retirement'!$C$18/12</f>
        <v>40940.569999999992</v>
      </c>
      <c r="O1025" s="25">
        <f t="shared" si="785"/>
        <v>10889.636755601023</v>
      </c>
      <c r="P1025" s="25">
        <f t="shared" si="786"/>
        <v>30050.93324439897</v>
      </c>
      <c r="Q1025" s="25">
        <f t="array" aca="1" ref="Q1025" ca="1">INDEX('Isaac 401k'!L:L,MATCH('Retirement Calculator'!A1025,'Isaac 401k'!N:N,0),0)</f>
        <v>-18592226.439594209</v>
      </c>
      <c r="R1025" s="25">
        <f t="array" aca="1" ref="R1025" ca="1">INDEX('Lorri 401b'!L:L,MATCH('Retirement Calculator'!A1025,'Lorri 401b'!N:N,0),0)</f>
        <v>-35598259.166135907</v>
      </c>
      <c r="S1025" s="25">
        <f t="shared" ca="1" si="787"/>
        <v>-54190485.605730116</v>
      </c>
    </row>
    <row r="1026" spans="1:19" ht="15.75" customHeight="1" x14ac:dyDescent="0.3">
      <c r="A1026" s="37">
        <v>82182</v>
      </c>
      <c r="B1026" s="398">
        <f t="shared" ref="B1026:C1026" si="1037">($A1026-B$9)/365.25</f>
        <v>143.12388774811774</v>
      </c>
      <c r="C1026" s="398">
        <f t="shared" si="1037"/>
        <v>138.51334702258728</v>
      </c>
      <c r="E1026" s="25">
        <f>IF(C1026&gt;$B$7,0,'Combined Retirement'!$D$13/12)</f>
        <v>0</v>
      </c>
      <c r="F1026" s="25">
        <f>IF(H1026=0,'Combined Retirement'!$D$32,0)+'Combined Retirement'!$B$24</f>
        <v>2870.372285649099</v>
      </c>
      <c r="G1026" s="25">
        <f>'Combined Retirement'!$C$24</f>
        <v>3254.2644699519233</v>
      </c>
      <c r="H1026" s="25">
        <f>IF(B1026&lt;62,0,'Combined Retirement'!$I$14)</f>
        <v>2345</v>
      </c>
      <c r="I1026" s="25">
        <f>IF(C1026&lt;62,0,'Combined Retirement'!$I$13)</f>
        <v>2420</v>
      </c>
      <c r="J1026" s="25">
        <f t="shared" si="783"/>
        <v>8395.6297298201844</v>
      </c>
      <c r="K1026" s="25">
        <f t="shared" si="784"/>
        <v>21655.303514578787</v>
      </c>
      <c r="L1026" s="25"/>
      <c r="N1026" s="25">
        <f>'Combined Retirement'!$C$18/12</f>
        <v>40940.569999999992</v>
      </c>
      <c r="O1026" s="25">
        <f t="shared" si="785"/>
        <v>10889.636755601023</v>
      </c>
      <c r="P1026" s="25">
        <f t="shared" si="786"/>
        <v>30050.93324439897</v>
      </c>
      <c r="Q1026" s="25">
        <f t="array" aca="1" ref="Q1026" ca="1">INDEX('Isaac 401k'!L:L,MATCH('Retirement Calculator'!A1026,'Isaac 401k'!N:N,0),0)</f>
        <v>-18678124.661279544</v>
      </c>
      <c r="R1026" s="25">
        <f t="array" aca="1" ref="R1026" ca="1">INDEX('Lorri 401b'!L:L,MATCH('Retirement Calculator'!A1026,'Lorri 401b'!N:N,0),0)</f>
        <v>-35768330.779940695</v>
      </c>
      <c r="S1026" s="25">
        <f t="shared" ca="1" si="787"/>
        <v>-54446455.441220239</v>
      </c>
    </row>
    <row r="1027" spans="1:19" ht="15.75" customHeight="1" x14ac:dyDescent="0.3">
      <c r="A1027" s="37">
        <v>82213</v>
      </c>
      <c r="B1027" s="398">
        <f t="shared" ref="B1027:C1027" si="1038">($A1027-B$9)/365.25</f>
        <v>143.20876112251884</v>
      </c>
      <c r="C1027" s="398">
        <f t="shared" si="1038"/>
        <v>138.59822039698835</v>
      </c>
      <c r="E1027" s="25">
        <f>IF(C1027&gt;$B$7,0,'Combined Retirement'!$D$13/12)</f>
        <v>0</v>
      </c>
      <c r="F1027" s="25">
        <f>IF(H1027=0,'Combined Retirement'!$D$32,0)+'Combined Retirement'!$B$24</f>
        <v>2870.372285649099</v>
      </c>
      <c r="G1027" s="25">
        <f>'Combined Retirement'!$C$24</f>
        <v>3254.2644699519233</v>
      </c>
      <c r="H1027" s="25">
        <f>IF(B1027&lt;62,0,'Combined Retirement'!$I$14)</f>
        <v>2345</v>
      </c>
      <c r="I1027" s="25">
        <f>IF(C1027&lt;62,0,'Combined Retirement'!$I$13)</f>
        <v>2420</v>
      </c>
      <c r="J1027" s="25">
        <f t="shared" si="783"/>
        <v>8395.6297298201844</v>
      </c>
      <c r="K1027" s="25">
        <f t="shared" si="784"/>
        <v>21655.303514578787</v>
      </c>
      <c r="L1027" s="25"/>
      <c r="N1027" s="25">
        <f>'Combined Retirement'!$C$18/12</f>
        <v>40940.569999999992</v>
      </c>
      <c r="O1027" s="25">
        <f t="shared" si="785"/>
        <v>10889.636755601023</v>
      </c>
      <c r="P1027" s="25">
        <f t="shared" si="786"/>
        <v>30050.93324439897</v>
      </c>
      <c r="Q1027" s="25">
        <f t="array" aca="1" ref="Q1027" ca="1">INDEX('Isaac 401k'!L:L,MATCH('Retirement Calculator'!A1027,'Isaac 401k'!N:N,0),0)</f>
        <v>-18764380.7922219</v>
      </c>
      <c r="R1027" s="25">
        <f t="array" aca="1" ref="R1027" ca="1">INDEX('Lorri 401b'!L:L,MATCH('Retirement Calculator'!A1027,'Lorri 401b'!N:N,0),0)</f>
        <v>-35939111.025469668</v>
      </c>
      <c r="S1027" s="25">
        <f t="shared" ca="1" si="787"/>
        <v>-54703491.817691565</v>
      </c>
    </row>
    <row r="1028" spans="1:19" ht="15.75" customHeight="1" x14ac:dyDescent="0.3">
      <c r="A1028" s="37">
        <v>82241</v>
      </c>
      <c r="B1028" s="398">
        <f t="shared" ref="B1028:C1028" si="1039">($A1028-B$9)/365.25</f>
        <v>143.28542094455852</v>
      </c>
      <c r="C1028" s="398">
        <f t="shared" si="1039"/>
        <v>138.67488021902807</v>
      </c>
      <c r="E1028" s="25">
        <f>IF(C1028&gt;$B$7,0,'Combined Retirement'!$D$13/12)</f>
        <v>0</v>
      </c>
      <c r="F1028" s="25">
        <f>IF(H1028=0,'Combined Retirement'!$D$32,0)+'Combined Retirement'!$B$24</f>
        <v>2870.372285649099</v>
      </c>
      <c r="G1028" s="25">
        <f>'Combined Retirement'!$C$24</f>
        <v>3254.2644699519233</v>
      </c>
      <c r="H1028" s="25">
        <f>IF(B1028&lt;62,0,'Combined Retirement'!$I$14)</f>
        <v>2345</v>
      </c>
      <c r="I1028" s="25">
        <f>IF(C1028&lt;62,0,'Combined Retirement'!$I$13)</f>
        <v>2420</v>
      </c>
      <c r="J1028" s="25">
        <f t="shared" si="783"/>
        <v>8395.6297298201844</v>
      </c>
      <c r="K1028" s="25">
        <f t="shared" si="784"/>
        <v>21655.303514578787</v>
      </c>
      <c r="L1028" s="25"/>
      <c r="N1028" s="25">
        <f>'Combined Retirement'!$C$18/12</f>
        <v>40940.569999999992</v>
      </c>
      <c r="O1028" s="25">
        <f t="shared" si="785"/>
        <v>10889.636755601023</v>
      </c>
      <c r="P1028" s="25">
        <f t="shared" si="786"/>
        <v>30050.93324439897</v>
      </c>
      <c r="Q1028" s="25">
        <f t="array" aca="1" ref="Q1028" ca="1">INDEX('Isaac 401k'!L:L,MATCH('Retirement Calculator'!A1028,'Isaac 401k'!N:N,0),0)</f>
        <v>-18850996.323709849</v>
      </c>
      <c r="R1028" s="25">
        <f t="array" aca="1" ref="R1028" ca="1">INDEX('Lorri 401b'!L:L,MATCH('Retirement Calculator'!A1028,'Lorri 401b'!N:N,0),0)</f>
        <v>-36110602.855355017</v>
      </c>
      <c r="S1028" s="25">
        <f t="shared" ca="1" si="787"/>
        <v>-54961599.17906487</v>
      </c>
    </row>
    <row r="1029" spans="1:19" ht="15.75" customHeight="1" x14ac:dyDescent="0.3">
      <c r="A1029" s="37">
        <v>82272</v>
      </c>
      <c r="B1029" s="398">
        <f t="shared" ref="B1029:C1029" si="1040">($A1029-B$9)/365.25</f>
        <v>143.37029431895962</v>
      </c>
      <c r="C1029" s="398">
        <f t="shared" si="1040"/>
        <v>138.75975359342917</v>
      </c>
      <c r="E1029" s="25">
        <f>IF(C1029&gt;$B$7,0,'Combined Retirement'!$D$13/12)</f>
        <v>0</v>
      </c>
      <c r="F1029" s="25">
        <f>IF(H1029=0,'Combined Retirement'!$D$32,0)+'Combined Retirement'!$B$24</f>
        <v>2870.372285649099</v>
      </c>
      <c r="G1029" s="25">
        <f>'Combined Retirement'!$C$24</f>
        <v>3254.2644699519233</v>
      </c>
      <c r="H1029" s="25">
        <f>IF(B1029&lt;62,0,'Combined Retirement'!$I$14)</f>
        <v>2345</v>
      </c>
      <c r="I1029" s="25">
        <f>IF(C1029&lt;62,0,'Combined Retirement'!$I$13)</f>
        <v>2420</v>
      </c>
      <c r="J1029" s="25">
        <f t="shared" si="783"/>
        <v>8395.6297298201844</v>
      </c>
      <c r="K1029" s="25">
        <f t="shared" si="784"/>
        <v>21655.303514578787</v>
      </c>
      <c r="L1029" s="25"/>
      <c r="N1029" s="25">
        <f>'Combined Retirement'!$C$18/12</f>
        <v>40940.569999999992</v>
      </c>
      <c r="O1029" s="25">
        <f t="shared" si="785"/>
        <v>10889.636755601023</v>
      </c>
      <c r="P1029" s="25">
        <f t="shared" si="786"/>
        <v>30050.93324439897</v>
      </c>
      <c r="Q1029" s="25">
        <f t="array" aca="1" ref="Q1029" ca="1">INDEX('Isaac 401k'!L:L,MATCH('Retirement Calculator'!A1029,'Isaac 401k'!N:N,0),0)</f>
        <v>-18937972.753245667</v>
      </c>
      <c r="R1029" s="25">
        <f t="array" aca="1" ref="R1029" ca="1">INDEX('Lorri 401b'!L:L,MATCH('Retirement Calculator'!A1029,'Lorri 401b'!N:N,0),0)</f>
        <v>-36282809.234531552</v>
      </c>
      <c r="S1029" s="25">
        <f t="shared" ca="1" si="787"/>
        <v>-55220781.987777218</v>
      </c>
    </row>
    <row r="1030" spans="1:19" ht="15.75" customHeight="1" x14ac:dyDescent="0.3">
      <c r="A1030" s="37">
        <v>82302</v>
      </c>
      <c r="B1030" s="398">
        <f t="shared" ref="B1030:C1030" si="1041">($A1030-B$9)/365.25</f>
        <v>143.45242984257359</v>
      </c>
      <c r="C1030" s="398">
        <f t="shared" si="1041"/>
        <v>138.84188911704311</v>
      </c>
      <c r="E1030" s="25">
        <f>IF(C1030&gt;$B$7,0,'Combined Retirement'!$D$13/12)</f>
        <v>0</v>
      </c>
      <c r="F1030" s="25">
        <f>IF(H1030=0,'Combined Retirement'!$D$32,0)+'Combined Retirement'!$B$24</f>
        <v>2870.372285649099</v>
      </c>
      <c r="G1030" s="25">
        <f>'Combined Retirement'!$C$24</f>
        <v>3254.2644699519233</v>
      </c>
      <c r="H1030" s="25">
        <f>IF(B1030&lt;62,0,'Combined Retirement'!$I$14)</f>
        <v>2345</v>
      </c>
      <c r="I1030" s="25">
        <f>IF(C1030&lt;62,0,'Combined Retirement'!$I$13)</f>
        <v>2420</v>
      </c>
      <c r="J1030" s="25">
        <f t="shared" si="783"/>
        <v>8395.6297298201844</v>
      </c>
      <c r="K1030" s="25">
        <f t="shared" si="784"/>
        <v>21655.303514578787</v>
      </c>
      <c r="L1030" s="25"/>
      <c r="N1030" s="25">
        <f>'Combined Retirement'!$C$18/12</f>
        <v>40940.569999999992</v>
      </c>
      <c r="O1030" s="25">
        <f t="shared" si="785"/>
        <v>10889.636755601023</v>
      </c>
      <c r="P1030" s="25">
        <f t="shared" si="786"/>
        <v>30050.93324439897</v>
      </c>
      <c r="Q1030" s="25">
        <f t="array" aca="1" ref="Q1030" ca="1">INDEX('Isaac 401k'!L:L,MATCH('Retirement Calculator'!A1030,'Isaac 401k'!N:N,0),0)</f>
        <v>-19025311.584571216</v>
      </c>
      <c r="R1030" s="25">
        <f t="array" aca="1" ref="R1030" ca="1">INDEX('Lorri 401b'!L:L,MATCH('Retirement Calculator'!A1030,'Lorri 401b'!N:N,0),0)</f>
        <v>-36455733.140287988</v>
      </c>
      <c r="S1030" s="25">
        <f t="shared" ca="1" si="787"/>
        <v>-55481044.724859208</v>
      </c>
    </row>
    <row r="1031" spans="1:19" ht="15.75" customHeight="1" x14ac:dyDescent="0.3">
      <c r="A1031" s="37">
        <v>82333</v>
      </c>
      <c r="B1031" s="398">
        <f t="shared" ref="B1031:C1031" si="1042">($A1031-B$9)/365.25</f>
        <v>143.53730321697466</v>
      </c>
      <c r="C1031" s="398">
        <f t="shared" si="1042"/>
        <v>138.92676249144421</v>
      </c>
      <c r="E1031" s="25">
        <f>IF(C1031&gt;$B$7,0,'Combined Retirement'!$D$13/12)</f>
        <v>0</v>
      </c>
      <c r="F1031" s="25">
        <f>IF(H1031=0,'Combined Retirement'!$D$32,0)+'Combined Retirement'!$B$24</f>
        <v>2870.372285649099</v>
      </c>
      <c r="G1031" s="25">
        <f>'Combined Retirement'!$C$24</f>
        <v>3254.2644699519233</v>
      </c>
      <c r="H1031" s="25">
        <f>IF(B1031&lt;62,0,'Combined Retirement'!$I$14)</f>
        <v>2345</v>
      </c>
      <c r="I1031" s="25">
        <f>IF(C1031&lt;62,0,'Combined Retirement'!$I$13)</f>
        <v>2420</v>
      </c>
      <c r="J1031" s="25">
        <f t="shared" ref="J1031:J1171" si="1043">IF(C1031&lt;59.5,P1031,P1031*$J$7)</f>
        <v>8395.6297298201844</v>
      </c>
      <c r="K1031" s="25">
        <f t="shared" ref="K1031:K1171" si="1044">IF(C1031&lt;59.5,0,IF(C1031&lt;$B$7,0,P1031*$K$7))</f>
        <v>21655.303514578787</v>
      </c>
      <c r="L1031" s="25"/>
      <c r="N1031" s="25">
        <f>'Combined Retirement'!$C$18/12</f>
        <v>40940.569999999992</v>
      </c>
      <c r="O1031" s="25">
        <f t="shared" ref="O1031:O1171" si="1045">SUM(E1031:I1031)</f>
        <v>10889.636755601023</v>
      </c>
      <c r="P1031" s="25">
        <f t="shared" ref="P1031:P1171" si="1046">N1031-O1031</f>
        <v>30050.93324439897</v>
      </c>
      <c r="Q1031" s="25">
        <f t="array" aca="1" ref="Q1031" ca="1">INDEX('Isaac 401k'!L:L,MATCH('Retirement Calculator'!A1031,'Isaac 401k'!N:N,0),0)</f>
        <v>-19113014.327693954</v>
      </c>
      <c r="R1031" s="25">
        <f t="array" aca="1" ref="R1031" ca="1">INDEX('Lorri 401b'!L:L,MATCH('Retirement Calculator'!A1031,'Lorri 401b'!N:N,0),0)</f>
        <v>-36629377.562318407</v>
      </c>
      <c r="S1031" s="25">
        <f t="shared" ref="S1031:S1171" ca="1" si="1047">SUM(Q1031:R1031)</f>
        <v>-55742391.890012361</v>
      </c>
    </row>
    <row r="1032" spans="1:19" ht="15.75" customHeight="1" x14ac:dyDescent="0.3">
      <c r="A1032" s="37">
        <v>82363</v>
      </c>
      <c r="B1032" s="398">
        <f t="shared" ref="B1032:C1032" si="1048">($A1032-B$9)/365.25</f>
        <v>143.61943874058863</v>
      </c>
      <c r="C1032" s="398">
        <f t="shared" si="1048"/>
        <v>139.00889801505818</v>
      </c>
      <c r="E1032" s="25">
        <f>IF(C1032&gt;$B$7,0,'Combined Retirement'!$D$13/12)</f>
        <v>0</v>
      </c>
      <c r="F1032" s="25">
        <f>IF(H1032=0,'Combined Retirement'!$D$32,0)+'Combined Retirement'!$B$24</f>
        <v>2870.372285649099</v>
      </c>
      <c r="G1032" s="25">
        <f>'Combined Retirement'!$C$24</f>
        <v>3254.2644699519233</v>
      </c>
      <c r="H1032" s="25">
        <f>IF(B1032&lt;62,0,'Combined Retirement'!$I$14)</f>
        <v>2345</v>
      </c>
      <c r="I1032" s="25">
        <f>IF(C1032&lt;62,0,'Combined Retirement'!$I$13)</f>
        <v>2420</v>
      </c>
      <c r="J1032" s="25">
        <f t="shared" si="1043"/>
        <v>8395.6297298201844</v>
      </c>
      <c r="K1032" s="25">
        <f t="shared" si="1044"/>
        <v>21655.303514578787</v>
      </c>
      <c r="L1032" s="25"/>
      <c r="N1032" s="25">
        <f>'Combined Retirement'!$C$18/12</f>
        <v>40940.569999999992</v>
      </c>
      <c r="O1032" s="25">
        <f t="shared" si="1045"/>
        <v>10889.636755601023</v>
      </c>
      <c r="P1032" s="25">
        <f t="shared" si="1046"/>
        <v>30050.93324439897</v>
      </c>
      <c r="Q1032" s="25">
        <f t="array" aca="1" ref="Q1032" ca="1">INDEX('Isaac 401k'!L:L,MATCH('Retirement Calculator'!A1032,'Isaac 401k'!N:N,0),0)</f>
        <v>-19201082.498913039</v>
      </c>
      <c r="R1032" s="25">
        <f t="array" aca="1" ref="R1032" ca="1">INDEX('Lorri 401b'!L:L,MATCH('Retirement Calculator'!A1032,'Lorri 401b'!N:N,0),0)</f>
        <v>-36803745.502773955</v>
      </c>
      <c r="S1032" s="25">
        <f t="shared" ca="1" si="1047"/>
        <v>-56004828.00168699</v>
      </c>
    </row>
    <row r="1033" spans="1:19" ht="15.75" customHeight="1" x14ac:dyDescent="0.3">
      <c r="A1033" s="37">
        <v>82394</v>
      </c>
      <c r="B1033" s="398">
        <f t="shared" ref="B1033:C1033" si="1049">($A1033-B$9)/365.25</f>
        <v>143.70431211498973</v>
      </c>
      <c r="C1033" s="398">
        <f t="shared" si="1049"/>
        <v>139.09377138945928</v>
      </c>
      <c r="E1033" s="25">
        <f>IF(C1033&gt;$B$7,0,'Combined Retirement'!$D$13/12)</f>
        <v>0</v>
      </c>
      <c r="F1033" s="25">
        <f>IF(H1033=0,'Combined Retirement'!$D$32,0)+'Combined Retirement'!$B$24</f>
        <v>2870.372285649099</v>
      </c>
      <c r="G1033" s="25">
        <f>'Combined Retirement'!$C$24</f>
        <v>3254.2644699519233</v>
      </c>
      <c r="H1033" s="25">
        <f>IF(B1033&lt;62,0,'Combined Retirement'!$I$14)</f>
        <v>2345</v>
      </c>
      <c r="I1033" s="25">
        <f>IF(C1033&lt;62,0,'Combined Retirement'!$I$13)</f>
        <v>2420</v>
      </c>
      <c r="J1033" s="25">
        <f t="shared" si="1043"/>
        <v>8395.6297298201844</v>
      </c>
      <c r="K1033" s="25">
        <f t="shared" si="1044"/>
        <v>21655.303514578787</v>
      </c>
      <c r="L1033" s="25"/>
      <c r="N1033" s="25">
        <f>'Combined Retirement'!$C$18/12</f>
        <v>40940.569999999992</v>
      </c>
      <c r="O1033" s="25">
        <f t="shared" si="1045"/>
        <v>10889.636755601023</v>
      </c>
      <c r="P1033" s="25">
        <f t="shared" si="1046"/>
        <v>30050.93324439897</v>
      </c>
      <c r="Q1033" s="25">
        <f t="array" aca="1" ref="Q1033" ca="1">INDEX('Isaac 401k'!L:L,MATCH('Retirement Calculator'!A1033,'Isaac 401k'!N:N,0),0)</f>
        <v>-19289517.620845534</v>
      </c>
      <c r="R1033" s="25">
        <f t="array" aca="1" ref="R1033" ca="1">INDEX('Lorri 401b'!L:L,MATCH('Retirement Calculator'!A1033,'Lorri 401b'!N:N,0),0)</f>
        <v>-36978839.976314738</v>
      </c>
      <c r="S1033" s="25">
        <f t="shared" ca="1" si="1047"/>
        <v>-56268357.597160272</v>
      </c>
    </row>
    <row r="1034" spans="1:19" ht="15.75" customHeight="1" x14ac:dyDescent="0.3">
      <c r="A1034" s="37">
        <v>82425</v>
      </c>
      <c r="B1034" s="398">
        <f t="shared" ref="B1034:C1034" si="1050">($A1034-B$9)/365.25</f>
        <v>143.78918548939083</v>
      </c>
      <c r="C1034" s="398">
        <f t="shared" si="1050"/>
        <v>139.17864476386038</v>
      </c>
      <c r="E1034" s="25">
        <f>IF(C1034&gt;$B$7,0,'Combined Retirement'!$D$13/12)</f>
        <v>0</v>
      </c>
      <c r="F1034" s="25">
        <f>IF(H1034=0,'Combined Retirement'!$D$32,0)+'Combined Retirement'!$B$24</f>
        <v>2870.372285649099</v>
      </c>
      <c r="G1034" s="25">
        <f>'Combined Retirement'!$C$24</f>
        <v>3254.2644699519233</v>
      </c>
      <c r="H1034" s="25">
        <f>IF(B1034&lt;62,0,'Combined Retirement'!$I$14)</f>
        <v>2345</v>
      </c>
      <c r="I1034" s="25">
        <f>IF(C1034&lt;62,0,'Combined Retirement'!$I$13)</f>
        <v>2420</v>
      </c>
      <c r="J1034" s="25">
        <f t="shared" si="1043"/>
        <v>8395.6297298201844</v>
      </c>
      <c r="K1034" s="25">
        <f t="shared" si="1044"/>
        <v>21655.303514578787</v>
      </c>
      <c r="L1034" s="25"/>
      <c r="N1034" s="25">
        <f>'Combined Retirement'!$C$18/12</f>
        <v>40940.569999999992</v>
      </c>
      <c r="O1034" s="25">
        <f t="shared" si="1045"/>
        <v>10889.636755601023</v>
      </c>
      <c r="P1034" s="25">
        <f t="shared" si="1046"/>
        <v>30050.93324439897</v>
      </c>
      <c r="Q1034" s="25">
        <f t="array" aca="1" ref="Q1034" ca="1">INDEX('Isaac 401k'!L:L,MATCH('Retirement Calculator'!A1034,'Isaac 401k'!N:N,0),0)</f>
        <v>-19378321.222452749</v>
      </c>
      <c r="R1034" s="25">
        <f t="array" aca="1" ref="R1034" ca="1">INDEX('Lorri 401b'!L:L,MATCH('Retirement Calculator'!A1034,'Lorri 401b'!N:N,0),0)</f>
        <v>-37154664.010161936</v>
      </c>
      <c r="S1034" s="25">
        <f t="shared" ca="1" si="1047"/>
        <v>-56532985.232614681</v>
      </c>
    </row>
    <row r="1035" spans="1:19" ht="15.75" customHeight="1" x14ac:dyDescent="0.3">
      <c r="A1035" s="37">
        <v>82455</v>
      </c>
      <c r="B1035" s="398">
        <f t="shared" ref="B1035:C1035" si="1051">($A1035-B$9)/365.25</f>
        <v>143.8713210130048</v>
      </c>
      <c r="C1035" s="398">
        <f t="shared" si="1051"/>
        <v>139.26078028747432</v>
      </c>
      <c r="E1035" s="25">
        <f>IF(C1035&gt;$B$7,0,'Combined Retirement'!$D$13/12)</f>
        <v>0</v>
      </c>
      <c r="F1035" s="25">
        <f>IF(H1035=0,'Combined Retirement'!$D$32,0)+'Combined Retirement'!$B$24</f>
        <v>2870.372285649099</v>
      </c>
      <c r="G1035" s="25">
        <f>'Combined Retirement'!$C$24</f>
        <v>3254.2644699519233</v>
      </c>
      <c r="H1035" s="25">
        <f>IF(B1035&lt;62,0,'Combined Retirement'!$I$14)</f>
        <v>2345</v>
      </c>
      <c r="I1035" s="25">
        <f>IF(C1035&lt;62,0,'Combined Retirement'!$I$13)</f>
        <v>2420</v>
      </c>
      <c r="J1035" s="25">
        <f t="shared" si="1043"/>
        <v>8395.6297298201844</v>
      </c>
      <c r="K1035" s="25">
        <f t="shared" si="1044"/>
        <v>21655.303514578787</v>
      </c>
      <c r="L1035" s="25"/>
      <c r="N1035" s="25">
        <f>'Combined Retirement'!$C$18/12</f>
        <v>40940.569999999992</v>
      </c>
      <c r="O1035" s="25">
        <f t="shared" si="1045"/>
        <v>10889.636755601023</v>
      </c>
      <c r="P1035" s="25">
        <f t="shared" si="1046"/>
        <v>30050.93324439897</v>
      </c>
      <c r="Q1035" s="25">
        <f t="array" aca="1" ref="Q1035" ca="1">INDEX('Isaac 401k'!L:L,MATCH('Retirement Calculator'!A1035,'Isaac 401k'!N:N,0),0)</f>
        <v>-19467494.839066662</v>
      </c>
      <c r="R1035" s="25">
        <f t="array" aca="1" ref="R1035" ca="1">INDEX('Lorri 401b'!L:L,MATCH('Retirement Calculator'!A1035,'Lorri 401b'!N:N,0),0)</f>
        <v>-37331220.644150168</v>
      </c>
      <c r="S1035" s="25">
        <f t="shared" ca="1" si="1047"/>
        <v>-56798715.48321683</v>
      </c>
    </row>
    <row r="1036" spans="1:19" ht="15.75" customHeight="1" x14ac:dyDescent="0.3">
      <c r="A1036" s="37">
        <v>82486</v>
      </c>
      <c r="B1036" s="398">
        <f t="shared" ref="B1036:C1036" si="1052">($A1036-B$9)/365.25</f>
        <v>143.95619438740587</v>
      </c>
      <c r="C1036" s="398">
        <f t="shared" si="1052"/>
        <v>139.34565366187542</v>
      </c>
      <c r="E1036" s="25">
        <f>IF(C1036&gt;$B$7,0,'Combined Retirement'!$D$13/12)</f>
        <v>0</v>
      </c>
      <c r="F1036" s="25">
        <f>IF(H1036=0,'Combined Retirement'!$D$32,0)+'Combined Retirement'!$B$24</f>
        <v>2870.372285649099</v>
      </c>
      <c r="G1036" s="25">
        <f>'Combined Retirement'!$C$24</f>
        <v>3254.2644699519233</v>
      </c>
      <c r="H1036" s="25">
        <f>IF(B1036&lt;62,0,'Combined Retirement'!$I$14)</f>
        <v>2345</v>
      </c>
      <c r="I1036" s="25">
        <f>IF(C1036&lt;62,0,'Combined Retirement'!$I$13)</f>
        <v>2420</v>
      </c>
      <c r="J1036" s="25">
        <f t="shared" si="1043"/>
        <v>8395.6297298201844</v>
      </c>
      <c r="K1036" s="25">
        <f t="shared" si="1044"/>
        <v>21655.303514578787</v>
      </c>
      <c r="L1036" s="25"/>
      <c r="N1036" s="25">
        <f>'Combined Retirement'!$C$18/12</f>
        <v>40940.569999999992</v>
      </c>
      <c r="O1036" s="25">
        <f t="shared" si="1045"/>
        <v>10889.636755601023</v>
      </c>
      <c r="P1036" s="25">
        <f t="shared" si="1046"/>
        <v>30050.93324439897</v>
      </c>
      <c r="Q1036" s="25">
        <f t="array" aca="1" ref="Q1036" ca="1">INDEX('Isaac 401k'!L:L,MATCH('Retirement Calculator'!A1036,'Isaac 401k'!N:N,0),0)</f>
        <v>-19557040.012416467</v>
      </c>
      <c r="R1036" s="25">
        <f t="array" aca="1" ref="R1036" ca="1">INDEX('Lorri 401b'!L:L,MATCH('Retirement Calculator'!A1036,'Lorri 401b'!N:N,0),0)</f>
        <v>-37508512.930780016</v>
      </c>
      <c r="S1036" s="25">
        <f t="shared" ca="1" si="1047"/>
        <v>-57065552.943196483</v>
      </c>
    </row>
    <row r="1037" spans="1:19" ht="15.75" customHeight="1" x14ac:dyDescent="0.3">
      <c r="A1037" s="37">
        <v>82516</v>
      </c>
      <c r="B1037" s="398">
        <f t="shared" ref="B1037:C1037" si="1053">($A1037-B$9)/365.25</f>
        <v>144.03832991101984</v>
      </c>
      <c r="C1037" s="398">
        <f t="shared" si="1053"/>
        <v>139.42778918548939</v>
      </c>
      <c r="E1037" s="25">
        <f>IF(C1037&gt;$B$7,0,'Combined Retirement'!$D$13/12)</f>
        <v>0</v>
      </c>
      <c r="F1037" s="25">
        <f>IF(H1037=0,'Combined Retirement'!$D$32,0)+'Combined Retirement'!$B$24</f>
        <v>2870.372285649099</v>
      </c>
      <c r="G1037" s="25">
        <f>'Combined Retirement'!$C$24</f>
        <v>3254.2644699519233</v>
      </c>
      <c r="H1037" s="25">
        <f>IF(B1037&lt;62,0,'Combined Retirement'!$I$14)</f>
        <v>2345</v>
      </c>
      <c r="I1037" s="25">
        <f>IF(C1037&lt;62,0,'Combined Retirement'!$I$13)</f>
        <v>2420</v>
      </c>
      <c r="J1037" s="25">
        <f t="shared" si="1043"/>
        <v>8395.6297298201844</v>
      </c>
      <c r="K1037" s="25">
        <f t="shared" si="1044"/>
        <v>21655.303514578787</v>
      </c>
      <c r="L1037" s="25"/>
      <c r="N1037" s="25">
        <f>'Combined Retirement'!$C$18/12</f>
        <v>40940.569999999992</v>
      </c>
      <c r="O1037" s="25">
        <f t="shared" si="1045"/>
        <v>10889.636755601023</v>
      </c>
      <c r="P1037" s="25">
        <f t="shared" si="1046"/>
        <v>30050.93324439897</v>
      </c>
      <c r="Q1037" s="25">
        <f t="array" aca="1" ref="Q1037" ca="1">INDEX('Isaac 401k'!L:L,MATCH('Retirement Calculator'!A1037,'Isaac 401k'!N:N,0),0)</f>
        <v>-19646958.290655229</v>
      </c>
      <c r="R1037" s="25">
        <f t="array" aca="1" ref="R1037" ca="1">INDEX('Lorri 401b'!L:L,MATCH('Retirement Calculator'!A1037,'Lorri 401b'!N:N,0),0)</f>
        <v>-37686543.935270824</v>
      </c>
      <c r="S1037" s="25">
        <f t="shared" ca="1" si="1047"/>
        <v>-57333502.225926057</v>
      </c>
    </row>
    <row r="1038" spans="1:19" ht="15.75" customHeight="1" x14ac:dyDescent="0.3">
      <c r="A1038" s="37">
        <v>82547</v>
      </c>
      <c r="B1038" s="398">
        <f t="shared" ref="B1038:C1038" si="1054">($A1038-B$9)/365.25</f>
        <v>144.12320328542094</v>
      </c>
      <c r="C1038" s="398">
        <f t="shared" si="1054"/>
        <v>139.51266255989049</v>
      </c>
      <c r="E1038" s="25">
        <f>IF(C1038&gt;$B$7,0,'Combined Retirement'!$D$13/12)</f>
        <v>0</v>
      </c>
      <c r="F1038" s="25">
        <f>IF(H1038=0,'Combined Retirement'!$D$32,0)+'Combined Retirement'!$B$24</f>
        <v>2870.372285649099</v>
      </c>
      <c r="G1038" s="25">
        <f>'Combined Retirement'!$C$24</f>
        <v>3254.2644699519233</v>
      </c>
      <c r="H1038" s="25">
        <f>IF(B1038&lt;62,0,'Combined Retirement'!$I$14)</f>
        <v>2345</v>
      </c>
      <c r="I1038" s="25">
        <f>IF(C1038&lt;62,0,'Combined Retirement'!$I$13)</f>
        <v>2420</v>
      </c>
      <c r="J1038" s="25">
        <f t="shared" si="1043"/>
        <v>8395.6297298201844</v>
      </c>
      <c r="K1038" s="25">
        <f t="shared" si="1044"/>
        <v>21655.303514578787</v>
      </c>
      <c r="L1038" s="25"/>
      <c r="N1038" s="25">
        <f>'Combined Retirement'!$C$18/12</f>
        <v>40940.569999999992</v>
      </c>
      <c r="O1038" s="25">
        <f t="shared" si="1045"/>
        <v>10889.636755601023</v>
      </c>
      <c r="P1038" s="25">
        <f t="shared" si="1046"/>
        <v>30050.93324439897</v>
      </c>
      <c r="Q1038" s="25">
        <f t="array" aca="1" ref="Q1038" ca="1">INDEX('Isaac 401k'!L:L,MATCH('Retirement Calculator'!A1038,'Isaac 401k'!N:N,0),0)</f>
        <v>-19737251.228386652</v>
      </c>
      <c r="R1038" s="25">
        <f t="array" aca="1" ref="R1038" ca="1">INDEX('Lorri 401b'!L:L,MATCH('Retirement Calculator'!A1038,'Lorri 401b'!N:N,0),0)</f>
        <v>-37865316.735613674</v>
      </c>
      <c r="S1038" s="25">
        <f t="shared" ca="1" si="1047"/>
        <v>-57602567.964000329</v>
      </c>
    </row>
    <row r="1039" spans="1:19" ht="15.75" customHeight="1" x14ac:dyDescent="0.3">
      <c r="A1039" s="37">
        <v>82578</v>
      </c>
      <c r="B1039" s="398">
        <f t="shared" ref="B1039:C1039" si="1055">($A1039-B$9)/365.25</f>
        <v>144.20807665982204</v>
      </c>
      <c r="C1039" s="398">
        <f t="shared" si="1055"/>
        <v>139.59753593429159</v>
      </c>
      <c r="E1039" s="25">
        <f>IF(C1039&gt;$B$7,0,'Combined Retirement'!$D$13/12)</f>
        <v>0</v>
      </c>
      <c r="F1039" s="25">
        <f>IF(H1039=0,'Combined Retirement'!$D$32,0)+'Combined Retirement'!$B$24</f>
        <v>2870.372285649099</v>
      </c>
      <c r="G1039" s="25">
        <f>'Combined Retirement'!$C$24</f>
        <v>3254.2644699519233</v>
      </c>
      <c r="H1039" s="25">
        <f>IF(B1039&lt;62,0,'Combined Retirement'!$I$14)</f>
        <v>2345</v>
      </c>
      <c r="I1039" s="25">
        <f>IF(C1039&lt;62,0,'Combined Retirement'!$I$13)</f>
        <v>2420</v>
      </c>
      <c r="J1039" s="25">
        <f t="shared" si="1043"/>
        <v>8395.6297298201844</v>
      </c>
      <c r="K1039" s="25">
        <f t="shared" si="1044"/>
        <v>21655.303514578787</v>
      </c>
      <c r="L1039" s="25"/>
      <c r="N1039" s="25">
        <f>'Combined Retirement'!$C$18/12</f>
        <v>40940.569999999992</v>
      </c>
      <c r="O1039" s="25">
        <f t="shared" si="1045"/>
        <v>10889.636755601023</v>
      </c>
      <c r="P1039" s="25">
        <f t="shared" si="1046"/>
        <v>30050.93324439897</v>
      </c>
      <c r="Q1039" s="25">
        <f t="array" aca="1" ref="Q1039" ca="1">INDEX('Isaac 401k'!L:L,MATCH('Retirement Calculator'!A1039,'Isaac 401k'!N:N,0),0)</f>
        <v>-19827920.386691954</v>
      </c>
      <c r="R1039" s="25">
        <f t="array" aca="1" ref="R1039" ca="1">INDEX('Lorri 401b'!L:L,MATCH('Retirement Calculator'!A1039,'Lorri 401b'!N:N,0),0)</f>
        <v>-38044834.422624618</v>
      </c>
      <c r="S1039" s="25">
        <f t="shared" ca="1" si="1047"/>
        <v>-57872754.809316576</v>
      </c>
    </row>
    <row r="1040" spans="1:19" ht="15.75" customHeight="1" x14ac:dyDescent="0.3">
      <c r="A1040" s="37">
        <v>82606</v>
      </c>
      <c r="B1040" s="398">
        <f t="shared" ref="B1040:C1040" si="1056">($A1040-B$9)/365.25</f>
        <v>144.28473648186173</v>
      </c>
      <c r="C1040" s="398">
        <f t="shared" si="1056"/>
        <v>139.67419575633127</v>
      </c>
      <c r="E1040" s="25">
        <f>IF(C1040&gt;$B$7,0,'Combined Retirement'!$D$13/12)</f>
        <v>0</v>
      </c>
      <c r="F1040" s="25">
        <f>IF(H1040=0,'Combined Retirement'!$D$32,0)+'Combined Retirement'!$B$24</f>
        <v>2870.372285649099</v>
      </c>
      <c r="G1040" s="25">
        <f>'Combined Retirement'!$C$24</f>
        <v>3254.2644699519233</v>
      </c>
      <c r="H1040" s="25">
        <f>IF(B1040&lt;62,0,'Combined Retirement'!$I$14)</f>
        <v>2345</v>
      </c>
      <c r="I1040" s="25">
        <f>IF(C1040&lt;62,0,'Combined Retirement'!$I$13)</f>
        <v>2420</v>
      </c>
      <c r="J1040" s="25">
        <f t="shared" si="1043"/>
        <v>8395.6297298201844</v>
      </c>
      <c r="K1040" s="25">
        <f t="shared" si="1044"/>
        <v>21655.303514578787</v>
      </c>
      <c r="L1040" s="25"/>
      <c r="N1040" s="25">
        <f>'Combined Retirement'!$C$18/12</f>
        <v>40940.569999999992</v>
      </c>
      <c r="O1040" s="25">
        <f t="shared" si="1045"/>
        <v>10889.636755601023</v>
      </c>
      <c r="P1040" s="25">
        <f t="shared" si="1046"/>
        <v>30050.93324439897</v>
      </c>
      <c r="Q1040" s="25">
        <f t="array" aca="1" ref="Q1040" ca="1">INDEX('Isaac 401k'!L:L,MATCH('Retirement Calculator'!A1040,'Isaac 401k'!N:N,0),0)</f>
        <v>-19918967.333156865</v>
      </c>
      <c r="R1040" s="25">
        <f t="array" aca="1" ref="R1040" ca="1">INDEX('Lorri 401b'!L:L,MATCH('Retirement Calculator'!A1040,'Lorri 401b'!N:N,0),0)</f>
        <v>-38225100.099998109</v>
      </c>
      <c r="S1040" s="25">
        <f t="shared" ca="1" si="1047"/>
        <v>-58144067.43315497</v>
      </c>
    </row>
    <row r="1041" spans="1:19" ht="15.75" customHeight="1" x14ac:dyDescent="0.3">
      <c r="A1041" s="37">
        <v>82637</v>
      </c>
      <c r="B1041" s="398">
        <f t="shared" ref="B1041:C1041" si="1057">($A1041-B$9)/365.25</f>
        <v>144.36960985626283</v>
      </c>
      <c r="C1041" s="398">
        <f t="shared" si="1057"/>
        <v>139.75906913073237</v>
      </c>
      <c r="E1041" s="25">
        <f>IF(C1041&gt;$B$7,0,'Combined Retirement'!$D$13/12)</f>
        <v>0</v>
      </c>
      <c r="F1041" s="25">
        <f>IF(H1041=0,'Combined Retirement'!$D$32,0)+'Combined Retirement'!$B$24</f>
        <v>2870.372285649099</v>
      </c>
      <c r="G1041" s="25">
        <f>'Combined Retirement'!$C$24</f>
        <v>3254.2644699519233</v>
      </c>
      <c r="H1041" s="25">
        <f>IF(B1041&lt;62,0,'Combined Retirement'!$I$14)</f>
        <v>2345</v>
      </c>
      <c r="I1041" s="25">
        <f>IF(C1041&lt;62,0,'Combined Retirement'!$I$13)</f>
        <v>2420</v>
      </c>
      <c r="J1041" s="25">
        <f t="shared" si="1043"/>
        <v>8395.6297298201844</v>
      </c>
      <c r="K1041" s="25">
        <f t="shared" si="1044"/>
        <v>21655.303514578787</v>
      </c>
      <c r="L1041" s="25"/>
      <c r="N1041" s="25">
        <f>'Combined Retirement'!$C$18/12</f>
        <v>40940.569999999992</v>
      </c>
      <c r="O1041" s="25">
        <f t="shared" si="1045"/>
        <v>10889.636755601023</v>
      </c>
      <c r="P1041" s="25">
        <f t="shared" si="1046"/>
        <v>30050.93324439897</v>
      </c>
      <c r="Q1041" s="25">
        <f t="array" aca="1" ref="Q1041" ca="1">INDEX('Isaac 401k'!L:L,MATCH('Retirement Calculator'!A1041,'Isaac 401k'!N:N,0),0)</f>
        <v>-20010393.64189871</v>
      </c>
      <c r="R1041" s="25">
        <f t="array" aca="1" ref="R1041" ca="1">INDEX('Lorri 401b'!L:L,MATCH('Retirement Calculator'!A1041,'Lorri 401b'!N:N,0),0)</f>
        <v>-38406116.884360656</v>
      </c>
      <c r="S1041" s="25">
        <f t="shared" ca="1" si="1047"/>
        <v>-58416510.526259363</v>
      </c>
    </row>
    <row r="1042" spans="1:19" ht="15.75" customHeight="1" x14ac:dyDescent="0.3">
      <c r="A1042" s="37">
        <v>82667</v>
      </c>
      <c r="B1042" s="398">
        <f t="shared" ref="B1042:C1042" si="1058">($A1042-B$9)/365.25</f>
        <v>144.4517453798768</v>
      </c>
      <c r="C1042" s="398">
        <f t="shared" si="1058"/>
        <v>139.84120465434634</v>
      </c>
      <c r="E1042" s="25">
        <f>IF(C1042&gt;$B$7,0,'Combined Retirement'!$D$13/12)</f>
        <v>0</v>
      </c>
      <c r="F1042" s="25">
        <f>IF(H1042=0,'Combined Retirement'!$D$32,0)+'Combined Retirement'!$B$24</f>
        <v>2870.372285649099</v>
      </c>
      <c r="G1042" s="25">
        <f>'Combined Retirement'!$C$24</f>
        <v>3254.2644699519233</v>
      </c>
      <c r="H1042" s="25">
        <f>IF(B1042&lt;62,0,'Combined Retirement'!$I$14)</f>
        <v>2345</v>
      </c>
      <c r="I1042" s="25">
        <f>IF(C1042&lt;62,0,'Combined Retirement'!$I$13)</f>
        <v>2420</v>
      </c>
      <c r="J1042" s="25">
        <f t="shared" si="1043"/>
        <v>8395.6297298201844</v>
      </c>
      <c r="K1042" s="25">
        <f t="shared" si="1044"/>
        <v>21655.303514578787</v>
      </c>
      <c r="L1042" s="25"/>
      <c r="N1042" s="25">
        <f>'Combined Retirement'!$C$18/12</f>
        <v>40940.569999999992</v>
      </c>
      <c r="O1042" s="25">
        <f t="shared" si="1045"/>
        <v>10889.636755601023</v>
      </c>
      <c r="P1042" s="25">
        <f t="shared" si="1046"/>
        <v>30050.93324439897</v>
      </c>
      <c r="Q1042" s="25">
        <f t="array" aca="1" ref="Q1042" ca="1">INDEX('Isaac 401k'!L:L,MATCH('Retirement Calculator'!A1042,'Isaac 401k'!N:N,0),0)</f>
        <v>-20102200.893593647</v>
      </c>
      <c r="R1042" s="25">
        <f t="array" aca="1" ref="R1042" ca="1">INDEX('Lorri 401b'!L:L,MATCH('Retirement Calculator'!A1042,'Lorri 401b'!N:N,0),0)</f>
        <v>-38587887.905324712</v>
      </c>
      <c r="S1042" s="25">
        <f t="shared" ca="1" si="1047"/>
        <v>-58690088.798918359</v>
      </c>
    </row>
    <row r="1043" spans="1:19" ht="15.75" customHeight="1" x14ac:dyDescent="0.3">
      <c r="A1043" s="37">
        <v>82698</v>
      </c>
      <c r="B1043" s="398">
        <f t="shared" ref="B1043:C1043" si="1059">($A1043-B$9)/365.25</f>
        <v>144.5366187542779</v>
      </c>
      <c r="C1043" s="398">
        <f t="shared" si="1059"/>
        <v>139.92607802874744</v>
      </c>
      <c r="E1043" s="25">
        <f>IF(C1043&gt;$B$7,0,'Combined Retirement'!$D$13/12)</f>
        <v>0</v>
      </c>
      <c r="F1043" s="25">
        <f>IF(H1043=0,'Combined Retirement'!$D$32,0)+'Combined Retirement'!$B$24</f>
        <v>2870.372285649099</v>
      </c>
      <c r="G1043" s="25">
        <f>'Combined Retirement'!$C$24</f>
        <v>3254.2644699519233</v>
      </c>
      <c r="H1043" s="25">
        <f>IF(B1043&lt;62,0,'Combined Retirement'!$I$14)</f>
        <v>2345</v>
      </c>
      <c r="I1043" s="25">
        <f>IF(C1043&lt;62,0,'Combined Retirement'!$I$13)</f>
        <v>2420</v>
      </c>
      <c r="J1043" s="25">
        <f t="shared" si="1043"/>
        <v>8395.6297298201844</v>
      </c>
      <c r="K1043" s="25">
        <f t="shared" si="1044"/>
        <v>21655.303514578787</v>
      </c>
      <c r="L1043" s="25"/>
      <c r="N1043" s="25">
        <f>'Combined Retirement'!$C$18/12</f>
        <v>40940.569999999992</v>
      </c>
      <c r="O1043" s="25">
        <f t="shared" si="1045"/>
        <v>10889.636755601023</v>
      </c>
      <c r="P1043" s="25">
        <f t="shared" si="1046"/>
        <v>30050.93324439897</v>
      </c>
      <c r="Q1043" s="25">
        <f t="array" aca="1" ref="Q1043" ca="1">INDEX('Isaac 401k'!L:L,MATCH('Retirement Calculator'!A1043,'Isaac 401k'!N:N,0),0)</f>
        <v>-20194390.67550398</v>
      </c>
      <c r="R1043" s="25">
        <f t="array" aca="1" ref="R1043" ca="1">INDEX('Lorri 401b'!L:L,MATCH('Retirement Calculator'!A1043,'Lorri 401b'!N:N,0),0)</f>
        <v>-38770416.305542789</v>
      </c>
      <c r="S1043" s="25">
        <f t="shared" ca="1" si="1047"/>
        <v>-58964806.981046766</v>
      </c>
    </row>
    <row r="1044" spans="1:19" ht="15.75" customHeight="1" x14ac:dyDescent="0.3">
      <c r="A1044" s="37">
        <v>82728</v>
      </c>
      <c r="B1044" s="398">
        <f t="shared" ref="B1044:C1044" si="1060">($A1044-B$9)/365.25</f>
        <v>144.61875427789187</v>
      </c>
      <c r="C1044" s="398">
        <f t="shared" si="1060"/>
        <v>140.00821355236138</v>
      </c>
      <c r="E1044" s="25">
        <f>IF(C1044&gt;$B$7,0,'Combined Retirement'!$D$13/12)</f>
        <v>0</v>
      </c>
      <c r="F1044" s="25">
        <f>IF(H1044=0,'Combined Retirement'!$D$32,0)+'Combined Retirement'!$B$24</f>
        <v>2870.372285649099</v>
      </c>
      <c r="G1044" s="25">
        <f>'Combined Retirement'!$C$24</f>
        <v>3254.2644699519233</v>
      </c>
      <c r="H1044" s="25">
        <f>IF(B1044&lt;62,0,'Combined Retirement'!$I$14)</f>
        <v>2345</v>
      </c>
      <c r="I1044" s="25">
        <f>IF(C1044&lt;62,0,'Combined Retirement'!$I$13)</f>
        <v>2420</v>
      </c>
      <c r="J1044" s="25">
        <f t="shared" si="1043"/>
        <v>8395.6297298201844</v>
      </c>
      <c r="K1044" s="25">
        <f t="shared" si="1044"/>
        <v>21655.303514578787</v>
      </c>
      <c r="L1044" s="25"/>
      <c r="N1044" s="25">
        <f>'Combined Retirement'!$C$18/12</f>
        <v>40940.569999999992</v>
      </c>
      <c r="O1044" s="25">
        <f t="shared" si="1045"/>
        <v>10889.636755601023</v>
      </c>
      <c r="P1044" s="25">
        <f t="shared" si="1046"/>
        <v>30050.93324439897</v>
      </c>
      <c r="Q1044" s="25">
        <f t="array" aca="1" ref="Q1044" ca="1">INDEX('Isaac 401k'!L:L,MATCH('Retirement Calculator'!A1044,'Isaac 401k'!N:N,0),0)</f>
        <v>-20286964.581505608</v>
      </c>
      <c r="R1044" s="25">
        <f t="array" aca="1" ref="R1044" ca="1">INDEX('Lorri 401b'!L:L,MATCH('Retirement Calculator'!A1044,'Lorri 401b'!N:N,0),0)</f>
        <v>-38953705.240761772</v>
      </c>
      <c r="S1044" s="25">
        <f t="shared" ca="1" si="1047"/>
        <v>-59240669.822267383</v>
      </c>
    </row>
    <row r="1045" spans="1:19" ht="15.75" customHeight="1" x14ac:dyDescent="0.3">
      <c r="A1045" s="37">
        <v>82759</v>
      </c>
      <c r="B1045" s="398">
        <f t="shared" ref="B1045:C1045" si="1061">($A1045-B$9)/365.25</f>
        <v>144.70362765229294</v>
      </c>
      <c r="C1045" s="398">
        <f t="shared" si="1061"/>
        <v>140.09308692676248</v>
      </c>
      <c r="E1045" s="25">
        <f>IF(C1045&gt;$B$7,0,'Combined Retirement'!$D$13/12)</f>
        <v>0</v>
      </c>
      <c r="F1045" s="25">
        <f>IF(H1045=0,'Combined Retirement'!$D$32,0)+'Combined Retirement'!$B$24</f>
        <v>2870.372285649099</v>
      </c>
      <c r="G1045" s="25">
        <f>'Combined Retirement'!$C$24</f>
        <v>3254.2644699519233</v>
      </c>
      <c r="H1045" s="25">
        <f>IF(B1045&lt;62,0,'Combined Retirement'!$I$14)</f>
        <v>2345</v>
      </c>
      <c r="I1045" s="25">
        <f>IF(C1045&lt;62,0,'Combined Retirement'!$I$13)</f>
        <v>2420</v>
      </c>
      <c r="J1045" s="25">
        <f t="shared" si="1043"/>
        <v>8395.6297298201844</v>
      </c>
      <c r="K1045" s="25">
        <f t="shared" si="1044"/>
        <v>21655.303514578787</v>
      </c>
      <c r="L1045" s="25"/>
      <c r="N1045" s="25">
        <f>'Combined Retirement'!$C$18/12</f>
        <v>40940.569999999992</v>
      </c>
      <c r="O1045" s="25">
        <f t="shared" si="1045"/>
        <v>10889.636755601023</v>
      </c>
      <c r="P1045" s="25">
        <f t="shared" si="1046"/>
        <v>30050.93324439897</v>
      </c>
      <c r="Q1045" s="25">
        <f t="array" aca="1" ref="Q1045" ca="1">INDEX('Isaac 401k'!L:L,MATCH('Retirement Calculator'!A1045,'Isaac 401k'!N:N,0),0)</f>
        <v>-20379924.212115575</v>
      </c>
      <c r="R1045" s="25">
        <f t="array" aca="1" ref="R1045" ca="1">INDEX('Lorri 401b'!L:L,MATCH('Retirement Calculator'!A1045,'Lorri 401b'!N:N,0),0)</f>
        <v>-39137757.8798775</v>
      </c>
      <c r="S1045" s="25">
        <f t="shared" ca="1" si="1047"/>
        <v>-59517682.091993079</v>
      </c>
    </row>
    <row r="1046" spans="1:19" ht="15.75" customHeight="1" x14ac:dyDescent="0.3">
      <c r="A1046" s="37">
        <v>82790</v>
      </c>
      <c r="B1046" s="398">
        <f t="shared" ref="B1046:C1046" si="1062">($A1046-B$9)/365.25</f>
        <v>144.78850102669404</v>
      </c>
      <c r="C1046" s="398">
        <f t="shared" si="1062"/>
        <v>140.17796030116358</v>
      </c>
      <c r="E1046" s="25">
        <f>IF(C1046&gt;$B$7,0,'Combined Retirement'!$D$13/12)</f>
        <v>0</v>
      </c>
      <c r="F1046" s="25">
        <f>IF(H1046=0,'Combined Retirement'!$D$32,0)+'Combined Retirement'!$B$24</f>
        <v>2870.372285649099</v>
      </c>
      <c r="G1046" s="25">
        <f>'Combined Retirement'!$C$24</f>
        <v>3254.2644699519233</v>
      </c>
      <c r="H1046" s="25">
        <f>IF(B1046&lt;62,0,'Combined Retirement'!$I$14)</f>
        <v>2345</v>
      </c>
      <c r="I1046" s="25">
        <f>IF(C1046&lt;62,0,'Combined Retirement'!$I$13)</f>
        <v>2420</v>
      </c>
      <c r="J1046" s="25">
        <f t="shared" si="1043"/>
        <v>8395.6297298201844</v>
      </c>
      <c r="K1046" s="25">
        <f t="shared" si="1044"/>
        <v>21655.303514578787</v>
      </c>
      <c r="L1046" s="25"/>
      <c r="N1046" s="25">
        <f>'Combined Retirement'!$C$18/12</f>
        <v>40940.569999999992</v>
      </c>
      <c r="O1046" s="25">
        <f t="shared" si="1045"/>
        <v>10889.636755601023</v>
      </c>
      <c r="P1046" s="25">
        <f t="shared" si="1046"/>
        <v>30050.93324439897</v>
      </c>
      <c r="Q1046" s="25">
        <f t="array" aca="1" ref="Q1046" ca="1">INDEX('Isaac 401k'!L:L,MATCH('Retirement Calculator'!A1046,'Isaac 401k'!N:N,0),0)</f>
        <v>-20473271.174519747</v>
      </c>
      <c r="R1046" s="25">
        <f t="array" aca="1" ref="R1046" ca="1">INDEX('Lorri 401b'!L:L,MATCH('Retirement Calculator'!A1046,'Lorri 401b'!N:N,0),0)</f>
        <v>-39322577.404989548</v>
      </c>
      <c r="S1046" s="25">
        <f t="shared" ca="1" si="1047"/>
        <v>-59795848.579509296</v>
      </c>
    </row>
    <row r="1047" spans="1:19" ht="15.75" customHeight="1" x14ac:dyDescent="0.3">
      <c r="A1047" s="37">
        <v>82820</v>
      </c>
      <c r="B1047" s="398">
        <f t="shared" ref="B1047:C1047" si="1063">($A1047-B$9)/365.25</f>
        <v>144.87063655030801</v>
      </c>
      <c r="C1047" s="398">
        <f t="shared" si="1063"/>
        <v>140.26009582477755</v>
      </c>
      <c r="E1047" s="25">
        <f>IF(C1047&gt;$B$7,0,'Combined Retirement'!$D$13/12)</f>
        <v>0</v>
      </c>
      <c r="F1047" s="25">
        <f>IF(H1047=0,'Combined Retirement'!$D$32,0)+'Combined Retirement'!$B$24</f>
        <v>2870.372285649099</v>
      </c>
      <c r="G1047" s="25">
        <f>'Combined Retirement'!$C$24</f>
        <v>3254.2644699519233</v>
      </c>
      <c r="H1047" s="25">
        <f>IF(B1047&lt;62,0,'Combined Retirement'!$I$14)</f>
        <v>2345</v>
      </c>
      <c r="I1047" s="25">
        <f>IF(C1047&lt;62,0,'Combined Retirement'!$I$13)</f>
        <v>2420</v>
      </c>
      <c r="J1047" s="25">
        <f t="shared" si="1043"/>
        <v>8395.6297298201844</v>
      </c>
      <c r="K1047" s="25">
        <f t="shared" si="1044"/>
        <v>21655.303514578787</v>
      </c>
      <c r="L1047" s="25"/>
      <c r="N1047" s="25">
        <f>'Combined Retirement'!$C$18/12</f>
        <v>40940.569999999992</v>
      </c>
      <c r="O1047" s="25">
        <f t="shared" si="1045"/>
        <v>10889.636755601023</v>
      </c>
      <c r="P1047" s="25">
        <f t="shared" si="1046"/>
        <v>30050.93324439897</v>
      </c>
      <c r="Q1047" s="25">
        <f t="array" aca="1" ref="Q1047" ca="1">INDEX('Isaac 401k'!L:L,MATCH('Retirement Calculator'!A1047,'Isaac 401k'!N:N,0),0)</f>
        <v>-20567007.082600605</v>
      </c>
      <c r="R1047" s="25">
        <f t="array" aca="1" ref="R1047" ca="1">INDEX('Lorri 401b'!L:L,MATCH('Retirement Calculator'!A1047,'Lorri 401b'!N:N,0),0)</f>
        <v>-39508167.011456229</v>
      </c>
      <c r="S1047" s="25">
        <f t="shared" ca="1" si="1047"/>
        <v>-60075174.09405683</v>
      </c>
    </row>
    <row r="1048" spans="1:19" ht="15.75" customHeight="1" x14ac:dyDescent="0.3">
      <c r="A1048" s="37">
        <v>82851</v>
      </c>
      <c r="B1048" s="398">
        <f t="shared" ref="B1048:C1048" si="1064">($A1048-B$9)/365.25</f>
        <v>144.95550992470911</v>
      </c>
      <c r="C1048" s="398">
        <f t="shared" si="1064"/>
        <v>140.34496919917865</v>
      </c>
      <c r="E1048" s="25">
        <f>IF(C1048&gt;$B$7,0,'Combined Retirement'!$D$13/12)</f>
        <v>0</v>
      </c>
      <c r="F1048" s="25">
        <f>IF(H1048=0,'Combined Retirement'!$D$32,0)+'Combined Retirement'!$B$24</f>
        <v>2870.372285649099</v>
      </c>
      <c r="G1048" s="25">
        <f>'Combined Retirement'!$C$24</f>
        <v>3254.2644699519233</v>
      </c>
      <c r="H1048" s="25">
        <f>IF(B1048&lt;62,0,'Combined Retirement'!$I$14)</f>
        <v>2345</v>
      </c>
      <c r="I1048" s="25">
        <f>IF(C1048&lt;62,0,'Combined Retirement'!$I$13)</f>
        <v>2420</v>
      </c>
      <c r="J1048" s="25">
        <f t="shared" si="1043"/>
        <v>8395.6297298201844</v>
      </c>
      <c r="K1048" s="25">
        <f t="shared" si="1044"/>
        <v>21655.303514578787</v>
      </c>
      <c r="L1048" s="25"/>
      <c r="N1048" s="25">
        <f>'Combined Retirement'!$C$18/12</f>
        <v>40940.569999999992</v>
      </c>
      <c r="O1048" s="25">
        <f t="shared" si="1045"/>
        <v>10889.636755601023</v>
      </c>
      <c r="P1048" s="25">
        <f t="shared" si="1046"/>
        <v>30050.93324439897</v>
      </c>
      <c r="Q1048" s="25">
        <f t="array" aca="1" ref="Q1048" ca="1">INDEX('Isaac 401k'!L:L,MATCH('Retirement Calculator'!A1048,'Isaac 401k'!N:N,0),0)</f>
        <v>-20661133.556965135</v>
      </c>
      <c r="R1048" s="25">
        <f t="array" aca="1" ref="R1048" ca="1">INDEX('Lorri 401b'!L:L,MATCH('Retirement Calculator'!A1048,'Lorri 401b'!N:N,0),0)</f>
        <v>-39694529.90794985</v>
      </c>
      <c r="S1048" s="25">
        <f t="shared" ca="1" si="1047"/>
        <v>-60355663.464914985</v>
      </c>
    </row>
    <row r="1049" spans="1:19" ht="15.75" customHeight="1" x14ac:dyDescent="0.3">
      <c r="A1049" s="37">
        <v>82881</v>
      </c>
      <c r="B1049" s="398">
        <f t="shared" ref="B1049:C1049" si="1065">($A1049-B$9)/365.25</f>
        <v>145.03764544832308</v>
      </c>
      <c r="C1049" s="398">
        <f t="shared" si="1065"/>
        <v>140.42710472279262</v>
      </c>
      <c r="E1049" s="25">
        <f>IF(C1049&gt;$B$7,0,'Combined Retirement'!$D$13/12)</f>
        <v>0</v>
      </c>
      <c r="F1049" s="25">
        <f>IF(H1049=0,'Combined Retirement'!$D$32,0)+'Combined Retirement'!$B$24</f>
        <v>2870.372285649099</v>
      </c>
      <c r="G1049" s="25">
        <f>'Combined Retirement'!$C$24</f>
        <v>3254.2644699519233</v>
      </c>
      <c r="H1049" s="25">
        <f>IF(B1049&lt;62,0,'Combined Retirement'!$I$14)</f>
        <v>2345</v>
      </c>
      <c r="I1049" s="25">
        <f>IF(C1049&lt;62,0,'Combined Retirement'!$I$13)</f>
        <v>2420</v>
      </c>
      <c r="J1049" s="25">
        <f t="shared" si="1043"/>
        <v>8395.6297298201844</v>
      </c>
      <c r="K1049" s="25">
        <f t="shared" si="1044"/>
        <v>21655.303514578787</v>
      </c>
      <c r="L1049" s="25"/>
      <c r="N1049" s="25">
        <f>'Combined Retirement'!$C$18/12</f>
        <v>40940.569999999992</v>
      </c>
      <c r="O1049" s="25">
        <f t="shared" si="1045"/>
        <v>10889.636755601023</v>
      </c>
      <c r="P1049" s="25">
        <f t="shared" si="1046"/>
        <v>30050.93324439897</v>
      </c>
      <c r="Q1049" s="25">
        <f t="array" aca="1" ref="Q1049" ca="1">INDEX('Isaac 401k'!L:L,MATCH('Retirement Calculator'!A1049,'Isaac 401k'!N:N,0),0)</f>
        <v>-20755652.224972848</v>
      </c>
      <c r="R1049" s="25">
        <f t="array" aca="1" ref="R1049" ca="1">INDEX('Lorri 401b'!L:L,MATCH('Retirement Calculator'!A1049,'Lorri 401b'!N:N,0),0)</f>
        <v>-39881669.316512197</v>
      </c>
      <c r="S1049" s="25">
        <f t="shared" ca="1" si="1047"/>
        <v>-60637321.541485041</v>
      </c>
    </row>
    <row r="1050" spans="1:19" ht="15.75" customHeight="1" x14ac:dyDescent="0.3">
      <c r="A1050" s="37">
        <v>82912</v>
      </c>
      <c r="B1050" s="398">
        <f t="shared" ref="B1050:C1050" si="1066">($A1050-B$9)/365.25</f>
        <v>145.12251882272417</v>
      </c>
      <c r="C1050" s="398">
        <f t="shared" si="1066"/>
        <v>140.51197809719369</v>
      </c>
      <c r="E1050" s="25">
        <f>IF(C1050&gt;$B$7,0,'Combined Retirement'!$D$13/12)</f>
        <v>0</v>
      </c>
      <c r="F1050" s="25">
        <f>IF(H1050=0,'Combined Retirement'!$D$32,0)+'Combined Retirement'!$B$24</f>
        <v>2870.372285649099</v>
      </c>
      <c r="G1050" s="25">
        <f>'Combined Retirement'!$C$24</f>
        <v>3254.2644699519233</v>
      </c>
      <c r="H1050" s="25">
        <f>IF(B1050&lt;62,0,'Combined Retirement'!$I$14)</f>
        <v>2345</v>
      </c>
      <c r="I1050" s="25">
        <f>IF(C1050&lt;62,0,'Combined Retirement'!$I$13)</f>
        <v>2420</v>
      </c>
      <c r="J1050" s="25">
        <f t="shared" si="1043"/>
        <v>8395.6297298201844</v>
      </c>
      <c r="K1050" s="25">
        <f t="shared" si="1044"/>
        <v>21655.303514578787</v>
      </c>
      <c r="L1050" s="25"/>
      <c r="N1050" s="25">
        <f>'Combined Retirement'!$C$18/12</f>
        <v>40940.569999999992</v>
      </c>
      <c r="O1050" s="25">
        <f t="shared" si="1045"/>
        <v>10889.636755601023</v>
      </c>
      <c r="P1050" s="25">
        <f t="shared" si="1046"/>
        <v>30050.93324439897</v>
      </c>
      <c r="Q1050" s="25">
        <f t="array" aca="1" ref="Q1050" ca="1">INDEX('Isaac 401k'!L:L,MATCH('Retirement Calculator'!A1050,'Isaac 401k'!N:N,0),0)</f>
        <v>-20850564.720763929</v>
      </c>
      <c r="R1050" s="25">
        <f t="array" aca="1" ref="R1050" ca="1">INDEX('Lorri 401b'!L:L,MATCH('Retirement Calculator'!A1050,'Lorri 401b'!N:N,0),0)</f>
        <v>-40069588.47261022</v>
      </c>
      <c r="S1050" s="25">
        <f t="shared" ca="1" si="1047"/>
        <v>-60920153.19337415</v>
      </c>
    </row>
    <row r="1051" spans="1:19" ht="15.75" customHeight="1" x14ac:dyDescent="0.3">
      <c r="A1051" s="37">
        <v>82943</v>
      </c>
      <c r="B1051" s="398">
        <f t="shared" ref="B1051:C1051" si="1067">($A1051-B$9)/365.25</f>
        <v>145.20739219712524</v>
      </c>
      <c r="C1051" s="398">
        <f t="shared" si="1067"/>
        <v>140.59685147159479</v>
      </c>
      <c r="E1051" s="25">
        <f>IF(C1051&gt;$B$7,0,'Combined Retirement'!$D$13/12)</f>
        <v>0</v>
      </c>
      <c r="F1051" s="25">
        <f>IF(H1051=0,'Combined Retirement'!$D$32,0)+'Combined Retirement'!$B$24</f>
        <v>2870.372285649099</v>
      </c>
      <c r="G1051" s="25">
        <f>'Combined Retirement'!$C$24</f>
        <v>3254.2644699519233</v>
      </c>
      <c r="H1051" s="25">
        <f>IF(B1051&lt;62,0,'Combined Retirement'!$I$14)</f>
        <v>2345</v>
      </c>
      <c r="I1051" s="25">
        <f>IF(C1051&lt;62,0,'Combined Retirement'!$I$13)</f>
        <v>2420</v>
      </c>
      <c r="J1051" s="25">
        <f t="shared" si="1043"/>
        <v>8395.6297298201844</v>
      </c>
      <c r="K1051" s="25">
        <f t="shared" si="1044"/>
        <v>21655.303514578787</v>
      </c>
      <c r="L1051" s="25"/>
      <c r="N1051" s="25">
        <f>'Combined Retirement'!$C$18/12</f>
        <v>40940.569999999992</v>
      </c>
      <c r="O1051" s="25">
        <f t="shared" si="1045"/>
        <v>10889.636755601023</v>
      </c>
      <c r="P1051" s="25">
        <f t="shared" si="1046"/>
        <v>30050.93324439897</v>
      </c>
      <c r="Q1051" s="25">
        <f t="array" aca="1" ref="Q1051" ca="1">INDEX('Isaac 401k'!L:L,MATCH('Retirement Calculator'!A1051,'Isaac 401k'!N:N,0),0)</f>
        <v>-20945872.685287472</v>
      </c>
      <c r="R1051" s="25">
        <f t="array" aca="1" ref="R1051" ca="1">INDEX('Lorri 401b'!L:L,MATCH('Retirement Calculator'!A1051,'Lorri 401b'!N:N,0),0)</f>
        <v>-40258290.625191987</v>
      </c>
      <c r="S1051" s="25">
        <f t="shared" ca="1" si="1047"/>
        <v>-61204163.310479462</v>
      </c>
    </row>
    <row r="1052" spans="1:19" ht="15.75" customHeight="1" x14ac:dyDescent="0.3">
      <c r="A1052" s="37">
        <v>82971</v>
      </c>
      <c r="B1052" s="398">
        <f t="shared" ref="B1052:C1052" si="1068">($A1052-B$9)/365.25</f>
        <v>145.28405201916496</v>
      </c>
      <c r="C1052" s="398">
        <f t="shared" si="1068"/>
        <v>140.6735112936345</v>
      </c>
      <c r="E1052" s="25">
        <f>IF(C1052&gt;$B$7,0,'Combined Retirement'!$D$13/12)</f>
        <v>0</v>
      </c>
      <c r="F1052" s="25">
        <f>IF(H1052=0,'Combined Retirement'!$D$32,0)+'Combined Retirement'!$B$24</f>
        <v>2870.372285649099</v>
      </c>
      <c r="G1052" s="25">
        <f>'Combined Retirement'!$C$24</f>
        <v>3254.2644699519233</v>
      </c>
      <c r="H1052" s="25">
        <f>IF(B1052&lt;62,0,'Combined Retirement'!$I$14)</f>
        <v>2345</v>
      </c>
      <c r="I1052" s="25">
        <f>IF(C1052&lt;62,0,'Combined Retirement'!$I$13)</f>
        <v>2420</v>
      </c>
      <c r="J1052" s="25">
        <f t="shared" si="1043"/>
        <v>8395.6297298201844</v>
      </c>
      <c r="K1052" s="25">
        <f t="shared" si="1044"/>
        <v>21655.303514578787</v>
      </c>
      <c r="L1052" s="25"/>
      <c r="N1052" s="25">
        <f>'Combined Retirement'!$C$18/12</f>
        <v>40940.569999999992</v>
      </c>
      <c r="O1052" s="25">
        <f t="shared" si="1045"/>
        <v>10889.636755601023</v>
      </c>
      <c r="P1052" s="25">
        <f t="shared" si="1046"/>
        <v>30050.93324439897</v>
      </c>
      <c r="Q1052" s="25">
        <f t="array" aca="1" ref="Q1052" ca="1">INDEX('Isaac 401k'!L:L,MATCH('Retirement Calculator'!A1052,'Isaac 401k'!N:N,0),0)</f>
        <v>-21041577.766329862</v>
      </c>
      <c r="R1052" s="25">
        <f t="array" aca="1" ref="R1052" ca="1">INDEX('Lorri 401b'!L:L,MATCH('Retirement Calculator'!A1052,'Lorri 401b'!N:N,0),0)</f>
        <v>-40447779.036742844</v>
      </c>
      <c r="S1052" s="25">
        <f t="shared" ca="1" si="1047"/>
        <v>-61489356.803072706</v>
      </c>
    </row>
    <row r="1053" spans="1:19" ht="15.75" customHeight="1" x14ac:dyDescent="0.3">
      <c r="A1053" s="37">
        <v>83002</v>
      </c>
      <c r="B1053" s="398">
        <f t="shared" ref="B1053:C1053" si="1069">($A1053-B$9)/365.25</f>
        <v>145.36892539356606</v>
      </c>
      <c r="C1053" s="398">
        <f t="shared" si="1069"/>
        <v>140.7583846680356</v>
      </c>
      <c r="E1053" s="25">
        <f>IF(C1053&gt;$B$7,0,'Combined Retirement'!$D$13/12)</f>
        <v>0</v>
      </c>
      <c r="F1053" s="25">
        <f>IF(H1053=0,'Combined Retirement'!$D$32,0)+'Combined Retirement'!$B$24</f>
        <v>2870.372285649099</v>
      </c>
      <c r="G1053" s="25">
        <f>'Combined Retirement'!$C$24</f>
        <v>3254.2644699519233</v>
      </c>
      <c r="H1053" s="25">
        <f>IF(B1053&lt;62,0,'Combined Retirement'!$I$14)</f>
        <v>2345</v>
      </c>
      <c r="I1053" s="25">
        <f>IF(C1053&lt;62,0,'Combined Retirement'!$I$13)</f>
        <v>2420</v>
      </c>
      <c r="J1053" s="25">
        <f t="shared" si="1043"/>
        <v>8395.6297298201844</v>
      </c>
      <c r="K1053" s="25">
        <f t="shared" si="1044"/>
        <v>21655.303514578787</v>
      </c>
      <c r="L1053" s="25"/>
      <c r="N1053" s="25">
        <f>'Combined Retirement'!$C$18/12</f>
        <v>40940.569999999992</v>
      </c>
      <c r="O1053" s="25">
        <f t="shared" si="1045"/>
        <v>10889.636755601023</v>
      </c>
      <c r="P1053" s="25">
        <f t="shared" si="1046"/>
        <v>30050.93324439897</v>
      </c>
      <c r="Q1053" s="25">
        <f t="array" aca="1" ref="Q1053" ca="1">INDEX('Isaac 401k'!L:L,MATCH('Retirement Calculator'!A1053,'Isaac 401k'!N:N,0),0)</f>
        <v>-21137681.618543264</v>
      </c>
      <c r="R1053" s="25">
        <f t="array" aca="1" ref="R1053" ca="1">INDEX('Lorri 401b'!L:L,MATCH('Retirement Calculator'!A1053,'Lorri 401b'!N:N,0),0)</f>
        <v>-40638056.983341828</v>
      </c>
      <c r="S1053" s="25">
        <f t="shared" ca="1" si="1047"/>
        <v>-61775738.601885095</v>
      </c>
    </row>
    <row r="1054" spans="1:19" ht="15.75" customHeight="1" x14ac:dyDescent="0.3">
      <c r="A1054" s="37">
        <v>83032</v>
      </c>
      <c r="B1054" s="398">
        <f t="shared" ref="B1054:C1054" si="1070">($A1054-B$9)/365.25</f>
        <v>145.45106091718</v>
      </c>
      <c r="C1054" s="398">
        <f t="shared" si="1070"/>
        <v>140.84052019164955</v>
      </c>
      <c r="E1054" s="25">
        <f>IF(C1054&gt;$B$7,0,'Combined Retirement'!$D$13/12)</f>
        <v>0</v>
      </c>
      <c r="F1054" s="25">
        <f>IF(H1054=0,'Combined Retirement'!$D$32,0)+'Combined Retirement'!$B$24</f>
        <v>2870.372285649099</v>
      </c>
      <c r="G1054" s="25">
        <f>'Combined Retirement'!$C$24</f>
        <v>3254.2644699519233</v>
      </c>
      <c r="H1054" s="25">
        <f>IF(B1054&lt;62,0,'Combined Retirement'!$I$14)</f>
        <v>2345</v>
      </c>
      <c r="I1054" s="25">
        <f>IF(C1054&lt;62,0,'Combined Retirement'!$I$13)</f>
        <v>2420</v>
      </c>
      <c r="J1054" s="25">
        <f t="shared" si="1043"/>
        <v>8395.6297298201844</v>
      </c>
      <c r="K1054" s="25">
        <f t="shared" si="1044"/>
        <v>21655.303514578787</v>
      </c>
      <c r="L1054" s="25"/>
      <c r="N1054" s="25">
        <f>'Combined Retirement'!$C$18/12</f>
        <v>40940.569999999992</v>
      </c>
      <c r="O1054" s="25">
        <f t="shared" si="1045"/>
        <v>10889.636755601023</v>
      </c>
      <c r="P1054" s="25">
        <f t="shared" si="1046"/>
        <v>30050.93324439897</v>
      </c>
      <c r="Q1054" s="25">
        <f t="array" aca="1" ref="Q1054" ca="1">INDEX('Isaac 401k'!L:L,MATCH('Retirement Calculator'!A1054,'Isaac 401k'!N:N,0),0)</f>
        <v>-21234185.903474219</v>
      </c>
      <c r="R1054" s="25">
        <f t="array" aca="1" ref="R1054" ca="1">INDEX('Lorri 401b'!L:L,MATCH('Retirement Calculator'!A1054,'Lorri 401b'!N:N,0),0)</f>
        <v>-40829127.754718304</v>
      </c>
      <c r="S1054" s="25">
        <f t="shared" ca="1" si="1047"/>
        <v>-62063313.658192523</v>
      </c>
    </row>
    <row r="1055" spans="1:19" ht="15.75" customHeight="1" x14ac:dyDescent="0.3">
      <c r="A1055" s="37">
        <v>83063</v>
      </c>
      <c r="B1055" s="398">
        <f t="shared" ref="B1055:C1055" si="1071">($A1055-B$9)/365.25</f>
        <v>145.5359342915811</v>
      </c>
      <c r="C1055" s="398">
        <f t="shared" si="1071"/>
        <v>140.92539356605064</v>
      </c>
      <c r="E1055" s="25">
        <f>IF(C1055&gt;$B$7,0,'Combined Retirement'!$D$13/12)</f>
        <v>0</v>
      </c>
      <c r="F1055" s="25">
        <f>IF(H1055=0,'Combined Retirement'!$D$32,0)+'Combined Retirement'!$B$24</f>
        <v>2870.372285649099</v>
      </c>
      <c r="G1055" s="25">
        <f>'Combined Retirement'!$C$24</f>
        <v>3254.2644699519233</v>
      </c>
      <c r="H1055" s="25">
        <f>IF(B1055&lt;62,0,'Combined Retirement'!$I$14)</f>
        <v>2345</v>
      </c>
      <c r="I1055" s="25">
        <f>IF(C1055&lt;62,0,'Combined Retirement'!$I$13)</f>
        <v>2420</v>
      </c>
      <c r="J1055" s="25">
        <f t="shared" si="1043"/>
        <v>8395.6297298201844</v>
      </c>
      <c r="K1055" s="25">
        <f t="shared" si="1044"/>
        <v>21655.303514578787</v>
      </c>
      <c r="L1055" s="25"/>
      <c r="N1055" s="25">
        <f>'Combined Retirement'!$C$18/12</f>
        <v>40940.569999999992</v>
      </c>
      <c r="O1055" s="25">
        <f t="shared" si="1045"/>
        <v>10889.636755601023</v>
      </c>
      <c r="P1055" s="25">
        <f t="shared" si="1046"/>
        <v>30050.93324439897</v>
      </c>
      <c r="Q1055" s="25">
        <f t="array" aca="1" ref="Q1055" ca="1">INDEX('Isaac 401k'!L:L,MATCH('Retirement Calculator'!A1055,'Isaac 401k'!N:N,0),0)</f>
        <v>-21331092.289592389</v>
      </c>
      <c r="R1055" s="25">
        <f t="array" aca="1" ref="R1055" ca="1">INDEX('Lorri 401b'!L:L,MATCH('Retirement Calculator'!A1055,'Lorri 401b'!N:N,0),0)</f>
        <v>-41020994.654308848</v>
      </c>
      <c r="S1055" s="25">
        <f t="shared" ca="1" si="1047"/>
        <v>-62352086.943901241</v>
      </c>
    </row>
    <row r="1056" spans="1:19" ht="15.75" customHeight="1" x14ac:dyDescent="0.3">
      <c r="A1056" s="37">
        <v>83093</v>
      </c>
      <c r="B1056" s="398">
        <f t="shared" ref="B1056:C1056" si="1072">($A1056-B$9)/365.25</f>
        <v>145.61806981519507</v>
      </c>
      <c r="C1056" s="398">
        <f t="shared" si="1072"/>
        <v>141.00752908966462</v>
      </c>
      <c r="E1056" s="25">
        <f>IF(C1056&gt;$B$7,0,'Combined Retirement'!$D$13/12)</f>
        <v>0</v>
      </c>
      <c r="F1056" s="25">
        <f>IF(H1056=0,'Combined Retirement'!$D$32,0)+'Combined Retirement'!$B$24</f>
        <v>2870.372285649099</v>
      </c>
      <c r="G1056" s="25">
        <f>'Combined Retirement'!$C$24</f>
        <v>3254.2644699519233</v>
      </c>
      <c r="H1056" s="25">
        <f>IF(B1056&lt;62,0,'Combined Retirement'!$I$14)</f>
        <v>2345</v>
      </c>
      <c r="I1056" s="25">
        <f>IF(C1056&lt;62,0,'Combined Retirement'!$I$13)</f>
        <v>2420</v>
      </c>
      <c r="J1056" s="25">
        <f t="shared" si="1043"/>
        <v>8395.6297298201844</v>
      </c>
      <c r="K1056" s="25">
        <f t="shared" si="1044"/>
        <v>21655.303514578787</v>
      </c>
      <c r="L1056" s="25"/>
      <c r="N1056" s="25">
        <f>'Combined Retirement'!$C$18/12</f>
        <v>40940.569999999992</v>
      </c>
      <c r="O1056" s="25">
        <f t="shared" si="1045"/>
        <v>10889.636755601023</v>
      </c>
      <c r="P1056" s="25">
        <f t="shared" si="1046"/>
        <v>30050.93324439897</v>
      </c>
      <c r="Q1056" s="25">
        <f t="array" aca="1" ref="Q1056" ca="1">INDEX('Isaac 401k'!L:L,MATCH('Retirement Calculator'!A1056,'Isaac 401k'!N:N,0),0)</f>
        <v>-21428402.452319384</v>
      </c>
      <c r="R1056" s="25">
        <f t="array" aca="1" ref="R1056" ca="1">INDEX('Lorri 401b'!L:L,MATCH('Retirement Calculator'!A1056,'Lorri 401b'!N:N,0),0)</f>
        <v>-41213660.999314353</v>
      </c>
      <c r="S1056" s="25">
        <f t="shared" ca="1" si="1047"/>
        <v>-62642063.451633736</v>
      </c>
    </row>
    <row r="1057" spans="1:19" ht="15.75" customHeight="1" x14ac:dyDescent="0.3">
      <c r="A1057" s="37">
        <v>83124</v>
      </c>
      <c r="B1057" s="398">
        <f t="shared" ref="B1057:C1057" si="1073">($A1057-B$9)/365.25</f>
        <v>145.70294318959617</v>
      </c>
      <c r="C1057" s="398">
        <f t="shared" si="1073"/>
        <v>141.09240246406571</v>
      </c>
      <c r="E1057" s="25">
        <f>IF(C1057&gt;$B$7,0,'Combined Retirement'!$D$13/12)</f>
        <v>0</v>
      </c>
      <c r="F1057" s="25">
        <f>IF(H1057=0,'Combined Retirement'!$D$32,0)+'Combined Retirement'!$B$24</f>
        <v>2870.372285649099</v>
      </c>
      <c r="G1057" s="25">
        <f>'Combined Retirement'!$C$24</f>
        <v>3254.2644699519233</v>
      </c>
      <c r="H1057" s="25">
        <f>IF(B1057&lt;62,0,'Combined Retirement'!$I$14)</f>
        <v>2345</v>
      </c>
      <c r="I1057" s="25">
        <f>IF(C1057&lt;62,0,'Combined Retirement'!$I$13)</f>
        <v>2420</v>
      </c>
      <c r="J1057" s="25">
        <f t="shared" si="1043"/>
        <v>8395.6297298201844</v>
      </c>
      <c r="K1057" s="25">
        <f t="shared" si="1044"/>
        <v>21655.303514578787</v>
      </c>
      <c r="L1057" s="25"/>
      <c r="N1057" s="25">
        <f>'Combined Retirement'!$C$18/12</f>
        <v>40940.569999999992</v>
      </c>
      <c r="O1057" s="25">
        <f t="shared" si="1045"/>
        <v>10889.636755601023</v>
      </c>
      <c r="P1057" s="25">
        <f t="shared" si="1046"/>
        <v>30050.93324439897</v>
      </c>
      <c r="Q1057" s="25">
        <f t="array" aca="1" ref="Q1057" ca="1">INDEX('Isaac 401k'!L:L,MATCH('Retirement Calculator'!A1057,'Isaac 401k'!N:N,0),0)</f>
        <v>-21526118.074057739</v>
      </c>
      <c r="R1057" s="25">
        <f t="array" aca="1" ref="R1057" ca="1">INDEX('Lorri 401b'!L:L,MATCH('Retirement Calculator'!A1057,'Lorri 401b'!N:N,0),0)</f>
        <v>-41407130.120757386</v>
      </c>
      <c r="S1057" s="25">
        <f t="shared" ca="1" si="1047"/>
        <v>-62933248.194815129</v>
      </c>
    </row>
    <row r="1058" spans="1:19" ht="15.75" customHeight="1" x14ac:dyDescent="0.3">
      <c r="A1058" s="37">
        <v>83155</v>
      </c>
      <c r="B1058" s="398">
        <f t="shared" ref="B1058:C1058" si="1074">($A1058-B$9)/365.25</f>
        <v>145.78781656399727</v>
      </c>
      <c r="C1058" s="398">
        <f t="shared" si="1074"/>
        <v>141.17727583846681</v>
      </c>
      <c r="E1058" s="25">
        <f>IF(C1058&gt;$B$7,0,'Combined Retirement'!$D$13/12)</f>
        <v>0</v>
      </c>
      <c r="F1058" s="25">
        <f>IF(H1058=0,'Combined Retirement'!$D$32,0)+'Combined Retirement'!$B$24</f>
        <v>2870.372285649099</v>
      </c>
      <c r="G1058" s="25">
        <f>'Combined Retirement'!$C$24</f>
        <v>3254.2644699519233</v>
      </c>
      <c r="H1058" s="25">
        <f>IF(B1058&lt;62,0,'Combined Retirement'!$I$14)</f>
        <v>2345</v>
      </c>
      <c r="I1058" s="25">
        <f>IF(C1058&lt;62,0,'Combined Retirement'!$I$13)</f>
        <v>2420</v>
      </c>
      <c r="J1058" s="25">
        <f t="shared" si="1043"/>
        <v>8395.6297298201844</v>
      </c>
      <c r="K1058" s="25">
        <f t="shared" si="1044"/>
        <v>21655.303514578787</v>
      </c>
      <c r="L1058" s="25"/>
      <c r="N1058" s="25">
        <f>'Combined Retirement'!$C$18/12</f>
        <v>40940.569999999992</v>
      </c>
      <c r="O1058" s="25">
        <f t="shared" si="1045"/>
        <v>10889.636755601023</v>
      </c>
      <c r="P1058" s="25">
        <f t="shared" si="1046"/>
        <v>30050.93324439897</v>
      </c>
      <c r="Q1058" s="25">
        <f t="array" aca="1" ref="Q1058" ca="1">INDEX('Isaac 401k'!L:L,MATCH('Retirement Calculator'!A1058,'Isaac 401k'!N:N,0),0)</f>
        <v>-21624240.844220005</v>
      </c>
      <c r="R1058" s="25">
        <f t="array" aca="1" ref="R1058" ca="1">INDEX('Lorri 401b'!L:L,MATCH('Retirement Calculator'!A1058,'Lorri 401b'!N:N,0),0)</f>
        <v>-41601405.363539763</v>
      </c>
      <c r="S1058" s="25">
        <f t="shared" ca="1" si="1047"/>
        <v>-63225646.207759768</v>
      </c>
    </row>
    <row r="1059" spans="1:19" ht="15.75" customHeight="1" x14ac:dyDescent="0.3">
      <c r="A1059" s="37">
        <v>83185</v>
      </c>
      <c r="B1059" s="398">
        <f t="shared" ref="B1059:C1059" si="1075">($A1059-B$9)/365.25</f>
        <v>145.86995208761124</v>
      </c>
      <c r="C1059" s="398">
        <f t="shared" si="1075"/>
        <v>141.25941136208075</v>
      </c>
      <c r="E1059" s="25">
        <f>IF(C1059&gt;$B$7,0,'Combined Retirement'!$D$13/12)</f>
        <v>0</v>
      </c>
      <c r="F1059" s="25">
        <f>IF(H1059=0,'Combined Retirement'!$D$32,0)+'Combined Retirement'!$B$24</f>
        <v>2870.372285649099</v>
      </c>
      <c r="G1059" s="25">
        <f>'Combined Retirement'!$C$24</f>
        <v>3254.2644699519233</v>
      </c>
      <c r="H1059" s="25">
        <f>IF(B1059&lt;62,0,'Combined Retirement'!$I$14)</f>
        <v>2345</v>
      </c>
      <c r="I1059" s="25">
        <f>IF(C1059&lt;62,0,'Combined Retirement'!$I$13)</f>
        <v>2420</v>
      </c>
      <c r="J1059" s="25">
        <f t="shared" si="1043"/>
        <v>8395.6297298201844</v>
      </c>
      <c r="K1059" s="25">
        <f t="shared" si="1044"/>
        <v>21655.303514578787</v>
      </c>
      <c r="L1059" s="25"/>
      <c r="N1059" s="25">
        <f>'Combined Retirement'!$C$18/12</f>
        <v>40940.569999999992</v>
      </c>
      <c r="O1059" s="25">
        <f t="shared" si="1045"/>
        <v>10889.636755601023</v>
      </c>
      <c r="P1059" s="25">
        <f t="shared" si="1046"/>
        <v>30050.93324439897</v>
      </c>
      <c r="Q1059" s="25">
        <f t="array" aca="1" ref="Q1059" ca="1">INDEX('Isaac 401k'!L:L,MATCH('Retirement Calculator'!A1059,'Isaac 401k'!N:N,0),0)</f>
        <v>-21722772.459257949</v>
      </c>
      <c r="R1059" s="25">
        <f t="array" aca="1" ref="R1059" ca="1">INDEX('Lorri 401b'!L:L,MATCH('Retirement Calculator'!A1059,'Lorri 401b'!N:N,0),0)</f>
        <v>-41796490.086500399</v>
      </c>
      <c r="S1059" s="25">
        <f t="shared" ca="1" si="1047"/>
        <v>-63519262.545758352</v>
      </c>
    </row>
    <row r="1060" spans="1:19" ht="15.75" customHeight="1" x14ac:dyDescent="0.3">
      <c r="A1060" s="37">
        <v>83216</v>
      </c>
      <c r="B1060" s="398">
        <f t="shared" ref="B1060:C1060" si="1076">($A1060-B$9)/365.25</f>
        <v>145.95482546201231</v>
      </c>
      <c r="C1060" s="398">
        <f t="shared" si="1076"/>
        <v>141.34428473648185</v>
      </c>
      <c r="E1060" s="25">
        <f>IF(C1060&gt;$B$7,0,'Combined Retirement'!$D$13/12)</f>
        <v>0</v>
      </c>
      <c r="F1060" s="25">
        <f>IF(H1060=0,'Combined Retirement'!$D$32,0)+'Combined Retirement'!$B$24</f>
        <v>2870.372285649099</v>
      </c>
      <c r="G1060" s="25">
        <f>'Combined Retirement'!$C$24</f>
        <v>3254.2644699519233</v>
      </c>
      <c r="H1060" s="25">
        <f>IF(B1060&lt;62,0,'Combined Retirement'!$I$14)</f>
        <v>2345</v>
      </c>
      <c r="I1060" s="25">
        <f>IF(C1060&lt;62,0,'Combined Retirement'!$I$13)</f>
        <v>2420</v>
      </c>
      <c r="J1060" s="25">
        <f t="shared" si="1043"/>
        <v>8395.6297298201844</v>
      </c>
      <c r="K1060" s="25">
        <f t="shared" si="1044"/>
        <v>21655.303514578787</v>
      </c>
      <c r="L1060" s="25"/>
      <c r="N1060" s="25">
        <f>'Combined Retirement'!$C$18/12</f>
        <v>40940.569999999992</v>
      </c>
      <c r="O1060" s="25">
        <f t="shared" si="1045"/>
        <v>10889.636755601023</v>
      </c>
      <c r="P1060" s="25">
        <f t="shared" si="1046"/>
        <v>30050.93324439897</v>
      </c>
      <c r="Q1060" s="25">
        <f t="array" aca="1" ref="Q1060" ca="1">INDEX('Isaac 401k'!L:L,MATCH('Retirement Calculator'!A1060,'Isaac 401k'!N:N,0),0)</f>
        <v>-21821714.622691885</v>
      </c>
      <c r="R1060" s="25">
        <f t="array" aca="1" ref="R1060" ca="1">INDEX('Lorri 401b'!L:L,MATCH('Retirement Calculator'!A1060,'Lorri 401b'!N:N,0),0)</f>
        <v>-41992387.662473373</v>
      </c>
      <c r="S1060" s="25">
        <f t="shared" ca="1" si="1047"/>
        <v>-63814102.285165258</v>
      </c>
    </row>
    <row r="1061" spans="1:19" ht="15.75" customHeight="1" x14ac:dyDescent="0.3">
      <c r="A1061" s="37">
        <v>83246</v>
      </c>
      <c r="B1061" s="398">
        <f t="shared" ref="B1061:C1061" si="1077">($A1061-B$9)/365.25</f>
        <v>146.03696098562628</v>
      </c>
      <c r="C1061" s="398">
        <f t="shared" si="1077"/>
        <v>141.42642026009582</v>
      </c>
      <c r="E1061" s="25">
        <f>IF(C1061&gt;$B$7,0,'Combined Retirement'!$D$13/12)</f>
        <v>0</v>
      </c>
      <c r="F1061" s="25">
        <f>IF(H1061=0,'Combined Retirement'!$D$32,0)+'Combined Retirement'!$B$24</f>
        <v>2870.372285649099</v>
      </c>
      <c r="G1061" s="25">
        <f>'Combined Retirement'!$C$24</f>
        <v>3254.2644699519233</v>
      </c>
      <c r="H1061" s="25">
        <f>IF(B1061&lt;62,0,'Combined Retirement'!$I$14)</f>
        <v>2345</v>
      </c>
      <c r="I1061" s="25">
        <f>IF(C1061&lt;62,0,'Combined Retirement'!$I$13)</f>
        <v>2420</v>
      </c>
      <c r="J1061" s="25">
        <f t="shared" si="1043"/>
        <v>8395.6297298201844</v>
      </c>
      <c r="K1061" s="25">
        <f t="shared" si="1044"/>
        <v>21655.303514578787</v>
      </c>
      <c r="L1061" s="25"/>
      <c r="N1061" s="25">
        <f>'Combined Retirement'!$C$18/12</f>
        <v>40940.569999999992</v>
      </c>
      <c r="O1061" s="25">
        <f t="shared" si="1045"/>
        <v>10889.636755601023</v>
      </c>
      <c r="P1061" s="25">
        <f t="shared" si="1046"/>
        <v>30050.93324439897</v>
      </c>
      <c r="Q1061" s="25">
        <f t="array" aca="1" ref="Q1061" ca="1">INDEX('Isaac 401k'!L:L,MATCH('Retirement Calculator'!A1061,'Isaac 401k'!N:N,0),0)</f>
        <v>-21921069.045140129</v>
      </c>
      <c r="R1061" s="25">
        <f t="array" aca="1" ref="R1061" ca="1">INDEX('Lorri 401b'!L:L,MATCH('Retirement Calculator'!A1061,'Lorri 401b'!N:N,0),0)</f>
        <v>-42189101.478346236</v>
      </c>
      <c r="S1061" s="25">
        <f t="shared" ca="1" si="1047"/>
        <v>-64110170.523486361</v>
      </c>
    </row>
    <row r="1062" spans="1:19" ht="15.75" customHeight="1" x14ac:dyDescent="0.3">
      <c r="A1062" s="37">
        <v>83277</v>
      </c>
      <c r="B1062" s="398">
        <f t="shared" ref="B1062:C1062" si="1078">($A1062-B$9)/365.25</f>
        <v>146.12183436002738</v>
      </c>
      <c r="C1062" s="398">
        <f t="shared" si="1078"/>
        <v>141.51129363449692</v>
      </c>
      <c r="E1062" s="25">
        <f>IF(C1062&gt;$B$7,0,'Combined Retirement'!$D$13/12)</f>
        <v>0</v>
      </c>
      <c r="F1062" s="25">
        <f>IF(H1062=0,'Combined Retirement'!$D$32,0)+'Combined Retirement'!$B$24</f>
        <v>2870.372285649099</v>
      </c>
      <c r="G1062" s="25">
        <f>'Combined Retirement'!$C$24</f>
        <v>3254.2644699519233</v>
      </c>
      <c r="H1062" s="25">
        <f>IF(B1062&lt;62,0,'Combined Retirement'!$I$14)</f>
        <v>2345</v>
      </c>
      <c r="I1062" s="25">
        <f>IF(C1062&lt;62,0,'Combined Retirement'!$I$13)</f>
        <v>2420</v>
      </c>
      <c r="J1062" s="25">
        <f t="shared" si="1043"/>
        <v>8395.6297298201844</v>
      </c>
      <c r="K1062" s="25">
        <f t="shared" si="1044"/>
        <v>21655.303514578787</v>
      </c>
      <c r="L1062" s="25"/>
      <c r="N1062" s="25">
        <f>'Combined Retirement'!$C$18/12</f>
        <v>40940.569999999992</v>
      </c>
      <c r="O1062" s="25">
        <f t="shared" si="1045"/>
        <v>10889.636755601023</v>
      </c>
      <c r="P1062" s="25">
        <f t="shared" si="1046"/>
        <v>30050.93324439897</v>
      </c>
      <c r="Q1062" s="25">
        <f t="array" aca="1" ref="Q1062" ca="1">INDEX('Isaac 401k'!L:L,MATCH('Retirement Calculator'!A1062,'Isaac 401k'!N:N,0),0)</f>
        <v>-22020837.444348574</v>
      </c>
      <c r="R1062" s="25">
        <f t="array" aca="1" ref="R1062" ca="1">INDEX('Lorri 401b'!L:L,MATCH('Retirement Calculator'!A1062,'Lorri 401b'!N:N,0),0)</f>
        <v>-42386634.935118563</v>
      </c>
      <c r="S1062" s="25">
        <f t="shared" ca="1" si="1047"/>
        <v>-64407472.379467137</v>
      </c>
    </row>
    <row r="1063" spans="1:19" ht="15.75" customHeight="1" x14ac:dyDescent="0.3">
      <c r="A1063" s="37">
        <v>83308</v>
      </c>
      <c r="B1063" s="398">
        <f t="shared" ref="B1063:C1063" si="1079">($A1063-B$9)/365.25</f>
        <v>146.20670773442848</v>
      </c>
      <c r="C1063" s="398">
        <f t="shared" si="1079"/>
        <v>141.59616700889802</v>
      </c>
      <c r="E1063" s="25">
        <f>IF(C1063&gt;$B$7,0,'Combined Retirement'!$D$13/12)</f>
        <v>0</v>
      </c>
      <c r="F1063" s="25">
        <f>IF(H1063=0,'Combined Retirement'!$D$32,0)+'Combined Retirement'!$B$24</f>
        <v>2870.372285649099</v>
      </c>
      <c r="G1063" s="25">
        <f>'Combined Retirement'!$C$24</f>
        <v>3254.2644699519233</v>
      </c>
      <c r="H1063" s="25">
        <f>IF(B1063&lt;62,0,'Combined Retirement'!$I$14)</f>
        <v>2345</v>
      </c>
      <c r="I1063" s="25">
        <f>IF(C1063&lt;62,0,'Combined Retirement'!$I$13)</f>
        <v>2420</v>
      </c>
      <c r="J1063" s="25">
        <f t="shared" si="1043"/>
        <v>8395.6297298201844</v>
      </c>
      <c r="K1063" s="25">
        <f t="shared" si="1044"/>
        <v>21655.303514578787</v>
      </c>
      <c r="L1063" s="25"/>
      <c r="N1063" s="25">
        <f>'Combined Retirement'!$C$18/12</f>
        <v>40940.569999999992</v>
      </c>
      <c r="O1063" s="25">
        <f t="shared" si="1045"/>
        <v>10889.636755601023</v>
      </c>
      <c r="P1063" s="25">
        <f t="shared" si="1046"/>
        <v>30050.93324439897</v>
      </c>
      <c r="Q1063" s="25">
        <f t="array" aca="1" ref="Q1063" ca="1">INDEX('Isaac 401k'!L:L,MATCH('Retirement Calculator'!A1063,'Isaac 401k'!N:N,0),0)</f>
        <v>-22121021.545220386</v>
      </c>
      <c r="R1063" s="25">
        <f t="array" aca="1" ref="R1063" ca="1">INDEX('Lorri 401b'!L:L,MATCH('Retirement Calculator'!A1063,'Lorri 401b'!N:N,0),0)</f>
        <v>-42584991.447960779</v>
      </c>
      <c r="S1063" s="25">
        <f t="shared" ca="1" si="1047"/>
        <v>-64706012.993181169</v>
      </c>
    </row>
    <row r="1064" spans="1:19" ht="15.75" customHeight="1" x14ac:dyDescent="0.3">
      <c r="A1064" s="37">
        <v>83337</v>
      </c>
      <c r="B1064" s="398">
        <f t="shared" ref="B1064:C1064" si="1080">($A1064-B$9)/365.25</f>
        <v>146.28610540725529</v>
      </c>
      <c r="C1064" s="398">
        <f t="shared" si="1080"/>
        <v>141.67556468172484</v>
      </c>
      <c r="E1064" s="25">
        <f>IF(C1064&gt;$B$7,0,'Combined Retirement'!$D$13/12)</f>
        <v>0</v>
      </c>
      <c r="F1064" s="25">
        <f>IF(H1064=0,'Combined Retirement'!$D$32,0)+'Combined Retirement'!$B$24</f>
        <v>2870.372285649099</v>
      </c>
      <c r="G1064" s="25">
        <f>'Combined Retirement'!$C$24</f>
        <v>3254.2644699519233</v>
      </c>
      <c r="H1064" s="25">
        <f>IF(B1064&lt;62,0,'Combined Retirement'!$I$14)</f>
        <v>2345</v>
      </c>
      <c r="I1064" s="25">
        <f>IF(C1064&lt;62,0,'Combined Retirement'!$I$13)</f>
        <v>2420</v>
      </c>
      <c r="J1064" s="25">
        <f t="shared" si="1043"/>
        <v>8395.6297298201844</v>
      </c>
      <c r="K1064" s="25">
        <f t="shared" si="1044"/>
        <v>21655.303514578787</v>
      </c>
      <c r="L1064" s="25"/>
      <c r="N1064" s="25">
        <f>'Combined Retirement'!$C$18/12</f>
        <v>40940.569999999992</v>
      </c>
      <c r="O1064" s="25">
        <f t="shared" si="1045"/>
        <v>10889.636755601023</v>
      </c>
      <c r="P1064" s="25">
        <f t="shared" si="1046"/>
        <v>30050.93324439897</v>
      </c>
      <c r="Q1064" s="25">
        <f t="array" aca="1" ref="Q1064" ca="1">INDEX('Isaac 401k'!L:L,MATCH('Retirement Calculator'!A1064,'Isaac 401k'!N:N,0),0)</f>
        <v>-22221623.079845831</v>
      </c>
      <c r="R1064" s="25">
        <f t="array" aca="1" ref="R1064" ca="1">INDEX('Lorri 401b'!L:L,MATCH('Retirement Calculator'!A1064,'Lorri 401b'!N:N,0),0)</f>
        <v>-42784174.44627317</v>
      </c>
      <c r="S1064" s="25">
        <f t="shared" ca="1" si="1047"/>
        <v>-65005797.526119001</v>
      </c>
    </row>
    <row r="1065" spans="1:19" ht="15.75" customHeight="1" x14ac:dyDescent="0.3">
      <c r="A1065" s="37">
        <v>83368</v>
      </c>
      <c r="B1065" s="398">
        <f t="shared" ref="B1065:C1065" si="1081">($A1065-B$9)/365.25</f>
        <v>146.37097878165639</v>
      </c>
      <c r="C1065" s="398">
        <f t="shared" si="1081"/>
        <v>141.76043805612593</v>
      </c>
      <c r="E1065" s="25">
        <f>IF(C1065&gt;$B$7,0,'Combined Retirement'!$D$13/12)</f>
        <v>0</v>
      </c>
      <c r="F1065" s="25">
        <f>IF(H1065=0,'Combined Retirement'!$D$32,0)+'Combined Retirement'!$B$24</f>
        <v>2870.372285649099</v>
      </c>
      <c r="G1065" s="25">
        <f>'Combined Retirement'!$C$24</f>
        <v>3254.2644699519233</v>
      </c>
      <c r="H1065" s="25">
        <f>IF(B1065&lt;62,0,'Combined Retirement'!$I$14)</f>
        <v>2345</v>
      </c>
      <c r="I1065" s="25">
        <f>IF(C1065&lt;62,0,'Combined Retirement'!$I$13)</f>
        <v>2420</v>
      </c>
      <c r="J1065" s="25">
        <f t="shared" si="1043"/>
        <v>8395.6297298201844</v>
      </c>
      <c r="K1065" s="25">
        <f t="shared" si="1044"/>
        <v>21655.303514578787</v>
      </c>
      <c r="L1065" s="25"/>
      <c r="N1065" s="25">
        <f>'Combined Retirement'!$C$18/12</f>
        <v>40940.569999999992</v>
      </c>
      <c r="O1065" s="25">
        <f t="shared" si="1045"/>
        <v>10889.636755601023</v>
      </c>
      <c r="P1065" s="25">
        <f t="shared" si="1046"/>
        <v>30050.93324439897</v>
      </c>
      <c r="Q1065" s="25">
        <f t="array" aca="1" ref="Q1065" ca="1">INDEX('Isaac 401k'!L:L,MATCH('Retirement Calculator'!A1065,'Isaac 401k'!N:N,0),0)</f>
        <v>-22322643.787532214</v>
      </c>
      <c r="R1065" s="25">
        <f t="array" aca="1" ref="R1065" ca="1">INDEX('Lorri 401b'!L:L,MATCH('Retirement Calculator'!A1065,'Lorri 401b'!N:N,0),0)</f>
        <v>-42984187.373745196</v>
      </c>
      <c r="S1065" s="25">
        <f t="shared" ca="1" si="1047"/>
        <v>-65306831.161277413</v>
      </c>
    </row>
    <row r="1066" spans="1:19" ht="15.75" customHeight="1" x14ac:dyDescent="0.3">
      <c r="A1066" s="37">
        <v>83398</v>
      </c>
      <c r="B1066" s="398">
        <f t="shared" ref="B1066:C1066" si="1082">($A1066-B$9)/365.25</f>
        <v>146.45311430527036</v>
      </c>
      <c r="C1066" s="398">
        <f t="shared" si="1082"/>
        <v>141.84257357973991</v>
      </c>
      <c r="E1066" s="25">
        <f>IF(C1066&gt;$B$7,0,'Combined Retirement'!$D$13/12)</f>
        <v>0</v>
      </c>
      <c r="F1066" s="25">
        <f>IF(H1066=0,'Combined Retirement'!$D$32,0)+'Combined Retirement'!$B$24</f>
        <v>2870.372285649099</v>
      </c>
      <c r="G1066" s="25">
        <f>'Combined Retirement'!$C$24</f>
        <v>3254.2644699519233</v>
      </c>
      <c r="H1066" s="25">
        <f>IF(B1066&lt;62,0,'Combined Retirement'!$I$14)</f>
        <v>2345</v>
      </c>
      <c r="I1066" s="25">
        <f>IF(C1066&lt;62,0,'Combined Retirement'!$I$13)</f>
        <v>2420</v>
      </c>
      <c r="J1066" s="25">
        <f t="shared" si="1043"/>
        <v>8395.6297298201844</v>
      </c>
      <c r="K1066" s="25">
        <f t="shared" si="1044"/>
        <v>21655.303514578787</v>
      </c>
      <c r="L1066" s="25"/>
      <c r="N1066" s="25">
        <f>'Combined Retirement'!$C$18/12</f>
        <v>40940.569999999992</v>
      </c>
      <c r="O1066" s="25">
        <f t="shared" si="1045"/>
        <v>10889.636755601023</v>
      </c>
      <c r="P1066" s="25">
        <f t="shared" si="1046"/>
        <v>30050.93324439897</v>
      </c>
      <c r="Q1066" s="25">
        <f t="array" aca="1" ref="Q1066" ca="1">INDEX('Isaac 401k'!L:L,MATCH('Retirement Calculator'!A1066,'Isaac 401k'!N:N,0),0)</f>
        <v>-22424085.414833959</v>
      </c>
      <c r="R1066" s="25">
        <f t="array" aca="1" ref="R1066" ca="1">INDEX('Lorri 401b'!L:L,MATCH('Retirement Calculator'!A1066,'Lorri 401b'!N:N,0),0)</f>
        <v>-43185033.688415021</v>
      </c>
      <c r="S1066" s="25">
        <f t="shared" ca="1" si="1047"/>
        <v>-65609119.103248984</v>
      </c>
    </row>
    <row r="1067" spans="1:19" ht="15.75" customHeight="1" x14ac:dyDescent="0.3">
      <c r="A1067" s="37">
        <v>83429</v>
      </c>
      <c r="B1067" s="398">
        <f t="shared" ref="B1067:C1067" si="1083">($A1067-B$9)/365.25</f>
        <v>146.53798767967146</v>
      </c>
      <c r="C1067" s="398">
        <f t="shared" si="1083"/>
        <v>141.927446954141</v>
      </c>
      <c r="E1067" s="25">
        <f>IF(C1067&gt;$B$7,0,'Combined Retirement'!$D$13/12)</f>
        <v>0</v>
      </c>
      <c r="F1067" s="25">
        <f>IF(H1067=0,'Combined Retirement'!$D$32,0)+'Combined Retirement'!$B$24</f>
        <v>2870.372285649099</v>
      </c>
      <c r="G1067" s="25">
        <f>'Combined Retirement'!$C$24</f>
        <v>3254.2644699519233</v>
      </c>
      <c r="H1067" s="25">
        <f>IF(B1067&lt;62,0,'Combined Retirement'!$I$14)</f>
        <v>2345</v>
      </c>
      <c r="I1067" s="25">
        <f>IF(C1067&lt;62,0,'Combined Retirement'!$I$13)</f>
        <v>2420</v>
      </c>
      <c r="J1067" s="25">
        <f t="shared" si="1043"/>
        <v>8395.6297298201844</v>
      </c>
      <c r="K1067" s="25">
        <f t="shared" si="1044"/>
        <v>21655.303514578787</v>
      </c>
      <c r="L1067" s="25"/>
      <c r="N1067" s="25">
        <f>'Combined Retirement'!$C$18/12</f>
        <v>40940.569999999992</v>
      </c>
      <c r="O1067" s="25">
        <f t="shared" si="1045"/>
        <v>10889.636755601023</v>
      </c>
      <c r="P1067" s="25">
        <f t="shared" si="1046"/>
        <v>30050.93324439897</v>
      </c>
      <c r="Q1067" s="25">
        <f t="array" aca="1" ref="Q1067" ca="1">INDEX('Isaac 401k'!L:L,MATCH('Retirement Calculator'!A1067,'Isaac 401k'!N:N,0),0)</f>
        <v>-22525949.715582792</v>
      </c>
      <c r="R1067" s="25">
        <f t="array" aca="1" ref="R1067" ca="1">INDEX('Lorri 401b'!L:L,MATCH('Retirement Calculator'!A1067,'Lorri 401b'!N:N,0),0)</f>
        <v>-43386716.862729304</v>
      </c>
      <c r="S1067" s="25">
        <f t="shared" ca="1" si="1047"/>
        <v>-65912666.578312099</v>
      </c>
    </row>
    <row r="1068" spans="1:19" ht="15.75" customHeight="1" x14ac:dyDescent="0.3">
      <c r="A1068" s="37">
        <v>83459</v>
      </c>
      <c r="B1068" s="398">
        <f t="shared" ref="B1068:C1068" si="1084">($A1068-B$9)/365.25</f>
        <v>146.62012320328543</v>
      </c>
      <c r="C1068" s="398">
        <f t="shared" si="1084"/>
        <v>142.00958247775498</v>
      </c>
      <c r="E1068" s="25">
        <f>IF(C1068&gt;$B$7,0,'Combined Retirement'!$D$13/12)</f>
        <v>0</v>
      </c>
      <c r="F1068" s="25">
        <f>IF(H1068=0,'Combined Retirement'!$D$32,0)+'Combined Retirement'!$B$24</f>
        <v>2870.372285649099</v>
      </c>
      <c r="G1068" s="25">
        <f>'Combined Retirement'!$C$24</f>
        <v>3254.2644699519233</v>
      </c>
      <c r="H1068" s="25">
        <f>IF(B1068&lt;62,0,'Combined Retirement'!$I$14)</f>
        <v>2345</v>
      </c>
      <c r="I1068" s="25">
        <f>IF(C1068&lt;62,0,'Combined Retirement'!$I$13)</f>
        <v>2420</v>
      </c>
      <c r="J1068" s="25">
        <f t="shared" si="1043"/>
        <v>8395.6297298201844</v>
      </c>
      <c r="K1068" s="25">
        <f t="shared" si="1044"/>
        <v>21655.303514578787</v>
      </c>
      <c r="L1068" s="25"/>
      <c r="N1068" s="25">
        <f>'Combined Retirement'!$C$18/12</f>
        <v>40940.569999999992</v>
      </c>
      <c r="O1068" s="25">
        <f t="shared" si="1045"/>
        <v>10889.636755601023</v>
      </c>
      <c r="P1068" s="25">
        <f t="shared" si="1046"/>
        <v>30050.93324439897</v>
      </c>
      <c r="Q1068" s="25">
        <f t="array" aca="1" ref="Q1068" ca="1">INDEX('Isaac 401k'!L:L,MATCH('Retirement Calculator'!A1068,'Isaac 401k'!N:N,0),0)</f>
        <v>-22628238.450918078</v>
      </c>
      <c r="R1068" s="25">
        <f t="array" aca="1" ref="R1068" ca="1">INDEX('Lorri 401b'!L:L,MATCH('Retirement Calculator'!A1068,'Lorri 401b'!N:N,0),0)</f>
        <v>-43589240.38360323</v>
      </c>
      <c r="S1068" s="25">
        <f t="shared" ca="1" si="1047"/>
        <v>-66217478.834521309</v>
      </c>
    </row>
    <row r="1069" spans="1:19" ht="15.75" customHeight="1" x14ac:dyDescent="0.3">
      <c r="A1069" s="37">
        <v>83490</v>
      </c>
      <c r="B1069" s="398">
        <f t="shared" ref="B1069:C1069" si="1085">($A1069-B$9)/365.25</f>
        <v>146.70499657768653</v>
      </c>
      <c r="C1069" s="398">
        <f t="shared" si="1085"/>
        <v>142.09445585215605</v>
      </c>
      <c r="E1069" s="25">
        <f>IF(C1069&gt;$B$7,0,'Combined Retirement'!$D$13/12)</f>
        <v>0</v>
      </c>
      <c r="F1069" s="25">
        <f>IF(H1069=0,'Combined Retirement'!$D$32,0)+'Combined Retirement'!$B$24</f>
        <v>2870.372285649099</v>
      </c>
      <c r="G1069" s="25">
        <f>'Combined Retirement'!$C$24</f>
        <v>3254.2644699519233</v>
      </c>
      <c r="H1069" s="25">
        <f>IF(B1069&lt;62,0,'Combined Retirement'!$I$14)</f>
        <v>2345</v>
      </c>
      <c r="I1069" s="25">
        <f>IF(C1069&lt;62,0,'Combined Retirement'!$I$13)</f>
        <v>2420</v>
      </c>
      <c r="J1069" s="25">
        <f t="shared" si="1043"/>
        <v>8395.6297298201844</v>
      </c>
      <c r="K1069" s="25">
        <f t="shared" si="1044"/>
        <v>21655.303514578787</v>
      </c>
      <c r="L1069" s="25"/>
      <c r="N1069" s="25">
        <f>'Combined Retirement'!$C$18/12</f>
        <v>40940.569999999992</v>
      </c>
      <c r="O1069" s="25">
        <f t="shared" si="1045"/>
        <v>10889.636755601023</v>
      </c>
      <c r="P1069" s="25">
        <f t="shared" si="1046"/>
        <v>30050.93324439897</v>
      </c>
      <c r="Q1069" s="25">
        <f t="array" aca="1" ref="Q1069" ca="1">INDEX('Isaac 401k'!L:L,MATCH('Retirement Calculator'!A1069,'Isaac 401k'!N:N,0),0)</f>
        <v>-22730953.389317263</v>
      </c>
      <c r="R1069" s="25">
        <f t="array" aca="1" ref="R1069" ca="1">INDEX('Lorri 401b'!L:L,MATCH('Retirement Calculator'!A1069,'Lorri 401b'!N:N,0),0)</f>
        <v>-43792607.752480797</v>
      </c>
      <c r="S1069" s="25">
        <f t="shared" ca="1" si="1047"/>
        <v>-66523561.141798064</v>
      </c>
    </row>
    <row r="1070" spans="1:19" ht="15.75" customHeight="1" x14ac:dyDescent="0.3">
      <c r="A1070" s="37">
        <v>83521</v>
      </c>
      <c r="B1070" s="398">
        <f t="shared" ref="B1070:C1070" si="1086">($A1070-B$9)/365.25</f>
        <v>146.7898699520876</v>
      </c>
      <c r="C1070" s="398">
        <f t="shared" si="1086"/>
        <v>142.17932922655714</v>
      </c>
      <c r="E1070" s="25">
        <f>IF(C1070&gt;$B$7,0,'Combined Retirement'!$D$13/12)</f>
        <v>0</v>
      </c>
      <c r="F1070" s="25">
        <f>IF(H1070=0,'Combined Retirement'!$D$32,0)+'Combined Retirement'!$B$24</f>
        <v>2870.372285649099</v>
      </c>
      <c r="G1070" s="25">
        <f>'Combined Retirement'!$C$24</f>
        <v>3254.2644699519233</v>
      </c>
      <c r="H1070" s="25">
        <f>IF(B1070&lt;62,0,'Combined Retirement'!$I$14)</f>
        <v>2345</v>
      </c>
      <c r="I1070" s="25">
        <f>IF(C1070&lt;62,0,'Combined Retirement'!$I$13)</f>
        <v>2420</v>
      </c>
      <c r="J1070" s="25">
        <f t="shared" si="1043"/>
        <v>8395.6297298201844</v>
      </c>
      <c r="K1070" s="25">
        <f t="shared" si="1044"/>
        <v>21655.303514578787</v>
      </c>
      <c r="L1070" s="25"/>
      <c r="N1070" s="25">
        <f>'Combined Retirement'!$C$18/12</f>
        <v>40940.569999999992</v>
      </c>
      <c r="O1070" s="25">
        <f t="shared" si="1045"/>
        <v>10889.636755601023</v>
      </c>
      <c r="P1070" s="25">
        <f t="shared" si="1046"/>
        <v>30050.93324439897</v>
      </c>
      <c r="Q1070" s="25">
        <f t="array" aca="1" ref="Q1070" ca="1">INDEX('Isaac 401k'!L:L,MATCH('Retirement Calculator'!A1070,'Isaac 401k'!N:N,0),0)</f>
        <v>-22834096.306626443</v>
      </c>
      <c r="R1070" s="25">
        <f t="array" aca="1" ref="R1070" ca="1">INDEX('Lorri 401b'!L:L,MATCH('Retirement Calculator'!A1070,'Lorri 401b'!N:N,0),0)</f>
        <v>-43996822.485395357</v>
      </c>
      <c r="S1070" s="25">
        <f t="shared" ca="1" si="1047"/>
        <v>-66830918.792021796</v>
      </c>
    </row>
    <row r="1071" spans="1:19" ht="15.75" customHeight="1" x14ac:dyDescent="0.3">
      <c r="A1071" s="37">
        <v>83551</v>
      </c>
      <c r="B1071" s="398">
        <f t="shared" ref="B1071:C1071" si="1087">($A1071-B$9)/365.25</f>
        <v>146.87200547570157</v>
      </c>
      <c r="C1071" s="398">
        <f t="shared" si="1087"/>
        <v>142.26146475017111</v>
      </c>
      <c r="E1071" s="25">
        <f>IF(C1071&gt;$B$7,0,'Combined Retirement'!$D$13/12)</f>
        <v>0</v>
      </c>
      <c r="F1071" s="25">
        <f>IF(H1071=0,'Combined Retirement'!$D$32,0)+'Combined Retirement'!$B$24</f>
        <v>2870.372285649099</v>
      </c>
      <c r="G1071" s="25">
        <f>'Combined Retirement'!$C$24</f>
        <v>3254.2644699519233</v>
      </c>
      <c r="H1071" s="25">
        <f>IF(B1071&lt;62,0,'Combined Retirement'!$I$14)</f>
        <v>2345</v>
      </c>
      <c r="I1071" s="25">
        <f>IF(C1071&lt;62,0,'Combined Retirement'!$I$13)</f>
        <v>2420</v>
      </c>
      <c r="J1071" s="25">
        <f t="shared" si="1043"/>
        <v>8395.6297298201844</v>
      </c>
      <c r="K1071" s="25">
        <f t="shared" si="1044"/>
        <v>21655.303514578787</v>
      </c>
      <c r="L1071" s="25"/>
      <c r="N1071" s="25">
        <f>'Combined Retirement'!$C$18/12</f>
        <v>40940.569999999992</v>
      </c>
      <c r="O1071" s="25">
        <f t="shared" si="1045"/>
        <v>10889.636755601023</v>
      </c>
      <c r="P1071" s="25">
        <f t="shared" si="1046"/>
        <v>30050.93324439897</v>
      </c>
      <c r="Q1071" s="25">
        <f t="array" aca="1" ref="Q1071" ca="1">INDEX('Isaac 401k'!L:L,MATCH('Retirement Calculator'!A1071,'Isaac 401k'!N:N,0),0)</f>
        <v>-22937668.986091077</v>
      </c>
      <c r="R1071" s="25">
        <f t="array" aca="1" ref="R1071" ca="1">INDEX('Lorri 401b'!L:L,MATCH('Retirement Calculator'!A1071,'Lorri 401b'!N:N,0),0)</f>
        <v>-44201888.113030389</v>
      </c>
      <c r="S1071" s="25">
        <f t="shared" ca="1" si="1047"/>
        <v>-67139557.099121466</v>
      </c>
    </row>
    <row r="1072" spans="1:19" ht="15.75" customHeight="1" x14ac:dyDescent="0.3">
      <c r="A1072" s="37">
        <v>83582</v>
      </c>
      <c r="B1072" s="398">
        <f t="shared" ref="B1072:C1072" si="1088">($A1072-B$9)/365.25</f>
        <v>146.95687885010267</v>
      </c>
      <c r="C1072" s="398">
        <f t="shared" si="1088"/>
        <v>142.34633812457221</v>
      </c>
      <c r="E1072" s="25">
        <f>IF(C1072&gt;$B$7,0,'Combined Retirement'!$D$13/12)</f>
        <v>0</v>
      </c>
      <c r="F1072" s="25">
        <f>IF(H1072=0,'Combined Retirement'!$D$32,0)+'Combined Retirement'!$B$24</f>
        <v>2870.372285649099</v>
      </c>
      <c r="G1072" s="25">
        <f>'Combined Retirement'!$C$24</f>
        <v>3254.2644699519233</v>
      </c>
      <c r="H1072" s="25">
        <f>IF(B1072&lt;62,0,'Combined Retirement'!$I$14)</f>
        <v>2345</v>
      </c>
      <c r="I1072" s="25">
        <f>IF(C1072&lt;62,0,'Combined Retirement'!$I$13)</f>
        <v>2420</v>
      </c>
      <c r="J1072" s="25">
        <f t="shared" si="1043"/>
        <v>8395.6297298201844</v>
      </c>
      <c r="K1072" s="25">
        <f t="shared" si="1044"/>
        <v>21655.303514578787</v>
      </c>
      <c r="L1072" s="25"/>
      <c r="N1072" s="25">
        <f>'Combined Retirement'!$C$18/12</f>
        <v>40940.569999999992</v>
      </c>
      <c r="O1072" s="25">
        <f t="shared" si="1045"/>
        <v>10889.636755601023</v>
      </c>
      <c r="P1072" s="25">
        <f t="shared" si="1046"/>
        <v>30050.93324439897</v>
      </c>
      <c r="Q1072" s="25">
        <f t="array" aca="1" ref="Q1072" ca="1">INDEX('Isaac 401k'!L:L,MATCH('Retirement Calculator'!A1072,'Isaac 401k'!N:N,0),0)</f>
        <v>-23041673.218386818</v>
      </c>
      <c r="R1072" s="25">
        <f t="array" aca="1" ref="R1072" ca="1">INDEX('Lorri 401b'!L:L,MATCH('Retirement Calculator'!A1072,'Lorri 401b'!N:N,0),0)</f>
        <v>-44407808.180780567</v>
      </c>
      <c r="S1072" s="25">
        <f t="shared" ca="1" si="1047"/>
        <v>-67449481.399167389</v>
      </c>
    </row>
    <row r="1073" spans="1:19" ht="15.75" customHeight="1" x14ac:dyDescent="0.3">
      <c r="A1073" s="37">
        <v>83612</v>
      </c>
      <c r="B1073" s="398">
        <f t="shared" ref="B1073:C1073" si="1089">($A1073-B$9)/365.25</f>
        <v>147.03901437371664</v>
      </c>
      <c r="C1073" s="398">
        <f t="shared" si="1089"/>
        <v>142.42847364818618</v>
      </c>
      <c r="E1073" s="25">
        <f>IF(C1073&gt;$B$7,0,'Combined Retirement'!$D$13/12)</f>
        <v>0</v>
      </c>
      <c r="F1073" s="25">
        <f>IF(H1073=0,'Combined Retirement'!$D$32,0)+'Combined Retirement'!$B$24</f>
        <v>2870.372285649099</v>
      </c>
      <c r="G1073" s="25">
        <f>'Combined Retirement'!$C$24</f>
        <v>3254.2644699519233</v>
      </c>
      <c r="H1073" s="25">
        <f>IF(B1073&lt;62,0,'Combined Retirement'!$I$14)</f>
        <v>2345</v>
      </c>
      <c r="I1073" s="25">
        <f>IF(C1073&lt;62,0,'Combined Retirement'!$I$13)</f>
        <v>2420</v>
      </c>
      <c r="J1073" s="25">
        <f t="shared" si="1043"/>
        <v>8395.6297298201844</v>
      </c>
      <c r="K1073" s="25">
        <f t="shared" si="1044"/>
        <v>21655.303514578787</v>
      </c>
      <c r="L1073" s="25"/>
      <c r="N1073" s="25">
        <f>'Combined Retirement'!$C$18/12</f>
        <v>40940.569999999992</v>
      </c>
      <c r="O1073" s="25">
        <f t="shared" si="1045"/>
        <v>10889.636755601023</v>
      </c>
      <c r="P1073" s="25">
        <f t="shared" si="1046"/>
        <v>30050.93324439897</v>
      </c>
      <c r="Q1073" s="25">
        <f t="array" aca="1" ref="Q1073" ca="1">INDEX('Isaac 401k'!L:L,MATCH('Retirement Calculator'!A1073,'Isaac 401k'!N:N,0),0)</f>
        <v>-23146110.801650457</v>
      </c>
      <c r="R1073" s="25">
        <f t="array" aca="1" ref="R1073" ca="1">INDEX('Lorri 401b'!L:L,MATCH('Retirement Calculator'!A1073,'Lorri 401b'!N:N,0),0)</f>
        <v>-44614586.248813041</v>
      </c>
      <c r="S1073" s="25">
        <f t="shared" ca="1" si="1047"/>
        <v>-67760697.050463498</v>
      </c>
    </row>
    <row r="1074" spans="1:19" ht="15.75" customHeight="1" x14ac:dyDescent="0.3">
      <c r="A1074" s="37">
        <v>83643</v>
      </c>
      <c r="B1074" s="398">
        <f t="shared" ref="B1074:C1074" si="1090">($A1074-B$9)/365.25</f>
        <v>147.12388774811774</v>
      </c>
      <c r="C1074" s="398">
        <f t="shared" si="1090"/>
        <v>142.51334702258728</v>
      </c>
      <c r="E1074" s="25">
        <f>IF(C1074&gt;$B$7,0,'Combined Retirement'!$D$13/12)</f>
        <v>0</v>
      </c>
      <c r="F1074" s="25">
        <f>IF(H1074=0,'Combined Retirement'!$D$32,0)+'Combined Retirement'!$B$24</f>
        <v>2870.372285649099</v>
      </c>
      <c r="G1074" s="25">
        <f>'Combined Retirement'!$C$24</f>
        <v>3254.2644699519233</v>
      </c>
      <c r="H1074" s="25">
        <f>IF(B1074&lt;62,0,'Combined Retirement'!$I$14)</f>
        <v>2345</v>
      </c>
      <c r="I1074" s="25">
        <f>IF(C1074&lt;62,0,'Combined Retirement'!$I$13)</f>
        <v>2420</v>
      </c>
      <c r="J1074" s="25">
        <f t="shared" si="1043"/>
        <v>8395.6297298201844</v>
      </c>
      <c r="K1074" s="25">
        <f t="shared" si="1044"/>
        <v>21655.303514578787</v>
      </c>
      <c r="L1074" s="25"/>
      <c r="N1074" s="25">
        <f>'Combined Retirement'!$C$18/12</f>
        <v>40940.569999999992</v>
      </c>
      <c r="O1074" s="25">
        <f t="shared" si="1045"/>
        <v>10889.636755601023</v>
      </c>
      <c r="P1074" s="25">
        <f t="shared" si="1046"/>
        <v>30050.93324439897</v>
      </c>
      <c r="Q1074" s="25">
        <f t="array" aca="1" ref="Q1074" ca="1">INDEX('Isaac 401k'!L:L,MATCH('Retirement Calculator'!A1074,'Isaac 401k'!N:N,0),0)</f>
        <v>-23250983.541511025</v>
      </c>
      <c r="R1074" s="25">
        <f t="array" aca="1" ref="R1074" ca="1">INDEX('Lorri 401b'!L:L,MATCH('Retirement Calculator'!A1074,'Lorri 401b'!N:N,0),0)</f>
        <v>-44822225.892128982</v>
      </c>
      <c r="S1074" s="25">
        <f t="shared" ca="1" si="1047"/>
        <v>-68073209.433640003</v>
      </c>
    </row>
    <row r="1075" spans="1:19" ht="15.75" customHeight="1" x14ac:dyDescent="0.3">
      <c r="A1075" s="37">
        <v>83674</v>
      </c>
      <c r="B1075" s="398">
        <f t="shared" ref="B1075:C1075" si="1091">($A1075-B$9)/365.25</f>
        <v>147.20876112251884</v>
      </c>
      <c r="C1075" s="398">
        <f t="shared" si="1091"/>
        <v>142.59822039698835</v>
      </c>
      <c r="E1075" s="25">
        <f>IF(C1075&gt;$B$7,0,'Combined Retirement'!$D$13/12)</f>
        <v>0</v>
      </c>
      <c r="F1075" s="25">
        <f>IF(H1075=0,'Combined Retirement'!$D$32,0)+'Combined Retirement'!$B$24</f>
        <v>2870.372285649099</v>
      </c>
      <c r="G1075" s="25">
        <f>'Combined Retirement'!$C$24</f>
        <v>3254.2644699519233</v>
      </c>
      <c r="H1075" s="25">
        <f>IF(B1075&lt;62,0,'Combined Retirement'!$I$14)</f>
        <v>2345</v>
      </c>
      <c r="I1075" s="25">
        <f>IF(C1075&lt;62,0,'Combined Retirement'!$I$13)</f>
        <v>2420</v>
      </c>
      <c r="J1075" s="25">
        <f t="shared" si="1043"/>
        <v>8395.6297298201844</v>
      </c>
      <c r="K1075" s="25">
        <f t="shared" si="1044"/>
        <v>21655.303514578787</v>
      </c>
      <c r="L1075" s="25"/>
      <c r="N1075" s="25">
        <f>'Combined Retirement'!$C$18/12</f>
        <v>40940.569999999992</v>
      </c>
      <c r="O1075" s="25">
        <f t="shared" si="1045"/>
        <v>10889.636755601023</v>
      </c>
      <c r="P1075" s="25">
        <f t="shared" si="1046"/>
        <v>30050.93324439897</v>
      </c>
      <c r="Q1075" s="25">
        <f t="array" aca="1" ref="Q1075" ca="1">INDEX('Isaac 401k'!L:L,MATCH('Retirement Calculator'!A1075,'Isaac 401k'!N:N,0),0)</f>
        <v>-23356293.251121014</v>
      </c>
      <c r="R1075" s="25">
        <f t="array" aca="1" ref="R1075" ca="1">INDEX('Lorri 401b'!L:L,MATCH('Retirement Calculator'!A1075,'Lorri 401b'!N:N,0),0)</f>
        <v>-45030730.700625405</v>
      </c>
      <c r="S1075" s="25">
        <f t="shared" ca="1" si="1047"/>
        <v>-68387023.951746419</v>
      </c>
    </row>
    <row r="1076" spans="1:19" ht="15.75" customHeight="1" x14ac:dyDescent="0.3">
      <c r="A1076" s="37">
        <v>83702</v>
      </c>
      <c r="B1076" s="398">
        <f t="shared" ref="B1076:C1076" si="1092">($A1076-B$9)/365.25</f>
        <v>147.28542094455852</v>
      </c>
      <c r="C1076" s="398">
        <f t="shared" si="1092"/>
        <v>142.67488021902807</v>
      </c>
      <c r="E1076" s="25">
        <f>IF(C1076&gt;$B$7,0,'Combined Retirement'!$D$13/12)</f>
        <v>0</v>
      </c>
      <c r="F1076" s="25">
        <f>IF(H1076=0,'Combined Retirement'!$D$32,0)+'Combined Retirement'!$B$24</f>
        <v>2870.372285649099</v>
      </c>
      <c r="G1076" s="25">
        <f>'Combined Retirement'!$C$24</f>
        <v>3254.2644699519233</v>
      </c>
      <c r="H1076" s="25">
        <f>IF(B1076&lt;62,0,'Combined Retirement'!$I$14)</f>
        <v>2345</v>
      </c>
      <c r="I1076" s="25">
        <f>IF(C1076&lt;62,0,'Combined Retirement'!$I$13)</f>
        <v>2420</v>
      </c>
      <c r="J1076" s="25">
        <f t="shared" si="1043"/>
        <v>8395.6297298201844</v>
      </c>
      <c r="K1076" s="25">
        <f t="shared" si="1044"/>
        <v>21655.303514578787</v>
      </c>
      <c r="L1076" s="25"/>
      <c r="N1076" s="25">
        <f>'Combined Retirement'!$C$18/12</f>
        <v>40940.569999999992</v>
      </c>
      <c r="O1076" s="25">
        <f t="shared" si="1045"/>
        <v>10889.636755601023</v>
      </c>
      <c r="P1076" s="25">
        <f t="shared" si="1046"/>
        <v>30050.93324439897</v>
      </c>
      <c r="Q1076" s="25">
        <f t="array" aca="1" ref="Q1076" ca="1">INDEX('Isaac 401k'!L:L,MATCH('Retirement Calculator'!A1076,'Isaac 401k'!N:N,0),0)</f>
        <v>-23462041.751187712</v>
      </c>
      <c r="R1076" s="25">
        <f t="array" aca="1" ref="R1076" ca="1">INDEX('Lorri 401b'!L:L,MATCH('Retirement Calculator'!A1076,'Lorri 401b'!N:N,0),0)</f>
        <v>-45240104.279157229</v>
      </c>
      <c r="S1076" s="25">
        <f t="shared" ca="1" si="1047"/>
        <v>-68702146.030344933</v>
      </c>
    </row>
    <row r="1077" spans="1:19" ht="15.75" customHeight="1" x14ac:dyDescent="0.3">
      <c r="A1077" s="37">
        <v>83733</v>
      </c>
      <c r="B1077" s="398">
        <f t="shared" ref="B1077:C1077" si="1093">($A1077-B$9)/365.25</f>
        <v>147.37029431895962</v>
      </c>
      <c r="C1077" s="398">
        <f t="shared" si="1093"/>
        <v>142.75975359342917</v>
      </c>
      <c r="E1077" s="25">
        <f>IF(C1077&gt;$B$7,0,'Combined Retirement'!$D$13/12)</f>
        <v>0</v>
      </c>
      <c r="F1077" s="25">
        <f>IF(H1077=0,'Combined Retirement'!$D$32,0)+'Combined Retirement'!$B$24</f>
        <v>2870.372285649099</v>
      </c>
      <c r="G1077" s="25">
        <f>'Combined Retirement'!$C$24</f>
        <v>3254.2644699519233</v>
      </c>
      <c r="H1077" s="25">
        <f>IF(B1077&lt;62,0,'Combined Retirement'!$I$14)</f>
        <v>2345</v>
      </c>
      <c r="I1077" s="25">
        <f>IF(C1077&lt;62,0,'Combined Retirement'!$I$13)</f>
        <v>2420</v>
      </c>
      <c r="J1077" s="25">
        <f t="shared" si="1043"/>
        <v>8395.6297298201844</v>
      </c>
      <c r="K1077" s="25">
        <f t="shared" si="1044"/>
        <v>21655.303514578787</v>
      </c>
      <c r="L1077" s="25"/>
      <c r="N1077" s="25">
        <f>'Combined Retirement'!$C$18/12</f>
        <v>40940.569999999992</v>
      </c>
      <c r="O1077" s="25">
        <f t="shared" si="1045"/>
        <v>10889.636755601023</v>
      </c>
      <c r="P1077" s="25">
        <f t="shared" si="1046"/>
        <v>30050.93324439897</v>
      </c>
      <c r="Q1077" s="25">
        <f t="array" aca="1" ref="Q1077" ca="1">INDEX('Isaac 401k'!L:L,MATCH('Retirement Calculator'!A1077,'Isaac 401k'!N:N,0),0)</f>
        <v>-23568230.870004687</v>
      </c>
      <c r="R1077" s="25">
        <f t="array" aca="1" ref="R1077" ca="1">INDEX('Lorri 401b'!L:L,MATCH('Retirement Calculator'!A1077,'Lorri 401b'!N:N,0),0)</f>
        <v>-45450350.247599602</v>
      </c>
      <c r="S1077" s="25">
        <f t="shared" ca="1" si="1047"/>
        <v>-69018581.117604285</v>
      </c>
    </row>
    <row r="1078" spans="1:19" ht="15.75" customHeight="1" x14ac:dyDescent="0.3">
      <c r="A1078" s="37">
        <v>83763</v>
      </c>
      <c r="B1078" s="398">
        <f t="shared" ref="B1078:C1078" si="1094">($A1078-B$9)/365.25</f>
        <v>147.45242984257359</v>
      </c>
      <c r="C1078" s="398">
        <f t="shared" si="1094"/>
        <v>142.84188911704311</v>
      </c>
      <c r="E1078" s="25">
        <f>IF(C1078&gt;$B$7,0,'Combined Retirement'!$D$13/12)</f>
        <v>0</v>
      </c>
      <c r="F1078" s="25">
        <f>IF(H1078=0,'Combined Retirement'!$D$32,0)+'Combined Retirement'!$B$24</f>
        <v>2870.372285649099</v>
      </c>
      <c r="G1078" s="25">
        <f>'Combined Retirement'!$C$24</f>
        <v>3254.2644699519233</v>
      </c>
      <c r="H1078" s="25">
        <f>IF(B1078&lt;62,0,'Combined Retirement'!$I$14)</f>
        <v>2345</v>
      </c>
      <c r="I1078" s="25">
        <f>IF(C1078&lt;62,0,'Combined Retirement'!$I$13)</f>
        <v>2420</v>
      </c>
      <c r="J1078" s="25">
        <f t="shared" si="1043"/>
        <v>8395.6297298201844</v>
      </c>
      <c r="K1078" s="25">
        <f t="shared" si="1044"/>
        <v>21655.303514578787</v>
      </c>
      <c r="L1078" s="25"/>
      <c r="N1078" s="25">
        <f>'Combined Retirement'!$C$18/12</f>
        <v>40940.569999999992</v>
      </c>
      <c r="O1078" s="25">
        <f t="shared" si="1045"/>
        <v>10889.636755601023</v>
      </c>
      <c r="P1078" s="25">
        <f t="shared" si="1046"/>
        <v>30050.93324439897</v>
      </c>
      <c r="Q1078" s="25">
        <f t="array" aca="1" ref="Q1078" ca="1">INDEX('Isaac 401k'!L:L,MATCH('Retirement Calculator'!A1078,'Isaac 401k'!N:N,0),0)</f>
        <v>-23674862.443483401</v>
      </c>
      <c r="R1078" s="25">
        <f t="array" aca="1" ref="R1078" ca="1">INDEX('Lorri 401b'!L:L,MATCH('Retirement Calculator'!A1078,'Lorri 401b'!N:N,0),0)</f>
        <v>-45661472.240910485</v>
      </c>
      <c r="S1078" s="25">
        <f t="shared" ca="1" si="1047"/>
        <v>-69336334.684393883</v>
      </c>
    </row>
    <row r="1079" spans="1:19" ht="15.75" customHeight="1" x14ac:dyDescent="0.3">
      <c r="A1079" s="37">
        <v>83794</v>
      </c>
      <c r="B1079" s="398">
        <f t="shared" ref="B1079:C1079" si="1095">($A1079-B$9)/365.25</f>
        <v>147.53730321697466</v>
      </c>
      <c r="C1079" s="398">
        <f t="shared" si="1095"/>
        <v>142.92676249144421</v>
      </c>
      <c r="E1079" s="25">
        <f>IF(C1079&gt;$B$7,0,'Combined Retirement'!$D$13/12)</f>
        <v>0</v>
      </c>
      <c r="F1079" s="25">
        <f>IF(H1079=0,'Combined Retirement'!$D$32,0)+'Combined Retirement'!$B$24</f>
        <v>2870.372285649099</v>
      </c>
      <c r="G1079" s="25">
        <f>'Combined Retirement'!$C$24</f>
        <v>3254.2644699519233</v>
      </c>
      <c r="H1079" s="25">
        <f>IF(B1079&lt;62,0,'Combined Retirement'!$I$14)</f>
        <v>2345</v>
      </c>
      <c r="I1079" s="25">
        <f>IF(C1079&lt;62,0,'Combined Retirement'!$I$13)</f>
        <v>2420</v>
      </c>
      <c r="J1079" s="25">
        <f t="shared" si="1043"/>
        <v>8395.6297298201844</v>
      </c>
      <c r="K1079" s="25">
        <f t="shared" si="1044"/>
        <v>21655.303514578787</v>
      </c>
      <c r="L1079" s="25"/>
      <c r="N1079" s="25">
        <f>'Combined Retirement'!$C$18/12</f>
        <v>40940.569999999992</v>
      </c>
      <c r="O1079" s="25">
        <f t="shared" si="1045"/>
        <v>10889.636755601023</v>
      </c>
      <c r="P1079" s="25">
        <f t="shared" si="1046"/>
        <v>30050.93324439897</v>
      </c>
      <c r="Q1079" s="25">
        <f t="array" aca="1" ref="Q1079" ca="1">INDEX('Isaac 401k'!L:L,MATCH('Retirement Calculator'!A1079,'Isaac 401k'!N:N,0),0)</f>
        <v>-23781938.31518494</v>
      </c>
      <c r="R1079" s="25">
        <f t="array" aca="1" ref="R1079" ca="1">INDEX('Lorri 401b'!L:L,MATCH('Retirement Calculator'!A1079,'Lorri 401b'!N:N,0),0)</f>
        <v>-45873473.909193501</v>
      </c>
      <c r="S1079" s="25">
        <f t="shared" ca="1" si="1047"/>
        <v>-69655412.224378437</v>
      </c>
    </row>
    <row r="1080" spans="1:19" ht="15.75" customHeight="1" x14ac:dyDescent="0.3">
      <c r="A1080" s="37">
        <v>83824</v>
      </c>
      <c r="B1080" s="398">
        <f t="shared" ref="B1080:C1080" si="1096">($A1080-B$9)/365.25</f>
        <v>147.61943874058863</v>
      </c>
      <c r="C1080" s="398">
        <f t="shared" si="1096"/>
        <v>143.00889801505818</v>
      </c>
      <c r="E1080" s="25">
        <f>IF(C1080&gt;$B$7,0,'Combined Retirement'!$D$13/12)</f>
        <v>0</v>
      </c>
      <c r="F1080" s="25">
        <f>IF(H1080=0,'Combined Retirement'!$D$32,0)+'Combined Retirement'!$B$24</f>
        <v>2870.372285649099</v>
      </c>
      <c r="G1080" s="25">
        <f>'Combined Retirement'!$C$24</f>
        <v>3254.2644699519233</v>
      </c>
      <c r="H1080" s="25">
        <f>IF(B1080&lt;62,0,'Combined Retirement'!$I$14)</f>
        <v>2345</v>
      </c>
      <c r="I1080" s="25">
        <f>IF(C1080&lt;62,0,'Combined Retirement'!$I$13)</f>
        <v>2420</v>
      </c>
      <c r="J1080" s="25">
        <f t="shared" si="1043"/>
        <v>8395.6297298201844</v>
      </c>
      <c r="K1080" s="25">
        <f t="shared" si="1044"/>
        <v>21655.303514578787</v>
      </c>
      <c r="L1080" s="25"/>
      <c r="N1080" s="25">
        <f>'Combined Retirement'!$C$18/12</f>
        <v>40940.569999999992</v>
      </c>
      <c r="O1080" s="25">
        <f t="shared" si="1045"/>
        <v>10889.636755601023</v>
      </c>
      <c r="P1080" s="25">
        <f t="shared" si="1046"/>
        <v>30050.93324439897</v>
      </c>
      <c r="Q1080" s="25">
        <f t="array" aca="1" ref="Q1080" ca="1">INDEX('Isaac 401k'!L:L,MATCH('Retirement Calculator'!A1080,'Isaac 401k'!N:N,0),0)</f>
        <v>-23889460.336351901</v>
      </c>
      <c r="R1080" s="25">
        <f t="array" aca="1" ref="R1080" ca="1">INDEX('Lorri 401b'!L:L,MATCH('Retirement Calculator'!A1080,'Lorri 401b'!N:N,0),0)</f>
        <v>-46086358.917761028</v>
      </c>
      <c r="S1080" s="25">
        <f t="shared" ca="1" si="1047"/>
        <v>-69975819.254112929</v>
      </c>
    </row>
    <row r="1081" spans="1:19" ht="15.75" customHeight="1" x14ac:dyDescent="0.3">
      <c r="A1081" s="37">
        <v>83855</v>
      </c>
      <c r="B1081" s="398">
        <f t="shared" ref="B1081:C1081" si="1097">($A1081-B$9)/365.25</f>
        <v>147.70431211498973</v>
      </c>
      <c r="C1081" s="398">
        <f t="shared" si="1097"/>
        <v>143.09377138945928</v>
      </c>
      <c r="E1081" s="25">
        <f>IF(C1081&gt;$B$7,0,'Combined Retirement'!$D$13/12)</f>
        <v>0</v>
      </c>
      <c r="F1081" s="25">
        <f>IF(H1081=0,'Combined Retirement'!$D$32,0)+'Combined Retirement'!$B$24</f>
        <v>2870.372285649099</v>
      </c>
      <c r="G1081" s="25">
        <f>'Combined Retirement'!$C$24</f>
        <v>3254.2644699519233</v>
      </c>
      <c r="H1081" s="25">
        <f>IF(B1081&lt;62,0,'Combined Retirement'!$I$14)</f>
        <v>2345</v>
      </c>
      <c r="I1081" s="25">
        <f>IF(C1081&lt;62,0,'Combined Retirement'!$I$13)</f>
        <v>2420</v>
      </c>
      <c r="J1081" s="25">
        <f t="shared" si="1043"/>
        <v>8395.6297298201844</v>
      </c>
      <c r="K1081" s="25">
        <f t="shared" si="1044"/>
        <v>21655.303514578787</v>
      </c>
      <c r="L1081" s="25"/>
      <c r="N1081" s="25">
        <f>'Combined Retirement'!$C$18/12</f>
        <v>40940.569999999992</v>
      </c>
      <c r="O1081" s="25">
        <f t="shared" si="1045"/>
        <v>10889.636755601023</v>
      </c>
      <c r="P1081" s="25">
        <f t="shared" si="1046"/>
        <v>30050.93324439897</v>
      </c>
      <c r="Q1081" s="25">
        <f t="array" aca="1" ref="Q1081" ca="1">INDEX('Isaac 401k'!L:L,MATCH('Retirement Calculator'!A1081,'Isaac 401k'!N:N,0),0)</f>
        <v>-23997430.365940392</v>
      </c>
      <c r="R1081" s="25">
        <f t="array" aca="1" ref="R1081" ca="1">INDEX('Lorri 401b'!L:L,MATCH('Retirement Calculator'!A1081,'Lorri 401b'!N:N,0),0)</f>
        <v>-46300130.947197586</v>
      </c>
      <c r="S1081" s="25">
        <f t="shared" ca="1" si="1047"/>
        <v>-70297561.313137978</v>
      </c>
    </row>
    <row r="1082" spans="1:19" ht="15.75" customHeight="1" x14ac:dyDescent="0.3">
      <c r="A1082" s="37">
        <v>83886</v>
      </c>
      <c r="B1082" s="398">
        <f t="shared" ref="B1082:C1082" si="1098">($A1082-B$9)/365.25</f>
        <v>147.78918548939083</v>
      </c>
      <c r="C1082" s="398">
        <f t="shared" si="1098"/>
        <v>143.17864476386038</v>
      </c>
      <c r="E1082" s="25">
        <f>IF(C1082&gt;$B$7,0,'Combined Retirement'!$D$13/12)</f>
        <v>0</v>
      </c>
      <c r="F1082" s="25">
        <f>IF(H1082=0,'Combined Retirement'!$D$32,0)+'Combined Retirement'!$B$24</f>
        <v>2870.372285649099</v>
      </c>
      <c r="G1082" s="25">
        <f>'Combined Retirement'!$C$24</f>
        <v>3254.2644699519233</v>
      </c>
      <c r="H1082" s="25">
        <f>IF(B1082&lt;62,0,'Combined Retirement'!$I$14)</f>
        <v>2345</v>
      </c>
      <c r="I1082" s="25">
        <f>IF(C1082&lt;62,0,'Combined Retirement'!$I$13)</f>
        <v>2420</v>
      </c>
      <c r="J1082" s="25">
        <f t="shared" si="1043"/>
        <v>8395.6297298201844</v>
      </c>
      <c r="K1082" s="25">
        <f t="shared" si="1044"/>
        <v>21655.303514578787</v>
      </c>
      <c r="L1082" s="25"/>
      <c r="N1082" s="25">
        <f>'Combined Retirement'!$C$18/12</f>
        <v>40940.569999999992</v>
      </c>
      <c r="O1082" s="25">
        <f t="shared" si="1045"/>
        <v>10889.636755601023</v>
      </c>
      <c r="P1082" s="25">
        <f t="shared" si="1046"/>
        <v>30050.93324439897</v>
      </c>
      <c r="Q1082" s="25">
        <f t="array" aca="1" ref="Q1082" ca="1">INDEX('Isaac 401k'!L:L,MATCH('Retirement Calculator'!A1082,'Isaac 401k'!N:N,0),0)</f>
        <v>-24105850.270652171</v>
      </c>
      <c r="R1082" s="25">
        <f t="array" aca="1" ref="R1082" ca="1">INDEX('Lorri 401b'!L:L,MATCH('Retirement Calculator'!A1082,'Lorri 401b'!N:N,0),0)</f>
        <v>-46514793.693423465</v>
      </c>
      <c r="S1082" s="25">
        <f t="shared" ca="1" si="1047"/>
        <v>-70620643.96407564</v>
      </c>
    </row>
    <row r="1083" spans="1:19" ht="15.75" customHeight="1" x14ac:dyDescent="0.3">
      <c r="A1083" s="37">
        <v>83916</v>
      </c>
      <c r="B1083" s="398">
        <f t="shared" ref="B1083:C1083" si="1099">($A1083-B$9)/365.25</f>
        <v>147.8713210130048</v>
      </c>
      <c r="C1083" s="398">
        <f t="shared" si="1099"/>
        <v>143.26078028747432</v>
      </c>
      <c r="E1083" s="25">
        <f>IF(C1083&gt;$B$7,0,'Combined Retirement'!$D$13/12)</f>
        <v>0</v>
      </c>
      <c r="F1083" s="25">
        <f>IF(H1083=0,'Combined Retirement'!$D$32,0)+'Combined Retirement'!$B$24</f>
        <v>2870.372285649099</v>
      </c>
      <c r="G1083" s="25">
        <f>'Combined Retirement'!$C$24</f>
        <v>3254.2644699519233</v>
      </c>
      <c r="H1083" s="25">
        <f>IF(B1083&lt;62,0,'Combined Retirement'!$I$14)</f>
        <v>2345</v>
      </c>
      <c r="I1083" s="25">
        <f>IF(C1083&lt;62,0,'Combined Retirement'!$I$13)</f>
        <v>2420</v>
      </c>
      <c r="J1083" s="25">
        <f t="shared" si="1043"/>
        <v>8395.6297298201844</v>
      </c>
      <c r="K1083" s="25">
        <f t="shared" si="1044"/>
        <v>21655.303514578787</v>
      </c>
      <c r="L1083" s="25"/>
      <c r="N1083" s="25">
        <f>'Combined Retirement'!$C$18/12</f>
        <v>40940.569999999992</v>
      </c>
      <c r="O1083" s="25">
        <f t="shared" si="1045"/>
        <v>10889.636755601023</v>
      </c>
      <c r="P1083" s="25">
        <f t="shared" si="1046"/>
        <v>30050.93324439897</v>
      </c>
      <c r="Q1083" s="25">
        <f t="array" aca="1" ref="Q1083" ca="1">INDEX('Isaac 401k'!L:L,MATCH('Retirement Calculator'!A1083,'Isaac 401k'!N:N,0),0)</f>
        <v>-24214721.924966916</v>
      </c>
      <c r="R1083" s="25">
        <f t="array" aca="1" ref="R1083" ca="1">INDEX('Lorri 401b'!L:L,MATCH('Retirement Calculator'!A1083,'Lorri 401b'!N:N,0),0)</f>
        <v>-46730350.867758617</v>
      </c>
      <c r="S1083" s="25">
        <f t="shared" ca="1" si="1047"/>
        <v>-70945072.792725533</v>
      </c>
    </row>
    <row r="1084" spans="1:19" ht="15.75" customHeight="1" x14ac:dyDescent="0.3">
      <c r="A1084" s="37">
        <v>83947</v>
      </c>
      <c r="B1084" s="398">
        <f t="shared" ref="B1084:C1084" si="1100">($A1084-B$9)/365.25</f>
        <v>147.95619438740587</v>
      </c>
      <c r="C1084" s="398">
        <f t="shared" si="1100"/>
        <v>143.34565366187542</v>
      </c>
      <c r="E1084" s="25">
        <f>IF(C1084&gt;$B$7,0,'Combined Retirement'!$D$13/12)</f>
        <v>0</v>
      </c>
      <c r="F1084" s="25">
        <f>IF(H1084=0,'Combined Retirement'!$D$32,0)+'Combined Retirement'!$B$24</f>
        <v>2870.372285649099</v>
      </c>
      <c r="G1084" s="25">
        <f>'Combined Retirement'!$C$24</f>
        <v>3254.2644699519233</v>
      </c>
      <c r="H1084" s="25">
        <f>IF(B1084&lt;62,0,'Combined Retirement'!$I$14)</f>
        <v>2345</v>
      </c>
      <c r="I1084" s="25">
        <f>IF(C1084&lt;62,0,'Combined Retirement'!$I$13)</f>
        <v>2420</v>
      </c>
      <c r="J1084" s="25">
        <f t="shared" si="1043"/>
        <v>8395.6297298201844</v>
      </c>
      <c r="K1084" s="25">
        <f t="shared" si="1044"/>
        <v>21655.303514578787</v>
      </c>
      <c r="L1084" s="25"/>
      <c r="N1084" s="25">
        <f>'Combined Retirement'!$C$18/12</f>
        <v>40940.569999999992</v>
      </c>
      <c r="O1084" s="25">
        <f t="shared" si="1045"/>
        <v>10889.636755601023</v>
      </c>
      <c r="P1084" s="25">
        <f t="shared" si="1046"/>
        <v>30050.93324439897</v>
      </c>
      <c r="Q1084" s="25">
        <f t="array" aca="1" ref="Q1084" ca="1">INDEX('Isaac 401k'!L:L,MATCH('Retirement Calculator'!A1084,'Isaac 401k'!N:N,0),0)</f>
        <v>-24324047.211174637</v>
      </c>
      <c r="R1084" s="25">
        <f t="array" aca="1" ref="R1084" ca="1">INDEX('Lorri 401b'!L:L,MATCH('Retirement Calculator'!A1084,'Lorri 401b'!N:N,0),0)</f>
        <v>-46946806.196986832</v>
      </c>
      <c r="S1084" s="25">
        <f t="shared" ca="1" si="1047"/>
        <v>-71270853.408161461</v>
      </c>
    </row>
    <row r="1085" spans="1:19" ht="15.75" customHeight="1" x14ac:dyDescent="0.3">
      <c r="A1085" s="37">
        <v>83977</v>
      </c>
      <c r="B1085" s="398">
        <f t="shared" ref="B1085:C1085" si="1101">($A1085-B$9)/365.25</f>
        <v>148.03832991101984</v>
      </c>
      <c r="C1085" s="398">
        <f t="shared" si="1101"/>
        <v>143.42778918548939</v>
      </c>
      <c r="E1085" s="25">
        <f>IF(C1085&gt;$B$7,0,'Combined Retirement'!$D$13/12)</f>
        <v>0</v>
      </c>
      <c r="F1085" s="25">
        <f>IF(H1085=0,'Combined Retirement'!$D$32,0)+'Combined Retirement'!$B$24</f>
        <v>2870.372285649099</v>
      </c>
      <c r="G1085" s="25">
        <f>'Combined Retirement'!$C$24</f>
        <v>3254.2644699519233</v>
      </c>
      <c r="H1085" s="25">
        <f>IF(B1085&lt;62,0,'Combined Retirement'!$I$14)</f>
        <v>2345</v>
      </c>
      <c r="I1085" s="25">
        <f>IF(C1085&lt;62,0,'Combined Retirement'!$I$13)</f>
        <v>2420</v>
      </c>
      <c r="J1085" s="25">
        <f t="shared" si="1043"/>
        <v>8395.6297298201844</v>
      </c>
      <c r="K1085" s="25">
        <f t="shared" si="1044"/>
        <v>21655.303514578787</v>
      </c>
      <c r="L1085" s="25"/>
      <c r="N1085" s="25">
        <f>'Combined Retirement'!$C$18/12</f>
        <v>40940.569999999992</v>
      </c>
      <c r="O1085" s="25">
        <f t="shared" si="1045"/>
        <v>10889.636755601023</v>
      </c>
      <c r="P1085" s="25">
        <f t="shared" si="1046"/>
        <v>30050.93324439897</v>
      </c>
      <c r="Q1085" s="25">
        <f t="array" aca="1" ref="Q1085" ca="1">INDEX('Isaac 401k'!L:L,MATCH('Retirement Calculator'!A1085,'Isaac 401k'!N:N,0),0)</f>
        <v>-24433828.019408226</v>
      </c>
      <c r="R1085" s="25">
        <f t="array" aca="1" ref="R1085" ca="1">INDEX('Lorri 401b'!L:L,MATCH('Retirement Calculator'!A1085,'Lorri 401b'!N:N,0),0)</f>
        <v>-47164163.423420168</v>
      </c>
      <c r="S1085" s="25">
        <f t="shared" ca="1" si="1047"/>
        <v>-71597991.442828387</v>
      </c>
    </row>
    <row r="1086" spans="1:19" ht="15.75" customHeight="1" x14ac:dyDescent="0.3">
      <c r="A1086" s="37">
        <v>84008</v>
      </c>
      <c r="B1086" s="398">
        <f t="shared" ref="B1086:C1086" si="1102">($A1086-B$9)/365.25</f>
        <v>148.12320328542094</v>
      </c>
      <c r="C1086" s="398">
        <f t="shared" si="1102"/>
        <v>143.51266255989049</v>
      </c>
      <c r="E1086" s="25">
        <f>IF(C1086&gt;$B$7,0,'Combined Retirement'!$D$13/12)</f>
        <v>0</v>
      </c>
      <c r="F1086" s="25">
        <f>IF(H1086=0,'Combined Retirement'!$D$32,0)+'Combined Retirement'!$B$24</f>
        <v>2870.372285649099</v>
      </c>
      <c r="G1086" s="25">
        <f>'Combined Retirement'!$C$24</f>
        <v>3254.2644699519233</v>
      </c>
      <c r="H1086" s="25">
        <f>IF(B1086&lt;62,0,'Combined Retirement'!$I$14)</f>
        <v>2345</v>
      </c>
      <c r="I1086" s="25">
        <f>IF(C1086&lt;62,0,'Combined Retirement'!$I$13)</f>
        <v>2420</v>
      </c>
      <c r="J1086" s="25">
        <f t="shared" si="1043"/>
        <v>8395.6297298201844</v>
      </c>
      <c r="K1086" s="25">
        <f t="shared" si="1044"/>
        <v>21655.303514578787</v>
      </c>
      <c r="L1086" s="25"/>
      <c r="N1086" s="25">
        <f>'Combined Retirement'!$C$18/12</f>
        <v>40940.569999999992</v>
      </c>
      <c r="O1086" s="25">
        <f t="shared" si="1045"/>
        <v>10889.636755601023</v>
      </c>
      <c r="P1086" s="25">
        <f t="shared" si="1046"/>
        <v>30050.93324439897</v>
      </c>
      <c r="Q1086" s="25">
        <f t="array" aca="1" ref="Q1086" ca="1">INDEX('Isaac 401k'!L:L,MATCH('Retirement Calculator'!A1086,'Isaac 401k'!N:N,0),0)</f>
        <v>-24544066.247676119</v>
      </c>
      <c r="R1086" s="25">
        <f t="array" aca="1" ref="R1086" ca="1">INDEX('Lorri 401b'!L:L,MATCH('Retirement Calculator'!A1086,'Lorri 401b'!N:N,0),0)</f>
        <v>-47382426.304963641</v>
      </c>
      <c r="S1086" s="25">
        <f t="shared" ca="1" si="1047"/>
        <v>-71926492.552639753</v>
      </c>
    </row>
    <row r="1087" spans="1:19" ht="15.75" customHeight="1" x14ac:dyDescent="0.3">
      <c r="A1087" s="37">
        <v>84039</v>
      </c>
      <c r="B1087" s="398">
        <f t="shared" ref="B1087:C1087" si="1103">($A1087-B$9)/365.25</f>
        <v>148.20807665982204</v>
      </c>
      <c r="C1087" s="398">
        <f t="shared" si="1103"/>
        <v>143.59753593429159</v>
      </c>
      <c r="E1087" s="25">
        <f>IF(C1087&gt;$B$7,0,'Combined Retirement'!$D$13/12)</f>
        <v>0</v>
      </c>
      <c r="F1087" s="25">
        <f>IF(H1087=0,'Combined Retirement'!$D$32,0)+'Combined Retirement'!$B$24</f>
        <v>2870.372285649099</v>
      </c>
      <c r="G1087" s="25">
        <f>'Combined Retirement'!$C$24</f>
        <v>3254.2644699519233</v>
      </c>
      <c r="H1087" s="25">
        <f>IF(B1087&lt;62,0,'Combined Retirement'!$I$14)</f>
        <v>2345</v>
      </c>
      <c r="I1087" s="25">
        <f>IF(C1087&lt;62,0,'Combined Retirement'!$I$13)</f>
        <v>2420</v>
      </c>
      <c r="J1087" s="25">
        <f t="shared" si="1043"/>
        <v>8395.6297298201844</v>
      </c>
      <c r="K1087" s="25">
        <f t="shared" si="1044"/>
        <v>21655.303514578787</v>
      </c>
      <c r="L1087" s="25"/>
      <c r="N1087" s="25">
        <f>'Combined Retirement'!$C$18/12</f>
        <v>40940.569999999992</v>
      </c>
      <c r="O1087" s="25">
        <f t="shared" si="1045"/>
        <v>10889.636755601023</v>
      </c>
      <c r="P1087" s="25">
        <f t="shared" si="1046"/>
        <v>30050.93324439897</v>
      </c>
      <c r="Q1087" s="25">
        <f t="array" aca="1" ref="Q1087" ca="1">INDEX('Isaac 401k'!L:L,MATCH('Retirement Calculator'!A1087,'Isaac 401k'!N:N,0),0)</f>
        <v>-24654763.80189513</v>
      </c>
      <c r="R1087" s="25">
        <f t="array" aca="1" ref="R1087" ca="1">INDEX('Lorri 401b'!L:L,MATCH('Retirement Calculator'!A1087,'Lorri 401b'!N:N,0),0)</f>
        <v>-47601598.615180209</v>
      </c>
      <c r="S1087" s="25">
        <f t="shared" ca="1" si="1047"/>
        <v>-72256362.417075336</v>
      </c>
    </row>
    <row r="1088" spans="1:19" ht="15.75" customHeight="1" x14ac:dyDescent="0.3">
      <c r="A1088" s="37">
        <v>84067</v>
      </c>
      <c r="B1088" s="398">
        <f t="shared" ref="B1088:C1088" si="1104">($A1088-B$9)/365.25</f>
        <v>148.28473648186173</v>
      </c>
      <c r="C1088" s="398">
        <f t="shared" si="1104"/>
        <v>143.67419575633127</v>
      </c>
      <c r="E1088" s="25">
        <f>IF(C1088&gt;$B$7,0,'Combined Retirement'!$D$13/12)</f>
        <v>0</v>
      </c>
      <c r="F1088" s="25">
        <f>IF(H1088=0,'Combined Retirement'!$D$32,0)+'Combined Retirement'!$B$24</f>
        <v>2870.372285649099</v>
      </c>
      <c r="G1088" s="25">
        <f>'Combined Retirement'!$C$24</f>
        <v>3254.2644699519233</v>
      </c>
      <c r="H1088" s="25">
        <f>IF(B1088&lt;62,0,'Combined Retirement'!$I$14)</f>
        <v>2345</v>
      </c>
      <c r="I1088" s="25">
        <f>IF(C1088&lt;62,0,'Combined Retirement'!$I$13)</f>
        <v>2420</v>
      </c>
      <c r="J1088" s="25">
        <f t="shared" si="1043"/>
        <v>8395.6297298201844</v>
      </c>
      <c r="K1088" s="25">
        <f t="shared" si="1044"/>
        <v>21655.303514578787</v>
      </c>
      <c r="L1088" s="25"/>
      <c r="N1088" s="25">
        <f>'Combined Retirement'!$C$18/12</f>
        <v>40940.569999999992</v>
      </c>
      <c r="O1088" s="25">
        <f t="shared" si="1045"/>
        <v>10889.636755601023</v>
      </c>
      <c r="P1088" s="25">
        <f t="shared" si="1046"/>
        <v>30050.93324439897</v>
      </c>
      <c r="Q1088" s="25">
        <f t="array" aca="1" ref="Q1088" ca="1">INDEX('Isaac 401k'!L:L,MATCH('Retirement Calculator'!A1088,'Isaac 401k'!N:N,0),0)</f>
        <v>-24765922.595923387</v>
      </c>
      <c r="R1088" s="25">
        <f t="array" aca="1" ref="R1088" ca="1">INDEX('Lorri 401b'!L:L,MATCH('Retirement Calculator'!A1088,'Lorri 401b'!N:N,0),0)</f>
        <v>-47821684.143356018</v>
      </c>
      <c r="S1088" s="25">
        <f t="shared" ca="1" si="1047"/>
        <v>-72587606.739279404</v>
      </c>
    </row>
    <row r="1089" spans="1:19" ht="15.75" customHeight="1" x14ac:dyDescent="0.3">
      <c r="A1089" s="37">
        <v>84098</v>
      </c>
      <c r="B1089" s="398">
        <f t="shared" ref="B1089:C1089" si="1105">($A1089-B$9)/365.25</f>
        <v>148.36960985626283</v>
      </c>
      <c r="C1089" s="398">
        <f t="shared" si="1105"/>
        <v>143.75906913073237</v>
      </c>
      <c r="E1089" s="25">
        <f>IF(C1089&gt;$B$7,0,'Combined Retirement'!$D$13/12)</f>
        <v>0</v>
      </c>
      <c r="F1089" s="25">
        <f>IF(H1089=0,'Combined Retirement'!$D$32,0)+'Combined Retirement'!$B$24</f>
        <v>2870.372285649099</v>
      </c>
      <c r="G1089" s="25">
        <f>'Combined Retirement'!$C$24</f>
        <v>3254.2644699519233</v>
      </c>
      <c r="H1089" s="25">
        <f>IF(B1089&lt;62,0,'Combined Retirement'!$I$14)</f>
        <v>2345</v>
      </c>
      <c r="I1089" s="25">
        <f>IF(C1089&lt;62,0,'Combined Retirement'!$I$13)</f>
        <v>2420</v>
      </c>
      <c r="J1089" s="25">
        <f t="shared" si="1043"/>
        <v>8395.6297298201844</v>
      </c>
      <c r="K1089" s="25">
        <f t="shared" si="1044"/>
        <v>21655.303514578787</v>
      </c>
      <c r="L1089" s="25"/>
      <c r="N1089" s="25">
        <f>'Combined Retirement'!$C$18/12</f>
        <v>40940.569999999992</v>
      </c>
      <c r="O1089" s="25">
        <f t="shared" si="1045"/>
        <v>10889.636755601023</v>
      </c>
      <c r="P1089" s="25">
        <f t="shared" si="1046"/>
        <v>30050.93324439897</v>
      </c>
      <c r="Q1089" s="25">
        <f t="array" aca="1" ref="Q1089" ca="1">INDEX('Isaac 401k'!L:L,MATCH('Retirement Calculator'!A1089,'Isaac 401k'!N:N,0),0)</f>
        <v>-24877544.551593427</v>
      </c>
      <c r="R1089" s="25">
        <f t="array" aca="1" ref="R1089" ca="1">INDEX('Lorri 401b'!L:L,MATCH('Retirement Calculator'!A1089,'Lorri 401b'!N:N,0),0)</f>
        <v>-48042686.694565892</v>
      </c>
      <c r="S1089" s="25">
        <f t="shared" ca="1" si="1047"/>
        <v>-72920231.246159315</v>
      </c>
    </row>
    <row r="1090" spans="1:19" ht="15.75" customHeight="1" x14ac:dyDescent="0.3">
      <c r="A1090" s="37">
        <v>84128</v>
      </c>
      <c r="B1090" s="398">
        <f t="shared" ref="B1090:C1090" si="1106">($A1090-B$9)/365.25</f>
        <v>148.4517453798768</v>
      </c>
      <c r="C1090" s="398">
        <f t="shared" si="1106"/>
        <v>143.84120465434634</v>
      </c>
      <c r="E1090" s="25">
        <f>IF(C1090&gt;$B$7,0,'Combined Retirement'!$D$13/12)</f>
        <v>0</v>
      </c>
      <c r="F1090" s="25">
        <f>IF(H1090=0,'Combined Retirement'!$D$32,0)+'Combined Retirement'!$B$24</f>
        <v>2870.372285649099</v>
      </c>
      <c r="G1090" s="25">
        <f>'Combined Retirement'!$C$24</f>
        <v>3254.2644699519233</v>
      </c>
      <c r="H1090" s="25">
        <f>IF(B1090&lt;62,0,'Combined Retirement'!$I$14)</f>
        <v>2345</v>
      </c>
      <c r="I1090" s="25">
        <f>IF(C1090&lt;62,0,'Combined Retirement'!$I$13)</f>
        <v>2420</v>
      </c>
      <c r="J1090" s="25">
        <f t="shared" si="1043"/>
        <v>8395.6297298201844</v>
      </c>
      <c r="K1090" s="25">
        <f t="shared" si="1044"/>
        <v>21655.303514578787</v>
      </c>
      <c r="L1090" s="25"/>
      <c r="N1090" s="25">
        <f>'Combined Retirement'!$C$18/12</f>
        <v>40940.569999999992</v>
      </c>
      <c r="O1090" s="25">
        <f t="shared" si="1045"/>
        <v>10889.636755601023</v>
      </c>
      <c r="P1090" s="25">
        <f t="shared" si="1046"/>
        <v>30050.93324439897</v>
      </c>
      <c r="Q1090" s="25">
        <f t="array" aca="1" ref="Q1090" ca="1">INDEX('Isaac 401k'!L:L,MATCH('Retirement Calculator'!A1090,'Isaac 401k'!N:N,0),0)</f>
        <v>-24989631.598745424</v>
      </c>
      <c r="R1090" s="25">
        <f t="array" aca="1" ref="R1090" ca="1">INDEX('Lorri 401b'!L:L,MATCH('Retirement Calculator'!A1090,'Lorri 401b'!N:N,0),0)</f>
        <v>-48264610.089739136</v>
      </c>
      <c r="S1090" s="25">
        <f t="shared" ca="1" si="1047"/>
        <v>-73254241.688484564</v>
      </c>
    </row>
    <row r="1091" spans="1:19" ht="15.75" customHeight="1" x14ac:dyDescent="0.3">
      <c r="A1091" s="37">
        <v>84159</v>
      </c>
      <c r="B1091" s="398">
        <f t="shared" ref="B1091:C1091" si="1107">($A1091-B$9)/365.25</f>
        <v>148.5366187542779</v>
      </c>
      <c r="C1091" s="398">
        <f t="shared" si="1107"/>
        <v>143.92607802874744</v>
      </c>
      <c r="E1091" s="25">
        <f>IF(C1091&gt;$B$7,0,'Combined Retirement'!$D$13/12)</f>
        <v>0</v>
      </c>
      <c r="F1091" s="25">
        <f>IF(H1091=0,'Combined Retirement'!$D$32,0)+'Combined Retirement'!$B$24</f>
        <v>2870.372285649099</v>
      </c>
      <c r="G1091" s="25">
        <f>'Combined Retirement'!$C$24</f>
        <v>3254.2644699519233</v>
      </c>
      <c r="H1091" s="25">
        <f>IF(B1091&lt;62,0,'Combined Retirement'!$I$14)</f>
        <v>2345</v>
      </c>
      <c r="I1091" s="25">
        <f>IF(C1091&lt;62,0,'Combined Retirement'!$I$13)</f>
        <v>2420</v>
      </c>
      <c r="J1091" s="25">
        <f t="shared" si="1043"/>
        <v>8395.6297298201844</v>
      </c>
      <c r="K1091" s="25">
        <f t="shared" si="1044"/>
        <v>21655.303514578787</v>
      </c>
      <c r="L1091" s="25"/>
      <c r="N1091" s="25">
        <f>'Combined Retirement'!$C$18/12</f>
        <v>40940.569999999992</v>
      </c>
      <c r="O1091" s="25">
        <f t="shared" si="1045"/>
        <v>10889.636755601023</v>
      </c>
      <c r="P1091" s="25">
        <f t="shared" si="1046"/>
        <v>30050.93324439897</v>
      </c>
      <c r="Q1091" s="25">
        <f t="array" aca="1" ref="Q1091" ca="1">INDEX('Isaac 401k'!L:L,MATCH('Retirement Calculator'!A1091,'Isaac 401k'!N:N,0),0)</f>
        <v>-25102185.675260555</v>
      </c>
      <c r="R1091" s="25">
        <f t="array" aca="1" ref="R1091" ca="1">INDEX('Lorri 401b'!L:L,MATCH('Retirement Calculator'!A1091,'Lorri 401b'!N:N,0),0)</f>
        <v>-48487458.165725604</v>
      </c>
      <c r="S1091" s="25">
        <f t="shared" ca="1" si="1047"/>
        <v>-73589643.840986162</v>
      </c>
    </row>
    <row r="1092" spans="1:19" ht="15.75" customHeight="1" x14ac:dyDescent="0.3">
      <c r="A1092" s="37">
        <v>84189</v>
      </c>
      <c r="B1092" s="398">
        <f t="shared" ref="B1092:C1092" si="1108">($A1092-B$9)/365.25</f>
        <v>148.61875427789187</v>
      </c>
      <c r="C1092" s="398">
        <f t="shared" si="1108"/>
        <v>144.00821355236138</v>
      </c>
      <c r="E1092" s="25">
        <f>IF(C1092&gt;$B$7,0,'Combined Retirement'!$D$13/12)</f>
        <v>0</v>
      </c>
      <c r="F1092" s="25">
        <f>IF(H1092=0,'Combined Retirement'!$D$32,0)+'Combined Retirement'!$B$24</f>
        <v>2870.372285649099</v>
      </c>
      <c r="G1092" s="25">
        <f>'Combined Retirement'!$C$24</f>
        <v>3254.2644699519233</v>
      </c>
      <c r="H1092" s="25">
        <f>IF(B1092&lt;62,0,'Combined Retirement'!$I$14)</f>
        <v>2345</v>
      </c>
      <c r="I1092" s="25">
        <f>IF(C1092&lt;62,0,'Combined Retirement'!$I$13)</f>
        <v>2420</v>
      </c>
      <c r="J1092" s="25">
        <f t="shared" si="1043"/>
        <v>8395.6297298201844</v>
      </c>
      <c r="K1092" s="25">
        <f t="shared" si="1044"/>
        <v>21655.303514578787</v>
      </c>
      <c r="L1092" s="25"/>
      <c r="N1092" s="25">
        <f>'Combined Retirement'!$C$18/12</f>
        <v>40940.569999999992</v>
      </c>
      <c r="O1092" s="25">
        <f t="shared" si="1045"/>
        <v>10889.636755601023</v>
      </c>
      <c r="P1092" s="25">
        <f t="shared" si="1046"/>
        <v>30050.93324439897</v>
      </c>
      <c r="Q1092" s="25">
        <f t="array" aca="1" ref="Q1092" ca="1">INDEX('Isaac 401k'!L:L,MATCH('Retirement Calculator'!A1092,'Isaac 401k'!N:N,0),0)</f>
        <v>-25215208.727094501</v>
      </c>
      <c r="R1092" s="25">
        <f t="array" aca="1" ref="R1092" ca="1">INDEX('Lorri 401b'!L:L,MATCH('Retirement Calculator'!A1092,'Lorri 401b'!N:N,0),0)</f>
        <v>-48711234.775362015</v>
      </c>
      <c r="S1092" s="25">
        <f t="shared" ca="1" si="1047"/>
        <v>-73926443.502456516</v>
      </c>
    </row>
    <row r="1093" spans="1:19" ht="15.75" customHeight="1" x14ac:dyDescent="0.3">
      <c r="A1093" s="37">
        <v>84220</v>
      </c>
      <c r="B1093" s="398">
        <f t="shared" ref="B1093:C1093" si="1109">($A1093-B$9)/365.25</f>
        <v>148.70362765229294</v>
      </c>
      <c r="C1093" s="398">
        <f t="shared" si="1109"/>
        <v>144.09308692676248</v>
      </c>
      <c r="E1093" s="25">
        <f>IF(C1093&gt;$B$7,0,'Combined Retirement'!$D$13/12)</f>
        <v>0</v>
      </c>
      <c r="F1093" s="25">
        <f>IF(H1093=0,'Combined Retirement'!$D$32,0)+'Combined Retirement'!$B$24</f>
        <v>2870.372285649099</v>
      </c>
      <c r="G1093" s="25">
        <f>'Combined Retirement'!$C$24</f>
        <v>3254.2644699519233</v>
      </c>
      <c r="H1093" s="25">
        <f>IF(B1093&lt;62,0,'Combined Retirement'!$I$14)</f>
        <v>2345</v>
      </c>
      <c r="I1093" s="25">
        <f>IF(C1093&lt;62,0,'Combined Retirement'!$I$13)</f>
        <v>2420</v>
      </c>
      <c r="J1093" s="25">
        <f t="shared" si="1043"/>
        <v>8395.6297298201844</v>
      </c>
      <c r="K1093" s="25">
        <f t="shared" si="1044"/>
        <v>21655.303514578787</v>
      </c>
      <c r="L1093" s="25"/>
      <c r="N1093" s="25">
        <f>'Combined Retirement'!$C$18/12</f>
        <v>40940.569999999992</v>
      </c>
      <c r="O1093" s="25">
        <f t="shared" si="1045"/>
        <v>10889.636755601023</v>
      </c>
      <c r="P1093" s="25">
        <f t="shared" si="1046"/>
        <v>30050.93324439897</v>
      </c>
      <c r="Q1093" s="25">
        <f t="array" aca="1" ref="Q1093" ca="1">INDEX('Isaac 401k'!L:L,MATCH('Retirement Calculator'!A1093,'Isaac 401k'!N:N,0),0)</f>
        <v>-25328702.708311088</v>
      </c>
      <c r="R1093" s="25">
        <f t="array" aca="1" ref="R1093" ca="1">INDEX('Lorri 401b'!L:L,MATCH('Retirement Calculator'!A1093,'Lorri 401b'!N:N,0),0)</f>
        <v>-48935943.787538581</v>
      </c>
      <c r="S1093" s="25">
        <f t="shared" ca="1" si="1047"/>
        <v>-74264646.495849669</v>
      </c>
    </row>
    <row r="1094" spans="1:19" ht="15.75" customHeight="1" x14ac:dyDescent="0.3">
      <c r="A1094" s="37">
        <v>84251</v>
      </c>
      <c r="B1094" s="398">
        <f t="shared" ref="B1094:C1094" si="1110">($A1094-B$9)/365.25</f>
        <v>148.78850102669404</v>
      </c>
      <c r="C1094" s="398">
        <f t="shared" si="1110"/>
        <v>144.17796030116358</v>
      </c>
      <c r="E1094" s="25">
        <f>IF(C1094&gt;$B$7,0,'Combined Retirement'!$D$13/12)</f>
        <v>0</v>
      </c>
      <c r="F1094" s="25">
        <f>IF(H1094=0,'Combined Retirement'!$D$32,0)+'Combined Retirement'!$B$24</f>
        <v>2870.372285649099</v>
      </c>
      <c r="G1094" s="25">
        <f>'Combined Retirement'!$C$24</f>
        <v>3254.2644699519233</v>
      </c>
      <c r="H1094" s="25">
        <f>IF(B1094&lt;62,0,'Combined Retirement'!$I$14)</f>
        <v>2345</v>
      </c>
      <c r="I1094" s="25">
        <f>IF(C1094&lt;62,0,'Combined Retirement'!$I$13)</f>
        <v>2420</v>
      </c>
      <c r="J1094" s="25">
        <f t="shared" si="1043"/>
        <v>8395.6297298201844</v>
      </c>
      <c r="K1094" s="25">
        <f t="shared" si="1044"/>
        <v>21655.303514578787</v>
      </c>
      <c r="L1094" s="25"/>
      <c r="N1094" s="25">
        <f>'Combined Retirement'!$C$18/12</f>
        <v>40940.569999999992</v>
      </c>
      <c r="O1094" s="25">
        <f t="shared" si="1045"/>
        <v>10889.636755601023</v>
      </c>
      <c r="P1094" s="25">
        <f t="shared" si="1046"/>
        <v>30050.93324439897</v>
      </c>
      <c r="Q1094" s="25">
        <f t="array" aca="1" ref="Q1094" ca="1">INDEX('Isaac 401k'!L:L,MATCH('Retirement Calculator'!A1094,'Isaac 401k'!N:N,0),0)</f>
        <v>-25442669.581116077</v>
      </c>
      <c r="R1094" s="25">
        <f t="array" aca="1" ref="R1094" ca="1">INDEX('Lorri 401b'!L:L,MATCH('Retirement Calculator'!A1094,'Lorri 401b'!N:N,0),0)</f>
        <v>-49161589.087265879</v>
      </c>
      <c r="S1094" s="25">
        <f t="shared" ca="1" si="1047"/>
        <v>-74604258.668381959</v>
      </c>
    </row>
    <row r="1095" spans="1:19" ht="15.75" customHeight="1" x14ac:dyDescent="0.3">
      <c r="A1095" s="37">
        <v>84281</v>
      </c>
      <c r="B1095" s="398">
        <f t="shared" ref="B1095:C1095" si="1111">($A1095-B$9)/365.25</f>
        <v>148.87063655030801</v>
      </c>
      <c r="C1095" s="398">
        <f t="shared" si="1111"/>
        <v>144.26009582477755</v>
      </c>
      <c r="E1095" s="25">
        <f>IF(C1095&gt;$B$7,0,'Combined Retirement'!$D$13/12)</f>
        <v>0</v>
      </c>
      <c r="F1095" s="25">
        <f>IF(H1095=0,'Combined Retirement'!$D$32,0)+'Combined Retirement'!$B$24</f>
        <v>2870.372285649099</v>
      </c>
      <c r="G1095" s="25">
        <f>'Combined Retirement'!$C$24</f>
        <v>3254.2644699519233</v>
      </c>
      <c r="H1095" s="25">
        <f>IF(B1095&lt;62,0,'Combined Retirement'!$I$14)</f>
        <v>2345</v>
      </c>
      <c r="I1095" s="25">
        <f>IF(C1095&lt;62,0,'Combined Retirement'!$I$13)</f>
        <v>2420</v>
      </c>
      <c r="J1095" s="25">
        <f t="shared" si="1043"/>
        <v>8395.6297298201844</v>
      </c>
      <c r="K1095" s="25">
        <f t="shared" si="1044"/>
        <v>21655.303514578787</v>
      </c>
      <c r="L1095" s="25"/>
      <c r="N1095" s="25">
        <f>'Combined Retirement'!$C$18/12</f>
        <v>40940.569999999992</v>
      </c>
      <c r="O1095" s="25">
        <f t="shared" si="1045"/>
        <v>10889.636755601023</v>
      </c>
      <c r="P1095" s="25">
        <f t="shared" si="1046"/>
        <v>30050.93324439897</v>
      </c>
      <c r="Q1095" s="25">
        <f t="array" aca="1" ref="Q1095" ca="1">INDEX('Isaac 401k'!L:L,MATCH('Retirement Calculator'!A1095,'Isaac 401k'!N:N,0),0)</f>
        <v>-25557111.315891087</v>
      </c>
      <c r="R1095" s="25">
        <f t="array" aca="1" ref="R1095" ca="1">INDEX('Lorri 401b'!L:L,MATCH('Retirement Calculator'!A1095,'Lorri 401b'!N:N,0),0)</f>
        <v>-49388174.575742044</v>
      </c>
      <c r="S1095" s="25">
        <f t="shared" ca="1" si="1047"/>
        <v>-74945285.891633123</v>
      </c>
    </row>
    <row r="1096" spans="1:19" ht="15.75" customHeight="1" x14ac:dyDescent="0.3">
      <c r="A1096" s="37">
        <v>84312</v>
      </c>
      <c r="B1096" s="398">
        <f t="shared" ref="B1096:C1096" si="1112">($A1096-B$9)/365.25</f>
        <v>148.95550992470911</v>
      </c>
      <c r="C1096" s="398">
        <f t="shared" si="1112"/>
        <v>144.34496919917865</v>
      </c>
      <c r="E1096" s="25">
        <f>IF(C1096&gt;$B$7,0,'Combined Retirement'!$D$13/12)</f>
        <v>0</v>
      </c>
      <c r="F1096" s="25">
        <f>IF(H1096=0,'Combined Retirement'!$D$32,0)+'Combined Retirement'!$B$24</f>
        <v>2870.372285649099</v>
      </c>
      <c r="G1096" s="25">
        <f>'Combined Retirement'!$C$24</f>
        <v>3254.2644699519233</v>
      </c>
      <c r="H1096" s="25">
        <f>IF(B1096&lt;62,0,'Combined Retirement'!$I$14)</f>
        <v>2345</v>
      </c>
      <c r="I1096" s="25">
        <f>IF(C1096&lt;62,0,'Combined Retirement'!$I$13)</f>
        <v>2420</v>
      </c>
      <c r="J1096" s="25">
        <f t="shared" si="1043"/>
        <v>8395.6297298201844</v>
      </c>
      <c r="K1096" s="25">
        <f t="shared" si="1044"/>
        <v>21655.303514578787</v>
      </c>
      <c r="L1096" s="25"/>
      <c r="N1096" s="25">
        <f>'Combined Retirement'!$C$18/12</f>
        <v>40940.569999999992</v>
      </c>
      <c r="O1096" s="25">
        <f t="shared" si="1045"/>
        <v>10889.636755601023</v>
      </c>
      <c r="P1096" s="25">
        <f t="shared" si="1046"/>
        <v>30050.93324439897</v>
      </c>
      <c r="Q1096" s="25">
        <f t="array" aca="1" ref="Q1096" ca="1">INDEX('Isaac 401k'!L:L,MATCH('Retirement Calculator'!A1096,'Isaac 401k'!N:N,0),0)</f>
        <v>-25672029.891227659</v>
      </c>
      <c r="R1096" s="25">
        <f t="array" aca="1" ref="R1096" ca="1">INDEX('Lorri 401b'!L:L,MATCH('Retirement Calculator'!A1096,'Lorri 401b'!N:N,0),0)</f>
        <v>-49615704.170420192</v>
      </c>
      <c r="S1096" s="25">
        <f t="shared" ca="1" si="1047"/>
        <v>-75287734.061647847</v>
      </c>
    </row>
    <row r="1097" spans="1:19" ht="15.75" customHeight="1" x14ac:dyDescent="0.3">
      <c r="A1097" s="37">
        <v>84342</v>
      </c>
      <c r="B1097" s="398">
        <f t="shared" ref="B1097:C1097" si="1113">($A1097-B$9)/365.25</f>
        <v>149.03764544832308</v>
      </c>
      <c r="C1097" s="398">
        <f t="shared" si="1113"/>
        <v>144.42710472279262</v>
      </c>
      <c r="E1097" s="25">
        <f>IF(C1097&gt;$B$7,0,'Combined Retirement'!$D$13/12)</f>
        <v>0</v>
      </c>
      <c r="F1097" s="25">
        <f>IF(H1097=0,'Combined Retirement'!$D$32,0)+'Combined Retirement'!$B$24</f>
        <v>2870.372285649099</v>
      </c>
      <c r="G1097" s="25">
        <f>'Combined Retirement'!$C$24</f>
        <v>3254.2644699519233</v>
      </c>
      <c r="H1097" s="25">
        <f>IF(B1097&lt;62,0,'Combined Retirement'!$I$14)</f>
        <v>2345</v>
      </c>
      <c r="I1097" s="25">
        <f>IF(C1097&lt;62,0,'Combined Retirement'!$I$13)</f>
        <v>2420</v>
      </c>
      <c r="J1097" s="25">
        <f t="shared" si="1043"/>
        <v>8395.6297298201844</v>
      </c>
      <c r="K1097" s="25">
        <f t="shared" si="1044"/>
        <v>21655.303514578787</v>
      </c>
      <c r="L1097" s="25"/>
      <c r="N1097" s="25">
        <f>'Combined Retirement'!$C$18/12</f>
        <v>40940.569999999992</v>
      </c>
      <c r="O1097" s="25">
        <f t="shared" si="1045"/>
        <v>10889.636755601023</v>
      </c>
      <c r="P1097" s="25">
        <f t="shared" si="1046"/>
        <v>30050.93324439897</v>
      </c>
      <c r="Q1097" s="25">
        <f t="array" aca="1" ref="Q1097" ca="1">INDEX('Isaac 401k'!L:L,MATCH('Retirement Calculator'!A1097,'Isaac 401k'!N:N,0),0)</f>
        <v>-25787427.293961465</v>
      </c>
      <c r="R1097" s="25">
        <f t="array" aca="1" ref="R1097" ca="1">INDEX('Lorri 401b'!L:L,MATCH('Retirement Calculator'!A1097,'Lorri 401b'!N:N,0),0)</f>
        <v>-49844181.805076167</v>
      </c>
      <c r="S1097" s="25">
        <f t="shared" ca="1" si="1047"/>
        <v>-75631609.099037632</v>
      </c>
    </row>
    <row r="1098" spans="1:19" ht="15.75" customHeight="1" x14ac:dyDescent="0.3">
      <c r="A1098" s="37">
        <v>84373</v>
      </c>
      <c r="B1098" s="398">
        <f t="shared" ref="B1098:C1098" si="1114">($A1098-B$9)/365.25</f>
        <v>149.12251882272417</v>
      </c>
      <c r="C1098" s="398">
        <f t="shared" si="1114"/>
        <v>144.51197809719369</v>
      </c>
      <c r="E1098" s="25">
        <f>IF(C1098&gt;$B$7,0,'Combined Retirement'!$D$13/12)</f>
        <v>0</v>
      </c>
      <c r="F1098" s="25">
        <f>IF(H1098=0,'Combined Retirement'!$D$32,0)+'Combined Retirement'!$B$24</f>
        <v>2870.372285649099</v>
      </c>
      <c r="G1098" s="25">
        <f>'Combined Retirement'!$C$24</f>
        <v>3254.2644699519233</v>
      </c>
      <c r="H1098" s="25">
        <f>IF(B1098&lt;62,0,'Combined Retirement'!$I$14)</f>
        <v>2345</v>
      </c>
      <c r="I1098" s="25">
        <f>IF(C1098&lt;62,0,'Combined Retirement'!$I$13)</f>
        <v>2420</v>
      </c>
      <c r="J1098" s="25">
        <f t="shared" si="1043"/>
        <v>8395.6297298201844</v>
      </c>
      <c r="K1098" s="25">
        <f t="shared" si="1044"/>
        <v>21655.303514578787</v>
      </c>
      <c r="L1098" s="25"/>
      <c r="N1098" s="25">
        <f>'Combined Retirement'!$C$18/12</f>
        <v>40940.569999999992</v>
      </c>
      <c r="O1098" s="25">
        <f t="shared" si="1045"/>
        <v>10889.636755601023</v>
      </c>
      <c r="P1098" s="25">
        <f t="shared" si="1046"/>
        <v>30050.93324439897</v>
      </c>
      <c r="Q1098" s="25">
        <f t="array" aca="1" ref="Q1098" ca="1">INDEX('Isaac 401k'!L:L,MATCH('Retirement Calculator'!A1098,'Isaac 401k'!N:N,0),0)</f>
        <v>-25903305.519206665</v>
      </c>
      <c r="R1098" s="25">
        <f t="array" aca="1" ref="R1098" ca="1">INDEX('Lorri 401b'!L:L,MATCH('Retirement Calculator'!A1098,'Lorri 401b'!N:N,0),0)</f>
        <v>-50073611.429876536</v>
      </c>
      <c r="S1098" s="25">
        <f t="shared" ca="1" si="1047"/>
        <v>-75976916.949083209</v>
      </c>
    </row>
    <row r="1099" spans="1:19" ht="15.75" customHeight="1" x14ac:dyDescent="0.3">
      <c r="A1099" s="37">
        <v>84404</v>
      </c>
      <c r="B1099" s="398">
        <f t="shared" ref="B1099:C1099" si="1115">($A1099-B$9)/365.25</f>
        <v>149.20739219712524</v>
      </c>
      <c r="C1099" s="398">
        <f t="shared" si="1115"/>
        <v>144.59685147159479</v>
      </c>
      <c r="E1099" s="25">
        <f>IF(C1099&gt;$B$7,0,'Combined Retirement'!$D$13/12)</f>
        <v>0</v>
      </c>
      <c r="F1099" s="25">
        <f>IF(H1099=0,'Combined Retirement'!$D$32,0)+'Combined Retirement'!$B$24</f>
        <v>2870.372285649099</v>
      </c>
      <c r="G1099" s="25">
        <f>'Combined Retirement'!$C$24</f>
        <v>3254.2644699519233</v>
      </c>
      <c r="H1099" s="25">
        <f>IF(B1099&lt;62,0,'Combined Retirement'!$I$14)</f>
        <v>2345</v>
      </c>
      <c r="I1099" s="25">
        <f>IF(C1099&lt;62,0,'Combined Retirement'!$I$13)</f>
        <v>2420</v>
      </c>
      <c r="J1099" s="25">
        <f t="shared" si="1043"/>
        <v>8395.6297298201844</v>
      </c>
      <c r="K1099" s="25">
        <f t="shared" si="1044"/>
        <v>21655.303514578787</v>
      </c>
      <c r="L1099" s="25"/>
      <c r="N1099" s="25">
        <f>'Combined Retirement'!$C$18/12</f>
        <v>40940.569999999992</v>
      </c>
      <c r="O1099" s="25">
        <f t="shared" si="1045"/>
        <v>10889.636755601023</v>
      </c>
      <c r="P1099" s="25">
        <f t="shared" si="1046"/>
        <v>30050.93324439897</v>
      </c>
      <c r="Q1099" s="25">
        <f t="array" aca="1" ref="Q1099" ca="1">INDEX('Isaac 401k'!L:L,MATCH('Retirement Calculator'!A1099,'Isaac 401k'!N:N,0),0)</f>
        <v>-26019666.570390385</v>
      </c>
      <c r="R1099" s="25">
        <f t="array" aca="1" ref="R1099" ca="1">INDEX('Lorri 401b'!L:L,MATCH('Retirement Calculator'!A1099,'Lorri 401b'!N:N,0),0)</f>
        <v>-50303997.011446908</v>
      </c>
      <c r="S1099" s="25">
        <f t="shared" ca="1" si="1047"/>
        <v>-76323663.581837296</v>
      </c>
    </row>
    <row r="1100" spans="1:19" ht="15.75" customHeight="1" x14ac:dyDescent="0.3">
      <c r="A1100" s="37">
        <v>84432</v>
      </c>
      <c r="B1100" s="398">
        <f t="shared" ref="B1100:C1100" si="1116">($A1100-B$9)/365.25</f>
        <v>149.28405201916496</v>
      </c>
      <c r="C1100" s="398">
        <f t="shared" si="1116"/>
        <v>144.6735112936345</v>
      </c>
      <c r="E1100" s="25">
        <f>IF(C1100&gt;$B$7,0,'Combined Retirement'!$D$13/12)</f>
        <v>0</v>
      </c>
      <c r="F1100" s="25">
        <f>IF(H1100=0,'Combined Retirement'!$D$32,0)+'Combined Retirement'!$B$24</f>
        <v>2870.372285649099</v>
      </c>
      <c r="G1100" s="25">
        <f>'Combined Retirement'!$C$24</f>
        <v>3254.2644699519233</v>
      </c>
      <c r="H1100" s="25">
        <f>IF(B1100&lt;62,0,'Combined Retirement'!$I$14)</f>
        <v>2345</v>
      </c>
      <c r="I1100" s="25">
        <f>IF(C1100&lt;62,0,'Combined Retirement'!$I$13)</f>
        <v>2420</v>
      </c>
      <c r="J1100" s="25">
        <f t="shared" si="1043"/>
        <v>8395.6297298201844</v>
      </c>
      <c r="K1100" s="25">
        <f t="shared" si="1044"/>
        <v>21655.303514578787</v>
      </c>
      <c r="L1100" s="25"/>
      <c r="N1100" s="25">
        <f>'Combined Retirement'!$C$18/12</f>
        <v>40940.569999999992</v>
      </c>
      <c r="O1100" s="25">
        <f t="shared" si="1045"/>
        <v>10889.636755601023</v>
      </c>
      <c r="P1100" s="25">
        <f t="shared" si="1046"/>
        <v>30050.93324439897</v>
      </c>
      <c r="Q1100" s="25">
        <f t="array" aca="1" ref="Q1100" ca="1">INDEX('Isaac 401k'!L:L,MATCH('Retirement Calculator'!A1100,'Isaac 401k'!N:N,0),0)</f>
        <v>-26136512.459287371</v>
      </c>
      <c r="R1100" s="25">
        <f t="array" aca="1" ref="R1100" ca="1">INDEX('Lorri 401b'!L:L,MATCH('Retirement Calculator'!A1100,'Lorri 401b'!N:N,0),0)</f>
        <v>-50535342.532940492</v>
      </c>
      <c r="S1100" s="25">
        <f t="shared" ca="1" si="1047"/>
        <v>-76671854.992227867</v>
      </c>
    </row>
    <row r="1101" spans="1:19" ht="15.75" customHeight="1" x14ac:dyDescent="0.3">
      <c r="A1101" s="37">
        <v>84463</v>
      </c>
      <c r="B1101" s="398">
        <f t="shared" ref="B1101:C1101" si="1117">($A1101-B$9)/365.25</f>
        <v>149.36892539356606</v>
      </c>
      <c r="C1101" s="398">
        <f t="shared" si="1117"/>
        <v>144.7583846680356</v>
      </c>
      <c r="E1101" s="25">
        <f>IF(C1101&gt;$B$7,0,'Combined Retirement'!$D$13/12)</f>
        <v>0</v>
      </c>
      <c r="F1101" s="25">
        <f>IF(H1101=0,'Combined Retirement'!$D$32,0)+'Combined Retirement'!$B$24</f>
        <v>2870.372285649099</v>
      </c>
      <c r="G1101" s="25">
        <f>'Combined Retirement'!$C$24</f>
        <v>3254.2644699519233</v>
      </c>
      <c r="H1101" s="25">
        <f>IF(B1101&lt;62,0,'Combined Retirement'!$I$14)</f>
        <v>2345</v>
      </c>
      <c r="I1101" s="25">
        <f>IF(C1101&lt;62,0,'Combined Retirement'!$I$13)</f>
        <v>2420</v>
      </c>
      <c r="J1101" s="25">
        <f t="shared" si="1043"/>
        <v>8395.6297298201844</v>
      </c>
      <c r="K1101" s="25">
        <f t="shared" si="1044"/>
        <v>21655.303514578787</v>
      </c>
      <c r="L1101" s="25"/>
      <c r="N1101" s="25">
        <f>'Combined Retirement'!$C$18/12</f>
        <v>40940.569999999992</v>
      </c>
      <c r="O1101" s="25">
        <f t="shared" si="1045"/>
        <v>10889.636755601023</v>
      </c>
      <c r="P1101" s="25">
        <f t="shared" si="1046"/>
        <v>30050.93324439897</v>
      </c>
      <c r="Q1101" s="25">
        <f t="array" aca="1" ref="Q1101" ca="1">INDEX('Isaac 401k'!L:L,MATCH('Retirement Calculator'!A1101,'Isaac 401k'!N:N,0),0)</f>
        <v>-26253845.206054762</v>
      </c>
      <c r="R1101" s="25">
        <f t="array" aca="1" ref="R1101" ca="1">INDEX('Lorri 401b'!L:L,MATCH('Retirement Calculator'!A1101,'Lorri 401b'!N:N,0),0)</f>
        <v>-50767651.994106963</v>
      </c>
      <c r="S1101" s="25">
        <f t="shared" ca="1" si="1047"/>
        <v>-77021497.200161725</v>
      </c>
    </row>
    <row r="1102" spans="1:19" ht="15.75" customHeight="1" x14ac:dyDescent="0.3">
      <c r="A1102" s="37">
        <v>84493</v>
      </c>
      <c r="B1102" s="398">
        <f t="shared" ref="B1102:C1102" si="1118">($A1102-B$9)/365.25</f>
        <v>149.45106091718</v>
      </c>
      <c r="C1102" s="398">
        <f t="shared" si="1118"/>
        <v>144.84052019164955</v>
      </c>
      <c r="E1102" s="25">
        <f>IF(C1102&gt;$B$7,0,'Combined Retirement'!$D$13/12)</f>
        <v>0</v>
      </c>
      <c r="F1102" s="25">
        <f>IF(H1102=0,'Combined Retirement'!$D$32,0)+'Combined Retirement'!$B$24</f>
        <v>2870.372285649099</v>
      </c>
      <c r="G1102" s="25">
        <f>'Combined Retirement'!$C$24</f>
        <v>3254.2644699519233</v>
      </c>
      <c r="H1102" s="25">
        <f>IF(B1102&lt;62,0,'Combined Retirement'!$I$14)</f>
        <v>2345</v>
      </c>
      <c r="I1102" s="25">
        <f>IF(C1102&lt;62,0,'Combined Retirement'!$I$13)</f>
        <v>2420</v>
      </c>
      <c r="J1102" s="25">
        <f t="shared" si="1043"/>
        <v>8395.6297298201844</v>
      </c>
      <c r="K1102" s="25">
        <f t="shared" si="1044"/>
        <v>21655.303514578787</v>
      </c>
      <c r="L1102" s="25"/>
      <c r="N1102" s="25">
        <f>'Combined Retirement'!$C$18/12</f>
        <v>40940.569999999992</v>
      </c>
      <c r="O1102" s="25">
        <f t="shared" si="1045"/>
        <v>10889.636755601023</v>
      </c>
      <c r="P1102" s="25">
        <f t="shared" si="1046"/>
        <v>30050.93324439897</v>
      </c>
      <c r="Q1102" s="25">
        <f t="array" aca="1" ref="Q1102" ca="1">INDEX('Isaac 401k'!L:L,MATCH('Retirement Calculator'!A1102,'Isaac 401k'!N:N,0),0)</f>
        <v>-26371666.839267015</v>
      </c>
      <c r="R1102" s="25">
        <f t="array" aca="1" ref="R1102" ca="1">INDEX('Lorri 401b'!L:L,MATCH('Retirement Calculator'!A1102,'Lorri 401b'!N:N,0),0)</f>
        <v>-51000929.411361627</v>
      </c>
      <c r="S1102" s="25">
        <f t="shared" ca="1" si="1047"/>
        <v>-77372596.25062865</v>
      </c>
    </row>
    <row r="1103" spans="1:19" ht="15.75" customHeight="1" x14ac:dyDescent="0.3">
      <c r="A1103" s="37">
        <v>84524</v>
      </c>
      <c r="B1103" s="398">
        <f t="shared" ref="B1103:C1103" si="1119">($A1103-B$9)/365.25</f>
        <v>149.5359342915811</v>
      </c>
      <c r="C1103" s="398">
        <f t="shared" si="1119"/>
        <v>144.92539356605064</v>
      </c>
      <c r="E1103" s="25">
        <f>IF(C1103&gt;$B$7,0,'Combined Retirement'!$D$13/12)</f>
        <v>0</v>
      </c>
      <c r="F1103" s="25">
        <f>IF(H1103=0,'Combined Retirement'!$D$32,0)+'Combined Retirement'!$B$24</f>
        <v>2870.372285649099</v>
      </c>
      <c r="G1103" s="25">
        <f>'Combined Retirement'!$C$24</f>
        <v>3254.2644699519233</v>
      </c>
      <c r="H1103" s="25">
        <f>IF(B1103&lt;62,0,'Combined Retirement'!$I$14)</f>
        <v>2345</v>
      </c>
      <c r="I1103" s="25">
        <f>IF(C1103&lt;62,0,'Combined Retirement'!$I$13)</f>
        <v>2420</v>
      </c>
      <c r="J1103" s="25">
        <f t="shared" si="1043"/>
        <v>8395.6297298201844</v>
      </c>
      <c r="K1103" s="25">
        <f t="shared" si="1044"/>
        <v>21655.303514578787</v>
      </c>
      <c r="L1103" s="25"/>
      <c r="N1103" s="25">
        <f>'Combined Retirement'!$C$18/12</f>
        <v>40940.569999999992</v>
      </c>
      <c r="O1103" s="25">
        <f t="shared" si="1045"/>
        <v>10889.636755601023</v>
      </c>
      <c r="P1103" s="25">
        <f t="shared" si="1046"/>
        <v>30050.93324439897</v>
      </c>
      <c r="Q1103" s="25">
        <f t="array" aca="1" ref="Q1103" ca="1">INDEX('Isaac 401k'!L:L,MATCH('Retirement Calculator'!A1103,'Isaac 401k'!N:N,0),0)</f>
        <v>-26489979.395950988</v>
      </c>
      <c r="R1103" s="25">
        <f t="array" aca="1" ref="R1103" ca="1">INDEX('Lorri 401b'!L:L,MATCH('Retirement Calculator'!A1103,'Lorri 401b'!N:N,0),0)</f>
        <v>-51235178.817854859</v>
      </c>
      <c r="S1103" s="25">
        <f t="shared" ca="1" si="1047"/>
        <v>-77725158.213805854</v>
      </c>
    </row>
    <row r="1104" spans="1:19" ht="15.75" customHeight="1" x14ac:dyDescent="0.3">
      <c r="A1104" s="37">
        <v>84554</v>
      </c>
      <c r="B1104" s="398">
        <f t="shared" ref="B1104:C1104" si="1120">($A1104-B$9)/365.25</f>
        <v>149.61806981519507</v>
      </c>
      <c r="C1104" s="398">
        <f t="shared" si="1120"/>
        <v>145.00752908966462</v>
      </c>
      <c r="E1104" s="25">
        <f>IF(C1104&gt;$B$7,0,'Combined Retirement'!$D$13/12)</f>
        <v>0</v>
      </c>
      <c r="F1104" s="25">
        <f>IF(H1104=0,'Combined Retirement'!$D$32,0)+'Combined Retirement'!$B$24</f>
        <v>2870.372285649099</v>
      </c>
      <c r="G1104" s="25">
        <f>'Combined Retirement'!$C$24</f>
        <v>3254.2644699519233</v>
      </c>
      <c r="H1104" s="25">
        <f>IF(B1104&lt;62,0,'Combined Retirement'!$I$14)</f>
        <v>2345</v>
      </c>
      <c r="I1104" s="25">
        <f>IF(C1104&lt;62,0,'Combined Retirement'!$I$13)</f>
        <v>2420</v>
      </c>
      <c r="J1104" s="25">
        <f t="shared" si="1043"/>
        <v>8395.6297298201844</v>
      </c>
      <c r="K1104" s="25">
        <f t="shared" si="1044"/>
        <v>21655.303514578787</v>
      </c>
      <c r="L1104" s="25"/>
      <c r="N1104" s="25">
        <f>'Combined Retirement'!$C$18/12</f>
        <v>40940.569999999992</v>
      </c>
      <c r="O1104" s="25">
        <f t="shared" si="1045"/>
        <v>10889.636755601023</v>
      </c>
      <c r="P1104" s="25">
        <f t="shared" si="1046"/>
        <v>30050.93324439897</v>
      </c>
      <c r="Q1104" s="25">
        <f t="array" aca="1" ref="Q1104" ca="1">INDEX('Isaac 401k'!L:L,MATCH('Retirement Calculator'!A1104,'Isaac 401k'!N:N,0),0)</f>
        <v>-26608784.921621144</v>
      </c>
      <c r="R1104" s="25">
        <f t="array" aca="1" ref="R1104" ca="1">INDEX('Lorri 401b'!L:L,MATCH('Retirement Calculator'!A1104,'Lorri 401b'!N:N,0),0)</f>
        <v>-51470404.26354181</v>
      </c>
      <c r="S1104" s="25">
        <f t="shared" ca="1" si="1047"/>
        <v>-78079189.185162961</v>
      </c>
    </row>
    <row r="1105" spans="1:19" ht="15.75" customHeight="1" x14ac:dyDescent="0.3">
      <c r="A1105" s="37">
        <v>84585</v>
      </c>
      <c r="B1105" s="398">
        <f t="shared" ref="B1105:C1105" si="1121">($A1105-B$9)/365.25</f>
        <v>149.70294318959617</v>
      </c>
      <c r="C1105" s="398">
        <f t="shared" si="1121"/>
        <v>145.09240246406571</v>
      </c>
      <c r="E1105" s="25">
        <f>IF(C1105&gt;$B$7,0,'Combined Retirement'!$D$13/12)</f>
        <v>0</v>
      </c>
      <c r="F1105" s="25">
        <f>IF(H1105=0,'Combined Retirement'!$D$32,0)+'Combined Retirement'!$B$24</f>
        <v>2870.372285649099</v>
      </c>
      <c r="G1105" s="25">
        <f>'Combined Retirement'!$C$24</f>
        <v>3254.2644699519233</v>
      </c>
      <c r="H1105" s="25">
        <f>IF(B1105&lt;62,0,'Combined Retirement'!$I$14)</f>
        <v>2345</v>
      </c>
      <c r="I1105" s="25">
        <f>IF(C1105&lt;62,0,'Combined Retirement'!$I$13)</f>
        <v>2420</v>
      </c>
      <c r="J1105" s="25">
        <f t="shared" si="1043"/>
        <v>8395.6297298201844</v>
      </c>
      <c r="K1105" s="25">
        <f t="shared" si="1044"/>
        <v>21655.303514578787</v>
      </c>
      <c r="L1105" s="25"/>
      <c r="N1105" s="25">
        <f>'Combined Retirement'!$C$18/12</f>
        <v>40940.569999999992</v>
      </c>
      <c r="O1105" s="25">
        <f t="shared" si="1045"/>
        <v>10889.636755601023</v>
      </c>
      <c r="P1105" s="25">
        <f t="shared" si="1046"/>
        <v>30050.93324439897</v>
      </c>
      <c r="Q1105" s="25">
        <f t="array" aca="1" ref="Q1105" ca="1">INDEX('Isaac 401k'!L:L,MATCH('Retirement Calculator'!A1105,'Isaac 401k'!N:N,0),0)</f>
        <v>-26728085.470314924</v>
      </c>
      <c r="R1105" s="25">
        <f t="array" aca="1" ref="R1105" ca="1">INDEX('Lorri 401b'!L:L,MATCH('Retirement Calculator'!A1105,'Lorri 401b'!N:N,0),0)</f>
        <v>-51706609.815252453</v>
      </c>
      <c r="S1105" s="25">
        <f t="shared" ca="1" si="1047"/>
        <v>-78434695.285567373</v>
      </c>
    </row>
    <row r="1106" spans="1:19" ht="15.75" customHeight="1" x14ac:dyDescent="0.3">
      <c r="A1106" s="37">
        <v>84616</v>
      </c>
      <c r="B1106" s="398">
        <f t="shared" ref="B1106:C1106" si="1122">($A1106-B$9)/365.25</f>
        <v>149.78781656399727</v>
      </c>
      <c r="C1106" s="398">
        <f t="shared" si="1122"/>
        <v>145.17727583846681</v>
      </c>
      <c r="E1106" s="25">
        <f>IF(C1106&gt;$B$7,0,'Combined Retirement'!$D$13/12)</f>
        <v>0</v>
      </c>
      <c r="F1106" s="25">
        <f>IF(H1106=0,'Combined Retirement'!$D$32,0)+'Combined Retirement'!$B$24</f>
        <v>2870.372285649099</v>
      </c>
      <c r="G1106" s="25">
        <f>'Combined Retirement'!$C$24</f>
        <v>3254.2644699519233</v>
      </c>
      <c r="H1106" s="25">
        <f>IF(B1106&lt;62,0,'Combined Retirement'!$I$14)</f>
        <v>2345</v>
      </c>
      <c r="I1106" s="25">
        <f>IF(C1106&lt;62,0,'Combined Retirement'!$I$13)</f>
        <v>2420</v>
      </c>
      <c r="J1106" s="25">
        <f t="shared" si="1043"/>
        <v>8395.6297298201844</v>
      </c>
      <c r="K1106" s="25">
        <f t="shared" si="1044"/>
        <v>21655.303514578787</v>
      </c>
      <c r="L1106" s="25"/>
      <c r="N1106" s="25">
        <f>'Combined Retirement'!$C$18/12</f>
        <v>40940.569999999992</v>
      </c>
      <c r="O1106" s="25">
        <f t="shared" si="1045"/>
        <v>10889.636755601023</v>
      </c>
      <c r="P1106" s="25">
        <f t="shared" si="1046"/>
        <v>30050.93324439897</v>
      </c>
      <c r="Q1106" s="25">
        <f t="array" aca="1" ref="Q1106" ca="1">INDEX('Isaac 401k'!L:L,MATCH('Retirement Calculator'!A1106,'Isaac 401k'!N:N,0),0)</f>
        <v>-26847883.104628261</v>
      </c>
      <c r="R1106" s="25">
        <f t="array" aca="1" ref="R1106" ca="1">INDEX('Lorri 401b'!L:L,MATCH('Retirement Calculator'!A1106,'Lorri 401b'!N:N,0),0)</f>
        <v>-51943799.556761891</v>
      </c>
      <c r="S1106" s="25">
        <f t="shared" ca="1" si="1047"/>
        <v>-78791682.661390156</v>
      </c>
    </row>
    <row r="1107" spans="1:19" ht="15.75" customHeight="1" x14ac:dyDescent="0.3">
      <c r="A1107" s="37">
        <v>84646</v>
      </c>
      <c r="B1107" s="398">
        <f t="shared" ref="B1107:C1107" si="1123">($A1107-B$9)/365.25</f>
        <v>149.86995208761124</v>
      </c>
      <c r="C1107" s="398">
        <f t="shared" si="1123"/>
        <v>145.25941136208075</v>
      </c>
      <c r="E1107" s="25">
        <f>IF(C1107&gt;$B$7,0,'Combined Retirement'!$D$13/12)</f>
        <v>0</v>
      </c>
      <c r="F1107" s="25">
        <f>IF(H1107=0,'Combined Retirement'!$D$32,0)+'Combined Retirement'!$B$24</f>
        <v>2870.372285649099</v>
      </c>
      <c r="G1107" s="25">
        <f>'Combined Retirement'!$C$24</f>
        <v>3254.2644699519233</v>
      </c>
      <c r="H1107" s="25">
        <f>IF(B1107&lt;62,0,'Combined Retirement'!$I$14)</f>
        <v>2345</v>
      </c>
      <c r="I1107" s="25">
        <f>IF(C1107&lt;62,0,'Combined Retirement'!$I$13)</f>
        <v>2420</v>
      </c>
      <c r="J1107" s="25">
        <f t="shared" si="1043"/>
        <v>8395.6297298201844</v>
      </c>
      <c r="K1107" s="25">
        <f t="shared" si="1044"/>
        <v>21655.303514578787</v>
      </c>
      <c r="L1107" s="25"/>
      <c r="N1107" s="25">
        <f>'Combined Retirement'!$C$18/12</f>
        <v>40940.569999999992</v>
      </c>
      <c r="O1107" s="25">
        <f t="shared" si="1045"/>
        <v>10889.636755601023</v>
      </c>
      <c r="P1107" s="25">
        <f t="shared" si="1046"/>
        <v>30050.93324439897</v>
      </c>
      <c r="Q1107" s="25">
        <f t="array" aca="1" ref="Q1107" ca="1">INDEX('Isaac 401k'!L:L,MATCH('Retirement Calculator'!A1107,'Isaac 401k'!N:N,0),0)</f>
        <v>-26968179.895751238</v>
      </c>
      <c r="R1107" s="25">
        <f t="array" aca="1" ref="R1107" ca="1">INDEX('Lorri 401b'!L:L,MATCH('Retirement Calculator'!A1107,'Lorri 401b'!N:N,0),0)</f>
        <v>-52181977.588860951</v>
      </c>
      <c r="S1107" s="25">
        <f t="shared" ca="1" si="1047"/>
        <v>-79150157.484612197</v>
      </c>
    </row>
    <row r="1108" spans="1:19" ht="15.75" customHeight="1" x14ac:dyDescent="0.3">
      <c r="A1108" s="37">
        <v>84677</v>
      </c>
      <c r="B1108" s="398">
        <f t="shared" ref="B1108:C1108" si="1124">($A1108-B$9)/365.25</f>
        <v>149.95482546201231</v>
      </c>
      <c r="C1108" s="398">
        <f t="shared" si="1124"/>
        <v>145.34428473648185</v>
      </c>
      <c r="E1108" s="25">
        <f>IF(C1108&gt;$B$7,0,'Combined Retirement'!$D$13/12)</f>
        <v>0</v>
      </c>
      <c r="F1108" s="25">
        <f>IF(H1108=0,'Combined Retirement'!$D$32,0)+'Combined Retirement'!$B$24</f>
        <v>2870.372285649099</v>
      </c>
      <c r="G1108" s="25">
        <f>'Combined Retirement'!$C$24</f>
        <v>3254.2644699519233</v>
      </c>
      <c r="H1108" s="25">
        <f>IF(B1108&lt;62,0,'Combined Retirement'!$I$14)</f>
        <v>2345</v>
      </c>
      <c r="I1108" s="25">
        <f>IF(C1108&lt;62,0,'Combined Retirement'!$I$13)</f>
        <v>2420</v>
      </c>
      <c r="J1108" s="25">
        <f t="shared" si="1043"/>
        <v>8395.6297298201844</v>
      </c>
      <c r="K1108" s="25">
        <f t="shared" si="1044"/>
        <v>21655.303514578787</v>
      </c>
      <c r="L1108" s="25"/>
      <c r="N1108" s="25">
        <f>'Combined Retirement'!$C$18/12</f>
        <v>40940.569999999992</v>
      </c>
      <c r="O1108" s="25">
        <f t="shared" si="1045"/>
        <v>10889.636755601023</v>
      </c>
      <c r="P1108" s="25">
        <f t="shared" si="1046"/>
        <v>30050.93324439897</v>
      </c>
      <c r="Q1108" s="25">
        <f t="array" aca="1" ref="Q1108" ca="1">INDEX('Isaac 401k'!L:L,MATCH('Retirement Calculator'!A1108,'Isaac 401k'!N:N,0),0)</f>
        <v>-27088977.923503894</v>
      </c>
      <c r="R1108" s="25">
        <f t="array" aca="1" ref="R1108" ca="1">INDEX('Lorri 401b'!L:L,MATCH('Retirement Calculator'!A1108,'Lorri 401b'!N:N,0),0)</f>
        <v>-52421148.029427096</v>
      </c>
      <c r="S1108" s="25">
        <f t="shared" ca="1" si="1047"/>
        <v>-79510125.952930987</v>
      </c>
    </row>
    <row r="1109" spans="1:19" ht="15.75" customHeight="1" x14ac:dyDescent="0.3">
      <c r="A1109" s="37">
        <v>84707</v>
      </c>
      <c r="B1109" s="398">
        <f t="shared" ref="B1109:C1109" si="1125">($A1109-B$9)/365.25</f>
        <v>150.03696098562628</v>
      </c>
      <c r="C1109" s="398">
        <f t="shared" si="1125"/>
        <v>145.42642026009582</v>
      </c>
      <c r="E1109" s="25">
        <f>IF(C1109&gt;$B$7,0,'Combined Retirement'!$D$13/12)</f>
        <v>0</v>
      </c>
      <c r="F1109" s="25">
        <f>IF(H1109=0,'Combined Retirement'!$D$32,0)+'Combined Retirement'!$B$24</f>
        <v>2870.372285649099</v>
      </c>
      <c r="G1109" s="25">
        <f>'Combined Retirement'!$C$24</f>
        <v>3254.2644699519233</v>
      </c>
      <c r="H1109" s="25">
        <f>IF(B1109&lt;62,0,'Combined Retirement'!$I$14)</f>
        <v>2345</v>
      </c>
      <c r="I1109" s="25">
        <f>IF(C1109&lt;62,0,'Combined Retirement'!$I$13)</f>
        <v>2420</v>
      </c>
      <c r="J1109" s="25">
        <f t="shared" si="1043"/>
        <v>8395.6297298201844</v>
      </c>
      <c r="K1109" s="25">
        <f t="shared" si="1044"/>
        <v>21655.303514578787</v>
      </c>
      <c r="L1109" s="25"/>
      <c r="N1109" s="25">
        <f>'Combined Retirement'!$C$18/12</f>
        <v>40940.569999999992</v>
      </c>
      <c r="O1109" s="25">
        <f t="shared" si="1045"/>
        <v>10889.636755601023</v>
      </c>
      <c r="P1109" s="25">
        <f t="shared" si="1046"/>
        <v>30050.93324439897</v>
      </c>
      <c r="Q1109" s="25">
        <f t="array" aca="1" ref="Q1109" ca="1">INDEX('Isaac 401k'!L:L,MATCH('Retirement Calculator'!A1109,'Isaac 401k'!N:N,0),0)</f>
        <v>-27210279.276372187</v>
      </c>
      <c r="R1109" s="25">
        <f t="array" aca="1" ref="R1109" ca="1">INDEX('Lorri 401b'!L:L,MATCH('Retirement Calculator'!A1109,'Lorri 401b'!N:N,0),0)</f>
        <v>-52661315.013495594</v>
      </c>
      <c r="S1109" s="25">
        <f t="shared" ca="1" si="1047"/>
        <v>-79871594.289867789</v>
      </c>
    </row>
    <row r="1110" spans="1:19" ht="15.75" customHeight="1" x14ac:dyDescent="0.3">
      <c r="A1110" s="37">
        <v>84738</v>
      </c>
      <c r="B1110" s="398">
        <f t="shared" ref="B1110:C1110" si="1126">($A1110-B$9)/365.25</f>
        <v>150.12183436002738</v>
      </c>
      <c r="C1110" s="398">
        <f t="shared" si="1126"/>
        <v>145.51129363449692</v>
      </c>
      <c r="E1110" s="25">
        <f>IF(C1110&gt;$B$7,0,'Combined Retirement'!$D$13/12)</f>
        <v>0</v>
      </c>
      <c r="F1110" s="25">
        <f>IF(H1110=0,'Combined Retirement'!$D$32,0)+'Combined Retirement'!$B$24</f>
        <v>2870.372285649099</v>
      </c>
      <c r="G1110" s="25">
        <f>'Combined Retirement'!$C$24</f>
        <v>3254.2644699519233</v>
      </c>
      <c r="H1110" s="25">
        <f>IF(B1110&lt;62,0,'Combined Retirement'!$I$14)</f>
        <v>2345</v>
      </c>
      <c r="I1110" s="25">
        <f>IF(C1110&lt;62,0,'Combined Retirement'!$I$13)</f>
        <v>2420</v>
      </c>
      <c r="J1110" s="25">
        <f t="shared" si="1043"/>
        <v>8395.6297298201844</v>
      </c>
      <c r="K1110" s="25">
        <f t="shared" si="1044"/>
        <v>21655.303514578787</v>
      </c>
      <c r="L1110" s="25"/>
      <c r="N1110" s="25">
        <f>'Combined Retirement'!$C$18/12</f>
        <v>40940.569999999992</v>
      </c>
      <c r="O1110" s="25">
        <f t="shared" si="1045"/>
        <v>10889.636755601023</v>
      </c>
      <c r="P1110" s="25">
        <f t="shared" si="1046"/>
        <v>30050.93324439897</v>
      </c>
      <c r="Q1110" s="25">
        <f t="array" aca="1" ref="Q1110" ca="1">INDEX('Isaac 401k'!L:L,MATCH('Retirement Calculator'!A1110,'Isaac 401k'!N:N,0),0)</f>
        <v>-27332086.051544096</v>
      </c>
      <c r="R1110" s="25">
        <f t="array" aca="1" ref="R1110" ca="1">INDEX('Lorri 401b'!L:L,MATCH('Retirement Calculator'!A1110,'Lorri 401b'!N:N,0),0)</f>
        <v>-52902482.693331048</v>
      </c>
      <c r="S1110" s="25">
        <f t="shared" ca="1" si="1047"/>
        <v>-80234568.744875148</v>
      </c>
    </row>
    <row r="1111" spans="1:19" ht="15.75" customHeight="1" x14ac:dyDescent="0.3">
      <c r="A1111" s="37">
        <v>84769</v>
      </c>
      <c r="B1111" s="398">
        <f t="shared" ref="B1111:C1111" si="1127">($A1111-B$9)/365.25</f>
        <v>150.20670773442848</v>
      </c>
      <c r="C1111" s="398">
        <f t="shared" si="1127"/>
        <v>145.59616700889802</v>
      </c>
      <c r="E1111" s="25">
        <f>IF(C1111&gt;$B$7,0,'Combined Retirement'!$D$13/12)</f>
        <v>0</v>
      </c>
      <c r="F1111" s="25">
        <f>IF(H1111=0,'Combined Retirement'!$D$32,0)+'Combined Retirement'!$B$24</f>
        <v>2870.372285649099</v>
      </c>
      <c r="G1111" s="25">
        <f>'Combined Retirement'!$C$24</f>
        <v>3254.2644699519233</v>
      </c>
      <c r="H1111" s="25">
        <f>IF(B1111&lt;62,0,'Combined Retirement'!$I$14)</f>
        <v>2345</v>
      </c>
      <c r="I1111" s="25">
        <f>IF(C1111&lt;62,0,'Combined Retirement'!$I$13)</f>
        <v>2420</v>
      </c>
      <c r="J1111" s="25">
        <f t="shared" si="1043"/>
        <v>8395.6297298201844</v>
      </c>
      <c r="K1111" s="25">
        <f t="shared" si="1044"/>
        <v>21655.303514578787</v>
      </c>
      <c r="L1111" s="25"/>
      <c r="N1111" s="25">
        <f>'Combined Retirement'!$C$18/12</f>
        <v>40940.569999999992</v>
      </c>
      <c r="O1111" s="25">
        <f t="shared" si="1045"/>
        <v>10889.636755601023</v>
      </c>
      <c r="P1111" s="25">
        <f t="shared" si="1046"/>
        <v>30050.93324439897</v>
      </c>
      <c r="Q1111" s="25">
        <f t="array" aca="1" ref="Q1111" ca="1">INDEX('Isaac 401k'!L:L,MATCH('Retirement Calculator'!A1111,'Isaac 401k'!N:N,0),0)</f>
        <v>-27454400.354945891</v>
      </c>
      <c r="R1111" s="25">
        <f t="array" aca="1" ref="R1111" ca="1">INDEX('Lorri 401b'!L:L,MATCH('Retirement Calculator'!A1111,'Lorri 401b'!N:N,0),0)</f>
        <v>-53144655.23849915</v>
      </c>
      <c r="S1111" s="25">
        <f t="shared" ca="1" si="1047"/>
        <v>-80599055.593445033</v>
      </c>
    </row>
    <row r="1112" spans="1:19" ht="15.75" customHeight="1" x14ac:dyDescent="0.3">
      <c r="A1112" s="37">
        <v>84798</v>
      </c>
      <c r="B1112" s="398">
        <f t="shared" ref="B1112:C1112" si="1128">($A1112-B$9)/365.25</f>
        <v>150.28610540725529</v>
      </c>
      <c r="C1112" s="398">
        <f t="shared" si="1128"/>
        <v>145.67556468172484</v>
      </c>
      <c r="E1112" s="25">
        <f>IF(C1112&gt;$B$7,0,'Combined Retirement'!$D$13/12)</f>
        <v>0</v>
      </c>
      <c r="F1112" s="25">
        <f>IF(H1112=0,'Combined Retirement'!$D$32,0)+'Combined Retirement'!$B$24</f>
        <v>2870.372285649099</v>
      </c>
      <c r="G1112" s="25">
        <f>'Combined Retirement'!$C$24</f>
        <v>3254.2644699519233</v>
      </c>
      <c r="H1112" s="25">
        <f>IF(B1112&lt;62,0,'Combined Retirement'!$I$14)</f>
        <v>2345</v>
      </c>
      <c r="I1112" s="25">
        <f>IF(C1112&lt;62,0,'Combined Retirement'!$I$13)</f>
        <v>2420</v>
      </c>
      <c r="J1112" s="25">
        <f t="shared" si="1043"/>
        <v>8395.6297298201844</v>
      </c>
      <c r="K1112" s="25">
        <f t="shared" si="1044"/>
        <v>21655.303514578787</v>
      </c>
      <c r="L1112" s="25"/>
      <c r="N1112" s="25">
        <f>'Combined Retirement'!$C$18/12</f>
        <v>40940.569999999992</v>
      </c>
      <c r="O1112" s="25">
        <f t="shared" si="1045"/>
        <v>10889.636755601023</v>
      </c>
      <c r="P1112" s="25">
        <f t="shared" si="1046"/>
        <v>30050.93324439897</v>
      </c>
      <c r="Q1112" s="25">
        <f t="array" aca="1" ref="Q1112" ca="1">INDEX('Isaac 401k'!L:L,MATCH('Retirement Calculator'!A1112,'Isaac 401k'!N:N,0),0)</f>
        <v>-27577224.301278524</v>
      </c>
      <c r="R1112" s="25">
        <f t="array" aca="1" ref="R1112" ca="1">INDEX('Lorri 401b'!L:L,MATCH('Retirement Calculator'!A1112,'Lorri 401b'!N:N,0),0)</f>
        <v>-53387836.835938781</v>
      </c>
      <c r="S1112" s="25">
        <f t="shared" ca="1" si="1047"/>
        <v>-80965061.137217313</v>
      </c>
    </row>
    <row r="1113" spans="1:19" ht="15.75" customHeight="1" x14ac:dyDescent="0.3">
      <c r="A1113" s="37">
        <v>84829</v>
      </c>
      <c r="B1113" s="398">
        <f t="shared" ref="B1113:C1113" si="1129">($A1113-B$9)/365.25</f>
        <v>150.37097878165639</v>
      </c>
      <c r="C1113" s="398">
        <f t="shared" si="1129"/>
        <v>145.76043805612593</v>
      </c>
      <c r="E1113" s="25">
        <f>IF(C1113&gt;$B$7,0,'Combined Retirement'!$D$13/12)</f>
        <v>0</v>
      </c>
      <c r="F1113" s="25">
        <f>IF(H1113=0,'Combined Retirement'!$D$32,0)+'Combined Retirement'!$B$24</f>
        <v>2870.372285649099</v>
      </c>
      <c r="G1113" s="25">
        <f>'Combined Retirement'!$C$24</f>
        <v>3254.2644699519233</v>
      </c>
      <c r="H1113" s="25">
        <f>IF(B1113&lt;62,0,'Combined Retirement'!$I$14)</f>
        <v>2345</v>
      </c>
      <c r="I1113" s="25">
        <f>IF(C1113&lt;62,0,'Combined Retirement'!$I$13)</f>
        <v>2420</v>
      </c>
      <c r="J1113" s="25">
        <f t="shared" si="1043"/>
        <v>8395.6297298201844</v>
      </c>
      <c r="K1113" s="25">
        <f t="shared" si="1044"/>
        <v>21655.303514578787</v>
      </c>
      <c r="L1113" s="25"/>
      <c r="N1113" s="25">
        <f>'Combined Retirement'!$C$18/12</f>
        <v>40940.569999999992</v>
      </c>
      <c r="O1113" s="25">
        <f t="shared" si="1045"/>
        <v>10889.636755601023</v>
      </c>
      <c r="P1113" s="25">
        <f t="shared" si="1046"/>
        <v>30050.93324439897</v>
      </c>
      <c r="Q1113" s="25">
        <f t="array" aca="1" ref="Q1113" ca="1">INDEX('Isaac 401k'!L:L,MATCH('Retirement Calculator'!A1113,'Isaac 401k'!N:N,0),0)</f>
        <v>-27700560.014054209</v>
      </c>
      <c r="R1113" s="25">
        <f t="array" aca="1" ref="R1113" ca="1">INDEX('Lorri 401b'!L:L,MATCH('Retirement Calculator'!A1113,'Lorri 401b'!N:N,0),0)</f>
        <v>-53632031.690034412</v>
      </c>
      <c r="S1113" s="25">
        <f t="shared" ca="1" si="1047"/>
        <v>-81332591.704088628</v>
      </c>
    </row>
    <row r="1114" spans="1:19" ht="15.75" customHeight="1" x14ac:dyDescent="0.3">
      <c r="A1114" s="37">
        <v>84859</v>
      </c>
      <c r="B1114" s="398">
        <f t="shared" ref="B1114:C1114" si="1130">($A1114-B$9)/365.25</f>
        <v>150.45311430527036</v>
      </c>
      <c r="C1114" s="398">
        <f t="shared" si="1130"/>
        <v>145.84257357973991</v>
      </c>
      <c r="E1114" s="25">
        <f>IF(C1114&gt;$B$7,0,'Combined Retirement'!$D$13/12)</f>
        <v>0</v>
      </c>
      <c r="F1114" s="25">
        <f>IF(H1114=0,'Combined Retirement'!$D$32,0)+'Combined Retirement'!$B$24</f>
        <v>2870.372285649099</v>
      </c>
      <c r="G1114" s="25">
        <f>'Combined Retirement'!$C$24</f>
        <v>3254.2644699519233</v>
      </c>
      <c r="H1114" s="25">
        <f>IF(B1114&lt;62,0,'Combined Retirement'!$I$14)</f>
        <v>2345</v>
      </c>
      <c r="I1114" s="25">
        <f>IF(C1114&lt;62,0,'Combined Retirement'!$I$13)</f>
        <v>2420</v>
      </c>
      <c r="J1114" s="25">
        <f t="shared" si="1043"/>
        <v>8395.6297298201844</v>
      </c>
      <c r="K1114" s="25">
        <f t="shared" si="1044"/>
        <v>21655.303514578787</v>
      </c>
      <c r="L1114" s="25"/>
      <c r="N1114" s="25">
        <f>'Combined Retirement'!$C$18/12</f>
        <v>40940.569999999992</v>
      </c>
      <c r="O1114" s="25">
        <f t="shared" si="1045"/>
        <v>10889.636755601023</v>
      </c>
      <c r="P1114" s="25">
        <f t="shared" si="1046"/>
        <v>30050.93324439897</v>
      </c>
      <c r="Q1114" s="25">
        <f t="array" aca="1" ref="Q1114" ca="1">INDEX('Isaac 401k'!L:L,MATCH('Retirement Calculator'!A1114,'Isaac 401k'!N:N,0),0)</f>
        <v>-27824409.625633128</v>
      </c>
      <c r="R1114" s="25">
        <f t="array" aca="1" ref="R1114" ca="1">INDEX('Lorri 401b'!L:L,MATCH('Retirement Calculator'!A1114,'Lorri 401b'!N:N,0),0)</f>
        <v>-53877244.022688776</v>
      </c>
      <c r="S1114" s="25">
        <f t="shared" ca="1" si="1047"/>
        <v>-81701653.648321897</v>
      </c>
    </row>
    <row r="1115" spans="1:19" ht="15.75" customHeight="1" x14ac:dyDescent="0.3">
      <c r="A1115" s="37">
        <v>84890</v>
      </c>
      <c r="B1115" s="398">
        <f t="shared" ref="B1115:C1115" si="1131">($A1115-B$9)/365.25</f>
        <v>150.53798767967146</v>
      </c>
      <c r="C1115" s="398">
        <f t="shared" si="1131"/>
        <v>145.927446954141</v>
      </c>
      <c r="E1115" s="25">
        <f>IF(C1115&gt;$B$7,0,'Combined Retirement'!$D$13/12)</f>
        <v>0</v>
      </c>
      <c r="F1115" s="25">
        <f>IF(H1115=0,'Combined Retirement'!$D$32,0)+'Combined Retirement'!$B$24</f>
        <v>2870.372285649099</v>
      </c>
      <c r="G1115" s="25">
        <f>'Combined Retirement'!$C$24</f>
        <v>3254.2644699519233</v>
      </c>
      <c r="H1115" s="25">
        <f>IF(B1115&lt;62,0,'Combined Retirement'!$I$14)</f>
        <v>2345</v>
      </c>
      <c r="I1115" s="25">
        <f>IF(C1115&lt;62,0,'Combined Retirement'!$I$13)</f>
        <v>2420</v>
      </c>
      <c r="J1115" s="25">
        <f t="shared" si="1043"/>
        <v>8395.6297298201844</v>
      </c>
      <c r="K1115" s="25">
        <f t="shared" si="1044"/>
        <v>21655.303514578787</v>
      </c>
      <c r="L1115" s="25"/>
      <c r="N1115" s="25">
        <f>'Combined Retirement'!$C$18/12</f>
        <v>40940.569999999992</v>
      </c>
      <c r="O1115" s="25">
        <f t="shared" si="1045"/>
        <v>10889.636755601023</v>
      </c>
      <c r="P1115" s="25">
        <f t="shared" si="1046"/>
        <v>30050.93324439897</v>
      </c>
      <c r="Q1115" s="25">
        <f t="array" aca="1" ref="Q1115" ca="1">INDEX('Isaac 401k'!L:L,MATCH('Retirement Calculator'!A1115,'Isaac 401k'!N:N,0),0)</f>
        <v>-27948775.277260292</v>
      </c>
      <c r="R1115" s="25">
        <f t="array" aca="1" ref="R1115" ca="1">INDEX('Lorri 401b'!L:L,MATCH('Retirement Calculator'!A1115,'Lorri 401b'!N:N,0),0)</f>
        <v>-54123478.073395871</v>
      </c>
      <c r="S1115" s="25">
        <f t="shared" ca="1" si="1047"/>
        <v>-82072253.350656167</v>
      </c>
    </row>
    <row r="1116" spans="1:19" ht="15.75" customHeight="1" x14ac:dyDescent="0.3">
      <c r="A1116" s="37">
        <v>84920</v>
      </c>
      <c r="B1116" s="398">
        <f t="shared" ref="B1116:C1116" si="1132">($A1116-B$9)/365.25</f>
        <v>150.62012320328543</v>
      </c>
      <c r="C1116" s="398">
        <f t="shared" si="1132"/>
        <v>146.00958247775498</v>
      </c>
      <c r="E1116" s="25">
        <f>IF(C1116&gt;$B$7,0,'Combined Retirement'!$D$13/12)</f>
        <v>0</v>
      </c>
      <c r="F1116" s="25">
        <f>IF(H1116=0,'Combined Retirement'!$D$32,0)+'Combined Retirement'!$B$24</f>
        <v>2870.372285649099</v>
      </c>
      <c r="G1116" s="25">
        <f>'Combined Retirement'!$C$24</f>
        <v>3254.2644699519233</v>
      </c>
      <c r="H1116" s="25">
        <f>IF(B1116&lt;62,0,'Combined Retirement'!$I$14)</f>
        <v>2345</v>
      </c>
      <c r="I1116" s="25">
        <f>IF(C1116&lt;62,0,'Combined Retirement'!$I$13)</f>
        <v>2420</v>
      </c>
      <c r="J1116" s="25">
        <f t="shared" si="1043"/>
        <v>8395.6297298201844</v>
      </c>
      <c r="K1116" s="25">
        <f t="shared" si="1044"/>
        <v>21655.303514578787</v>
      </c>
      <c r="L1116" s="25"/>
      <c r="N1116" s="25">
        <f>'Combined Retirement'!$C$18/12</f>
        <v>40940.569999999992</v>
      </c>
      <c r="O1116" s="25">
        <f t="shared" si="1045"/>
        <v>10889.636755601023</v>
      </c>
      <c r="P1116" s="25">
        <f t="shared" si="1046"/>
        <v>30050.93324439897</v>
      </c>
      <c r="Q1116" s="25">
        <f t="array" aca="1" ref="Q1116" ca="1">INDEX('Isaac 401k'!L:L,MATCH('Retirement Calculator'!A1116,'Isaac 401k'!N:N,0),0)</f>
        <v>-28073659.119102571</v>
      </c>
      <c r="R1116" s="25">
        <f t="array" aca="1" ref="R1116" ca="1">INDEX('Lorri 401b'!L:L,MATCH('Retirement Calculator'!A1116,'Lorri 401b'!N:N,0),0)</f>
        <v>-54370738.099314243</v>
      </c>
      <c r="S1116" s="25">
        <f t="shared" ca="1" si="1047"/>
        <v>-82444397.21841681</v>
      </c>
    </row>
    <row r="1117" spans="1:19" ht="15.75" customHeight="1" x14ac:dyDescent="0.3">
      <c r="A1117" s="37">
        <v>84951</v>
      </c>
      <c r="B1117" s="398">
        <f t="shared" ref="B1117:C1117" si="1133">($A1117-B$9)/365.25</f>
        <v>150.70499657768653</v>
      </c>
      <c r="C1117" s="398">
        <f t="shared" si="1133"/>
        <v>146.09445585215605</v>
      </c>
      <c r="E1117" s="25">
        <f>IF(C1117&gt;$B$7,0,'Combined Retirement'!$D$13/12)</f>
        <v>0</v>
      </c>
      <c r="F1117" s="25">
        <f>IF(H1117=0,'Combined Retirement'!$D$32,0)+'Combined Retirement'!$B$24</f>
        <v>2870.372285649099</v>
      </c>
      <c r="G1117" s="25">
        <f>'Combined Retirement'!$C$24</f>
        <v>3254.2644699519233</v>
      </c>
      <c r="H1117" s="25">
        <f>IF(B1117&lt;62,0,'Combined Retirement'!$I$14)</f>
        <v>2345</v>
      </c>
      <c r="I1117" s="25">
        <f>IF(C1117&lt;62,0,'Combined Retirement'!$I$13)</f>
        <v>2420</v>
      </c>
      <c r="J1117" s="25">
        <f t="shared" si="1043"/>
        <v>8395.6297298201844</v>
      </c>
      <c r="K1117" s="25">
        <f t="shared" si="1044"/>
        <v>21655.303514578787</v>
      </c>
      <c r="L1117" s="25"/>
      <c r="N1117" s="25">
        <f>'Combined Retirement'!$C$18/12</f>
        <v>40940.569999999992</v>
      </c>
      <c r="O1117" s="25">
        <f t="shared" si="1045"/>
        <v>10889.636755601023</v>
      </c>
      <c r="P1117" s="25">
        <f t="shared" si="1046"/>
        <v>30050.93324439897</v>
      </c>
      <c r="Q1117" s="25">
        <f t="array" aca="1" ref="Q1117" ca="1">INDEX('Isaac 401k'!L:L,MATCH('Retirement Calculator'!A1117,'Isaac 401k'!N:N,0),0)</f>
        <v>-28199063.310285859</v>
      </c>
      <c r="R1117" s="25">
        <f t="array" aca="1" ref="R1117" ca="1">INDEX('Lorri 401b'!L:L,MATCH('Retirement Calculator'!A1117,'Lorri 401b'!N:N,0),0)</f>
        <v>-54619028.375340603</v>
      </c>
      <c r="S1117" s="25">
        <f t="shared" ca="1" si="1047"/>
        <v>-82818091.685626462</v>
      </c>
    </row>
    <row r="1118" spans="1:19" ht="15.75" customHeight="1" x14ac:dyDescent="0.3">
      <c r="A1118" s="37">
        <v>84982</v>
      </c>
      <c r="B1118" s="398">
        <f t="shared" ref="B1118:C1118" si="1134">($A1118-B$9)/365.25</f>
        <v>150.7898699520876</v>
      </c>
      <c r="C1118" s="398">
        <f t="shared" si="1134"/>
        <v>146.17932922655714</v>
      </c>
      <c r="E1118" s="25">
        <f>IF(C1118&gt;$B$7,0,'Combined Retirement'!$D$13/12)</f>
        <v>0</v>
      </c>
      <c r="F1118" s="25">
        <f>IF(H1118=0,'Combined Retirement'!$D$32,0)+'Combined Retirement'!$B$24</f>
        <v>2870.372285649099</v>
      </c>
      <c r="G1118" s="25">
        <f>'Combined Retirement'!$C$24</f>
        <v>3254.2644699519233</v>
      </c>
      <c r="H1118" s="25">
        <f>IF(B1118&lt;62,0,'Combined Retirement'!$I$14)</f>
        <v>2345</v>
      </c>
      <c r="I1118" s="25">
        <f>IF(C1118&lt;62,0,'Combined Retirement'!$I$13)</f>
        <v>2420</v>
      </c>
      <c r="J1118" s="25">
        <f t="shared" si="1043"/>
        <v>8395.6297298201844</v>
      </c>
      <c r="K1118" s="25">
        <f t="shared" si="1044"/>
        <v>21655.303514578787</v>
      </c>
      <c r="L1118" s="25"/>
      <c r="N1118" s="25">
        <f>'Combined Retirement'!$C$18/12</f>
        <v>40940.569999999992</v>
      </c>
      <c r="O1118" s="25">
        <f t="shared" si="1045"/>
        <v>10889.636755601023</v>
      </c>
      <c r="P1118" s="25">
        <f t="shared" si="1046"/>
        <v>30050.93324439897</v>
      </c>
      <c r="Q1118" s="25">
        <f t="array" aca="1" ref="Q1118" ca="1">INDEX('Isaac 401k'!L:L,MATCH('Retirement Calculator'!A1118,'Isaac 401k'!N:N,0),0)</f>
        <v>-28324990.01893241</v>
      </c>
      <c r="R1118" s="25">
        <f t="array" aca="1" ref="R1118" ca="1">INDEX('Lorri 401b'!L:L,MATCH('Retirement Calculator'!A1118,'Lorri 401b'!N:N,0),0)</f>
        <v>-54868353.194183744</v>
      </c>
      <c r="S1118" s="25">
        <f t="shared" ca="1" si="1047"/>
        <v>-83193343.213116154</v>
      </c>
    </row>
    <row r="1119" spans="1:19" ht="15.75" customHeight="1" x14ac:dyDescent="0.3">
      <c r="A1119" s="37">
        <v>85012</v>
      </c>
      <c r="B1119" s="398">
        <f t="shared" ref="B1119:C1119" si="1135">($A1119-B$9)/365.25</f>
        <v>150.87200547570157</v>
      </c>
      <c r="C1119" s="398">
        <f t="shared" si="1135"/>
        <v>146.26146475017111</v>
      </c>
      <c r="E1119" s="25">
        <f>IF(C1119&gt;$B$7,0,'Combined Retirement'!$D$13/12)</f>
        <v>0</v>
      </c>
      <c r="F1119" s="25">
        <f>IF(H1119=0,'Combined Retirement'!$D$32,0)+'Combined Retirement'!$B$24</f>
        <v>2870.372285649099</v>
      </c>
      <c r="G1119" s="25">
        <f>'Combined Retirement'!$C$24</f>
        <v>3254.2644699519233</v>
      </c>
      <c r="H1119" s="25">
        <f>IF(B1119&lt;62,0,'Combined Retirement'!$I$14)</f>
        <v>2345</v>
      </c>
      <c r="I1119" s="25">
        <f>IF(C1119&lt;62,0,'Combined Retirement'!$I$13)</f>
        <v>2420</v>
      </c>
      <c r="J1119" s="25">
        <f t="shared" si="1043"/>
        <v>8395.6297298201844</v>
      </c>
      <c r="K1119" s="25">
        <f t="shared" si="1044"/>
        <v>21655.303514578787</v>
      </c>
      <c r="L1119" s="25"/>
      <c r="N1119" s="25">
        <f>'Combined Retirement'!$C$18/12</f>
        <v>40940.569999999992</v>
      </c>
      <c r="O1119" s="25">
        <f t="shared" si="1045"/>
        <v>10889.636755601023</v>
      </c>
      <c r="P1119" s="25">
        <f t="shared" si="1046"/>
        <v>30050.93324439897</v>
      </c>
      <c r="Q1119" s="25">
        <f t="array" aca="1" ref="Q1119" ca="1">INDEX('Isaac 401k'!L:L,MATCH('Retirement Calculator'!A1119,'Isaac 401k'!N:N,0),0)</f>
        <v>-28451441.422198322</v>
      </c>
      <c r="R1119" s="25">
        <f t="array" aca="1" ref="R1119" ca="1">INDEX('Lorri 401b'!L:L,MATCH('Retirement Calculator'!A1119,'Lorri 401b'!N:N,0),0)</f>
        <v>-55118716.866438732</v>
      </c>
      <c r="S1119" s="25">
        <f t="shared" ca="1" si="1047"/>
        <v>-83570158.288637057</v>
      </c>
    </row>
    <row r="1120" spans="1:19" ht="15.75" customHeight="1" x14ac:dyDescent="0.3">
      <c r="A1120" s="37">
        <v>85043</v>
      </c>
      <c r="B1120" s="398">
        <f t="shared" ref="B1120:C1120" si="1136">($A1120-B$9)/365.25</f>
        <v>150.95687885010267</v>
      </c>
      <c r="C1120" s="398">
        <f t="shared" si="1136"/>
        <v>146.34633812457221</v>
      </c>
      <c r="E1120" s="25">
        <f>IF(C1120&gt;$B$7,0,'Combined Retirement'!$D$13/12)</f>
        <v>0</v>
      </c>
      <c r="F1120" s="25">
        <f>IF(H1120=0,'Combined Retirement'!$D$32,0)+'Combined Retirement'!$B$24</f>
        <v>2870.372285649099</v>
      </c>
      <c r="G1120" s="25">
        <f>'Combined Retirement'!$C$24</f>
        <v>3254.2644699519233</v>
      </c>
      <c r="H1120" s="25">
        <f>IF(B1120&lt;62,0,'Combined Retirement'!$I$14)</f>
        <v>2345</v>
      </c>
      <c r="I1120" s="25">
        <f>IF(C1120&lt;62,0,'Combined Retirement'!$I$13)</f>
        <v>2420</v>
      </c>
      <c r="J1120" s="25">
        <f t="shared" si="1043"/>
        <v>8395.6297298201844</v>
      </c>
      <c r="K1120" s="25">
        <f t="shared" si="1044"/>
        <v>21655.303514578787</v>
      </c>
      <c r="L1120" s="25"/>
      <c r="N1120" s="25">
        <f>'Combined Retirement'!$C$18/12</f>
        <v>40940.569999999992</v>
      </c>
      <c r="O1120" s="25">
        <f t="shared" si="1045"/>
        <v>10889.636755601023</v>
      </c>
      <c r="P1120" s="25">
        <f t="shared" si="1046"/>
        <v>30050.93324439897</v>
      </c>
      <c r="Q1120" s="25">
        <f t="array" aca="1" ref="Q1120" ca="1">INDEX('Isaac 401k'!L:L,MATCH('Retirement Calculator'!A1120,'Isaac 401k'!N:N,0),0)</f>
        <v>-28578419.706311174</v>
      </c>
      <c r="R1120" s="25">
        <f t="array" aca="1" ref="R1120" ca="1">INDEX('Lorri 401b'!L:L,MATCH('Retirement Calculator'!A1120,'Lorri 401b'!N:N,0),0)</f>
        <v>-55370123.720661446</v>
      </c>
      <c r="S1120" s="25">
        <f t="shared" ca="1" si="1047"/>
        <v>-83948543.426972628</v>
      </c>
    </row>
    <row r="1121" spans="1:19" ht="15.75" customHeight="1" x14ac:dyDescent="0.3">
      <c r="A1121" s="37">
        <v>85073</v>
      </c>
      <c r="B1121" s="398">
        <f t="shared" ref="B1121:C1121" si="1137">($A1121-B$9)/365.25</f>
        <v>151.03901437371664</v>
      </c>
      <c r="C1121" s="398">
        <f t="shared" si="1137"/>
        <v>146.42847364818618</v>
      </c>
      <c r="E1121" s="25">
        <f>IF(C1121&gt;$B$7,0,'Combined Retirement'!$D$13/12)</f>
        <v>0</v>
      </c>
      <c r="F1121" s="25">
        <f>IF(H1121=0,'Combined Retirement'!$D$32,0)+'Combined Retirement'!$B$24</f>
        <v>2870.372285649099</v>
      </c>
      <c r="G1121" s="25">
        <f>'Combined Retirement'!$C$24</f>
        <v>3254.2644699519233</v>
      </c>
      <c r="H1121" s="25">
        <f>IF(B1121&lt;62,0,'Combined Retirement'!$I$14)</f>
        <v>2345</v>
      </c>
      <c r="I1121" s="25">
        <f>IF(C1121&lt;62,0,'Combined Retirement'!$I$13)</f>
        <v>2420</v>
      </c>
      <c r="J1121" s="25">
        <f t="shared" si="1043"/>
        <v>8395.6297298201844</v>
      </c>
      <c r="K1121" s="25">
        <f t="shared" si="1044"/>
        <v>21655.303514578787</v>
      </c>
      <c r="L1121" s="25"/>
      <c r="N1121" s="25">
        <f>'Combined Retirement'!$C$18/12</f>
        <v>40940.569999999992</v>
      </c>
      <c r="O1121" s="25">
        <f t="shared" si="1045"/>
        <v>10889.636755601023</v>
      </c>
      <c r="P1121" s="25">
        <f t="shared" si="1046"/>
        <v>30050.93324439897</v>
      </c>
      <c r="Q1121" s="25">
        <f t="array" aca="1" ref="Q1121" ca="1">INDEX('Isaac 401k'!L:L,MATCH('Retirement Calculator'!A1121,'Isaac 401k'!N:N,0),0)</f>
        <v>-28705927.066607829</v>
      </c>
      <c r="R1121" s="25">
        <f t="array" aca="1" ref="R1121" ca="1">INDEX('Lorri 401b'!L:L,MATCH('Retirement Calculator'!A1121,'Lorri 401b'!N:N,0),0)</f>
        <v>-55622578.103443421</v>
      </c>
      <c r="S1121" s="25">
        <f t="shared" ca="1" si="1047"/>
        <v>-84328505.170051247</v>
      </c>
    </row>
    <row r="1122" spans="1:19" ht="15.75" customHeight="1" x14ac:dyDescent="0.3">
      <c r="A1122" s="37">
        <v>85104</v>
      </c>
      <c r="B1122" s="398">
        <f t="shared" ref="B1122:C1122" si="1138">($A1122-B$9)/365.25</f>
        <v>151.12388774811774</v>
      </c>
      <c r="C1122" s="398">
        <f t="shared" si="1138"/>
        <v>146.51334702258728</v>
      </c>
      <c r="E1122" s="25">
        <f>IF(C1122&gt;$B$7,0,'Combined Retirement'!$D$13/12)</f>
        <v>0</v>
      </c>
      <c r="F1122" s="25">
        <f>IF(H1122=0,'Combined Retirement'!$D$32,0)+'Combined Retirement'!$B$24</f>
        <v>2870.372285649099</v>
      </c>
      <c r="G1122" s="25">
        <f>'Combined Retirement'!$C$24</f>
        <v>3254.2644699519233</v>
      </c>
      <c r="H1122" s="25">
        <f>IF(B1122&lt;62,0,'Combined Retirement'!$I$14)</f>
        <v>2345</v>
      </c>
      <c r="I1122" s="25">
        <f>IF(C1122&lt;62,0,'Combined Retirement'!$I$13)</f>
        <v>2420</v>
      </c>
      <c r="J1122" s="25">
        <f t="shared" si="1043"/>
        <v>8395.6297298201844</v>
      </c>
      <c r="K1122" s="25">
        <f t="shared" si="1044"/>
        <v>21655.303514578787</v>
      </c>
      <c r="L1122" s="25"/>
      <c r="N1122" s="25">
        <f>'Combined Retirement'!$C$18/12</f>
        <v>40940.569999999992</v>
      </c>
      <c r="O1122" s="25">
        <f t="shared" si="1045"/>
        <v>10889.636755601023</v>
      </c>
      <c r="P1122" s="25">
        <f t="shared" si="1046"/>
        <v>30050.93324439897</v>
      </c>
      <c r="Q1122" s="25">
        <f t="array" aca="1" ref="Q1122" ca="1">INDEX('Isaac 401k'!L:L,MATCH('Retirement Calculator'!A1122,'Isaac 401k'!N:N,0),0)</f>
        <v>-28833965.707572389</v>
      </c>
      <c r="R1122" s="25">
        <f t="array" aca="1" ref="R1122" ca="1">INDEX('Lorri 401b'!L:L,MATCH('Retirement Calculator'!A1122,'Lorri 401b'!N:N,0),0)</f>
        <v>-55876084.379486993</v>
      </c>
      <c r="S1122" s="25">
        <f t="shared" ca="1" si="1047"/>
        <v>-84710050.087059379</v>
      </c>
    </row>
    <row r="1123" spans="1:19" ht="15.75" customHeight="1" x14ac:dyDescent="0.3">
      <c r="A1123" s="37">
        <v>85135</v>
      </c>
      <c r="B1123" s="398">
        <f t="shared" ref="B1123:C1123" si="1139">($A1123-B$9)/365.25</f>
        <v>151.20876112251884</v>
      </c>
      <c r="C1123" s="398">
        <f t="shared" si="1139"/>
        <v>146.59822039698835</v>
      </c>
      <c r="E1123" s="25">
        <f>IF(C1123&gt;$B$7,0,'Combined Retirement'!$D$13/12)</f>
        <v>0</v>
      </c>
      <c r="F1123" s="25">
        <f>IF(H1123=0,'Combined Retirement'!$D$32,0)+'Combined Retirement'!$B$24</f>
        <v>2870.372285649099</v>
      </c>
      <c r="G1123" s="25">
        <f>'Combined Retirement'!$C$24</f>
        <v>3254.2644699519233</v>
      </c>
      <c r="H1123" s="25">
        <f>IF(B1123&lt;62,0,'Combined Retirement'!$I$14)</f>
        <v>2345</v>
      </c>
      <c r="I1123" s="25">
        <f>IF(C1123&lt;62,0,'Combined Retirement'!$I$13)</f>
        <v>2420</v>
      </c>
      <c r="J1123" s="25">
        <f t="shared" si="1043"/>
        <v>8395.6297298201844</v>
      </c>
      <c r="K1123" s="25">
        <f t="shared" si="1044"/>
        <v>21655.303514578787</v>
      </c>
      <c r="L1123" s="25"/>
      <c r="N1123" s="25">
        <f>'Combined Retirement'!$C$18/12</f>
        <v>40940.569999999992</v>
      </c>
      <c r="O1123" s="25">
        <f t="shared" si="1045"/>
        <v>10889.636755601023</v>
      </c>
      <c r="P1123" s="25">
        <f t="shared" si="1046"/>
        <v>30050.93324439897</v>
      </c>
      <c r="Q1123" s="25">
        <f t="array" aca="1" ref="Q1123" ca="1">INDEX('Isaac 401k'!L:L,MATCH('Retirement Calculator'!A1123,'Isaac 401k'!N:N,0),0)</f>
        <v>-28962537.8428743</v>
      </c>
      <c r="R1123" s="25">
        <f t="array" aca="1" ref="R1123" ca="1">INDEX('Lorri 401b'!L:L,MATCH('Retirement Calculator'!A1123,'Lorri 401b'!N:N,0),0)</f>
        <v>-56130646.931680746</v>
      </c>
      <c r="S1123" s="25">
        <f t="shared" ca="1" si="1047"/>
        <v>-85093184.774555042</v>
      </c>
    </row>
    <row r="1124" spans="1:19" ht="15.75" customHeight="1" x14ac:dyDescent="0.3">
      <c r="A1124" s="37">
        <v>85163</v>
      </c>
      <c r="B1124" s="398">
        <f t="shared" ref="B1124:C1124" si="1140">($A1124-B$9)/365.25</f>
        <v>151.28542094455852</v>
      </c>
      <c r="C1124" s="398">
        <f t="shared" si="1140"/>
        <v>146.67488021902807</v>
      </c>
      <c r="E1124" s="25">
        <f>IF(C1124&gt;$B$7,0,'Combined Retirement'!$D$13/12)</f>
        <v>0</v>
      </c>
      <c r="F1124" s="25">
        <f>IF(H1124=0,'Combined Retirement'!$D$32,0)+'Combined Retirement'!$B$24</f>
        <v>2870.372285649099</v>
      </c>
      <c r="G1124" s="25">
        <f>'Combined Retirement'!$C$24</f>
        <v>3254.2644699519233</v>
      </c>
      <c r="H1124" s="25">
        <f>IF(B1124&lt;62,0,'Combined Retirement'!$I$14)</f>
        <v>2345</v>
      </c>
      <c r="I1124" s="25">
        <f>IF(C1124&lt;62,0,'Combined Retirement'!$I$13)</f>
        <v>2420</v>
      </c>
      <c r="J1124" s="25">
        <f t="shared" si="1043"/>
        <v>8395.6297298201844</v>
      </c>
      <c r="K1124" s="25">
        <f t="shared" si="1044"/>
        <v>21655.303514578787</v>
      </c>
      <c r="L1124" s="25"/>
      <c r="N1124" s="25">
        <f>'Combined Retirement'!$C$18/12</f>
        <v>40940.569999999992</v>
      </c>
      <c r="O1124" s="25">
        <f t="shared" si="1045"/>
        <v>10889.636755601023</v>
      </c>
      <c r="P1124" s="25">
        <f t="shared" si="1046"/>
        <v>30050.93324439897</v>
      </c>
      <c r="Q1124" s="25">
        <f t="array" aca="1" ref="Q1124" ca="1">INDEX('Isaac 401k'!L:L,MATCH('Retirement Calculator'!A1124,'Isaac 401k'!N:N,0),0)</f>
        <v>-29091645.695406634</v>
      </c>
      <c r="R1124" s="25">
        <f t="array" aca="1" ref="R1124" ca="1">INDEX('Lorri 401b'!L:L,MATCH('Retirement Calculator'!A1124,'Lorri 401b'!N:N,0),0)</f>
        <v>-56386270.161175303</v>
      </c>
      <c r="S1124" s="25">
        <f t="shared" ca="1" si="1047"/>
        <v>-85477915.856581941</v>
      </c>
    </row>
    <row r="1125" spans="1:19" ht="15.75" customHeight="1" x14ac:dyDescent="0.3">
      <c r="A1125" s="37">
        <v>85194</v>
      </c>
      <c r="B1125" s="398">
        <f t="shared" ref="B1125:C1125" si="1141">($A1125-B$9)/365.25</f>
        <v>151.37029431895962</v>
      </c>
      <c r="C1125" s="398">
        <f t="shared" si="1141"/>
        <v>146.75975359342917</v>
      </c>
      <c r="E1125" s="25">
        <f>IF(C1125&gt;$B$7,0,'Combined Retirement'!$D$13/12)</f>
        <v>0</v>
      </c>
      <c r="F1125" s="25">
        <f>IF(H1125=0,'Combined Retirement'!$D$32,0)+'Combined Retirement'!$B$24</f>
        <v>2870.372285649099</v>
      </c>
      <c r="G1125" s="25">
        <f>'Combined Retirement'!$C$24</f>
        <v>3254.2644699519233</v>
      </c>
      <c r="H1125" s="25">
        <f>IF(B1125&lt;62,0,'Combined Retirement'!$I$14)</f>
        <v>2345</v>
      </c>
      <c r="I1125" s="25">
        <f>IF(C1125&lt;62,0,'Combined Retirement'!$I$13)</f>
        <v>2420</v>
      </c>
      <c r="J1125" s="25">
        <f t="shared" si="1043"/>
        <v>8395.6297298201844</v>
      </c>
      <c r="K1125" s="25">
        <f t="shared" si="1044"/>
        <v>21655.303514578787</v>
      </c>
      <c r="L1125" s="25"/>
      <c r="N1125" s="25">
        <f>'Combined Retirement'!$C$18/12</f>
        <v>40940.569999999992</v>
      </c>
      <c r="O1125" s="25">
        <f t="shared" si="1045"/>
        <v>10889.636755601023</v>
      </c>
      <c r="P1125" s="25">
        <f t="shared" si="1046"/>
        <v>30050.93324439897</v>
      </c>
      <c r="Q1125" s="25">
        <f t="array" aca="1" ref="Q1125" ca="1">INDEX('Isaac 401k'!L:L,MATCH('Retirement Calculator'!A1125,'Isaac 401k'!N:N,0),0)</f>
        <v>-29221291.497324523</v>
      </c>
      <c r="R1125" s="25">
        <f t="array" aca="1" ref="R1125" ca="1">INDEX('Lorri 401b'!L:L,MATCH('Retirement Calculator'!A1125,'Lorri 401b'!N:N,0),0)</f>
        <v>-56642958.487459421</v>
      </c>
      <c r="S1125" s="25">
        <f t="shared" ca="1" si="1047"/>
        <v>-85864249.984783947</v>
      </c>
    </row>
    <row r="1126" spans="1:19" ht="15.75" customHeight="1" x14ac:dyDescent="0.3">
      <c r="A1126" s="37">
        <v>85224</v>
      </c>
      <c r="B1126" s="398">
        <f t="shared" ref="B1126:C1126" si="1142">($A1126-B$9)/365.25</f>
        <v>151.45242984257359</v>
      </c>
      <c r="C1126" s="398">
        <f t="shared" si="1142"/>
        <v>146.84188911704311</v>
      </c>
      <c r="E1126" s="25">
        <f>IF(C1126&gt;$B$7,0,'Combined Retirement'!$D$13/12)</f>
        <v>0</v>
      </c>
      <c r="F1126" s="25">
        <f>IF(H1126=0,'Combined Retirement'!$D$32,0)+'Combined Retirement'!$B$24</f>
        <v>2870.372285649099</v>
      </c>
      <c r="G1126" s="25">
        <f>'Combined Retirement'!$C$24</f>
        <v>3254.2644699519233</v>
      </c>
      <c r="H1126" s="25">
        <f>IF(B1126&lt;62,0,'Combined Retirement'!$I$14)</f>
        <v>2345</v>
      </c>
      <c r="I1126" s="25">
        <f>IF(C1126&lt;62,0,'Combined Retirement'!$I$13)</f>
        <v>2420</v>
      </c>
      <c r="J1126" s="25">
        <f t="shared" si="1043"/>
        <v>8395.6297298201844</v>
      </c>
      <c r="K1126" s="25">
        <f t="shared" si="1044"/>
        <v>21655.303514578787</v>
      </c>
      <c r="L1126" s="25"/>
      <c r="N1126" s="25">
        <f>'Combined Retirement'!$C$18/12</f>
        <v>40940.569999999992</v>
      </c>
      <c r="O1126" s="25">
        <f t="shared" si="1045"/>
        <v>10889.636755601023</v>
      </c>
      <c r="P1126" s="25">
        <f t="shared" si="1046"/>
        <v>30050.93324439897</v>
      </c>
      <c r="Q1126" s="25">
        <f t="array" aca="1" ref="Q1126" ca="1">INDEX('Isaac 401k'!L:L,MATCH('Retirement Calculator'!A1126,'Isaac 401k'!N:N,0),0)</f>
        <v>-29351477.490083735</v>
      </c>
      <c r="R1126" s="25">
        <f t="array" aca="1" ref="R1126" ca="1">INDEX('Lorri 401b'!L:L,MATCH('Retirement Calculator'!A1126,'Lorri 401b'!N:N,0),0)</f>
        <v>-56900716.348436393</v>
      </c>
      <c r="S1126" s="25">
        <f t="shared" ca="1" si="1047"/>
        <v>-86252193.838520125</v>
      </c>
    </row>
    <row r="1127" spans="1:19" ht="15.75" customHeight="1" x14ac:dyDescent="0.3">
      <c r="A1127" s="37">
        <v>85255</v>
      </c>
      <c r="B1127" s="398">
        <f t="shared" ref="B1127:C1127" si="1143">($A1127-B$9)/365.25</f>
        <v>151.53730321697466</v>
      </c>
      <c r="C1127" s="398">
        <f t="shared" si="1143"/>
        <v>146.92676249144421</v>
      </c>
      <c r="E1127" s="25">
        <f>IF(C1127&gt;$B$7,0,'Combined Retirement'!$D$13/12)</f>
        <v>0</v>
      </c>
      <c r="F1127" s="25">
        <f>IF(H1127=0,'Combined Retirement'!$D$32,0)+'Combined Retirement'!$B$24</f>
        <v>2870.372285649099</v>
      </c>
      <c r="G1127" s="25">
        <f>'Combined Retirement'!$C$24</f>
        <v>3254.2644699519233</v>
      </c>
      <c r="H1127" s="25">
        <f>IF(B1127&lt;62,0,'Combined Retirement'!$I$14)</f>
        <v>2345</v>
      </c>
      <c r="I1127" s="25">
        <f>IF(C1127&lt;62,0,'Combined Retirement'!$I$13)</f>
        <v>2420</v>
      </c>
      <c r="J1127" s="25">
        <f t="shared" si="1043"/>
        <v>8395.6297298201844</v>
      </c>
      <c r="K1127" s="25">
        <f t="shared" si="1044"/>
        <v>21655.303514578787</v>
      </c>
      <c r="L1127" s="25"/>
      <c r="N1127" s="25">
        <f>'Combined Retirement'!$C$18/12</f>
        <v>40940.569999999992</v>
      </c>
      <c r="O1127" s="25">
        <f t="shared" si="1045"/>
        <v>10889.636755601023</v>
      </c>
      <c r="P1127" s="25">
        <f t="shared" si="1046"/>
        <v>30050.93324439897</v>
      </c>
      <c r="Q1127" s="25">
        <f t="array" aca="1" ref="Q1127" ca="1">INDEX('Isaac 401k'!L:L,MATCH('Retirement Calculator'!A1127,'Isaac 401k'!N:N,0),0)</f>
        <v>-29482205.924479444</v>
      </c>
      <c r="R1127" s="25">
        <f t="array" aca="1" ref="R1127" ca="1">INDEX('Lorri 401b'!L:L,MATCH('Retirement Calculator'!A1127,'Lorri 401b'!N:N,0),0)</f>
        <v>-57159548.200500764</v>
      </c>
      <c r="S1127" s="25">
        <f t="shared" ca="1" si="1047"/>
        <v>-86641754.124980211</v>
      </c>
    </row>
    <row r="1128" spans="1:19" ht="15.75" customHeight="1" x14ac:dyDescent="0.3">
      <c r="A1128" s="37">
        <v>85285</v>
      </c>
      <c r="B1128" s="398">
        <f t="shared" ref="B1128:C1128" si="1144">($A1128-B$9)/365.25</f>
        <v>151.61943874058863</v>
      </c>
      <c r="C1128" s="398">
        <f t="shared" si="1144"/>
        <v>147.00889801505818</v>
      </c>
      <c r="E1128" s="25">
        <f>IF(C1128&gt;$B$7,0,'Combined Retirement'!$D$13/12)</f>
        <v>0</v>
      </c>
      <c r="F1128" s="25">
        <f>IF(H1128=0,'Combined Retirement'!$D$32,0)+'Combined Retirement'!$B$24</f>
        <v>2870.372285649099</v>
      </c>
      <c r="G1128" s="25">
        <f>'Combined Retirement'!$C$24</f>
        <v>3254.2644699519233</v>
      </c>
      <c r="H1128" s="25">
        <f>IF(B1128&lt;62,0,'Combined Retirement'!$I$14)</f>
        <v>2345</v>
      </c>
      <c r="I1128" s="25">
        <f>IF(C1128&lt;62,0,'Combined Retirement'!$I$13)</f>
        <v>2420</v>
      </c>
      <c r="J1128" s="25">
        <f t="shared" si="1043"/>
        <v>8395.6297298201844</v>
      </c>
      <c r="K1128" s="25">
        <f t="shared" si="1044"/>
        <v>21655.303514578787</v>
      </c>
      <c r="L1128" s="25"/>
      <c r="N1128" s="25">
        <f>'Combined Retirement'!$C$18/12</f>
        <v>40940.569999999992</v>
      </c>
      <c r="O1128" s="25">
        <f t="shared" si="1045"/>
        <v>10889.636755601023</v>
      </c>
      <c r="P1128" s="25">
        <f t="shared" si="1046"/>
        <v>30050.93324439897</v>
      </c>
      <c r="Q1128" s="25">
        <f t="array" aca="1" ref="Q1128" ca="1">INDEX('Isaac 401k'!L:L,MATCH('Retirement Calculator'!A1128,'Isaac 401k'!N:N,0),0)</f>
        <v>-29613479.060685135</v>
      </c>
      <c r="R1128" s="25">
        <f t="array" aca="1" ref="R1128" ca="1">INDEX('Lorri 401b'!L:L,MATCH('Retirement Calculator'!A1128,'Lorri 401b'!N:N,0),0)</f>
        <v>-57419458.518615402</v>
      </c>
      <c r="S1128" s="25">
        <f t="shared" ca="1" si="1047"/>
        <v>-87032937.579300538</v>
      </c>
    </row>
    <row r="1129" spans="1:19" ht="15.75" customHeight="1" x14ac:dyDescent="0.3">
      <c r="A1129" s="37">
        <v>85316</v>
      </c>
      <c r="B1129" s="398">
        <f t="shared" ref="B1129:C1129" si="1145">($A1129-B$9)/365.25</f>
        <v>151.70431211498973</v>
      </c>
      <c r="C1129" s="398">
        <f t="shared" si="1145"/>
        <v>147.09377138945928</v>
      </c>
      <c r="E1129" s="25">
        <f>IF(C1129&gt;$B$7,0,'Combined Retirement'!$D$13/12)</f>
        <v>0</v>
      </c>
      <c r="F1129" s="25">
        <f>IF(H1129=0,'Combined Retirement'!$D$32,0)+'Combined Retirement'!$B$24</f>
        <v>2870.372285649099</v>
      </c>
      <c r="G1129" s="25">
        <f>'Combined Retirement'!$C$24</f>
        <v>3254.2644699519233</v>
      </c>
      <c r="H1129" s="25">
        <f>IF(B1129&lt;62,0,'Combined Retirement'!$I$14)</f>
        <v>2345</v>
      </c>
      <c r="I1129" s="25">
        <f>IF(C1129&lt;62,0,'Combined Retirement'!$I$13)</f>
        <v>2420</v>
      </c>
      <c r="J1129" s="25">
        <f t="shared" si="1043"/>
        <v>8395.6297298201844</v>
      </c>
      <c r="K1129" s="25">
        <f t="shared" si="1044"/>
        <v>21655.303514578787</v>
      </c>
      <c r="L1129" s="25"/>
      <c r="N1129" s="25">
        <f>'Combined Retirement'!$C$18/12</f>
        <v>40940.569999999992</v>
      </c>
      <c r="O1129" s="25">
        <f t="shared" si="1045"/>
        <v>10889.636755601023</v>
      </c>
      <c r="P1129" s="25">
        <f t="shared" si="1046"/>
        <v>30050.93324439897</v>
      </c>
      <c r="Q1129" s="25">
        <f t="array" aca="1" ref="Q1129" ca="1">INDEX('Isaac 401k'!L:L,MATCH('Retirement Calculator'!A1129,'Isaac 401k'!N:N,0),0)</f>
        <v>-29745299.168291684</v>
      </c>
      <c r="R1129" s="25">
        <f t="array" aca="1" ref="R1129" ca="1">INDEX('Lorri 401b'!L:L,MATCH('Retirement Calculator'!A1129,'Lorri 401b'!N:N,0),0)</f>
        <v>-57680451.796388857</v>
      </c>
      <c r="S1129" s="25">
        <f t="shared" ca="1" si="1047"/>
        <v>-87425750.964680538</v>
      </c>
    </row>
    <row r="1130" spans="1:19" ht="15.75" customHeight="1" x14ac:dyDescent="0.3">
      <c r="A1130" s="37">
        <v>85347</v>
      </c>
      <c r="B1130" s="398">
        <f t="shared" ref="B1130:C1130" si="1146">($A1130-B$9)/365.25</f>
        <v>151.78918548939083</v>
      </c>
      <c r="C1130" s="398">
        <f t="shared" si="1146"/>
        <v>147.17864476386038</v>
      </c>
      <c r="E1130" s="25">
        <f>IF(C1130&gt;$B$7,0,'Combined Retirement'!$D$13/12)</f>
        <v>0</v>
      </c>
      <c r="F1130" s="25">
        <f>IF(H1130=0,'Combined Retirement'!$D$32,0)+'Combined Retirement'!$B$24</f>
        <v>2870.372285649099</v>
      </c>
      <c r="G1130" s="25">
        <f>'Combined Retirement'!$C$24</f>
        <v>3254.2644699519233</v>
      </c>
      <c r="H1130" s="25">
        <f>IF(B1130&lt;62,0,'Combined Retirement'!$I$14)</f>
        <v>2345</v>
      </c>
      <c r="I1130" s="25">
        <f>IF(C1130&lt;62,0,'Combined Retirement'!$I$13)</f>
        <v>2420</v>
      </c>
      <c r="J1130" s="25">
        <f t="shared" si="1043"/>
        <v>8395.6297298201844</v>
      </c>
      <c r="K1130" s="25">
        <f t="shared" si="1044"/>
        <v>21655.303514578787</v>
      </c>
      <c r="L1130" s="25"/>
      <c r="N1130" s="25">
        <f>'Combined Retirement'!$C$18/12</f>
        <v>40940.569999999992</v>
      </c>
      <c r="O1130" s="25">
        <f t="shared" si="1045"/>
        <v>10889.636755601023</v>
      </c>
      <c r="P1130" s="25">
        <f t="shared" si="1046"/>
        <v>30050.93324439897</v>
      </c>
      <c r="Q1130" s="25">
        <f t="array" aca="1" ref="Q1130" ca="1">INDEX('Isaac 401k'!L:L,MATCH('Retirement Calculator'!A1130,'Isaac 401k'!N:N,0),0)</f>
        <v>-29877668.526346594</v>
      </c>
      <c r="R1130" s="25">
        <f t="array" aca="1" ref="R1130" ca="1">INDEX('Lorri 401b'!L:L,MATCH('Retirement Calculator'!A1130,'Lorri 401b'!N:N,0),0)</f>
        <v>-57942532.546153031</v>
      </c>
      <c r="S1130" s="25">
        <f t="shared" ca="1" si="1047"/>
        <v>-87820201.072499633</v>
      </c>
    </row>
    <row r="1131" spans="1:19" ht="15.75" customHeight="1" x14ac:dyDescent="0.3">
      <c r="A1131" s="37">
        <v>85377</v>
      </c>
      <c r="B1131" s="398">
        <f t="shared" ref="B1131:C1131" si="1147">($A1131-B$9)/365.25</f>
        <v>151.8713210130048</v>
      </c>
      <c r="C1131" s="398">
        <f t="shared" si="1147"/>
        <v>147.26078028747432</v>
      </c>
      <c r="E1131" s="25">
        <f>IF(C1131&gt;$B$7,0,'Combined Retirement'!$D$13/12)</f>
        <v>0</v>
      </c>
      <c r="F1131" s="25">
        <f>IF(H1131=0,'Combined Retirement'!$D$32,0)+'Combined Retirement'!$B$24</f>
        <v>2870.372285649099</v>
      </c>
      <c r="G1131" s="25">
        <f>'Combined Retirement'!$C$24</f>
        <v>3254.2644699519233</v>
      </c>
      <c r="H1131" s="25">
        <f>IF(B1131&lt;62,0,'Combined Retirement'!$I$14)</f>
        <v>2345</v>
      </c>
      <c r="I1131" s="25">
        <f>IF(C1131&lt;62,0,'Combined Retirement'!$I$13)</f>
        <v>2420</v>
      </c>
      <c r="J1131" s="25">
        <f t="shared" si="1043"/>
        <v>8395.6297298201844</v>
      </c>
      <c r="K1131" s="25">
        <f t="shared" si="1044"/>
        <v>21655.303514578787</v>
      </c>
      <c r="L1131" s="25"/>
      <c r="N1131" s="25">
        <f>'Combined Retirement'!$C$18/12</f>
        <v>40940.569999999992</v>
      </c>
      <c r="O1131" s="25">
        <f t="shared" si="1045"/>
        <v>10889.636755601023</v>
      </c>
      <c r="P1131" s="25">
        <f t="shared" si="1046"/>
        <v>30050.93324439897</v>
      </c>
      <c r="Q1131" s="25">
        <f t="array" aca="1" ref="Q1131" ca="1">INDEX('Isaac 401k'!L:L,MATCH('Retirement Calculator'!A1131,'Isaac 401k'!N:N,0),0)</f>
        <v>-30010589.423393399</v>
      </c>
      <c r="R1131" s="25">
        <f t="array" aca="1" ref="R1131" ca="1">INDEX('Lorri 401b'!L:L,MATCH('Retirement Calculator'!A1131,'Lorri 401b'!N:N,0),0)</f>
        <v>-58205705.299041227</v>
      </c>
      <c r="S1131" s="25">
        <f t="shared" ca="1" si="1047"/>
        <v>-88216294.722434625</v>
      </c>
    </row>
    <row r="1132" spans="1:19" ht="15.75" customHeight="1" x14ac:dyDescent="0.3">
      <c r="A1132" s="37">
        <v>85408</v>
      </c>
      <c r="B1132" s="398">
        <f t="shared" ref="B1132:C1132" si="1148">($A1132-B$9)/365.25</f>
        <v>151.95619438740587</v>
      </c>
      <c r="C1132" s="398">
        <f t="shared" si="1148"/>
        <v>147.34565366187542</v>
      </c>
      <c r="E1132" s="25">
        <f>IF(C1132&gt;$B$7,0,'Combined Retirement'!$D$13/12)</f>
        <v>0</v>
      </c>
      <c r="F1132" s="25">
        <f>IF(H1132=0,'Combined Retirement'!$D$32,0)+'Combined Retirement'!$B$24</f>
        <v>2870.372285649099</v>
      </c>
      <c r="G1132" s="25">
        <f>'Combined Retirement'!$C$24</f>
        <v>3254.2644699519233</v>
      </c>
      <c r="H1132" s="25">
        <f>IF(B1132&lt;62,0,'Combined Retirement'!$I$14)</f>
        <v>2345</v>
      </c>
      <c r="I1132" s="25">
        <f>IF(C1132&lt;62,0,'Combined Retirement'!$I$13)</f>
        <v>2420</v>
      </c>
      <c r="J1132" s="25">
        <f t="shared" si="1043"/>
        <v>8395.6297298201844</v>
      </c>
      <c r="K1132" s="25">
        <f t="shared" si="1044"/>
        <v>21655.303514578787</v>
      </c>
      <c r="L1132" s="25"/>
      <c r="N1132" s="25">
        <f>'Combined Retirement'!$C$18/12</f>
        <v>40940.569999999992</v>
      </c>
      <c r="O1132" s="25">
        <f t="shared" si="1045"/>
        <v>10889.636755601023</v>
      </c>
      <c r="P1132" s="25">
        <f t="shared" si="1046"/>
        <v>30050.93324439897</v>
      </c>
      <c r="Q1132" s="25">
        <f t="array" aca="1" ref="Q1132" ca="1">INDEX('Isaac 401k'!L:L,MATCH('Retirement Calculator'!A1132,'Isaac 401k'!N:N,0),0)</f>
        <v>-30144064.157511231</v>
      </c>
      <c r="R1132" s="25">
        <f t="array" aca="1" ref="R1132" ca="1">INDEX('Lorri 401b'!L:L,MATCH('Retirement Calculator'!A1132,'Lorri 401b'!N:N,0),0)</f>
        <v>-58469974.605066456</v>
      </c>
      <c r="S1132" s="25">
        <f t="shared" ca="1" si="1047"/>
        <v>-88614038.762577683</v>
      </c>
    </row>
    <row r="1133" spans="1:19" ht="15.75" customHeight="1" x14ac:dyDescent="0.3">
      <c r="A1133" s="37">
        <v>85438</v>
      </c>
      <c r="B1133" s="398">
        <f t="shared" ref="B1133:C1133" si="1149">($A1133-B$9)/365.25</f>
        <v>152.03832991101984</v>
      </c>
      <c r="C1133" s="398">
        <f t="shared" si="1149"/>
        <v>147.42778918548939</v>
      </c>
      <c r="E1133" s="25">
        <f>IF(C1133&gt;$B$7,0,'Combined Retirement'!$D$13/12)</f>
        <v>0</v>
      </c>
      <c r="F1133" s="25">
        <f>IF(H1133=0,'Combined Retirement'!$D$32,0)+'Combined Retirement'!$B$24</f>
        <v>2870.372285649099</v>
      </c>
      <c r="G1133" s="25">
        <f>'Combined Retirement'!$C$24</f>
        <v>3254.2644699519233</v>
      </c>
      <c r="H1133" s="25">
        <f>IF(B1133&lt;62,0,'Combined Retirement'!$I$14)</f>
        <v>2345</v>
      </c>
      <c r="I1133" s="25">
        <f>IF(C1133&lt;62,0,'Combined Retirement'!$I$13)</f>
        <v>2420</v>
      </c>
      <c r="J1133" s="25">
        <f t="shared" si="1043"/>
        <v>8395.6297298201844</v>
      </c>
      <c r="K1133" s="25">
        <f t="shared" si="1044"/>
        <v>21655.303514578787</v>
      </c>
      <c r="L1133" s="25"/>
      <c r="N1133" s="25">
        <f>'Combined Retirement'!$C$18/12</f>
        <v>40940.569999999992</v>
      </c>
      <c r="O1133" s="25">
        <f t="shared" si="1045"/>
        <v>10889.636755601023</v>
      </c>
      <c r="P1133" s="25">
        <f t="shared" si="1046"/>
        <v>30050.93324439897</v>
      </c>
      <c r="Q1133" s="25">
        <f t="array" aca="1" ref="Q1133" ca="1">INDEX('Isaac 401k'!L:L,MATCH('Retirement Calculator'!A1133,'Isaac 401k'!N:N,0),0)</f>
        <v>-30278095.036354553</v>
      </c>
      <c r="R1133" s="25">
        <f t="array" aca="1" ref="R1133" ca="1">INDEX('Lorri 401b'!L:L,MATCH('Retirement Calculator'!A1133,'Lorri 401b'!N:N,0),0)</f>
        <v>-58735345.033200122</v>
      </c>
      <c r="S1133" s="25">
        <f t="shared" ca="1" si="1047"/>
        <v>-89013440.069554672</v>
      </c>
    </row>
    <row r="1134" spans="1:19" ht="15.75" customHeight="1" x14ac:dyDescent="0.3">
      <c r="A1134" s="37">
        <v>85469</v>
      </c>
      <c r="B1134" s="398">
        <f t="shared" ref="B1134:C1134" si="1150">($A1134-B$9)/365.25</f>
        <v>152.12320328542094</v>
      </c>
      <c r="C1134" s="398">
        <f t="shared" si="1150"/>
        <v>147.51266255989049</v>
      </c>
      <c r="E1134" s="25">
        <f>IF(C1134&gt;$B$7,0,'Combined Retirement'!$D$13/12)</f>
        <v>0</v>
      </c>
      <c r="F1134" s="25">
        <f>IF(H1134=0,'Combined Retirement'!$D$32,0)+'Combined Retirement'!$B$24</f>
        <v>2870.372285649099</v>
      </c>
      <c r="G1134" s="25">
        <f>'Combined Retirement'!$C$24</f>
        <v>3254.2644699519233</v>
      </c>
      <c r="H1134" s="25">
        <f>IF(B1134&lt;62,0,'Combined Retirement'!$I$14)</f>
        <v>2345</v>
      </c>
      <c r="I1134" s="25">
        <f>IF(C1134&lt;62,0,'Combined Retirement'!$I$13)</f>
        <v>2420</v>
      </c>
      <c r="J1134" s="25">
        <f t="shared" si="1043"/>
        <v>8395.6297298201844</v>
      </c>
      <c r="K1134" s="25">
        <f t="shared" si="1044"/>
        <v>21655.303514578787</v>
      </c>
      <c r="L1134" s="25"/>
      <c r="N1134" s="25">
        <f>'Combined Retirement'!$C$18/12</f>
        <v>40940.569999999992</v>
      </c>
      <c r="O1134" s="25">
        <f t="shared" si="1045"/>
        <v>10889.636755601023</v>
      </c>
      <c r="P1134" s="25">
        <f t="shared" si="1046"/>
        <v>30050.93324439897</v>
      </c>
      <c r="Q1134" s="25">
        <f t="array" aca="1" ref="Q1134" ca="1">INDEX('Isaac 401k'!L:L,MATCH('Retirement Calculator'!A1134,'Isaac 401k'!N:N,0),0)</f>
        <v>-30412684.377193056</v>
      </c>
      <c r="R1134" s="25">
        <f t="array" aca="1" ref="R1134" ca="1">INDEX('Lorri 401b'!L:L,MATCH('Retirement Calculator'!A1134,'Lorri 401b'!N:N,0),0)</f>
        <v>-59001821.17145101</v>
      </c>
      <c r="S1134" s="25">
        <f t="shared" ca="1" si="1047"/>
        <v>-89414505.548644066</v>
      </c>
    </row>
    <row r="1135" spans="1:19" ht="15.75" customHeight="1" x14ac:dyDescent="0.3">
      <c r="A1135" s="37">
        <v>85500</v>
      </c>
      <c r="B1135" s="398">
        <f t="shared" ref="B1135:C1135" si="1151">($A1135-B$9)/365.25</f>
        <v>152.20807665982204</v>
      </c>
      <c r="C1135" s="398">
        <f t="shared" si="1151"/>
        <v>147.59753593429159</v>
      </c>
      <c r="E1135" s="25">
        <f>IF(C1135&gt;$B$7,0,'Combined Retirement'!$D$13/12)</f>
        <v>0</v>
      </c>
      <c r="F1135" s="25">
        <f>IF(H1135=0,'Combined Retirement'!$D$32,0)+'Combined Retirement'!$B$24</f>
        <v>2870.372285649099</v>
      </c>
      <c r="G1135" s="25">
        <f>'Combined Retirement'!$C$24</f>
        <v>3254.2644699519233</v>
      </c>
      <c r="H1135" s="25">
        <f>IF(B1135&lt;62,0,'Combined Retirement'!$I$14)</f>
        <v>2345</v>
      </c>
      <c r="I1135" s="25">
        <f>IF(C1135&lt;62,0,'Combined Retirement'!$I$13)</f>
        <v>2420</v>
      </c>
      <c r="J1135" s="25">
        <f t="shared" si="1043"/>
        <v>8395.6297298201844</v>
      </c>
      <c r="K1135" s="25">
        <f t="shared" si="1044"/>
        <v>21655.303514578787</v>
      </c>
      <c r="L1135" s="25"/>
      <c r="N1135" s="25">
        <f>'Combined Retirement'!$C$18/12</f>
        <v>40940.569999999992</v>
      </c>
      <c r="O1135" s="25">
        <f t="shared" si="1045"/>
        <v>10889.636755601023</v>
      </c>
      <c r="P1135" s="25">
        <f t="shared" si="1046"/>
        <v>30050.93324439897</v>
      </c>
      <c r="Q1135" s="25">
        <f t="array" aca="1" ref="Q1135" ca="1">INDEX('Isaac 401k'!L:L,MATCH('Retirement Calculator'!A1135,'Isaac 401k'!N:N,0),0)</f>
        <v>-30547834.50695172</v>
      </c>
      <c r="R1135" s="25">
        <f t="array" aca="1" ref="R1135" ca="1">INDEX('Lorri 401b'!L:L,MATCH('Retirement Calculator'!A1135,'Lorri 401b'!N:N,0),0)</f>
        <v>-59269407.626944609</v>
      </c>
      <c r="S1135" s="25">
        <f t="shared" ca="1" si="1047"/>
        <v>-89817242.133896321</v>
      </c>
    </row>
    <row r="1136" spans="1:19" ht="15.75" customHeight="1" x14ac:dyDescent="0.3">
      <c r="A1136" s="37">
        <v>85528</v>
      </c>
      <c r="B1136" s="398">
        <f t="shared" ref="B1136:C1136" si="1152">($A1136-B$9)/365.25</f>
        <v>152.28473648186173</v>
      </c>
      <c r="C1136" s="398">
        <f t="shared" si="1152"/>
        <v>147.67419575633127</v>
      </c>
      <c r="E1136" s="25">
        <f>IF(C1136&gt;$B$7,0,'Combined Retirement'!$D$13/12)</f>
        <v>0</v>
      </c>
      <c r="F1136" s="25">
        <f>IF(H1136=0,'Combined Retirement'!$D$32,0)+'Combined Retirement'!$B$24</f>
        <v>2870.372285649099</v>
      </c>
      <c r="G1136" s="25">
        <f>'Combined Retirement'!$C$24</f>
        <v>3254.2644699519233</v>
      </c>
      <c r="H1136" s="25">
        <f>IF(B1136&lt;62,0,'Combined Retirement'!$I$14)</f>
        <v>2345</v>
      </c>
      <c r="I1136" s="25">
        <f>IF(C1136&lt;62,0,'Combined Retirement'!$I$13)</f>
        <v>2420</v>
      </c>
      <c r="J1136" s="25">
        <f t="shared" si="1043"/>
        <v>8395.6297298201844</v>
      </c>
      <c r="K1136" s="25">
        <f t="shared" si="1044"/>
        <v>21655.303514578787</v>
      </c>
      <c r="L1136" s="25"/>
      <c r="N1136" s="25">
        <f>'Combined Retirement'!$C$18/12</f>
        <v>40940.569999999992</v>
      </c>
      <c r="O1136" s="25">
        <f t="shared" si="1045"/>
        <v>10889.636755601023</v>
      </c>
      <c r="P1136" s="25">
        <f t="shared" si="1046"/>
        <v>30050.93324439897</v>
      </c>
      <c r="Q1136" s="25">
        <f t="array" aca="1" ref="Q1136" ca="1">INDEX('Isaac 401k'!L:L,MATCH('Retirement Calculator'!A1136,'Isaac 401k'!N:N,0),0)</f>
        <v>-30683547.762251046</v>
      </c>
      <c r="R1136" s="25">
        <f t="array" aca="1" ref="R1136" ca="1">INDEX('Lorri 401b'!L:L,MATCH('Retirement Calculator'!A1136,'Lorri 401b'!N:N,0),0)</f>
        <v>-59538109.026002765</v>
      </c>
      <c r="S1136" s="25">
        <f t="shared" ca="1" si="1047"/>
        <v>-90221656.788253814</v>
      </c>
    </row>
    <row r="1137" spans="1:19" ht="15.75" customHeight="1" x14ac:dyDescent="0.3">
      <c r="A1137" s="37">
        <v>85559</v>
      </c>
      <c r="B1137" s="398">
        <f t="shared" ref="B1137:C1137" si="1153">($A1137-B$9)/365.25</f>
        <v>152.36960985626283</v>
      </c>
      <c r="C1137" s="398">
        <f t="shared" si="1153"/>
        <v>147.75906913073237</v>
      </c>
      <c r="E1137" s="25">
        <f>IF(C1137&gt;$B$7,0,'Combined Retirement'!$D$13/12)</f>
        <v>0</v>
      </c>
      <c r="F1137" s="25">
        <f>IF(H1137=0,'Combined Retirement'!$D$32,0)+'Combined Retirement'!$B$24</f>
        <v>2870.372285649099</v>
      </c>
      <c r="G1137" s="25">
        <f>'Combined Retirement'!$C$24</f>
        <v>3254.2644699519233</v>
      </c>
      <c r="H1137" s="25">
        <f>IF(B1137&lt;62,0,'Combined Retirement'!$I$14)</f>
        <v>2345</v>
      </c>
      <c r="I1137" s="25">
        <f>IF(C1137&lt;62,0,'Combined Retirement'!$I$13)</f>
        <v>2420</v>
      </c>
      <c r="J1137" s="25">
        <f t="shared" si="1043"/>
        <v>8395.6297298201844</v>
      </c>
      <c r="K1137" s="25">
        <f t="shared" si="1044"/>
        <v>21655.303514578787</v>
      </c>
      <c r="L1137" s="25"/>
      <c r="N1137" s="25">
        <f>'Combined Retirement'!$C$18/12</f>
        <v>40940.569999999992</v>
      </c>
      <c r="O1137" s="25">
        <f t="shared" si="1045"/>
        <v>10889.636755601023</v>
      </c>
      <c r="P1137" s="25">
        <f t="shared" si="1046"/>
        <v>30050.93324439897</v>
      </c>
      <c r="Q1137" s="25">
        <f t="array" aca="1" ref="Q1137" ca="1">INDEX('Isaac 401k'!L:L,MATCH('Retirement Calculator'!A1137,'Isaac 401k'!N:N,0),0)</f>
        <v>-30819826.489447452</v>
      </c>
      <c r="R1137" s="25">
        <f t="array" aca="1" ref="R1137" ca="1">INDEX('Lorri 401b'!L:L,MATCH('Retirement Calculator'!A1137,'Lorri 401b'!N:N,0),0)</f>
        <v>-59807930.014223665</v>
      </c>
      <c r="S1137" s="25">
        <f t="shared" ca="1" si="1047"/>
        <v>-90627756.50367111</v>
      </c>
    </row>
    <row r="1138" spans="1:19" ht="15.75" customHeight="1" x14ac:dyDescent="0.3">
      <c r="A1138" s="37">
        <v>85589</v>
      </c>
      <c r="B1138" s="398">
        <f t="shared" ref="B1138:C1138" si="1154">($A1138-B$9)/365.25</f>
        <v>152.4517453798768</v>
      </c>
      <c r="C1138" s="398">
        <f t="shared" si="1154"/>
        <v>147.84120465434634</v>
      </c>
      <c r="E1138" s="25">
        <f>IF(C1138&gt;$B$7,0,'Combined Retirement'!$D$13/12)</f>
        <v>0</v>
      </c>
      <c r="F1138" s="25">
        <f>IF(H1138=0,'Combined Retirement'!$D$32,0)+'Combined Retirement'!$B$24</f>
        <v>2870.372285649099</v>
      </c>
      <c r="G1138" s="25">
        <f>'Combined Retirement'!$C$24</f>
        <v>3254.2644699519233</v>
      </c>
      <c r="H1138" s="25">
        <f>IF(B1138&lt;62,0,'Combined Retirement'!$I$14)</f>
        <v>2345</v>
      </c>
      <c r="I1138" s="25">
        <f>IF(C1138&lt;62,0,'Combined Retirement'!$I$13)</f>
        <v>2420</v>
      </c>
      <c r="J1138" s="25">
        <f t="shared" si="1043"/>
        <v>8395.6297298201844</v>
      </c>
      <c r="K1138" s="25">
        <f t="shared" si="1044"/>
        <v>21655.303514578787</v>
      </c>
      <c r="L1138" s="25"/>
      <c r="N1138" s="25">
        <f>'Combined Retirement'!$C$18/12</f>
        <v>40940.569999999992</v>
      </c>
      <c r="O1138" s="25">
        <f t="shared" si="1045"/>
        <v>10889.636755601023</v>
      </c>
      <c r="P1138" s="25">
        <f t="shared" si="1046"/>
        <v>30050.93324439897</v>
      </c>
      <c r="Q1138" s="25">
        <f t="array" aca="1" ref="Q1138" ca="1">INDEX('Isaac 401k'!L:L,MATCH('Retirement Calculator'!A1138,'Isaac 401k'!N:N,0),0)</f>
        <v>-30956673.044673841</v>
      </c>
      <c r="R1138" s="25">
        <f t="array" aca="1" ref="R1138" ca="1">INDEX('Lorri 401b'!L:L,MATCH('Retirement Calculator'!A1138,'Lorri 401b'!N:N,0),0)</f>
        <v>-60078875.256562151</v>
      </c>
      <c r="S1138" s="25">
        <f t="shared" ca="1" si="1047"/>
        <v>-91035548.301235989</v>
      </c>
    </row>
    <row r="1139" spans="1:19" ht="15.75" customHeight="1" x14ac:dyDescent="0.3">
      <c r="A1139" s="37">
        <v>85620</v>
      </c>
      <c r="B1139" s="398">
        <f t="shared" ref="B1139:C1139" si="1155">($A1139-B$9)/365.25</f>
        <v>152.5366187542779</v>
      </c>
      <c r="C1139" s="398">
        <f t="shared" si="1155"/>
        <v>147.92607802874744</v>
      </c>
      <c r="E1139" s="25">
        <f>IF(C1139&gt;$B$7,0,'Combined Retirement'!$D$13/12)</f>
        <v>0</v>
      </c>
      <c r="F1139" s="25">
        <f>IF(H1139=0,'Combined Retirement'!$D$32,0)+'Combined Retirement'!$B$24</f>
        <v>2870.372285649099</v>
      </c>
      <c r="G1139" s="25">
        <f>'Combined Retirement'!$C$24</f>
        <v>3254.2644699519233</v>
      </c>
      <c r="H1139" s="25">
        <f>IF(B1139&lt;62,0,'Combined Retirement'!$I$14)</f>
        <v>2345</v>
      </c>
      <c r="I1139" s="25">
        <f>IF(C1139&lt;62,0,'Combined Retirement'!$I$13)</f>
        <v>2420</v>
      </c>
      <c r="J1139" s="25">
        <f t="shared" si="1043"/>
        <v>8395.6297298201844</v>
      </c>
      <c r="K1139" s="25">
        <f t="shared" si="1044"/>
        <v>21655.303514578787</v>
      </c>
      <c r="L1139" s="25"/>
      <c r="N1139" s="25">
        <f>'Combined Retirement'!$C$18/12</f>
        <v>40940.569999999992</v>
      </c>
      <c r="O1139" s="25">
        <f t="shared" si="1045"/>
        <v>10889.636755601023</v>
      </c>
      <c r="P1139" s="25">
        <f t="shared" si="1046"/>
        <v>30050.93324439897</v>
      </c>
      <c r="Q1139" s="25">
        <f t="array" aca="1" ref="Q1139" ca="1">INDEX('Isaac 401k'!L:L,MATCH('Retirement Calculator'!A1139,'Isaac 401k'!N:N,0),0)</f>
        <v>-31094089.793880343</v>
      </c>
      <c r="R1139" s="25">
        <f t="array" aca="1" ref="R1139" ca="1">INDEX('Lorri 401b'!L:L,MATCH('Retirement Calculator'!A1139,'Lorri 401b'!N:N,0),0)</f>
        <v>-60350949.437410384</v>
      </c>
      <c r="S1139" s="25">
        <f t="shared" ca="1" si="1047"/>
        <v>-91445039.231290728</v>
      </c>
    </row>
    <row r="1140" spans="1:19" ht="15.75" customHeight="1" x14ac:dyDescent="0.3">
      <c r="A1140" s="37">
        <v>85650</v>
      </c>
      <c r="B1140" s="398">
        <f t="shared" ref="B1140:C1140" si="1156">($A1140-B$9)/365.25</f>
        <v>152.61875427789187</v>
      </c>
      <c r="C1140" s="398">
        <f t="shared" si="1156"/>
        <v>148.00821355236138</v>
      </c>
      <c r="E1140" s="25">
        <f>IF(C1140&gt;$B$7,0,'Combined Retirement'!$D$13/12)</f>
        <v>0</v>
      </c>
      <c r="F1140" s="25">
        <f>IF(H1140=0,'Combined Retirement'!$D$32,0)+'Combined Retirement'!$B$24</f>
        <v>2870.372285649099</v>
      </c>
      <c r="G1140" s="25">
        <f>'Combined Retirement'!$C$24</f>
        <v>3254.2644699519233</v>
      </c>
      <c r="H1140" s="25">
        <f>IF(B1140&lt;62,0,'Combined Retirement'!$I$14)</f>
        <v>2345</v>
      </c>
      <c r="I1140" s="25">
        <f>IF(C1140&lt;62,0,'Combined Retirement'!$I$13)</f>
        <v>2420</v>
      </c>
      <c r="J1140" s="25">
        <f t="shared" si="1043"/>
        <v>8395.6297298201844</v>
      </c>
      <c r="K1140" s="25">
        <f t="shared" si="1044"/>
        <v>21655.303514578787</v>
      </c>
      <c r="L1140" s="25"/>
      <c r="N1140" s="25">
        <f>'Combined Retirement'!$C$18/12</f>
        <v>40940.569999999992</v>
      </c>
      <c r="O1140" s="25">
        <f t="shared" si="1045"/>
        <v>10889.636755601023</v>
      </c>
      <c r="P1140" s="25">
        <f t="shared" si="1046"/>
        <v>30050.93324439897</v>
      </c>
      <c r="Q1140" s="25">
        <f t="array" aca="1" ref="Q1140" ca="1">INDEX('Isaac 401k'!L:L,MATCH('Retirement Calculator'!A1140,'Isaac 401k'!N:N,0),0)</f>
        <v>-31232079.112875205</v>
      </c>
      <c r="R1140" s="25">
        <f t="array" aca="1" ref="R1140" ca="1">INDEX('Lorri 401b'!L:L,MATCH('Retirement Calculator'!A1140,'Lorri 401b'!N:N,0),0)</f>
        <v>-60624157.260678813</v>
      </c>
      <c r="S1140" s="25">
        <f t="shared" ca="1" si="1047"/>
        <v>-91856236.373554021</v>
      </c>
    </row>
    <row r="1141" spans="1:19" ht="15.75" customHeight="1" x14ac:dyDescent="0.3">
      <c r="A1141" s="37">
        <v>85681</v>
      </c>
      <c r="B1141" s="398">
        <f t="shared" ref="B1141:C1141" si="1157">($A1141-B$9)/365.25</f>
        <v>152.70362765229294</v>
      </c>
      <c r="C1141" s="398">
        <f t="shared" si="1157"/>
        <v>148.09308692676248</v>
      </c>
      <c r="E1141" s="25">
        <f>IF(C1141&gt;$B$7,0,'Combined Retirement'!$D$13/12)</f>
        <v>0</v>
      </c>
      <c r="F1141" s="25">
        <f>IF(H1141=0,'Combined Retirement'!$D$32,0)+'Combined Retirement'!$B$24</f>
        <v>2870.372285649099</v>
      </c>
      <c r="G1141" s="25">
        <f>'Combined Retirement'!$C$24</f>
        <v>3254.2644699519233</v>
      </c>
      <c r="H1141" s="25">
        <f>IF(B1141&lt;62,0,'Combined Retirement'!$I$14)</f>
        <v>2345</v>
      </c>
      <c r="I1141" s="25">
        <f>IF(C1141&lt;62,0,'Combined Retirement'!$I$13)</f>
        <v>2420</v>
      </c>
      <c r="J1141" s="25">
        <f t="shared" si="1043"/>
        <v>8395.6297298201844</v>
      </c>
      <c r="K1141" s="25">
        <f t="shared" si="1044"/>
        <v>21655.303514578787</v>
      </c>
      <c r="L1141" s="25"/>
      <c r="N1141" s="25">
        <f>'Combined Retirement'!$C$18/12</f>
        <v>40940.569999999992</v>
      </c>
      <c r="O1141" s="25">
        <f t="shared" si="1045"/>
        <v>10889.636755601023</v>
      </c>
      <c r="P1141" s="25">
        <f t="shared" si="1046"/>
        <v>30050.93324439897</v>
      </c>
      <c r="Q1141" s="25">
        <f t="array" aca="1" ref="Q1141" ca="1">INDEX('Isaac 401k'!L:L,MATCH('Retirement Calculator'!A1141,'Isaac 401k'!N:N,0),0)</f>
        <v>-31370643.387365878</v>
      </c>
      <c r="R1141" s="25">
        <f t="array" aca="1" ref="R1141" ca="1">INDEX('Lorri 401b'!L:L,MATCH('Retirement Calculator'!A1141,'Lorri 401b'!N:N,0),0)</f>
        <v>-60898503.44987753</v>
      </c>
      <c r="S1141" s="25">
        <f t="shared" ca="1" si="1047"/>
        <v>-92269146.837243408</v>
      </c>
    </row>
    <row r="1142" spans="1:19" ht="15.75" customHeight="1" x14ac:dyDescent="0.3">
      <c r="A1142" s="37">
        <v>85712</v>
      </c>
      <c r="B1142" s="398">
        <f t="shared" ref="B1142:C1142" si="1158">($A1142-B$9)/365.25</f>
        <v>152.78850102669404</v>
      </c>
      <c r="C1142" s="398">
        <f t="shared" si="1158"/>
        <v>148.17796030116358</v>
      </c>
      <c r="E1142" s="25">
        <f>IF(C1142&gt;$B$7,0,'Combined Retirement'!$D$13/12)</f>
        <v>0</v>
      </c>
      <c r="F1142" s="25">
        <f>IF(H1142=0,'Combined Retirement'!$D$32,0)+'Combined Retirement'!$B$24</f>
        <v>2870.372285649099</v>
      </c>
      <c r="G1142" s="25">
        <f>'Combined Retirement'!$C$24</f>
        <v>3254.2644699519233</v>
      </c>
      <c r="H1142" s="25">
        <f>IF(B1142&lt;62,0,'Combined Retirement'!$I$14)</f>
        <v>2345</v>
      </c>
      <c r="I1142" s="25">
        <f>IF(C1142&lt;62,0,'Combined Retirement'!$I$13)</f>
        <v>2420</v>
      </c>
      <c r="J1142" s="25">
        <f t="shared" si="1043"/>
        <v>8395.6297298201844</v>
      </c>
      <c r="K1142" s="25">
        <f t="shared" si="1044"/>
        <v>21655.303514578787</v>
      </c>
      <c r="L1142" s="25"/>
      <c r="N1142" s="25">
        <f>'Combined Retirement'!$C$18/12</f>
        <v>40940.569999999992</v>
      </c>
      <c r="O1142" s="25">
        <f t="shared" si="1045"/>
        <v>10889.636755601023</v>
      </c>
      <c r="P1142" s="25">
        <f t="shared" si="1046"/>
        <v>30050.93324439897</v>
      </c>
      <c r="Q1142" s="25">
        <f t="array" aca="1" ref="Q1142" ca="1">INDEX('Isaac 401k'!L:L,MATCH('Retirement Calculator'!A1142,'Isaac 401k'!N:N,0),0)</f>
        <v>-31509785.013000261</v>
      </c>
      <c r="R1142" s="25">
        <f t="array" aca="1" ref="R1142" ca="1">INDEX('Lorri 401b'!L:L,MATCH('Retirement Calculator'!A1142,'Lorri 401b'!N:N,0),0)</f>
        <v>-61173992.748197906</v>
      </c>
      <c r="S1142" s="25">
        <f t="shared" ca="1" si="1047"/>
        <v>-92683777.761198163</v>
      </c>
    </row>
    <row r="1143" spans="1:19" ht="15.75" customHeight="1" x14ac:dyDescent="0.3">
      <c r="A1143" s="37">
        <v>85742</v>
      </c>
      <c r="B1143" s="398">
        <f t="shared" ref="B1143:C1143" si="1159">($A1143-B$9)/365.25</f>
        <v>152.87063655030801</v>
      </c>
      <c r="C1143" s="398">
        <f t="shared" si="1159"/>
        <v>148.26009582477755</v>
      </c>
      <c r="E1143" s="25">
        <f>IF(C1143&gt;$B$7,0,'Combined Retirement'!$D$13/12)</f>
        <v>0</v>
      </c>
      <c r="F1143" s="25">
        <f>IF(H1143=0,'Combined Retirement'!$D$32,0)+'Combined Retirement'!$B$24</f>
        <v>2870.372285649099</v>
      </c>
      <c r="G1143" s="25">
        <f>'Combined Retirement'!$C$24</f>
        <v>3254.2644699519233</v>
      </c>
      <c r="H1143" s="25">
        <f>IF(B1143&lt;62,0,'Combined Retirement'!$I$14)</f>
        <v>2345</v>
      </c>
      <c r="I1143" s="25">
        <f>IF(C1143&lt;62,0,'Combined Retirement'!$I$13)</f>
        <v>2420</v>
      </c>
      <c r="J1143" s="25">
        <f t="shared" si="1043"/>
        <v>8395.6297298201844</v>
      </c>
      <c r="K1143" s="25">
        <f t="shared" si="1044"/>
        <v>21655.303514578787</v>
      </c>
      <c r="L1143" s="25"/>
      <c r="N1143" s="25">
        <f>'Combined Retirement'!$C$18/12</f>
        <v>40940.569999999992</v>
      </c>
      <c r="O1143" s="25">
        <f t="shared" si="1045"/>
        <v>10889.636755601023</v>
      </c>
      <c r="P1143" s="25">
        <f t="shared" si="1046"/>
        <v>30050.93324439897</v>
      </c>
      <c r="Q1143" s="25">
        <f t="array" aca="1" ref="Q1143" ca="1">INDEX('Isaac 401k'!L:L,MATCH('Retirement Calculator'!A1143,'Isaac 401k'!N:N,0),0)</f>
        <v>-31649506.39540812</v>
      </c>
      <c r="R1143" s="25">
        <f t="array" aca="1" ref="R1143" ca="1">INDEX('Lorri 401b'!L:L,MATCH('Retirement Calculator'!A1143,'Lorri 401b'!N:N,0),0)</f>
        <v>-61450629.918594621</v>
      </c>
      <c r="S1143" s="25">
        <f t="shared" ca="1" si="1047"/>
        <v>-93100136.314002737</v>
      </c>
    </row>
    <row r="1144" spans="1:19" ht="15.75" customHeight="1" x14ac:dyDescent="0.3">
      <c r="A1144" s="37">
        <v>85773</v>
      </c>
      <c r="B1144" s="398">
        <f t="shared" ref="B1144:C1144" si="1160">($A1144-B$9)/365.25</f>
        <v>152.95550992470911</v>
      </c>
      <c r="C1144" s="398">
        <f t="shared" si="1160"/>
        <v>148.34496919917865</v>
      </c>
      <c r="E1144" s="25">
        <f>IF(C1144&gt;$B$7,0,'Combined Retirement'!$D$13/12)</f>
        <v>0</v>
      </c>
      <c r="F1144" s="25">
        <f>IF(H1144=0,'Combined Retirement'!$D$32,0)+'Combined Retirement'!$B$24</f>
        <v>2870.372285649099</v>
      </c>
      <c r="G1144" s="25">
        <f>'Combined Retirement'!$C$24</f>
        <v>3254.2644699519233</v>
      </c>
      <c r="H1144" s="25">
        <f>IF(B1144&lt;62,0,'Combined Retirement'!$I$14)</f>
        <v>2345</v>
      </c>
      <c r="I1144" s="25">
        <f>IF(C1144&lt;62,0,'Combined Retirement'!$I$13)</f>
        <v>2420</v>
      </c>
      <c r="J1144" s="25">
        <f t="shared" si="1043"/>
        <v>8395.6297298201844</v>
      </c>
      <c r="K1144" s="25">
        <f t="shared" si="1044"/>
        <v>21655.303514578787</v>
      </c>
      <c r="L1144" s="25"/>
      <c r="N1144" s="25">
        <f>'Combined Retirement'!$C$18/12</f>
        <v>40940.569999999992</v>
      </c>
      <c r="O1144" s="25">
        <f t="shared" si="1045"/>
        <v>10889.636755601023</v>
      </c>
      <c r="P1144" s="25">
        <f t="shared" si="1046"/>
        <v>30050.93324439897</v>
      </c>
      <c r="Q1144" s="25">
        <f t="array" aca="1" ref="Q1144" ca="1">INDEX('Isaac 401k'!L:L,MATCH('Retirement Calculator'!A1144,'Isaac 401k'!N:N,0),0)</f>
        <v>-31789809.95024268</v>
      </c>
      <c r="R1144" s="25">
        <f t="array" aca="1" ref="R1144" ca="1">INDEX('Lorri 401b'!L:L,MATCH('Retirement Calculator'!A1144,'Lorri 401b'!N:N,0),0)</f>
        <v>-61728419.743867986</v>
      </c>
      <c r="S1144" s="25">
        <f t="shared" ca="1" si="1047"/>
        <v>-93518229.694110662</v>
      </c>
    </row>
    <row r="1145" spans="1:19" ht="15.75" customHeight="1" x14ac:dyDescent="0.3">
      <c r="A1145" s="37">
        <v>85803</v>
      </c>
      <c r="B1145" s="398">
        <f t="shared" ref="B1145:C1145" si="1161">($A1145-B$9)/365.25</f>
        <v>153.03764544832308</v>
      </c>
      <c r="C1145" s="398">
        <f t="shared" si="1161"/>
        <v>148.42710472279262</v>
      </c>
      <c r="E1145" s="25">
        <f>IF(C1145&gt;$B$7,0,'Combined Retirement'!$D$13/12)</f>
        <v>0</v>
      </c>
      <c r="F1145" s="25">
        <f>IF(H1145=0,'Combined Retirement'!$D$32,0)+'Combined Retirement'!$B$24</f>
        <v>2870.372285649099</v>
      </c>
      <c r="G1145" s="25">
        <f>'Combined Retirement'!$C$24</f>
        <v>3254.2644699519233</v>
      </c>
      <c r="H1145" s="25">
        <f>IF(B1145&lt;62,0,'Combined Retirement'!$I$14)</f>
        <v>2345</v>
      </c>
      <c r="I1145" s="25">
        <f>IF(C1145&lt;62,0,'Combined Retirement'!$I$13)</f>
        <v>2420</v>
      </c>
      <c r="J1145" s="25">
        <f t="shared" si="1043"/>
        <v>8395.6297298201844</v>
      </c>
      <c r="K1145" s="25">
        <f t="shared" si="1044"/>
        <v>21655.303514578787</v>
      </c>
      <c r="L1145" s="25"/>
      <c r="N1145" s="25">
        <f>'Combined Retirement'!$C$18/12</f>
        <v>40940.569999999992</v>
      </c>
      <c r="O1145" s="25">
        <f t="shared" si="1045"/>
        <v>10889.636755601023</v>
      </c>
      <c r="P1145" s="25">
        <f t="shared" si="1046"/>
        <v>30050.93324439897</v>
      </c>
      <c r="Q1145" s="25">
        <f t="array" aca="1" ref="Q1145" ca="1">INDEX('Isaac 401k'!L:L,MATCH('Retirement Calculator'!A1145,'Isaac 401k'!N:N,0),0)</f>
        <v>-31930698.103222385</v>
      </c>
      <c r="R1145" s="25">
        <f t="array" aca="1" ref="R1145" ca="1">INDEX('Lorri 401b'!L:L,MATCH('Retirement Calculator'!A1145,'Lorri 401b'!N:N,0),0)</f>
        <v>-62007367.02674666</v>
      </c>
      <c r="S1145" s="25">
        <f t="shared" ca="1" si="1047"/>
        <v>-93938065.129969046</v>
      </c>
    </row>
    <row r="1146" spans="1:19" ht="15.75" customHeight="1" x14ac:dyDescent="0.3">
      <c r="A1146" s="37">
        <v>85834</v>
      </c>
      <c r="B1146" s="398">
        <f t="shared" ref="B1146:C1146" si="1162">($A1146-B$9)/365.25</f>
        <v>153.12251882272417</v>
      </c>
      <c r="C1146" s="398">
        <f t="shared" si="1162"/>
        <v>148.51197809719369</v>
      </c>
      <c r="E1146" s="25">
        <f>IF(C1146&gt;$B$7,0,'Combined Retirement'!$D$13/12)</f>
        <v>0</v>
      </c>
      <c r="F1146" s="25">
        <f>IF(H1146=0,'Combined Retirement'!$D$32,0)+'Combined Retirement'!$B$24</f>
        <v>2870.372285649099</v>
      </c>
      <c r="G1146" s="25">
        <f>'Combined Retirement'!$C$24</f>
        <v>3254.2644699519233</v>
      </c>
      <c r="H1146" s="25">
        <f>IF(B1146&lt;62,0,'Combined Retirement'!$I$14)</f>
        <v>2345</v>
      </c>
      <c r="I1146" s="25">
        <f>IF(C1146&lt;62,0,'Combined Retirement'!$I$13)</f>
        <v>2420</v>
      </c>
      <c r="J1146" s="25">
        <f t="shared" si="1043"/>
        <v>8395.6297298201844</v>
      </c>
      <c r="K1146" s="25">
        <f t="shared" si="1044"/>
        <v>21655.303514578787</v>
      </c>
      <c r="L1146" s="25"/>
      <c r="N1146" s="25">
        <f>'Combined Retirement'!$C$18/12</f>
        <v>40940.569999999992</v>
      </c>
      <c r="O1146" s="25">
        <f t="shared" si="1045"/>
        <v>10889.636755601023</v>
      </c>
      <c r="P1146" s="25">
        <f t="shared" si="1046"/>
        <v>30050.93324439897</v>
      </c>
      <c r="Q1146" s="25">
        <f t="array" aca="1" ref="Q1146" ca="1">INDEX('Isaac 401k'!L:L,MATCH('Retirement Calculator'!A1146,'Isaac 401k'!N:N,0),0)</f>
        <v>-32072173.290172838</v>
      </c>
      <c r="R1146" s="25">
        <f t="array" aca="1" ref="R1146" ca="1">INDEX('Lorri 401b'!L:L,MATCH('Retirement Calculator'!A1146,'Lorri 401b'!N:N,0),0)</f>
        <v>-62287476.589970663</v>
      </c>
      <c r="S1146" s="25">
        <f t="shared" ca="1" si="1047"/>
        <v>-94359649.880143493</v>
      </c>
    </row>
    <row r="1147" spans="1:19" ht="15.75" customHeight="1" x14ac:dyDescent="0.3">
      <c r="A1147" s="37">
        <v>85865</v>
      </c>
      <c r="B1147" s="398">
        <f t="shared" ref="B1147:C1147" si="1163">($A1147-B$9)/365.25</f>
        <v>153.20739219712524</v>
      </c>
      <c r="C1147" s="398">
        <f t="shared" si="1163"/>
        <v>148.59685147159479</v>
      </c>
      <c r="E1147" s="25">
        <f>IF(C1147&gt;$B$7,0,'Combined Retirement'!$D$13/12)</f>
        <v>0</v>
      </c>
      <c r="F1147" s="25">
        <f>IF(H1147=0,'Combined Retirement'!$D$32,0)+'Combined Retirement'!$B$24</f>
        <v>2870.372285649099</v>
      </c>
      <c r="G1147" s="25">
        <f>'Combined Retirement'!$C$24</f>
        <v>3254.2644699519233</v>
      </c>
      <c r="H1147" s="25">
        <f>IF(B1147&lt;62,0,'Combined Retirement'!$I$14)</f>
        <v>2345</v>
      </c>
      <c r="I1147" s="25">
        <f>IF(C1147&lt;62,0,'Combined Retirement'!$I$13)</f>
        <v>2420</v>
      </c>
      <c r="J1147" s="25">
        <f t="shared" si="1043"/>
        <v>8395.6297298201844</v>
      </c>
      <c r="K1147" s="25">
        <f t="shared" si="1044"/>
        <v>21655.303514578787</v>
      </c>
      <c r="L1147" s="25"/>
      <c r="N1147" s="25">
        <f>'Combined Retirement'!$C$18/12</f>
        <v>40940.569999999992</v>
      </c>
      <c r="O1147" s="25">
        <f t="shared" si="1045"/>
        <v>10889.636755601023</v>
      </c>
      <c r="P1147" s="25">
        <f t="shared" si="1046"/>
        <v>30050.93324439897</v>
      </c>
      <c r="Q1147" s="25">
        <f t="array" aca="1" ref="Q1147" ca="1">INDEX('Isaac 401k'!L:L,MATCH('Retirement Calculator'!A1147,'Isaac 401k'!N:N,0),0)</f>
        <v>-32214237.957068916</v>
      </c>
      <c r="R1147" s="25">
        <f t="array" aca="1" ref="R1147" ca="1">INDEX('Lorri 401b'!L:L,MATCH('Retirement Calculator'!A1147,'Lorri 401b'!N:N,0),0)</f>
        <v>-62568753.276374765</v>
      </c>
      <c r="S1147" s="25">
        <f t="shared" ca="1" si="1047"/>
        <v>-94782991.233443677</v>
      </c>
    </row>
    <row r="1148" spans="1:19" ht="15.75" customHeight="1" x14ac:dyDescent="0.3">
      <c r="A1148" s="37">
        <v>85893</v>
      </c>
      <c r="B1148" s="398">
        <f t="shared" ref="B1148:C1148" si="1164">($A1148-B$9)/365.25</f>
        <v>153.28405201916496</v>
      </c>
      <c r="C1148" s="398">
        <f t="shared" si="1164"/>
        <v>148.6735112936345</v>
      </c>
      <c r="E1148" s="25">
        <f>IF(C1148&gt;$B$7,0,'Combined Retirement'!$D$13/12)</f>
        <v>0</v>
      </c>
      <c r="F1148" s="25">
        <f>IF(H1148=0,'Combined Retirement'!$D$32,0)+'Combined Retirement'!$B$24</f>
        <v>2870.372285649099</v>
      </c>
      <c r="G1148" s="25">
        <f>'Combined Retirement'!$C$24</f>
        <v>3254.2644699519233</v>
      </c>
      <c r="H1148" s="25">
        <f>IF(B1148&lt;62,0,'Combined Retirement'!$I$14)</f>
        <v>2345</v>
      </c>
      <c r="I1148" s="25">
        <f>IF(C1148&lt;62,0,'Combined Retirement'!$I$13)</f>
        <v>2420</v>
      </c>
      <c r="J1148" s="25">
        <f t="shared" si="1043"/>
        <v>8395.6297298201844</v>
      </c>
      <c r="K1148" s="25">
        <f t="shared" si="1044"/>
        <v>21655.303514578787</v>
      </c>
      <c r="L1148" s="25"/>
      <c r="N1148" s="25">
        <f>'Combined Retirement'!$C$18/12</f>
        <v>40940.569999999992</v>
      </c>
      <c r="O1148" s="25">
        <f t="shared" si="1045"/>
        <v>10889.636755601023</v>
      </c>
      <c r="P1148" s="25">
        <f t="shared" si="1046"/>
        <v>30050.93324439897</v>
      </c>
      <c r="Q1148" s="25">
        <f t="array" aca="1" ref="Q1148" ca="1">INDEX('Isaac 401k'!L:L,MATCH('Retirement Calculator'!A1148,'Isaac 401k'!N:N,0),0)</f>
        <v>-32356894.560077064</v>
      </c>
      <c r="R1148" s="25">
        <f t="array" aca="1" ref="R1148" ca="1">INDEX('Lorri 401b'!L:L,MATCH('Retirement Calculator'!A1148,'Lorri 401b'!N:N,0),0)</f>
        <v>-62851201.948972218</v>
      </c>
      <c r="S1148" s="25">
        <f t="shared" ca="1" si="1047"/>
        <v>-95208096.509049281</v>
      </c>
    </row>
    <row r="1149" spans="1:19" ht="15.75" customHeight="1" x14ac:dyDescent="0.3">
      <c r="A1149" s="37">
        <v>85924</v>
      </c>
      <c r="B1149" s="398">
        <f t="shared" ref="B1149:C1149" si="1165">($A1149-B$9)/365.25</f>
        <v>153.36892539356606</v>
      </c>
      <c r="C1149" s="398">
        <f t="shared" si="1165"/>
        <v>148.7583846680356</v>
      </c>
      <c r="E1149" s="25">
        <f>IF(C1149&gt;$B$7,0,'Combined Retirement'!$D$13/12)</f>
        <v>0</v>
      </c>
      <c r="F1149" s="25">
        <f>IF(H1149=0,'Combined Retirement'!$D$32,0)+'Combined Retirement'!$B$24</f>
        <v>2870.372285649099</v>
      </c>
      <c r="G1149" s="25">
        <f>'Combined Retirement'!$C$24</f>
        <v>3254.2644699519233</v>
      </c>
      <c r="H1149" s="25">
        <f>IF(B1149&lt;62,0,'Combined Retirement'!$I$14)</f>
        <v>2345</v>
      </c>
      <c r="I1149" s="25">
        <f>IF(C1149&lt;62,0,'Combined Retirement'!$I$13)</f>
        <v>2420</v>
      </c>
      <c r="J1149" s="25">
        <f t="shared" si="1043"/>
        <v>8395.6297298201844</v>
      </c>
      <c r="K1149" s="25">
        <f t="shared" si="1044"/>
        <v>21655.303514578787</v>
      </c>
      <c r="L1149" s="25"/>
      <c r="N1149" s="25">
        <f>'Combined Retirement'!$C$18/12</f>
        <v>40940.569999999992</v>
      </c>
      <c r="O1149" s="25">
        <f t="shared" si="1045"/>
        <v>10889.636755601023</v>
      </c>
      <c r="P1149" s="25">
        <f t="shared" si="1046"/>
        <v>30050.93324439897</v>
      </c>
      <c r="Q1149" s="25">
        <f t="array" aca="1" ref="Q1149" ca="1">INDEX('Isaac 401k'!L:L,MATCH('Retirement Calculator'!A1149,'Isaac 401k'!N:N,0),0)</f>
        <v>-32500145.565597743</v>
      </c>
      <c r="R1149" s="25">
        <f t="array" aca="1" ref="R1149" ca="1">INDEX('Lorri 401b'!L:L,MATCH('Retirement Calculator'!A1149,'Lorri 401b'!N:N,0),0)</f>
        <v>-63134827.491038822</v>
      </c>
      <c r="S1149" s="25">
        <f t="shared" ca="1" si="1047"/>
        <v>-95634973.056636572</v>
      </c>
    </row>
    <row r="1150" spans="1:19" ht="15.75" customHeight="1" x14ac:dyDescent="0.3">
      <c r="A1150" s="37">
        <v>85954</v>
      </c>
      <c r="B1150" s="398">
        <f t="shared" ref="B1150:C1150" si="1166">($A1150-B$9)/365.25</f>
        <v>153.45106091718</v>
      </c>
      <c r="C1150" s="398">
        <f t="shared" si="1166"/>
        <v>148.84052019164955</v>
      </c>
      <c r="E1150" s="25">
        <f>IF(C1150&gt;$B$7,0,'Combined Retirement'!$D$13/12)</f>
        <v>0</v>
      </c>
      <c r="F1150" s="25">
        <f>IF(H1150=0,'Combined Retirement'!$D$32,0)+'Combined Retirement'!$B$24</f>
        <v>2870.372285649099</v>
      </c>
      <c r="G1150" s="25">
        <f>'Combined Retirement'!$C$24</f>
        <v>3254.2644699519233</v>
      </c>
      <c r="H1150" s="25">
        <f>IF(B1150&lt;62,0,'Combined Retirement'!$I$14)</f>
        <v>2345</v>
      </c>
      <c r="I1150" s="25">
        <f>IF(C1150&lt;62,0,'Combined Retirement'!$I$13)</f>
        <v>2420</v>
      </c>
      <c r="J1150" s="25">
        <f t="shared" si="1043"/>
        <v>8395.6297298201844</v>
      </c>
      <c r="K1150" s="25">
        <f t="shared" si="1044"/>
        <v>21655.303514578787</v>
      </c>
      <c r="L1150" s="25"/>
      <c r="N1150" s="25">
        <f>'Combined Retirement'!$C$18/12</f>
        <v>40940.569999999992</v>
      </c>
      <c r="O1150" s="25">
        <f t="shared" si="1045"/>
        <v>10889.636755601023</v>
      </c>
      <c r="P1150" s="25">
        <f t="shared" si="1046"/>
        <v>30050.93324439897</v>
      </c>
      <c r="Q1150" s="25">
        <f t="array" aca="1" ref="Q1150" ca="1">INDEX('Isaac 401k'!L:L,MATCH('Retirement Calculator'!A1150,'Isaac 401k'!N:N,0),0)</f>
        <v>-32643993.450308092</v>
      </c>
      <c r="R1150" s="25">
        <f t="array" aca="1" ref="R1150" ca="1">INDEX('Lorri 401b'!L:L,MATCH('Retirement Calculator'!A1150,'Lorri 401b'!N:N,0),0)</f>
        <v>-63419634.806197375</v>
      </c>
      <c r="S1150" s="25">
        <f t="shared" ca="1" si="1047"/>
        <v>-96063628.25650546</v>
      </c>
    </row>
    <row r="1151" spans="1:19" ht="15.75" customHeight="1" x14ac:dyDescent="0.3">
      <c r="A1151" s="37">
        <v>85985</v>
      </c>
      <c r="B1151" s="398">
        <f t="shared" ref="B1151:C1151" si="1167">($A1151-B$9)/365.25</f>
        <v>153.5359342915811</v>
      </c>
      <c r="C1151" s="398">
        <f t="shared" si="1167"/>
        <v>148.92539356605064</v>
      </c>
      <c r="E1151" s="25">
        <f>IF(C1151&gt;$B$7,0,'Combined Retirement'!$D$13/12)</f>
        <v>0</v>
      </c>
      <c r="F1151" s="25">
        <f>IF(H1151=0,'Combined Retirement'!$D$32,0)+'Combined Retirement'!$B$24</f>
        <v>2870.372285649099</v>
      </c>
      <c r="G1151" s="25">
        <f>'Combined Retirement'!$C$24</f>
        <v>3254.2644699519233</v>
      </c>
      <c r="H1151" s="25">
        <f>IF(B1151&lt;62,0,'Combined Retirement'!$I$14)</f>
        <v>2345</v>
      </c>
      <c r="I1151" s="25">
        <f>IF(C1151&lt;62,0,'Combined Retirement'!$I$13)</f>
        <v>2420</v>
      </c>
      <c r="J1151" s="25">
        <f t="shared" si="1043"/>
        <v>8395.6297298201844</v>
      </c>
      <c r="K1151" s="25">
        <f t="shared" si="1044"/>
        <v>21655.303514578787</v>
      </c>
      <c r="L1151" s="25"/>
      <c r="N1151" s="25">
        <f>'Combined Retirement'!$C$18/12</f>
        <v>40940.569999999992</v>
      </c>
      <c r="O1151" s="25">
        <f t="shared" si="1045"/>
        <v>10889.636755601023</v>
      </c>
      <c r="P1151" s="25">
        <f t="shared" si="1046"/>
        <v>30050.93324439897</v>
      </c>
      <c r="Q1151" s="25">
        <f t="array" aca="1" ref="Q1151" ca="1">INDEX('Isaac 401k'!L:L,MATCH('Retirement Calculator'!A1151,'Isaac 401k'!N:N,0),0)</f>
        <v>-32788440.701204736</v>
      </c>
      <c r="R1151" s="25">
        <f t="array" aca="1" ref="R1151" ca="1">INDEX('Lorri 401b'!L:L,MATCH('Retirement Calculator'!A1151,'Lorri 401b'!N:N,0),0)</f>
        <v>-63705628.818502419</v>
      </c>
      <c r="S1151" s="25">
        <f t="shared" ca="1" si="1047"/>
        <v>-96494069.519707158</v>
      </c>
    </row>
    <row r="1152" spans="1:19" ht="15.75" customHeight="1" x14ac:dyDescent="0.3">
      <c r="A1152" s="37">
        <v>86015</v>
      </c>
      <c r="B1152" s="398">
        <f t="shared" ref="B1152:C1152" si="1168">($A1152-B$9)/365.25</f>
        <v>153.61806981519507</v>
      </c>
      <c r="C1152" s="398">
        <f t="shared" si="1168"/>
        <v>149.00752908966462</v>
      </c>
      <c r="E1152" s="25">
        <f>IF(C1152&gt;$B$7,0,'Combined Retirement'!$D$13/12)</f>
        <v>0</v>
      </c>
      <c r="F1152" s="25">
        <f>IF(H1152=0,'Combined Retirement'!$D$32,0)+'Combined Retirement'!$B$24</f>
        <v>2870.372285649099</v>
      </c>
      <c r="G1152" s="25">
        <f>'Combined Retirement'!$C$24</f>
        <v>3254.2644699519233</v>
      </c>
      <c r="H1152" s="25">
        <f>IF(B1152&lt;62,0,'Combined Retirement'!$I$14)</f>
        <v>2345</v>
      </c>
      <c r="I1152" s="25">
        <f>IF(C1152&lt;62,0,'Combined Retirement'!$I$13)</f>
        <v>2420</v>
      </c>
      <c r="J1152" s="25">
        <f t="shared" si="1043"/>
        <v>8395.6297298201844</v>
      </c>
      <c r="K1152" s="25">
        <f t="shared" si="1044"/>
        <v>21655.303514578787</v>
      </c>
      <c r="L1152" s="25"/>
      <c r="N1152" s="25">
        <f>'Combined Retirement'!$C$18/12</f>
        <v>40940.569999999992</v>
      </c>
      <c r="O1152" s="25">
        <f t="shared" si="1045"/>
        <v>10889.636755601023</v>
      </c>
      <c r="P1152" s="25">
        <f t="shared" si="1046"/>
        <v>30050.93324439897</v>
      </c>
      <c r="Q1152" s="25">
        <f t="array" aca="1" ref="Q1152" ca="1">INDEX('Isaac 401k'!L:L,MATCH('Retirement Calculator'!A1152,'Isaac 401k'!N:N,0),0)</f>
        <v>-32933489.815646783</v>
      </c>
      <c r="R1152" s="25">
        <f t="array" aca="1" ref="R1152" ca="1">INDEX('Lorri 401b'!L:L,MATCH('Retirement Calculator'!A1152,'Lorri 401b'!N:N,0),0)</f>
        <v>-63992814.472525403</v>
      </c>
      <c r="S1152" s="25">
        <f t="shared" ca="1" si="1047"/>
        <v>-96926304.288172185</v>
      </c>
    </row>
    <row r="1153" spans="1:19" ht="15.75" customHeight="1" x14ac:dyDescent="0.3">
      <c r="A1153" s="37">
        <v>86046</v>
      </c>
      <c r="B1153" s="398">
        <f t="shared" ref="B1153:C1153" si="1169">($A1153-B$9)/365.25</f>
        <v>153.70294318959617</v>
      </c>
      <c r="C1153" s="398">
        <f t="shared" si="1169"/>
        <v>149.09240246406571</v>
      </c>
      <c r="E1153" s="25">
        <f>IF(C1153&gt;$B$7,0,'Combined Retirement'!$D$13/12)</f>
        <v>0</v>
      </c>
      <c r="F1153" s="25">
        <f>IF(H1153=0,'Combined Retirement'!$D$32,0)+'Combined Retirement'!$B$24</f>
        <v>2870.372285649099</v>
      </c>
      <c r="G1153" s="25">
        <f>'Combined Retirement'!$C$24</f>
        <v>3254.2644699519233</v>
      </c>
      <c r="H1153" s="25">
        <f>IF(B1153&lt;62,0,'Combined Retirement'!$I$14)</f>
        <v>2345</v>
      </c>
      <c r="I1153" s="25">
        <f>IF(C1153&lt;62,0,'Combined Retirement'!$I$13)</f>
        <v>2420</v>
      </c>
      <c r="J1153" s="25">
        <f t="shared" si="1043"/>
        <v>8395.6297298201844</v>
      </c>
      <c r="K1153" s="25">
        <f t="shared" si="1044"/>
        <v>21655.303514578787</v>
      </c>
      <c r="L1153" s="25"/>
      <c r="N1153" s="25">
        <f>'Combined Retirement'!$C$18/12</f>
        <v>40940.569999999992</v>
      </c>
      <c r="O1153" s="25">
        <f t="shared" si="1045"/>
        <v>10889.636755601023</v>
      </c>
      <c r="P1153" s="25">
        <f t="shared" si="1046"/>
        <v>30050.93324439897</v>
      </c>
      <c r="Q1153" s="25">
        <f t="array" aca="1" ref="Q1153" ca="1">INDEX('Isaac 401k'!L:L,MATCH('Retirement Calculator'!A1153,'Isaac 401k'!N:N,0),0)</f>
        <v>-33079143.301399004</v>
      </c>
      <c r="R1153" s="25">
        <f t="array" aca="1" ref="R1153" ca="1">INDEX('Lorri 401b'!L:L,MATCH('Retirement Calculator'!A1153,'Lorri 401b'!N:N,0),0)</f>
        <v>-64281196.733440146</v>
      </c>
      <c r="S1153" s="25">
        <f t="shared" ca="1" si="1047"/>
        <v>-97360340.034839153</v>
      </c>
    </row>
    <row r="1154" spans="1:19" ht="15.75" customHeight="1" x14ac:dyDescent="0.3">
      <c r="A1154" s="37">
        <v>86077</v>
      </c>
      <c r="B1154" s="398">
        <f t="shared" ref="B1154:C1154" si="1170">($A1154-B$9)/365.25</f>
        <v>153.78781656399727</v>
      </c>
      <c r="C1154" s="398">
        <f t="shared" si="1170"/>
        <v>149.17727583846681</v>
      </c>
      <c r="E1154" s="25">
        <f>IF(C1154&gt;$B$7,0,'Combined Retirement'!$D$13/12)</f>
        <v>0</v>
      </c>
      <c r="F1154" s="25">
        <f>IF(H1154=0,'Combined Retirement'!$D$32,0)+'Combined Retirement'!$B$24</f>
        <v>2870.372285649099</v>
      </c>
      <c r="G1154" s="25">
        <f>'Combined Retirement'!$C$24</f>
        <v>3254.2644699519233</v>
      </c>
      <c r="H1154" s="25">
        <f>IF(B1154&lt;62,0,'Combined Retirement'!$I$14)</f>
        <v>2345</v>
      </c>
      <c r="I1154" s="25">
        <f>IF(C1154&lt;62,0,'Combined Retirement'!$I$13)</f>
        <v>2420</v>
      </c>
      <c r="J1154" s="25">
        <f t="shared" si="1043"/>
        <v>8395.6297298201844</v>
      </c>
      <c r="K1154" s="25">
        <f t="shared" si="1044"/>
        <v>21655.303514578787</v>
      </c>
      <c r="L1154" s="25"/>
      <c r="N1154" s="25">
        <f>'Combined Retirement'!$C$18/12</f>
        <v>40940.569999999992</v>
      </c>
      <c r="O1154" s="25">
        <f t="shared" si="1045"/>
        <v>10889.636755601023</v>
      </c>
      <c r="P1154" s="25">
        <f t="shared" si="1046"/>
        <v>30050.93324439897</v>
      </c>
      <c r="Q1154" s="25">
        <f t="array" aca="1" ref="Q1154" ca="1">INDEX('Isaac 401k'!L:L,MATCH('Retirement Calculator'!A1154,'Isaac 401k'!N:N,0),0)</f>
        <v>-33225403.676675193</v>
      </c>
      <c r="R1154" s="25">
        <f t="array" aca="1" ref="R1154" ca="1">INDEX('Lorri 401b'!L:L,MATCH('Retirement Calculator'!A1154,'Lorri 401b'!N:N,0),0)</f>
        <v>-64570780.587108701</v>
      </c>
      <c r="S1154" s="25">
        <f t="shared" ca="1" si="1047"/>
        <v>-97796184.263783902</v>
      </c>
    </row>
    <row r="1155" spans="1:19" ht="15.75" customHeight="1" x14ac:dyDescent="0.3">
      <c r="A1155" s="37">
        <v>86107</v>
      </c>
      <c r="B1155" s="398">
        <f t="shared" ref="B1155:C1155" si="1171">($A1155-B$9)/365.25</f>
        <v>153.86995208761124</v>
      </c>
      <c r="C1155" s="398">
        <f t="shared" si="1171"/>
        <v>149.25941136208075</v>
      </c>
      <c r="E1155" s="25">
        <f>IF(C1155&gt;$B$7,0,'Combined Retirement'!$D$13/12)</f>
        <v>0</v>
      </c>
      <c r="F1155" s="25">
        <f>IF(H1155=0,'Combined Retirement'!$D$32,0)+'Combined Retirement'!$B$24</f>
        <v>2870.372285649099</v>
      </c>
      <c r="G1155" s="25">
        <f>'Combined Retirement'!$C$24</f>
        <v>3254.2644699519233</v>
      </c>
      <c r="H1155" s="25">
        <f>IF(B1155&lt;62,0,'Combined Retirement'!$I$14)</f>
        <v>2345</v>
      </c>
      <c r="I1155" s="25">
        <f>IF(C1155&lt;62,0,'Combined Retirement'!$I$13)</f>
        <v>2420</v>
      </c>
      <c r="J1155" s="25">
        <f t="shared" si="1043"/>
        <v>8395.6297298201844</v>
      </c>
      <c r="K1155" s="25">
        <f t="shared" si="1044"/>
        <v>21655.303514578787</v>
      </c>
      <c r="L1155" s="25"/>
      <c r="N1155" s="25">
        <f>'Combined Retirement'!$C$18/12</f>
        <v>40940.569999999992</v>
      </c>
      <c r="O1155" s="25">
        <f t="shared" si="1045"/>
        <v>10889.636755601023</v>
      </c>
      <c r="P1155" s="25">
        <f t="shared" si="1046"/>
        <v>30050.93324439897</v>
      </c>
      <c r="Q1155" s="25">
        <f t="array" aca="1" ref="Q1155" ca="1">INDEX('Isaac 401k'!L:L,MATCH('Retirement Calculator'!A1155,'Isaac 401k'!N:N,0),0)</f>
        <v>-33372273.4701817</v>
      </c>
      <c r="R1155" s="25">
        <f t="array" aca="1" ref="R1155" ca="1">INDEX('Lorri 401b'!L:L,MATCH('Retirement Calculator'!A1155,'Lorri 401b'!N:N,0),0)</f>
        <v>-64861571.04016754</v>
      </c>
      <c r="S1155" s="25">
        <f t="shared" ca="1" si="1047"/>
        <v>-98233844.510349244</v>
      </c>
    </row>
    <row r="1156" spans="1:19" ht="15.75" customHeight="1" x14ac:dyDescent="0.3">
      <c r="A1156" s="37">
        <v>86138</v>
      </c>
      <c r="B1156" s="398">
        <f t="shared" ref="B1156:C1156" si="1172">($A1156-B$9)/365.25</f>
        <v>153.95482546201231</v>
      </c>
      <c r="C1156" s="398">
        <f t="shared" si="1172"/>
        <v>149.34428473648185</v>
      </c>
      <c r="E1156" s="25">
        <f>IF(C1156&gt;$B$7,0,'Combined Retirement'!$D$13/12)</f>
        <v>0</v>
      </c>
      <c r="F1156" s="25">
        <f>IF(H1156=0,'Combined Retirement'!$D$32,0)+'Combined Retirement'!$B$24</f>
        <v>2870.372285649099</v>
      </c>
      <c r="G1156" s="25">
        <f>'Combined Retirement'!$C$24</f>
        <v>3254.2644699519233</v>
      </c>
      <c r="H1156" s="25">
        <f>IF(B1156&lt;62,0,'Combined Retirement'!$I$14)</f>
        <v>2345</v>
      </c>
      <c r="I1156" s="25">
        <f>IF(C1156&lt;62,0,'Combined Retirement'!$I$13)</f>
        <v>2420</v>
      </c>
      <c r="J1156" s="25">
        <f t="shared" si="1043"/>
        <v>8395.6297298201844</v>
      </c>
      <c r="K1156" s="25">
        <f t="shared" si="1044"/>
        <v>21655.303514578787</v>
      </c>
      <c r="L1156" s="25"/>
      <c r="N1156" s="25">
        <f>'Combined Retirement'!$C$18/12</f>
        <v>40940.569999999992</v>
      </c>
      <c r="O1156" s="25">
        <f t="shared" si="1045"/>
        <v>10889.636755601023</v>
      </c>
      <c r="P1156" s="25">
        <f t="shared" si="1046"/>
        <v>30050.93324439897</v>
      </c>
      <c r="Q1156" s="25">
        <f t="array" aca="1" ref="Q1156" ca="1">INDEX('Isaac 401k'!L:L,MATCH('Retirement Calculator'!A1156,'Isaac 401k'!N:N,0),0)</f>
        <v>-33519755.221161149</v>
      </c>
      <c r="R1156" s="25">
        <f t="array" aca="1" ref="R1156" ca="1">INDEX('Lorri 401b'!L:L,MATCH('Retirement Calculator'!A1156,'Lorri 401b'!N:N,0),0)</f>
        <v>-65153573.120114125</v>
      </c>
      <c r="S1156" s="25">
        <f t="shared" ca="1" si="1047"/>
        <v>-98673328.341275275</v>
      </c>
    </row>
    <row r="1157" spans="1:19" ht="15.75" customHeight="1" x14ac:dyDescent="0.3">
      <c r="A1157" s="37">
        <v>86168</v>
      </c>
      <c r="B1157" s="398">
        <f t="shared" ref="B1157:C1157" si="1173">($A1157-B$9)/365.25</f>
        <v>154.03696098562628</v>
      </c>
      <c r="C1157" s="398">
        <f t="shared" si="1173"/>
        <v>149.42642026009582</v>
      </c>
      <c r="E1157" s="25">
        <f>IF(C1157&gt;$B$7,0,'Combined Retirement'!$D$13/12)</f>
        <v>0</v>
      </c>
      <c r="F1157" s="25">
        <f>IF(H1157=0,'Combined Retirement'!$D$32,0)+'Combined Retirement'!$B$24</f>
        <v>2870.372285649099</v>
      </c>
      <c r="G1157" s="25">
        <f>'Combined Retirement'!$C$24</f>
        <v>3254.2644699519233</v>
      </c>
      <c r="H1157" s="25">
        <f>IF(B1157&lt;62,0,'Combined Retirement'!$I$14)</f>
        <v>2345</v>
      </c>
      <c r="I1157" s="25">
        <f>IF(C1157&lt;62,0,'Combined Retirement'!$I$13)</f>
        <v>2420</v>
      </c>
      <c r="J1157" s="25">
        <f t="shared" si="1043"/>
        <v>8395.6297298201844</v>
      </c>
      <c r="K1157" s="25">
        <f t="shared" si="1044"/>
        <v>21655.303514578787</v>
      </c>
      <c r="L1157" s="25"/>
      <c r="N1157" s="25">
        <f>'Combined Retirement'!$C$18/12</f>
        <v>40940.569999999992</v>
      </c>
      <c r="O1157" s="25">
        <f t="shared" si="1045"/>
        <v>10889.636755601023</v>
      </c>
      <c r="P1157" s="25">
        <f t="shared" si="1046"/>
        <v>30050.93324439897</v>
      </c>
      <c r="Q1157" s="25">
        <f t="array" aca="1" ref="Q1157" ca="1">INDEX('Isaac 401k'!L:L,MATCH('Retirement Calculator'!A1157,'Isaac 401k'!N:N,0),0)</f>
        <v>-33667851.479436345</v>
      </c>
      <c r="R1157" s="25">
        <f t="array" aca="1" ref="R1157" ca="1">INDEX('Lorri 401b'!L:L,MATCH('Retirement Calculator'!A1157,'Lorri 401b'!N:N,0),0)</f>
        <v>-65446791.875393823</v>
      </c>
      <c r="S1157" s="25">
        <f t="shared" ca="1" si="1047"/>
        <v>-99114643.354830176</v>
      </c>
    </row>
    <row r="1158" spans="1:19" ht="15.75" customHeight="1" x14ac:dyDescent="0.3">
      <c r="A1158" s="37">
        <v>86199</v>
      </c>
      <c r="B1158" s="398">
        <f t="shared" ref="B1158:C1158" si="1174">($A1158-B$9)/365.25</f>
        <v>154.12183436002738</v>
      </c>
      <c r="C1158" s="398">
        <f t="shared" si="1174"/>
        <v>149.51129363449692</v>
      </c>
      <c r="E1158" s="25">
        <f>IF(C1158&gt;$B$7,0,'Combined Retirement'!$D$13/12)</f>
        <v>0</v>
      </c>
      <c r="F1158" s="25">
        <f>IF(H1158=0,'Combined Retirement'!$D$32,0)+'Combined Retirement'!$B$24</f>
        <v>2870.372285649099</v>
      </c>
      <c r="G1158" s="25">
        <f>'Combined Retirement'!$C$24</f>
        <v>3254.2644699519233</v>
      </c>
      <c r="H1158" s="25">
        <f>IF(B1158&lt;62,0,'Combined Retirement'!$I$14)</f>
        <v>2345</v>
      </c>
      <c r="I1158" s="25">
        <f>IF(C1158&lt;62,0,'Combined Retirement'!$I$13)</f>
        <v>2420</v>
      </c>
      <c r="J1158" s="25">
        <f t="shared" si="1043"/>
        <v>8395.6297298201844</v>
      </c>
      <c r="K1158" s="25">
        <f t="shared" si="1044"/>
        <v>21655.303514578787</v>
      </c>
      <c r="L1158" s="25"/>
      <c r="N1158" s="25">
        <f>'Combined Retirement'!$C$18/12</f>
        <v>40940.569999999992</v>
      </c>
      <c r="O1158" s="25">
        <f t="shared" si="1045"/>
        <v>10889.636755601023</v>
      </c>
      <c r="P1158" s="25">
        <f t="shared" si="1046"/>
        <v>30050.93324439897</v>
      </c>
      <c r="Q1158" s="25">
        <f t="array" aca="1" ref="Q1158" ca="1">INDEX('Isaac 401k'!L:L,MATCH('Retirement Calculator'!A1158,'Isaac 401k'!N:N,0),0)</f>
        <v>-33816564.805454358</v>
      </c>
      <c r="R1158" s="25">
        <f t="array" aca="1" ref="R1158" ca="1">INDEX('Lorri 401b'!L:L,MATCH('Retirement Calculator'!A1158,'Lorri 401b'!N:N,0),0)</f>
        <v>-65741232.375487186</v>
      </c>
      <c r="S1158" s="25">
        <f t="shared" ca="1" si="1047"/>
        <v>-99557797.180941552</v>
      </c>
    </row>
    <row r="1159" spans="1:19" ht="15.75" customHeight="1" x14ac:dyDescent="0.3">
      <c r="A1159" s="37">
        <v>86230</v>
      </c>
      <c r="B1159" s="398">
        <f t="shared" ref="B1159:C1159" si="1175">($A1159-B$9)/365.25</f>
        <v>154.20670773442848</v>
      </c>
      <c r="C1159" s="398">
        <f t="shared" si="1175"/>
        <v>149.59616700889802</v>
      </c>
      <c r="E1159" s="25">
        <f>IF(C1159&gt;$B$7,0,'Combined Retirement'!$D$13/12)</f>
        <v>0</v>
      </c>
      <c r="F1159" s="25">
        <f>IF(H1159=0,'Combined Retirement'!$D$32,0)+'Combined Retirement'!$B$24</f>
        <v>2870.372285649099</v>
      </c>
      <c r="G1159" s="25">
        <f>'Combined Retirement'!$C$24</f>
        <v>3254.2644699519233</v>
      </c>
      <c r="H1159" s="25">
        <f>IF(B1159&lt;62,0,'Combined Retirement'!$I$14)</f>
        <v>2345</v>
      </c>
      <c r="I1159" s="25">
        <f>IF(C1159&lt;62,0,'Combined Retirement'!$I$13)</f>
        <v>2420</v>
      </c>
      <c r="J1159" s="25">
        <f t="shared" si="1043"/>
        <v>8395.6297298201844</v>
      </c>
      <c r="K1159" s="25">
        <f t="shared" si="1044"/>
        <v>21655.303514578787</v>
      </c>
      <c r="L1159" s="25"/>
      <c r="N1159" s="25">
        <f>'Combined Retirement'!$C$18/12</f>
        <v>40940.569999999992</v>
      </c>
      <c r="O1159" s="25">
        <f t="shared" si="1045"/>
        <v>10889.636755601023</v>
      </c>
      <c r="P1159" s="25">
        <f t="shared" si="1046"/>
        <v>30050.93324439897</v>
      </c>
      <c r="Q1159" s="25">
        <f t="array" aca="1" ref="Q1159" ca="1">INDEX('Isaac 401k'!L:L,MATCH('Retirement Calculator'!A1159,'Isaac 401k'!N:N,0),0)</f>
        <v>-33965897.770330779</v>
      </c>
      <c r="R1159" s="25">
        <f t="array" aca="1" ref="R1159" ca="1">INDEX('Lorri 401b'!L:L,MATCH('Retirement Calculator'!A1159,'Lorri 401b'!N:N,0),0)</f>
        <v>-66036899.710997604</v>
      </c>
      <c r="S1159" s="25">
        <f t="shared" ca="1" si="1047"/>
        <v>-100002797.48132838</v>
      </c>
    </row>
    <row r="1160" spans="1:19" ht="15.75" customHeight="1" x14ac:dyDescent="0.3">
      <c r="A1160" s="37">
        <v>86259</v>
      </c>
      <c r="B1160" s="398">
        <f t="shared" ref="B1160:C1160" si="1176">($A1160-B$9)/365.25</f>
        <v>154.28610540725529</v>
      </c>
      <c r="C1160" s="398">
        <f t="shared" si="1176"/>
        <v>149.67556468172484</v>
      </c>
      <c r="E1160" s="25">
        <f>IF(C1160&gt;$B$7,0,'Combined Retirement'!$D$13/12)</f>
        <v>0</v>
      </c>
      <c r="F1160" s="25">
        <f>IF(H1160=0,'Combined Retirement'!$D$32,0)+'Combined Retirement'!$B$24</f>
        <v>2870.372285649099</v>
      </c>
      <c r="G1160" s="25">
        <f>'Combined Retirement'!$C$24</f>
        <v>3254.2644699519233</v>
      </c>
      <c r="H1160" s="25">
        <f>IF(B1160&lt;62,0,'Combined Retirement'!$I$14)</f>
        <v>2345</v>
      </c>
      <c r="I1160" s="25">
        <f>IF(C1160&lt;62,0,'Combined Retirement'!$I$13)</f>
        <v>2420</v>
      </c>
      <c r="J1160" s="25">
        <f t="shared" si="1043"/>
        <v>8395.6297298201844</v>
      </c>
      <c r="K1160" s="25">
        <f t="shared" si="1044"/>
        <v>21655.303514578787</v>
      </c>
      <c r="L1160" s="25"/>
      <c r="N1160" s="25">
        <f>'Combined Retirement'!$C$18/12</f>
        <v>40940.569999999992</v>
      </c>
      <c r="O1160" s="25">
        <f t="shared" si="1045"/>
        <v>10889.636755601023</v>
      </c>
      <c r="P1160" s="25">
        <f t="shared" si="1046"/>
        <v>30050.93324439897</v>
      </c>
      <c r="Q1160" s="25">
        <f t="array" aca="1" ref="Q1160" ca="1">INDEX('Isaac 401k'!L:L,MATCH('Retirement Calculator'!A1160,'Isaac 401k'!N:N,0),0)</f>
        <v>-34115852.955894187</v>
      </c>
      <c r="R1160" s="25">
        <f t="array" aca="1" ref="R1160" ca="1">INDEX('Lorri 401b'!L:L,MATCH('Retirement Calculator'!A1160,'Lorri 401b'!N:N,0),0)</f>
        <v>-66333798.993739314</v>
      </c>
      <c r="S1160" s="25">
        <f t="shared" ca="1" si="1047"/>
        <v>-100449651.94963351</v>
      </c>
    </row>
    <row r="1161" spans="1:19" ht="15.75" customHeight="1" x14ac:dyDescent="0.3">
      <c r="A1161" s="37">
        <v>86290</v>
      </c>
      <c r="B1161" s="398">
        <f t="shared" ref="B1161:C1161" si="1177">($A1161-B$9)/365.25</f>
        <v>154.37097878165639</v>
      </c>
      <c r="C1161" s="398">
        <f t="shared" si="1177"/>
        <v>149.76043805612593</v>
      </c>
      <c r="E1161" s="25">
        <f>IF(C1161&gt;$B$7,0,'Combined Retirement'!$D$13/12)</f>
        <v>0</v>
      </c>
      <c r="F1161" s="25">
        <f>IF(H1161=0,'Combined Retirement'!$D$32,0)+'Combined Retirement'!$B$24</f>
        <v>2870.372285649099</v>
      </c>
      <c r="G1161" s="25">
        <f>'Combined Retirement'!$C$24</f>
        <v>3254.2644699519233</v>
      </c>
      <c r="H1161" s="25">
        <f>IF(B1161&lt;62,0,'Combined Retirement'!$I$14)</f>
        <v>2345</v>
      </c>
      <c r="I1161" s="25">
        <f>IF(C1161&lt;62,0,'Combined Retirement'!$I$13)</f>
        <v>2420</v>
      </c>
      <c r="J1161" s="25">
        <f t="shared" si="1043"/>
        <v>8395.6297298201844</v>
      </c>
      <c r="K1161" s="25">
        <f t="shared" si="1044"/>
        <v>21655.303514578787</v>
      </c>
      <c r="L1161" s="25"/>
      <c r="N1161" s="25">
        <f>'Combined Retirement'!$C$18/12</f>
        <v>40940.569999999992</v>
      </c>
      <c r="O1161" s="25">
        <f t="shared" si="1045"/>
        <v>10889.636755601023</v>
      </c>
      <c r="P1161" s="25">
        <f t="shared" si="1046"/>
        <v>30050.93324439897</v>
      </c>
      <c r="Q1161" s="25">
        <f t="array" aca="1" ref="Q1161" ca="1">INDEX('Isaac 401k'!L:L,MATCH('Retirement Calculator'!A1161,'Isaac 401k'!N:N,0),0)</f>
        <v>-34266432.954730779</v>
      </c>
      <c r="R1161" s="25">
        <f t="array" aca="1" ref="R1161" ca="1">INDEX('Lorri 401b'!L:L,MATCH('Retirement Calculator'!A1161,'Lorri 401b'!N:N,0),0)</f>
        <v>-66631935.356825784</v>
      </c>
      <c r="S1161" s="25">
        <f t="shared" ca="1" si="1047"/>
        <v>-100898368.31155656</v>
      </c>
    </row>
    <row r="1162" spans="1:19" ht="15.75" customHeight="1" x14ac:dyDescent="0.3">
      <c r="A1162" s="37">
        <v>86320</v>
      </c>
      <c r="B1162" s="398">
        <f t="shared" ref="B1162:C1162" si="1178">($A1162-B$9)/365.25</f>
        <v>154.45311430527036</v>
      </c>
      <c r="C1162" s="398">
        <f t="shared" si="1178"/>
        <v>149.84257357973991</v>
      </c>
      <c r="E1162" s="25">
        <f>IF(C1162&gt;$B$7,0,'Combined Retirement'!$D$13/12)</f>
        <v>0</v>
      </c>
      <c r="F1162" s="25">
        <f>IF(H1162=0,'Combined Retirement'!$D$32,0)+'Combined Retirement'!$B$24</f>
        <v>2870.372285649099</v>
      </c>
      <c r="G1162" s="25">
        <f>'Combined Retirement'!$C$24</f>
        <v>3254.2644699519233</v>
      </c>
      <c r="H1162" s="25">
        <f>IF(B1162&lt;62,0,'Combined Retirement'!$I$14)</f>
        <v>2345</v>
      </c>
      <c r="I1162" s="25">
        <f>IF(C1162&lt;62,0,'Combined Retirement'!$I$13)</f>
        <v>2420</v>
      </c>
      <c r="J1162" s="25">
        <f t="shared" si="1043"/>
        <v>8395.6297298201844</v>
      </c>
      <c r="K1162" s="25">
        <f t="shared" si="1044"/>
        <v>21655.303514578787</v>
      </c>
      <c r="L1162" s="25"/>
      <c r="N1162" s="25">
        <f>'Combined Retirement'!$C$18/12</f>
        <v>40940.569999999992</v>
      </c>
      <c r="O1162" s="25">
        <f t="shared" si="1045"/>
        <v>10889.636755601023</v>
      </c>
      <c r="P1162" s="25">
        <f t="shared" si="1046"/>
        <v>30050.93324439897</v>
      </c>
      <c r="Q1162" s="25">
        <f t="array" aca="1" ref="Q1162" ca="1">INDEX('Isaac 401k'!L:L,MATCH('Retirement Calculator'!A1162,'Isaac 401k'!N:N,0),0)</f>
        <v>-34417640.370229185</v>
      </c>
      <c r="R1162" s="25">
        <f t="array" aca="1" ref="R1162" ca="1">INDEX('Lorri 401b'!L:L,MATCH('Retirement Calculator'!A1162,'Lorri 401b'!N:N,0),0)</f>
        <v>-66931313.954758443</v>
      </c>
      <c r="S1162" s="25">
        <f t="shared" ca="1" si="1047"/>
        <v>-101348954.32498762</v>
      </c>
    </row>
    <row r="1163" spans="1:19" ht="15.75" customHeight="1" x14ac:dyDescent="0.3">
      <c r="A1163" s="37">
        <v>86351</v>
      </c>
      <c r="B1163" s="398">
        <f t="shared" ref="B1163:C1163" si="1179">($A1163-B$9)/365.25</f>
        <v>154.53798767967146</v>
      </c>
      <c r="C1163" s="398">
        <f t="shared" si="1179"/>
        <v>149.927446954141</v>
      </c>
      <c r="E1163" s="25">
        <f>IF(C1163&gt;$B$7,0,'Combined Retirement'!$D$13/12)</f>
        <v>0</v>
      </c>
      <c r="F1163" s="25">
        <f>IF(H1163=0,'Combined Retirement'!$D$32,0)+'Combined Retirement'!$B$24</f>
        <v>2870.372285649099</v>
      </c>
      <c r="G1163" s="25">
        <f>'Combined Retirement'!$C$24</f>
        <v>3254.2644699519233</v>
      </c>
      <c r="H1163" s="25">
        <f>IF(B1163&lt;62,0,'Combined Retirement'!$I$14)</f>
        <v>2345</v>
      </c>
      <c r="I1163" s="25">
        <f>IF(C1163&lt;62,0,'Combined Retirement'!$I$13)</f>
        <v>2420</v>
      </c>
      <c r="J1163" s="25">
        <f t="shared" si="1043"/>
        <v>8395.6297298201844</v>
      </c>
      <c r="K1163" s="25">
        <f t="shared" si="1044"/>
        <v>21655.303514578787</v>
      </c>
      <c r="L1163" s="25"/>
      <c r="N1163" s="25">
        <f>'Combined Retirement'!$C$18/12</f>
        <v>40940.569999999992</v>
      </c>
      <c r="O1163" s="25">
        <f t="shared" si="1045"/>
        <v>10889.636755601023</v>
      </c>
      <c r="P1163" s="25">
        <f t="shared" si="1046"/>
        <v>30050.93324439897</v>
      </c>
      <c r="Q1163" s="25">
        <f t="array" aca="1" ref="Q1163" ca="1">INDEX('Isaac 401k'!L:L,MATCH('Retirement Calculator'!A1163,'Isaac 401k'!N:N,0),0)</f>
        <v>-34569477.816625506</v>
      </c>
      <c r="R1163" s="25">
        <f t="array" aca="1" ref="R1163" ca="1">INDEX('Lorri 401b'!L:L,MATCH('Retirement Calculator'!A1163,'Lorri 401b'!N:N,0),0)</f>
        <v>-67231939.963515818</v>
      </c>
      <c r="S1163" s="25">
        <f t="shared" ca="1" si="1047"/>
        <v>-101801417.78014132</v>
      </c>
    </row>
    <row r="1164" spans="1:19" ht="15.75" customHeight="1" x14ac:dyDescent="0.3">
      <c r="A1164" s="37">
        <v>86381</v>
      </c>
      <c r="B1164" s="398">
        <f t="shared" ref="B1164:C1164" si="1180">($A1164-B$9)/365.25</f>
        <v>154.62012320328543</v>
      </c>
      <c r="C1164" s="398">
        <f t="shared" si="1180"/>
        <v>150.00958247775498</v>
      </c>
      <c r="E1164" s="25">
        <f>IF(C1164&gt;$B$7,0,'Combined Retirement'!$D$13/12)</f>
        <v>0</v>
      </c>
      <c r="F1164" s="25">
        <f>IF(H1164=0,'Combined Retirement'!$D$32,0)+'Combined Retirement'!$B$24</f>
        <v>2870.372285649099</v>
      </c>
      <c r="G1164" s="25">
        <f>'Combined Retirement'!$C$24</f>
        <v>3254.2644699519233</v>
      </c>
      <c r="H1164" s="25">
        <f>IF(B1164&lt;62,0,'Combined Retirement'!$I$14)</f>
        <v>2345</v>
      </c>
      <c r="I1164" s="25">
        <f>IF(C1164&lt;62,0,'Combined Retirement'!$I$13)</f>
        <v>2420</v>
      </c>
      <c r="J1164" s="25">
        <f t="shared" si="1043"/>
        <v>8395.6297298201844</v>
      </c>
      <c r="K1164" s="25">
        <f t="shared" si="1044"/>
        <v>21655.303514578787</v>
      </c>
      <c r="L1164" s="25"/>
      <c r="N1164" s="25">
        <f>'Combined Retirement'!$C$18/12</f>
        <v>40940.569999999992</v>
      </c>
      <c r="O1164" s="25">
        <f t="shared" si="1045"/>
        <v>10889.636755601023</v>
      </c>
      <c r="P1164" s="25">
        <f t="shared" si="1046"/>
        <v>30050.93324439897</v>
      </c>
      <c r="Q1164" s="25">
        <f t="array" aca="1" ref="Q1164" ca="1">INDEX('Isaac 401k'!L:L,MATCH('Retirement Calculator'!A1164,'Isaac 401k'!N:N,0),0)</f>
        <v>-34721947.919048473</v>
      </c>
      <c r="R1164" s="25">
        <f t="array" aca="1" ref="R1164" ca="1">INDEX('Lorri 401b'!L:L,MATCH('Retirement Calculator'!A1164,'Lorri 401b'!N:N,0),0)</f>
        <v>-67533818.580643028</v>
      </c>
      <c r="S1164" s="25">
        <f t="shared" ca="1" si="1047"/>
        <v>-102255766.4996915</v>
      </c>
    </row>
    <row r="1165" spans="1:19" ht="15.75" customHeight="1" x14ac:dyDescent="0.3">
      <c r="A1165" s="37">
        <v>86412</v>
      </c>
      <c r="B1165" s="398">
        <f t="shared" ref="B1165:C1165" si="1181">($A1165-B$9)/365.25</f>
        <v>154.70499657768653</v>
      </c>
      <c r="C1165" s="398">
        <f t="shared" si="1181"/>
        <v>150.09445585215605</v>
      </c>
      <c r="E1165" s="25">
        <f>IF(C1165&gt;$B$7,0,'Combined Retirement'!$D$13/12)</f>
        <v>0</v>
      </c>
      <c r="F1165" s="25">
        <f>IF(H1165=0,'Combined Retirement'!$D$32,0)+'Combined Retirement'!$B$24</f>
        <v>2870.372285649099</v>
      </c>
      <c r="G1165" s="25">
        <f>'Combined Retirement'!$C$24</f>
        <v>3254.2644699519233</v>
      </c>
      <c r="H1165" s="25">
        <f>IF(B1165&lt;62,0,'Combined Retirement'!$I$14)</f>
        <v>2345</v>
      </c>
      <c r="I1165" s="25">
        <f>IF(C1165&lt;62,0,'Combined Retirement'!$I$13)</f>
        <v>2420</v>
      </c>
      <c r="J1165" s="25">
        <f t="shared" si="1043"/>
        <v>8395.6297298201844</v>
      </c>
      <c r="K1165" s="25">
        <f t="shared" si="1044"/>
        <v>21655.303514578787</v>
      </c>
      <c r="L1165" s="25"/>
      <c r="N1165" s="25">
        <f>'Combined Retirement'!$C$18/12</f>
        <v>40940.569999999992</v>
      </c>
      <c r="O1165" s="25">
        <f t="shared" si="1045"/>
        <v>10889.636755601023</v>
      </c>
      <c r="P1165" s="25">
        <f t="shared" si="1046"/>
        <v>30050.93324439897</v>
      </c>
      <c r="Q1165" s="25">
        <f t="array" aca="1" ref="Q1165" ca="1">INDEX('Isaac 401k'!L:L,MATCH('Retirement Calculator'!A1165,'Isaac 401k'!N:N,0),0)</f>
        <v>-34875053.313564874</v>
      </c>
      <c r="R1165" s="25">
        <f t="array" aca="1" ref="R1165" ca="1">INDEX('Lorri 401b'!L:L,MATCH('Retirement Calculator'!A1165,'Lorri 401b'!N:N,0),0)</f>
        <v>-67836955.0253416</v>
      </c>
      <c r="S1165" s="25">
        <f t="shared" ca="1" si="1047"/>
        <v>-102712008.33890647</v>
      </c>
    </row>
    <row r="1166" spans="1:19" ht="15.75" customHeight="1" x14ac:dyDescent="0.3">
      <c r="A1166" s="37">
        <v>86443</v>
      </c>
      <c r="B1166" s="398">
        <f t="shared" ref="B1166:C1166" si="1182">($A1166-B$9)/365.25</f>
        <v>154.7898699520876</v>
      </c>
      <c r="C1166" s="398">
        <f t="shared" si="1182"/>
        <v>150.17932922655714</v>
      </c>
      <c r="E1166" s="25">
        <f>IF(C1166&gt;$B$7,0,'Combined Retirement'!$D$13/12)</f>
        <v>0</v>
      </c>
      <c r="F1166" s="25">
        <f>IF(H1166=0,'Combined Retirement'!$D$32,0)+'Combined Retirement'!$B$24</f>
        <v>2870.372285649099</v>
      </c>
      <c r="G1166" s="25">
        <f>'Combined Retirement'!$C$24</f>
        <v>3254.2644699519233</v>
      </c>
      <c r="H1166" s="25">
        <f>IF(B1166&lt;62,0,'Combined Retirement'!$I$14)</f>
        <v>2345</v>
      </c>
      <c r="I1166" s="25">
        <f>IF(C1166&lt;62,0,'Combined Retirement'!$I$13)</f>
        <v>2420</v>
      </c>
      <c r="J1166" s="25">
        <f t="shared" si="1043"/>
        <v>8395.6297298201844</v>
      </c>
      <c r="K1166" s="25">
        <f t="shared" si="1044"/>
        <v>21655.303514578787</v>
      </c>
      <c r="L1166" s="25"/>
      <c r="N1166" s="25">
        <f>'Combined Retirement'!$C$18/12</f>
        <v>40940.569999999992</v>
      </c>
      <c r="O1166" s="25">
        <f t="shared" si="1045"/>
        <v>10889.636755601023</v>
      </c>
      <c r="P1166" s="25">
        <f t="shared" si="1046"/>
        <v>30050.93324439897</v>
      </c>
      <c r="Q1166" s="25">
        <f t="array" aca="1" ref="Q1166" ca="1">INDEX('Isaac 401k'!L:L,MATCH('Retirement Calculator'!A1166,'Isaac 401k'!N:N,0),0)</f>
        <v>-35028796.647225089</v>
      </c>
      <c r="R1166" s="25">
        <f t="array" aca="1" ref="R1166" ca="1">INDEX('Lorri 401b'!L:L,MATCH('Retirement Calculator'!A1166,'Lorri 401b'!N:N,0),0)</f>
        <v>-68141354.53855975</v>
      </c>
      <c r="S1166" s="25">
        <f t="shared" ca="1" si="1047"/>
        <v>-103170151.18578485</v>
      </c>
    </row>
    <row r="1167" spans="1:19" ht="15.75" customHeight="1" x14ac:dyDescent="0.3">
      <c r="A1167" s="37">
        <v>86473</v>
      </c>
      <c r="B1167" s="398">
        <f t="shared" ref="B1167:C1167" si="1183">($A1167-B$9)/365.25</f>
        <v>154.87200547570157</v>
      </c>
      <c r="C1167" s="398">
        <f t="shared" si="1183"/>
        <v>150.26146475017111</v>
      </c>
      <c r="E1167" s="25">
        <f>IF(C1167&gt;$B$7,0,'Combined Retirement'!$D$13/12)</f>
        <v>0</v>
      </c>
      <c r="F1167" s="25">
        <f>IF(H1167=0,'Combined Retirement'!$D$32,0)+'Combined Retirement'!$B$24</f>
        <v>2870.372285649099</v>
      </c>
      <c r="G1167" s="25">
        <f>'Combined Retirement'!$C$24</f>
        <v>3254.2644699519233</v>
      </c>
      <c r="H1167" s="25">
        <f>IF(B1167&lt;62,0,'Combined Retirement'!$I$14)</f>
        <v>2345</v>
      </c>
      <c r="I1167" s="25">
        <f>IF(C1167&lt;62,0,'Combined Retirement'!$I$13)</f>
        <v>2420</v>
      </c>
      <c r="J1167" s="25">
        <f t="shared" si="1043"/>
        <v>8395.6297298201844</v>
      </c>
      <c r="K1167" s="25">
        <f t="shared" si="1044"/>
        <v>21655.303514578787</v>
      </c>
      <c r="L1167" s="25"/>
      <c r="N1167" s="25">
        <f>'Combined Retirement'!$C$18/12</f>
        <v>40940.569999999992</v>
      </c>
      <c r="O1167" s="25">
        <f t="shared" si="1045"/>
        <v>10889.636755601023</v>
      </c>
      <c r="P1167" s="25">
        <f t="shared" si="1046"/>
        <v>30050.93324439897</v>
      </c>
      <c r="Q1167" s="25">
        <f t="array" aca="1" ref="Q1167" ca="1">INDEX('Isaac 401k'!L:L,MATCH('Retirement Calculator'!A1167,'Isaac 401k'!N:N,0),0)</f>
        <v>-35183180.578108892</v>
      </c>
      <c r="R1167" s="25">
        <f t="array" aca="1" ref="R1167" ca="1">INDEX('Lorri 401b'!L:L,MATCH('Retirement Calculator'!A1167,'Lorri 401b'!N:N,0),0)</f>
        <v>-68447022.383082971</v>
      </c>
      <c r="S1167" s="25">
        <f t="shared" ca="1" si="1047"/>
        <v>-103630202.96119186</v>
      </c>
    </row>
    <row r="1168" spans="1:19" ht="15.75" customHeight="1" x14ac:dyDescent="0.3">
      <c r="A1168" s="37">
        <v>86504</v>
      </c>
      <c r="B1168" s="398">
        <f t="shared" ref="B1168:C1168" si="1184">($A1168-B$9)/365.25</f>
        <v>154.95687885010267</v>
      </c>
      <c r="C1168" s="398">
        <f t="shared" si="1184"/>
        <v>150.34633812457221</v>
      </c>
      <c r="E1168" s="25">
        <f>IF(C1168&gt;$B$7,0,'Combined Retirement'!$D$13/12)</f>
        <v>0</v>
      </c>
      <c r="F1168" s="25">
        <f>IF(H1168=0,'Combined Retirement'!$D$32,0)+'Combined Retirement'!$B$24</f>
        <v>2870.372285649099</v>
      </c>
      <c r="G1168" s="25">
        <f>'Combined Retirement'!$C$24</f>
        <v>3254.2644699519233</v>
      </c>
      <c r="H1168" s="25">
        <f>IF(B1168&lt;62,0,'Combined Retirement'!$I$14)</f>
        <v>2345</v>
      </c>
      <c r="I1168" s="25">
        <f>IF(C1168&lt;62,0,'Combined Retirement'!$I$13)</f>
        <v>2420</v>
      </c>
      <c r="J1168" s="25">
        <f t="shared" si="1043"/>
        <v>8395.6297298201844</v>
      </c>
      <c r="K1168" s="25">
        <f t="shared" si="1044"/>
        <v>21655.303514578787</v>
      </c>
      <c r="L1168" s="25"/>
      <c r="N1168" s="25">
        <f>'Combined Retirement'!$C$18/12</f>
        <v>40940.569999999992</v>
      </c>
      <c r="O1168" s="25">
        <f t="shared" si="1045"/>
        <v>10889.636755601023</v>
      </c>
      <c r="P1168" s="25">
        <f t="shared" si="1046"/>
        <v>30050.93324439897</v>
      </c>
      <c r="Q1168" s="25">
        <f t="array" aca="1" ref="Q1168" ca="1">INDEX('Isaac 401k'!L:L,MATCH('Retirement Calculator'!A1168,'Isaac 401k'!N:N,0),0)</f>
        <v>-35338207.775371373</v>
      </c>
      <c r="R1168" s="25">
        <f t="array" aca="1" ref="R1168" ca="1">INDEX('Lorri 401b'!L:L,MATCH('Retirement Calculator'!A1168,'Lorri 401b'!N:N,0),0)</f>
        <v>-68753963.843625039</v>
      </c>
      <c r="S1168" s="25">
        <f t="shared" ca="1" si="1047"/>
        <v>-104092171.61899641</v>
      </c>
    </row>
    <row r="1169" spans="1:19" ht="15.75" customHeight="1" x14ac:dyDescent="0.3">
      <c r="A1169" s="37">
        <v>86534</v>
      </c>
      <c r="B1169" s="398">
        <f t="shared" ref="B1169:C1169" si="1185">($A1169-B$9)/365.25</f>
        <v>155.03901437371664</v>
      </c>
      <c r="C1169" s="398">
        <f t="shared" si="1185"/>
        <v>150.42847364818618</v>
      </c>
      <c r="E1169" s="25">
        <f>IF(C1169&gt;$B$7,0,'Combined Retirement'!$D$13/12)</f>
        <v>0</v>
      </c>
      <c r="F1169" s="25">
        <f>IF(H1169=0,'Combined Retirement'!$D$32,0)+'Combined Retirement'!$B$24</f>
        <v>2870.372285649099</v>
      </c>
      <c r="G1169" s="25">
        <f>'Combined Retirement'!$C$24</f>
        <v>3254.2644699519233</v>
      </c>
      <c r="H1169" s="25">
        <f>IF(B1169&lt;62,0,'Combined Retirement'!$I$14)</f>
        <v>2345</v>
      </c>
      <c r="I1169" s="25">
        <f>IF(C1169&lt;62,0,'Combined Retirement'!$I$13)</f>
        <v>2420</v>
      </c>
      <c r="J1169" s="25">
        <f t="shared" si="1043"/>
        <v>8395.6297298201844</v>
      </c>
      <c r="K1169" s="25">
        <f t="shared" si="1044"/>
        <v>21655.303514578787</v>
      </c>
      <c r="L1169" s="25"/>
      <c r="N1169" s="25">
        <f>'Combined Retirement'!$C$18/12</f>
        <v>40940.569999999992</v>
      </c>
      <c r="O1169" s="25">
        <f t="shared" si="1045"/>
        <v>10889.636755601023</v>
      </c>
      <c r="P1169" s="25">
        <f t="shared" si="1046"/>
        <v>30050.93324439897</v>
      </c>
      <c r="Q1169" s="25">
        <f t="array" aca="1" ref="Q1169" ca="1">INDEX('Isaac 401k'!L:L,MATCH('Retirement Calculator'!A1169,'Isaac 401k'!N:N,0),0)</f>
        <v>-35493880.91928912</v>
      </c>
      <c r="R1169" s="25">
        <f t="array" aca="1" ref="R1169" ca="1">INDEX('Lorri 401b'!L:L,MATCH('Retirement Calculator'!A1169,'Lorri 401b'!N:N,0),0)</f>
        <v>-69062184.226919368</v>
      </c>
      <c r="S1169" s="25">
        <f t="shared" ca="1" si="1047"/>
        <v>-104556065.14620849</v>
      </c>
    </row>
    <row r="1170" spans="1:19" ht="15.75" customHeight="1" x14ac:dyDescent="0.3">
      <c r="A1170" s="37">
        <v>86565</v>
      </c>
      <c r="B1170" s="398">
        <f t="shared" ref="B1170:C1170" si="1186">($A1170-B$9)/365.25</f>
        <v>155.12388774811774</v>
      </c>
      <c r="C1170" s="398">
        <f t="shared" si="1186"/>
        <v>150.51334702258728</v>
      </c>
      <c r="E1170" s="25">
        <f>IF(C1170&gt;$B$7,0,'Combined Retirement'!$D$13/12)</f>
        <v>0</v>
      </c>
      <c r="F1170" s="25">
        <f>IF(H1170=0,'Combined Retirement'!$D$32,0)+'Combined Retirement'!$B$24</f>
        <v>2870.372285649099</v>
      </c>
      <c r="G1170" s="25">
        <f>'Combined Retirement'!$C$24</f>
        <v>3254.2644699519233</v>
      </c>
      <c r="H1170" s="25">
        <f>IF(B1170&lt;62,0,'Combined Retirement'!$I$14)</f>
        <v>2345</v>
      </c>
      <c r="I1170" s="25">
        <f>IF(C1170&lt;62,0,'Combined Retirement'!$I$13)</f>
        <v>2420</v>
      </c>
      <c r="J1170" s="25">
        <f t="shared" si="1043"/>
        <v>8395.6297298201844</v>
      </c>
      <c r="K1170" s="25">
        <f t="shared" si="1044"/>
        <v>21655.303514578787</v>
      </c>
      <c r="L1170" s="25"/>
      <c r="N1170" s="25">
        <f>'Combined Retirement'!$C$18/12</f>
        <v>40940.569999999992</v>
      </c>
      <c r="O1170" s="25">
        <f t="shared" si="1045"/>
        <v>10889.636755601023</v>
      </c>
      <c r="P1170" s="25">
        <f t="shared" si="1046"/>
        <v>30050.93324439897</v>
      </c>
      <c r="Q1170" s="25">
        <f t="array" aca="1" ref="Q1170" ca="1">INDEX('Isaac 401k'!L:L,MATCH('Retirement Calculator'!A1170,'Isaac 401k'!N:N,0),0)</f>
        <v>-35650202.701306522</v>
      </c>
      <c r="R1170" s="25">
        <f t="array" aca="1" ref="R1170" ca="1">INDEX('Lorri 401b'!L:L,MATCH('Retirement Calculator'!A1170,'Lorri 401b'!N:N,0),0)</f>
        <v>-69371688.861810759</v>
      </c>
      <c r="S1170" s="25">
        <f t="shared" ca="1" si="1047"/>
        <v>-105021891.56311728</v>
      </c>
    </row>
    <row r="1171" spans="1:19" ht="15.75" customHeight="1" x14ac:dyDescent="0.3">
      <c r="A1171" s="37">
        <v>86596</v>
      </c>
      <c r="B1171" s="398">
        <f t="shared" ref="B1171:C1171" si="1187">($A1171-B$9)/365.25</f>
        <v>155.20876112251884</v>
      </c>
      <c r="C1171" s="398">
        <f t="shared" si="1187"/>
        <v>150.59822039698835</v>
      </c>
      <c r="E1171" s="25">
        <f>IF(C1171&gt;$B$7,0,'Combined Retirement'!$D$13/12)</f>
        <v>0</v>
      </c>
      <c r="F1171" s="25">
        <f>IF(H1171=0,'Combined Retirement'!$D$32,0)+'Combined Retirement'!$B$24</f>
        <v>2870.372285649099</v>
      </c>
      <c r="G1171" s="25">
        <f>'Combined Retirement'!$C$24</f>
        <v>3254.2644699519233</v>
      </c>
      <c r="H1171" s="25">
        <f>IF(B1171&lt;62,0,'Combined Retirement'!$I$14)</f>
        <v>2345</v>
      </c>
      <c r="I1171" s="25">
        <f>IF(C1171&lt;62,0,'Combined Retirement'!$I$13)</f>
        <v>2420</v>
      </c>
      <c r="J1171" s="25">
        <f t="shared" si="1043"/>
        <v>8395.6297298201844</v>
      </c>
      <c r="K1171" s="25">
        <f t="shared" si="1044"/>
        <v>21655.303514578787</v>
      </c>
      <c r="L1171" s="25"/>
      <c r="N1171" s="25">
        <f>'Combined Retirement'!$C$18/12</f>
        <v>40940.569999999992</v>
      </c>
      <c r="O1171" s="25">
        <f t="shared" si="1045"/>
        <v>10889.636755601023</v>
      </c>
      <c r="P1171" s="25">
        <f t="shared" si="1046"/>
        <v>30050.93324439897</v>
      </c>
      <c r="Q1171" s="25">
        <f t="array" aca="1" ref="Q1171" ca="1">INDEX('Isaac 401k'!L:L,MATCH('Retirement Calculator'!A1171,'Isaac 401k'!N:N,0),0)</f>
        <v>-35807175.82408233</v>
      </c>
      <c r="R1171" s="25">
        <f t="array" aca="1" ref="R1171" ca="1">INDEX('Lorri 401b'!L:L,MATCH('Retirement Calculator'!A1171,'Lorri 401b'!N:N,0),0)</f>
        <v>-69682483.099347532</v>
      </c>
      <c r="S1171" s="25">
        <f t="shared" ca="1" si="1047"/>
        <v>-105489658.92342986</v>
      </c>
    </row>
  </sheetData>
  <autoFilter ref="A10:P10" xr:uid="{00000000-0009-0000-0000-000009000000}"/>
  <mergeCells count="2">
    <mergeCell ref="M1:N1"/>
    <mergeCell ref="J6:K6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1"/>
  <sheetViews>
    <sheetView workbookViewId="0">
      <pane ySplit="6" topLeftCell="A61" activePane="bottomLeft" state="frozen"/>
      <selection pane="bottomLeft" activeCell="D82" sqref="D82"/>
    </sheetView>
  </sheetViews>
  <sheetFormatPr defaultColWidth="14.44140625" defaultRowHeight="15" customHeight="1" x14ac:dyDescent="0.3"/>
  <cols>
    <col min="1" max="1" width="11.33203125" customWidth="1"/>
    <col min="2" max="3" width="11" customWidth="1"/>
    <col min="4" max="4" width="15.6640625" customWidth="1"/>
    <col min="5" max="5" width="16.109375" customWidth="1"/>
    <col min="6" max="6" width="14.109375" customWidth="1"/>
    <col min="7" max="7" width="10" customWidth="1"/>
    <col min="8" max="8" width="19.33203125" customWidth="1"/>
    <col min="9" max="9" width="16.109375" customWidth="1"/>
    <col min="10" max="10" width="13.109375" customWidth="1"/>
    <col min="11" max="11" width="8" customWidth="1"/>
    <col min="12" max="13" width="13.6640625" customWidth="1"/>
    <col min="14" max="14" width="16.109375" customWidth="1"/>
    <col min="15" max="15" width="12.6640625" customWidth="1"/>
    <col min="16" max="16" width="8" customWidth="1"/>
    <col min="17" max="17" width="19.33203125" customWidth="1"/>
    <col min="18" max="18" width="13.109375" customWidth="1"/>
    <col min="19" max="19" width="16.109375" customWidth="1"/>
    <col min="20" max="20" width="13.109375" customWidth="1"/>
    <col min="21" max="21" width="8" customWidth="1"/>
    <col min="22" max="22" width="15.109375" customWidth="1"/>
    <col min="23" max="23" width="13.109375" customWidth="1"/>
    <col min="24" max="24" width="16.109375" customWidth="1"/>
    <col min="25" max="25" width="12.6640625" customWidth="1"/>
    <col min="26" max="26" width="8" customWidth="1"/>
  </cols>
  <sheetData>
    <row r="1" spans="1:26" ht="11.25" customHeight="1" x14ac:dyDescent="0.3">
      <c r="A1" s="293"/>
      <c r="B1" s="338" t="s">
        <v>592</v>
      </c>
      <c r="C1" s="338" t="s">
        <v>593</v>
      </c>
      <c r="D1" s="399" t="s">
        <v>594</v>
      </c>
      <c r="E1" s="399" t="s">
        <v>595</v>
      </c>
      <c r="F1" s="399" t="s">
        <v>596</v>
      </c>
      <c r="G1" s="399" t="s">
        <v>597</v>
      </c>
      <c r="H1" s="296"/>
      <c r="I1" s="296"/>
      <c r="J1" s="400"/>
      <c r="K1" s="400"/>
      <c r="L1" s="296"/>
      <c r="M1" s="296"/>
      <c r="N1" s="296"/>
      <c r="O1" s="400"/>
      <c r="P1" s="400"/>
      <c r="Q1" s="401">
        <f ca="1">(TODAY()-B18)/365</f>
        <v>16.109589041095891</v>
      </c>
      <c r="R1" s="400"/>
      <c r="S1" s="400"/>
      <c r="T1" s="400"/>
      <c r="U1" s="400"/>
      <c r="V1" s="401">
        <f ca="1">(TODAY()-B16)/365</f>
        <v>16.605479452054794</v>
      </c>
      <c r="W1" s="296"/>
      <c r="X1" s="400"/>
      <c r="Y1" s="296"/>
      <c r="Z1" s="296"/>
    </row>
    <row r="2" spans="1:26" ht="11.25" customHeight="1" x14ac:dyDescent="0.3">
      <c r="A2" s="401">
        <f ca="1">(C2-B2)/365</f>
        <v>18.860273972602741</v>
      </c>
      <c r="B2" s="338">
        <v>39356</v>
      </c>
      <c r="C2" s="338">
        <f ca="1">TODAY()</f>
        <v>46240</v>
      </c>
      <c r="D2" s="399">
        <f>-(SUM(D7:D82))</f>
        <v>-447933.84000000008</v>
      </c>
      <c r="E2" s="399">
        <f>(H83+L83+Q83+V83)*-1</f>
        <v>1111264.99</v>
      </c>
      <c r="F2" s="285">
        <f ca="1">D4</f>
        <v>0.11278277039527893</v>
      </c>
      <c r="G2" s="402">
        <f ca="1">(72/(F2*100))</f>
        <v>6.3839538386631007</v>
      </c>
      <c r="H2" s="401"/>
      <c r="I2" s="296"/>
      <c r="J2" s="400"/>
      <c r="K2" s="400"/>
      <c r="L2" s="296"/>
      <c r="M2" s="296"/>
      <c r="N2" s="296"/>
      <c r="O2" s="400"/>
      <c r="P2" s="400"/>
      <c r="Q2" s="400"/>
      <c r="R2" s="400"/>
      <c r="S2" s="400"/>
      <c r="T2" s="400"/>
      <c r="U2" s="400"/>
      <c r="V2" s="400"/>
      <c r="W2" s="296"/>
      <c r="X2" s="400"/>
      <c r="Y2" s="296"/>
      <c r="Z2" s="296"/>
    </row>
    <row r="3" spans="1:26" ht="11.25" customHeight="1" x14ac:dyDescent="0.3">
      <c r="A3" s="293"/>
      <c r="B3" s="403"/>
      <c r="C3" s="403"/>
      <c r="D3" s="400"/>
      <c r="E3" s="400"/>
      <c r="F3" s="296"/>
      <c r="G3" s="296"/>
      <c r="H3" s="296"/>
      <c r="I3" s="296"/>
      <c r="J3" s="400"/>
      <c r="K3" s="400"/>
      <c r="L3" s="296"/>
      <c r="M3" s="296"/>
      <c r="N3" s="296"/>
      <c r="O3" s="400"/>
      <c r="P3" s="400"/>
      <c r="Q3" s="400"/>
      <c r="R3" s="400"/>
      <c r="S3" s="400"/>
      <c r="T3" s="400"/>
      <c r="U3" s="400"/>
      <c r="V3" s="400"/>
      <c r="W3" s="296"/>
      <c r="X3" s="400"/>
      <c r="Y3" s="296"/>
      <c r="Z3" s="296"/>
    </row>
    <row r="4" spans="1:26" ht="11.25" customHeight="1" x14ac:dyDescent="0.3">
      <c r="A4" s="404"/>
      <c r="B4" s="405"/>
      <c r="C4" s="406"/>
      <c r="D4" s="296">
        <f ca="1">XIRR(D7:D83,B7:B83)</f>
        <v>0.11278277039527893</v>
      </c>
      <c r="E4" s="400"/>
      <c r="F4" s="296"/>
      <c r="G4" s="296"/>
      <c r="H4" s="296"/>
      <c r="I4" s="400"/>
      <c r="J4" s="296">
        <f ca="1">XIRR(H8:H83,B8:B83)</f>
        <v>0.11456163525581362</v>
      </c>
      <c r="K4" s="296"/>
      <c r="L4" s="296"/>
      <c r="M4" s="296"/>
      <c r="N4" s="400"/>
      <c r="O4" s="296">
        <f ca="1">XIRR(L7:L83,B7:B83)</f>
        <v>0.11154856085777282</v>
      </c>
      <c r="P4" s="296"/>
      <c r="Q4" s="296"/>
      <c r="R4" s="400"/>
      <c r="S4" s="400"/>
      <c r="T4" s="296">
        <f ca="1">XIRR(Q18:Q83,B18:B83)</f>
        <v>0.11150876879692079</v>
      </c>
      <c r="U4" s="296"/>
      <c r="V4" s="296"/>
      <c r="W4" s="296"/>
      <c r="X4" s="400"/>
      <c r="Y4" s="296">
        <f ca="1">XIRR(V16:V83,B16:B83)</f>
        <v>0.11148554682731629</v>
      </c>
      <c r="Z4" s="296"/>
    </row>
    <row r="5" spans="1:26" ht="11.25" customHeight="1" x14ac:dyDescent="0.3">
      <c r="A5" s="404"/>
      <c r="B5" s="295"/>
      <c r="C5" s="295"/>
      <c r="D5" s="567" t="s">
        <v>598</v>
      </c>
      <c r="E5" s="563"/>
      <c r="F5" s="563"/>
      <c r="G5" s="548"/>
      <c r="H5" s="568" t="s">
        <v>599</v>
      </c>
      <c r="I5" s="563"/>
      <c r="J5" s="563"/>
      <c r="K5" s="548"/>
      <c r="L5" s="569" t="s">
        <v>600</v>
      </c>
      <c r="M5" s="563"/>
      <c r="N5" s="563"/>
      <c r="O5" s="563"/>
      <c r="P5" s="548"/>
      <c r="Q5" s="568" t="s">
        <v>601</v>
      </c>
      <c r="R5" s="563"/>
      <c r="S5" s="563"/>
      <c r="T5" s="563"/>
      <c r="U5" s="548"/>
      <c r="V5" s="569" t="s">
        <v>602</v>
      </c>
      <c r="W5" s="563"/>
      <c r="X5" s="563"/>
      <c r="Y5" s="563"/>
      <c r="Z5" s="548"/>
    </row>
    <row r="6" spans="1:26" ht="11.25" customHeight="1" x14ac:dyDescent="0.3">
      <c r="A6" s="407" t="s">
        <v>603</v>
      </c>
      <c r="B6" s="407">
        <f ca="1">MAX(A:A)</f>
        <v>76</v>
      </c>
      <c r="C6" s="405"/>
      <c r="D6" s="338" t="s">
        <v>604</v>
      </c>
      <c r="E6" s="285" t="s">
        <v>605</v>
      </c>
      <c r="F6" s="285" t="s">
        <v>606</v>
      </c>
      <c r="G6" s="285" t="s">
        <v>607</v>
      </c>
      <c r="H6" s="408" t="s">
        <v>604</v>
      </c>
      <c r="I6" s="408" t="s">
        <v>605</v>
      </c>
      <c r="J6" s="408" t="s">
        <v>606</v>
      </c>
      <c r="K6" s="408" t="s">
        <v>607</v>
      </c>
      <c r="L6" s="409" t="s">
        <v>604</v>
      </c>
      <c r="M6" s="409" t="s">
        <v>608</v>
      </c>
      <c r="N6" s="409" t="s">
        <v>605</v>
      </c>
      <c r="O6" s="409" t="s">
        <v>606</v>
      </c>
      <c r="P6" s="409" t="s">
        <v>607</v>
      </c>
      <c r="Q6" s="408" t="s">
        <v>609</v>
      </c>
      <c r="R6" s="408" t="s">
        <v>610</v>
      </c>
      <c r="S6" s="408" t="s">
        <v>611</v>
      </c>
      <c r="T6" s="408" t="s">
        <v>606</v>
      </c>
      <c r="U6" s="408" t="s">
        <v>607</v>
      </c>
      <c r="V6" s="409" t="s">
        <v>612</v>
      </c>
      <c r="W6" s="409" t="s">
        <v>610</v>
      </c>
      <c r="X6" s="409" t="s">
        <v>605</v>
      </c>
      <c r="Y6" s="409" t="s">
        <v>606</v>
      </c>
      <c r="Z6" s="409" t="s">
        <v>607</v>
      </c>
    </row>
    <row r="7" spans="1:26" ht="11.25" customHeight="1" x14ac:dyDescent="0.3">
      <c r="A7" s="410">
        <f>_xlfn.RANK.EQ(G7,$G$7:$G$82)</f>
        <v>58</v>
      </c>
      <c r="B7" s="411">
        <v>39356</v>
      </c>
      <c r="C7" s="411">
        <v>39447</v>
      </c>
      <c r="D7" s="399">
        <f t="shared" ref="D7:D82" si="0">H7+L7+Q7+V7</f>
        <v>33.119999999999997</v>
      </c>
      <c r="E7" s="341">
        <f t="shared" ref="E7:F7" si="1">I7+N7+S7+X7</f>
        <v>0.05</v>
      </c>
      <c r="F7" s="341">
        <f t="shared" si="1"/>
        <v>33.17</v>
      </c>
      <c r="G7" s="285">
        <f>E7/(0+(D7/2))</f>
        <v>3.0193236714975849E-3</v>
      </c>
      <c r="H7" s="408">
        <v>0</v>
      </c>
      <c r="I7" s="408"/>
      <c r="J7" s="408"/>
      <c r="K7" s="412"/>
      <c r="L7" s="409">
        <v>33.119999999999997</v>
      </c>
      <c r="M7" s="409"/>
      <c r="N7" s="409">
        <v>0.05</v>
      </c>
      <c r="O7" s="409">
        <v>33.17</v>
      </c>
      <c r="P7" s="413">
        <f>N7/(0+(L7/2))</f>
        <v>3.0193236714975849E-3</v>
      </c>
      <c r="Q7" s="408"/>
      <c r="R7" s="408"/>
      <c r="S7" s="408"/>
      <c r="T7" s="408"/>
      <c r="U7" s="408"/>
      <c r="V7" s="409"/>
      <c r="W7" s="409"/>
      <c r="X7" s="409"/>
      <c r="Y7" s="409"/>
      <c r="Z7" s="409"/>
    </row>
    <row r="8" spans="1:26" ht="11.25" customHeight="1" x14ac:dyDescent="0.3">
      <c r="A8" s="410">
        <f t="shared" ref="A8:A71" si="2">_xlfn.RANK.EQ(G8,$G$7:$G$82)</f>
        <v>55</v>
      </c>
      <c r="B8" s="411">
        <v>39448</v>
      </c>
      <c r="C8" s="411">
        <v>39538</v>
      </c>
      <c r="D8" s="399">
        <f t="shared" si="0"/>
        <v>616.89</v>
      </c>
      <c r="E8" s="341">
        <f t="shared" ref="E8:F8" si="3">I8+N8+S8+X8</f>
        <v>2.14</v>
      </c>
      <c r="F8" s="341">
        <f t="shared" si="3"/>
        <v>652.20000000000005</v>
      </c>
      <c r="G8" s="285">
        <f t="shared" ref="G8:G82" si="4">E8/(F7+(D8/2))</f>
        <v>6.2643619279012927E-3</v>
      </c>
      <c r="H8" s="408">
        <v>479.8</v>
      </c>
      <c r="I8" s="408">
        <v>1.1200000000000001</v>
      </c>
      <c r="J8" s="408">
        <v>480.92</v>
      </c>
      <c r="K8" s="412">
        <f t="shared" ref="K8:K82" si="5">I8/(J7+(H8/2))</f>
        <v>4.6686119216340144E-3</v>
      </c>
      <c r="L8" s="409">
        <v>137.09</v>
      </c>
      <c r="M8" s="409"/>
      <c r="N8" s="409">
        <v>1.02</v>
      </c>
      <c r="O8" s="409">
        <f t="shared" ref="O8:O75" si="6">O7+L8+N8</f>
        <v>171.28</v>
      </c>
      <c r="P8" s="413">
        <f t="shared" ref="P8:P82" si="7">N8/(O7+(L8/2))</f>
        <v>1.0028019466155435E-2</v>
      </c>
      <c r="Q8" s="408"/>
      <c r="R8" s="408"/>
      <c r="S8" s="408"/>
      <c r="T8" s="408"/>
      <c r="U8" s="408"/>
      <c r="V8" s="409"/>
      <c r="W8" s="409"/>
      <c r="X8" s="409"/>
      <c r="Y8" s="409"/>
      <c r="Z8" s="409"/>
    </row>
    <row r="9" spans="1:26" ht="11.25" customHeight="1" x14ac:dyDescent="0.3">
      <c r="A9" s="410">
        <f t="shared" si="2"/>
        <v>52</v>
      </c>
      <c r="B9" s="411">
        <v>39539</v>
      </c>
      <c r="C9" s="411">
        <v>39629</v>
      </c>
      <c r="D9" s="399">
        <f t="shared" si="0"/>
        <v>1853.77</v>
      </c>
      <c r="E9" s="341">
        <f t="shared" ref="E9:F9" si="8">I9+N9+S9+X9</f>
        <v>12.58</v>
      </c>
      <c r="F9" s="341">
        <f t="shared" si="8"/>
        <v>2518.5500000000002</v>
      </c>
      <c r="G9" s="285">
        <f t="shared" si="4"/>
        <v>7.9666389079751879E-3</v>
      </c>
      <c r="H9" s="408">
        <v>1185.3800000000001</v>
      </c>
      <c r="I9" s="408">
        <v>9.18</v>
      </c>
      <c r="J9" s="408">
        <f t="shared" ref="J9:J82" si="9">J8+H9+I9</f>
        <v>1675.4800000000002</v>
      </c>
      <c r="K9" s="412">
        <f t="shared" si="5"/>
        <v>8.5505909967306549E-3</v>
      </c>
      <c r="L9" s="409">
        <v>668.39</v>
      </c>
      <c r="M9" s="409"/>
      <c r="N9" s="409">
        <v>3.4</v>
      </c>
      <c r="O9" s="409">
        <f t="shared" si="6"/>
        <v>843.06999999999994</v>
      </c>
      <c r="P9" s="413">
        <f t="shared" si="7"/>
        <v>6.7263465057619065E-3</v>
      </c>
      <c r="Q9" s="408"/>
      <c r="R9" s="408"/>
      <c r="S9" s="408"/>
      <c r="T9" s="408"/>
      <c r="U9" s="408"/>
      <c r="V9" s="409"/>
      <c r="W9" s="409"/>
      <c r="X9" s="409"/>
      <c r="Y9" s="409"/>
      <c r="Z9" s="409"/>
    </row>
    <row r="10" spans="1:26" ht="11.25" customHeight="1" x14ac:dyDescent="0.3">
      <c r="A10" s="410">
        <f t="shared" si="2"/>
        <v>49</v>
      </c>
      <c r="B10" s="411">
        <v>39630</v>
      </c>
      <c r="C10" s="411">
        <v>39721</v>
      </c>
      <c r="D10" s="399">
        <f t="shared" si="0"/>
        <v>1317.67</v>
      </c>
      <c r="E10" s="341">
        <f t="shared" ref="E10:F10" si="10">I10+N10+S10+X10</f>
        <v>32.43</v>
      </c>
      <c r="F10" s="341">
        <f t="shared" si="10"/>
        <v>3868.6500000000005</v>
      </c>
      <c r="G10" s="285">
        <f t="shared" si="4"/>
        <v>1.0206506293697489E-2</v>
      </c>
      <c r="H10" s="408">
        <v>1016.04</v>
      </c>
      <c r="I10" s="408">
        <v>22.28</v>
      </c>
      <c r="J10" s="408">
        <f t="shared" si="9"/>
        <v>2713.8000000000006</v>
      </c>
      <c r="K10" s="412">
        <f t="shared" si="5"/>
        <v>1.0203801236546829E-2</v>
      </c>
      <c r="L10" s="409">
        <v>301.63</v>
      </c>
      <c r="M10" s="409"/>
      <c r="N10" s="409">
        <v>10.15</v>
      </c>
      <c r="O10" s="409">
        <f t="shared" si="6"/>
        <v>1154.8499999999999</v>
      </c>
      <c r="P10" s="413">
        <f t="shared" si="7"/>
        <v>1.0212449126407985E-2</v>
      </c>
      <c r="Q10" s="408"/>
      <c r="R10" s="408"/>
      <c r="S10" s="408"/>
      <c r="T10" s="408"/>
      <c r="U10" s="408"/>
      <c r="V10" s="409"/>
      <c r="W10" s="409"/>
      <c r="X10" s="409"/>
      <c r="Y10" s="409"/>
      <c r="Z10" s="409"/>
    </row>
    <row r="11" spans="1:26" ht="11.25" customHeight="1" x14ac:dyDescent="0.3">
      <c r="A11" s="410">
        <f t="shared" si="2"/>
        <v>50</v>
      </c>
      <c r="B11" s="411">
        <v>39722</v>
      </c>
      <c r="C11" s="411">
        <v>39813</v>
      </c>
      <c r="D11" s="399">
        <f t="shared" si="0"/>
        <v>1523.3000000000002</v>
      </c>
      <c r="E11" s="341">
        <f t="shared" ref="E11:F11" si="11">I11+N11+S11+X11</f>
        <v>39.36</v>
      </c>
      <c r="F11" s="341">
        <f t="shared" si="11"/>
        <v>5431.31</v>
      </c>
      <c r="G11" s="285">
        <f t="shared" si="4"/>
        <v>8.5005291233829321E-3</v>
      </c>
      <c r="H11" s="408">
        <v>1255.94</v>
      </c>
      <c r="I11" s="408">
        <v>28.04</v>
      </c>
      <c r="J11" s="408">
        <f t="shared" si="9"/>
        <v>3997.7800000000007</v>
      </c>
      <c r="K11" s="412">
        <f t="shared" si="5"/>
        <v>8.3907629789004012E-3</v>
      </c>
      <c r="L11" s="409">
        <v>267.36</v>
      </c>
      <c r="M11" s="409"/>
      <c r="N11" s="409">
        <v>11.32</v>
      </c>
      <c r="O11" s="409">
        <f t="shared" si="6"/>
        <v>1433.53</v>
      </c>
      <c r="P11" s="413">
        <f t="shared" si="7"/>
        <v>8.7852048458320724E-3</v>
      </c>
      <c r="Q11" s="408"/>
      <c r="R11" s="408"/>
      <c r="S11" s="408"/>
      <c r="T11" s="408"/>
      <c r="U11" s="408"/>
      <c r="V11" s="409"/>
      <c r="W11" s="409"/>
      <c r="X11" s="409"/>
      <c r="Y11" s="409"/>
      <c r="Z11" s="409"/>
    </row>
    <row r="12" spans="1:26" ht="11.25" customHeight="1" x14ac:dyDescent="0.3">
      <c r="A12" s="410">
        <f t="shared" si="2"/>
        <v>64</v>
      </c>
      <c r="B12" s="414">
        <v>39814</v>
      </c>
      <c r="C12" s="414">
        <v>39903</v>
      </c>
      <c r="D12" s="399">
        <f t="shared" si="0"/>
        <v>1580.0299999999997</v>
      </c>
      <c r="E12" s="341">
        <f t="shared" ref="E12:F12" si="12">I12+N12+S12+X12</f>
        <v>-150.55000000000001</v>
      </c>
      <c r="F12" s="341">
        <f t="shared" si="12"/>
        <v>6860.7900000000009</v>
      </c>
      <c r="G12" s="285">
        <f t="shared" si="4"/>
        <v>-2.4199025127283978E-2</v>
      </c>
      <c r="H12" s="408">
        <v>1523.0499999999997</v>
      </c>
      <c r="I12" s="408">
        <v>-105.23</v>
      </c>
      <c r="J12" s="408">
        <f t="shared" si="9"/>
        <v>5415.6</v>
      </c>
      <c r="K12" s="412">
        <f t="shared" si="5"/>
        <v>-2.2110371157133237E-2</v>
      </c>
      <c r="L12" s="409">
        <v>56.98</v>
      </c>
      <c r="M12" s="409"/>
      <c r="N12" s="409">
        <v>-45.32</v>
      </c>
      <c r="O12" s="409">
        <f t="shared" si="6"/>
        <v>1445.19</v>
      </c>
      <c r="P12" s="413">
        <f t="shared" si="7"/>
        <v>-3.0998207958851453E-2</v>
      </c>
      <c r="Q12" s="408"/>
      <c r="R12" s="408"/>
      <c r="S12" s="408"/>
      <c r="T12" s="408"/>
      <c r="U12" s="408"/>
      <c r="V12" s="409"/>
      <c r="W12" s="409"/>
      <c r="X12" s="409"/>
      <c r="Y12" s="409"/>
      <c r="Z12" s="409"/>
    </row>
    <row r="13" spans="1:26" ht="11.25" customHeight="1" x14ac:dyDescent="0.3">
      <c r="A13" s="410">
        <f t="shared" si="2"/>
        <v>2</v>
      </c>
      <c r="B13" s="411">
        <v>39904</v>
      </c>
      <c r="C13" s="411">
        <v>39994</v>
      </c>
      <c r="D13" s="399">
        <f t="shared" si="0"/>
        <v>2024.3000000000002</v>
      </c>
      <c r="E13" s="341">
        <f t="shared" ref="E13:F13" si="13">I13+N13+S13+X13</f>
        <v>1364.23</v>
      </c>
      <c r="F13" s="341">
        <f t="shared" si="13"/>
        <v>10249.32</v>
      </c>
      <c r="G13" s="285">
        <f t="shared" si="4"/>
        <v>0.17328088363432212</v>
      </c>
      <c r="H13" s="408">
        <v>1796.41</v>
      </c>
      <c r="I13" s="408">
        <v>1083.82</v>
      </c>
      <c r="J13" s="408">
        <f t="shared" si="9"/>
        <v>8295.83</v>
      </c>
      <c r="K13" s="412">
        <f t="shared" si="5"/>
        <v>0.17165876994934115</v>
      </c>
      <c r="L13" s="409">
        <v>227.89</v>
      </c>
      <c r="M13" s="409"/>
      <c r="N13" s="409">
        <v>280.41000000000003</v>
      </c>
      <c r="O13" s="409">
        <f t="shared" si="6"/>
        <v>1953.49</v>
      </c>
      <c r="P13" s="413">
        <f t="shared" si="7"/>
        <v>0.17984972436639549</v>
      </c>
      <c r="Q13" s="408"/>
      <c r="R13" s="408"/>
      <c r="S13" s="408"/>
      <c r="T13" s="408"/>
      <c r="U13" s="408"/>
      <c r="V13" s="409"/>
      <c r="W13" s="409"/>
      <c r="X13" s="409"/>
      <c r="Y13" s="409"/>
      <c r="Z13" s="409"/>
    </row>
    <row r="14" spans="1:26" ht="11.25" customHeight="1" x14ac:dyDescent="0.3">
      <c r="A14" s="410">
        <f t="shared" si="2"/>
        <v>3</v>
      </c>
      <c r="B14" s="411">
        <v>39995</v>
      </c>
      <c r="C14" s="411">
        <v>40086</v>
      </c>
      <c r="D14" s="399">
        <f t="shared" si="0"/>
        <v>1150.5</v>
      </c>
      <c r="E14" s="341">
        <f t="shared" ref="E14:F14" si="14">I14+N14+S14+X14</f>
        <v>1817.51</v>
      </c>
      <c r="F14" s="341">
        <f t="shared" si="14"/>
        <v>13217.33</v>
      </c>
      <c r="G14" s="285">
        <f t="shared" si="4"/>
        <v>0.16790597686559375</v>
      </c>
      <c r="H14" s="408">
        <v>256.63</v>
      </c>
      <c r="I14" s="408">
        <v>1434.94</v>
      </c>
      <c r="J14" s="408">
        <f t="shared" si="9"/>
        <v>9987.4</v>
      </c>
      <c r="K14" s="412">
        <f t="shared" si="5"/>
        <v>0.17033657421613707</v>
      </c>
      <c r="L14" s="409">
        <v>893.87</v>
      </c>
      <c r="M14" s="409"/>
      <c r="N14" s="409">
        <v>382.57</v>
      </c>
      <c r="O14" s="409">
        <f t="shared" si="6"/>
        <v>3229.9300000000003</v>
      </c>
      <c r="P14" s="413">
        <f t="shared" si="7"/>
        <v>0.15937594384327775</v>
      </c>
      <c r="Q14" s="408"/>
      <c r="R14" s="408"/>
      <c r="S14" s="408"/>
      <c r="T14" s="408"/>
      <c r="U14" s="408"/>
      <c r="V14" s="409"/>
      <c r="W14" s="409"/>
      <c r="X14" s="409"/>
      <c r="Y14" s="409"/>
      <c r="Z14" s="409"/>
    </row>
    <row r="15" spans="1:26" ht="11.25" customHeight="1" x14ac:dyDescent="0.3">
      <c r="A15" s="410">
        <f t="shared" si="2"/>
        <v>37</v>
      </c>
      <c r="B15" s="411">
        <v>40087</v>
      </c>
      <c r="C15" s="411">
        <v>40178</v>
      </c>
      <c r="D15" s="399">
        <f t="shared" si="0"/>
        <v>1466</v>
      </c>
      <c r="E15" s="341">
        <f t="shared" ref="E15:F15" si="15">I15+N15+S15+X15</f>
        <v>558.29</v>
      </c>
      <c r="F15" s="341">
        <f t="shared" si="15"/>
        <v>15241.619999999999</v>
      </c>
      <c r="G15" s="285">
        <f t="shared" si="4"/>
        <v>4.0019841824530313E-2</v>
      </c>
      <c r="H15" s="408">
        <v>0</v>
      </c>
      <c r="I15" s="408">
        <v>391.74</v>
      </c>
      <c r="J15" s="408">
        <f t="shared" si="9"/>
        <v>10379.14</v>
      </c>
      <c r="K15" s="412">
        <f t="shared" si="5"/>
        <v>3.9223421511103994E-2</v>
      </c>
      <c r="L15" s="409">
        <v>1466</v>
      </c>
      <c r="M15" s="409"/>
      <c r="N15" s="409">
        <v>166.55</v>
      </c>
      <c r="O15" s="409">
        <f t="shared" si="6"/>
        <v>4862.4800000000005</v>
      </c>
      <c r="P15" s="413">
        <f t="shared" si="7"/>
        <v>4.2026985084268456E-2</v>
      </c>
      <c r="Q15" s="408"/>
      <c r="R15" s="408"/>
      <c r="S15" s="408"/>
      <c r="T15" s="408"/>
      <c r="U15" s="408"/>
      <c r="V15" s="409"/>
      <c r="W15" s="409"/>
      <c r="X15" s="409"/>
      <c r="Y15" s="409"/>
      <c r="Z15" s="409"/>
    </row>
    <row r="16" spans="1:26" ht="11.25" customHeight="1" x14ac:dyDescent="0.3">
      <c r="A16" s="410">
        <f t="shared" si="2"/>
        <v>28</v>
      </c>
      <c r="B16" s="411">
        <v>40179</v>
      </c>
      <c r="C16" s="411">
        <v>40268</v>
      </c>
      <c r="D16" s="399">
        <f t="shared" si="0"/>
        <v>1386.53</v>
      </c>
      <c r="E16" s="341">
        <f t="shared" ref="E16:F16" si="16">I16+N16+S16+X16</f>
        <v>828.7700000000001</v>
      </c>
      <c r="F16" s="341">
        <f t="shared" si="16"/>
        <v>17456.920000000002</v>
      </c>
      <c r="G16" s="285">
        <f t="shared" si="4"/>
        <v>5.2009788586488082E-2</v>
      </c>
      <c r="H16" s="408">
        <v>0</v>
      </c>
      <c r="I16" s="408">
        <v>522.48</v>
      </c>
      <c r="J16" s="408">
        <f t="shared" si="9"/>
        <v>10901.619999999999</v>
      </c>
      <c r="K16" s="412">
        <f t="shared" si="5"/>
        <v>5.0339430819894525E-2</v>
      </c>
      <c r="L16" s="409">
        <v>1090</v>
      </c>
      <c r="M16" s="409"/>
      <c r="N16" s="409">
        <v>297.17</v>
      </c>
      <c r="O16" s="409">
        <f t="shared" si="6"/>
        <v>6249.6500000000005</v>
      </c>
      <c r="P16" s="413">
        <f t="shared" si="7"/>
        <v>5.4955358133548342E-2</v>
      </c>
      <c r="Q16" s="408"/>
      <c r="R16" s="408"/>
      <c r="S16" s="408"/>
      <c r="T16" s="408"/>
      <c r="U16" s="408"/>
      <c r="V16" s="409">
        <v>296.52999999999997</v>
      </c>
      <c r="W16" s="409"/>
      <c r="X16" s="409">
        <v>9.1199999999999992</v>
      </c>
      <c r="Y16" s="409">
        <f t="shared" ref="Y16:Y82" si="17">Y15+V16+X16+W16</f>
        <v>305.64999999999998</v>
      </c>
      <c r="Z16" s="413">
        <f t="shared" ref="Z16:Z82" si="18">X16/(Y15+(V16/2))</f>
        <v>6.1511482817927357E-2</v>
      </c>
    </row>
    <row r="17" spans="1:26" ht="11.25" customHeight="1" x14ac:dyDescent="0.3">
      <c r="A17" s="410">
        <f t="shared" si="2"/>
        <v>72</v>
      </c>
      <c r="B17" s="411">
        <v>40269</v>
      </c>
      <c r="C17" s="415">
        <v>40359</v>
      </c>
      <c r="D17" s="399">
        <f t="shared" si="0"/>
        <v>1914.0600000000002</v>
      </c>
      <c r="E17" s="341">
        <f t="shared" ref="E17:F17" si="19">I17+N17+S17+X17</f>
        <v>-1649.6899999999998</v>
      </c>
      <c r="F17" s="341">
        <f t="shared" si="19"/>
        <v>17721.29</v>
      </c>
      <c r="G17" s="285">
        <f t="shared" si="4"/>
        <v>-8.9589143013856329E-2</v>
      </c>
      <c r="H17" s="408">
        <v>269.69</v>
      </c>
      <c r="I17" s="408">
        <v>-964.57</v>
      </c>
      <c r="J17" s="408">
        <f t="shared" si="9"/>
        <v>10206.74</v>
      </c>
      <c r="K17" s="412">
        <f t="shared" si="5"/>
        <v>-8.739845593675151E-2</v>
      </c>
      <c r="L17" s="409">
        <v>1324.91</v>
      </c>
      <c r="M17" s="409"/>
      <c r="N17" s="409">
        <v>-653.51</v>
      </c>
      <c r="O17" s="409">
        <f t="shared" si="6"/>
        <v>6921.05</v>
      </c>
      <c r="P17" s="413">
        <f t="shared" si="7"/>
        <v>-9.4545728110322386E-2</v>
      </c>
      <c r="Q17" s="408"/>
      <c r="R17" s="408"/>
      <c r="S17" s="408"/>
      <c r="T17" s="408"/>
      <c r="U17" s="408"/>
      <c r="V17" s="409">
        <v>319.45999999999998</v>
      </c>
      <c r="W17" s="409"/>
      <c r="X17" s="409">
        <v>-31.61</v>
      </c>
      <c r="Y17" s="409">
        <f t="shared" si="17"/>
        <v>593.49999999999989</v>
      </c>
      <c r="Z17" s="413">
        <f t="shared" si="18"/>
        <v>-6.7922987665993376E-2</v>
      </c>
    </row>
    <row r="18" spans="1:26" ht="11.25" customHeight="1" x14ac:dyDescent="0.3">
      <c r="A18" s="410">
        <f t="shared" si="2"/>
        <v>9</v>
      </c>
      <c r="B18" s="411">
        <v>40360</v>
      </c>
      <c r="C18" s="415">
        <v>40451</v>
      </c>
      <c r="D18" s="399">
        <f t="shared" si="0"/>
        <v>2547.6999999999998</v>
      </c>
      <c r="E18" s="341">
        <f t="shared" ref="E18:F18" si="20">I18+N18+S18+X18</f>
        <v>2062.5700000000002</v>
      </c>
      <c r="F18" s="341">
        <f t="shared" si="20"/>
        <v>22331.559999999998</v>
      </c>
      <c r="G18" s="285">
        <f t="shared" si="4"/>
        <v>0.10858409045682213</v>
      </c>
      <c r="H18" s="408">
        <v>1618.14</v>
      </c>
      <c r="I18" s="408">
        <v>1192.33</v>
      </c>
      <c r="J18" s="408">
        <f t="shared" si="9"/>
        <v>13017.21</v>
      </c>
      <c r="K18" s="412">
        <f t="shared" si="5"/>
        <v>0.10823806873938457</v>
      </c>
      <c r="L18" s="409">
        <v>377.78</v>
      </c>
      <c r="M18" s="409"/>
      <c r="N18" s="409">
        <v>799.23</v>
      </c>
      <c r="O18" s="409">
        <f t="shared" si="6"/>
        <v>8098.0599999999995</v>
      </c>
      <c r="P18" s="413">
        <f t="shared" si="7"/>
        <v>0.11241023130996886</v>
      </c>
      <c r="Q18" s="408">
        <v>273.5</v>
      </c>
      <c r="R18" s="408"/>
      <c r="S18" s="408">
        <v>2.15</v>
      </c>
      <c r="T18" s="408">
        <f t="shared" ref="T18:T82" si="21">T17+Q18+S18+R18</f>
        <v>275.64999999999998</v>
      </c>
      <c r="U18" s="412">
        <f t="shared" ref="U18:U82" si="22">S18/(T17+(Q18/2))</f>
        <v>1.5722120658135282E-2</v>
      </c>
      <c r="V18" s="409">
        <v>278.27999999999997</v>
      </c>
      <c r="W18" s="409"/>
      <c r="X18" s="409">
        <v>68.86</v>
      </c>
      <c r="Y18" s="409">
        <f t="shared" si="17"/>
        <v>940.63999999999987</v>
      </c>
      <c r="Z18" s="413">
        <f t="shared" si="18"/>
        <v>9.3988862196986253E-2</v>
      </c>
    </row>
    <row r="19" spans="1:26" ht="11.25" customHeight="1" x14ac:dyDescent="0.3">
      <c r="A19" s="410">
        <f t="shared" si="2"/>
        <v>11</v>
      </c>
      <c r="B19" s="411">
        <v>40452</v>
      </c>
      <c r="C19" s="415">
        <v>40543</v>
      </c>
      <c r="D19" s="399">
        <f t="shared" si="0"/>
        <v>6533.1900000000005</v>
      </c>
      <c r="E19" s="341">
        <f t="shared" ref="E19:F19" si="23">I19+N19+S19+X19</f>
        <v>2252.0500000000002</v>
      </c>
      <c r="F19" s="341">
        <f t="shared" si="23"/>
        <v>31116.799999999999</v>
      </c>
      <c r="G19" s="285">
        <f t="shared" si="4"/>
        <v>8.7977043658029275E-2</v>
      </c>
      <c r="H19" s="408">
        <v>3863.84</v>
      </c>
      <c r="I19" s="408">
        <v>1331.18</v>
      </c>
      <c r="J19" s="408">
        <f t="shared" si="9"/>
        <v>18212.23</v>
      </c>
      <c r="K19" s="412">
        <f t="shared" si="5"/>
        <v>8.9047322486325298E-2</v>
      </c>
      <c r="L19" s="409">
        <v>283.35000000000002</v>
      </c>
      <c r="M19" s="409"/>
      <c r="N19" s="409">
        <v>687.46</v>
      </c>
      <c r="O19" s="409">
        <f t="shared" si="6"/>
        <v>9068.869999999999</v>
      </c>
      <c r="P19" s="413">
        <f t="shared" si="7"/>
        <v>8.3432294849288255E-2</v>
      </c>
      <c r="Q19" s="408">
        <v>2045.16</v>
      </c>
      <c r="R19" s="408"/>
      <c r="S19" s="408">
        <v>123.52</v>
      </c>
      <c r="T19" s="408">
        <f t="shared" si="21"/>
        <v>2444.33</v>
      </c>
      <c r="U19" s="412">
        <f t="shared" si="22"/>
        <v>9.5144928094405459E-2</v>
      </c>
      <c r="V19" s="409">
        <v>340.84</v>
      </c>
      <c r="W19" s="409"/>
      <c r="X19" s="409">
        <v>109.89</v>
      </c>
      <c r="Y19" s="409">
        <f t="shared" si="17"/>
        <v>1391.37</v>
      </c>
      <c r="Z19" s="413">
        <f t="shared" si="18"/>
        <v>9.8905549655284142E-2</v>
      </c>
    </row>
    <row r="20" spans="1:26" ht="11.25" customHeight="1" x14ac:dyDescent="0.3">
      <c r="A20" s="410">
        <f t="shared" si="2"/>
        <v>31</v>
      </c>
      <c r="B20" s="411">
        <v>40544</v>
      </c>
      <c r="C20" s="415">
        <v>40633</v>
      </c>
      <c r="D20" s="399">
        <f t="shared" si="0"/>
        <v>3746.7000000000007</v>
      </c>
      <c r="E20" s="341">
        <f t="shared" ref="E20:F20" si="24">I20+N20+S20+X20</f>
        <v>1618.06</v>
      </c>
      <c r="F20" s="341">
        <f t="shared" si="24"/>
        <v>36481.56</v>
      </c>
      <c r="G20" s="285">
        <f t="shared" si="4"/>
        <v>4.9046760927125212E-2</v>
      </c>
      <c r="H20" s="408">
        <v>1660.2900000000002</v>
      </c>
      <c r="I20" s="408">
        <v>923.35</v>
      </c>
      <c r="J20" s="408">
        <f t="shared" si="9"/>
        <v>20795.87</v>
      </c>
      <c r="K20" s="412">
        <f t="shared" si="5"/>
        <v>4.8489224689672379E-2</v>
      </c>
      <c r="L20" s="409">
        <v>223.47</v>
      </c>
      <c r="M20" s="409"/>
      <c r="N20" s="409">
        <v>452.46</v>
      </c>
      <c r="O20" s="409">
        <f t="shared" si="6"/>
        <v>9744.7999999999975</v>
      </c>
      <c r="P20" s="413">
        <f t="shared" si="7"/>
        <v>4.9284333657749133E-2</v>
      </c>
      <c r="Q20" s="408">
        <v>1562.47</v>
      </c>
      <c r="R20" s="408"/>
      <c r="S20" s="408">
        <v>163.33000000000001</v>
      </c>
      <c r="T20" s="408">
        <f t="shared" si="21"/>
        <v>4170.13</v>
      </c>
      <c r="U20" s="412">
        <f t="shared" si="22"/>
        <v>5.0636090111344838E-2</v>
      </c>
      <c r="V20" s="409">
        <v>300.47000000000003</v>
      </c>
      <c r="W20" s="409"/>
      <c r="X20" s="409">
        <v>78.92</v>
      </c>
      <c r="Y20" s="409">
        <f t="shared" si="17"/>
        <v>1770.76</v>
      </c>
      <c r="Z20" s="413">
        <f t="shared" si="18"/>
        <v>5.1193399087314843E-2</v>
      </c>
    </row>
    <row r="21" spans="1:26" ht="11.25" customHeight="1" x14ac:dyDescent="0.3">
      <c r="A21" s="410">
        <f t="shared" si="2"/>
        <v>57</v>
      </c>
      <c r="B21" s="411">
        <v>40634</v>
      </c>
      <c r="C21" s="415">
        <v>40724</v>
      </c>
      <c r="D21" s="399">
        <f t="shared" si="0"/>
        <v>4581.7999999999993</v>
      </c>
      <c r="E21" s="341">
        <f t="shared" ref="E21:F21" si="25">I21+N21+S21+X21</f>
        <v>163.54999999999998</v>
      </c>
      <c r="F21" s="341">
        <f t="shared" si="25"/>
        <v>41226.910000000003</v>
      </c>
      <c r="G21" s="285">
        <f t="shared" si="4"/>
        <v>4.2182002380039847E-3</v>
      </c>
      <c r="H21" s="408">
        <v>1946.84</v>
      </c>
      <c r="I21" s="408">
        <v>143.38</v>
      </c>
      <c r="J21" s="408">
        <f t="shared" si="9"/>
        <v>22886.09</v>
      </c>
      <c r="K21" s="412">
        <f t="shared" si="5"/>
        <v>6.5863425035910684E-3</v>
      </c>
      <c r="L21" s="409">
        <v>446.92</v>
      </c>
      <c r="M21" s="409"/>
      <c r="N21" s="409">
        <v>64.150000000000006</v>
      </c>
      <c r="O21" s="409">
        <f t="shared" si="6"/>
        <v>10255.869999999997</v>
      </c>
      <c r="P21" s="413">
        <f t="shared" si="7"/>
        <v>6.4354260422581303E-3</v>
      </c>
      <c r="Q21" s="408">
        <v>1835.14</v>
      </c>
      <c r="R21" s="408"/>
      <c r="S21" s="408">
        <v>-31.3</v>
      </c>
      <c r="T21" s="408">
        <f t="shared" si="21"/>
        <v>5973.97</v>
      </c>
      <c r="U21" s="412">
        <f t="shared" si="22"/>
        <v>-6.1520923010397631E-3</v>
      </c>
      <c r="V21" s="409">
        <v>352.9</v>
      </c>
      <c r="W21" s="409"/>
      <c r="X21" s="409">
        <v>-12.68</v>
      </c>
      <c r="Y21" s="409">
        <f t="shared" si="17"/>
        <v>2110.98</v>
      </c>
      <c r="Z21" s="413">
        <f t="shared" si="18"/>
        <v>-6.5118811016788118E-3</v>
      </c>
    </row>
    <row r="22" spans="1:26" ht="11.25" customHeight="1" x14ac:dyDescent="0.3">
      <c r="A22" s="410">
        <f t="shared" si="2"/>
        <v>75</v>
      </c>
      <c r="B22" s="411">
        <v>40725</v>
      </c>
      <c r="C22" s="415">
        <v>40816</v>
      </c>
      <c r="D22" s="399">
        <f t="shared" si="0"/>
        <v>3774.6600000000008</v>
      </c>
      <c r="E22" s="341">
        <f t="shared" ref="E22:F22" si="26">I22+N22+S22+X22</f>
        <v>-6501.0899999999992</v>
      </c>
      <c r="F22" s="341">
        <f t="shared" si="26"/>
        <v>38500.479999999996</v>
      </c>
      <c r="G22" s="285">
        <f t="shared" si="4"/>
        <v>-0.15078753562628028</v>
      </c>
      <c r="H22" s="408">
        <v>1668.7200000000003</v>
      </c>
      <c r="I22" s="408">
        <v>-3546.62</v>
      </c>
      <c r="J22" s="408">
        <f t="shared" si="9"/>
        <v>21008.190000000002</v>
      </c>
      <c r="K22" s="412">
        <f t="shared" si="5"/>
        <v>-0.14951739954343193</v>
      </c>
      <c r="L22" s="409">
        <v>368.07</v>
      </c>
      <c r="M22" s="409"/>
      <c r="N22" s="409">
        <v>-1548.35</v>
      </c>
      <c r="O22" s="409">
        <f t="shared" si="6"/>
        <v>9075.5899999999965</v>
      </c>
      <c r="P22" s="413">
        <f t="shared" si="7"/>
        <v>-0.14831073654405863</v>
      </c>
      <c r="Q22" s="408">
        <v>1457.5700000000002</v>
      </c>
      <c r="R22" s="408"/>
      <c r="S22" s="408">
        <v>-1054.22</v>
      </c>
      <c r="T22" s="408">
        <f t="shared" si="21"/>
        <v>6377.3200000000006</v>
      </c>
      <c r="U22" s="412">
        <f t="shared" si="22"/>
        <v>-0.15728159540368103</v>
      </c>
      <c r="V22" s="409">
        <v>280.3</v>
      </c>
      <c r="W22" s="409"/>
      <c r="X22" s="409">
        <v>-351.9</v>
      </c>
      <c r="Y22" s="409">
        <f t="shared" si="17"/>
        <v>2039.38</v>
      </c>
      <c r="Z22" s="413">
        <f t="shared" si="18"/>
        <v>-0.15632149187297045</v>
      </c>
    </row>
    <row r="23" spans="1:26" ht="11.25" customHeight="1" x14ac:dyDescent="0.3">
      <c r="A23" s="410">
        <f t="shared" si="2"/>
        <v>12</v>
      </c>
      <c r="B23" s="411">
        <v>40817</v>
      </c>
      <c r="C23" s="415">
        <v>40908</v>
      </c>
      <c r="D23" s="399">
        <f t="shared" si="0"/>
        <v>4156.38</v>
      </c>
      <c r="E23" s="341">
        <f t="shared" ref="E23:F23" si="27">I23+N23+S23+X23</f>
        <v>3470.22</v>
      </c>
      <c r="F23" s="341">
        <f t="shared" si="27"/>
        <v>46127.079999999994</v>
      </c>
      <c r="G23" s="285">
        <f t="shared" si="4"/>
        <v>8.5518327732279048E-2</v>
      </c>
      <c r="H23" s="408">
        <v>2040.26</v>
      </c>
      <c r="I23" s="408">
        <v>1961.05</v>
      </c>
      <c r="J23" s="408">
        <f t="shared" si="9"/>
        <v>25009.5</v>
      </c>
      <c r="K23" s="412">
        <f t="shared" si="5"/>
        <v>8.9024038147257692E-2</v>
      </c>
      <c r="L23" s="409">
        <v>270.62</v>
      </c>
      <c r="M23" s="409"/>
      <c r="N23" s="409">
        <v>824.52</v>
      </c>
      <c r="O23" s="409">
        <f t="shared" si="6"/>
        <v>10170.729999999998</v>
      </c>
      <c r="P23" s="413">
        <f t="shared" si="7"/>
        <v>8.9515682506595487E-2</v>
      </c>
      <c r="Q23" s="408">
        <v>1547.8500000000001</v>
      </c>
      <c r="R23" s="408"/>
      <c r="S23" s="408">
        <v>521.65</v>
      </c>
      <c r="T23" s="408">
        <f t="shared" si="21"/>
        <v>8446.8200000000015</v>
      </c>
      <c r="U23" s="412">
        <f t="shared" si="22"/>
        <v>7.2945340286901084E-2</v>
      </c>
      <c r="V23" s="409">
        <v>297.64999999999998</v>
      </c>
      <c r="W23" s="409"/>
      <c r="X23" s="409">
        <v>163</v>
      </c>
      <c r="Y23" s="409">
        <f t="shared" si="17"/>
        <v>2500.0300000000002</v>
      </c>
      <c r="Z23" s="413">
        <f t="shared" si="18"/>
        <v>7.4490278561652135E-2</v>
      </c>
    </row>
    <row r="24" spans="1:26" ht="11.25" customHeight="1" x14ac:dyDescent="0.3">
      <c r="A24" s="410">
        <f t="shared" si="2"/>
        <v>8</v>
      </c>
      <c r="B24" s="411">
        <v>40909</v>
      </c>
      <c r="C24" s="415">
        <v>40999</v>
      </c>
      <c r="D24" s="399">
        <f t="shared" si="0"/>
        <v>4009.2599999999998</v>
      </c>
      <c r="E24" s="341">
        <f t="shared" ref="E24:F24" si="28">I24+N24+S24+X24</f>
        <v>5260.63</v>
      </c>
      <c r="F24" s="341">
        <f t="shared" si="28"/>
        <v>55396.97</v>
      </c>
      <c r="G24" s="285">
        <f t="shared" si="4"/>
        <v>0.10929655314552508</v>
      </c>
      <c r="H24" s="408">
        <v>1824.4199999999998</v>
      </c>
      <c r="I24" s="408">
        <v>2841.64</v>
      </c>
      <c r="J24" s="408">
        <f t="shared" si="9"/>
        <v>29675.559999999998</v>
      </c>
      <c r="K24" s="412">
        <f t="shared" si="5"/>
        <v>0.10962394070452913</v>
      </c>
      <c r="L24" s="409">
        <v>326.49</v>
      </c>
      <c r="M24" s="409"/>
      <c r="N24" s="409">
        <v>1133.67</v>
      </c>
      <c r="O24" s="409">
        <f t="shared" si="6"/>
        <v>11630.889999999998</v>
      </c>
      <c r="P24" s="413">
        <f t="shared" si="7"/>
        <v>0.10970318778591977</v>
      </c>
      <c r="Q24" s="408">
        <v>1558.6200000000001</v>
      </c>
      <c r="R24" s="408"/>
      <c r="S24" s="408">
        <v>996.22</v>
      </c>
      <c r="T24" s="408">
        <f t="shared" si="21"/>
        <v>11001.660000000002</v>
      </c>
      <c r="U24" s="412">
        <f t="shared" si="22"/>
        <v>0.10797810132742547</v>
      </c>
      <c r="V24" s="409">
        <v>299.73</v>
      </c>
      <c r="W24" s="409"/>
      <c r="X24" s="409">
        <v>289.10000000000002</v>
      </c>
      <c r="Y24" s="409">
        <f t="shared" si="17"/>
        <v>3088.86</v>
      </c>
      <c r="Z24" s="413">
        <f t="shared" si="18"/>
        <v>0.10909866239983093</v>
      </c>
    </row>
    <row r="25" spans="1:26" ht="11.25" customHeight="1" x14ac:dyDescent="0.3">
      <c r="A25" s="410">
        <f t="shared" si="2"/>
        <v>68</v>
      </c>
      <c r="B25" s="411">
        <v>41000</v>
      </c>
      <c r="C25" s="415">
        <v>41090</v>
      </c>
      <c r="D25" s="399">
        <f t="shared" si="0"/>
        <v>4597.21</v>
      </c>
      <c r="E25" s="341">
        <f t="shared" ref="E25:F25" si="29">I25+N25+S25+X25</f>
        <v>-1979.1799999999998</v>
      </c>
      <c r="F25" s="341">
        <f t="shared" si="29"/>
        <v>58014.999999999993</v>
      </c>
      <c r="G25" s="285">
        <f t="shared" si="4"/>
        <v>-3.4303843925639003E-2</v>
      </c>
      <c r="H25" s="408">
        <v>1946.84</v>
      </c>
      <c r="I25" s="408">
        <v>-1067.25</v>
      </c>
      <c r="J25" s="408">
        <f t="shared" si="9"/>
        <v>30555.149999999998</v>
      </c>
      <c r="K25" s="412">
        <f t="shared" si="5"/>
        <v>-3.4821713479535048E-2</v>
      </c>
      <c r="L25" s="409">
        <v>274.95999999999998</v>
      </c>
      <c r="M25" s="409"/>
      <c r="N25" s="409">
        <v>-422.87</v>
      </c>
      <c r="O25" s="409">
        <f t="shared" si="6"/>
        <v>11482.979999999996</v>
      </c>
      <c r="P25" s="413">
        <f t="shared" si="7"/>
        <v>-3.5932758742289725E-2</v>
      </c>
      <c r="Q25" s="408">
        <v>1992.29</v>
      </c>
      <c r="R25" s="408"/>
      <c r="S25" s="408">
        <v>-380.96</v>
      </c>
      <c r="T25" s="408">
        <f t="shared" si="21"/>
        <v>12612.990000000002</v>
      </c>
      <c r="U25" s="412">
        <f t="shared" si="22"/>
        <v>-3.1752474723501498E-2</v>
      </c>
      <c r="V25" s="409">
        <v>383.12</v>
      </c>
      <c r="W25" s="409"/>
      <c r="X25" s="409">
        <v>-108.1</v>
      </c>
      <c r="Y25" s="409">
        <f t="shared" si="17"/>
        <v>3363.88</v>
      </c>
      <c r="Z25" s="413">
        <f t="shared" si="18"/>
        <v>-3.2953097469226499E-2</v>
      </c>
    </row>
    <row r="26" spans="1:26" ht="11.25" customHeight="1" x14ac:dyDescent="0.3">
      <c r="A26" s="410">
        <f t="shared" si="2"/>
        <v>26</v>
      </c>
      <c r="B26" s="411">
        <v>41091</v>
      </c>
      <c r="C26" s="415">
        <v>41182</v>
      </c>
      <c r="D26" s="399">
        <f t="shared" si="0"/>
        <v>3933.5200000000004</v>
      </c>
      <c r="E26" s="341">
        <f t="shared" ref="E26:F26" si="30">I26+N26+S26+X26</f>
        <v>3440.42</v>
      </c>
      <c r="F26" s="341">
        <f t="shared" si="30"/>
        <v>65388.939999999995</v>
      </c>
      <c r="G26" s="285">
        <f t="shared" si="4"/>
        <v>5.7357770095442351E-2</v>
      </c>
      <c r="H26" s="408">
        <v>1529.66</v>
      </c>
      <c r="I26" s="408">
        <v>1808.7</v>
      </c>
      <c r="J26" s="408">
        <f t="shared" si="9"/>
        <v>33893.509999999995</v>
      </c>
      <c r="K26" s="412">
        <f t="shared" si="5"/>
        <v>5.7749079022400403E-2</v>
      </c>
      <c r="L26" s="409">
        <v>532.69000000000005</v>
      </c>
      <c r="M26" s="409"/>
      <c r="N26" s="409">
        <v>676.72</v>
      </c>
      <c r="O26" s="409">
        <f t="shared" si="6"/>
        <v>12692.389999999996</v>
      </c>
      <c r="P26" s="413">
        <f t="shared" si="7"/>
        <v>5.7596500224481005E-2</v>
      </c>
      <c r="Q26" s="408">
        <v>1569.3700000000001</v>
      </c>
      <c r="R26" s="408"/>
      <c r="S26" s="408">
        <v>756.83</v>
      </c>
      <c r="T26" s="408">
        <f t="shared" si="21"/>
        <v>14939.190000000002</v>
      </c>
      <c r="U26" s="412">
        <f t="shared" si="22"/>
        <v>5.6489652122476475E-2</v>
      </c>
      <c r="V26" s="409">
        <v>301.8</v>
      </c>
      <c r="W26" s="409"/>
      <c r="X26" s="409">
        <v>198.17</v>
      </c>
      <c r="Y26" s="409">
        <f t="shared" si="17"/>
        <v>3863.8500000000004</v>
      </c>
      <c r="Z26" s="413">
        <f t="shared" si="18"/>
        <v>5.6381907260198358E-2</v>
      </c>
    </row>
    <row r="27" spans="1:26" ht="11.25" customHeight="1" x14ac:dyDescent="0.3">
      <c r="A27" s="410">
        <f t="shared" si="2"/>
        <v>41</v>
      </c>
      <c r="B27" s="411">
        <v>41183</v>
      </c>
      <c r="C27" s="415">
        <v>41274</v>
      </c>
      <c r="D27" s="399">
        <f t="shared" si="0"/>
        <v>4615.8599999999997</v>
      </c>
      <c r="E27" s="341">
        <f t="shared" ref="E27:F27" si="31">I27+N27+S27+X27</f>
        <v>1640.4599999999998</v>
      </c>
      <c r="F27" s="341">
        <f t="shared" si="31"/>
        <v>71645.25999999998</v>
      </c>
      <c r="G27" s="285">
        <f t="shared" si="4"/>
        <v>2.4232434970774867E-2</v>
      </c>
      <c r="H27" s="408">
        <v>1946.84</v>
      </c>
      <c r="I27" s="408">
        <v>835.2</v>
      </c>
      <c r="J27" s="408">
        <f t="shared" si="9"/>
        <v>36675.549999999988</v>
      </c>
      <c r="K27" s="412">
        <f t="shared" si="5"/>
        <v>2.3953929984658822E-2</v>
      </c>
      <c r="L27" s="409">
        <v>438.25</v>
      </c>
      <c r="M27" s="409"/>
      <c r="N27" s="409">
        <v>307.38</v>
      </c>
      <c r="O27" s="409">
        <f t="shared" si="6"/>
        <v>13438.019999999995</v>
      </c>
      <c r="P27" s="413">
        <f t="shared" si="7"/>
        <v>2.380665630640557E-2</v>
      </c>
      <c r="Q27" s="408">
        <v>1870.98</v>
      </c>
      <c r="R27" s="408"/>
      <c r="S27" s="408">
        <v>398.3</v>
      </c>
      <c r="T27" s="408">
        <f t="shared" si="21"/>
        <v>17208.47</v>
      </c>
      <c r="U27" s="412">
        <f t="shared" si="22"/>
        <v>2.5090269536141827E-2</v>
      </c>
      <c r="V27" s="409">
        <v>359.79</v>
      </c>
      <c r="W27" s="409"/>
      <c r="X27" s="409">
        <v>99.58</v>
      </c>
      <c r="Y27" s="409">
        <f t="shared" si="17"/>
        <v>4323.22</v>
      </c>
      <c r="Z27" s="413">
        <f t="shared" si="18"/>
        <v>2.4625687326970416E-2</v>
      </c>
    </row>
    <row r="28" spans="1:26" ht="11.25" customHeight="1" x14ac:dyDescent="0.3">
      <c r="A28" s="410">
        <f t="shared" si="2"/>
        <v>13</v>
      </c>
      <c r="B28" s="411">
        <v>41275</v>
      </c>
      <c r="C28" s="415">
        <v>41364</v>
      </c>
      <c r="D28" s="399">
        <f t="shared" si="0"/>
        <v>3774.9599999999996</v>
      </c>
      <c r="E28" s="341">
        <f t="shared" ref="E28:F28" si="32">I28+N28+S28+X28</f>
        <v>5662.7</v>
      </c>
      <c r="F28" s="341">
        <f t="shared" si="32"/>
        <v>81082.919999999984</v>
      </c>
      <c r="G28" s="285">
        <f t="shared" si="4"/>
        <v>7.7009234254020745E-2</v>
      </c>
      <c r="H28" s="408">
        <v>1495.97</v>
      </c>
      <c r="I28" s="408">
        <v>3009.58</v>
      </c>
      <c r="J28" s="408">
        <f t="shared" si="9"/>
        <v>41181.099999999991</v>
      </c>
      <c r="K28" s="412">
        <f t="shared" si="5"/>
        <v>8.0419447280969072E-2</v>
      </c>
      <c r="L28" s="409">
        <v>406.95</v>
      </c>
      <c r="M28" s="409"/>
      <c r="N28" s="409">
        <v>1093.82</v>
      </c>
      <c r="O28" s="409">
        <f t="shared" si="6"/>
        <v>14938.789999999995</v>
      </c>
      <c r="P28" s="413">
        <f t="shared" si="7"/>
        <v>8.0183293693249919E-2</v>
      </c>
      <c r="Q28" s="408">
        <v>1570.11</v>
      </c>
      <c r="R28" s="408"/>
      <c r="S28" s="408">
        <v>1248.3</v>
      </c>
      <c r="T28" s="408">
        <f t="shared" si="21"/>
        <v>20026.88</v>
      </c>
      <c r="U28" s="412">
        <f t="shared" si="22"/>
        <v>6.9374955713235723E-2</v>
      </c>
      <c r="V28" s="409">
        <v>301.93</v>
      </c>
      <c r="W28" s="409"/>
      <c r="X28" s="409">
        <v>311</v>
      </c>
      <c r="Y28" s="409">
        <f t="shared" si="17"/>
        <v>4936.1500000000005</v>
      </c>
      <c r="Z28" s="413">
        <f t="shared" si="18"/>
        <v>6.9509866042642393E-2</v>
      </c>
    </row>
    <row r="29" spans="1:26" ht="11.25" customHeight="1" x14ac:dyDescent="0.3">
      <c r="A29" s="410">
        <f t="shared" si="2"/>
        <v>54</v>
      </c>
      <c r="B29" s="411">
        <v>41365</v>
      </c>
      <c r="C29" s="415">
        <v>41455</v>
      </c>
      <c r="D29" s="399">
        <f t="shared" si="0"/>
        <v>4436.24</v>
      </c>
      <c r="E29" s="341">
        <f t="shared" ref="E29:F29" si="33">I29+N29+S29+X29</f>
        <v>607.16</v>
      </c>
      <c r="F29" s="341">
        <f t="shared" si="33"/>
        <v>86126.319999999992</v>
      </c>
      <c r="G29" s="285">
        <f t="shared" si="4"/>
        <v>7.2887445342819266E-3</v>
      </c>
      <c r="H29" s="408">
        <v>501.47</v>
      </c>
      <c r="I29" s="408">
        <v>553.12</v>
      </c>
      <c r="J29" s="408">
        <f t="shared" si="9"/>
        <v>42235.689999999995</v>
      </c>
      <c r="K29" s="412">
        <f t="shared" si="5"/>
        <v>1.3350120746522575E-2</v>
      </c>
      <c r="L29" s="409">
        <v>1453.39</v>
      </c>
      <c r="M29" s="409"/>
      <c r="N29" s="409">
        <v>183.76</v>
      </c>
      <c r="O29" s="409">
        <f t="shared" si="6"/>
        <v>16575.939999999995</v>
      </c>
      <c r="P29" s="413">
        <f t="shared" si="7"/>
        <v>1.1730246462206568E-2</v>
      </c>
      <c r="Q29" s="408">
        <v>2081.16</v>
      </c>
      <c r="R29" s="408"/>
      <c r="S29" s="408">
        <v>-105.6</v>
      </c>
      <c r="T29" s="408">
        <f t="shared" si="21"/>
        <v>22002.440000000002</v>
      </c>
      <c r="U29" s="412">
        <f t="shared" si="22"/>
        <v>-5.0124694671308265E-3</v>
      </c>
      <c r="V29" s="409">
        <v>400.22</v>
      </c>
      <c r="W29" s="409"/>
      <c r="X29" s="409">
        <v>-24.12</v>
      </c>
      <c r="Y29" s="409">
        <f t="shared" si="17"/>
        <v>5312.2500000000009</v>
      </c>
      <c r="Z29" s="413">
        <f t="shared" si="18"/>
        <v>-4.6960239551736092E-3</v>
      </c>
    </row>
    <row r="30" spans="1:26" ht="11.25" customHeight="1" x14ac:dyDescent="0.3">
      <c r="A30" s="410">
        <f t="shared" si="2"/>
        <v>21</v>
      </c>
      <c r="B30" s="411">
        <v>41456</v>
      </c>
      <c r="C30" s="415">
        <v>41547</v>
      </c>
      <c r="D30" s="399">
        <f t="shared" si="0"/>
        <v>3950.57</v>
      </c>
      <c r="E30" s="341">
        <f t="shared" ref="E30:F30" si="34">I30+N30+S30+X30</f>
        <v>5984.2</v>
      </c>
      <c r="F30" s="341">
        <f t="shared" si="34"/>
        <v>96061.090000000011</v>
      </c>
      <c r="G30" s="285">
        <f t="shared" si="4"/>
        <v>6.7923847698347833E-2</v>
      </c>
      <c r="H30" s="408">
        <v>0</v>
      </c>
      <c r="I30" s="408">
        <v>3021.48</v>
      </c>
      <c r="J30" s="408">
        <f t="shared" si="9"/>
        <v>45257.17</v>
      </c>
      <c r="K30" s="412">
        <f t="shared" si="5"/>
        <v>7.1538549506353522E-2</v>
      </c>
      <c r="L30" s="409">
        <v>1744.08</v>
      </c>
      <c r="M30" s="409"/>
      <c r="N30" s="409">
        <v>1238.0899999999999</v>
      </c>
      <c r="O30" s="409">
        <f t="shared" si="6"/>
        <v>19558.109999999997</v>
      </c>
      <c r="P30" s="413">
        <f t="shared" si="7"/>
        <v>7.0958930489374711E-2</v>
      </c>
      <c r="Q30" s="408">
        <v>1850.59</v>
      </c>
      <c r="R30" s="408"/>
      <c r="S30" s="408">
        <v>1390.7</v>
      </c>
      <c r="T30" s="408">
        <f t="shared" si="21"/>
        <v>25243.730000000003</v>
      </c>
      <c r="U30" s="412">
        <f t="shared" si="22"/>
        <v>6.0655795262811611E-2</v>
      </c>
      <c r="V30" s="409">
        <v>355.9</v>
      </c>
      <c r="W30" s="409"/>
      <c r="X30" s="409">
        <v>333.93</v>
      </c>
      <c r="Y30" s="409">
        <f t="shared" si="17"/>
        <v>6002.0800000000008</v>
      </c>
      <c r="Z30" s="413">
        <f t="shared" si="18"/>
        <v>6.0822920840770824E-2</v>
      </c>
    </row>
    <row r="31" spans="1:26" ht="11.25" customHeight="1" x14ac:dyDescent="0.3">
      <c r="A31" s="410">
        <f t="shared" si="2"/>
        <v>17</v>
      </c>
      <c r="B31" s="411">
        <v>41548</v>
      </c>
      <c r="C31" s="415">
        <v>41639</v>
      </c>
      <c r="D31" s="399">
        <f t="shared" si="0"/>
        <v>4145.34</v>
      </c>
      <c r="E31" s="341">
        <f t="shared" ref="E31:F31" si="35">I31+N31+S31+X31</f>
        <v>6997.7899999999991</v>
      </c>
      <c r="F31" s="341">
        <f t="shared" si="35"/>
        <v>107206.51000000001</v>
      </c>
      <c r="G31" s="285">
        <f t="shared" si="4"/>
        <v>7.130869132090728E-2</v>
      </c>
      <c r="H31" s="408">
        <v>0</v>
      </c>
      <c r="I31" s="408">
        <v>3416.72</v>
      </c>
      <c r="J31" s="408">
        <f t="shared" si="9"/>
        <v>48673.89</v>
      </c>
      <c r="K31" s="412">
        <f t="shared" si="5"/>
        <v>7.549566179237456E-2</v>
      </c>
      <c r="L31" s="409">
        <v>2111.1999999999998</v>
      </c>
      <c r="M31" s="409"/>
      <c r="N31" s="409">
        <v>1555.19</v>
      </c>
      <c r="O31" s="409">
        <f t="shared" si="6"/>
        <v>23224.499999999996</v>
      </c>
      <c r="P31" s="413">
        <f t="shared" si="7"/>
        <v>7.5444449349486353E-2</v>
      </c>
      <c r="Q31" s="408">
        <v>1706.06</v>
      </c>
      <c r="R31" s="408">
        <v>2.27</v>
      </c>
      <c r="S31" s="408">
        <v>1638.4</v>
      </c>
      <c r="T31" s="408">
        <f t="shared" si="21"/>
        <v>28590.460000000006</v>
      </c>
      <c r="U31" s="412">
        <f t="shared" si="22"/>
        <v>6.2781739955458077E-2</v>
      </c>
      <c r="V31" s="409">
        <v>328.08</v>
      </c>
      <c r="W31" s="409">
        <v>0.02</v>
      </c>
      <c r="X31" s="409">
        <v>387.48</v>
      </c>
      <c r="Y31" s="409">
        <f t="shared" si="17"/>
        <v>6717.6600000000017</v>
      </c>
      <c r="Z31" s="413">
        <f t="shared" si="18"/>
        <v>6.2840165290328431E-2</v>
      </c>
    </row>
    <row r="32" spans="1:26" ht="11.25" customHeight="1" x14ac:dyDescent="0.3">
      <c r="A32" s="410">
        <f t="shared" si="2"/>
        <v>45</v>
      </c>
      <c r="B32" s="411">
        <v>41640</v>
      </c>
      <c r="C32" s="415">
        <v>41729</v>
      </c>
      <c r="D32" s="399">
        <f t="shared" si="0"/>
        <v>3846.0099999999998</v>
      </c>
      <c r="E32" s="341">
        <f t="shared" ref="E32:F32" si="36">I32+N32+S32+X32</f>
        <v>1931.0800000000002</v>
      </c>
      <c r="F32" s="341">
        <f t="shared" si="36"/>
        <v>112983.6</v>
      </c>
      <c r="G32" s="285">
        <f t="shared" si="4"/>
        <v>1.7695304519588489E-2</v>
      </c>
      <c r="H32" s="408">
        <v>0</v>
      </c>
      <c r="I32" s="408">
        <v>829.61</v>
      </c>
      <c r="J32" s="408">
        <f t="shared" si="9"/>
        <v>49503.5</v>
      </c>
      <c r="K32" s="412">
        <f t="shared" si="5"/>
        <v>1.7044251034795042E-2</v>
      </c>
      <c r="L32" s="409">
        <v>1531.6</v>
      </c>
      <c r="M32" s="409"/>
      <c r="N32" s="409">
        <v>424.27</v>
      </c>
      <c r="O32" s="409">
        <f t="shared" si="6"/>
        <v>25180.369999999995</v>
      </c>
      <c r="P32" s="413">
        <f t="shared" si="7"/>
        <v>1.7685064380186993E-2</v>
      </c>
      <c r="Q32" s="408">
        <v>1823.48</v>
      </c>
      <c r="R32" s="408">
        <v>0</v>
      </c>
      <c r="S32" s="408">
        <v>547.29</v>
      </c>
      <c r="T32" s="408">
        <f t="shared" si="21"/>
        <v>30961.230000000007</v>
      </c>
      <c r="U32" s="412">
        <f t="shared" si="22"/>
        <v>1.8550819938852013E-2</v>
      </c>
      <c r="V32" s="409">
        <v>490.93</v>
      </c>
      <c r="W32" s="409">
        <v>0</v>
      </c>
      <c r="X32" s="409">
        <v>129.91</v>
      </c>
      <c r="Y32" s="409">
        <f t="shared" si="17"/>
        <v>7338.5000000000018</v>
      </c>
      <c r="Z32" s="413">
        <f t="shared" si="18"/>
        <v>1.8656853065254459E-2</v>
      </c>
    </row>
    <row r="33" spans="1:26" ht="11.25" customHeight="1" x14ac:dyDescent="0.3">
      <c r="A33" s="410">
        <f t="shared" si="2"/>
        <v>35</v>
      </c>
      <c r="B33" s="411">
        <v>41730</v>
      </c>
      <c r="C33" s="415">
        <v>41820</v>
      </c>
      <c r="D33" s="399">
        <f t="shared" si="0"/>
        <v>6383.4399999999987</v>
      </c>
      <c r="E33" s="341">
        <f t="shared" ref="E33:F33" si="37">I33+N33+S33+X33</f>
        <v>4965.99</v>
      </c>
      <c r="F33" s="341">
        <f t="shared" si="37"/>
        <v>124333.03</v>
      </c>
      <c r="G33" s="285">
        <f t="shared" si="4"/>
        <v>4.2745653724043965E-2</v>
      </c>
      <c r="H33" s="408">
        <v>3610.98</v>
      </c>
      <c r="I33" s="408">
        <v>2055.4699999999998</v>
      </c>
      <c r="J33" s="408">
        <f t="shared" si="9"/>
        <v>55169.950000000004</v>
      </c>
      <c r="K33" s="412">
        <f t="shared" si="5"/>
        <v>4.0060620955508962E-2</v>
      </c>
      <c r="L33" s="409">
        <v>796.42</v>
      </c>
      <c r="M33" s="409"/>
      <c r="N33" s="409">
        <v>1067.98</v>
      </c>
      <c r="O33" s="409">
        <f t="shared" si="6"/>
        <v>27044.769999999993</v>
      </c>
      <c r="P33" s="413">
        <f t="shared" si="7"/>
        <v>4.1752904187800893E-2</v>
      </c>
      <c r="Q33" s="408">
        <v>1556.8899999999999</v>
      </c>
      <c r="R33" s="408">
        <v>0</v>
      </c>
      <c r="S33" s="408">
        <v>1488.41</v>
      </c>
      <c r="T33" s="408">
        <f t="shared" si="21"/>
        <v>34006.530000000006</v>
      </c>
      <c r="U33" s="412">
        <f t="shared" si="22"/>
        <v>4.6894304998397113E-2</v>
      </c>
      <c r="V33" s="409">
        <v>419.15</v>
      </c>
      <c r="W33" s="409">
        <v>0</v>
      </c>
      <c r="X33" s="409">
        <v>354.13</v>
      </c>
      <c r="Y33" s="409">
        <f t="shared" si="17"/>
        <v>8111.7800000000016</v>
      </c>
      <c r="Z33" s="413">
        <f t="shared" si="18"/>
        <v>4.6916597940534495E-2</v>
      </c>
    </row>
    <row r="34" spans="1:26" ht="11.25" customHeight="1" x14ac:dyDescent="0.3">
      <c r="A34" s="410">
        <f t="shared" si="2"/>
        <v>63</v>
      </c>
      <c r="B34" s="411">
        <v>41821</v>
      </c>
      <c r="C34" s="415">
        <v>41912</v>
      </c>
      <c r="D34" s="399">
        <f t="shared" si="0"/>
        <v>5020.3499999999995</v>
      </c>
      <c r="E34" s="341">
        <f t="shared" ref="E34:F34" si="38">I34+N34+S34+X34</f>
        <v>-2295.38</v>
      </c>
      <c r="F34" s="341">
        <f t="shared" si="38"/>
        <v>127058</v>
      </c>
      <c r="G34" s="285">
        <f t="shared" si="4"/>
        <v>-1.8096199950166824E-2</v>
      </c>
      <c r="H34" s="408">
        <v>2025.8700000000001</v>
      </c>
      <c r="I34" s="408">
        <v>-1025.43</v>
      </c>
      <c r="J34" s="408">
        <f t="shared" si="9"/>
        <v>56170.390000000007</v>
      </c>
      <c r="K34" s="412">
        <f t="shared" si="5"/>
        <v>-1.8251643716765346E-2</v>
      </c>
      <c r="L34" s="409">
        <v>592.21</v>
      </c>
      <c r="M34" s="409"/>
      <c r="N34" s="409">
        <v>-500.96</v>
      </c>
      <c r="O34" s="409">
        <f t="shared" si="6"/>
        <v>27136.019999999993</v>
      </c>
      <c r="P34" s="413">
        <f t="shared" si="7"/>
        <v>-1.8322749363361639E-2</v>
      </c>
      <c r="Q34" s="408">
        <v>1892.7</v>
      </c>
      <c r="R34" s="408">
        <v>0</v>
      </c>
      <c r="S34" s="408">
        <v>-620.16999999999996</v>
      </c>
      <c r="T34" s="408">
        <f t="shared" si="21"/>
        <v>35279.060000000005</v>
      </c>
      <c r="U34" s="412">
        <f t="shared" si="22"/>
        <v>-1.7743030045020609E-2</v>
      </c>
      <c r="V34" s="409">
        <v>509.57</v>
      </c>
      <c r="W34" s="409">
        <v>0</v>
      </c>
      <c r="X34" s="409">
        <v>-148.82</v>
      </c>
      <c r="Y34" s="409">
        <f t="shared" si="17"/>
        <v>8472.5300000000025</v>
      </c>
      <c r="Z34" s="413">
        <f t="shared" si="18"/>
        <v>-1.7787467138544906E-2</v>
      </c>
    </row>
    <row r="35" spans="1:26" ht="11.25" customHeight="1" x14ac:dyDescent="0.3">
      <c r="A35" s="410">
        <f t="shared" si="2"/>
        <v>43</v>
      </c>
      <c r="B35" s="411">
        <v>41913</v>
      </c>
      <c r="C35" s="415">
        <v>42004</v>
      </c>
      <c r="D35" s="399">
        <f t="shared" si="0"/>
        <v>4102.1200000000008</v>
      </c>
      <c r="E35" s="341">
        <f t="shared" ref="E35:F35" si="39">I35+N35+S35+X35</f>
        <v>2984.8799999999997</v>
      </c>
      <c r="F35" s="341">
        <f t="shared" si="39"/>
        <v>134145</v>
      </c>
      <c r="G35" s="285">
        <f t="shared" si="4"/>
        <v>2.3119059189184707E-2</v>
      </c>
      <c r="H35" s="408">
        <v>1736.46</v>
      </c>
      <c r="I35" s="408">
        <v>1319.31</v>
      </c>
      <c r="J35" s="408">
        <f t="shared" si="9"/>
        <v>59226.16</v>
      </c>
      <c r="K35" s="412">
        <f t="shared" si="5"/>
        <v>2.3130117804392877E-2</v>
      </c>
      <c r="L35" s="409">
        <v>326.72000000000003</v>
      </c>
      <c r="M35" s="409"/>
      <c r="N35" s="409">
        <v>634.78</v>
      </c>
      <c r="O35" s="409">
        <f t="shared" si="6"/>
        <v>28097.519999999993</v>
      </c>
      <c r="P35" s="413">
        <f t="shared" si="7"/>
        <v>2.3252542731739701E-2</v>
      </c>
      <c r="Q35" s="408">
        <v>1606.43</v>
      </c>
      <c r="R35" s="408">
        <v>0</v>
      </c>
      <c r="S35" s="408">
        <v>830.77</v>
      </c>
      <c r="T35" s="408">
        <f t="shared" si="21"/>
        <v>37716.26</v>
      </c>
      <c r="U35" s="412">
        <f t="shared" si="22"/>
        <v>2.3024324270019002E-2</v>
      </c>
      <c r="V35" s="409">
        <v>432.51</v>
      </c>
      <c r="W35" s="409">
        <v>0</v>
      </c>
      <c r="X35" s="409">
        <v>200.02</v>
      </c>
      <c r="Y35" s="409">
        <f t="shared" si="17"/>
        <v>9105.0600000000031</v>
      </c>
      <c r="Z35" s="413">
        <f t="shared" si="18"/>
        <v>2.3020479848448312E-2</v>
      </c>
    </row>
    <row r="36" spans="1:26" ht="11.25" customHeight="1" x14ac:dyDescent="0.3">
      <c r="A36" s="410">
        <f t="shared" si="2"/>
        <v>40</v>
      </c>
      <c r="B36" s="411">
        <v>42005</v>
      </c>
      <c r="C36" s="415">
        <v>42094</v>
      </c>
      <c r="D36" s="399">
        <f t="shared" si="0"/>
        <v>4793.9600000000009</v>
      </c>
      <c r="E36" s="341">
        <f t="shared" ref="E36:F36" si="40">I36+N36+S36+X36</f>
        <v>3973.43</v>
      </c>
      <c r="F36" s="341">
        <f t="shared" si="40"/>
        <v>142918.84999999998</v>
      </c>
      <c r="G36" s="285">
        <f t="shared" si="4"/>
        <v>2.910042757546067E-2</v>
      </c>
      <c r="H36" s="408">
        <v>2091.4</v>
      </c>
      <c r="I36" s="408">
        <v>1787.19</v>
      </c>
      <c r="J36" s="408">
        <f t="shared" si="9"/>
        <v>63104.750000000007</v>
      </c>
      <c r="K36" s="412">
        <f t="shared" si="5"/>
        <v>2.9652146125903531E-2</v>
      </c>
      <c r="L36" s="409">
        <v>247.5</v>
      </c>
      <c r="M36" s="409"/>
      <c r="N36" s="409">
        <v>834.13</v>
      </c>
      <c r="O36" s="409">
        <f t="shared" si="6"/>
        <v>29179.149999999994</v>
      </c>
      <c r="P36" s="413">
        <f t="shared" si="7"/>
        <v>2.9556784652143585E-2</v>
      </c>
      <c r="Q36" s="408">
        <v>1934.29</v>
      </c>
      <c r="R36" s="408">
        <v>5.54</v>
      </c>
      <c r="S36" s="408">
        <v>1088.68</v>
      </c>
      <c r="T36" s="408">
        <f t="shared" si="21"/>
        <v>40744.770000000004</v>
      </c>
      <c r="U36" s="412">
        <f t="shared" si="22"/>
        <v>2.8143334331608091E-2</v>
      </c>
      <c r="V36" s="409">
        <v>520.77</v>
      </c>
      <c r="W36" s="409">
        <v>0.92</v>
      </c>
      <c r="X36" s="409">
        <v>263.43</v>
      </c>
      <c r="Y36" s="409">
        <f t="shared" si="17"/>
        <v>9890.1800000000039</v>
      </c>
      <c r="Z36" s="413">
        <f t="shared" si="18"/>
        <v>2.8127867922987101E-2</v>
      </c>
    </row>
    <row r="37" spans="1:26" ht="11.25" customHeight="1" x14ac:dyDescent="0.3">
      <c r="A37" s="410">
        <f t="shared" si="2"/>
        <v>59</v>
      </c>
      <c r="B37" s="411">
        <v>42095</v>
      </c>
      <c r="C37" s="415">
        <v>42185</v>
      </c>
      <c r="D37" s="399">
        <f t="shared" si="0"/>
        <v>4068.3700000000003</v>
      </c>
      <c r="E37" s="341">
        <f t="shared" ref="E37:F37" si="41">I37+N37+S37+X37</f>
        <v>-226.57999999999998</v>
      </c>
      <c r="F37" s="341">
        <f t="shared" si="41"/>
        <v>146760.63999999998</v>
      </c>
      <c r="G37" s="285">
        <f t="shared" si="4"/>
        <v>-1.5631269810942559E-3</v>
      </c>
      <c r="H37" s="408">
        <v>1804.98</v>
      </c>
      <c r="I37" s="408">
        <v>123.14</v>
      </c>
      <c r="J37" s="408">
        <f t="shared" si="9"/>
        <v>65032.87000000001</v>
      </c>
      <c r="K37" s="412">
        <f t="shared" si="5"/>
        <v>1.9238448650496412E-3</v>
      </c>
      <c r="L37" s="409">
        <v>165.03</v>
      </c>
      <c r="M37" s="409"/>
      <c r="N37" s="409">
        <v>69.069999999999993</v>
      </c>
      <c r="O37" s="409">
        <f t="shared" si="6"/>
        <v>29413.249999999993</v>
      </c>
      <c r="P37" s="413">
        <f t="shared" si="7"/>
        <v>2.3604261753389635E-3</v>
      </c>
      <c r="Q37" s="408">
        <v>1653.25</v>
      </c>
      <c r="R37" s="408">
        <v>0</v>
      </c>
      <c r="S37" s="408">
        <v>-336.09</v>
      </c>
      <c r="T37" s="408">
        <f t="shared" si="21"/>
        <v>42061.930000000008</v>
      </c>
      <c r="U37" s="412">
        <f t="shared" si="22"/>
        <v>-8.0846457040953269E-3</v>
      </c>
      <c r="V37" s="409">
        <v>445.11</v>
      </c>
      <c r="W37" s="409">
        <v>0</v>
      </c>
      <c r="X37" s="409">
        <v>-82.7</v>
      </c>
      <c r="Y37" s="409">
        <f t="shared" si="17"/>
        <v>10252.590000000004</v>
      </c>
      <c r="Z37" s="413">
        <f t="shared" si="18"/>
        <v>-8.177807487292011E-3</v>
      </c>
    </row>
    <row r="38" spans="1:26" ht="11.25" customHeight="1" x14ac:dyDescent="0.3">
      <c r="A38" s="410">
        <f t="shared" si="2"/>
        <v>71</v>
      </c>
      <c r="B38" s="411">
        <v>42186</v>
      </c>
      <c r="C38" s="415">
        <v>42277</v>
      </c>
      <c r="D38" s="399">
        <f t="shared" si="0"/>
        <v>5794.38</v>
      </c>
      <c r="E38" s="341">
        <f t="shared" ref="E38:F38" si="42">I38+N38+S38+X38</f>
        <v>-10558.59</v>
      </c>
      <c r="F38" s="341">
        <f t="shared" si="42"/>
        <v>141996.43</v>
      </c>
      <c r="G38" s="285">
        <f t="shared" si="4"/>
        <v>-7.0551537463826655E-2</v>
      </c>
      <c r="H38" s="408">
        <v>2219.66</v>
      </c>
      <c r="I38" s="408">
        <v>-4630.16</v>
      </c>
      <c r="J38" s="408">
        <f t="shared" si="9"/>
        <v>62622.37000000001</v>
      </c>
      <c r="K38" s="412">
        <f t="shared" si="5"/>
        <v>-7.0002585319317162E-2</v>
      </c>
      <c r="L38" s="409">
        <v>845.66</v>
      </c>
      <c r="M38" s="409"/>
      <c r="N38" s="409">
        <v>-2066.1999999999998</v>
      </c>
      <c r="O38" s="409">
        <f t="shared" si="6"/>
        <v>28192.709999999992</v>
      </c>
      <c r="P38" s="413">
        <f t="shared" si="7"/>
        <v>-6.9251724757407818E-2</v>
      </c>
      <c r="Q38" s="408">
        <v>2150.17</v>
      </c>
      <c r="R38" s="408">
        <v>0</v>
      </c>
      <c r="S38" s="408">
        <v>-3103.52</v>
      </c>
      <c r="T38" s="408">
        <f t="shared" si="21"/>
        <v>41108.580000000009</v>
      </c>
      <c r="U38" s="412">
        <f t="shared" si="22"/>
        <v>-7.1945636479482863E-2</v>
      </c>
      <c r="V38" s="409">
        <v>578.89</v>
      </c>
      <c r="W38" s="409">
        <v>0</v>
      </c>
      <c r="X38" s="409">
        <v>-758.71</v>
      </c>
      <c r="Y38" s="409">
        <f t="shared" si="17"/>
        <v>10072.770000000004</v>
      </c>
      <c r="Z38" s="413">
        <f t="shared" si="18"/>
        <v>-7.1969975436431369E-2</v>
      </c>
    </row>
    <row r="39" spans="1:26" ht="11.25" customHeight="1" x14ac:dyDescent="0.3">
      <c r="A39" s="410">
        <f t="shared" si="2"/>
        <v>32</v>
      </c>
      <c r="B39" s="411">
        <v>42278</v>
      </c>
      <c r="C39" s="415">
        <v>42369</v>
      </c>
      <c r="D39" s="399">
        <f t="shared" si="0"/>
        <v>5396.380000000001</v>
      </c>
      <c r="E39" s="341">
        <f t="shared" ref="E39:F39" si="43">I39+N39+S39+X39</f>
        <v>6605.6100000000006</v>
      </c>
      <c r="F39" s="341">
        <f t="shared" si="43"/>
        <v>154009.28</v>
      </c>
      <c r="G39" s="285">
        <f t="shared" si="4"/>
        <v>4.565207745802851E-2</v>
      </c>
      <c r="H39" s="408">
        <v>2032.6799999999998</v>
      </c>
      <c r="I39" s="408">
        <v>2853.65</v>
      </c>
      <c r="J39" s="408">
        <f t="shared" si="9"/>
        <v>67508.700000000012</v>
      </c>
      <c r="K39" s="412">
        <f t="shared" si="5"/>
        <v>4.4841418061428329E-2</v>
      </c>
      <c r="L39" s="409">
        <v>419.55</v>
      </c>
      <c r="M39" s="409"/>
      <c r="N39" s="409">
        <v>1292.8499999999999</v>
      </c>
      <c r="O39" s="409">
        <f t="shared" si="6"/>
        <v>29905.10999999999</v>
      </c>
      <c r="P39" s="413">
        <f t="shared" si="7"/>
        <v>4.5518904419806938E-2</v>
      </c>
      <c r="Q39" s="408">
        <v>2319.63</v>
      </c>
      <c r="R39" s="408">
        <v>8.6199999999999992</v>
      </c>
      <c r="S39" s="408">
        <v>1975.43</v>
      </c>
      <c r="T39" s="408">
        <f t="shared" si="21"/>
        <v>45412.260000000009</v>
      </c>
      <c r="U39" s="412">
        <f t="shared" si="22"/>
        <v>4.6735391774397859E-2</v>
      </c>
      <c r="V39" s="409">
        <v>624.52</v>
      </c>
      <c r="W39" s="409">
        <v>2.2400000000000002</v>
      </c>
      <c r="X39" s="409">
        <v>483.68</v>
      </c>
      <c r="Y39" s="409">
        <f t="shared" si="17"/>
        <v>11183.210000000005</v>
      </c>
      <c r="Z39" s="413">
        <f t="shared" si="18"/>
        <v>4.6574733053250668E-2</v>
      </c>
    </row>
    <row r="40" spans="1:26" ht="11.25" customHeight="1" x14ac:dyDescent="0.3">
      <c r="A40" s="410">
        <f t="shared" si="2"/>
        <v>53</v>
      </c>
      <c r="B40" s="411">
        <v>42370</v>
      </c>
      <c r="C40" s="415">
        <v>42460</v>
      </c>
      <c r="D40" s="399">
        <f t="shared" si="0"/>
        <v>5972.98</v>
      </c>
      <c r="E40" s="341">
        <f t="shared" ref="E40:F40" si="44">I40+N40+S40+X40</f>
        <v>1204.92</v>
      </c>
      <c r="F40" s="341">
        <f t="shared" si="44"/>
        <v>161187.18000000002</v>
      </c>
      <c r="G40" s="285">
        <f t="shared" si="4"/>
        <v>7.6748564626932317E-3</v>
      </c>
      <c r="H40" s="408">
        <v>2391.1600000000003</v>
      </c>
      <c r="I40" s="408">
        <v>216.96</v>
      </c>
      <c r="J40" s="408">
        <f t="shared" si="9"/>
        <v>70116.820000000022</v>
      </c>
      <c r="K40" s="412">
        <f t="shared" si="5"/>
        <v>3.1578818670394328E-3</v>
      </c>
      <c r="L40" s="409">
        <v>257.87</v>
      </c>
      <c r="M40" s="409"/>
      <c r="N40" s="409">
        <v>53.78</v>
      </c>
      <c r="O40" s="409">
        <f t="shared" si="6"/>
        <v>30216.759999999987</v>
      </c>
      <c r="P40" s="413">
        <f t="shared" si="7"/>
        <v>1.7906345948406222E-3</v>
      </c>
      <c r="Q40" s="408">
        <v>2618.87</v>
      </c>
      <c r="R40" s="408">
        <v>0</v>
      </c>
      <c r="S40" s="408">
        <v>746.75</v>
      </c>
      <c r="T40" s="408">
        <f t="shared" si="21"/>
        <v>48777.880000000012</v>
      </c>
      <c r="U40" s="412">
        <f t="shared" si="22"/>
        <v>1.5982938975137778E-2</v>
      </c>
      <c r="V40" s="409">
        <v>705.08</v>
      </c>
      <c r="W40" s="409">
        <v>0</v>
      </c>
      <c r="X40" s="409">
        <v>187.43</v>
      </c>
      <c r="Y40" s="409">
        <f t="shared" si="17"/>
        <v>12075.720000000005</v>
      </c>
      <c r="Z40" s="413">
        <f t="shared" si="18"/>
        <v>1.6247751554948738E-2</v>
      </c>
    </row>
    <row r="41" spans="1:26" ht="11.25" customHeight="1" x14ac:dyDescent="0.3">
      <c r="A41" s="410">
        <f t="shared" si="2"/>
        <v>47</v>
      </c>
      <c r="B41" s="411">
        <v>42461</v>
      </c>
      <c r="C41" s="415">
        <v>42551</v>
      </c>
      <c r="D41" s="399">
        <f t="shared" si="0"/>
        <v>5490.93</v>
      </c>
      <c r="E41" s="341">
        <f t="shared" ref="E41:F41" si="45">I41+N41+S41+X41</f>
        <v>2765.2200000000003</v>
      </c>
      <c r="F41" s="341">
        <f t="shared" si="45"/>
        <v>169443.33000000005</v>
      </c>
      <c r="G41" s="285">
        <f t="shared" si="4"/>
        <v>1.6868025279528673E-2</v>
      </c>
      <c r="H41" s="408">
        <v>2056.3200000000002</v>
      </c>
      <c r="I41" s="408">
        <v>1078.08</v>
      </c>
      <c r="J41" s="408">
        <f t="shared" si="9"/>
        <v>73251.22000000003</v>
      </c>
      <c r="K41" s="412">
        <f t="shared" si="5"/>
        <v>1.5153282775538056E-2</v>
      </c>
      <c r="L41" s="409">
        <v>365.3</v>
      </c>
      <c r="M41" s="409"/>
      <c r="N41" s="409">
        <v>458.99</v>
      </c>
      <c r="O41" s="409">
        <f t="shared" si="6"/>
        <v>31041.049999999988</v>
      </c>
      <c r="P41" s="413">
        <f t="shared" si="7"/>
        <v>1.5098648296134701E-2</v>
      </c>
      <c r="Q41" s="408">
        <v>2418.2399999999998</v>
      </c>
      <c r="R41" s="408">
        <v>0</v>
      </c>
      <c r="S41" s="408">
        <v>984.08</v>
      </c>
      <c r="T41" s="408">
        <f t="shared" si="21"/>
        <v>52180.200000000012</v>
      </c>
      <c r="U41" s="412">
        <f t="shared" si="22"/>
        <v>1.968671854682217E-2</v>
      </c>
      <c r="V41" s="409">
        <v>651.07000000000005</v>
      </c>
      <c r="W41" s="409">
        <v>0</v>
      </c>
      <c r="X41" s="409">
        <v>244.07</v>
      </c>
      <c r="Y41" s="409">
        <f t="shared" si="17"/>
        <v>12970.860000000004</v>
      </c>
      <c r="Z41" s="413">
        <f t="shared" si="18"/>
        <v>1.9681072601119797E-2</v>
      </c>
    </row>
    <row r="42" spans="1:26" ht="11.25" customHeight="1" x14ac:dyDescent="0.3">
      <c r="A42" s="410">
        <f t="shared" si="2"/>
        <v>33</v>
      </c>
      <c r="B42" s="411">
        <v>42552</v>
      </c>
      <c r="C42" s="415">
        <v>42643</v>
      </c>
      <c r="D42" s="399">
        <f t="shared" si="0"/>
        <v>6394.45</v>
      </c>
      <c r="E42" s="341">
        <f t="shared" ref="E42:F42" si="46">I42+N42+S42+X42</f>
        <v>7537.78</v>
      </c>
      <c r="F42" s="341">
        <f t="shared" si="46"/>
        <v>183375.56000000003</v>
      </c>
      <c r="G42" s="285">
        <f t="shared" si="4"/>
        <v>4.3661699303503727E-2</v>
      </c>
      <c r="H42" s="408">
        <v>2432.4899999999998</v>
      </c>
      <c r="I42" s="408">
        <v>3287.43</v>
      </c>
      <c r="J42" s="408">
        <f t="shared" si="9"/>
        <v>78971.140000000029</v>
      </c>
      <c r="K42" s="412">
        <f t="shared" si="5"/>
        <v>4.4145856180279518E-2</v>
      </c>
      <c r="L42" s="409">
        <v>580.16</v>
      </c>
      <c r="M42" s="409"/>
      <c r="N42" s="409">
        <v>1388.59</v>
      </c>
      <c r="O42" s="409">
        <f t="shared" si="6"/>
        <v>33009.799999999988</v>
      </c>
      <c r="P42" s="413">
        <f t="shared" si="7"/>
        <v>4.4319818659588735E-2</v>
      </c>
      <c r="Q42" s="408">
        <v>2664.45</v>
      </c>
      <c r="R42" s="408">
        <v>0</v>
      </c>
      <c r="S42" s="408">
        <v>2291.5500000000002</v>
      </c>
      <c r="T42" s="408">
        <f t="shared" si="21"/>
        <v>57136.200000000012</v>
      </c>
      <c r="U42" s="412">
        <f t="shared" si="22"/>
        <v>4.2822764993363689E-2</v>
      </c>
      <c r="V42" s="409">
        <v>717.35</v>
      </c>
      <c r="W42" s="409">
        <v>0</v>
      </c>
      <c r="X42" s="409">
        <v>570.21</v>
      </c>
      <c r="Y42" s="409">
        <f t="shared" si="17"/>
        <v>14258.420000000006</v>
      </c>
      <c r="Z42" s="413">
        <f t="shared" si="18"/>
        <v>4.2777936364621863E-2</v>
      </c>
    </row>
    <row r="43" spans="1:26" ht="11.25" customHeight="1" x14ac:dyDescent="0.3">
      <c r="A43" s="410">
        <f t="shared" si="2"/>
        <v>48</v>
      </c>
      <c r="B43" s="411">
        <v>42644</v>
      </c>
      <c r="C43" s="415">
        <v>42735</v>
      </c>
      <c r="D43" s="399">
        <f t="shared" si="0"/>
        <v>5352.59</v>
      </c>
      <c r="E43" s="341">
        <f t="shared" ref="E43:F43" si="47">I43+N43+S43+X43</f>
        <v>3018.9100000000003</v>
      </c>
      <c r="F43" s="341">
        <f t="shared" si="47"/>
        <v>191754.43000000002</v>
      </c>
      <c r="G43" s="285">
        <f t="shared" si="4"/>
        <v>1.6226175224106201E-2</v>
      </c>
      <c r="H43" s="408">
        <v>2123.2200000000003</v>
      </c>
      <c r="I43" s="408">
        <v>1866.38</v>
      </c>
      <c r="J43" s="408">
        <f t="shared" si="9"/>
        <v>82960.740000000034</v>
      </c>
      <c r="K43" s="412">
        <f t="shared" si="5"/>
        <v>2.3320203291777423E-2</v>
      </c>
      <c r="L43" s="409">
        <v>257.85000000000002</v>
      </c>
      <c r="M43" s="409"/>
      <c r="N43" s="409">
        <v>769.01</v>
      </c>
      <c r="O43" s="409">
        <f t="shared" si="6"/>
        <v>34036.659999999989</v>
      </c>
      <c r="P43" s="413">
        <f t="shared" si="7"/>
        <v>2.320578115180956E-2</v>
      </c>
      <c r="Q43" s="408">
        <v>2341.19</v>
      </c>
      <c r="R43" s="408">
        <v>6.28</v>
      </c>
      <c r="S43" s="408">
        <v>306.20999999999998</v>
      </c>
      <c r="T43" s="408">
        <f t="shared" si="21"/>
        <v>59789.880000000012</v>
      </c>
      <c r="U43" s="412">
        <f t="shared" si="22"/>
        <v>5.2517035107143154E-3</v>
      </c>
      <c r="V43" s="409">
        <v>630.33000000000004</v>
      </c>
      <c r="W43" s="409">
        <v>1.0900000000000001</v>
      </c>
      <c r="X43" s="409">
        <v>77.31</v>
      </c>
      <c r="Y43" s="409">
        <f t="shared" si="17"/>
        <v>14967.150000000005</v>
      </c>
      <c r="Z43" s="413">
        <f t="shared" si="18"/>
        <v>5.3048031764318781E-3</v>
      </c>
    </row>
    <row r="44" spans="1:26" ht="11.25" customHeight="1" x14ac:dyDescent="0.3">
      <c r="A44" s="410">
        <f t="shared" si="2"/>
        <v>27</v>
      </c>
      <c r="B44" s="411">
        <v>42736</v>
      </c>
      <c r="C44" s="415">
        <v>42825</v>
      </c>
      <c r="D44" s="399">
        <f t="shared" si="0"/>
        <v>6321.97</v>
      </c>
      <c r="E44" s="341">
        <f t="shared" ref="E44:F44" si="48">I44+N44+S44+X44</f>
        <v>10772.96</v>
      </c>
      <c r="F44" s="341">
        <f t="shared" si="48"/>
        <v>208849.36000000004</v>
      </c>
      <c r="G44" s="285">
        <f t="shared" si="4"/>
        <v>5.5269923109980801E-2</v>
      </c>
      <c r="H44" s="408">
        <v>2507.04</v>
      </c>
      <c r="I44" s="408">
        <v>4436.24</v>
      </c>
      <c r="J44" s="408">
        <f t="shared" si="9"/>
        <v>89904.020000000033</v>
      </c>
      <c r="K44" s="412">
        <f t="shared" si="5"/>
        <v>5.2678014388537024E-2</v>
      </c>
      <c r="L44" s="409">
        <v>263.27999999999997</v>
      </c>
      <c r="M44" s="409"/>
      <c r="N44" s="409">
        <v>1801.81</v>
      </c>
      <c r="O44" s="409">
        <f t="shared" si="6"/>
        <v>36101.749999999985</v>
      </c>
      <c r="P44" s="413">
        <f t="shared" si="7"/>
        <v>5.2733381526151452E-2</v>
      </c>
      <c r="Q44" s="408">
        <v>2798.2700000000004</v>
      </c>
      <c r="R44" s="408">
        <v>0</v>
      </c>
      <c r="S44" s="408">
        <v>3626</v>
      </c>
      <c r="T44" s="408">
        <f t="shared" si="21"/>
        <v>66214.150000000009</v>
      </c>
      <c r="U44" s="412">
        <f t="shared" si="22"/>
        <v>5.9259002616727841E-2</v>
      </c>
      <c r="V44" s="409">
        <v>753.38</v>
      </c>
      <c r="W44" s="409">
        <v>0</v>
      </c>
      <c r="X44" s="409">
        <v>908.91</v>
      </c>
      <c r="Y44" s="409">
        <f t="shared" si="17"/>
        <v>16629.440000000006</v>
      </c>
      <c r="Z44" s="413">
        <f t="shared" si="18"/>
        <v>5.9236149490609888E-2</v>
      </c>
    </row>
    <row r="45" spans="1:26" ht="11.25" customHeight="1" x14ac:dyDescent="0.3">
      <c r="A45" s="410">
        <f t="shared" si="2"/>
        <v>38</v>
      </c>
      <c r="B45" s="411">
        <v>42826</v>
      </c>
      <c r="C45" s="411">
        <v>42916</v>
      </c>
      <c r="D45" s="399">
        <f t="shared" si="0"/>
        <v>6130.92</v>
      </c>
      <c r="E45" s="341">
        <f t="shared" ref="E45:F45" si="49">I45+N45+S45+X45</f>
        <v>7656.6699999999992</v>
      </c>
      <c r="F45" s="341">
        <f t="shared" si="49"/>
        <v>222636.95</v>
      </c>
      <c r="G45" s="285">
        <f t="shared" si="4"/>
        <v>3.6130885041452024E-2</v>
      </c>
      <c r="H45" s="408">
        <v>2519.0200000000004</v>
      </c>
      <c r="I45" s="408">
        <v>3138.16</v>
      </c>
      <c r="J45" s="408">
        <f t="shared" si="9"/>
        <v>95561.200000000041</v>
      </c>
      <c r="K45" s="412">
        <f t="shared" si="5"/>
        <v>3.4423414714195459E-2</v>
      </c>
      <c r="L45" s="409">
        <v>329.1</v>
      </c>
      <c r="M45" s="409"/>
      <c r="N45" s="409">
        <v>1254.71</v>
      </c>
      <c r="O45" s="409">
        <f t="shared" si="6"/>
        <v>37685.559999999983</v>
      </c>
      <c r="P45" s="413">
        <f t="shared" si="7"/>
        <v>3.4597132875424305E-2</v>
      </c>
      <c r="Q45" s="408">
        <v>2586.4499999999998</v>
      </c>
      <c r="R45" s="408">
        <v>0</v>
      </c>
      <c r="S45" s="408">
        <v>2608.19</v>
      </c>
      <c r="T45" s="408">
        <f t="shared" si="21"/>
        <v>71408.790000000008</v>
      </c>
      <c r="U45" s="412">
        <f t="shared" si="22"/>
        <v>3.8635630551476778E-2</v>
      </c>
      <c r="V45" s="409">
        <v>696.35</v>
      </c>
      <c r="W45" s="409">
        <v>0</v>
      </c>
      <c r="X45" s="409">
        <v>655.61</v>
      </c>
      <c r="Y45" s="409">
        <f t="shared" si="17"/>
        <v>17981.400000000005</v>
      </c>
      <c r="Z45" s="413">
        <f t="shared" si="18"/>
        <v>3.8616142491156726E-2</v>
      </c>
    </row>
    <row r="46" spans="1:26" ht="11.25" customHeight="1" x14ac:dyDescent="0.3">
      <c r="A46" s="410">
        <f t="shared" si="2"/>
        <v>34</v>
      </c>
      <c r="B46" s="411">
        <v>42917</v>
      </c>
      <c r="C46" s="411">
        <v>43008</v>
      </c>
      <c r="D46" s="399">
        <f t="shared" si="0"/>
        <v>6326.3899999999994</v>
      </c>
      <c r="E46" s="341">
        <f t="shared" ref="E46:F46" si="50">I46+N46+S46+X46</f>
        <v>9681.82</v>
      </c>
      <c r="F46" s="341">
        <f t="shared" si="50"/>
        <v>238645.16</v>
      </c>
      <c r="G46" s="285">
        <f t="shared" si="4"/>
        <v>4.2877828975707695E-2</v>
      </c>
      <c r="H46" s="408">
        <v>2193</v>
      </c>
      <c r="I46" s="408">
        <v>4008.93</v>
      </c>
      <c r="J46" s="408">
        <f t="shared" si="9"/>
        <v>101763.13000000003</v>
      </c>
      <c r="K46" s="412">
        <f t="shared" si="5"/>
        <v>4.1475536868764706E-2</v>
      </c>
      <c r="L46" s="409">
        <v>614.30999999999995</v>
      </c>
      <c r="M46" s="409"/>
      <c r="N46" s="409">
        <v>1571.89</v>
      </c>
      <c r="O46" s="409">
        <f t="shared" si="6"/>
        <v>39871.75999999998</v>
      </c>
      <c r="P46" s="413">
        <f t="shared" si="7"/>
        <v>4.1373458043206461E-2</v>
      </c>
      <c r="Q46" s="408">
        <v>2772.6</v>
      </c>
      <c r="R46" s="408">
        <v>0</v>
      </c>
      <c r="S46" s="408">
        <v>3275.23</v>
      </c>
      <c r="T46" s="408">
        <f t="shared" si="21"/>
        <v>77456.62000000001</v>
      </c>
      <c r="U46" s="412">
        <f t="shared" si="22"/>
        <v>4.4992457595697727E-2</v>
      </c>
      <c r="V46" s="409">
        <v>746.48</v>
      </c>
      <c r="W46" s="409">
        <v>0</v>
      </c>
      <c r="X46" s="409">
        <v>825.77</v>
      </c>
      <c r="Y46" s="409">
        <f t="shared" si="17"/>
        <v>19553.650000000005</v>
      </c>
      <c r="Z46" s="413">
        <f t="shared" si="18"/>
        <v>4.498971377264821E-2</v>
      </c>
    </row>
    <row r="47" spans="1:26" ht="11.25" customHeight="1" x14ac:dyDescent="0.3">
      <c r="A47" s="410">
        <f t="shared" si="2"/>
        <v>30</v>
      </c>
      <c r="B47" s="411">
        <v>43009</v>
      </c>
      <c r="C47" s="411">
        <v>43100</v>
      </c>
      <c r="D47" s="399">
        <f t="shared" si="0"/>
        <v>6272.63</v>
      </c>
      <c r="E47" s="341">
        <f t="shared" ref="E47:F47" si="51">I47+N47+S47+X47</f>
        <v>11946.29</v>
      </c>
      <c r="F47" s="341">
        <f t="shared" si="51"/>
        <v>256868.65000000002</v>
      </c>
      <c r="G47" s="285">
        <f t="shared" si="4"/>
        <v>4.9409451241043179E-2</v>
      </c>
      <c r="H47" s="408">
        <v>2226.84</v>
      </c>
      <c r="I47" s="408">
        <v>4866.43</v>
      </c>
      <c r="J47" s="408">
        <f t="shared" si="9"/>
        <v>108856.40000000002</v>
      </c>
      <c r="K47" s="412">
        <f t="shared" si="5"/>
        <v>4.7303588621507998E-2</v>
      </c>
      <c r="L47" s="409">
        <v>1158.25</v>
      </c>
      <c r="M47" s="409"/>
      <c r="N47" s="409">
        <v>1923.03</v>
      </c>
      <c r="O47" s="409">
        <f t="shared" si="6"/>
        <v>42953.039999999979</v>
      </c>
      <c r="P47" s="413">
        <f t="shared" si="7"/>
        <v>4.7539874591124541E-2</v>
      </c>
      <c r="Q47" s="408">
        <v>2275.04</v>
      </c>
      <c r="R47" s="408">
        <v>4.5599999999999996</v>
      </c>
      <c r="S47" s="408">
        <v>4116.6000000000004</v>
      </c>
      <c r="T47" s="408">
        <f t="shared" si="21"/>
        <v>83852.820000000007</v>
      </c>
      <c r="U47" s="412">
        <f t="shared" si="22"/>
        <v>5.2377950824323539E-2</v>
      </c>
      <c r="V47" s="409">
        <v>612.5</v>
      </c>
      <c r="W47" s="409">
        <v>0.01</v>
      </c>
      <c r="X47" s="409">
        <v>1040.23</v>
      </c>
      <c r="Y47" s="409">
        <f t="shared" si="17"/>
        <v>21206.390000000003</v>
      </c>
      <c r="Z47" s="413">
        <f t="shared" si="18"/>
        <v>5.2378410767425804E-2</v>
      </c>
    </row>
    <row r="48" spans="1:26" ht="11.25" customHeight="1" x14ac:dyDescent="0.3">
      <c r="A48" s="410">
        <f t="shared" si="2"/>
        <v>61</v>
      </c>
      <c r="B48" s="411">
        <v>43101</v>
      </c>
      <c r="C48" s="411">
        <v>43190</v>
      </c>
      <c r="D48" s="399">
        <f t="shared" si="0"/>
        <v>6576.6399999999994</v>
      </c>
      <c r="E48" s="341">
        <f t="shared" ref="E48:F48" si="52">I48+N48+S48+X48</f>
        <v>-1986.06</v>
      </c>
      <c r="F48" s="341">
        <f t="shared" si="52"/>
        <v>261459.23</v>
      </c>
      <c r="G48" s="285">
        <f t="shared" si="4"/>
        <v>-7.634083376662942E-3</v>
      </c>
      <c r="H48" s="408">
        <v>2629.98</v>
      </c>
      <c r="I48" s="408">
        <v>-625.94000000000005</v>
      </c>
      <c r="J48" s="408">
        <f t="shared" si="9"/>
        <v>110860.44000000002</v>
      </c>
      <c r="K48" s="412">
        <f t="shared" si="5"/>
        <v>-5.6815113252179162E-3</v>
      </c>
      <c r="L48" s="409">
        <v>278.63</v>
      </c>
      <c r="M48" s="409"/>
      <c r="N48" s="409">
        <v>-225.64</v>
      </c>
      <c r="O48" s="409">
        <f t="shared" si="6"/>
        <v>43006.029999999977</v>
      </c>
      <c r="P48" s="413">
        <f t="shared" si="7"/>
        <v>-5.2361956082465225E-3</v>
      </c>
      <c r="Q48" s="408">
        <v>2889.97</v>
      </c>
      <c r="R48" s="408">
        <v>0</v>
      </c>
      <c r="S48" s="408">
        <v>-904.56</v>
      </c>
      <c r="T48" s="408">
        <f t="shared" si="21"/>
        <v>85838.23000000001</v>
      </c>
      <c r="U48" s="412">
        <f t="shared" si="22"/>
        <v>-1.0604727753545356E-2</v>
      </c>
      <c r="V48" s="409">
        <v>778.06</v>
      </c>
      <c r="W48" s="409">
        <v>0</v>
      </c>
      <c r="X48" s="409">
        <v>-229.92</v>
      </c>
      <c r="Y48" s="409">
        <f t="shared" si="17"/>
        <v>21754.530000000006</v>
      </c>
      <c r="Z48" s="413">
        <f t="shared" si="18"/>
        <v>-1.0646701939577927E-2</v>
      </c>
    </row>
    <row r="49" spans="1:26" ht="11.25" customHeight="1" x14ac:dyDescent="0.3">
      <c r="A49" s="410">
        <f t="shared" si="2"/>
        <v>44</v>
      </c>
      <c r="B49" s="411">
        <v>43191</v>
      </c>
      <c r="C49" s="411">
        <v>43281</v>
      </c>
      <c r="D49" s="399">
        <f t="shared" si="0"/>
        <v>6412.6500000000005</v>
      </c>
      <c r="E49" s="341">
        <f t="shared" ref="E49:F49" si="53">I49+N49+S49+X49</f>
        <v>4812.1499999999996</v>
      </c>
      <c r="F49" s="341">
        <f t="shared" si="53"/>
        <v>272684.03000000003</v>
      </c>
      <c r="G49" s="285">
        <f t="shared" si="4"/>
        <v>1.8182003321134857E-2</v>
      </c>
      <c r="H49" s="408">
        <v>2454.0100000000002</v>
      </c>
      <c r="I49" s="408">
        <v>2306.91</v>
      </c>
      <c r="J49" s="408">
        <f t="shared" si="9"/>
        <v>115621.36000000002</v>
      </c>
      <c r="K49" s="412">
        <f t="shared" si="5"/>
        <v>2.058134164803203E-2</v>
      </c>
      <c r="L49" s="409">
        <v>633.24</v>
      </c>
      <c r="M49" s="409"/>
      <c r="N49" s="409">
        <v>892.71</v>
      </c>
      <c r="O49" s="409">
        <f t="shared" si="6"/>
        <v>44531.979999999974</v>
      </c>
      <c r="P49" s="413">
        <f t="shared" si="7"/>
        <v>2.0606080191308714E-2</v>
      </c>
      <c r="Q49" s="408">
        <v>2620.0100000000002</v>
      </c>
      <c r="R49" s="408">
        <v>0</v>
      </c>
      <c r="S49" s="408">
        <v>1286.52</v>
      </c>
      <c r="T49" s="408">
        <f t="shared" si="21"/>
        <v>89744.760000000009</v>
      </c>
      <c r="U49" s="412">
        <f t="shared" si="22"/>
        <v>1.4762433226559318E-2</v>
      </c>
      <c r="V49" s="409">
        <v>705.39</v>
      </c>
      <c r="W49" s="409">
        <v>0</v>
      </c>
      <c r="X49" s="409">
        <v>326.01</v>
      </c>
      <c r="Y49" s="409">
        <f t="shared" si="17"/>
        <v>22785.930000000004</v>
      </c>
      <c r="Z49" s="413">
        <f t="shared" si="18"/>
        <v>1.4746762653385936E-2</v>
      </c>
    </row>
    <row r="50" spans="1:26" ht="11.25" customHeight="1" x14ac:dyDescent="0.3">
      <c r="A50" s="410">
        <f t="shared" si="2"/>
        <v>36</v>
      </c>
      <c r="B50" s="411">
        <v>43282</v>
      </c>
      <c r="C50" s="411">
        <v>43373</v>
      </c>
      <c r="D50" s="399">
        <f t="shared" si="0"/>
        <v>5881.42</v>
      </c>
      <c r="E50" s="341">
        <f t="shared" ref="E50:F50" si="54">I50+N50+S50+X50</f>
        <v>11350.779999999999</v>
      </c>
      <c r="F50" s="341">
        <f t="shared" si="54"/>
        <v>289916.23</v>
      </c>
      <c r="G50" s="285">
        <f t="shared" si="4"/>
        <v>4.1182007101394441E-2</v>
      </c>
      <c r="H50" s="408">
        <v>2076.4699999999998</v>
      </c>
      <c r="I50" s="408">
        <v>5094.57</v>
      </c>
      <c r="J50" s="408">
        <f t="shared" si="9"/>
        <v>122792.40000000002</v>
      </c>
      <c r="K50" s="412">
        <f t="shared" si="5"/>
        <v>4.3670389906633904E-2</v>
      </c>
      <c r="L50" s="409">
        <v>303.95999999999998</v>
      </c>
      <c r="M50" s="409"/>
      <c r="N50" s="409">
        <v>1955.79</v>
      </c>
      <c r="O50" s="409">
        <f t="shared" si="6"/>
        <v>46791.729999999974</v>
      </c>
      <c r="P50" s="413">
        <f t="shared" si="7"/>
        <v>4.3769397340790765E-2</v>
      </c>
      <c r="Q50" s="408">
        <v>2758.34</v>
      </c>
      <c r="R50" s="408">
        <v>0</v>
      </c>
      <c r="S50" s="408">
        <v>3429.13</v>
      </c>
      <c r="T50" s="408">
        <f t="shared" si="21"/>
        <v>95932.23000000001</v>
      </c>
      <c r="U50" s="412">
        <f t="shared" si="22"/>
        <v>3.7631498114710372E-2</v>
      </c>
      <c r="V50" s="409">
        <v>742.65</v>
      </c>
      <c r="W50" s="409">
        <v>0</v>
      </c>
      <c r="X50" s="409">
        <v>871.29</v>
      </c>
      <c r="Y50" s="409">
        <f t="shared" si="17"/>
        <v>24399.870000000006</v>
      </c>
      <c r="Z50" s="413">
        <f t="shared" si="18"/>
        <v>3.7624925752210256E-2</v>
      </c>
    </row>
    <row r="51" spans="1:26" ht="11.25" customHeight="1" x14ac:dyDescent="0.3">
      <c r="A51" s="410">
        <f t="shared" si="2"/>
        <v>73</v>
      </c>
      <c r="B51" s="411">
        <v>43374</v>
      </c>
      <c r="C51" s="411">
        <v>43465</v>
      </c>
      <c r="D51" s="399">
        <f t="shared" si="0"/>
        <v>6077.6</v>
      </c>
      <c r="E51" s="341">
        <f t="shared" ref="E51:F51" si="55">I51+N51+S51+X51</f>
        <v>-33155.630000000005</v>
      </c>
      <c r="F51" s="341">
        <f t="shared" si="55"/>
        <v>262846.91000000003</v>
      </c>
      <c r="G51" s="285">
        <f t="shared" si="4"/>
        <v>-0.11317651722859992</v>
      </c>
      <c r="H51" s="408">
        <v>2265.2399999999998</v>
      </c>
      <c r="I51" s="408">
        <v>-14051.78</v>
      </c>
      <c r="J51" s="408">
        <f t="shared" si="9"/>
        <v>111005.86000000003</v>
      </c>
      <c r="K51" s="412">
        <f t="shared" si="5"/>
        <v>-0.11338937044351495</v>
      </c>
      <c r="L51" s="409">
        <v>303.95999999999998</v>
      </c>
      <c r="M51" s="409"/>
      <c r="N51" s="409">
        <v>-5317.24</v>
      </c>
      <c r="O51" s="409">
        <f t="shared" si="6"/>
        <v>41778.449999999975</v>
      </c>
      <c r="P51" s="413">
        <f t="shared" si="7"/>
        <v>-0.11326842296870022</v>
      </c>
      <c r="Q51" s="408">
        <v>2764.1800000000003</v>
      </c>
      <c r="R51" s="408">
        <v>7.98</v>
      </c>
      <c r="S51" s="408">
        <v>-10989.38</v>
      </c>
      <c r="T51" s="408">
        <f t="shared" si="21"/>
        <v>87715.01</v>
      </c>
      <c r="U51" s="412">
        <f t="shared" si="22"/>
        <v>-0.11292664841104576</v>
      </c>
      <c r="V51" s="409">
        <v>744.22</v>
      </c>
      <c r="W51" s="409">
        <v>0.73</v>
      </c>
      <c r="X51" s="409">
        <v>-2797.23</v>
      </c>
      <c r="Y51" s="409">
        <f t="shared" si="17"/>
        <v>22347.590000000007</v>
      </c>
      <c r="Z51" s="413">
        <f t="shared" si="18"/>
        <v>-0.11291911264259051</v>
      </c>
    </row>
    <row r="52" spans="1:26" ht="11.25" customHeight="1" x14ac:dyDescent="0.3">
      <c r="A52" s="410">
        <f t="shared" si="2"/>
        <v>7</v>
      </c>
      <c r="B52" s="411">
        <v>43466</v>
      </c>
      <c r="C52" s="411">
        <v>43555</v>
      </c>
      <c r="D52" s="399">
        <f t="shared" si="0"/>
        <v>6254.04</v>
      </c>
      <c r="E52" s="341">
        <f t="shared" ref="E52:F52" si="56">I52+N52+S52+X52</f>
        <v>30179.269999999997</v>
      </c>
      <c r="F52" s="341">
        <f t="shared" si="56"/>
        <v>299280.21999999997</v>
      </c>
      <c r="G52" s="285">
        <f t="shared" si="4"/>
        <v>0.11346702287701652</v>
      </c>
      <c r="H52" s="408">
        <v>2642.78</v>
      </c>
      <c r="I52" s="408">
        <v>11936.14</v>
      </c>
      <c r="J52" s="408">
        <f t="shared" si="9"/>
        <v>125584.78000000003</v>
      </c>
      <c r="K52" s="412">
        <f t="shared" si="5"/>
        <v>0.10626219372414082</v>
      </c>
      <c r="L52" s="409">
        <v>434.51</v>
      </c>
      <c r="M52" s="409"/>
      <c r="N52" s="409">
        <v>4462.8500000000004</v>
      </c>
      <c r="O52" s="409">
        <f t="shared" si="6"/>
        <v>46675.809999999976</v>
      </c>
      <c r="P52" s="413">
        <f t="shared" si="7"/>
        <v>0.10626920062420676</v>
      </c>
      <c r="Q52" s="408">
        <v>2359.86</v>
      </c>
      <c r="R52" s="408">
        <v>0</v>
      </c>
      <c r="S52" s="408">
        <v>10975.25</v>
      </c>
      <c r="T52" s="408">
        <f t="shared" si="21"/>
        <v>101050.12</v>
      </c>
      <c r="U52" s="412">
        <f t="shared" si="22"/>
        <v>0.12346315774553648</v>
      </c>
      <c r="V52" s="409">
        <v>816.89</v>
      </c>
      <c r="W52" s="409">
        <v>0</v>
      </c>
      <c r="X52" s="409">
        <v>2805.03</v>
      </c>
      <c r="Y52" s="409">
        <f t="shared" si="17"/>
        <v>25969.510000000006</v>
      </c>
      <c r="Z52" s="413">
        <f t="shared" si="18"/>
        <v>0.12326532280337939</v>
      </c>
    </row>
    <row r="53" spans="1:26" ht="11.25" customHeight="1" x14ac:dyDescent="0.3">
      <c r="A53" s="410">
        <f t="shared" si="2"/>
        <v>39</v>
      </c>
      <c r="B53" s="411">
        <v>43556</v>
      </c>
      <c r="C53" s="411">
        <v>43646</v>
      </c>
      <c r="D53" s="399">
        <f t="shared" si="0"/>
        <v>6406.14</v>
      </c>
      <c r="E53" s="341">
        <f t="shared" ref="E53:F53" si="57">I53+N53+S53+X53</f>
        <v>10419.14</v>
      </c>
      <c r="F53" s="341">
        <f t="shared" si="57"/>
        <v>316095.5</v>
      </c>
      <c r="G53" s="285">
        <f t="shared" si="4"/>
        <v>3.4445340765765935E-2</v>
      </c>
      <c r="H53" s="408">
        <v>2720.5</v>
      </c>
      <c r="I53" s="408">
        <v>4541.88</v>
      </c>
      <c r="J53" s="408">
        <f t="shared" si="9"/>
        <v>132847.16000000003</v>
      </c>
      <c r="K53" s="412">
        <f t="shared" si="5"/>
        <v>3.5778320742450485E-2</v>
      </c>
      <c r="L53" s="409">
        <v>276.60000000000002</v>
      </c>
      <c r="M53" s="409"/>
      <c r="N53" s="409">
        <v>1676.71</v>
      </c>
      <c r="O53" s="409">
        <f t="shared" si="6"/>
        <v>48629.119999999974</v>
      </c>
      <c r="P53" s="413">
        <f t="shared" si="7"/>
        <v>3.5816338279206862E-2</v>
      </c>
      <c r="Q53" s="408">
        <v>2532.42</v>
      </c>
      <c r="R53" s="408">
        <v>-5</v>
      </c>
      <c r="S53" s="408">
        <v>3336.74</v>
      </c>
      <c r="T53" s="408">
        <f t="shared" si="21"/>
        <v>106914.28</v>
      </c>
      <c r="U53" s="412">
        <f t="shared" si="22"/>
        <v>3.2611998495254861E-2</v>
      </c>
      <c r="V53" s="409">
        <v>876.62</v>
      </c>
      <c r="W53" s="409">
        <v>-5</v>
      </c>
      <c r="X53" s="409">
        <v>863.81</v>
      </c>
      <c r="Y53" s="409">
        <f t="shared" si="17"/>
        <v>27704.940000000006</v>
      </c>
      <c r="Z53" s="413">
        <f t="shared" si="18"/>
        <v>3.2710386544591706E-2</v>
      </c>
    </row>
    <row r="54" spans="1:26" ht="11.25" customHeight="1" x14ac:dyDescent="0.3">
      <c r="A54" s="410">
        <f t="shared" si="2"/>
        <v>56</v>
      </c>
      <c r="B54" s="411">
        <v>43647</v>
      </c>
      <c r="C54" s="411">
        <v>43738</v>
      </c>
      <c r="D54" s="399">
        <f t="shared" si="0"/>
        <v>7673.9400000000005</v>
      </c>
      <c r="E54" s="341">
        <f t="shared" ref="E54:F54" si="58">I54+N54+S54+X54</f>
        <v>1434.08</v>
      </c>
      <c r="F54" s="341">
        <f t="shared" si="58"/>
        <v>325193.52</v>
      </c>
      <c r="G54" s="285">
        <f t="shared" si="4"/>
        <v>4.4824459361689677E-3</v>
      </c>
      <c r="H54" s="408">
        <v>2338.65</v>
      </c>
      <c r="I54" s="408">
        <v>572.88</v>
      </c>
      <c r="J54" s="408">
        <f t="shared" si="9"/>
        <v>135758.69000000003</v>
      </c>
      <c r="K54" s="412">
        <f t="shared" si="5"/>
        <v>4.2746979970411832E-3</v>
      </c>
      <c r="L54" s="409">
        <v>774.48</v>
      </c>
      <c r="M54" s="409"/>
      <c r="N54" s="409">
        <v>197.29</v>
      </c>
      <c r="O54" s="409">
        <f t="shared" si="6"/>
        <v>49600.889999999978</v>
      </c>
      <c r="P54" s="413">
        <f t="shared" si="7"/>
        <v>4.024982679252399E-3</v>
      </c>
      <c r="Q54" s="408">
        <v>3388.01</v>
      </c>
      <c r="R54" s="408">
        <v>-5</v>
      </c>
      <c r="S54" s="408">
        <v>525.37</v>
      </c>
      <c r="T54" s="408">
        <f t="shared" si="21"/>
        <v>110822.65999999999</v>
      </c>
      <c r="U54" s="412">
        <f t="shared" si="22"/>
        <v>4.8372921089767694E-3</v>
      </c>
      <c r="V54" s="409">
        <v>1172.8</v>
      </c>
      <c r="W54" s="409">
        <v>-5</v>
      </c>
      <c r="X54" s="409">
        <v>138.54</v>
      </c>
      <c r="Y54" s="409">
        <f t="shared" si="17"/>
        <v>29011.280000000006</v>
      </c>
      <c r="Z54" s="413">
        <f t="shared" si="18"/>
        <v>4.8969048479145898E-3</v>
      </c>
    </row>
    <row r="55" spans="1:26" ht="11.25" customHeight="1" x14ac:dyDescent="0.3">
      <c r="A55" s="410">
        <f t="shared" si="2"/>
        <v>14</v>
      </c>
      <c r="B55" s="416">
        <v>43739</v>
      </c>
      <c r="C55" s="416">
        <v>43830</v>
      </c>
      <c r="D55" s="417">
        <f t="shared" si="0"/>
        <v>7170.0499999999993</v>
      </c>
      <c r="E55" s="418">
        <f t="shared" ref="E55:F55" si="59">I55+N55+S55+X55</f>
        <v>25173.34</v>
      </c>
      <c r="F55" s="418">
        <f t="shared" si="59"/>
        <v>357563.51</v>
      </c>
      <c r="G55" s="285">
        <f t="shared" si="4"/>
        <v>7.6566249175413797E-2</v>
      </c>
      <c r="H55" s="419">
        <v>2373.7199999999998</v>
      </c>
      <c r="I55" s="419">
        <v>9824.64</v>
      </c>
      <c r="J55" s="419">
        <f t="shared" si="9"/>
        <v>147957.05000000005</v>
      </c>
      <c r="K55" s="420">
        <f t="shared" si="5"/>
        <v>7.1741213935027442E-2</v>
      </c>
      <c r="L55" s="421">
        <v>342.79</v>
      </c>
      <c r="M55" s="421"/>
      <c r="N55" s="421">
        <v>3566.35</v>
      </c>
      <c r="O55" s="421">
        <f t="shared" si="6"/>
        <v>53510.029999999977</v>
      </c>
      <c r="P55" s="422">
        <f t="shared" si="7"/>
        <v>7.1653330764299888E-2</v>
      </c>
      <c r="Q55" s="419">
        <v>3308.31</v>
      </c>
      <c r="R55" s="419">
        <v>28.77</v>
      </c>
      <c r="S55" s="419">
        <v>9328.2900000000009</v>
      </c>
      <c r="T55" s="419">
        <f t="shared" si="21"/>
        <v>123488.02999999998</v>
      </c>
      <c r="U55" s="420">
        <f t="shared" si="22"/>
        <v>8.2935225361777914E-2</v>
      </c>
      <c r="V55" s="421">
        <v>1145.23</v>
      </c>
      <c r="W55" s="421">
        <v>-2.17</v>
      </c>
      <c r="X55" s="421">
        <v>2454.06</v>
      </c>
      <c r="Y55" s="421">
        <f t="shared" si="17"/>
        <v>32608.400000000009</v>
      </c>
      <c r="Z55" s="413">
        <f t="shared" si="18"/>
        <v>8.2952565914664017E-2</v>
      </c>
    </row>
    <row r="56" spans="1:26" ht="11.25" customHeight="1" x14ac:dyDescent="0.3">
      <c r="A56" s="410">
        <f t="shared" si="2"/>
        <v>76</v>
      </c>
      <c r="B56" s="411">
        <v>43831</v>
      </c>
      <c r="C56" s="411">
        <v>43921</v>
      </c>
      <c r="D56" s="399">
        <f t="shared" si="0"/>
        <v>7742.6099999999988</v>
      </c>
      <c r="E56" s="341">
        <f t="shared" ref="E56:F56" si="60">I56+N56+S56+X56</f>
        <v>-70829.37</v>
      </c>
      <c r="F56" s="341">
        <f t="shared" si="60"/>
        <v>294466.75</v>
      </c>
      <c r="G56" s="285">
        <f t="shared" si="4"/>
        <v>-0.19596720365745618</v>
      </c>
      <c r="H56" s="408">
        <v>2012.79</v>
      </c>
      <c r="I56" s="408">
        <v>-27147.94</v>
      </c>
      <c r="J56" s="408">
        <f t="shared" si="9"/>
        <v>122821.90000000005</v>
      </c>
      <c r="K56" s="412">
        <f t="shared" si="5"/>
        <v>-0.18224565093805392</v>
      </c>
      <c r="L56" s="409">
        <v>1354.74</v>
      </c>
      <c r="M56" s="409"/>
      <c r="N56" s="409">
        <v>-9790.6200000000008</v>
      </c>
      <c r="O56" s="409">
        <f t="shared" si="6"/>
        <v>45074.149999999972</v>
      </c>
      <c r="P56" s="413">
        <f t="shared" si="7"/>
        <v>-0.18068074866112796</v>
      </c>
      <c r="Q56" s="408">
        <v>3250.02</v>
      </c>
      <c r="R56" s="408">
        <v>-5</v>
      </c>
      <c r="S56" s="408">
        <v>-26778.080000000002</v>
      </c>
      <c r="T56" s="408">
        <f t="shared" si="21"/>
        <v>99954.969999999987</v>
      </c>
      <c r="U56" s="412">
        <f t="shared" si="22"/>
        <v>-0.21403108740703611</v>
      </c>
      <c r="V56" s="409">
        <v>1125.06</v>
      </c>
      <c r="W56" s="409">
        <v>-5</v>
      </c>
      <c r="X56" s="409">
        <v>-7112.73</v>
      </c>
      <c r="Y56" s="409">
        <f t="shared" si="17"/>
        <v>26615.730000000007</v>
      </c>
      <c r="Z56" s="413">
        <f t="shared" si="18"/>
        <v>-0.21442660787623374</v>
      </c>
    </row>
    <row r="57" spans="1:26" ht="11.25" customHeight="1" x14ac:dyDescent="0.3">
      <c r="A57" s="410">
        <f t="shared" si="2"/>
        <v>1</v>
      </c>
      <c r="B57" s="411">
        <v>43922</v>
      </c>
      <c r="C57" s="411">
        <v>44012</v>
      </c>
      <c r="D57" s="399">
        <f t="shared" si="0"/>
        <v>7612.45</v>
      </c>
      <c r="E57" s="341">
        <f t="shared" ref="E57:F57" si="61">I57+N57+S57+X57</f>
        <v>52103.11</v>
      </c>
      <c r="F57" s="341">
        <f t="shared" si="61"/>
        <v>354172.31000000006</v>
      </c>
      <c r="G57" s="285">
        <f t="shared" si="4"/>
        <v>0.17468263760737962</v>
      </c>
      <c r="H57" s="408">
        <v>763.49</v>
      </c>
      <c r="I57" s="408">
        <v>20618.64</v>
      </c>
      <c r="J57" s="408">
        <f t="shared" si="9"/>
        <v>144204.03000000006</v>
      </c>
      <c r="K57" s="412">
        <f t="shared" si="5"/>
        <v>0.16735413956299744</v>
      </c>
      <c r="L57" s="409">
        <v>2473.89</v>
      </c>
      <c r="M57" s="409"/>
      <c r="N57" s="409">
        <v>7704.29</v>
      </c>
      <c r="O57" s="409">
        <f t="shared" si="6"/>
        <v>55252.329999999973</v>
      </c>
      <c r="P57" s="413">
        <f t="shared" si="7"/>
        <v>0.1663594868573072</v>
      </c>
      <c r="Q57" s="408">
        <v>3250.02</v>
      </c>
      <c r="R57" s="408">
        <v>-5</v>
      </c>
      <c r="S57" s="408">
        <v>18764.759999999998</v>
      </c>
      <c r="T57" s="408">
        <f t="shared" si="21"/>
        <v>121964.74999999999</v>
      </c>
      <c r="U57" s="412">
        <f t="shared" si="22"/>
        <v>0.18472892000963184</v>
      </c>
      <c r="V57" s="409">
        <v>1125.05</v>
      </c>
      <c r="W57" s="409">
        <v>-5</v>
      </c>
      <c r="X57" s="409">
        <v>5015.42</v>
      </c>
      <c r="Y57" s="409">
        <f t="shared" si="17"/>
        <v>32751.200000000004</v>
      </c>
      <c r="Z57" s="413">
        <f t="shared" si="18"/>
        <v>0.18453796978503581</v>
      </c>
    </row>
    <row r="58" spans="1:26" ht="11.25" customHeight="1" x14ac:dyDescent="0.3">
      <c r="A58" s="410">
        <f t="shared" si="2"/>
        <v>20</v>
      </c>
      <c r="B58" s="411">
        <v>44013</v>
      </c>
      <c r="C58" s="411">
        <v>44104</v>
      </c>
      <c r="D58" s="399">
        <f t="shared" si="0"/>
        <v>7217.0099999999993</v>
      </c>
      <c r="E58" s="341">
        <f t="shared" ref="E58:F58" si="62">I58+N58+S58+X58</f>
        <v>24573.86</v>
      </c>
      <c r="F58" s="341">
        <f t="shared" si="62"/>
        <v>385953.18</v>
      </c>
      <c r="G58" s="285">
        <f t="shared" si="4"/>
        <v>6.8684118794910778E-2</v>
      </c>
      <c r="H58" s="408">
        <v>2341.29</v>
      </c>
      <c r="I58" s="408">
        <v>9153.7999999999993</v>
      </c>
      <c r="J58" s="408">
        <f t="shared" si="9"/>
        <v>155699.12000000005</v>
      </c>
      <c r="K58" s="412">
        <f t="shared" si="5"/>
        <v>6.2966950742968097E-2</v>
      </c>
      <c r="L58" s="409">
        <v>500.66</v>
      </c>
      <c r="M58" s="409"/>
      <c r="N58" s="409">
        <v>3518.08</v>
      </c>
      <c r="O58" s="409">
        <f t="shared" si="6"/>
        <v>59271.069999999978</v>
      </c>
      <c r="P58" s="413">
        <f t="shared" si="7"/>
        <v>6.3385790879211937E-2</v>
      </c>
      <c r="Q58" s="408">
        <v>3250.02</v>
      </c>
      <c r="R58" s="408">
        <v>-5</v>
      </c>
      <c r="S58" s="408">
        <v>9379.41</v>
      </c>
      <c r="T58" s="408">
        <f t="shared" si="21"/>
        <v>134589.18</v>
      </c>
      <c r="U58" s="412">
        <f t="shared" si="22"/>
        <v>7.5891481624367596E-2</v>
      </c>
      <c r="V58" s="409">
        <v>1125.04</v>
      </c>
      <c r="W58" s="409">
        <v>-5</v>
      </c>
      <c r="X58" s="409">
        <v>2522.5700000000002</v>
      </c>
      <c r="Y58" s="409">
        <f t="shared" si="17"/>
        <v>36393.810000000005</v>
      </c>
      <c r="Z58" s="413">
        <f t="shared" si="18"/>
        <v>7.5721654621579343E-2</v>
      </c>
    </row>
    <row r="59" spans="1:26" ht="11.25" customHeight="1" x14ac:dyDescent="0.3">
      <c r="A59" s="410">
        <f t="shared" si="2"/>
        <v>5</v>
      </c>
      <c r="B59" s="411">
        <v>44105</v>
      </c>
      <c r="C59" s="411">
        <v>44196</v>
      </c>
      <c r="D59" s="399">
        <f t="shared" si="0"/>
        <v>7890.2699999999995</v>
      </c>
      <c r="E59" s="341">
        <f t="shared" ref="E59:F59" si="63">I59+N59+S59+X59</f>
        <v>52550.63</v>
      </c>
      <c r="F59" s="341">
        <f t="shared" si="63"/>
        <v>446432.66000000003</v>
      </c>
      <c r="G59" s="285">
        <f t="shared" si="4"/>
        <v>0.13478034651162829</v>
      </c>
      <c r="H59" s="408">
        <v>3043.98</v>
      </c>
      <c r="I59" s="408">
        <v>20324.8</v>
      </c>
      <c r="J59" s="408">
        <f t="shared" si="9"/>
        <v>179067.90000000005</v>
      </c>
      <c r="K59" s="412">
        <f t="shared" si="5"/>
        <v>0.12927526080944216</v>
      </c>
      <c r="L59" s="409">
        <v>471.22</v>
      </c>
      <c r="M59" s="409"/>
      <c r="N59" s="409">
        <v>7727.21</v>
      </c>
      <c r="O59" s="409">
        <f t="shared" si="6"/>
        <v>67469.499999999985</v>
      </c>
      <c r="P59" s="413">
        <f t="shared" si="7"/>
        <v>0.12985449700773094</v>
      </c>
      <c r="Q59" s="408">
        <v>3250.02</v>
      </c>
      <c r="R59" s="408">
        <v>39.450000000000003</v>
      </c>
      <c r="S59" s="408">
        <v>19269.02</v>
      </c>
      <c r="T59" s="408">
        <f t="shared" si="21"/>
        <v>157147.66999999998</v>
      </c>
      <c r="U59" s="412">
        <f t="shared" si="22"/>
        <v>0.14146117963187241</v>
      </c>
      <c r="V59" s="409">
        <v>1125.05</v>
      </c>
      <c r="W59" s="409">
        <v>-0.87</v>
      </c>
      <c r="X59" s="409">
        <v>5229.6000000000004</v>
      </c>
      <c r="Y59" s="409">
        <f t="shared" si="17"/>
        <v>42747.590000000004</v>
      </c>
      <c r="Z59" s="413">
        <f t="shared" si="18"/>
        <v>0.14150753855868012</v>
      </c>
    </row>
    <row r="60" spans="1:26" ht="11.25" customHeight="1" x14ac:dyDescent="0.3">
      <c r="A60" s="410">
        <f t="shared" si="2"/>
        <v>29</v>
      </c>
      <c r="B60" s="411">
        <v>44197</v>
      </c>
      <c r="C60" s="411">
        <v>44286</v>
      </c>
      <c r="D60" s="399">
        <f t="shared" si="0"/>
        <v>7692.97</v>
      </c>
      <c r="E60" s="341">
        <f t="shared" ref="E60:F60" si="64">I60+N60+S60+X60</f>
        <v>23221.300000000003</v>
      </c>
      <c r="F60" s="341">
        <f t="shared" si="64"/>
        <v>477336.93000000005</v>
      </c>
      <c r="G60" s="285">
        <f t="shared" si="4"/>
        <v>5.1570898314644356E-2</v>
      </c>
      <c r="H60" s="408">
        <v>3135.9</v>
      </c>
      <c r="I60" s="408">
        <v>9365.5400000000009</v>
      </c>
      <c r="J60" s="408">
        <f t="shared" si="9"/>
        <v>191569.34000000005</v>
      </c>
      <c r="K60" s="412">
        <f t="shared" si="5"/>
        <v>5.1847626038795717E-2</v>
      </c>
      <c r="L60" s="409">
        <v>182</v>
      </c>
      <c r="M60" s="409"/>
      <c r="N60" s="409">
        <v>3519.58</v>
      </c>
      <c r="O60" s="409">
        <f t="shared" si="6"/>
        <v>71171.079999999987</v>
      </c>
      <c r="P60" s="413">
        <f t="shared" si="7"/>
        <v>5.2095233161388692E-2</v>
      </c>
      <c r="Q60" s="408">
        <v>3250.02</v>
      </c>
      <c r="R60" s="408">
        <v>-5</v>
      </c>
      <c r="S60" s="408">
        <v>8122.69</v>
      </c>
      <c r="T60" s="408">
        <f t="shared" si="21"/>
        <v>168515.37999999998</v>
      </c>
      <c r="U60" s="412">
        <f t="shared" si="22"/>
        <v>5.1159242257547081E-2</v>
      </c>
      <c r="V60" s="409">
        <v>1125.05</v>
      </c>
      <c r="W60" s="409">
        <v>-5</v>
      </c>
      <c r="X60" s="409">
        <v>2213.4899999999998</v>
      </c>
      <c r="Y60" s="409">
        <f t="shared" si="17"/>
        <v>46081.130000000005</v>
      </c>
      <c r="Z60" s="413">
        <f t="shared" si="18"/>
        <v>5.1107922479540852E-2</v>
      </c>
    </row>
    <row r="61" spans="1:26" ht="11.25" customHeight="1" x14ac:dyDescent="0.3">
      <c r="A61" s="410">
        <f t="shared" si="2"/>
        <v>19</v>
      </c>
      <c r="B61" s="411">
        <v>44287</v>
      </c>
      <c r="C61" s="411">
        <v>44377</v>
      </c>
      <c r="D61" s="399">
        <f t="shared" si="0"/>
        <v>9395.75</v>
      </c>
      <c r="E61" s="341">
        <f t="shared" ref="E61:F61" si="65">I61+N61+S61+X61</f>
        <v>33364.39</v>
      </c>
      <c r="F61" s="341">
        <f t="shared" si="65"/>
        <v>520087.07</v>
      </c>
      <c r="G61" s="285">
        <f t="shared" si="4"/>
        <v>6.9215728104944613E-2</v>
      </c>
      <c r="H61" s="408">
        <v>3722.18</v>
      </c>
      <c r="I61" s="408">
        <v>13315.57</v>
      </c>
      <c r="J61" s="408">
        <f t="shared" si="9"/>
        <v>208607.09000000005</v>
      </c>
      <c r="K61" s="412">
        <f t="shared" si="5"/>
        <v>6.8839065290812809E-2</v>
      </c>
      <c r="L61" s="409">
        <v>1152.69</v>
      </c>
      <c r="M61" s="409"/>
      <c r="N61" s="409">
        <v>4935.9399999999996</v>
      </c>
      <c r="O61" s="409">
        <f t="shared" si="6"/>
        <v>77259.709999999992</v>
      </c>
      <c r="P61" s="413">
        <f t="shared" si="7"/>
        <v>6.8796057837615776E-2</v>
      </c>
      <c r="Q61" s="408">
        <v>3358.36</v>
      </c>
      <c r="R61" s="408">
        <v>-5</v>
      </c>
      <c r="S61" s="408">
        <v>11862.74</v>
      </c>
      <c r="T61" s="408">
        <f t="shared" si="21"/>
        <v>183731.47999999995</v>
      </c>
      <c r="U61" s="412">
        <f t="shared" si="22"/>
        <v>6.9701052724599435E-2</v>
      </c>
      <c r="V61" s="409">
        <v>1162.52</v>
      </c>
      <c r="W61" s="409">
        <v>-5</v>
      </c>
      <c r="X61" s="409">
        <v>3250.14</v>
      </c>
      <c r="Y61" s="409">
        <f t="shared" si="17"/>
        <v>50488.79</v>
      </c>
      <c r="Z61" s="413">
        <f t="shared" si="18"/>
        <v>6.9652240273162164E-2</v>
      </c>
    </row>
    <row r="62" spans="1:26" ht="11.25" customHeight="1" x14ac:dyDescent="0.3">
      <c r="A62" s="410">
        <f t="shared" si="2"/>
        <v>60</v>
      </c>
      <c r="B62" s="411">
        <v>44378</v>
      </c>
      <c r="C62" s="411">
        <v>44469</v>
      </c>
      <c r="D62" s="399">
        <f t="shared" si="0"/>
        <v>8662.85</v>
      </c>
      <c r="E62" s="341">
        <f t="shared" ref="E62:F62" si="66">I62+N62+S62+X62</f>
        <v>-2806.3399999999997</v>
      </c>
      <c r="F62" s="341">
        <f t="shared" si="66"/>
        <v>525933.58000000007</v>
      </c>
      <c r="G62" s="285">
        <f t="shared" si="4"/>
        <v>-5.351336817363773E-3</v>
      </c>
      <c r="H62" s="408">
        <v>3263.16</v>
      </c>
      <c r="I62" s="408">
        <v>-830.29</v>
      </c>
      <c r="J62" s="408">
        <f t="shared" si="9"/>
        <v>211039.96000000005</v>
      </c>
      <c r="K62" s="412">
        <f t="shared" si="5"/>
        <v>-3.9492734614426537E-3</v>
      </c>
      <c r="L62" s="409">
        <v>667.35</v>
      </c>
      <c r="M62" s="409"/>
      <c r="N62" s="409">
        <v>-288.94</v>
      </c>
      <c r="O62" s="409">
        <f t="shared" si="6"/>
        <v>77638.12</v>
      </c>
      <c r="P62" s="413">
        <f t="shared" si="7"/>
        <v>-3.7237710405339324E-3</v>
      </c>
      <c r="Q62" s="408">
        <v>3515.44</v>
      </c>
      <c r="R62" s="408">
        <v>-5</v>
      </c>
      <c r="S62" s="408">
        <v>-1319.84</v>
      </c>
      <c r="T62" s="408">
        <f t="shared" si="21"/>
        <v>185922.07999999996</v>
      </c>
      <c r="U62" s="412">
        <f t="shared" si="22"/>
        <v>-7.1154547003275679E-3</v>
      </c>
      <c r="V62" s="409">
        <v>1216.9000000000001</v>
      </c>
      <c r="W62" s="409">
        <v>-5</v>
      </c>
      <c r="X62" s="409">
        <v>-367.27</v>
      </c>
      <c r="Y62" s="409">
        <f t="shared" si="17"/>
        <v>51333.420000000006</v>
      </c>
      <c r="Z62" s="413">
        <f t="shared" si="18"/>
        <v>-7.1876680619148902E-3</v>
      </c>
    </row>
    <row r="63" spans="1:26" ht="11.25" customHeight="1" x14ac:dyDescent="0.3">
      <c r="A63" s="410">
        <f t="shared" si="2"/>
        <v>23</v>
      </c>
      <c r="B63" s="411">
        <v>44470</v>
      </c>
      <c r="C63" s="411">
        <v>44561</v>
      </c>
      <c r="D63" s="399">
        <f t="shared" si="0"/>
        <v>9311.3900000000012</v>
      </c>
      <c r="E63" s="341">
        <f t="shared" ref="E63:F63" si="67">I63+N63+S63+X63</f>
        <v>34528.080000000002</v>
      </c>
      <c r="F63" s="341">
        <f t="shared" si="67"/>
        <v>569814.69000000006</v>
      </c>
      <c r="G63" s="285">
        <f t="shared" si="4"/>
        <v>6.507496782704475E-2</v>
      </c>
      <c r="H63" s="408">
        <v>3879.38</v>
      </c>
      <c r="I63" s="408">
        <v>13905.92</v>
      </c>
      <c r="J63" s="408">
        <f t="shared" si="9"/>
        <v>228825.26000000007</v>
      </c>
      <c r="K63" s="412">
        <f t="shared" si="5"/>
        <v>6.5292247404857673E-2</v>
      </c>
      <c r="L63" s="409">
        <v>371.59</v>
      </c>
      <c r="M63" s="409"/>
      <c r="N63" s="409">
        <v>5097.01</v>
      </c>
      <c r="O63" s="409">
        <f t="shared" si="6"/>
        <v>83106.719999999987</v>
      </c>
      <c r="P63" s="413">
        <f t="shared" si="7"/>
        <v>6.5494135061182679E-2</v>
      </c>
      <c r="Q63" s="408">
        <v>3759.15</v>
      </c>
      <c r="R63" s="408">
        <v>43.2</v>
      </c>
      <c r="S63" s="408">
        <v>12162.04</v>
      </c>
      <c r="T63" s="408">
        <f t="shared" si="21"/>
        <v>201886.46999999997</v>
      </c>
      <c r="U63" s="412">
        <f t="shared" si="22"/>
        <v>6.4760025677090022E-2</v>
      </c>
      <c r="V63" s="409">
        <v>1301.27</v>
      </c>
      <c r="W63" s="409">
        <v>-1.56</v>
      </c>
      <c r="X63" s="409">
        <v>3363.11</v>
      </c>
      <c r="Y63" s="409">
        <f t="shared" si="17"/>
        <v>55996.240000000005</v>
      </c>
      <c r="Z63" s="413">
        <f t="shared" si="18"/>
        <v>6.4695030043346938E-2</v>
      </c>
    </row>
    <row r="64" spans="1:26" ht="11.25" customHeight="1" x14ac:dyDescent="0.3">
      <c r="A64" s="410">
        <f t="shared" si="2"/>
        <v>70</v>
      </c>
      <c r="B64" s="411">
        <v>44562</v>
      </c>
      <c r="C64" s="411">
        <v>44651</v>
      </c>
      <c r="D64" s="399">
        <f t="shared" si="0"/>
        <v>8989.7800000000007</v>
      </c>
      <c r="E64" s="341">
        <f t="shared" ref="E64:F64" si="68">I64+N64+S64+X64</f>
        <v>-33020.32</v>
      </c>
      <c r="F64" s="341">
        <f t="shared" si="68"/>
        <v>545774.14999999991</v>
      </c>
      <c r="G64" s="285">
        <f t="shared" si="4"/>
        <v>-5.7495680291455339E-2</v>
      </c>
      <c r="H64" s="408">
        <v>3295.8</v>
      </c>
      <c r="I64" s="408">
        <v>-13162.7</v>
      </c>
      <c r="J64" s="408">
        <f t="shared" si="9"/>
        <v>218958.36000000004</v>
      </c>
      <c r="K64" s="412">
        <f t="shared" si="5"/>
        <v>-5.7111639377010311E-2</v>
      </c>
      <c r="L64" s="409">
        <v>508.81</v>
      </c>
      <c r="M64" s="409"/>
      <c r="N64" s="409">
        <v>-4788.0200000000004</v>
      </c>
      <c r="O64" s="409">
        <f t="shared" si="6"/>
        <v>78827.50999999998</v>
      </c>
      <c r="P64" s="413">
        <f t="shared" si="7"/>
        <v>-5.7437084732241815E-2</v>
      </c>
      <c r="Q64" s="408">
        <v>3851.81</v>
      </c>
      <c r="R64" s="408">
        <v>-5</v>
      </c>
      <c r="S64" s="408">
        <v>-11799.38</v>
      </c>
      <c r="T64" s="408">
        <f t="shared" si="21"/>
        <v>193933.89999999997</v>
      </c>
      <c r="U64" s="412">
        <f t="shared" si="22"/>
        <v>-5.7893344307478882E-2</v>
      </c>
      <c r="V64" s="409">
        <v>1333.36</v>
      </c>
      <c r="W64" s="409">
        <v>-5</v>
      </c>
      <c r="X64" s="409">
        <v>-3270.22</v>
      </c>
      <c r="Y64" s="409">
        <f t="shared" si="17"/>
        <v>54054.380000000005</v>
      </c>
      <c r="Z64" s="413">
        <f t="shared" si="18"/>
        <v>-5.7713580592034429E-2</v>
      </c>
    </row>
    <row r="65" spans="1:26" ht="11.25" customHeight="1" x14ac:dyDescent="0.3">
      <c r="A65" s="410">
        <f t="shared" si="2"/>
        <v>74</v>
      </c>
      <c r="B65" s="416">
        <v>44652</v>
      </c>
      <c r="C65" s="416">
        <v>44742</v>
      </c>
      <c r="D65" s="417">
        <f t="shared" si="0"/>
        <v>9559.6299999999992</v>
      </c>
      <c r="E65" s="418">
        <f t="shared" ref="E65:F65" si="69">I65+N65+S65+X65</f>
        <v>-81085.710000000006</v>
      </c>
      <c r="F65" s="418">
        <f t="shared" si="69"/>
        <v>474238.07</v>
      </c>
      <c r="G65" s="423">
        <f t="shared" si="4"/>
        <v>-0.14728022165819846</v>
      </c>
      <c r="H65" s="419">
        <v>3845.1</v>
      </c>
      <c r="I65" s="419">
        <v>-32359.85</v>
      </c>
      <c r="J65" s="419">
        <f t="shared" si="9"/>
        <v>190443.61000000004</v>
      </c>
      <c r="K65" s="420">
        <f t="shared" si="5"/>
        <v>-0.14650360685312278</v>
      </c>
      <c r="L65" s="421">
        <v>572.42999999999995</v>
      </c>
      <c r="M65" s="421"/>
      <c r="N65" s="421">
        <v>-11601.04</v>
      </c>
      <c r="O65" s="421">
        <f t="shared" si="6"/>
        <v>67798.899999999965</v>
      </c>
      <c r="P65" s="422">
        <f t="shared" si="7"/>
        <v>-0.14663751453998664</v>
      </c>
      <c r="Q65" s="419">
        <v>3819.84</v>
      </c>
      <c r="R65" s="419">
        <v>-5</v>
      </c>
      <c r="S65" s="419">
        <v>-29017.27</v>
      </c>
      <c r="T65" s="419">
        <f t="shared" si="21"/>
        <v>168731.46999999997</v>
      </c>
      <c r="U65" s="420">
        <f t="shared" si="22"/>
        <v>-0.14816535951964174</v>
      </c>
      <c r="V65" s="421">
        <v>1322.26</v>
      </c>
      <c r="W65" s="421">
        <v>-5</v>
      </c>
      <c r="X65" s="421">
        <v>-8107.55</v>
      </c>
      <c r="Y65" s="421">
        <f t="shared" si="17"/>
        <v>47264.090000000004</v>
      </c>
      <c r="Z65" s="422">
        <f t="shared" si="18"/>
        <v>-0.14817644941991767</v>
      </c>
    </row>
    <row r="66" spans="1:26" ht="11.25" customHeight="1" x14ac:dyDescent="0.3">
      <c r="A66" s="410">
        <f t="shared" si="2"/>
        <v>69</v>
      </c>
      <c r="B66" s="411">
        <v>44743</v>
      </c>
      <c r="C66" s="411">
        <v>44834</v>
      </c>
      <c r="D66" s="399">
        <f t="shared" si="0"/>
        <v>9265.27</v>
      </c>
      <c r="E66" s="341">
        <f t="shared" ref="E66:F66" si="70">I66+N66+S66+X66</f>
        <v>-25104.760000000002</v>
      </c>
      <c r="F66" s="341">
        <f t="shared" si="70"/>
        <v>458388.58</v>
      </c>
      <c r="G66" s="285">
        <f t="shared" si="4"/>
        <v>-5.2424923341259727E-2</v>
      </c>
      <c r="H66" s="408">
        <v>3380.7</v>
      </c>
      <c r="I66" s="408">
        <v>-9909.2900000000009</v>
      </c>
      <c r="J66" s="408">
        <f t="shared" si="9"/>
        <v>183915.02000000005</v>
      </c>
      <c r="K66" s="412">
        <f t="shared" si="5"/>
        <v>-5.1574901178323695E-2</v>
      </c>
      <c r="L66" s="409">
        <v>477.07</v>
      </c>
      <c r="M66" s="409"/>
      <c r="N66" s="409">
        <v>-3445.67</v>
      </c>
      <c r="O66" s="409">
        <f t="shared" si="6"/>
        <v>64830.299999999974</v>
      </c>
      <c r="P66" s="413">
        <f t="shared" si="7"/>
        <v>-5.0643737524790608E-2</v>
      </c>
      <c r="Q66" s="408">
        <v>4017</v>
      </c>
      <c r="R66" s="408">
        <v>-5</v>
      </c>
      <c r="S66" s="408">
        <v>-9161.0300000000007</v>
      </c>
      <c r="T66" s="408">
        <f t="shared" si="21"/>
        <v>163582.43999999997</v>
      </c>
      <c r="U66" s="412">
        <f t="shared" si="22"/>
        <v>-5.3654864763066329E-2</v>
      </c>
      <c r="V66" s="409">
        <v>1390.5</v>
      </c>
      <c r="W66" s="409">
        <v>-5</v>
      </c>
      <c r="X66" s="409">
        <v>-2588.77</v>
      </c>
      <c r="Y66" s="409">
        <f t="shared" si="17"/>
        <v>46060.820000000007</v>
      </c>
      <c r="Z66" s="413">
        <f t="shared" si="18"/>
        <v>-5.3978432563917683E-2</v>
      </c>
    </row>
    <row r="67" spans="1:26" ht="11.25" customHeight="1" x14ac:dyDescent="0.3">
      <c r="A67" s="410">
        <f t="shared" si="2"/>
        <v>16</v>
      </c>
      <c r="B67" s="411">
        <v>44835</v>
      </c>
      <c r="C67" s="411">
        <v>44926</v>
      </c>
      <c r="D67" s="399">
        <f t="shared" si="0"/>
        <v>9930.630000000001</v>
      </c>
      <c r="E67" s="341">
        <f t="shared" ref="E67:F67" si="71">I67+N67+S67+X67</f>
        <v>33263.85</v>
      </c>
      <c r="F67" s="341">
        <f t="shared" si="71"/>
        <v>501614.6</v>
      </c>
      <c r="G67" s="285">
        <f t="shared" si="4"/>
        <v>7.1789296170694752E-2</v>
      </c>
      <c r="H67" s="408">
        <v>4014.32</v>
      </c>
      <c r="I67" s="408">
        <v>13678.97</v>
      </c>
      <c r="J67" s="408">
        <f t="shared" si="9"/>
        <v>201608.31000000006</v>
      </c>
      <c r="K67" s="412">
        <f t="shared" si="5"/>
        <v>7.3573631720540253E-2</v>
      </c>
      <c r="L67" s="409">
        <v>508.81</v>
      </c>
      <c r="M67" s="409"/>
      <c r="N67" s="409">
        <v>4811.8999999999996</v>
      </c>
      <c r="O67" s="409">
        <f t="shared" si="6"/>
        <v>70151.009999999966</v>
      </c>
      <c r="P67" s="413">
        <f t="shared" si="7"/>
        <v>7.3932884845986493E-2</v>
      </c>
      <c r="Q67" s="408">
        <v>4017</v>
      </c>
      <c r="R67" s="408">
        <v>34.32</v>
      </c>
      <c r="S67" s="408">
        <v>11526.26</v>
      </c>
      <c r="T67" s="408">
        <f t="shared" si="21"/>
        <v>179160.02</v>
      </c>
      <c r="U67" s="412">
        <f t="shared" si="22"/>
        <v>6.9606827523293252E-2</v>
      </c>
      <c r="V67" s="409">
        <v>1390.5</v>
      </c>
      <c r="W67" s="409">
        <v>-2.78</v>
      </c>
      <c r="X67" s="409">
        <v>3246.72</v>
      </c>
      <c r="Y67" s="409">
        <f t="shared" si="17"/>
        <v>50695.260000000009</v>
      </c>
      <c r="Z67" s="413">
        <f t="shared" si="18"/>
        <v>6.9439540149546342E-2</v>
      </c>
    </row>
    <row r="68" spans="1:26" ht="11.25" customHeight="1" x14ac:dyDescent="0.3">
      <c r="A68" s="410">
        <f t="shared" si="2"/>
        <v>22</v>
      </c>
      <c r="B68" s="416">
        <v>44927</v>
      </c>
      <c r="C68" s="416">
        <v>45016</v>
      </c>
      <c r="D68" s="417">
        <f t="shared" si="0"/>
        <v>12386.3</v>
      </c>
      <c r="E68" s="418">
        <f t="shared" ref="E68:F68" si="72">I68+N68+S68+X68</f>
        <v>33062.86</v>
      </c>
      <c r="F68" s="418">
        <f t="shared" si="72"/>
        <v>547053.76</v>
      </c>
      <c r="G68" s="423">
        <f t="shared" si="4"/>
        <v>6.5109010250434349E-2</v>
      </c>
      <c r="H68" s="419">
        <v>4901.84</v>
      </c>
      <c r="I68" s="419">
        <v>13482.75</v>
      </c>
      <c r="J68" s="419">
        <f t="shared" si="9"/>
        <v>219992.90000000005</v>
      </c>
      <c r="K68" s="420">
        <f t="shared" si="5"/>
        <v>6.6072728001570893E-2</v>
      </c>
      <c r="L68" s="421">
        <v>531.96</v>
      </c>
      <c r="M68" s="421"/>
      <c r="N68" s="421">
        <v>4673.3</v>
      </c>
      <c r="O68" s="421">
        <f t="shared" si="6"/>
        <v>75356.269999999975</v>
      </c>
      <c r="P68" s="422">
        <f t="shared" si="7"/>
        <v>6.6366085798327965E-2</v>
      </c>
      <c r="Q68" s="419">
        <v>5562</v>
      </c>
      <c r="R68" s="419">
        <v>-5</v>
      </c>
      <c r="S68" s="419">
        <v>11622.05</v>
      </c>
      <c r="T68" s="419">
        <f t="shared" si="21"/>
        <v>196339.06999999998</v>
      </c>
      <c r="U68" s="420">
        <f t="shared" si="22"/>
        <v>6.3878118304492304E-2</v>
      </c>
      <c r="V68" s="421">
        <v>1390.5</v>
      </c>
      <c r="W68" s="421">
        <v>-5</v>
      </c>
      <c r="X68" s="421">
        <v>3284.76</v>
      </c>
      <c r="Y68" s="421">
        <f t="shared" si="17"/>
        <v>55365.520000000011</v>
      </c>
      <c r="Z68" s="422">
        <f t="shared" si="18"/>
        <v>6.3917637711709802E-2</v>
      </c>
    </row>
    <row r="69" spans="1:26" ht="11.25" customHeight="1" x14ac:dyDescent="0.3">
      <c r="A69" s="410">
        <f t="shared" si="2"/>
        <v>25</v>
      </c>
      <c r="B69" s="411">
        <v>45017</v>
      </c>
      <c r="C69" s="411">
        <v>45107</v>
      </c>
      <c r="D69" s="399">
        <f t="shared" si="0"/>
        <v>14328.099999999999</v>
      </c>
      <c r="E69" s="341">
        <f t="shared" ref="E69:F69" si="73">I69+N69+S69+X69</f>
        <v>34397.699999999997</v>
      </c>
      <c r="F69" s="341">
        <f t="shared" si="73"/>
        <v>595769.56000000006</v>
      </c>
      <c r="G69" s="285">
        <f t="shared" si="4"/>
        <v>6.2065309665887483E-2</v>
      </c>
      <c r="H69" s="408">
        <v>6041</v>
      </c>
      <c r="I69" s="408">
        <v>13966.9</v>
      </c>
      <c r="J69" s="408">
        <f t="shared" si="9"/>
        <v>240000.80000000005</v>
      </c>
      <c r="K69" s="412">
        <f t="shared" si="5"/>
        <v>6.2628075263638852E-2</v>
      </c>
      <c r="L69" s="409">
        <v>721.98</v>
      </c>
      <c r="M69" s="409"/>
      <c r="N69" s="409">
        <v>4714.47</v>
      </c>
      <c r="O69" s="409">
        <f t="shared" si="6"/>
        <v>80792.719999999972</v>
      </c>
      <c r="P69" s="413">
        <f t="shared" si="7"/>
        <v>6.2264138982313963E-2</v>
      </c>
      <c r="Q69" s="408">
        <v>6052.07</v>
      </c>
      <c r="R69" s="408">
        <v>-5</v>
      </c>
      <c r="S69" s="408">
        <v>12265.99</v>
      </c>
      <c r="T69" s="408">
        <f t="shared" si="21"/>
        <v>214652.12999999998</v>
      </c>
      <c r="U69" s="412">
        <f t="shared" si="22"/>
        <v>6.1525260401011507E-2</v>
      </c>
      <c r="V69" s="409">
        <v>1513.05</v>
      </c>
      <c r="W69" s="409">
        <v>-5</v>
      </c>
      <c r="X69" s="409">
        <v>3450.34</v>
      </c>
      <c r="Y69" s="409">
        <f t="shared" si="17"/>
        <v>60323.910000000018</v>
      </c>
      <c r="Z69" s="413">
        <f t="shared" si="18"/>
        <v>6.1479227993206577E-2</v>
      </c>
    </row>
    <row r="70" spans="1:26" ht="11.25" customHeight="1" x14ac:dyDescent="0.3">
      <c r="A70" s="410">
        <f t="shared" si="2"/>
        <v>67</v>
      </c>
      <c r="B70" s="416">
        <v>45108</v>
      </c>
      <c r="C70" s="416">
        <v>45199</v>
      </c>
      <c r="D70" s="417">
        <f t="shared" si="0"/>
        <v>8695.1500000000015</v>
      </c>
      <c r="E70" s="418">
        <f t="shared" ref="E70:F70" si="74">I70+N70+S70+X70</f>
        <v>-20377.89</v>
      </c>
      <c r="F70" s="418">
        <f t="shared" si="74"/>
        <v>584076.81999999995</v>
      </c>
      <c r="G70" s="423">
        <f t="shared" si="4"/>
        <v>-3.3956520838219359E-2</v>
      </c>
      <c r="H70" s="419">
        <v>2705.4</v>
      </c>
      <c r="I70" s="419">
        <v>-8220.6</v>
      </c>
      <c r="J70" s="419">
        <f t="shared" si="9"/>
        <v>234485.60000000003</v>
      </c>
      <c r="K70" s="420">
        <f t="shared" si="5"/>
        <v>-3.4060413459924957E-2</v>
      </c>
      <c r="L70" s="421">
        <v>569.95000000000005</v>
      </c>
      <c r="M70" s="421"/>
      <c r="N70" s="421">
        <v>-2746.93</v>
      </c>
      <c r="O70" s="421">
        <f t="shared" si="6"/>
        <v>78615.739999999976</v>
      </c>
      <c r="P70" s="422">
        <f t="shared" si="7"/>
        <v>-3.388021822771356E-2</v>
      </c>
      <c r="Q70" s="419">
        <v>3879.36</v>
      </c>
      <c r="R70" s="419">
        <v>-5</v>
      </c>
      <c r="S70" s="419">
        <v>-7333.51</v>
      </c>
      <c r="T70" s="419">
        <f t="shared" si="21"/>
        <v>211192.97999999995</v>
      </c>
      <c r="U70" s="420">
        <f t="shared" si="22"/>
        <v>-3.3858667139814759E-2</v>
      </c>
      <c r="V70" s="421">
        <v>1540.44</v>
      </c>
      <c r="W70" s="421">
        <v>-5</v>
      </c>
      <c r="X70" s="421">
        <v>-2076.85</v>
      </c>
      <c r="Y70" s="421">
        <f t="shared" si="17"/>
        <v>59782.500000000022</v>
      </c>
      <c r="Z70" s="422">
        <f t="shared" si="18"/>
        <v>-3.3994264260739933E-2</v>
      </c>
    </row>
    <row r="71" spans="1:26" ht="11.25" customHeight="1" x14ac:dyDescent="0.3">
      <c r="A71" s="410">
        <f t="shared" si="2"/>
        <v>6</v>
      </c>
      <c r="B71" s="416">
        <v>45200</v>
      </c>
      <c r="C71" s="416">
        <v>45291</v>
      </c>
      <c r="D71" s="417">
        <f t="shared" si="0"/>
        <v>7745.54</v>
      </c>
      <c r="E71" s="418">
        <f t="shared" ref="E71:F71" si="75">I71+N71+S71+X71</f>
        <v>67381.100000000006</v>
      </c>
      <c r="F71" s="418">
        <f t="shared" si="75"/>
        <v>659246.27</v>
      </c>
      <c r="G71" s="423">
        <f t="shared" si="4"/>
        <v>0.11460353259196934</v>
      </c>
      <c r="H71" s="419">
        <v>2525.04</v>
      </c>
      <c r="I71" s="419">
        <v>26988.77</v>
      </c>
      <c r="J71" s="419">
        <f t="shared" si="9"/>
        <v>263999.41000000003</v>
      </c>
      <c r="K71" s="420">
        <f t="shared" si="5"/>
        <v>0.11448137953337655</v>
      </c>
      <c r="L71" s="421">
        <v>259.39999999999998</v>
      </c>
      <c r="M71" s="421"/>
      <c r="N71" s="421">
        <v>9008.08</v>
      </c>
      <c r="O71" s="421">
        <f t="shared" si="6"/>
        <v>87883.219999999972</v>
      </c>
      <c r="P71" s="422">
        <f t="shared" si="7"/>
        <v>0.11439494147216656</v>
      </c>
      <c r="Q71" s="419">
        <v>3421.44</v>
      </c>
      <c r="R71" s="419">
        <v>43.83</v>
      </c>
      <c r="S71" s="419">
        <v>24426.68</v>
      </c>
      <c r="T71" s="419">
        <f t="shared" si="21"/>
        <v>239084.92999999993</v>
      </c>
      <c r="U71" s="420">
        <f t="shared" si="22"/>
        <v>0.11473112022008075</v>
      </c>
      <c r="V71" s="421">
        <v>1539.66</v>
      </c>
      <c r="W71" s="421">
        <v>-1.02</v>
      </c>
      <c r="X71" s="421">
        <v>6957.57</v>
      </c>
      <c r="Y71" s="421">
        <f t="shared" si="17"/>
        <v>68278.710000000021</v>
      </c>
      <c r="Z71" s="422">
        <f t="shared" si="18"/>
        <v>0.11490177174024513</v>
      </c>
    </row>
    <row r="72" spans="1:26" ht="11.25" customHeight="1" x14ac:dyDescent="0.3">
      <c r="A72" s="410">
        <f t="shared" ref="A72:A82" si="76">_xlfn.RANK.EQ(G72,$G$7:$G$82)</f>
        <v>15</v>
      </c>
      <c r="B72" s="416">
        <v>45292</v>
      </c>
      <c r="C72" s="416">
        <v>45382</v>
      </c>
      <c r="D72" s="417">
        <f t="shared" si="0"/>
        <v>7595.43</v>
      </c>
      <c r="E72" s="418">
        <f t="shared" ref="E72:F72" si="77">I72+N72+S72+X72</f>
        <v>49773.11</v>
      </c>
      <c r="F72" s="418">
        <f t="shared" si="77"/>
        <v>716604.80999999994</v>
      </c>
      <c r="G72" s="423">
        <f t="shared" si="4"/>
        <v>7.5067583940151422E-2</v>
      </c>
      <c r="H72" s="419">
        <v>2164.3200000000002</v>
      </c>
      <c r="I72" s="419">
        <v>20180.509999999998</v>
      </c>
      <c r="J72" s="419">
        <f t="shared" si="9"/>
        <v>286344.24000000005</v>
      </c>
      <c r="K72" s="420">
        <f t="shared" si="5"/>
        <v>7.6129434422770315E-2</v>
      </c>
      <c r="L72" s="421">
        <v>327.45999999999998</v>
      </c>
      <c r="M72" s="421"/>
      <c r="N72" s="421">
        <v>6689.22</v>
      </c>
      <c r="O72" s="421">
        <f t="shared" si="6"/>
        <v>94899.89999999998</v>
      </c>
      <c r="P72" s="422">
        <f t="shared" si="7"/>
        <v>7.597333013806841E-2</v>
      </c>
      <c r="Q72" s="419">
        <v>3421.44</v>
      </c>
      <c r="R72" s="419">
        <v>-5</v>
      </c>
      <c r="S72" s="419">
        <v>17786.68</v>
      </c>
      <c r="T72" s="419">
        <f t="shared" si="21"/>
        <v>260288.04999999993</v>
      </c>
      <c r="U72" s="420">
        <f t="shared" si="22"/>
        <v>7.3866284544592084E-2</v>
      </c>
      <c r="V72" s="421">
        <v>1682.21</v>
      </c>
      <c r="W72" s="421">
        <v>-5</v>
      </c>
      <c r="X72" s="421">
        <v>5116.7</v>
      </c>
      <c r="Y72" s="421">
        <f t="shared" si="17"/>
        <v>75072.620000000024</v>
      </c>
      <c r="Z72" s="422">
        <f t="shared" si="18"/>
        <v>7.402652915086648E-2</v>
      </c>
    </row>
    <row r="73" spans="1:26" ht="11.25" customHeight="1" x14ac:dyDescent="0.3">
      <c r="A73" s="410">
        <f t="shared" si="76"/>
        <v>46</v>
      </c>
      <c r="B73" s="411">
        <v>45383</v>
      </c>
      <c r="C73" s="411">
        <v>45473</v>
      </c>
      <c r="D73" s="399">
        <f t="shared" si="0"/>
        <v>8308.86</v>
      </c>
      <c r="E73" s="341">
        <f t="shared" ref="E73:F73" si="78">I73+N73+S73+X73</f>
        <v>12647.249999999998</v>
      </c>
      <c r="F73" s="341">
        <f t="shared" si="78"/>
        <v>737550.92</v>
      </c>
      <c r="G73" s="285">
        <f t="shared" si="4"/>
        <v>1.7547121560314644E-2</v>
      </c>
      <c r="H73" s="408">
        <v>2525.04</v>
      </c>
      <c r="I73" s="408">
        <v>4888.4399999999996</v>
      </c>
      <c r="J73" s="408">
        <f t="shared" si="9"/>
        <v>293757.72000000003</v>
      </c>
      <c r="K73" s="412">
        <f t="shared" si="5"/>
        <v>1.6996957929639758E-2</v>
      </c>
      <c r="L73" s="409">
        <v>600.34</v>
      </c>
      <c r="M73" s="409"/>
      <c r="N73" s="409">
        <v>1614.03</v>
      </c>
      <c r="O73" s="409">
        <f t="shared" si="6"/>
        <v>97114.269999999975</v>
      </c>
      <c r="P73" s="413">
        <f t="shared" si="7"/>
        <v>1.6954084172417103E-2</v>
      </c>
      <c r="Q73" s="408">
        <v>3455.64</v>
      </c>
      <c r="R73" s="408">
        <v>-5</v>
      </c>
      <c r="S73" s="408">
        <v>4756.29</v>
      </c>
      <c r="T73" s="408">
        <f t="shared" si="21"/>
        <v>268494.97999999992</v>
      </c>
      <c r="U73" s="412">
        <f t="shared" si="22"/>
        <v>1.8152679072454662E-2</v>
      </c>
      <c r="V73" s="409">
        <v>1727.84</v>
      </c>
      <c r="W73" s="409">
        <v>-5</v>
      </c>
      <c r="X73" s="409">
        <v>1388.49</v>
      </c>
      <c r="Y73" s="409">
        <f t="shared" si="17"/>
        <v>78183.950000000026</v>
      </c>
      <c r="Z73" s="413">
        <f t="shared" si="18"/>
        <v>1.8284873132223295E-2</v>
      </c>
    </row>
    <row r="74" spans="1:26" ht="11.25" customHeight="1" x14ac:dyDescent="0.3">
      <c r="A74" s="410">
        <f t="shared" si="76"/>
        <v>24</v>
      </c>
      <c r="B74" s="411">
        <v>45474</v>
      </c>
      <c r="C74" s="411">
        <v>45565</v>
      </c>
      <c r="D74" s="399">
        <f t="shared" si="0"/>
        <v>8470.7900000000009</v>
      </c>
      <c r="E74" s="341">
        <f t="shared" ref="E74:F74" si="79">I74+N74+S74+X74</f>
        <v>47123.93</v>
      </c>
      <c r="F74" s="341">
        <f t="shared" si="79"/>
        <v>793135.6399999999</v>
      </c>
      <c r="G74" s="285">
        <f t="shared" si="4"/>
        <v>6.3527634639633374E-2</v>
      </c>
      <c r="H74" s="408">
        <v>2651.04</v>
      </c>
      <c r="I74" s="408">
        <v>18444.8</v>
      </c>
      <c r="J74" s="408">
        <f t="shared" si="9"/>
        <v>314853.56</v>
      </c>
      <c r="K74" s="412">
        <f t="shared" si="5"/>
        <v>6.2507108163784547E-2</v>
      </c>
      <c r="L74" s="409">
        <v>518.47</v>
      </c>
      <c r="M74" s="409"/>
      <c r="N74" s="409">
        <v>6088.4</v>
      </c>
      <c r="O74" s="409">
        <f t="shared" si="6"/>
        <v>103721.13999999997</v>
      </c>
      <c r="P74" s="413">
        <f t="shared" si="7"/>
        <v>6.252624879837694E-2</v>
      </c>
      <c r="Q74" s="408">
        <v>3534.15</v>
      </c>
      <c r="R74" s="408">
        <v>-5</v>
      </c>
      <c r="S74" s="408">
        <v>17468.02</v>
      </c>
      <c r="T74" s="408">
        <f t="shared" si="21"/>
        <v>289492.14999999997</v>
      </c>
      <c r="U74" s="412">
        <f t="shared" si="22"/>
        <v>6.4633638636396831E-2</v>
      </c>
      <c r="V74" s="409">
        <v>1767.13</v>
      </c>
      <c r="W74" s="409">
        <v>-5</v>
      </c>
      <c r="X74" s="409">
        <v>5122.71</v>
      </c>
      <c r="Y74" s="409">
        <f t="shared" si="17"/>
        <v>85068.790000000037</v>
      </c>
      <c r="Z74" s="413">
        <f t="shared" si="18"/>
        <v>6.478906033659966E-2</v>
      </c>
    </row>
    <row r="75" spans="1:26" ht="11.25" customHeight="1" x14ac:dyDescent="0.3">
      <c r="A75" s="410">
        <f t="shared" si="76"/>
        <v>51</v>
      </c>
      <c r="B75" s="416">
        <v>45566</v>
      </c>
      <c r="C75" s="416">
        <v>45657</v>
      </c>
      <c r="D75" s="399">
        <f t="shared" si="0"/>
        <v>7875.74</v>
      </c>
      <c r="E75" s="341">
        <f t="shared" ref="E75:F75" si="80">I75+N75+S75+X75</f>
        <v>6634.9400000000005</v>
      </c>
      <c r="F75" s="341">
        <f t="shared" si="80"/>
        <v>807705.33</v>
      </c>
      <c r="G75" s="285">
        <f t="shared" si="4"/>
        <v>8.3241255878645382E-3</v>
      </c>
      <c r="H75" s="408">
        <v>2316.7199999999998</v>
      </c>
      <c r="I75" s="408">
        <v>2656.75</v>
      </c>
      <c r="J75" s="408">
        <f t="shared" si="9"/>
        <v>319827.02999999997</v>
      </c>
      <c r="K75" s="412">
        <f t="shared" si="5"/>
        <v>8.4071195795399119E-3</v>
      </c>
      <c r="L75" s="409">
        <v>272.89999999999998</v>
      </c>
      <c r="M75" s="409"/>
      <c r="N75" s="409">
        <v>881.97</v>
      </c>
      <c r="O75" s="409">
        <f t="shared" si="6"/>
        <v>104876.00999999997</v>
      </c>
      <c r="P75" s="413">
        <f t="shared" si="7"/>
        <v>8.4921092430509919E-3</v>
      </c>
      <c r="Q75" s="408">
        <v>3524.04</v>
      </c>
      <c r="R75" s="408">
        <v>56.15</v>
      </c>
      <c r="S75" s="408">
        <v>2399.9</v>
      </c>
      <c r="T75" s="408">
        <f t="shared" si="21"/>
        <v>295472.24</v>
      </c>
      <c r="U75" s="412">
        <f t="shared" si="22"/>
        <v>8.2398820246934162E-3</v>
      </c>
      <c r="V75" s="409">
        <v>1762.08</v>
      </c>
      <c r="W75" s="409">
        <v>2.86</v>
      </c>
      <c r="X75" s="409">
        <v>696.32</v>
      </c>
      <c r="Y75" s="409">
        <f t="shared" si="17"/>
        <v>87530.050000000047</v>
      </c>
      <c r="Z75" s="413">
        <f t="shared" si="18"/>
        <v>8.1014703577656846E-3</v>
      </c>
    </row>
    <row r="76" spans="1:26" ht="11.25" customHeight="1" x14ac:dyDescent="0.3">
      <c r="A76" s="410">
        <f t="shared" si="76"/>
        <v>66</v>
      </c>
      <c r="B76" s="411">
        <v>45658</v>
      </c>
      <c r="C76" s="411">
        <v>45747</v>
      </c>
      <c r="D76" s="399">
        <f t="shared" si="0"/>
        <v>8468.5</v>
      </c>
      <c r="E76" s="341">
        <f t="shared" ref="E76:F76" si="81">I76+N76+S76+X76</f>
        <v>-23233.47</v>
      </c>
      <c r="F76" s="341">
        <f t="shared" si="81"/>
        <v>792984.94</v>
      </c>
      <c r="G76" s="285">
        <f t="shared" si="4"/>
        <v>-2.8614776976385363E-2</v>
      </c>
      <c r="H76" s="408">
        <v>2754.64</v>
      </c>
      <c r="I76" s="408">
        <v>-9406.6200000000008</v>
      </c>
      <c r="J76" s="408">
        <f t="shared" si="9"/>
        <v>313175.05</v>
      </c>
      <c r="K76" s="412">
        <f t="shared" si="5"/>
        <v>-2.9285468892311085E-2</v>
      </c>
      <c r="L76" s="409">
        <v>427.74</v>
      </c>
      <c r="M76" s="409">
        <v>54.58</v>
      </c>
      <c r="N76" s="409">
        <v>-3072.99</v>
      </c>
      <c r="O76" s="409">
        <f t="shared" ref="O76:O82" si="82">O75+M76+L76+N76</f>
        <v>102285.33999999997</v>
      </c>
      <c r="P76" s="413">
        <f t="shared" si="7"/>
        <v>-2.9241540669758124E-2</v>
      </c>
      <c r="Q76" s="408">
        <v>3524.04</v>
      </c>
      <c r="R76" s="408">
        <v>-5</v>
      </c>
      <c r="S76" s="408">
        <v>-8273.32</v>
      </c>
      <c r="T76" s="408">
        <f t="shared" si="21"/>
        <v>290717.95999999996</v>
      </c>
      <c r="U76" s="412">
        <f t="shared" si="22"/>
        <v>-2.7834341842020497E-2</v>
      </c>
      <c r="V76" s="409">
        <v>1762.08</v>
      </c>
      <c r="W76" s="409">
        <v>-5</v>
      </c>
      <c r="X76" s="409">
        <v>-2480.54</v>
      </c>
      <c r="Y76" s="409">
        <f t="shared" si="17"/>
        <v>86806.590000000055</v>
      </c>
      <c r="Z76" s="413">
        <f t="shared" si="18"/>
        <v>-2.8056887433465631E-2</v>
      </c>
    </row>
    <row r="77" spans="1:26" ht="11.25" customHeight="1" x14ac:dyDescent="0.3">
      <c r="A77" s="410">
        <f t="shared" si="76"/>
        <v>10</v>
      </c>
      <c r="B77" s="411">
        <v>45748</v>
      </c>
      <c r="C77" s="411">
        <v>45838</v>
      </c>
      <c r="D77" s="399">
        <f t="shared" si="0"/>
        <v>8336.2599999999984</v>
      </c>
      <c r="E77" s="341">
        <f t="shared" ref="E77:F77" si="83">I77+N77+S77+X77</f>
        <v>78804.489999999991</v>
      </c>
      <c r="F77" s="341">
        <f t="shared" si="83"/>
        <v>880115.68999999983</v>
      </c>
      <c r="G77" s="285">
        <f t="shared" si="4"/>
        <v>9.885741266730616E-2</v>
      </c>
      <c r="H77" s="408">
        <v>2361.12</v>
      </c>
      <c r="I77" s="408">
        <v>31230.560000000001</v>
      </c>
      <c r="J77" s="408">
        <f t="shared" si="9"/>
        <v>346766.73</v>
      </c>
      <c r="K77" s="412">
        <f t="shared" si="5"/>
        <v>9.9347869121852173E-2</v>
      </c>
      <c r="L77" s="409">
        <v>627.36</v>
      </c>
      <c r="M77" s="409"/>
      <c r="N77" s="409">
        <v>10189.65</v>
      </c>
      <c r="O77" s="409">
        <f t="shared" si="82"/>
        <v>113102.34999999996</v>
      </c>
      <c r="P77" s="413">
        <f t="shared" si="7"/>
        <v>9.9315276110824482E-2</v>
      </c>
      <c r="Q77" s="408">
        <v>3565.16</v>
      </c>
      <c r="R77" s="408">
        <v>-5</v>
      </c>
      <c r="S77" s="408">
        <v>28737.85</v>
      </c>
      <c r="T77" s="408">
        <f t="shared" si="21"/>
        <v>323015.96999999991</v>
      </c>
      <c r="U77" s="412">
        <f t="shared" si="22"/>
        <v>9.8248878446515003E-2</v>
      </c>
      <c r="V77" s="409">
        <v>1782.62</v>
      </c>
      <c r="W77" s="409">
        <v>-5</v>
      </c>
      <c r="X77" s="409">
        <v>8646.43</v>
      </c>
      <c r="Y77" s="409">
        <f t="shared" si="17"/>
        <v>97230.640000000043</v>
      </c>
      <c r="Z77" s="413">
        <f t="shared" si="18"/>
        <v>9.8593352862497222E-2</v>
      </c>
    </row>
    <row r="78" spans="1:26" ht="11.25" customHeight="1" x14ac:dyDescent="0.3">
      <c r="A78" s="410">
        <f t="shared" si="76"/>
        <v>18</v>
      </c>
      <c r="B78" s="411">
        <v>45839</v>
      </c>
      <c r="C78" s="411">
        <v>45930</v>
      </c>
      <c r="D78" s="399">
        <f t="shared" si="0"/>
        <v>8512.1500000000015</v>
      </c>
      <c r="E78" s="341">
        <f t="shared" ref="E78:F78" si="84">I78+N78+S78+X78</f>
        <v>62574.47</v>
      </c>
      <c r="F78" s="341">
        <f t="shared" si="84"/>
        <v>951192.30999999994</v>
      </c>
      <c r="G78" s="285">
        <f t="shared" si="4"/>
        <v>7.0755843273671251E-2</v>
      </c>
      <c r="H78" s="408">
        <v>2754.64</v>
      </c>
      <c r="I78" s="408">
        <v>24277.07</v>
      </c>
      <c r="J78" s="408">
        <f t="shared" si="9"/>
        <v>373798.44</v>
      </c>
      <c r="K78" s="412">
        <f t="shared" si="5"/>
        <v>6.9732830418902755E-2</v>
      </c>
      <c r="L78" s="409">
        <v>228.13</v>
      </c>
      <c r="M78" s="409"/>
      <c r="N78" s="409">
        <v>7890.03</v>
      </c>
      <c r="O78" s="409">
        <f t="shared" si="82"/>
        <v>121220.50999999997</v>
      </c>
      <c r="P78" s="413">
        <f t="shared" si="7"/>
        <v>6.9689806023269699E-2</v>
      </c>
      <c r="Q78" s="408">
        <v>3686.25</v>
      </c>
      <c r="R78" s="408">
        <v>-5</v>
      </c>
      <c r="S78" s="408">
        <v>23348.720000000001</v>
      </c>
      <c r="T78" s="408">
        <f t="shared" si="21"/>
        <v>350045.93999999994</v>
      </c>
      <c r="U78" s="412">
        <f t="shared" si="22"/>
        <v>7.1873376363373806E-2</v>
      </c>
      <c r="V78" s="409">
        <v>1843.13</v>
      </c>
      <c r="W78" s="409">
        <v>-5</v>
      </c>
      <c r="X78" s="409">
        <v>7058.65</v>
      </c>
      <c r="Y78" s="409">
        <f t="shared" si="17"/>
        <v>106127.42000000004</v>
      </c>
      <c r="Z78" s="413">
        <f t="shared" si="18"/>
        <v>7.191534820842789E-2</v>
      </c>
    </row>
    <row r="79" spans="1:26" ht="11.25" customHeight="1" x14ac:dyDescent="0.3">
      <c r="A79" s="410">
        <f t="shared" si="76"/>
        <v>42</v>
      </c>
      <c r="B79" s="411">
        <v>45931</v>
      </c>
      <c r="C79" s="411">
        <v>46022</v>
      </c>
      <c r="D79" s="399">
        <f t="shared" si="0"/>
        <v>7950.88</v>
      </c>
      <c r="E79" s="341">
        <f t="shared" ref="E79:F79" si="85">I79+N79+S79+X79</f>
        <v>22107.989999999998</v>
      </c>
      <c r="F79" s="341">
        <f t="shared" si="85"/>
        <v>981285.71</v>
      </c>
      <c r="G79" s="285">
        <f t="shared" si="4"/>
        <v>2.3145662110137199E-2</v>
      </c>
      <c r="H79" s="408">
        <v>2362.08</v>
      </c>
      <c r="I79" s="408">
        <v>8987.66</v>
      </c>
      <c r="J79" s="408">
        <f t="shared" si="9"/>
        <v>385148.18</v>
      </c>
      <c r="K79" s="412">
        <f t="shared" si="5"/>
        <v>2.396840488444861E-2</v>
      </c>
      <c r="L79" s="409">
        <v>117.7</v>
      </c>
      <c r="M79" s="409"/>
      <c r="N79" s="409">
        <v>2907.64</v>
      </c>
      <c r="O79" s="409">
        <f t="shared" si="82"/>
        <v>124245.84999999996</v>
      </c>
      <c r="P79" s="413">
        <f t="shared" si="7"/>
        <v>2.3974730737365373E-2</v>
      </c>
      <c r="Q79" s="408">
        <v>3647.4</v>
      </c>
      <c r="R79" s="408">
        <v>33.979999999999997</v>
      </c>
      <c r="S79" s="408">
        <v>7831.87</v>
      </c>
      <c r="T79" s="408">
        <f t="shared" si="21"/>
        <v>361559.18999999994</v>
      </c>
      <c r="U79" s="412">
        <f t="shared" si="22"/>
        <v>2.2257873682992375E-2</v>
      </c>
      <c r="V79" s="409">
        <v>1823.7</v>
      </c>
      <c r="W79" s="409">
        <v>0.55000000000000004</v>
      </c>
      <c r="X79" s="409">
        <v>2380.8200000000002</v>
      </c>
      <c r="Y79" s="409">
        <f t="shared" si="17"/>
        <v>110332.49000000005</v>
      </c>
      <c r="Z79" s="413">
        <f t="shared" si="18"/>
        <v>2.2242491003535422E-2</v>
      </c>
    </row>
    <row r="80" spans="1:26" ht="11.25" customHeight="1" x14ac:dyDescent="0.3">
      <c r="A80" s="410">
        <f t="shared" si="76"/>
        <v>65</v>
      </c>
      <c r="B80" s="411">
        <v>46023</v>
      </c>
      <c r="C80" s="411">
        <v>46112</v>
      </c>
      <c r="D80" s="399">
        <f t="shared" si="0"/>
        <v>9490.0500000000011</v>
      </c>
      <c r="E80" s="341">
        <f t="shared" ref="E80:F80" si="86">I80+N80+S80+X80</f>
        <v>-26205.96</v>
      </c>
      <c r="F80" s="341">
        <f t="shared" si="86"/>
        <v>964559.79999999993</v>
      </c>
      <c r="G80" s="285">
        <f t="shared" si="4"/>
        <v>-2.6577224289058291E-2</v>
      </c>
      <c r="H80" s="408">
        <v>2898.86</v>
      </c>
      <c r="I80" s="408">
        <v>-10534.77</v>
      </c>
      <c r="J80" s="408">
        <f t="shared" si="9"/>
        <v>377512.26999999996</v>
      </c>
      <c r="K80" s="412">
        <f t="shared" si="5"/>
        <v>-2.7249961529767348E-2</v>
      </c>
      <c r="L80" s="409">
        <v>488.67</v>
      </c>
      <c r="M80" s="409"/>
      <c r="N80" s="409">
        <v>-3387.97</v>
      </c>
      <c r="O80" s="409">
        <f t="shared" si="82"/>
        <v>121346.54999999996</v>
      </c>
      <c r="P80" s="413">
        <f t="shared" si="7"/>
        <v>-2.7214755926340706E-2</v>
      </c>
      <c r="Q80" s="408">
        <v>4068.32</v>
      </c>
      <c r="R80" s="408">
        <v>-5</v>
      </c>
      <c r="S80" s="408">
        <v>-9700.08</v>
      </c>
      <c r="T80" s="408">
        <f t="shared" si="21"/>
        <v>355922.42999999993</v>
      </c>
      <c r="U80" s="412">
        <f t="shared" si="22"/>
        <v>-2.6678375718367793E-2</v>
      </c>
      <c r="V80" s="409">
        <v>2034.2</v>
      </c>
      <c r="W80" s="409">
        <v>-5</v>
      </c>
      <c r="X80" s="409">
        <v>-2583.14</v>
      </c>
      <c r="Y80" s="409">
        <f t="shared" si="17"/>
        <v>109778.55000000005</v>
      </c>
      <c r="Z80" s="413">
        <f t="shared" si="18"/>
        <v>-2.3198468894227619E-2</v>
      </c>
    </row>
    <row r="81" spans="1:26" ht="11.25" customHeight="1" x14ac:dyDescent="0.3">
      <c r="A81" s="410">
        <f t="shared" si="76"/>
        <v>4</v>
      </c>
      <c r="B81" s="411">
        <v>46113</v>
      </c>
      <c r="C81" s="411">
        <v>46203</v>
      </c>
      <c r="D81" s="399">
        <f t="shared" si="0"/>
        <v>9231.8000000000011</v>
      </c>
      <c r="E81" s="341">
        <f t="shared" ref="E81:F82" si="87">I81+N81+S81+X81</f>
        <v>149519.69</v>
      </c>
      <c r="F81" s="341">
        <f t="shared" si="87"/>
        <v>1123301.79</v>
      </c>
      <c r="G81" s="285">
        <f t="shared" si="4"/>
        <v>0.15427511234547051</v>
      </c>
      <c r="H81" s="408">
        <v>2405.7600000000002</v>
      </c>
      <c r="I81" s="408">
        <v>60676.58</v>
      </c>
      <c r="J81" s="408">
        <f t="shared" si="9"/>
        <v>440594.61</v>
      </c>
      <c r="K81" s="412">
        <f t="shared" si="5"/>
        <v>0.16021693349209823</v>
      </c>
      <c r="L81" s="409">
        <v>427.56</v>
      </c>
      <c r="M81" s="409">
        <v>0</v>
      </c>
      <c r="N81" s="409">
        <v>21370.38</v>
      </c>
      <c r="O81" s="409">
        <f t="shared" si="82"/>
        <v>143144.48999999996</v>
      </c>
      <c r="P81" s="413">
        <f t="shared" si="7"/>
        <v>0.17580060863605756</v>
      </c>
      <c r="Q81" s="408">
        <v>4265.63</v>
      </c>
      <c r="R81" s="408">
        <v>-4.75</v>
      </c>
      <c r="S81" s="408">
        <v>53200.88</v>
      </c>
      <c r="T81" s="408">
        <f t="shared" si="21"/>
        <v>413384.18999999994</v>
      </c>
      <c r="U81" s="412">
        <f t="shared" si="22"/>
        <v>0.1485828813930655</v>
      </c>
      <c r="V81" s="409">
        <v>2132.85</v>
      </c>
      <c r="W81" s="409">
        <v>-4.75</v>
      </c>
      <c r="X81" s="409">
        <v>14271.85</v>
      </c>
      <c r="Y81" s="409">
        <f t="shared" si="17"/>
        <v>126178.50000000006</v>
      </c>
      <c r="Z81" s="413">
        <f t="shared" si="18"/>
        <v>0.12875504730818871</v>
      </c>
    </row>
    <row r="82" spans="1:26" ht="11.25" customHeight="1" x14ac:dyDescent="0.3">
      <c r="A82" s="410">
        <f t="shared" si="76"/>
        <v>62</v>
      </c>
      <c r="B82" s="411">
        <v>46204</v>
      </c>
      <c r="C82" s="411">
        <v>46235</v>
      </c>
      <c r="D82" s="399">
        <f t="shared" si="0"/>
        <v>3477.7699999999995</v>
      </c>
      <c r="E82" s="341">
        <f t="shared" si="87"/>
        <v>-15505.070000000002</v>
      </c>
      <c r="F82" s="341">
        <f t="shared" si="87"/>
        <v>1111264.99</v>
      </c>
      <c r="G82" s="285">
        <f t="shared" si="4"/>
        <v>-1.3781786156309416E-2</v>
      </c>
      <c r="H82" s="408">
        <v>801.92</v>
      </c>
      <c r="I82" s="408">
        <v>-5734.88</v>
      </c>
      <c r="J82" s="408">
        <f t="shared" si="9"/>
        <v>435661.64999999997</v>
      </c>
      <c r="K82" s="412">
        <f t="shared" si="5"/>
        <v>-1.3004393672253896E-2</v>
      </c>
      <c r="L82" s="409">
        <v>458.13</v>
      </c>
      <c r="M82" s="409"/>
      <c r="N82" s="409">
        <v>-3639.59</v>
      </c>
      <c r="O82" s="409">
        <f t="shared" si="82"/>
        <v>139963.02999999997</v>
      </c>
      <c r="P82" s="413">
        <f t="shared" si="7"/>
        <v>-2.5385364825472878E-2</v>
      </c>
      <c r="Q82" s="408">
        <v>1478.48</v>
      </c>
      <c r="R82" s="408">
        <v>-4.75</v>
      </c>
      <c r="S82" s="408">
        <v>-4917.18</v>
      </c>
      <c r="T82" s="408">
        <f t="shared" si="21"/>
        <v>409940.73999999993</v>
      </c>
      <c r="U82" s="412">
        <f t="shared" si="22"/>
        <v>-1.1873706348853532E-2</v>
      </c>
      <c r="V82" s="409">
        <v>739.24</v>
      </c>
      <c r="W82" s="409">
        <v>-4.75</v>
      </c>
      <c r="X82" s="409">
        <v>-1213.42</v>
      </c>
      <c r="Y82" s="409">
        <f t="shared" si="17"/>
        <v>125699.57000000007</v>
      </c>
      <c r="Z82" s="413">
        <f t="shared" si="18"/>
        <v>-9.5886055043725629E-3</v>
      </c>
    </row>
    <row r="83" spans="1:26" ht="11.25" customHeight="1" x14ac:dyDescent="0.3">
      <c r="A83" s="424"/>
      <c r="B83" s="411">
        <f ca="1">TODAY()</f>
        <v>46240</v>
      </c>
      <c r="C83" s="425"/>
      <c r="D83" s="426">
        <f>-F82</f>
        <v>-1111264.99</v>
      </c>
      <c r="E83" s="426"/>
      <c r="F83" s="426"/>
      <c r="G83" s="426"/>
      <c r="H83" s="426">
        <f>-J82</f>
        <v>-435661.64999999997</v>
      </c>
      <c r="I83" s="427"/>
      <c r="J83" s="426"/>
      <c r="K83" s="426"/>
      <c r="L83" s="426">
        <f>-O82</f>
        <v>-139963.02999999997</v>
      </c>
      <c r="M83" s="426"/>
      <c r="N83" s="427"/>
      <c r="O83" s="426"/>
      <c r="P83" s="426"/>
      <c r="Q83" s="426">
        <f>-T82</f>
        <v>-409940.73999999993</v>
      </c>
      <c r="R83" s="426"/>
      <c r="S83" s="426"/>
      <c r="T83" s="426"/>
      <c r="U83" s="426"/>
      <c r="V83" s="426">
        <f>-Y82</f>
        <v>-125699.57000000007</v>
      </c>
      <c r="W83" s="428"/>
      <c r="X83" s="428"/>
      <c r="Y83" s="428"/>
      <c r="Z83" s="428"/>
    </row>
    <row r="84" spans="1:26" ht="11.25" customHeight="1" x14ac:dyDescent="0.3">
      <c r="A84" s="404"/>
      <c r="B84" s="295"/>
      <c r="C84" s="406"/>
      <c r="D84" s="400"/>
      <c r="E84" s="400"/>
      <c r="F84" s="400"/>
      <c r="G84" s="400"/>
      <c r="H84" s="400"/>
      <c r="I84" s="400"/>
      <c r="J84" s="400"/>
      <c r="K84" s="400"/>
      <c r="L84" s="400"/>
      <c r="M84" s="400"/>
      <c r="N84" s="400"/>
      <c r="O84" s="400"/>
      <c r="P84" s="400"/>
      <c r="Q84" s="400"/>
      <c r="R84" s="400"/>
      <c r="S84" s="400"/>
      <c r="T84" s="400"/>
      <c r="U84" s="400"/>
      <c r="V84" s="188"/>
      <c r="W84" s="400"/>
      <c r="X84" s="403"/>
      <c r="Y84" s="188"/>
      <c r="Z84" s="188"/>
    </row>
    <row r="85" spans="1:26" ht="11.25" customHeight="1" x14ac:dyDescent="0.3">
      <c r="A85" s="404"/>
      <c r="B85" s="295"/>
      <c r="C85" s="406"/>
      <c r="D85" s="400"/>
      <c r="E85" s="400"/>
      <c r="F85" s="400"/>
      <c r="G85" s="400"/>
      <c r="H85" s="296"/>
      <c r="I85" s="296"/>
      <c r="J85" s="400"/>
      <c r="K85" s="400"/>
      <c r="L85" s="400"/>
      <c r="M85" s="400"/>
      <c r="N85" s="403"/>
      <c r="O85" s="400"/>
      <c r="P85" s="400"/>
      <c r="Q85" s="400"/>
      <c r="R85" s="400"/>
      <c r="S85" s="400"/>
      <c r="T85" s="400"/>
      <c r="U85" s="400"/>
      <c r="V85" s="188"/>
      <c r="W85" s="400"/>
      <c r="X85" s="403"/>
      <c r="Y85" s="188"/>
      <c r="Z85" s="188"/>
    </row>
    <row r="86" spans="1:26" ht="11.25" customHeight="1" x14ac:dyDescent="0.3">
      <c r="A86" s="293" t="s">
        <v>613</v>
      </c>
      <c r="B86" s="295"/>
      <c r="C86" s="406"/>
      <c r="D86" s="400"/>
      <c r="E86" s="400"/>
      <c r="F86" s="400"/>
      <c r="G86" s="400"/>
      <c r="H86" s="401"/>
      <c r="I86" s="296"/>
      <c r="J86" s="400"/>
      <c r="K86" s="400"/>
      <c r="L86" s="400"/>
      <c r="M86" s="400"/>
      <c r="N86" s="400"/>
      <c r="O86" s="400"/>
      <c r="P86" s="400"/>
      <c r="Q86" s="400"/>
      <c r="R86" s="400"/>
      <c r="S86" s="400"/>
      <c r="T86" s="400"/>
      <c r="U86" s="400"/>
      <c r="V86" s="188"/>
      <c r="W86" s="400"/>
      <c r="X86" s="400"/>
      <c r="Y86" s="188"/>
      <c r="Z86" s="188"/>
    </row>
    <row r="87" spans="1:26" ht="11.25" customHeight="1" x14ac:dyDescent="0.3">
      <c r="A87" s="293">
        <f>COUNTIF(E7:E83,"&gt;0")</f>
        <v>58</v>
      </c>
      <c r="B87" s="295"/>
      <c r="C87" s="406"/>
      <c r="D87" s="400"/>
      <c r="E87" s="400"/>
      <c r="F87" s="400"/>
      <c r="G87" s="400"/>
      <c r="H87" s="188"/>
      <c r="I87" s="296"/>
      <c r="J87" s="400"/>
      <c r="K87" s="400"/>
      <c r="L87" s="400"/>
      <c r="M87" s="400"/>
      <c r="N87" s="400"/>
      <c r="O87" s="400"/>
      <c r="P87" s="400"/>
      <c r="Q87" s="400"/>
      <c r="R87" s="400"/>
      <c r="S87" s="400"/>
      <c r="T87" s="400"/>
      <c r="U87" s="400"/>
      <c r="V87" s="188"/>
      <c r="W87" s="400"/>
      <c r="X87" s="400"/>
      <c r="Y87" s="188"/>
      <c r="Z87" s="188"/>
    </row>
    <row r="88" spans="1:26" ht="11.25" customHeight="1" x14ac:dyDescent="0.3">
      <c r="A88" s="293" t="s">
        <v>614</v>
      </c>
      <c r="B88" s="295"/>
      <c r="C88" s="406"/>
      <c r="D88" s="400"/>
      <c r="E88" s="400"/>
      <c r="F88" s="400"/>
      <c r="G88" s="400"/>
      <c r="H88" s="188"/>
      <c r="I88" s="296"/>
      <c r="J88" s="400"/>
      <c r="K88" s="400"/>
      <c r="L88" s="400"/>
      <c r="M88" s="400"/>
      <c r="N88" s="400"/>
      <c r="O88" s="400"/>
      <c r="P88" s="400"/>
      <c r="Q88" s="400"/>
      <c r="R88" s="400"/>
      <c r="S88" s="400"/>
      <c r="T88" s="400"/>
      <c r="U88" s="400"/>
      <c r="V88" s="400"/>
      <c r="W88" s="400"/>
      <c r="X88" s="400"/>
      <c r="Y88" s="188"/>
      <c r="Z88" s="188"/>
    </row>
    <row r="89" spans="1:26" ht="11.25" customHeight="1" x14ac:dyDescent="0.3">
      <c r="A89" s="296">
        <f>(SUMIFS(G7:G83,E7:E83,"&gt;0"))/A87</f>
        <v>5.7289109105383693E-2</v>
      </c>
      <c r="B89" s="295"/>
      <c r="C89" s="406"/>
      <c r="D89" s="400"/>
      <c r="E89" s="400"/>
      <c r="F89" s="400"/>
      <c r="G89" s="400"/>
      <c r="H89" s="296"/>
      <c r="I89" s="296"/>
      <c r="J89" s="400"/>
      <c r="K89" s="400"/>
      <c r="L89" s="400"/>
      <c r="M89" s="400"/>
      <c r="N89" s="296"/>
      <c r="O89" s="400"/>
      <c r="P89" s="400"/>
      <c r="Q89" s="400"/>
      <c r="R89" s="400"/>
      <c r="S89" s="400"/>
      <c r="T89" s="400"/>
      <c r="U89" s="400"/>
      <c r="V89" s="400"/>
      <c r="W89" s="400"/>
      <c r="X89" s="296"/>
      <c r="Y89" s="188"/>
      <c r="Z89" s="188"/>
    </row>
    <row r="90" spans="1:26" ht="11.25" customHeight="1" x14ac:dyDescent="0.3">
      <c r="A90" s="293" t="s">
        <v>615</v>
      </c>
      <c r="B90" s="295"/>
      <c r="C90" s="406"/>
      <c r="D90" s="400"/>
      <c r="E90" s="400"/>
      <c r="F90" s="400"/>
      <c r="G90" s="400"/>
      <c r="H90" s="296"/>
      <c r="I90" s="296"/>
      <c r="J90" s="296"/>
      <c r="K90" s="296"/>
      <c r="L90" s="296"/>
      <c r="M90" s="296"/>
      <c r="N90" s="296"/>
      <c r="O90" s="400"/>
      <c r="P90" s="400"/>
      <c r="Q90" s="400"/>
      <c r="R90" s="400"/>
      <c r="S90" s="400"/>
      <c r="T90" s="400"/>
      <c r="U90" s="400"/>
      <c r="V90" s="188"/>
      <c r="W90" s="188"/>
      <c r="X90" s="188"/>
      <c r="Y90" s="188"/>
      <c r="Z90" s="188"/>
    </row>
    <row r="91" spans="1:26" ht="11.25" customHeight="1" x14ac:dyDescent="0.3">
      <c r="A91" s="293">
        <f>COUNTIF(E7:E83,"&lt;0")</f>
        <v>18</v>
      </c>
    </row>
    <row r="92" spans="1:26" ht="11.25" customHeight="1" x14ac:dyDescent="0.3">
      <c r="A92" s="293" t="s">
        <v>616</v>
      </c>
    </row>
    <row r="93" spans="1:26" ht="11.25" customHeight="1" x14ac:dyDescent="0.3">
      <c r="A93" s="296">
        <f>(SUMIFS(G7:G83,E7:E83,"&lt;0"))/A91</f>
        <v>-5.9519482595506448E-2</v>
      </c>
    </row>
    <row r="94" spans="1:26" ht="15.75" customHeight="1" x14ac:dyDescent="0.3"/>
    <row r="95" spans="1:26" ht="15.75" customHeight="1" x14ac:dyDescent="0.3"/>
    <row r="96" spans="1:26" ht="15" customHeight="1" x14ac:dyDescent="0.3">
      <c r="A96" s="11" t="s">
        <v>617</v>
      </c>
    </row>
    <row r="97" spans="1:1" ht="15" customHeight="1" x14ac:dyDescent="0.3">
      <c r="A97" s="50">
        <f>AVERAGE(G8,G12,G16,G20,G24,G28,G32,G36,G40,G44,G48,G52,G56,G60,G64,G68,G72,G76,G80)</f>
        <v>1.9373354324880427E-2</v>
      </c>
    </row>
    <row r="98" spans="1:1" ht="15" customHeight="1" x14ac:dyDescent="0.3">
      <c r="A98" s="50" t="s">
        <v>618</v>
      </c>
    </row>
    <row r="99" spans="1:1" ht="15" customHeight="1" x14ac:dyDescent="0.3">
      <c r="A99" s="50">
        <f>AVERAGE(G9,G13,G17,G21,G25,G29,G33,G37,G41,G45,G49,G53,G57,G61,G65,G69,G73,G77,G81)</f>
        <v>3.3949124306264407E-2</v>
      </c>
    </row>
    <row r="100" spans="1:1" ht="15" customHeight="1" x14ac:dyDescent="0.3">
      <c r="A100" s="50" t="s">
        <v>619</v>
      </c>
    </row>
    <row r="101" spans="1:1" ht="15" customHeight="1" x14ac:dyDescent="0.3">
      <c r="A101" s="50">
        <f>AVERAGE(G10,G14,G18,G22,G26,G30,G34,G38,G42,G46,G50,G54,G58,G62,G66,G70,G74,G78,G82)</f>
        <v>2.1168417328498296E-2</v>
      </c>
    </row>
    <row r="102" spans="1:1" ht="15" customHeight="1" x14ac:dyDescent="0.3">
      <c r="A102" s="50" t="s">
        <v>620</v>
      </c>
    </row>
    <row r="103" spans="1:1" ht="15" customHeight="1" x14ac:dyDescent="0.3">
      <c r="A103" s="50">
        <f>AVERAGE(G7,G11,G15,G19,G23,G27,G31,G35,G39,G43,G47,G51,G55,G59,G63,G67,G71,G75,G79)</f>
        <v>4.4004769376837713E-2</v>
      </c>
    </row>
    <row r="104" spans="1:1" ht="15.75" customHeight="1" x14ac:dyDescent="0.3"/>
    <row r="105" spans="1:1" ht="15.75" customHeight="1" x14ac:dyDescent="0.3"/>
    <row r="106" spans="1:1" ht="15.75" customHeight="1" x14ac:dyDescent="0.3"/>
    <row r="107" spans="1:1" ht="15.75" customHeight="1" x14ac:dyDescent="0.3"/>
    <row r="108" spans="1:1" ht="15.75" customHeight="1" x14ac:dyDescent="0.3"/>
    <row r="109" spans="1:1" ht="15.75" customHeight="1" x14ac:dyDescent="0.3"/>
    <row r="110" spans="1:1" ht="15.75" customHeight="1" x14ac:dyDescent="0.3"/>
    <row r="111" spans="1:1" ht="15.75" customHeight="1" x14ac:dyDescent="0.3"/>
    <row r="112" spans="1:1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</sheetData>
  <mergeCells count="5">
    <mergeCell ref="D5:G5"/>
    <mergeCell ref="H5:K5"/>
    <mergeCell ref="L5:P5"/>
    <mergeCell ref="Q5:U5"/>
    <mergeCell ref="V5:Z5"/>
  </mergeCells>
  <conditionalFormatting sqref="A7:A8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:E82">
    <cfRule type="cellIs" dxfId="3" priority="2" operator="lessThan">
      <formula>0</formula>
    </cfRule>
    <cfRule type="cellIs" dxfId="2" priority="3" operator="greaterThan">
      <formula>0</formula>
    </cfRule>
  </conditionalFormatting>
  <conditionalFormatting sqref="G7:G8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K3 I4:K4 J83:K83 J85:K91 I92:K1001">
    <cfRule type="cellIs" dxfId="1" priority="5" operator="lessThan">
      <formula>0</formula>
    </cfRule>
  </conditionalFormatting>
  <conditionalFormatting sqref="X1:X3">
    <cfRule type="cellIs" dxfId="0" priority="6" operator="lessThan">
      <formula>0</formula>
    </cfRule>
  </conditionalFormatting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1000"/>
  <sheetViews>
    <sheetView workbookViewId="0">
      <selection activeCell="C4" sqref="C4"/>
    </sheetView>
  </sheetViews>
  <sheetFormatPr defaultColWidth="14.44140625" defaultRowHeight="15" customHeight="1" x14ac:dyDescent="0.3"/>
  <cols>
    <col min="1" max="1" width="4.44140625" customWidth="1"/>
    <col min="2" max="2" width="14.6640625" customWidth="1"/>
    <col min="3" max="3" width="15.5546875" customWidth="1"/>
    <col min="4" max="4" width="11" customWidth="1"/>
    <col min="5" max="5" width="11.33203125" customWidth="1"/>
    <col min="6" max="6" width="11" customWidth="1"/>
    <col min="7" max="7" width="11.33203125" customWidth="1"/>
    <col min="8" max="8" width="11" customWidth="1"/>
    <col min="9" max="9" width="12.109375" customWidth="1"/>
    <col min="10" max="10" width="15.5546875" customWidth="1"/>
    <col min="11" max="11" width="12.33203125" customWidth="1"/>
    <col min="12" max="12" width="9.109375" customWidth="1"/>
    <col min="13" max="13" width="14.6640625" customWidth="1"/>
    <col min="14" max="14" width="11" customWidth="1"/>
    <col min="15" max="15" width="12.33203125" customWidth="1"/>
    <col min="16" max="16" width="11.6640625" customWidth="1"/>
    <col min="17" max="18" width="9.5546875" customWidth="1"/>
  </cols>
  <sheetData>
    <row r="1" spans="2:18" ht="11.25" customHeight="1" x14ac:dyDescent="0.3">
      <c r="B1" s="429" t="s">
        <v>621</v>
      </c>
      <c r="C1" s="430">
        <f ca="1">TODAY()</f>
        <v>46240</v>
      </c>
      <c r="D1" s="570" t="s">
        <v>622</v>
      </c>
      <c r="E1" s="548"/>
      <c r="F1" s="570" t="s">
        <v>623</v>
      </c>
      <c r="G1" s="548"/>
      <c r="H1" s="570" t="s">
        <v>624</v>
      </c>
      <c r="I1" s="548"/>
      <c r="J1" s="570" t="s">
        <v>625</v>
      </c>
      <c r="K1" s="548"/>
      <c r="L1" s="431"/>
      <c r="M1" s="431"/>
      <c r="N1" s="432">
        <f>R1/Q1</f>
        <v>0.22415375262239876</v>
      </c>
      <c r="O1" s="571" t="s">
        <v>626</v>
      </c>
      <c r="P1" s="557"/>
      <c r="Q1" s="433">
        <f>'Retirement Calculator'!B3</f>
        <v>491286.83999999991</v>
      </c>
      <c r="R1" s="434">
        <f>SUM(R3:R9)</f>
        <v>110123.78879999998</v>
      </c>
    </row>
    <row r="2" spans="2:18" ht="11.25" customHeight="1" x14ac:dyDescent="0.3">
      <c r="B2" s="429" t="s">
        <v>627</v>
      </c>
      <c r="C2" s="430">
        <f>'Retirement Calculator'!D6</f>
        <v>51288</v>
      </c>
      <c r="D2" s="435" t="s">
        <v>548</v>
      </c>
      <c r="E2" s="436">
        <f>B13</f>
        <v>104249.60000000001</v>
      </c>
      <c r="F2" s="435" t="s">
        <v>548</v>
      </c>
      <c r="G2" s="436">
        <f>C13</f>
        <v>18000</v>
      </c>
      <c r="H2" s="435" t="s">
        <v>548</v>
      </c>
      <c r="I2" s="436">
        <f>D13</f>
        <v>175500</v>
      </c>
      <c r="J2" s="435" t="s">
        <v>548</v>
      </c>
      <c r="K2" s="436">
        <f>I2</f>
        <v>175500</v>
      </c>
      <c r="L2" s="431"/>
      <c r="M2" s="431"/>
      <c r="N2" s="437" t="s">
        <v>562</v>
      </c>
      <c r="O2" s="438" t="s">
        <v>628</v>
      </c>
      <c r="P2" s="438" t="s">
        <v>629</v>
      </c>
      <c r="Q2" s="439" t="s">
        <v>630</v>
      </c>
      <c r="R2" s="440" t="s">
        <v>631</v>
      </c>
    </row>
    <row r="3" spans="2:18" ht="11.25" customHeight="1" x14ac:dyDescent="0.3">
      <c r="B3" s="429" t="s">
        <v>632</v>
      </c>
      <c r="C3" s="438">
        <f ca="1">(C2-C1)/365.25</f>
        <v>13.820670773442847</v>
      </c>
      <c r="D3" s="429" t="s">
        <v>633</v>
      </c>
      <c r="E3" s="441">
        <f ca="1">'TSP-401K'!J4</f>
        <v>0.11456163525581362</v>
      </c>
      <c r="F3" s="429" t="s">
        <v>633</v>
      </c>
      <c r="G3" s="441">
        <f ca="1">'TSP-401K'!O4</f>
        <v>0.11154856085777282</v>
      </c>
      <c r="H3" s="429" t="s">
        <v>633</v>
      </c>
      <c r="I3" s="441">
        <f ca="1">'TSP-401K'!T4</f>
        <v>0.11150876879692079</v>
      </c>
      <c r="J3" s="429" t="s">
        <v>633</v>
      </c>
      <c r="K3" s="441">
        <f ca="1">'TSP-401K'!Y4</f>
        <v>0.11148554682731629</v>
      </c>
      <c r="L3" s="431"/>
      <c r="M3" s="431"/>
      <c r="N3" s="442">
        <v>0.1</v>
      </c>
      <c r="O3" s="436">
        <v>0</v>
      </c>
      <c r="P3" s="436">
        <v>24800</v>
      </c>
      <c r="Q3" s="436">
        <f>IF($Q$1&gt;P3,P3,$Q$1-Q3)</f>
        <v>24800</v>
      </c>
      <c r="R3" s="443">
        <f t="shared" ref="R3:R9" si="0">Q3*N3</f>
        <v>2480</v>
      </c>
    </row>
    <row r="4" spans="2:18" ht="11.25" customHeight="1" x14ac:dyDescent="0.3">
      <c r="B4" s="435" t="s">
        <v>634</v>
      </c>
      <c r="C4" s="430">
        <f>'Retirement Calculator'!D7</f>
        <v>51288</v>
      </c>
      <c r="D4" s="429"/>
      <c r="E4" s="441"/>
      <c r="F4" s="429"/>
      <c r="G4" s="441"/>
      <c r="H4" s="429"/>
      <c r="I4" s="441"/>
      <c r="J4" s="429"/>
      <c r="K4" s="441"/>
      <c r="L4" s="431"/>
      <c r="M4" s="431"/>
      <c r="N4" s="442">
        <v>0.12</v>
      </c>
      <c r="O4" s="436">
        <f t="shared" ref="O4:O9" si="1">P3+0.01</f>
        <v>24800.01</v>
      </c>
      <c r="P4" s="436">
        <v>100800</v>
      </c>
      <c r="Q4" s="436">
        <f>IF($Q$1&gt;P4,P4-Q3,$Q$1-Q3)</f>
        <v>76000</v>
      </c>
      <c r="R4" s="443">
        <f t="shared" si="0"/>
        <v>9120</v>
      </c>
    </row>
    <row r="5" spans="2:18" ht="11.25" customHeight="1" x14ac:dyDescent="0.3">
      <c r="B5" s="435" t="s">
        <v>635</v>
      </c>
      <c r="C5" s="438">
        <f ca="1">(C4-C1)/365.25</f>
        <v>13.820670773442847</v>
      </c>
      <c r="D5" s="429"/>
      <c r="E5" s="441"/>
      <c r="F5" s="429"/>
      <c r="G5" s="441"/>
      <c r="H5" s="429"/>
      <c r="I5" s="441"/>
      <c r="J5" s="429"/>
      <c r="K5" s="441"/>
      <c r="L5" s="444"/>
      <c r="M5" s="431"/>
      <c r="N5" s="442">
        <v>0.22</v>
      </c>
      <c r="O5" s="436">
        <f t="shared" si="1"/>
        <v>100800.01</v>
      </c>
      <c r="P5" s="436">
        <v>211400</v>
      </c>
      <c r="Q5" s="436">
        <f>IF($Q$1&gt;P5,P5-Q4-Q3,$Q$1-Q4-Q3)</f>
        <v>110600</v>
      </c>
      <c r="R5" s="443">
        <f t="shared" si="0"/>
        <v>24332</v>
      </c>
    </row>
    <row r="6" spans="2:18" ht="11.25" customHeight="1" x14ac:dyDescent="0.3">
      <c r="B6" s="429" t="s">
        <v>636</v>
      </c>
      <c r="C6" s="445">
        <f>E6+G6+I6+K6</f>
        <v>1111264.99</v>
      </c>
      <c r="D6" s="429" t="s">
        <v>637</v>
      </c>
      <c r="E6" s="445">
        <f>'TSP-401K'!H83*-1</f>
        <v>435661.64999999997</v>
      </c>
      <c r="F6" s="429" t="s">
        <v>637</v>
      </c>
      <c r="G6" s="445">
        <f>'TSP-401K'!L83*-1</f>
        <v>139963.02999999997</v>
      </c>
      <c r="H6" s="429" t="s">
        <v>637</v>
      </c>
      <c r="I6" s="445">
        <f>'TSP-401K'!Q83*-1</f>
        <v>409940.73999999993</v>
      </c>
      <c r="J6" s="429" t="s">
        <v>637</v>
      </c>
      <c r="K6" s="445">
        <f>'TSP-401K'!V83*-1</f>
        <v>125699.57000000007</v>
      </c>
      <c r="L6" s="446"/>
      <c r="M6" s="431"/>
      <c r="N6" s="442">
        <v>0.24</v>
      </c>
      <c r="O6" s="436">
        <f t="shared" si="1"/>
        <v>211400.01</v>
      </c>
      <c r="P6" s="436">
        <v>403550</v>
      </c>
      <c r="Q6" s="436">
        <f>IF($Q$1&gt;P6,P6-Q5-Q4-Q3,$Q$1-Q5-Q4-Q3)</f>
        <v>192150</v>
      </c>
      <c r="R6" s="443">
        <f t="shared" si="0"/>
        <v>46116</v>
      </c>
    </row>
    <row r="7" spans="2:18" ht="11.25" customHeight="1" x14ac:dyDescent="0.3">
      <c r="B7" s="429"/>
      <c r="C7" s="439"/>
      <c r="D7" s="429"/>
      <c r="E7" s="439"/>
      <c r="F7" s="429"/>
      <c r="G7" s="439"/>
      <c r="H7" s="429"/>
      <c r="I7" s="439"/>
      <c r="J7" s="429"/>
      <c r="K7" s="439"/>
      <c r="L7" s="444"/>
      <c r="M7" s="431"/>
      <c r="N7" s="442">
        <v>0.32</v>
      </c>
      <c r="O7" s="436">
        <f t="shared" si="1"/>
        <v>403550.01</v>
      </c>
      <c r="P7" s="436">
        <v>512450</v>
      </c>
      <c r="Q7" s="436">
        <f>IF($Q$1&gt;P7,P7-Q6-Q5-Q4-Q3,$Q$1-Q6-Q5-Q4-Q3)</f>
        <v>87736.839999999909</v>
      </c>
      <c r="R7" s="443">
        <f t="shared" si="0"/>
        <v>28075.788799999973</v>
      </c>
    </row>
    <row r="8" spans="2:18" ht="11.25" customHeight="1" x14ac:dyDescent="0.3">
      <c r="B8" s="429" t="s">
        <v>638</v>
      </c>
      <c r="C8" s="445">
        <f ca="1">E8+G8+I8+K8</f>
        <v>6563181.4058484873</v>
      </c>
      <c r="D8" s="429" t="s">
        <v>639</v>
      </c>
      <c r="E8" s="445">
        <f ca="1">FV(E3/26,C3*26,-(E2*0.1)/26,-E6,1)</f>
        <v>2467051.9523315816</v>
      </c>
      <c r="F8" s="429" t="s">
        <v>639</v>
      </c>
      <c r="G8" s="445">
        <f ca="1">FV(G3/12,12*C3,-(G2*0.1)/12,-G6,1)</f>
        <v>708595.34852869832</v>
      </c>
      <c r="H8" s="429" t="s">
        <v>639</v>
      </c>
      <c r="I8" s="445">
        <f ca="1">FV(I3/24,C5*24,-(I2*0.1)/24,-I6,1)</f>
        <v>2485177.3049359829</v>
      </c>
      <c r="J8" s="429" t="s">
        <v>639</v>
      </c>
      <c r="K8" s="445">
        <f ca="1">FV(K3/24,C5*24,-(K2*0.055)/24,-K6,1)</f>
        <v>902356.80005222477</v>
      </c>
      <c r="L8" s="444"/>
      <c r="M8" s="431"/>
      <c r="N8" s="442">
        <v>0.35</v>
      </c>
      <c r="O8" s="436">
        <f t="shared" si="1"/>
        <v>512450.01</v>
      </c>
      <c r="P8" s="436">
        <v>768700</v>
      </c>
      <c r="Q8" s="436">
        <f>IF($Q$1&gt;P8,P8-Q7-Q6-Q5-Q4-Q3,$Q$1-Q7-Q6-Q5-Q4-Q3)</f>
        <v>0</v>
      </c>
      <c r="R8" s="443">
        <f t="shared" si="0"/>
        <v>0</v>
      </c>
    </row>
    <row r="9" spans="2:18" ht="11.25" customHeight="1" x14ac:dyDescent="0.3">
      <c r="B9" s="446"/>
      <c r="C9" s="445"/>
      <c r="D9" s="446"/>
      <c r="E9" s="444"/>
      <c r="F9" s="446"/>
      <c r="G9" s="447"/>
      <c r="H9" s="446"/>
      <c r="I9" s="447"/>
      <c r="J9" s="446"/>
      <c r="K9" s="447"/>
      <c r="L9" s="444"/>
      <c r="M9" s="431"/>
      <c r="N9" s="448">
        <v>0.37</v>
      </c>
      <c r="O9" s="449">
        <f t="shared" si="1"/>
        <v>768700.01</v>
      </c>
      <c r="P9" s="449">
        <v>10000000</v>
      </c>
      <c r="Q9" s="449">
        <f>IF($Q$1&gt;P9,P9-Q8-Q7,$Q$1-Q8-Q7-Q6-Q5-Q4-Q3)</f>
        <v>0</v>
      </c>
      <c r="R9" s="450">
        <f t="shared" si="0"/>
        <v>0</v>
      </c>
    </row>
    <row r="10" spans="2:18" ht="11.25" customHeight="1" x14ac:dyDescent="0.3">
      <c r="B10" s="446"/>
      <c r="C10" s="444"/>
      <c r="D10" s="446"/>
      <c r="E10" s="444"/>
      <c r="F10" s="446"/>
      <c r="G10" s="447"/>
      <c r="H10" s="446"/>
      <c r="I10" s="447"/>
      <c r="J10" s="446"/>
      <c r="K10" s="447"/>
      <c r="L10" s="444"/>
      <c r="M10" s="431"/>
      <c r="N10" s="451"/>
      <c r="O10" s="451"/>
      <c r="P10" s="451"/>
      <c r="Q10" s="452"/>
      <c r="R10" s="444"/>
    </row>
    <row r="11" spans="2:18" ht="11.25" customHeight="1" x14ac:dyDescent="0.3">
      <c r="B11" s="453"/>
      <c r="C11" s="444"/>
      <c r="D11" s="431"/>
      <c r="E11" s="444"/>
      <c r="F11" s="431"/>
      <c r="G11" s="444"/>
      <c r="H11" s="431"/>
      <c r="I11" s="444"/>
      <c r="J11" s="431"/>
      <c r="K11" s="444"/>
      <c r="L11" s="444"/>
      <c r="M11" s="431"/>
      <c r="N11" s="451"/>
      <c r="O11" s="451"/>
      <c r="P11" s="451"/>
      <c r="Q11" s="452"/>
      <c r="R11" s="444"/>
    </row>
    <row r="12" spans="2:18" ht="11.25" customHeight="1" x14ac:dyDescent="0.3">
      <c r="B12" s="446" t="s">
        <v>640</v>
      </c>
      <c r="C12" s="446" t="s">
        <v>564</v>
      </c>
      <c r="D12" s="446" t="s">
        <v>641</v>
      </c>
      <c r="E12" s="454" t="s">
        <v>642</v>
      </c>
      <c r="F12" s="444"/>
      <c r="G12" s="446"/>
      <c r="H12" s="431"/>
      <c r="I12" s="446" t="s">
        <v>551</v>
      </c>
      <c r="J12" s="446" t="s">
        <v>552</v>
      </c>
      <c r="K12" s="446" t="s">
        <v>553</v>
      </c>
      <c r="L12" s="446" t="s">
        <v>554</v>
      </c>
      <c r="M12" s="431"/>
      <c r="N12" s="451"/>
      <c r="O12" s="451"/>
      <c r="P12" s="451"/>
      <c r="Q12" s="452"/>
      <c r="R12" s="444"/>
    </row>
    <row r="13" spans="2:18" ht="11.25" customHeight="1" x14ac:dyDescent="0.3">
      <c r="B13" s="455">
        <f>'Retirement Calculator'!D2</f>
        <v>104249.60000000001</v>
      </c>
      <c r="C13" s="455">
        <f>'Retirement Calculator'!D3</f>
        <v>18000</v>
      </c>
      <c r="D13" s="455">
        <f>'Retirement Calculator'!D1</f>
        <v>175500</v>
      </c>
      <c r="E13" s="452">
        <f>B13+C13+D13</f>
        <v>297749.59999999998</v>
      </c>
      <c r="F13" s="444"/>
      <c r="G13" s="456">
        <v>31590</v>
      </c>
      <c r="H13" s="431" t="s">
        <v>643</v>
      </c>
      <c r="I13" s="457">
        <f>'Retirement Calculator'!F2</f>
        <v>2420</v>
      </c>
      <c r="J13" s="457">
        <f>'Retirement Calculator'!G2</f>
        <v>3519</v>
      </c>
      <c r="K13" s="457">
        <f>'Retirement Calculator'!H2</f>
        <v>4397</v>
      </c>
      <c r="L13" s="457">
        <f>'Retirement Calculator'!I2</f>
        <v>0</v>
      </c>
      <c r="M13" s="431"/>
      <c r="N13" s="451"/>
      <c r="O13" s="451"/>
      <c r="P13" s="451"/>
      <c r="Q13" s="452"/>
      <c r="R13" s="444"/>
    </row>
    <row r="14" spans="2:18" ht="11.25" customHeight="1" x14ac:dyDescent="0.3">
      <c r="B14" s="455"/>
      <c r="C14" s="457"/>
      <c r="D14" s="457"/>
      <c r="E14" s="452"/>
      <c r="F14" s="444"/>
      <c r="G14" s="456">
        <v>29906</v>
      </c>
      <c r="H14" s="431" t="s">
        <v>644</v>
      </c>
      <c r="I14" s="457">
        <f>'Retirement Calculator'!F3</f>
        <v>2345</v>
      </c>
      <c r="J14" s="457">
        <f>'Retirement Calculator'!G3</f>
        <v>3401</v>
      </c>
      <c r="K14" s="457">
        <f>'Retirement Calculator'!H3</f>
        <v>4262</v>
      </c>
      <c r="L14" s="457">
        <f>'Retirement Calculator'!I3</f>
        <v>0</v>
      </c>
      <c r="M14" s="431"/>
      <c r="N14" s="451"/>
      <c r="O14" s="451"/>
      <c r="P14" s="451"/>
      <c r="Q14" s="452"/>
      <c r="R14" s="444"/>
    </row>
    <row r="15" spans="2:18" ht="11.25" customHeight="1" x14ac:dyDescent="0.3">
      <c r="B15" s="455"/>
      <c r="C15" s="457"/>
      <c r="D15" s="457"/>
      <c r="E15" s="452"/>
      <c r="F15" s="444"/>
      <c r="G15" s="456"/>
      <c r="H15" s="431"/>
      <c r="I15" s="457"/>
      <c r="J15" s="457"/>
      <c r="K15" s="457"/>
      <c r="L15" s="457"/>
      <c r="M15" s="431"/>
      <c r="N15" s="451"/>
      <c r="O15" s="451"/>
      <c r="P15" s="451"/>
      <c r="Q15" s="452"/>
      <c r="R15" s="444"/>
    </row>
    <row r="16" spans="2:18" ht="11.25" customHeight="1" x14ac:dyDescent="0.3">
      <c r="B16" s="455" t="s">
        <v>645</v>
      </c>
      <c r="C16" s="455" t="s">
        <v>646</v>
      </c>
      <c r="D16" s="457"/>
      <c r="E16" s="452"/>
      <c r="F16" s="444"/>
      <c r="G16" s="431"/>
      <c r="H16" s="444"/>
      <c r="I16" s="431"/>
      <c r="J16" s="431"/>
      <c r="K16" s="444"/>
      <c r="L16" s="444"/>
      <c r="M16" s="431"/>
      <c r="N16" s="451"/>
      <c r="O16" s="451"/>
      <c r="P16" s="451"/>
      <c r="Q16" s="452"/>
      <c r="R16" s="444"/>
    </row>
    <row r="17" spans="2:11" ht="11.25" customHeight="1" x14ac:dyDescent="0.3">
      <c r="B17" s="451">
        <f>(C2-B18)/365.25</f>
        <v>33.040383299110196</v>
      </c>
      <c r="C17" s="458">
        <f>'Retirement Calculator'!B2</f>
        <v>0.65</v>
      </c>
      <c r="D17" s="457"/>
      <c r="E17" s="457"/>
      <c r="F17" s="444"/>
      <c r="G17" s="431"/>
      <c r="H17" s="444"/>
      <c r="I17" s="431"/>
      <c r="J17" s="431"/>
      <c r="K17" s="444"/>
    </row>
    <row r="18" spans="2:11" ht="11.25" customHeight="1" x14ac:dyDescent="0.3">
      <c r="B18" s="456">
        <v>39220</v>
      </c>
      <c r="C18" s="455">
        <f>E13*(1+C17)</f>
        <v>491286.83999999991</v>
      </c>
      <c r="D18" s="457"/>
      <c r="E18" s="457"/>
      <c r="F18" s="444"/>
      <c r="G18" s="431"/>
      <c r="H18" s="446" t="s">
        <v>647</v>
      </c>
      <c r="I18" s="431"/>
      <c r="J18" s="431"/>
      <c r="K18" s="431"/>
    </row>
    <row r="19" spans="2:11" ht="11.25" customHeight="1" x14ac:dyDescent="0.3">
      <c r="B19" s="444"/>
      <c r="C19" s="455"/>
      <c r="D19" s="457"/>
      <c r="E19" s="457"/>
      <c r="F19" s="431"/>
      <c r="G19" s="431"/>
      <c r="H19" s="459">
        <v>71</v>
      </c>
      <c r="I19" s="457">
        <f t="shared" ref="I19:I33" si="2">(I$14*12)*($H19-62)</f>
        <v>253260</v>
      </c>
      <c r="J19" s="457">
        <f t="shared" ref="J19:J33" si="3">(J$14*12)*($H19-67)</f>
        <v>163248</v>
      </c>
      <c r="K19" s="457">
        <f t="shared" ref="K19:K33" si="4">(K$14*12)*($H19-70)</f>
        <v>51144</v>
      </c>
    </row>
    <row r="20" spans="2:11" ht="11.25" customHeight="1" x14ac:dyDescent="0.3">
      <c r="B20" s="444"/>
      <c r="C20" s="455"/>
      <c r="D20" s="457"/>
      <c r="E20" s="457"/>
      <c r="F20" s="431"/>
      <c r="G20" s="431"/>
      <c r="H20" s="459">
        <v>72</v>
      </c>
      <c r="I20" s="457">
        <f t="shared" si="2"/>
        <v>281400</v>
      </c>
      <c r="J20" s="457">
        <f t="shared" si="3"/>
        <v>204060</v>
      </c>
      <c r="K20" s="457">
        <f t="shared" si="4"/>
        <v>102288</v>
      </c>
    </row>
    <row r="21" spans="2:11" ht="11.25" customHeight="1" x14ac:dyDescent="0.3">
      <c r="B21" s="444" t="s">
        <v>648</v>
      </c>
      <c r="C21" s="455" t="s">
        <v>649</v>
      </c>
      <c r="D21" s="455" t="s">
        <v>650</v>
      </c>
      <c r="E21" s="457" t="s">
        <v>651</v>
      </c>
      <c r="F21" s="431"/>
      <c r="G21" s="431"/>
      <c r="H21" s="459">
        <v>73</v>
      </c>
      <c r="I21" s="457">
        <f t="shared" si="2"/>
        <v>309540</v>
      </c>
      <c r="J21" s="457">
        <f t="shared" si="3"/>
        <v>244872</v>
      </c>
      <c r="K21" s="457">
        <f t="shared" si="4"/>
        <v>153432</v>
      </c>
    </row>
    <row r="22" spans="2:11" ht="11.25" customHeight="1" x14ac:dyDescent="0.3">
      <c r="B22" s="444">
        <f>B13*(B17*0.01)</f>
        <v>34444.46742778919</v>
      </c>
      <c r="C22" s="455">
        <f>C24*12</f>
        <v>39051.173639423083</v>
      </c>
      <c r="D22" s="455">
        <f>B22+C22</f>
        <v>73495.641067212273</v>
      </c>
      <c r="E22" s="460">
        <f>D22/(B13+C13)</f>
        <v>0.60119330506776525</v>
      </c>
      <c r="F22" s="431"/>
      <c r="G22" s="431"/>
      <c r="H22" s="459">
        <v>74</v>
      </c>
      <c r="I22" s="457">
        <f t="shared" si="2"/>
        <v>337680</v>
      </c>
      <c r="J22" s="457">
        <f t="shared" si="3"/>
        <v>285684</v>
      </c>
      <c r="K22" s="457">
        <f t="shared" si="4"/>
        <v>204576</v>
      </c>
    </row>
    <row r="23" spans="2:11" ht="11.25" customHeight="1" x14ac:dyDescent="0.3">
      <c r="B23" s="446" t="s">
        <v>652</v>
      </c>
      <c r="C23" s="446" t="s">
        <v>653</v>
      </c>
      <c r="D23" s="446" t="s">
        <v>654</v>
      </c>
      <c r="E23" s="431"/>
      <c r="F23" s="446"/>
      <c r="G23" s="446"/>
      <c r="H23" s="459">
        <v>75</v>
      </c>
      <c r="I23" s="457">
        <f t="shared" si="2"/>
        <v>365820</v>
      </c>
      <c r="J23" s="457">
        <f t="shared" si="3"/>
        <v>326496</v>
      </c>
      <c r="K23" s="457">
        <f t="shared" si="4"/>
        <v>255720</v>
      </c>
    </row>
    <row r="24" spans="2:11" ht="11.25" customHeight="1" x14ac:dyDescent="0.3">
      <c r="B24" s="455">
        <f>B22/12</f>
        <v>2870.372285649099</v>
      </c>
      <c r="C24" s="455">
        <f>AVERAGE('Guard Ret Calc'!I23:I24)</f>
        <v>3254.2644699519233</v>
      </c>
      <c r="D24" s="455">
        <f>B24+C24</f>
        <v>6124.6367556010227</v>
      </c>
      <c r="E24" s="431"/>
      <c r="F24" s="446"/>
      <c r="G24" s="455"/>
      <c r="H24" s="459">
        <v>76</v>
      </c>
      <c r="I24" s="457">
        <f t="shared" si="2"/>
        <v>393960</v>
      </c>
      <c r="J24" s="457">
        <f t="shared" si="3"/>
        <v>367308</v>
      </c>
      <c r="K24" s="457">
        <f t="shared" si="4"/>
        <v>306864</v>
      </c>
    </row>
    <row r="25" spans="2:11" ht="11.25" customHeight="1" x14ac:dyDescent="0.3">
      <c r="B25" s="459"/>
      <c r="C25" s="455"/>
      <c r="D25" s="455"/>
      <c r="E25" s="455"/>
      <c r="F25" s="446"/>
      <c r="G25" s="455"/>
      <c r="H25" s="459">
        <v>77</v>
      </c>
      <c r="I25" s="457">
        <f t="shared" si="2"/>
        <v>422100</v>
      </c>
      <c r="J25" s="457">
        <f t="shared" si="3"/>
        <v>408120</v>
      </c>
      <c r="K25" s="457">
        <f t="shared" si="4"/>
        <v>358008</v>
      </c>
    </row>
    <row r="26" spans="2:11" ht="11.25" customHeight="1" x14ac:dyDescent="0.3">
      <c r="B26" s="459"/>
      <c r="C26" s="455"/>
      <c r="D26" s="455"/>
      <c r="E26" s="455"/>
      <c r="F26" s="446"/>
      <c r="G26" s="455"/>
      <c r="H26" s="459">
        <v>78</v>
      </c>
      <c r="I26" s="457">
        <f t="shared" si="2"/>
        <v>450240</v>
      </c>
      <c r="J26" s="461">
        <f t="shared" si="3"/>
        <v>448932</v>
      </c>
      <c r="K26" s="457">
        <f t="shared" si="4"/>
        <v>409152</v>
      </c>
    </row>
    <row r="27" spans="2:11" ht="11.25" customHeight="1" x14ac:dyDescent="0.3">
      <c r="B27" s="459"/>
      <c r="C27" s="455"/>
      <c r="D27" s="455"/>
      <c r="E27" s="455"/>
      <c r="F27" s="455"/>
      <c r="G27" s="455"/>
      <c r="H27" s="459">
        <v>79</v>
      </c>
      <c r="I27" s="457">
        <f t="shared" si="2"/>
        <v>478380</v>
      </c>
      <c r="J27" s="457">
        <f t="shared" si="3"/>
        <v>489744</v>
      </c>
      <c r="K27" s="457">
        <f t="shared" si="4"/>
        <v>460296</v>
      </c>
    </row>
    <row r="28" spans="2:11" ht="11.25" customHeight="1" x14ac:dyDescent="0.3">
      <c r="B28" s="459" t="s">
        <v>647</v>
      </c>
      <c r="C28" s="455" t="s">
        <v>655</v>
      </c>
      <c r="D28" s="455" t="s">
        <v>656</v>
      </c>
      <c r="E28" s="455" t="s">
        <v>68</v>
      </c>
      <c r="F28" s="455"/>
      <c r="G28" s="455"/>
      <c r="H28" s="459">
        <v>80</v>
      </c>
      <c r="I28" s="457">
        <f t="shared" si="2"/>
        <v>506520</v>
      </c>
      <c r="J28" s="457">
        <f t="shared" si="3"/>
        <v>530556</v>
      </c>
      <c r="K28" s="461">
        <f t="shared" si="4"/>
        <v>511440</v>
      </c>
    </row>
    <row r="29" spans="2:11" ht="11.25" customHeight="1" x14ac:dyDescent="0.3">
      <c r="B29" s="451">
        <v>57</v>
      </c>
      <c r="C29" s="455">
        <v>2185</v>
      </c>
      <c r="D29" s="455">
        <v>1319</v>
      </c>
      <c r="E29" s="455">
        <f>SUM(C29:D29)</f>
        <v>3504</v>
      </c>
      <c r="F29" s="455"/>
      <c r="G29" s="455"/>
      <c r="H29" s="459">
        <v>81</v>
      </c>
      <c r="I29" s="457">
        <f t="shared" si="2"/>
        <v>534660</v>
      </c>
      <c r="J29" s="457">
        <f t="shared" si="3"/>
        <v>571368</v>
      </c>
      <c r="K29" s="457">
        <f t="shared" si="4"/>
        <v>562584</v>
      </c>
    </row>
    <row r="30" spans="2:11" ht="11.25" customHeight="1" x14ac:dyDescent="0.3">
      <c r="B30" s="451">
        <v>57.5</v>
      </c>
      <c r="C30" s="455"/>
      <c r="D30" s="455"/>
      <c r="E30" s="455"/>
      <c r="F30" s="455"/>
      <c r="G30" s="455"/>
      <c r="H30" s="459">
        <v>82</v>
      </c>
      <c r="I30" s="457">
        <f t="shared" si="2"/>
        <v>562800</v>
      </c>
      <c r="J30" s="457">
        <f t="shared" si="3"/>
        <v>612180</v>
      </c>
      <c r="K30" s="457">
        <f t="shared" si="4"/>
        <v>613728</v>
      </c>
    </row>
    <row r="31" spans="2:11" ht="11.25" customHeight="1" x14ac:dyDescent="0.3">
      <c r="B31" s="451">
        <v>58</v>
      </c>
      <c r="C31" s="455"/>
      <c r="D31" s="455"/>
      <c r="E31" s="455"/>
      <c r="F31" s="455"/>
      <c r="G31" s="455"/>
      <c r="H31" s="459">
        <v>83</v>
      </c>
      <c r="I31" s="457">
        <f t="shared" si="2"/>
        <v>590940</v>
      </c>
      <c r="J31" s="457">
        <f t="shared" si="3"/>
        <v>652992</v>
      </c>
      <c r="K31" s="457">
        <f t="shared" si="4"/>
        <v>664872</v>
      </c>
    </row>
    <row r="32" spans="2:11" ht="11.25" customHeight="1" x14ac:dyDescent="0.3">
      <c r="B32" s="451">
        <v>58.5</v>
      </c>
      <c r="C32" s="455">
        <v>2295</v>
      </c>
      <c r="D32" s="455">
        <v>1569</v>
      </c>
      <c r="E32" s="455">
        <f>SUM(C32:D32)</f>
        <v>3864</v>
      </c>
      <c r="F32" s="455"/>
      <c r="G32" s="455"/>
      <c r="H32" s="459">
        <v>84</v>
      </c>
      <c r="I32" s="457">
        <f t="shared" si="2"/>
        <v>619080</v>
      </c>
      <c r="J32" s="457">
        <f t="shared" si="3"/>
        <v>693804</v>
      </c>
      <c r="K32" s="457">
        <f t="shared" si="4"/>
        <v>716016</v>
      </c>
    </row>
    <row r="33" spans="2:11" ht="11.25" customHeight="1" x14ac:dyDescent="0.3">
      <c r="B33" s="451">
        <v>59</v>
      </c>
      <c r="C33" s="455"/>
      <c r="D33" s="455"/>
      <c r="E33" s="455"/>
      <c r="F33" s="455"/>
      <c r="G33" s="455"/>
      <c r="H33" s="459">
        <v>85</v>
      </c>
      <c r="I33" s="457">
        <f t="shared" si="2"/>
        <v>647220</v>
      </c>
      <c r="J33" s="457">
        <f t="shared" si="3"/>
        <v>734616</v>
      </c>
      <c r="K33" s="457">
        <f t="shared" si="4"/>
        <v>767160</v>
      </c>
    </row>
    <row r="34" spans="2:11" ht="11.25" customHeight="1" x14ac:dyDescent="0.3">
      <c r="B34" s="451">
        <v>59.5</v>
      </c>
      <c r="C34" s="455"/>
      <c r="D34" s="455"/>
      <c r="E34" s="455"/>
      <c r="F34" s="455"/>
      <c r="G34" s="455"/>
      <c r="H34" s="455"/>
      <c r="I34" s="455"/>
      <c r="J34" s="455"/>
      <c r="K34" s="455"/>
    </row>
    <row r="35" spans="2:11" ht="11.25" customHeight="1" x14ac:dyDescent="0.3">
      <c r="B35" s="451">
        <v>60</v>
      </c>
      <c r="C35" s="455">
        <v>2393.65</v>
      </c>
      <c r="D35" s="455">
        <v>1467</v>
      </c>
      <c r="E35" s="455">
        <f>SUM(C35:D35)</f>
        <v>3860.65</v>
      </c>
      <c r="F35" s="455"/>
      <c r="G35" s="455"/>
      <c r="H35" s="455"/>
      <c r="I35" s="455"/>
      <c r="J35" s="455"/>
      <c r="K35" s="455"/>
    </row>
    <row r="36" spans="2:11" ht="15.75" customHeight="1" x14ac:dyDescent="0.3"/>
    <row r="37" spans="2:11" ht="15.75" customHeight="1" x14ac:dyDescent="0.3"/>
    <row r="38" spans="2:11" ht="15.75" customHeight="1" x14ac:dyDescent="0.3"/>
    <row r="39" spans="2:11" ht="15.75" customHeight="1" x14ac:dyDescent="0.3"/>
    <row r="40" spans="2:11" ht="15.75" customHeight="1" x14ac:dyDescent="0.3"/>
    <row r="41" spans="2:11" ht="15.75" customHeight="1" x14ac:dyDescent="0.3"/>
    <row r="42" spans="2:11" ht="15.75" customHeight="1" x14ac:dyDescent="0.3"/>
    <row r="43" spans="2:11" ht="15.75" customHeight="1" x14ac:dyDescent="0.3"/>
    <row r="44" spans="2:11" ht="15.75" customHeight="1" x14ac:dyDescent="0.3"/>
    <row r="45" spans="2:11" ht="15.75" customHeight="1" x14ac:dyDescent="0.3"/>
    <row r="46" spans="2:11" ht="15.75" customHeight="1" x14ac:dyDescent="0.3"/>
    <row r="47" spans="2:11" ht="15.75" customHeight="1" x14ac:dyDescent="0.3"/>
    <row r="48" spans="2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1:E1"/>
    <mergeCell ref="F1:G1"/>
    <mergeCell ref="H1:I1"/>
    <mergeCell ref="J1:K1"/>
    <mergeCell ref="O1:P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2.109375" customWidth="1"/>
    <col min="6" max="6" width="14.6640625" customWidth="1"/>
    <col min="7" max="7" width="3.5546875" customWidth="1"/>
    <col min="8" max="8" width="5.44140625" customWidth="1"/>
    <col min="9" max="9" width="20.5546875" customWidth="1"/>
    <col min="10" max="10" width="9.109375" customWidth="1"/>
    <col min="11" max="11" width="18.44140625" customWidth="1"/>
    <col min="12" max="12" width="20.5546875" customWidth="1"/>
    <col min="13" max="13" width="5.10937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Retirement'!E8+'Combined Retirement'!G8</f>
        <v>3175647.3008602802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31"/>
    </row>
    <row r="2" spans="1:14" ht="11.25" customHeight="1" x14ac:dyDescent="0.3">
      <c r="A2" s="459" t="s">
        <v>658</v>
      </c>
      <c r="B2" s="460">
        <v>0.05</v>
      </c>
      <c r="C2" s="446" t="s">
        <v>659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31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31"/>
    </row>
    <row r="4" spans="1:14" ht="11.25" customHeight="1" x14ac:dyDescent="0.3">
      <c r="A4" s="459" t="s">
        <v>660</v>
      </c>
      <c r="B4" s="451">
        <f ca="1">(SUMIFS(H:H,I:I,"&gt;0",L:L,"&lt;0"))/12</f>
        <v>38.083333333333336</v>
      </c>
      <c r="C4" s="463">
        <f ca="1">(SUMIFS(H:H,I:I,"&gt;0",L:L,"&lt;0"))</f>
        <v>457</v>
      </c>
      <c r="D4" s="456">
        <f t="array" aca="1" ref="D4" ca="1">INDEX(N:N,MATCH(C4,H:H,0),0)</f>
        <v>65167</v>
      </c>
      <c r="E4" s="446"/>
      <c r="F4" s="446"/>
      <c r="G4" s="459"/>
      <c r="H4" s="459"/>
      <c r="I4" s="446"/>
      <c r="J4" s="431"/>
      <c r="K4" s="431"/>
      <c r="L4" s="431"/>
      <c r="M4" s="462"/>
      <c r="N4" s="431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31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31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31" t="s">
        <v>592</v>
      </c>
    </row>
    <row r="8" spans="1:14" ht="11.25" customHeight="1" x14ac:dyDescent="0.3">
      <c r="A8" s="459">
        <v>1</v>
      </c>
      <c r="B8" s="447">
        <f ca="1">B1</f>
        <v>3175647.3008602802</v>
      </c>
      <c r="C8" s="447">
        <f t="shared" ref="C8:C136" si="0">SUMIF(G:G,A8,J:J)</f>
        <v>398963.19893278764</v>
      </c>
      <c r="D8" s="447">
        <f ca="1">SUMIF(G:G,1,K:K)</f>
        <v>151500.07679689451</v>
      </c>
      <c r="E8" s="447">
        <f t="shared" ref="E8:E136" ca="1" si="1">B8-C8+D8</f>
        <v>2928184.1787243872</v>
      </c>
      <c r="F8" s="431"/>
      <c r="G8" s="459">
        <v>1</v>
      </c>
      <c r="H8" s="459">
        <v>1</v>
      </c>
      <c r="I8" s="444">
        <f ca="1">B1</f>
        <v>3175647.3008602802</v>
      </c>
      <c r="J8" s="444">
        <f t="array" ref="J8">IFERROR(INDEX('Retirement Calculator'!J:J,MATCH('Isaac 401k'!N8,'Retirement Calculator'!A:A,0),0),0)</f>
        <v>33246.93324439897</v>
      </c>
      <c r="K8" s="444">
        <f t="shared" ref="K8:K262" ca="1" si="2">IPMT(M8/12,1,12,-I8+J8,,0)</f>
        <v>13093.334865066172</v>
      </c>
      <c r="L8" s="444">
        <f t="shared" ref="L8:L262" ca="1" si="3">I8-J8+K8</f>
        <v>3155493.7024809476</v>
      </c>
      <c r="M8" s="460">
        <f>B2</f>
        <v>0.05</v>
      </c>
      <c r="N8" s="464">
        <f>'Retirement Calculator'!D6</f>
        <v>51288</v>
      </c>
    </row>
    <row r="9" spans="1:14" ht="11.25" customHeight="1" x14ac:dyDescent="0.3">
      <c r="A9" s="459">
        <v>2</v>
      </c>
      <c r="B9" s="447">
        <f t="shared" ref="B9:B136" ca="1" si="4">E8</f>
        <v>2928184.1787243872</v>
      </c>
      <c r="C9" s="447">
        <f t="shared" si="0"/>
        <v>398963.19893278764</v>
      </c>
      <c r="D9" s="447">
        <f ca="1">SUMIF(G:G,2,K:K)</f>
        <v>138839.39381268318</v>
      </c>
      <c r="E9" s="447">
        <f t="shared" ca="1" si="1"/>
        <v>2668060.3736042827</v>
      </c>
      <c r="F9" s="431"/>
      <c r="G9" s="459">
        <v>1</v>
      </c>
      <c r="H9" s="459">
        <v>2</v>
      </c>
      <c r="I9" s="444">
        <f t="shared" ref="I9:I263" ca="1" si="5">L8</f>
        <v>3155493.7024809476</v>
      </c>
      <c r="J9" s="444">
        <f t="array" ref="J9">IFERROR(INDEX('Retirement Calculator'!J:J,MATCH('Isaac 401k'!N9,'Retirement Calculator'!A:A,0),0),0)</f>
        <v>33246.93324439897</v>
      </c>
      <c r="K9" s="444">
        <f t="shared" ca="1" si="2"/>
        <v>13009.36153848562</v>
      </c>
      <c r="L9" s="444">
        <f t="shared" ca="1" si="3"/>
        <v>3135256.1307750344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2668060.3736042827</v>
      </c>
      <c r="C10" s="447">
        <f t="shared" si="0"/>
        <v>398963.19893278764</v>
      </c>
      <c r="D10" s="447">
        <f ca="1">SUMIF(G:G,3,K:K)</f>
        <v>125530.96625852058</v>
      </c>
      <c r="E10" s="447">
        <f t="shared" ca="1" si="1"/>
        <v>2394628.1409300161</v>
      </c>
      <c r="F10" s="431"/>
      <c r="G10" s="459">
        <v>1</v>
      </c>
      <c r="H10" s="459">
        <v>3</v>
      </c>
      <c r="I10" s="444">
        <f t="shared" ca="1" si="5"/>
        <v>3135256.1307750344</v>
      </c>
      <c r="J10" s="444">
        <f t="array" ref="J10">IFERROR(INDEX('Retirement Calculator'!J:J,MATCH('Isaac 401k'!N10,'Retirement Calculator'!A:A,0),0),0)</f>
        <v>33246.93324439897</v>
      </c>
      <c r="K10" s="444">
        <f t="shared" ca="1" si="2"/>
        <v>12925.038323044315</v>
      </c>
      <c r="L10" s="444">
        <f t="shared" ca="1" si="3"/>
        <v>3114934.2358536799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2394628.1409300161</v>
      </c>
      <c r="C11" s="447">
        <f t="shared" si="0"/>
        <v>394307.19893278764</v>
      </c>
      <c r="D11" s="447">
        <f ca="1">SUMIF(G:G,4,K:K)</f>
        <v>111610.02779026097</v>
      </c>
      <c r="E11" s="447">
        <f t="shared" ca="1" si="1"/>
        <v>2111930.9697874896</v>
      </c>
      <c r="F11" s="431"/>
      <c r="G11" s="459">
        <v>1</v>
      </c>
      <c r="H11" s="459">
        <v>4</v>
      </c>
      <c r="I11" s="444">
        <f t="shared" ca="1" si="5"/>
        <v>3114934.2358536799</v>
      </c>
      <c r="J11" s="444">
        <f t="array" ref="J11">IFERROR(INDEX('Retirement Calculator'!J:J,MATCH('Isaac 401k'!N11,'Retirement Calculator'!A:A,0),0),0)</f>
        <v>33246.93324439897</v>
      </c>
      <c r="K11" s="444">
        <f t="shared" ca="1" si="2"/>
        <v>12840.363760872006</v>
      </c>
      <c r="L11" s="444">
        <f t="shared" ca="1" si="3"/>
        <v>3094527.666370153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2111930.9697874896</v>
      </c>
      <c r="C12" s="447">
        <f t="shared" si="0"/>
        <v>389651.19893278764</v>
      </c>
      <c r="D12" s="447">
        <f ca="1">SUMIF(G:G,5,K:K)</f>
        <v>97334.42398566693</v>
      </c>
      <c r="E12" s="447">
        <f t="shared" ca="1" si="1"/>
        <v>1819614.1948403688</v>
      </c>
      <c r="F12" s="431"/>
      <c r="G12" s="459">
        <v>1</v>
      </c>
      <c r="H12" s="459">
        <v>5</v>
      </c>
      <c r="I12" s="444">
        <f t="shared" ca="1" si="5"/>
        <v>3094527.666370153</v>
      </c>
      <c r="J12" s="444">
        <f t="array" ref="J12">IFERROR(INDEX('Retirement Calculator'!J:J,MATCH('Isaac 401k'!N12,'Retirement Calculator'!A:A,0),0),0)</f>
        <v>33246.93324439897</v>
      </c>
      <c r="K12" s="444">
        <f t="shared" ca="1" si="2"/>
        <v>12755.336388023976</v>
      </c>
      <c r="L12" s="444">
        <f t="shared" ca="1" si="3"/>
        <v>3074036.0695137782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1819614.1948403688</v>
      </c>
      <c r="C13" s="447">
        <f t="shared" si="0"/>
        <v>272655.17935989378</v>
      </c>
      <c r="D13" s="447">
        <f ca="1">SUMIF(G:G,6,K:K)</f>
        <v>83849.543397054193</v>
      </c>
      <c r="E13" s="447">
        <f t="shared" ca="1" si="1"/>
        <v>1630808.5588775291</v>
      </c>
      <c r="F13" s="431"/>
      <c r="G13" s="459">
        <v>1</v>
      </c>
      <c r="H13" s="459">
        <v>6</v>
      </c>
      <c r="I13" s="444">
        <f t="shared" ca="1" si="5"/>
        <v>3074036.0695137782</v>
      </c>
      <c r="J13" s="444">
        <f t="array" ref="J13">IFERROR(INDEX('Retirement Calculator'!J:J,MATCH('Isaac 401k'!N13,'Retirement Calculator'!A:A,0),0),0)</f>
        <v>33246.93324439897</v>
      </c>
      <c r="K13" s="444">
        <f t="shared" ca="1" si="2"/>
        <v>12669.954734455747</v>
      </c>
      <c r="L13" s="444">
        <f t="shared" ca="1" si="3"/>
        <v>3053459.0910038352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1630808.5588775291</v>
      </c>
      <c r="C14" s="447">
        <f t="shared" si="0"/>
        <v>108860.75195784221</v>
      </c>
      <c r="D14" s="447">
        <f ca="1">SUMIF(G:G,7,K:K)</f>
        <v>80441.432522291841</v>
      </c>
      <c r="E14" s="447">
        <f t="shared" ca="1" si="1"/>
        <v>1602389.2394419787</v>
      </c>
      <c r="F14" s="431"/>
      <c r="G14" s="459">
        <v>1</v>
      </c>
      <c r="H14" s="459">
        <v>7</v>
      </c>
      <c r="I14" s="444">
        <f t="shared" ca="1" si="5"/>
        <v>3053459.0910038352</v>
      </c>
      <c r="J14" s="444">
        <f t="array" ref="J14">IFERROR(INDEX('Retirement Calculator'!J:J,MATCH('Isaac 401k'!N14,'Retirement Calculator'!A:A,0),0),0)</f>
        <v>33246.93324439897</v>
      </c>
      <c r="K14" s="444">
        <f t="shared" ca="1" si="2"/>
        <v>12584.217323997651</v>
      </c>
      <c r="L14" s="444">
        <f t="shared" ca="1" si="3"/>
        <v>3032796.3750834339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1602389.2394419787</v>
      </c>
      <c r="C15" s="447">
        <f t="shared" si="0"/>
        <v>108860.75195784221</v>
      </c>
      <c r="D15" s="447">
        <f ca="1">SUMIF(G:G,8,K:K)</f>
        <v>78987.446203461819</v>
      </c>
      <c r="E15" s="447">
        <f t="shared" ca="1" si="1"/>
        <v>1572515.9336875984</v>
      </c>
      <c r="F15" s="431"/>
      <c r="G15" s="459">
        <v>1</v>
      </c>
      <c r="H15" s="459">
        <v>8</v>
      </c>
      <c r="I15" s="444">
        <f t="shared" ca="1" si="5"/>
        <v>3032796.3750834339</v>
      </c>
      <c r="J15" s="444">
        <f t="array" ref="J15">IFERROR(INDEX('Retirement Calculator'!J:J,MATCH('Isaac 401k'!N15,'Retirement Calculator'!A:A,0),0),0)</f>
        <v>33246.93324439897</v>
      </c>
      <c r="K15" s="444">
        <f t="shared" ca="1" si="2"/>
        <v>12498.122674329314</v>
      </c>
      <c r="L15" s="444">
        <f t="shared" ca="1" si="3"/>
        <v>3012047.5645133643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1572515.9336875984</v>
      </c>
      <c r="C16" s="447">
        <f t="shared" si="0"/>
        <v>101423.65635784219</v>
      </c>
      <c r="D16" s="447">
        <f ca="1">SUMIF(G:G,9,K:K)</f>
        <v>77647.605271405788</v>
      </c>
      <c r="E16" s="447">
        <f t="shared" ca="1" si="1"/>
        <v>1548739.882601162</v>
      </c>
      <c r="F16" s="431"/>
      <c r="G16" s="459">
        <v>1</v>
      </c>
      <c r="H16" s="459">
        <v>9</v>
      </c>
      <c r="I16" s="444">
        <f t="shared" ca="1" si="5"/>
        <v>3012047.5645133643</v>
      </c>
      <c r="J16" s="444">
        <f t="array" ref="J16">IFERROR(INDEX('Retirement Calculator'!J:J,MATCH('Isaac 401k'!N16,'Retirement Calculator'!A:A,0),0),0)</f>
        <v>33246.93324439897</v>
      </c>
      <c r="K16" s="444">
        <f t="shared" ca="1" si="2"/>
        <v>12411.669296954024</v>
      </c>
      <c r="L16" s="444">
        <f t="shared" ca="1" si="3"/>
        <v>2991212.3005659194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1548739.882601162</v>
      </c>
      <c r="C17" s="447">
        <f t="shared" si="0"/>
        <v>100747.55675784221</v>
      </c>
      <c r="D17" s="447">
        <f ca="1">SUMIF(G:G,10,K:K)</f>
        <v>76465.76791238373</v>
      </c>
      <c r="E17" s="447">
        <f t="shared" ca="1" si="1"/>
        <v>1524458.0937557034</v>
      </c>
      <c r="F17" s="431"/>
      <c r="G17" s="459">
        <v>1</v>
      </c>
      <c r="H17" s="459">
        <v>10</v>
      </c>
      <c r="I17" s="444">
        <f t="shared" ca="1" si="5"/>
        <v>2991212.3005659194</v>
      </c>
      <c r="J17" s="444">
        <f t="array" ref="J17">IFERROR(INDEX('Retirement Calculator'!J:J,MATCH('Isaac 401k'!N17,'Retirement Calculator'!A:A,0),0),0)</f>
        <v>33246.93324439897</v>
      </c>
      <c r="K17" s="444">
        <f t="shared" ca="1" si="2"/>
        <v>12324.855697173003</v>
      </c>
      <c r="L17" s="444">
        <f t="shared" ca="1" si="3"/>
        <v>2970290.2230186937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1524458.0937557034</v>
      </c>
      <c r="C18" s="447">
        <f t="shared" si="0"/>
        <v>100747.55675784221</v>
      </c>
      <c r="D18" s="447">
        <f ca="1">SUMIF(G:G,11,K:K)</f>
        <v>75223.465511086601</v>
      </c>
      <c r="E18" s="447">
        <f t="shared" ca="1" si="1"/>
        <v>1498934.0025089479</v>
      </c>
      <c r="F18" s="431"/>
      <c r="G18" s="459">
        <v>1</v>
      </c>
      <c r="H18" s="459">
        <v>11</v>
      </c>
      <c r="I18" s="444">
        <f t="shared" ca="1" si="5"/>
        <v>2970290.2230186937</v>
      </c>
      <c r="J18" s="444">
        <f t="array" ref="J18">IFERROR(INDEX('Retirement Calculator'!J:J,MATCH('Isaac 401k'!N18,'Retirement Calculator'!A:A,0),0),0)</f>
        <v>33246.93324439897</v>
      </c>
      <c r="K18" s="444">
        <f t="shared" ca="1" si="2"/>
        <v>12237.680374059562</v>
      </c>
      <c r="L18" s="444">
        <f t="shared" ca="1" si="3"/>
        <v>2949280.9701483543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1498934.0025089479</v>
      </c>
      <c r="C19" s="447">
        <f t="shared" si="0"/>
        <v>100747.55675784221</v>
      </c>
      <c r="D19" s="447">
        <f ca="1">SUMIF(G:G,12,K:K)</f>
        <v>73917.604561196073</v>
      </c>
      <c r="E19" s="447">
        <f t="shared" ca="1" si="1"/>
        <v>1472104.0503123018</v>
      </c>
      <c r="F19" s="431"/>
      <c r="G19" s="459">
        <v>1</v>
      </c>
      <c r="H19" s="459">
        <v>12</v>
      </c>
      <c r="I19" s="444">
        <f t="shared" ca="1" si="5"/>
        <v>2949280.9701483543</v>
      </c>
      <c r="J19" s="444">
        <f t="array" ref="J19">IFERROR(INDEX('Retirement Calculator'!J:J,MATCH('Isaac 401k'!N19,'Retirement Calculator'!A:A,0),0),0)</f>
        <v>33246.93324439897</v>
      </c>
      <c r="K19" s="444">
        <f t="shared" ca="1" si="2"/>
        <v>12150.141820433148</v>
      </c>
      <c r="L19" s="444">
        <f t="shared" ca="1" si="3"/>
        <v>2928184.1787243886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1472104.0503123018</v>
      </c>
      <c r="C20" s="447">
        <f t="shared" si="0"/>
        <v>100747.55675784221</v>
      </c>
      <c r="D20" s="447">
        <f ca="1">SUMIF(G:G,13,K:K)</f>
        <v>72544.933286739484</v>
      </c>
      <c r="E20" s="447">
        <f t="shared" ca="1" si="1"/>
        <v>1443901.4268411992</v>
      </c>
      <c r="F20" s="431"/>
      <c r="G20" s="459">
        <v>2</v>
      </c>
      <c r="H20" s="459">
        <v>13</v>
      </c>
      <c r="I20" s="444">
        <f t="shared" ca="1" si="5"/>
        <v>2928184.1787243886</v>
      </c>
      <c r="J20" s="444">
        <f t="array" ref="J20">IFERROR(INDEX('Retirement Calculator'!J:J,MATCH('Isaac 401k'!N20,'Retirement Calculator'!A:A,0),0),0)</f>
        <v>33246.93324439897</v>
      </c>
      <c r="K20" s="444">
        <f t="shared" ca="1" si="2"/>
        <v>12062.238522833291</v>
      </c>
      <c r="L20" s="444">
        <f t="shared" ca="1" si="3"/>
        <v>2906999.484002823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1443901.4268411992</v>
      </c>
      <c r="C21" s="447">
        <f t="shared" si="0"/>
        <v>100747.55675784221</v>
      </c>
      <c r="D21" s="447">
        <f ca="1">SUMIF(G:G,14,K:K)</f>
        <v>71102.033544713951</v>
      </c>
      <c r="E21" s="447">
        <f t="shared" ca="1" si="1"/>
        <v>1414255.9036280708</v>
      </c>
      <c r="F21" s="431"/>
      <c r="G21" s="459">
        <v>2</v>
      </c>
      <c r="H21" s="459">
        <v>14</v>
      </c>
      <c r="I21" s="444">
        <f t="shared" ca="1" si="5"/>
        <v>2906999.484002823</v>
      </c>
      <c r="J21" s="444">
        <f t="array" ref="J21">IFERROR(INDEX('Retirement Calculator'!J:J,MATCH('Isaac 401k'!N21,'Retirement Calculator'!A:A,0),0),0)</f>
        <v>33246.93324439897</v>
      </c>
      <c r="K21" s="444">
        <f t="shared" ca="1" si="2"/>
        <v>11973.968961493434</v>
      </c>
      <c r="L21" s="444">
        <f t="shared" ca="1" si="3"/>
        <v>2885726.5197199178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1414255.9036280708</v>
      </c>
      <c r="C22" s="447">
        <f t="shared" si="0"/>
        <v>100747.55675784221</v>
      </c>
      <c r="D22" s="447">
        <f ca="1">SUMIF(G:G,15,K:K)</f>
        <v>69585.312313433344</v>
      </c>
      <c r="E22" s="447">
        <f t="shared" ca="1" si="1"/>
        <v>1383093.6591836619</v>
      </c>
      <c r="F22" s="431"/>
      <c r="G22" s="459">
        <v>2</v>
      </c>
      <c r="H22" s="459">
        <v>15</v>
      </c>
      <c r="I22" s="444">
        <f t="shared" ca="1" si="5"/>
        <v>2885726.5197199178</v>
      </c>
      <c r="J22" s="444">
        <f t="array" ref="J22">IFERROR(INDEX('Retirement Calculator'!J:J,MATCH('Isaac 401k'!N22,'Retirement Calculator'!A:A,0),0),0)</f>
        <v>33246.93324439897</v>
      </c>
      <c r="K22" s="444">
        <f t="shared" ca="1" si="2"/>
        <v>11885.331610314663</v>
      </c>
      <c r="L22" s="444">
        <f t="shared" ca="1" si="3"/>
        <v>2864364.9180858335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1383093.6591836619</v>
      </c>
      <c r="C23" s="447">
        <f t="shared" si="0"/>
        <v>100747.55675784221</v>
      </c>
      <c r="D23" s="447">
        <f ca="1">SUMIF(G:G,16,K:K)</f>
        <v>67990.992745402895</v>
      </c>
      <c r="E23" s="447">
        <f t="shared" ca="1" si="1"/>
        <v>1350337.0951712227</v>
      </c>
      <c r="F23" s="431"/>
      <c r="G23" s="459">
        <v>2</v>
      </c>
      <c r="H23" s="459">
        <v>16</v>
      </c>
      <c r="I23" s="444">
        <f t="shared" ca="1" si="5"/>
        <v>2864364.9180858335</v>
      </c>
      <c r="J23" s="444">
        <f t="array" ref="J23">IFERROR(INDEX('Retirement Calculator'!J:J,MATCH('Isaac 401k'!N23,'Retirement Calculator'!A:A,0),0),0)</f>
        <v>33246.93324439897</v>
      </c>
      <c r="K23" s="444">
        <f t="shared" ca="1" si="2"/>
        <v>11796.324936839312</v>
      </c>
      <c r="L23" s="444">
        <f t="shared" ca="1" si="3"/>
        <v>2842914.309778274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1350337.0951712227</v>
      </c>
      <c r="C24" s="447">
        <f t="shared" si="0"/>
        <v>100747.55675784221</v>
      </c>
      <c r="D24" s="447">
        <f ca="1">SUMIF(G:G,17,K:K)</f>
        <v>66315.104762442032</v>
      </c>
      <c r="E24" s="447">
        <f t="shared" ca="1" si="1"/>
        <v>1315904.6431758224</v>
      </c>
      <c r="F24" s="431"/>
      <c r="G24" s="459">
        <v>2</v>
      </c>
      <c r="H24" s="459">
        <v>17</v>
      </c>
      <c r="I24" s="444">
        <f t="shared" ca="1" si="5"/>
        <v>2842914.309778274</v>
      </c>
      <c r="J24" s="444">
        <f t="array" ref="J24">IFERROR(INDEX('Retirement Calculator'!J:J,MATCH('Isaac 401k'!N24,'Retirement Calculator'!A:A,0),0),0)</f>
        <v>33246.93324439897</v>
      </c>
      <c r="K24" s="444">
        <f t="shared" ca="1" si="2"/>
        <v>11706.947402224479</v>
      </c>
      <c r="L24" s="444">
        <f t="shared" ca="1" si="3"/>
        <v>2821374.3239360997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1315904.6431758224</v>
      </c>
      <c r="C25" s="447">
        <f t="shared" si="0"/>
        <v>100747.55675784221</v>
      </c>
      <c r="D25" s="447">
        <f ca="1">SUMIF(G:G,18,K:K)</f>
        <v>64553.475169635698</v>
      </c>
      <c r="E25" s="447">
        <f t="shared" ca="1" si="1"/>
        <v>1279710.5615876159</v>
      </c>
      <c r="F25" s="431"/>
      <c r="G25" s="459">
        <v>2</v>
      </c>
      <c r="H25" s="459">
        <v>18</v>
      </c>
      <c r="I25" s="444">
        <f t="shared" ca="1" si="5"/>
        <v>2821374.3239360997</v>
      </c>
      <c r="J25" s="444">
        <f t="array" ref="J25">IFERROR(INDEX('Retirement Calculator'!J:J,MATCH('Isaac 401k'!N25,'Retirement Calculator'!A:A,0),0),0)</f>
        <v>33246.93324439897</v>
      </c>
      <c r="K25" s="444">
        <f t="shared" ca="1" si="2"/>
        <v>11617.197461215421</v>
      </c>
      <c r="L25" s="444">
        <f t="shared" ca="1" si="3"/>
        <v>2799744.5881529162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1279710.5615876159</v>
      </c>
      <c r="C26" s="447">
        <f t="shared" si="0"/>
        <v>100747.55675784221</v>
      </c>
      <c r="D26" s="447">
        <f ca="1">SUMIF(G:G,19,K:K)</f>
        <v>62701.717263496743</v>
      </c>
      <c r="E26" s="447">
        <f t="shared" ca="1" si="1"/>
        <v>1241664.7220932704</v>
      </c>
      <c r="F26" s="431"/>
      <c r="G26" s="459">
        <v>2</v>
      </c>
      <c r="H26" s="459">
        <v>19</v>
      </c>
      <c r="I26" s="444">
        <f t="shared" ca="1" si="5"/>
        <v>2799744.5881529162</v>
      </c>
      <c r="J26" s="444">
        <f t="array" ref="J26">IFERROR(INDEX('Retirement Calculator'!J:J,MATCH('Isaac 401k'!N26,'Retirement Calculator'!A:A,0),0),0)</f>
        <v>33246.93324439897</v>
      </c>
      <c r="K26" s="444">
        <f t="shared" ca="1" si="2"/>
        <v>11527.073562118821</v>
      </c>
      <c r="L26" s="444">
        <f t="shared" ca="1" si="3"/>
        <v>2778024.7284706361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1241664.7220932704</v>
      </c>
      <c r="C27" s="447">
        <f t="shared" si="0"/>
        <v>100747.55675784221</v>
      </c>
      <c r="D27" s="447">
        <f ca="1">SUMIF(G:G,20,K:K)</f>
        <v>60755.219908462226</v>
      </c>
      <c r="E27" s="447">
        <f t="shared" ca="1" si="1"/>
        <v>1201672.3852438903</v>
      </c>
      <c r="F27" s="431"/>
      <c r="G27" s="459">
        <v>2</v>
      </c>
      <c r="H27" s="459">
        <v>20</v>
      </c>
      <c r="I27" s="444">
        <f t="shared" ca="1" si="5"/>
        <v>2778024.7284706361</v>
      </c>
      <c r="J27" s="444">
        <f t="array" ref="J27">IFERROR(INDEX('Retirement Calculator'!J:J,MATCH('Isaac 401k'!N27,'Retirement Calculator'!A:A,0),0),0)</f>
        <v>33246.93324439897</v>
      </c>
      <c r="K27" s="444">
        <f t="shared" ca="1" si="2"/>
        <v>11436.574146775989</v>
      </c>
      <c r="L27" s="444">
        <f t="shared" ca="1" si="3"/>
        <v>2756214.3693730133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1201672.3852438903</v>
      </c>
      <c r="C28" s="447">
        <f t="shared" si="0"/>
        <v>100747.55675784221</v>
      </c>
      <c r="D28" s="447">
        <f ca="1">SUMIF(G:G,21,K:K)</f>
        <v>58709.13605452238</v>
      </c>
      <c r="E28" s="447">
        <f t="shared" ca="1" si="1"/>
        <v>1159633.9645405705</v>
      </c>
      <c r="F28" s="431"/>
      <c r="G28" s="459">
        <v>2</v>
      </c>
      <c r="H28" s="459">
        <v>21</v>
      </c>
      <c r="I28" s="444">
        <f t="shared" ca="1" si="5"/>
        <v>2756214.3693730133</v>
      </c>
      <c r="J28" s="444">
        <f t="array" ref="J28">IFERROR(INDEX('Retirement Calculator'!J:J,MATCH('Isaac 401k'!N28,'Retirement Calculator'!A:A,0),0),0)</f>
        <v>33246.93324439897</v>
      </c>
      <c r="K28" s="444">
        <f t="shared" ca="1" si="2"/>
        <v>11345.697650535894</v>
      </c>
      <c r="L28" s="444">
        <f t="shared" ca="1" si="3"/>
        <v>2734313.1337791504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1159633.9645405705</v>
      </c>
      <c r="C29" s="447">
        <f t="shared" si="0"/>
        <v>100747.55675784221</v>
      </c>
      <c r="D29" s="447">
        <f ca="1">SUMIF(G:G,22,K:K)</f>
        <v>56558.370667389783</v>
      </c>
      <c r="E29" s="447">
        <f t="shared" ca="1" si="1"/>
        <v>1115444.7784501181</v>
      </c>
      <c r="F29" s="431"/>
      <c r="G29" s="459">
        <v>2</v>
      </c>
      <c r="H29" s="459">
        <v>22</v>
      </c>
      <c r="I29" s="444">
        <f t="shared" ca="1" si="5"/>
        <v>2734313.1337791504</v>
      </c>
      <c r="J29" s="444">
        <f t="array" ref="J29">IFERROR(INDEX('Retirement Calculator'!J:J,MATCH('Isaac 401k'!N29,'Retirement Calculator'!A:A,0),0),0)</f>
        <v>33246.93324439897</v>
      </c>
      <c r="K29" s="444">
        <f t="shared" ca="1" si="2"/>
        <v>11254.442502228132</v>
      </c>
      <c r="L29" s="444">
        <f t="shared" ca="1" si="3"/>
        <v>2712320.6430369797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1115444.7784501181</v>
      </c>
      <c r="C30" s="447">
        <f t="shared" si="0"/>
        <v>100747.55675784221</v>
      </c>
      <c r="D30" s="447">
        <f ca="1">SUMIF(G:G,23,K:K)</f>
        <v>54297.56804115315</v>
      </c>
      <c r="E30" s="447">
        <f t="shared" ca="1" si="1"/>
        <v>1068994.7897334292</v>
      </c>
      <c r="F30" s="431"/>
      <c r="G30" s="459">
        <v>2</v>
      </c>
      <c r="H30" s="459">
        <v>23</v>
      </c>
      <c r="I30" s="444">
        <f t="shared" ca="1" si="5"/>
        <v>2712320.6430369797</v>
      </c>
      <c r="J30" s="444">
        <f t="array" ref="J30">IFERROR(INDEX('Retirement Calculator'!J:J,MATCH('Isaac 401k'!N30,'Retirement Calculator'!A:A,0),0),0)</f>
        <v>33246.93324439897</v>
      </c>
      <c r="K30" s="444">
        <f t="shared" ca="1" si="2"/>
        <v>11162.807124135754</v>
      </c>
      <c r="L30" s="444">
        <f t="shared" ca="1" si="3"/>
        <v>2690236.5169167165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1068994.7897334292</v>
      </c>
      <c r="C31" s="447">
        <f t="shared" si="0"/>
        <v>100747.55675784221</v>
      </c>
      <c r="D31" s="447">
        <f ca="1">SUMIF(G:G,24,K:K)</f>
        <v>51921.098461822265</v>
      </c>
      <c r="E31" s="447">
        <f t="shared" ca="1" si="1"/>
        <v>1020168.3314374093</v>
      </c>
      <c r="F31" s="431"/>
      <c r="G31" s="459">
        <v>2</v>
      </c>
      <c r="H31" s="459">
        <v>24</v>
      </c>
      <c r="I31" s="444">
        <f t="shared" ca="1" si="5"/>
        <v>2690236.5169167165</v>
      </c>
      <c r="J31" s="444">
        <f t="array" ref="J31">IFERROR(INDEX('Retirement Calculator'!J:J,MATCH('Isaac 401k'!N31,'Retirement Calculator'!A:A,0),0),0)</f>
        <v>33246.93324439897</v>
      </c>
      <c r="K31" s="444">
        <f t="shared" ca="1" si="2"/>
        <v>11070.789931967991</v>
      </c>
      <c r="L31" s="444">
        <f t="shared" ca="1" si="3"/>
        <v>2668060.3736042855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1020168.3314374093</v>
      </c>
      <c r="C32" s="447">
        <f t="shared" si="0"/>
        <v>100747.55675784221</v>
      </c>
      <c r="D32" s="447">
        <f ca="1">SUMIF(G:G,25,K:K)</f>
        <v>49423.044188554588</v>
      </c>
      <c r="E32" s="447">
        <f t="shared" ca="1" si="1"/>
        <v>968843.81886812171</v>
      </c>
      <c r="F32" s="431"/>
      <c r="G32" s="459">
        <v>3</v>
      </c>
      <c r="H32" s="459">
        <v>25</v>
      </c>
      <c r="I32" s="444">
        <f t="shared" ca="1" si="5"/>
        <v>2668060.3736042855</v>
      </c>
      <c r="J32" s="444">
        <f t="array" ref="J32">IFERROR(INDEX('Retirement Calculator'!J:J,MATCH('Isaac 401k'!N32,'Retirement Calculator'!A:A,0),0),0)</f>
        <v>33246.93324439897</v>
      </c>
      <c r="K32" s="444">
        <f t="shared" ca="1" si="2"/>
        <v>10978.389334832862</v>
      </c>
      <c r="L32" s="444">
        <f t="shared" ca="1" si="3"/>
        <v>2645791.8296947195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968843.81886812171</v>
      </c>
      <c r="C33" s="447">
        <f t="shared" si="0"/>
        <v>100747.55675784221</v>
      </c>
      <c r="D33" s="447">
        <f ca="1">SUMIF(G:G,26,K:K)</f>
        <v>46797.184717654964</v>
      </c>
      <c r="E33" s="447">
        <f t="shared" ca="1" si="1"/>
        <v>914893.44682793447</v>
      </c>
      <c r="F33" s="431"/>
      <c r="G33" s="459">
        <v>3</v>
      </c>
      <c r="H33" s="459">
        <v>26</v>
      </c>
      <c r="I33" s="444">
        <f t="shared" ca="1" si="5"/>
        <v>2645791.8296947195</v>
      </c>
      <c r="J33" s="444">
        <f t="array" ref="J33">IFERROR(INDEX('Retirement Calculator'!J:J,MATCH('Isaac 401k'!N33,'Retirement Calculator'!A:A,0),0),0)</f>
        <v>33246.93324439897</v>
      </c>
      <c r="K33" s="444">
        <f t="shared" ca="1" si="2"/>
        <v>10885.60373520967</v>
      </c>
      <c r="L33" s="444">
        <f t="shared" ca="1" si="3"/>
        <v>2623430.5001855302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914893.44682793447</v>
      </c>
      <c r="C34" s="447">
        <f t="shared" si="0"/>
        <v>100747.55675784221</v>
      </c>
      <c r="D34" s="447">
        <f ca="1">SUMIF(G:G,27,K:K)</f>
        <v>44036.981292653385</v>
      </c>
      <c r="E34" s="447">
        <f t="shared" ca="1" si="1"/>
        <v>858182.87136274565</v>
      </c>
      <c r="F34" s="431"/>
      <c r="G34" s="459">
        <v>3</v>
      </c>
      <c r="H34" s="459">
        <v>27</v>
      </c>
      <c r="I34" s="444">
        <f t="shared" ca="1" si="5"/>
        <v>2623430.5001855302</v>
      </c>
      <c r="J34" s="444">
        <f t="array" ref="J34">IFERROR(INDEX('Retirement Calculator'!J:J,MATCH('Isaac 401k'!N34,'Retirement Calculator'!A:A,0),0),0)</f>
        <v>33246.93324439897</v>
      </c>
      <c r="K34" s="444">
        <f t="shared" ca="1" si="2"/>
        <v>10792.431528921381</v>
      </c>
      <c r="L34" s="444">
        <f t="shared" ca="1" si="3"/>
        <v>2600975.9984700526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858182.87136274565</v>
      </c>
      <c r="C35" s="447">
        <f t="shared" si="0"/>
        <v>100747.55675784221</v>
      </c>
      <c r="D35" s="447">
        <f ca="1">SUMIF(G:G,28,K:K)</f>
        <v>41135.560621889061</v>
      </c>
      <c r="E35" s="447">
        <f t="shared" ca="1" si="1"/>
        <v>798570.87522679253</v>
      </c>
      <c r="F35" s="431"/>
      <c r="G35" s="459">
        <v>3</v>
      </c>
      <c r="H35" s="459">
        <v>28</v>
      </c>
      <c r="I35" s="444">
        <f t="shared" ca="1" si="5"/>
        <v>2600975.9984700526</v>
      </c>
      <c r="J35" s="444">
        <f t="array" ref="J35">IFERROR(INDEX('Retirement Calculator'!J:J,MATCH('Isaac 401k'!N35,'Retirement Calculator'!A:A,0),0),0)</f>
        <v>33246.93324439897</v>
      </c>
      <c r="K35" s="444">
        <f t="shared" ca="1" si="2"/>
        <v>10698.871105106891</v>
      </c>
      <c r="L35" s="444">
        <f t="shared" ca="1" si="3"/>
        <v>2578427.9363307608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798570.87522679253</v>
      </c>
      <c r="C36" s="447">
        <f t="shared" si="0"/>
        <v>100747.55675784221</v>
      </c>
      <c r="D36" s="447">
        <f ca="1">SUMIF(G:G,29,K:K)</f>
        <v>38085.697763055141</v>
      </c>
      <c r="E36" s="447">
        <f t="shared" ca="1" si="1"/>
        <v>735909.01623200544</v>
      </c>
      <c r="F36" s="431"/>
      <c r="G36" s="459">
        <v>3</v>
      </c>
      <c r="H36" s="459">
        <v>29</v>
      </c>
      <c r="I36" s="444">
        <f t="shared" ca="1" si="5"/>
        <v>2578427.9363307608</v>
      </c>
      <c r="J36" s="444">
        <f t="array" ref="J36">IFERROR(INDEX('Retirement Calculator'!J:J,MATCH('Isaac 401k'!N36,'Retirement Calculator'!A:A,0),0),0)</f>
        <v>33246.93324439897</v>
      </c>
      <c r="K36" s="444">
        <f t="shared" ca="1" si="2"/>
        <v>10604.920846193176</v>
      </c>
      <c r="L36" s="444">
        <f t="shared" ca="1" si="3"/>
        <v>2555785.9239325551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735909.01623200544</v>
      </c>
      <c r="C37" s="447">
        <f t="shared" si="0"/>
        <v>100747.55675784221</v>
      </c>
      <c r="D37" s="447">
        <f ca="1">SUMIF(G:G,30,K:K)</f>
        <v>34879.798132084288</v>
      </c>
      <c r="E37" s="447">
        <f t="shared" ca="1" si="1"/>
        <v>670041.25760624756</v>
      </c>
      <c r="F37" s="431"/>
      <c r="G37" s="459">
        <v>3</v>
      </c>
      <c r="H37" s="459">
        <v>30</v>
      </c>
      <c r="I37" s="444">
        <f t="shared" ca="1" si="5"/>
        <v>2555785.9239325551</v>
      </c>
      <c r="J37" s="444">
        <f t="array" ref="J37">IFERROR(INDEX('Retirement Calculator'!J:J,MATCH('Isaac 401k'!N37,'Retirement Calculator'!A:A,0),0),0)</f>
        <v>33246.93324439897</v>
      </c>
      <c r="K37" s="444">
        <f t="shared" ca="1" si="2"/>
        <v>10510.579127867319</v>
      </c>
      <c r="L37" s="444">
        <f t="shared" ca="1" si="3"/>
        <v>2533049.5698160236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670041.25760624756</v>
      </c>
      <c r="C38" s="447">
        <f t="shared" si="0"/>
        <v>100747.55675784221</v>
      </c>
      <c r="D38" s="447">
        <f ca="1">SUMIF(G:G,31,K:K)</f>
        <v>31509.878591574612</v>
      </c>
      <c r="E38" s="447">
        <f t="shared" ca="1" si="1"/>
        <v>600803.57943997998</v>
      </c>
      <c r="F38" s="431"/>
      <c r="G38" s="459">
        <v>3</v>
      </c>
      <c r="H38" s="459">
        <v>31</v>
      </c>
      <c r="I38" s="444">
        <f t="shared" ca="1" si="5"/>
        <v>2533049.5698160236</v>
      </c>
      <c r="J38" s="444">
        <f t="array" ref="J38">IFERROR(INDEX('Retirement Calculator'!J:J,MATCH('Isaac 401k'!N38,'Retirement Calculator'!A:A,0),0),0)</f>
        <v>33246.93324439897</v>
      </c>
      <c r="K38" s="444">
        <f t="shared" ca="1" si="2"/>
        <v>10415.844319048436</v>
      </c>
      <c r="L38" s="444">
        <f t="shared" ca="1" si="3"/>
        <v>2510218.4808906731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600803.57943997998</v>
      </c>
      <c r="C39" s="447">
        <f t="shared" si="0"/>
        <v>100747.55675784221</v>
      </c>
      <c r="D39" s="447">
        <f ca="1">SUMIF(G:G,32,K:K)</f>
        <v>27967.547571663712</v>
      </c>
      <c r="E39" s="447">
        <f t="shared" ca="1" si="1"/>
        <v>528023.57025380153</v>
      </c>
      <c r="F39" s="431"/>
      <c r="G39" s="459">
        <v>3</v>
      </c>
      <c r="H39" s="459">
        <v>32</v>
      </c>
      <c r="I39" s="444">
        <f t="shared" ca="1" si="5"/>
        <v>2510218.4808906731</v>
      </c>
      <c r="J39" s="444">
        <f t="array" ref="J39">IFERROR(INDEX('Retirement Calculator'!J:J,MATCH('Isaac 401k'!N39,'Retirement Calculator'!A:A,0),0),0)</f>
        <v>33246.93324439897</v>
      </c>
      <c r="K39" s="444">
        <f t="shared" ca="1" si="2"/>
        <v>10320.714781859477</v>
      </c>
      <c r="L39" s="444">
        <f t="shared" ca="1" si="3"/>
        <v>2487292.2624281337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528023.57025380153</v>
      </c>
      <c r="C40" s="447">
        <f t="shared" si="0"/>
        <v>100747.55675784221</v>
      </c>
      <c r="D40" s="447">
        <f ca="1">SUMIF(G:G,33,K:K)</f>
        <v>24243.984173848839</v>
      </c>
      <c r="E40" s="447">
        <f t="shared" ca="1" si="1"/>
        <v>451519.99766980816</v>
      </c>
      <c r="F40" s="431"/>
      <c r="G40" s="459">
        <v>3</v>
      </c>
      <c r="H40" s="459">
        <v>33</v>
      </c>
      <c r="I40" s="444">
        <f t="shared" ca="1" si="5"/>
        <v>2487292.2624281337</v>
      </c>
      <c r="J40" s="444">
        <f t="array" ref="J40">IFERROR(INDEX('Retirement Calculator'!J:J,MATCH('Isaac 401k'!N40,'Retirement Calculator'!A:A,0),0),0)</f>
        <v>33246.93324439897</v>
      </c>
      <c r="K40" s="444">
        <f t="shared" ca="1" si="2"/>
        <v>10225.188871598895</v>
      </c>
      <c r="L40" s="444">
        <f t="shared" ca="1" si="3"/>
        <v>2464270.5180553338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451519.99766980816</v>
      </c>
      <c r="C41" s="447">
        <f t="shared" si="0"/>
        <v>100747.55675784221</v>
      </c>
      <c r="D41" s="447">
        <f ca="1">SUMIF(G:G,34,K:K)</f>
        <v>20329.916205718811</v>
      </c>
      <c r="E41" s="447">
        <f t="shared" ca="1" si="1"/>
        <v>371102.35711768479</v>
      </c>
      <c r="F41" s="431"/>
      <c r="G41" s="459">
        <v>3</v>
      </c>
      <c r="H41" s="459">
        <v>34</v>
      </c>
      <c r="I41" s="444">
        <f t="shared" ca="1" si="5"/>
        <v>2464270.5180553338</v>
      </c>
      <c r="J41" s="444">
        <f t="array" ref="J41">IFERROR(INDEX('Retirement Calculator'!J:J,MATCH('Isaac 401k'!N41,'Retirement Calculator'!A:A,0),0),0)</f>
        <v>33246.93324439897</v>
      </c>
      <c r="K41" s="444">
        <f t="shared" ca="1" si="2"/>
        <v>10129.264936712229</v>
      </c>
      <c r="L41" s="444">
        <f t="shared" ca="1" si="3"/>
        <v>2441152.8497476471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371102.35711768479</v>
      </c>
      <c r="C42" s="447">
        <f t="shared" si="0"/>
        <v>100747.55675784221</v>
      </c>
      <c r="D42" s="447">
        <f ca="1">SUMIF(G:G,35,K:K)</f>
        <v>16215.597091901151</v>
      </c>
      <c r="E42" s="447">
        <f t="shared" ca="1" si="1"/>
        <v>286570.39745174377</v>
      </c>
      <c r="F42" s="431"/>
      <c r="G42" s="459">
        <v>3</v>
      </c>
      <c r="H42" s="459">
        <v>35</v>
      </c>
      <c r="I42" s="444">
        <f t="shared" ca="1" si="5"/>
        <v>2441152.8497476471</v>
      </c>
      <c r="J42" s="444">
        <f t="array" ref="J42">IFERROR(INDEX('Retirement Calculator'!J:J,MATCH('Isaac 401k'!N42,'Retirement Calculator'!A:A,0),0),0)</f>
        <v>33246.93324439897</v>
      </c>
      <c r="K42" s="444">
        <f t="shared" ca="1" si="2"/>
        <v>10032.941318763535</v>
      </c>
      <c r="L42" s="444">
        <f t="shared" ca="1" si="3"/>
        <v>2417938.8578220117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286570.39745174377</v>
      </c>
      <c r="C43" s="447">
        <f t="shared" si="0"/>
        <v>100747.55675784221</v>
      </c>
      <c r="D43" s="447">
        <f ca="1">SUMIF(G:G,36,K:K)</f>
        <v>11890.781603729485</v>
      </c>
      <c r="E43" s="447">
        <f t="shared" ca="1" si="1"/>
        <v>197713.62229763108</v>
      </c>
      <c r="F43" s="431"/>
      <c r="G43" s="459">
        <v>3</v>
      </c>
      <c r="H43" s="459">
        <v>36</v>
      </c>
      <c r="I43" s="444">
        <f t="shared" ca="1" si="5"/>
        <v>2417938.8578220117</v>
      </c>
      <c r="J43" s="444">
        <f t="array" ref="J43">IFERROR(INDEX('Retirement Calculator'!J:J,MATCH('Isaac 401k'!N43,'Retirement Calculator'!A:A,0),0),0)</f>
        <v>33246.93324439897</v>
      </c>
      <c r="K43" s="444">
        <f t="shared" ca="1" si="2"/>
        <v>9936.21635240672</v>
      </c>
      <c r="L43" s="444">
        <f t="shared" ca="1" si="3"/>
        <v>2394628.1409300198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197713.62229763108</v>
      </c>
      <c r="C44" s="447">
        <f t="shared" si="0"/>
        <v>100747.55675784221</v>
      </c>
      <c r="D44" s="447">
        <f ca="1">SUMIF(G:G,37,K:K)</f>
        <v>7344.7003471946482</v>
      </c>
      <c r="E44" s="447">
        <f t="shared" ca="1" si="1"/>
        <v>104310.76588698353</v>
      </c>
      <c r="F44" s="431"/>
      <c r="G44" s="459">
        <v>4</v>
      </c>
      <c r="H44" s="459">
        <v>37</v>
      </c>
      <c r="I44" s="444">
        <f t="shared" ca="1" si="5"/>
        <v>2394628.1409300198</v>
      </c>
      <c r="J44" s="444">
        <f t="array" ref="J44">IFERROR(INDEX('Retirement Calculator'!J:J,MATCH('Isaac 401k'!N44,'Retirement Calculator'!A:A,0),0),0)</f>
        <v>33246.93324439897</v>
      </c>
      <c r="K44" s="444">
        <f t="shared" ca="1" si="2"/>
        <v>9839.0883653567544</v>
      </c>
      <c r="L44" s="444">
        <f t="shared" ca="1" si="3"/>
        <v>2371220.2960509779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104310.76588698353</v>
      </c>
      <c r="C45" s="447">
        <f t="shared" si="0"/>
        <v>100747.55675784221</v>
      </c>
      <c r="D45" s="447">
        <f ca="1">SUMIF(G:G,38,K:K)</f>
        <v>2566.0329456509112</v>
      </c>
      <c r="E45" s="447">
        <f t="shared" ca="1" si="1"/>
        <v>6129.2420747922351</v>
      </c>
      <c r="F45" s="431"/>
      <c r="G45" s="459">
        <v>4</v>
      </c>
      <c r="H45" s="459">
        <v>38</v>
      </c>
      <c r="I45" s="444">
        <f t="shared" ca="1" si="5"/>
        <v>2371220.2960509779</v>
      </c>
      <c r="J45" s="444">
        <f t="array" ref="J45">IFERROR(INDEX('Retirement Calculator'!J:J,MATCH('Isaac 401k'!N45,'Retirement Calculator'!A:A,0),0),0)</f>
        <v>33246.93324439897</v>
      </c>
      <c r="K45" s="444">
        <f t="shared" ca="1" si="2"/>
        <v>9741.5556783607462</v>
      </c>
      <c r="L45" s="444">
        <f t="shared" ca="1" si="3"/>
        <v>2347714.9184849397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6129.2420747922351</v>
      </c>
      <c r="C46" s="447">
        <f t="shared" si="0"/>
        <v>100747.55675784221</v>
      </c>
      <c r="D46" s="447">
        <f ca="1">SUMIF(G:G,39,K:K)</f>
        <v>-2457.1201495013747</v>
      </c>
      <c r="E46" s="447">
        <f t="shared" ca="1" si="1"/>
        <v>-97075.434832551357</v>
      </c>
      <c r="F46" s="431"/>
      <c r="G46" s="459">
        <v>4</v>
      </c>
      <c r="H46" s="459">
        <v>39</v>
      </c>
      <c r="I46" s="444">
        <f t="shared" ca="1" si="5"/>
        <v>2347714.9184849397</v>
      </c>
      <c r="J46" s="444">
        <f t="array" ref="J46">IFERROR(INDEX('Retirement Calculator'!J:J,MATCH('Isaac 401k'!N46,'Retirement Calculator'!A:A,0),0),0)</f>
        <v>33246.93324439897</v>
      </c>
      <c r="K46" s="444">
        <f t="shared" ca="1" si="2"/>
        <v>9643.6166051689197</v>
      </c>
      <c r="L46" s="444">
        <f t="shared" ca="1" si="3"/>
        <v>2324111.6018457101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-97075.434832551357</v>
      </c>
      <c r="C47" s="447">
        <f t="shared" si="0"/>
        <v>100747.55675784221</v>
      </c>
      <c r="D47" s="447">
        <f ca="1">SUMIF(G:G,40,K:K)</f>
        <v>-7737.2672903521543</v>
      </c>
      <c r="E47" s="447">
        <f t="shared" ca="1" si="1"/>
        <v>-205560.25888074571</v>
      </c>
      <c r="F47" s="431"/>
      <c r="G47" s="459">
        <v>4</v>
      </c>
      <c r="H47" s="459">
        <v>40</v>
      </c>
      <c r="I47" s="444">
        <f t="shared" ca="1" si="5"/>
        <v>2324111.6018457101</v>
      </c>
      <c r="J47" s="444">
        <f t="array" ref="J47">IFERROR(INDEX('Retirement Calculator'!J:J,MATCH('Isaac 401k'!N47,'Retirement Calculator'!A:A,0),0),0)</f>
        <v>33246.93324439897</v>
      </c>
      <c r="K47" s="444">
        <f t="shared" ca="1" si="2"/>
        <v>9545.2694525054631</v>
      </c>
      <c r="L47" s="444">
        <f t="shared" ca="1" si="3"/>
        <v>2300409.9380538166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-205560.25888074571</v>
      </c>
      <c r="C48" s="447">
        <f t="shared" si="0"/>
        <v>100747.55675784221</v>
      </c>
      <c r="D48" s="447">
        <f ca="1">SUMIF(G:G,41,K:K)</f>
        <v>-13287.556780023669</v>
      </c>
      <c r="E48" s="447">
        <f t="shared" ca="1" si="1"/>
        <v>-319595.3724186116</v>
      </c>
      <c r="F48" s="431"/>
      <c r="G48" s="459">
        <v>4</v>
      </c>
      <c r="H48" s="459">
        <v>41</v>
      </c>
      <c r="I48" s="444">
        <f t="shared" ca="1" si="5"/>
        <v>2300409.9380538166</v>
      </c>
      <c r="J48" s="444">
        <f t="array" ref="J48">IFERROR(INDEX('Retirement Calculator'!J:J,MATCH('Isaac 401k'!N48,'Retirement Calculator'!A:A,0),0),0)</f>
        <v>33246.93324439897</v>
      </c>
      <c r="K48" s="444">
        <f t="shared" ca="1" si="2"/>
        <v>9446.5125200392413</v>
      </c>
      <c r="L48" s="444">
        <f t="shared" ca="1" si="3"/>
        <v>2276609.5173294572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-319595.3724186116</v>
      </c>
      <c r="C49" s="447">
        <f t="shared" si="0"/>
        <v>100747.55675784221</v>
      </c>
      <c r="D49" s="447">
        <f ca="1">SUMIF(G:G,42,K:K)</f>
        <v>-19121.809613779813</v>
      </c>
      <c r="E49" s="447">
        <f t="shared" ca="1" si="1"/>
        <v>-439464.73879023362</v>
      </c>
      <c r="F49" s="431"/>
      <c r="G49" s="459">
        <v>4</v>
      </c>
      <c r="H49" s="459">
        <v>42</v>
      </c>
      <c r="I49" s="444">
        <f t="shared" ca="1" si="5"/>
        <v>2276609.5173294572</v>
      </c>
      <c r="J49" s="444">
        <f t="array" ref="J49">IFERROR(INDEX('Retirement Calculator'!J:J,MATCH('Isaac 401k'!N49,'Retirement Calculator'!A:A,0),0),0)</f>
        <v>33246.93324439897</v>
      </c>
      <c r="K49" s="444">
        <f t="shared" ca="1" si="2"/>
        <v>9347.3441003544103</v>
      </c>
      <c r="L49" s="444">
        <f t="shared" ca="1" si="3"/>
        <v>2252709.9281854127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-439464.73879023362</v>
      </c>
      <c r="C50" s="447">
        <f t="shared" si="0"/>
        <v>100747.55675784221</v>
      </c>
      <c r="D50" s="447">
        <f ca="1">SUMIF(G:G,43,K:K)</f>
        <v>-25254.553895232792</v>
      </c>
      <c r="E50" s="447">
        <f t="shared" ca="1" si="1"/>
        <v>-565466.84944330854</v>
      </c>
      <c r="F50" s="431"/>
      <c r="G50" s="459">
        <v>4</v>
      </c>
      <c r="H50" s="459">
        <v>43</v>
      </c>
      <c r="I50" s="444">
        <f t="shared" ca="1" si="5"/>
        <v>2252709.9281854127</v>
      </c>
      <c r="J50" s="444">
        <f t="array" ref="J50">IFERROR(INDEX('Retirement Calculator'!J:J,MATCH('Isaac 401k'!N50,'Retirement Calculator'!A:A,0),0),0)</f>
        <v>32470.93324439897</v>
      </c>
      <c r="K50" s="444">
        <f t="shared" ca="1" si="2"/>
        <v>9250.9958122542248</v>
      </c>
      <c r="L50" s="444">
        <f t="shared" ca="1" si="3"/>
        <v>2229489.9907532679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-565466.84944330854</v>
      </c>
      <c r="C51" s="447">
        <f t="shared" si="0"/>
        <v>100747.55675784221</v>
      </c>
      <c r="D51" s="447">
        <f ca="1">SUMIF(G:G,44,K:K)</f>
        <v>-31701.061013348262</v>
      </c>
      <c r="E51" s="447">
        <f t="shared" ca="1" si="1"/>
        <v>-697915.46721449902</v>
      </c>
      <c r="F51" s="431"/>
      <c r="G51" s="459">
        <v>4</v>
      </c>
      <c r="H51" s="459">
        <v>44</v>
      </c>
      <c r="I51" s="444">
        <f t="shared" ca="1" si="5"/>
        <v>2229489.9907532679</v>
      </c>
      <c r="J51" s="444">
        <f t="array" ref="J51">IFERROR(INDEX('Retirement Calculator'!J:J,MATCH('Isaac 401k'!N51,'Retirement Calculator'!A:A,0),0),0)</f>
        <v>32470.93324439897</v>
      </c>
      <c r="K51" s="444">
        <f t="shared" ca="1" si="2"/>
        <v>9154.2460729536215</v>
      </c>
      <c r="L51" s="444">
        <f t="shared" ca="1" si="3"/>
        <v>2206173.3035818227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-697915.46721449902</v>
      </c>
      <c r="C52" s="447">
        <f t="shared" si="0"/>
        <v>100747.55675784221</v>
      </c>
      <c r="D52" s="447">
        <f ca="1">SUMIF(G:G,45,K:K)</f>
        <v>-38477.383670334624</v>
      </c>
      <c r="E52" s="447">
        <f t="shared" ca="1" si="1"/>
        <v>-837140.4076426758</v>
      </c>
      <c r="F52" s="431"/>
      <c r="G52" s="459">
        <v>4</v>
      </c>
      <c r="H52" s="459">
        <v>45</v>
      </c>
      <c r="I52" s="444">
        <f t="shared" ca="1" si="5"/>
        <v>2206173.3035818227</v>
      </c>
      <c r="J52" s="444">
        <f t="array" ref="J52">IFERROR(INDEX('Retirement Calculator'!J:J,MATCH('Isaac 401k'!N52,'Retirement Calculator'!A:A,0),0),0)</f>
        <v>32470.93324439897</v>
      </c>
      <c r="K52" s="444">
        <f t="shared" ca="1" si="2"/>
        <v>9057.0932097392651</v>
      </c>
      <c r="L52" s="444">
        <f t="shared" ca="1" si="3"/>
        <v>2182759.4635471632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-837140.4076426758</v>
      </c>
      <c r="C53" s="447">
        <f t="shared" si="0"/>
        <v>100747.55675784221</v>
      </c>
      <c r="D53" s="447">
        <f ca="1">SUMIF(G:G,46,K:K)</f>
        <v>-45600.39585511139</v>
      </c>
      <c r="E53" s="447">
        <f t="shared" ca="1" si="1"/>
        <v>-983488.36025562941</v>
      </c>
      <c r="F53" s="431"/>
      <c r="G53" s="459">
        <v>4</v>
      </c>
      <c r="H53" s="459">
        <v>46</v>
      </c>
      <c r="I53" s="444">
        <f t="shared" ca="1" si="5"/>
        <v>2182759.4635471632</v>
      </c>
      <c r="J53" s="444">
        <f t="array" ref="J53">IFERROR(INDEX('Retirement Calculator'!J:J,MATCH('Isaac 401k'!N53,'Retirement Calculator'!A:A,0),0),0)</f>
        <v>32470.93324439897</v>
      </c>
      <c r="K53" s="444">
        <f t="shared" ca="1" si="2"/>
        <v>8959.5355429281844</v>
      </c>
      <c r="L53" s="444">
        <f t="shared" ca="1" si="3"/>
        <v>2159248.0658456925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-983488.36025562941</v>
      </c>
      <c r="C54" s="447">
        <f t="shared" si="0"/>
        <v>100747.55675784221</v>
      </c>
      <c r="D54" s="447">
        <f ca="1">SUMIF(G:G,47,K:K)</f>
        <v>-53087.834861896044</v>
      </c>
      <c r="E54" s="447">
        <f t="shared" ca="1" si="1"/>
        <v>-1137323.7518753677</v>
      </c>
      <c r="F54" s="431"/>
      <c r="G54" s="459">
        <v>4</v>
      </c>
      <c r="H54" s="459">
        <v>47</v>
      </c>
      <c r="I54" s="444">
        <f t="shared" ca="1" si="5"/>
        <v>2159248.0658456925</v>
      </c>
      <c r="J54" s="444">
        <f t="array" ref="J54">IFERROR(INDEX('Retirement Calculator'!J:J,MATCH('Isaac 401k'!N54,'Retirement Calculator'!A:A,0),0),0)</f>
        <v>32470.93324439897</v>
      </c>
      <c r="K54" s="444">
        <f t="shared" ca="1" si="2"/>
        <v>8861.5713858387244</v>
      </c>
      <c r="L54" s="444">
        <f t="shared" ca="1" si="3"/>
        <v>2135638.7039871323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-1137323.7518753677</v>
      </c>
      <c r="C55" s="447">
        <f t="shared" si="0"/>
        <v>100747.55675784221</v>
      </c>
      <c r="D55" s="447">
        <f ca="1">SUMIF(G:G,48,K:K)</f>
        <v>-60958.345458541524</v>
      </c>
      <c r="E55" s="447">
        <f t="shared" ca="1" si="1"/>
        <v>-1299029.6540917514</v>
      </c>
      <c r="F55" s="431"/>
      <c r="G55" s="459">
        <v>4</v>
      </c>
      <c r="H55" s="459">
        <v>48</v>
      </c>
      <c r="I55" s="444">
        <f t="shared" ca="1" si="5"/>
        <v>2135638.7039871323</v>
      </c>
      <c r="J55" s="444">
        <f t="array" ref="J55">IFERROR(INDEX('Retirement Calculator'!J:J,MATCH('Isaac 401k'!N55,'Retirement Calculator'!A:A,0),0),0)</f>
        <v>32470.93324439897</v>
      </c>
      <c r="K55" s="444">
        <f t="shared" ca="1" si="2"/>
        <v>8763.1990447613898</v>
      </c>
      <c r="L55" s="444">
        <f t="shared" ca="1" si="3"/>
        <v>2111930.9697874947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-1299029.6540917514</v>
      </c>
      <c r="C56" s="447">
        <f t="shared" si="0"/>
        <v>100747.55675784221</v>
      </c>
      <c r="D56" s="447">
        <f ca="1">SUMIF(G:G,49,K:K)</f>
        <v>-69231.526314609669</v>
      </c>
      <c r="E56" s="447">
        <f t="shared" ca="1" si="1"/>
        <v>-1469008.7371642033</v>
      </c>
      <c r="F56" s="431"/>
      <c r="G56" s="459">
        <f>G55+1</f>
        <v>5</v>
      </c>
      <c r="H56" s="459">
        <v>49</v>
      </c>
      <c r="I56" s="444">
        <f t="shared" ca="1" si="5"/>
        <v>2111930.9697874947</v>
      </c>
      <c r="J56" s="444">
        <f t="array" ref="J56">IFERROR(INDEX('Retirement Calculator'!J:J,MATCH('Isaac 401k'!N56,'Retirement Calculator'!A:A,0),0),0)</f>
        <v>32470.93324439897</v>
      </c>
      <c r="K56" s="444">
        <f t="shared" ca="1" si="2"/>
        <v>8664.4168189295651</v>
      </c>
      <c r="L56" s="444">
        <f t="shared" ca="1" si="3"/>
        <v>2088124.4533620253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-1469008.7371642033</v>
      </c>
      <c r="C57" s="447">
        <f t="shared" si="0"/>
        <v>100747.55675784221</v>
      </c>
      <c r="D57" s="447">
        <f ca="1">SUMIF(G:G,50,K:K)</f>
        <v>-77927.978804793092</v>
      </c>
      <c r="E57" s="447">
        <f t="shared" ca="1" si="1"/>
        <v>-1647684.2727268385</v>
      </c>
      <c r="F57" s="431"/>
      <c r="G57" s="459">
        <f t="shared" ref="G57:G67" si="8">G56</f>
        <v>5</v>
      </c>
      <c r="H57" s="459">
        <v>50</v>
      </c>
      <c r="I57" s="444">
        <f t="shared" ca="1" si="5"/>
        <v>2088124.4533620253</v>
      </c>
      <c r="J57" s="444">
        <f t="array" ref="J57">IFERROR(INDEX('Retirement Calculator'!J:J,MATCH('Isaac 401k'!N57,'Retirement Calculator'!A:A,0),0),0)</f>
        <v>32470.93324439897</v>
      </c>
      <c r="K57" s="444">
        <f t="shared" ca="1" si="2"/>
        <v>8565.2230004901103</v>
      </c>
      <c r="L57" s="444">
        <f t="shared" ca="1" si="3"/>
        <v>2064218.7431181164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-1647684.2727268385</v>
      </c>
      <c r="C58" s="447">
        <f t="shared" si="0"/>
        <v>100747.55675784221</v>
      </c>
      <c r="D58" s="447">
        <f ca="1">SUMIF(G:G,51,K:K)</f>
        <v>-87069.358309212636</v>
      </c>
      <c r="E58" s="447">
        <f t="shared" ca="1" si="1"/>
        <v>-1835501.1877938933</v>
      </c>
      <c r="F58" s="431"/>
      <c r="G58" s="459">
        <f t="shared" si="8"/>
        <v>5</v>
      </c>
      <c r="H58" s="459">
        <v>51</v>
      </c>
      <c r="I58" s="444">
        <f t="shared" ca="1" si="5"/>
        <v>2064218.7431181164</v>
      </c>
      <c r="J58" s="444">
        <f t="array" ref="J58">IFERROR(INDEX('Retirement Calculator'!J:J,MATCH('Isaac 401k'!N58,'Retirement Calculator'!A:A,0),0),0)</f>
        <v>32470.93324439897</v>
      </c>
      <c r="K58" s="444">
        <f t="shared" ca="1" si="2"/>
        <v>8465.6158744738223</v>
      </c>
      <c r="L58" s="444">
        <f t="shared" ca="1" si="3"/>
        <v>2040213.4257481913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-1835501.1877938933</v>
      </c>
      <c r="C59" s="447">
        <f t="shared" si="0"/>
        <v>100747.55675784221</v>
      </c>
      <c r="D59" s="447">
        <f ca="1">SUMIF(G:G,52,K:K)</f>
        <v>-96678.428138335468</v>
      </c>
      <c r="E59" s="447">
        <f t="shared" ca="1" si="1"/>
        <v>-2032927.1726900709</v>
      </c>
      <c r="F59" s="431"/>
      <c r="G59" s="459">
        <f t="shared" si="8"/>
        <v>5</v>
      </c>
      <c r="H59" s="459">
        <v>52</v>
      </c>
      <c r="I59" s="444">
        <f t="shared" ca="1" si="5"/>
        <v>2040213.4257481913</v>
      </c>
      <c r="J59" s="444">
        <f t="array" ref="J59">IFERROR(INDEX('Retirement Calculator'!J:J,MATCH('Isaac 401k'!N59,'Retirement Calculator'!A:A,0),0),0)</f>
        <v>32470.93324439897</v>
      </c>
      <c r="K59" s="444">
        <f t="shared" ca="1" si="2"/>
        <v>8365.5937187658001</v>
      </c>
      <c r="L59" s="444">
        <f t="shared" ca="1" si="3"/>
        <v>2016108.086222558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-2032927.1726900709</v>
      </c>
      <c r="C60" s="447">
        <f t="shared" si="0"/>
        <v>100747.55675784221</v>
      </c>
      <c r="D60" s="447">
        <f ca="1">SUMIF(G:G,53,K:K)</f>
        <v>-106779.11621679433</v>
      </c>
      <c r="E60" s="447">
        <f t="shared" ca="1" si="1"/>
        <v>-2240453.8456647075</v>
      </c>
      <c r="F60" s="431"/>
      <c r="G60" s="459">
        <f t="shared" si="8"/>
        <v>5</v>
      </c>
      <c r="H60" s="459">
        <v>53</v>
      </c>
      <c r="I60" s="444">
        <f t="shared" ca="1" si="5"/>
        <v>2016108.086222558</v>
      </c>
      <c r="J60" s="444">
        <f t="array" ref="J60">IFERROR(INDEX('Retirement Calculator'!J:J,MATCH('Isaac 401k'!N60,'Retirement Calculator'!A:A,0),0),0)</f>
        <v>32470.93324439897</v>
      </c>
      <c r="K60" s="444">
        <f t="shared" ca="1" si="2"/>
        <v>8265.1548040756643</v>
      </c>
      <c r="L60" s="444">
        <f t="shared" ca="1" si="3"/>
        <v>1991902.3077822346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-2240453.8456647075</v>
      </c>
      <c r="C61" s="447">
        <f t="shared" si="0"/>
        <v>100747.55675784221</v>
      </c>
      <c r="D61" s="447">
        <f ca="1">SUMIF(G:G,54,K:K)</f>
        <v>-117396.57466725862</v>
      </c>
      <c r="E61" s="447">
        <f t="shared" ca="1" si="1"/>
        <v>-2458597.9770898083</v>
      </c>
      <c r="F61" s="431"/>
      <c r="G61" s="459">
        <f t="shared" si="8"/>
        <v>5</v>
      </c>
      <c r="H61" s="459">
        <v>54</v>
      </c>
      <c r="I61" s="444">
        <f t="shared" ca="1" si="5"/>
        <v>1991902.3077822346</v>
      </c>
      <c r="J61" s="444">
        <f t="array" ref="J61">IFERROR(INDEX('Retirement Calculator'!J:J,MATCH('Isaac 401k'!N61,'Retirement Calculator'!A:A,0),0),0)</f>
        <v>32470.93324439897</v>
      </c>
      <c r="K61" s="444">
        <f t="shared" ca="1" si="2"/>
        <v>8164.2973939076483</v>
      </c>
      <c r="L61" s="444">
        <f t="shared" ca="1" si="3"/>
        <v>1967595.6719317432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-2458597.9770898083</v>
      </c>
      <c r="C62" s="447">
        <f t="shared" si="0"/>
        <v>100747.55675784221</v>
      </c>
      <c r="D62" s="447">
        <f ca="1">SUMIF(G:G,55,K:K)</f>
        <v>-128557.24244272918</v>
      </c>
      <c r="E62" s="447">
        <f t="shared" ca="1" si="1"/>
        <v>-2687902.7762903795</v>
      </c>
      <c r="F62" s="431"/>
      <c r="G62" s="459">
        <f t="shared" si="8"/>
        <v>5</v>
      </c>
      <c r="H62" s="459">
        <v>55</v>
      </c>
      <c r="I62" s="444">
        <f t="shared" ca="1" si="5"/>
        <v>1967595.6719317432</v>
      </c>
      <c r="J62" s="444">
        <f t="array" ref="J62">IFERROR(INDEX('Retirement Calculator'!J:J,MATCH('Isaac 401k'!N62,'Retirement Calculator'!A:A,0),0),0)</f>
        <v>32470.93324439897</v>
      </c>
      <c r="K62" s="444">
        <f t="shared" ca="1" si="2"/>
        <v>8063.0197445306012</v>
      </c>
      <c r="L62" s="444">
        <f t="shared" ca="1" si="3"/>
        <v>1943187.7584318747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-2687902.7762903795</v>
      </c>
      <c r="C63" s="447">
        <f t="shared" si="0"/>
        <v>100747.55675784221</v>
      </c>
      <c r="D63" s="447">
        <f ca="1">SUMIF(G:G,56,K:K)</f>
        <v>-140288.91116322027</v>
      </c>
      <c r="E63" s="447">
        <f t="shared" ca="1" si="1"/>
        <v>-2928939.2442114418</v>
      </c>
      <c r="F63" s="431"/>
      <c r="G63" s="459">
        <f t="shared" si="8"/>
        <v>5</v>
      </c>
      <c r="H63" s="459">
        <v>56</v>
      </c>
      <c r="I63" s="444">
        <f t="shared" ca="1" si="5"/>
        <v>1943187.7584318747</v>
      </c>
      <c r="J63" s="444">
        <f t="array" ref="J63">IFERROR(INDEX('Retirement Calculator'!J:J,MATCH('Isaac 401k'!N63,'Retirement Calculator'!A:A,0),0),0)</f>
        <v>32470.93324439897</v>
      </c>
      <c r="K63" s="444">
        <f t="shared" ca="1" si="2"/>
        <v>7961.3201049478148</v>
      </c>
      <c r="L63" s="444">
        <f t="shared" ca="1" si="3"/>
        <v>1918678.1452924234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-2928939.2442114418</v>
      </c>
      <c r="C64" s="447">
        <f t="shared" si="0"/>
        <v>100747.55675784221</v>
      </c>
      <c r="D64" s="447">
        <f ca="1">SUMIF(G:G,57,K:K)</f>
        <v>-152620.79432077147</v>
      </c>
      <c r="E64" s="447">
        <f t="shared" ca="1" si="1"/>
        <v>-3182307.5952900555</v>
      </c>
      <c r="F64" s="431"/>
      <c r="G64" s="459">
        <f t="shared" si="8"/>
        <v>5</v>
      </c>
      <c r="H64" s="459">
        <v>57</v>
      </c>
      <c r="I64" s="444">
        <f t="shared" ca="1" si="5"/>
        <v>1918678.1452924234</v>
      </c>
      <c r="J64" s="444">
        <f t="array" ref="J64">IFERROR(INDEX('Retirement Calculator'!J:J,MATCH('Isaac 401k'!N64,'Retirement Calculator'!A:A,0),0),0)</f>
        <v>32470.93324439897</v>
      </c>
      <c r="K64" s="444">
        <f t="shared" ca="1" si="2"/>
        <v>7859.196716866767</v>
      </c>
      <c r="L64" s="444">
        <f t="shared" ca="1" si="3"/>
        <v>1894066.4087648911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-3182307.5952900555</v>
      </c>
      <c r="C65" s="447">
        <f t="shared" si="0"/>
        <v>100747.55675784221</v>
      </c>
      <c r="D65" s="447">
        <f ca="1">SUMIF(G:G,58,K:K)</f>
        <v>-165583.60002511877</v>
      </c>
      <c r="E65" s="447">
        <f t="shared" ca="1" si="1"/>
        <v>-3448638.7520730165</v>
      </c>
      <c r="F65" s="431"/>
      <c r="G65" s="459">
        <f t="shared" si="8"/>
        <v>5</v>
      </c>
      <c r="H65" s="459">
        <v>58</v>
      </c>
      <c r="I65" s="444">
        <f t="shared" ca="1" si="5"/>
        <v>1894066.4087648911</v>
      </c>
      <c r="J65" s="444">
        <f t="array" ref="J65">IFERROR(INDEX('Retirement Calculator'!J:J,MATCH('Isaac 401k'!N65,'Retirement Calculator'!A:A,0),0),0)</f>
        <v>32470.93324439897</v>
      </c>
      <c r="K65" s="444">
        <f t="shared" ca="1" si="2"/>
        <v>7756.6478146687168</v>
      </c>
      <c r="L65" s="444">
        <f t="shared" ca="1" si="3"/>
        <v>1869352.1233351608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-3448638.7520730165</v>
      </c>
      <c r="C66" s="447">
        <f t="shared" si="0"/>
        <v>100747.55675784221</v>
      </c>
      <c r="D66" s="447">
        <f ca="1">SUMIF(G:G,59,K:K)</f>
        <v>-179209.6074711727</v>
      </c>
      <c r="E66" s="447">
        <f t="shared" ca="1" si="1"/>
        <v>-3728595.9163020314</v>
      </c>
      <c r="F66" s="431"/>
      <c r="G66" s="459">
        <f t="shared" si="8"/>
        <v>5</v>
      </c>
      <c r="H66" s="459">
        <v>59</v>
      </c>
      <c r="I66" s="444">
        <f t="shared" ca="1" si="5"/>
        <v>1869352.1233351608</v>
      </c>
      <c r="J66" s="444">
        <f t="array" ref="J66">IFERROR(INDEX('Retirement Calculator'!J:J,MATCH('Isaac 401k'!N66,'Retirement Calculator'!A:A,0),0),0)</f>
        <v>32470.93324439897</v>
      </c>
      <c r="K66" s="444">
        <f t="shared" ca="1" si="2"/>
        <v>7653.6716253781733</v>
      </c>
      <c r="L66" s="444">
        <f t="shared" ca="1" si="3"/>
        <v>1844534.8617161398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-3728595.9163020314</v>
      </c>
      <c r="C67" s="447">
        <f t="shared" si="0"/>
        <v>100747.55675784221</v>
      </c>
      <c r="D67" s="447">
        <f t="shared" ref="D67:D136" ca="1" si="9">SUMIF(G:G,60,K:K)</f>
        <v>-193532.7473187173</v>
      </c>
      <c r="E67" s="447">
        <f t="shared" ca="1" si="1"/>
        <v>-4022876.2203785907</v>
      </c>
      <c r="F67" s="431"/>
      <c r="G67" s="459">
        <f t="shared" si="8"/>
        <v>5</v>
      </c>
      <c r="H67" s="459">
        <v>60</v>
      </c>
      <c r="I67" s="444">
        <f t="shared" ca="1" si="5"/>
        <v>1844534.8617161398</v>
      </c>
      <c r="J67" s="444">
        <f t="array" ref="J67">IFERROR(INDEX('Retirement Calculator'!J:J,MATCH('Isaac 401k'!N67,'Retirement Calculator'!A:A,0),0),0)</f>
        <v>32470.93324439897</v>
      </c>
      <c r="K67" s="444">
        <f t="shared" ca="1" si="2"/>
        <v>7550.2663686322521</v>
      </c>
      <c r="L67" s="444">
        <f t="shared" ca="1" si="3"/>
        <v>1819614.194840373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-4022876.2203785907</v>
      </c>
      <c r="C68" s="447">
        <f t="shared" si="0"/>
        <v>100747.55675784221</v>
      </c>
      <c r="D68" s="447">
        <f t="shared" ca="1" si="9"/>
        <v>-193532.7473187173</v>
      </c>
      <c r="E68" s="447">
        <f t="shared" ca="1" si="1"/>
        <v>-4317156.5244551506</v>
      </c>
      <c r="F68" s="431"/>
      <c r="G68" s="459">
        <f>G67+1</f>
        <v>6</v>
      </c>
      <c r="H68" s="459">
        <v>61</v>
      </c>
      <c r="I68" s="444">
        <f t="shared" ca="1" si="5"/>
        <v>1819614.194840373</v>
      </c>
      <c r="J68" s="444">
        <f t="array" ref="J68">IFERROR(INDEX('Retirement Calculator'!J:J,MATCH('Isaac 401k'!N68,'Retirement Calculator'!A:A,0),0),0)</f>
        <v>32470.93324439897</v>
      </c>
      <c r="K68" s="444">
        <f t="shared" ca="1" si="2"/>
        <v>7446.4302566498918</v>
      </c>
      <c r="L68" s="444">
        <f t="shared" ca="1" si="3"/>
        <v>1794589.6918526238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-4317156.5244551506</v>
      </c>
      <c r="C69" s="447">
        <f t="shared" si="0"/>
        <v>100747.55675784221</v>
      </c>
      <c r="D69" s="447">
        <f t="shared" ca="1" si="9"/>
        <v>-193532.7473187173</v>
      </c>
      <c r="E69" s="447">
        <f t="shared" ca="1" si="1"/>
        <v>-4611436.8285317104</v>
      </c>
      <c r="F69" s="431"/>
      <c r="G69" s="459">
        <f t="shared" ref="G69:G79" si="10">G68</f>
        <v>6</v>
      </c>
      <c r="H69" s="459">
        <v>62</v>
      </c>
      <c r="I69" s="444">
        <f t="shared" ca="1" si="5"/>
        <v>1794589.6918526238</v>
      </c>
      <c r="J69" s="444">
        <f t="array" ref="J69">IFERROR(INDEX('Retirement Calculator'!J:J,MATCH('Isaac 401k'!N69,'Retirement Calculator'!A:A,0),0),0)</f>
        <v>32470.93324439897</v>
      </c>
      <c r="K69" s="444">
        <f t="shared" ca="1" si="2"/>
        <v>7342.1614942009364</v>
      </c>
      <c r="L69" s="444">
        <f t="shared" ca="1" si="3"/>
        <v>1769460.9201024259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-4611436.8285317104</v>
      </c>
      <c r="C70" s="447">
        <f t="shared" si="0"/>
        <v>100747.55675784221</v>
      </c>
      <c r="D70" s="447">
        <f t="shared" ca="1" si="9"/>
        <v>-193532.7473187173</v>
      </c>
      <c r="E70" s="447">
        <f t="shared" ca="1" si="1"/>
        <v>-4905717.1326082703</v>
      </c>
      <c r="F70" s="431"/>
      <c r="G70" s="459">
        <f t="shared" si="10"/>
        <v>6</v>
      </c>
      <c r="H70" s="459">
        <v>63</v>
      </c>
      <c r="I70" s="444">
        <f t="shared" ca="1" si="5"/>
        <v>1769460.9201024259</v>
      </c>
      <c r="J70" s="444">
        <f t="array" ref="J70">IFERROR(INDEX('Retirement Calculator'!J:J,MATCH('Isaac 401k'!N70,'Retirement Calculator'!A:A,0),0),0)</f>
        <v>32470.93324439897</v>
      </c>
      <c r="K70" s="444">
        <f t="shared" ca="1" si="2"/>
        <v>7237.4582785751109</v>
      </c>
      <c r="L70" s="444">
        <f t="shared" ca="1" si="3"/>
        <v>1744227.445136602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-4905717.1326082703</v>
      </c>
      <c r="C71" s="447">
        <f t="shared" si="0"/>
        <v>100747.55675784221</v>
      </c>
      <c r="D71" s="447">
        <f t="shared" ca="1" si="9"/>
        <v>-193532.7473187173</v>
      </c>
      <c r="E71" s="447">
        <f t="shared" ca="1" si="1"/>
        <v>-5199997.4366848301</v>
      </c>
      <c r="F71" s="431"/>
      <c r="G71" s="459">
        <f t="shared" si="10"/>
        <v>6</v>
      </c>
      <c r="H71" s="459">
        <v>64</v>
      </c>
      <c r="I71" s="444">
        <f t="shared" ca="1" si="5"/>
        <v>1744227.445136602</v>
      </c>
      <c r="J71" s="444">
        <f t="array" ref="J71">IFERROR(INDEX('Retirement Calculator'!J:J,MATCH('Isaac 401k'!N71,'Retirement Calculator'!A:A,0),0),0)</f>
        <v>32470.93324439897</v>
      </c>
      <c r="K71" s="444">
        <f t="shared" ca="1" si="2"/>
        <v>7132.3187995508461</v>
      </c>
      <c r="L71" s="444">
        <f t="shared" ca="1" si="3"/>
        <v>1718888.8306917539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47">
        <f t="shared" ca="1" si="4"/>
        <v>-5199997.4366848301</v>
      </c>
      <c r="C72" s="447">
        <f t="shared" si="0"/>
        <v>100747.55675784221</v>
      </c>
      <c r="D72" s="447">
        <f t="shared" ca="1" si="9"/>
        <v>-193532.7473187173</v>
      </c>
      <c r="E72" s="447">
        <f t="shared" ca="1" si="1"/>
        <v>-5494277.74076139</v>
      </c>
      <c r="F72" s="431"/>
      <c r="G72" s="459">
        <f t="shared" si="10"/>
        <v>6</v>
      </c>
      <c r="H72" s="459">
        <v>65</v>
      </c>
      <c r="I72" s="444">
        <f t="shared" ca="1" si="5"/>
        <v>1718888.8306917539</v>
      </c>
      <c r="J72" s="444">
        <f t="array" ref="J72">IFERROR(INDEX('Retirement Calculator'!J:J,MATCH('Isaac 401k'!N72,'Retirement Calculator'!A:A,0),0),0)</f>
        <v>32470.93324439897</v>
      </c>
      <c r="K72" s="444">
        <f t="shared" ca="1" si="2"/>
        <v>7026.7412393639788</v>
      </c>
      <c r="L72" s="444">
        <f t="shared" ca="1" si="3"/>
        <v>1693444.6386867189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47">
        <f t="shared" ca="1" si="4"/>
        <v>-5494277.74076139</v>
      </c>
      <c r="C73" s="447">
        <f t="shared" si="0"/>
        <v>100747.55675784221</v>
      </c>
      <c r="D73" s="447">
        <f t="shared" ca="1" si="9"/>
        <v>-193532.7473187173</v>
      </c>
      <c r="E73" s="447">
        <f t="shared" ca="1" si="1"/>
        <v>-5788558.0448379498</v>
      </c>
      <c r="F73" s="431"/>
      <c r="G73" s="459">
        <f t="shared" si="10"/>
        <v>6</v>
      </c>
      <c r="H73" s="459">
        <v>66</v>
      </c>
      <c r="I73" s="444">
        <f t="shared" ca="1" si="5"/>
        <v>1693444.6386867189</v>
      </c>
      <c r="J73" s="444">
        <f t="array" ref="J73">IFERROR(INDEX('Retirement Calculator'!J:J,MATCH('Isaac 401k'!N73,'Retirement Calculator'!A:A,0),0),0)</f>
        <v>32470.93324439897</v>
      </c>
      <c r="K73" s="444">
        <f t="shared" ca="1" si="2"/>
        <v>6920.7237726763333</v>
      </c>
      <c r="L73" s="444">
        <f t="shared" ca="1" si="3"/>
        <v>1667894.4292149963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47">
        <f t="shared" ca="1" si="4"/>
        <v>-5788558.0448379498</v>
      </c>
      <c r="C74" s="447">
        <f t="shared" si="0"/>
        <v>100747.55675784221</v>
      </c>
      <c r="D74" s="447">
        <f t="shared" ca="1" si="9"/>
        <v>-193532.7473187173</v>
      </c>
      <c r="E74" s="447">
        <f t="shared" ca="1" si="1"/>
        <v>-6082838.3489145096</v>
      </c>
      <c r="F74" s="431"/>
      <c r="G74" s="459">
        <f t="shared" si="10"/>
        <v>6</v>
      </c>
      <c r="H74" s="459">
        <v>67</v>
      </c>
      <c r="I74" s="444">
        <f t="shared" ca="1" si="5"/>
        <v>1667894.4292149963</v>
      </c>
      <c r="J74" s="444">
        <f t="array" ref="J74">IFERROR(INDEX('Retirement Calculator'!J:J,MATCH('Isaac 401k'!N74,'Retirement Calculator'!A:A,0),0),0)</f>
        <v>32470.93324439897</v>
      </c>
      <c r="K74" s="444">
        <f t="shared" ca="1" si="2"/>
        <v>6814.2645665441551</v>
      </c>
      <c r="L74" s="444">
        <f t="shared" ca="1" si="3"/>
        <v>1642237.7605371415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47">
        <f t="shared" ca="1" si="4"/>
        <v>-6082838.3489145096</v>
      </c>
      <c r="C75" s="447">
        <f t="shared" si="0"/>
        <v>100747.55675784221</v>
      </c>
      <c r="D75" s="447">
        <f t="shared" ca="1" si="9"/>
        <v>-193532.7473187173</v>
      </c>
      <c r="E75" s="447">
        <f t="shared" ca="1" si="1"/>
        <v>-6377118.6529910695</v>
      </c>
      <c r="F75" s="431"/>
      <c r="G75" s="459">
        <f t="shared" si="10"/>
        <v>6</v>
      </c>
      <c r="H75" s="459">
        <v>68</v>
      </c>
      <c r="I75" s="444">
        <f t="shared" ca="1" si="5"/>
        <v>1642237.7605371415</v>
      </c>
      <c r="J75" s="444">
        <f t="array" ref="J75">IFERROR(INDEX('Retirement Calculator'!J:J,MATCH('Isaac 401k'!N75,'Retirement Calculator'!A:A,0),0),0)</f>
        <v>9071.7293298201839</v>
      </c>
      <c r="K75" s="444">
        <f t="shared" ca="1" si="2"/>
        <v>6804.8584633638384</v>
      </c>
      <c r="L75" s="444">
        <f t="shared" ca="1" si="3"/>
        <v>1639970.8896706849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47">
        <f t="shared" ca="1" si="4"/>
        <v>-6377118.6529910695</v>
      </c>
      <c r="C76" s="447">
        <f t="shared" si="0"/>
        <v>100747.55675784221</v>
      </c>
      <c r="D76" s="447">
        <f t="shared" ca="1" si="9"/>
        <v>-193532.7473187173</v>
      </c>
      <c r="E76" s="447">
        <f t="shared" ca="1" si="1"/>
        <v>-6671398.9570676293</v>
      </c>
      <c r="F76" s="431"/>
      <c r="G76" s="459">
        <f t="shared" si="10"/>
        <v>6</v>
      </c>
      <c r="H76" s="459">
        <v>69</v>
      </c>
      <c r="I76" s="444">
        <f t="shared" ca="1" si="5"/>
        <v>1639970.8896706849</v>
      </c>
      <c r="J76" s="444">
        <f t="array" ref="J76">IFERROR(INDEX('Retirement Calculator'!J:J,MATCH('Isaac 401k'!N76,'Retirement Calculator'!A:A,0),0),0)</f>
        <v>9071.7293298201839</v>
      </c>
      <c r="K76" s="444">
        <f t="shared" ca="1" si="2"/>
        <v>6795.4131680869359</v>
      </c>
      <c r="L76" s="444">
        <f t="shared" ca="1" si="3"/>
        <v>1637694.5735089516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47">
        <f t="shared" ca="1" si="4"/>
        <v>-6671398.9570676293</v>
      </c>
      <c r="C77" s="447">
        <f t="shared" si="0"/>
        <v>100747.55675784221</v>
      </c>
      <c r="D77" s="447">
        <f t="shared" ca="1" si="9"/>
        <v>-193532.7473187173</v>
      </c>
      <c r="E77" s="447">
        <f t="shared" ca="1" si="1"/>
        <v>-6965679.2611441892</v>
      </c>
      <c r="F77" s="431"/>
      <c r="G77" s="459">
        <f t="shared" si="10"/>
        <v>6</v>
      </c>
      <c r="H77" s="459">
        <v>70</v>
      </c>
      <c r="I77" s="444">
        <f t="shared" ca="1" si="5"/>
        <v>1637694.5735089516</v>
      </c>
      <c r="J77" s="444">
        <f t="array" ref="J77">IFERROR(INDEX('Retirement Calculator'!J:J,MATCH('Isaac 401k'!N77,'Retirement Calculator'!A:A,0),0),0)</f>
        <v>9071.7293298201839</v>
      </c>
      <c r="K77" s="444">
        <f t="shared" ca="1" si="2"/>
        <v>6785.9285174130473</v>
      </c>
      <c r="L77" s="444">
        <f t="shared" ca="1" si="3"/>
        <v>1635408.7726965444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47">
        <f t="shared" ca="1" si="4"/>
        <v>-6965679.2611441892</v>
      </c>
      <c r="C78" s="447">
        <f t="shared" si="0"/>
        <v>100747.55675784221</v>
      </c>
      <c r="D78" s="447">
        <f t="shared" ca="1" si="9"/>
        <v>-193532.7473187173</v>
      </c>
      <c r="E78" s="447">
        <f t="shared" ca="1" si="1"/>
        <v>-7259959.565220749</v>
      </c>
      <c r="F78" s="431"/>
      <c r="G78" s="459">
        <f t="shared" si="10"/>
        <v>6</v>
      </c>
      <c r="H78" s="459">
        <v>71</v>
      </c>
      <c r="I78" s="444">
        <f t="shared" ca="1" si="5"/>
        <v>1635408.7726965444</v>
      </c>
      <c r="J78" s="444">
        <f t="array" ref="J78">IFERROR(INDEX('Retirement Calculator'!J:J,MATCH('Isaac 401k'!N78,'Retirement Calculator'!A:A,0),0),0)</f>
        <v>9071.7293298201839</v>
      </c>
      <c r="K78" s="444">
        <f t="shared" ca="1" si="2"/>
        <v>6776.4043473613501</v>
      </c>
      <c r="L78" s="444">
        <f t="shared" ca="1" si="3"/>
        <v>1633113.4477140855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47">
        <f t="shared" ca="1" si="4"/>
        <v>-7259959.565220749</v>
      </c>
      <c r="C79" s="447">
        <f t="shared" si="0"/>
        <v>100747.55675784221</v>
      </c>
      <c r="D79" s="447">
        <f t="shared" ca="1" si="9"/>
        <v>-193532.7473187173</v>
      </c>
      <c r="E79" s="447">
        <f t="shared" ca="1" si="1"/>
        <v>-7554239.8692973088</v>
      </c>
      <c r="F79" s="431"/>
      <c r="G79" s="459">
        <f t="shared" si="10"/>
        <v>6</v>
      </c>
      <c r="H79" s="459">
        <v>72</v>
      </c>
      <c r="I79" s="444">
        <f t="shared" ca="1" si="5"/>
        <v>1633113.4477140855</v>
      </c>
      <c r="J79" s="444">
        <f t="array" ref="J79">IFERROR(INDEX('Retirement Calculator'!J:J,MATCH('Isaac 401k'!N79,'Retirement Calculator'!A:A,0),0),0)</f>
        <v>9071.7293298201839</v>
      </c>
      <c r="K79" s="444">
        <f t="shared" ca="1" si="2"/>
        <v>6766.8404932677713</v>
      </c>
      <c r="L79" s="444">
        <f t="shared" ca="1" si="3"/>
        <v>1630808.5588775331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47">
        <f t="shared" ca="1" si="4"/>
        <v>-7554239.8692973088</v>
      </c>
      <c r="C80" s="447">
        <f t="shared" si="0"/>
        <v>100747.55675784221</v>
      </c>
      <c r="D80" s="447">
        <f t="shared" ca="1" si="9"/>
        <v>-193532.7473187173</v>
      </c>
      <c r="E80" s="447">
        <f t="shared" ca="1" si="1"/>
        <v>-7848520.1733738687</v>
      </c>
      <c r="F80" s="431"/>
      <c r="G80" s="459">
        <f>G79+1</f>
        <v>7</v>
      </c>
      <c r="H80" s="459">
        <v>73</v>
      </c>
      <c r="I80" s="444">
        <f t="shared" ca="1" si="5"/>
        <v>1630808.5588775331</v>
      </c>
      <c r="J80" s="444">
        <f t="array" ref="J80">IFERROR(INDEX('Retirement Calculator'!J:J,MATCH('Isaac 401k'!N80,'Retirement Calculator'!A:A,0),0),0)</f>
        <v>9071.7293298201839</v>
      </c>
      <c r="K80" s="444">
        <f t="shared" ca="1" si="2"/>
        <v>6757.2367897821368</v>
      </c>
      <c r="L80" s="444">
        <f t="shared" ca="1" si="3"/>
        <v>1628494.0663374949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47">
        <f t="shared" ca="1" si="4"/>
        <v>-7848520.1733738687</v>
      </c>
      <c r="C81" s="447">
        <f t="shared" si="0"/>
        <v>100747.55675784221</v>
      </c>
      <c r="D81" s="447">
        <f t="shared" ca="1" si="9"/>
        <v>-193532.7473187173</v>
      </c>
      <c r="E81" s="447">
        <f t="shared" ca="1" si="1"/>
        <v>-8142800.4774504285</v>
      </c>
      <c r="F81" s="431"/>
      <c r="G81" s="459">
        <f t="shared" ref="G81:G91" si="11">G80</f>
        <v>7</v>
      </c>
      <c r="H81" s="459">
        <v>74</v>
      </c>
      <c r="I81" s="444">
        <f t="shared" ca="1" si="5"/>
        <v>1628494.0663374949</v>
      </c>
      <c r="J81" s="444">
        <f t="array" ref="J81">IFERROR(INDEX('Retirement Calculator'!J:J,MATCH('Isaac 401k'!N81,'Retirement Calculator'!A:A,0),0),0)</f>
        <v>9071.7293298201839</v>
      </c>
      <c r="K81" s="444">
        <f t="shared" ca="1" si="2"/>
        <v>6747.5930708653104</v>
      </c>
      <c r="L81" s="444">
        <f t="shared" ca="1" si="3"/>
        <v>1626169.93007854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47">
        <f t="shared" ca="1" si="4"/>
        <v>-8142800.4774504285</v>
      </c>
      <c r="C82" s="447">
        <f t="shared" si="0"/>
        <v>100747.55675784221</v>
      </c>
      <c r="D82" s="447">
        <f t="shared" ca="1" si="9"/>
        <v>-193532.7473187173</v>
      </c>
      <c r="E82" s="447">
        <f t="shared" ca="1" si="1"/>
        <v>-8437080.7815269884</v>
      </c>
      <c r="F82" s="431"/>
      <c r="G82" s="459">
        <f t="shared" si="11"/>
        <v>7</v>
      </c>
      <c r="H82" s="459">
        <v>75</v>
      </c>
      <c r="I82" s="444">
        <f t="shared" ca="1" si="5"/>
        <v>1626169.93007854</v>
      </c>
      <c r="J82" s="444">
        <f t="array" ref="J82">IFERROR(INDEX('Retirement Calculator'!J:J,MATCH('Isaac 401k'!N82,'Retirement Calculator'!A:A,0),0),0)</f>
        <v>9071.7293298201839</v>
      </c>
      <c r="K82" s="444">
        <f t="shared" ca="1" si="2"/>
        <v>6737.9091697863323</v>
      </c>
      <c r="L82" s="444">
        <f t="shared" ca="1" si="3"/>
        <v>1623836.1099185061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47">
        <f t="shared" ca="1" si="4"/>
        <v>-8437080.7815269884</v>
      </c>
      <c r="C83" s="447">
        <f t="shared" si="0"/>
        <v>100747.55675784221</v>
      </c>
      <c r="D83" s="447">
        <f t="shared" ca="1" si="9"/>
        <v>-193532.7473187173</v>
      </c>
      <c r="E83" s="447">
        <f t="shared" ca="1" si="1"/>
        <v>-8731361.0856035482</v>
      </c>
      <c r="F83" s="431"/>
      <c r="G83" s="459">
        <f t="shared" si="11"/>
        <v>7</v>
      </c>
      <c r="H83" s="459">
        <v>76</v>
      </c>
      <c r="I83" s="444">
        <f t="shared" ca="1" si="5"/>
        <v>1623836.1099185061</v>
      </c>
      <c r="J83" s="444">
        <f t="array" ref="J83">IFERROR(INDEX('Retirement Calculator'!J:J,MATCH('Isaac 401k'!N83,'Retirement Calculator'!A:A,0),0),0)</f>
        <v>9071.7293298201839</v>
      </c>
      <c r="K83" s="444">
        <f t="shared" ca="1" si="2"/>
        <v>6728.1849191195242</v>
      </c>
      <c r="L83" s="444">
        <f t="shared" ca="1" si="3"/>
        <v>1621492.5655078054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47">
        <f t="shared" ca="1" si="4"/>
        <v>-8731361.0856035482</v>
      </c>
      <c r="C84" s="447">
        <f t="shared" si="0"/>
        <v>100747.55675784221</v>
      </c>
      <c r="D84" s="447">
        <f t="shared" ca="1" si="9"/>
        <v>-193532.7473187173</v>
      </c>
      <c r="E84" s="447">
        <f t="shared" ca="1" si="1"/>
        <v>-9025641.3896801081</v>
      </c>
      <c r="F84" s="431"/>
      <c r="G84" s="459">
        <f t="shared" si="11"/>
        <v>7</v>
      </c>
      <c r="H84" s="459">
        <v>77</v>
      </c>
      <c r="I84" s="444">
        <f t="shared" ca="1" si="5"/>
        <v>1621492.5655078054</v>
      </c>
      <c r="J84" s="444">
        <f t="array" ref="J84">IFERROR(INDEX('Retirement Calculator'!J:J,MATCH('Isaac 401k'!N84,'Retirement Calculator'!A:A,0),0),0)</f>
        <v>9071.7293298201839</v>
      </c>
      <c r="K84" s="444">
        <f t="shared" ca="1" si="2"/>
        <v>6718.4201507416046</v>
      </c>
      <c r="L84" s="444">
        <f t="shared" ca="1" si="3"/>
        <v>1619139.2563287269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47">
        <f t="shared" ca="1" si="4"/>
        <v>-9025641.3896801081</v>
      </c>
      <c r="C85" s="447">
        <f t="shared" si="0"/>
        <v>100747.55675784221</v>
      </c>
      <c r="D85" s="447">
        <f t="shared" ca="1" si="9"/>
        <v>-193532.7473187173</v>
      </c>
      <c r="E85" s="447">
        <f t="shared" ca="1" si="1"/>
        <v>-9319921.6937566679</v>
      </c>
      <c r="F85" s="431"/>
      <c r="G85" s="459">
        <f t="shared" si="11"/>
        <v>7</v>
      </c>
      <c r="H85" s="459">
        <v>78</v>
      </c>
      <c r="I85" s="444">
        <f t="shared" ca="1" si="5"/>
        <v>1619139.2563287269</v>
      </c>
      <c r="J85" s="444">
        <f t="array" ref="J85">IFERROR(INDEX('Retirement Calculator'!J:J,MATCH('Isaac 401k'!N85,'Retirement Calculator'!A:A,0),0),0)</f>
        <v>9071.7293298201839</v>
      </c>
      <c r="K85" s="444">
        <f t="shared" ca="1" si="2"/>
        <v>6708.6146958287773</v>
      </c>
      <c r="L85" s="444">
        <f t="shared" ca="1" si="3"/>
        <v>1616776.1416947355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47">
        <f t="shared" ca="1" si="4"/>
        <v>-9319921.6937566679</v>
      </c>
      <c r="C86" s="447">
        <f t="shared" si="0"/>
        <v>100747.55675784221</v>
      </c>
      <c r="D86" s="447">
        <f t="shared" ca="1" si="9"/>
        <v>-193532.7473187173</v>
      </c>
      <c r="E86" s="447">
        <f t="shared" ca="1" si="1"/>
        <v>-9614201.9978332277</v>
      </c>
      <c r="F86" s="431"/>
      <c r="G86" s="459">
        <f t="shared" si="11"/>
        <v>7</v>
      </c>
      <c r="H86" s="459">
        <v>79</v>
      </c>
      <c r="I86" s="444">
        <f t="shared" ca="1" si="5"/>
        <v>1616776.1416947355</v>
      </c>
      <c r="J86" s="444">
        <f t="array" ref="J86">IFERROR(INDEX('Retirement Calculator'!J:J,MATCH('Isaac 401k'!N86,'Retirement Calculator'!A:A,0),0),0)</f>
        <v>9071.7293298201839</v>
      </c>
      <c r="K86" s="444">
        <f t="shared" ca="1" si="2"/>
        <v>6698.7683848538136</v>
      </c>
      <c r="L86" s="444">
        <f t="shared" ca="1" si="3"/>
        <v>1614403.1807497691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47">
        <f t="shared" ca="1" si="4"/>
        <v>-9614201.9978332277</v>
      </c>
      <c r="C87" s="447">
        <f t="shared" si="0"/>
        <v>100747.55675784221</v>
      </c>
      <c r="D87" s="447">
        <f t="shared" ca="1" si="9"/>
        <v>-193532.7473187173</v>
      </c>
      <c r="E87" s="447">
        <f t="shared" ca="1" si="1"/>
        <v>-9908482.3019097876</v>
      </c>
      <c r="F87" s="431"/>
      <c r="G87" s="459">
        <f t="shared" si="11"/>
        <v>7</v>
      </c>
      <c r="H87" s="459">
        <v>80</v>
      </c>
      <c r="I87" s="444">
        <f t="shared" ca="1" si="5"/>
        <v>1614403.1807497691</v>
      </c>
      <c r="J87" s="444">
        <f t="array" ref="J87">IFERROR(INDEX('Retirement Calculator'!J:J,MATCH('Isaac 401k'!N87,'Retirement Calculator'!A:A,0),0),0)</f>
        <v>9071.7293298201839</v>
      </c>
      <c r="K87" s="444">
        <f t="shared" ca="1" si="2"/>
        <v>6688.8810475831197</v>
      </c>
      <c r="L87" s="444">
        <f t="shared" ca="1" si="3"/>
        <v>1612020.332467532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47">
        <f t="shared" ca="1" si="4"/>
        <v>-9908482.3019097876</v>
      </c>
      <c r="C88" s="447">
        <f t="shared" si="0"/>
        <v>100747.55675784221</v>
      </c>
      <c r="D88" s="447">
        <f t="shared" ca="1" si="9"/>
        <v>-193532.7473187173</v>
      </c>
      <c r="E88" s="447">
        <f t="shared" ca="1" si="1"/>
        <v>-10202762.605986347</v>
      </c>
      <c r="F88" s="431"/>
      <c r="G88" s="459">
        <f t="shared" si="11"/>
        <v>7</v>
      </c>
      <c r="H88" s="459">
        <v>81</v>
      </c>
      <c r="I88" s="444">
        <f t="shared" ca="1" si="5"/>
        <v>1612020.332467532</v>
      </c>
      <c r="J88" s="444">
        <f t="array" ref="J88">IFERROR(INDEX('Retirement Calculator'!J:J,MATCH('Isaac 401k'!N88,'Retirement Calculator'!A:A,0),0),0)</f>
        <v>9071.7293298201839</v>
      </c>
      <c r="K88" s="444">
        <f t="shared" ca="1" si="2"/>
        <v>6678.9525130737993</v>
      </c>
      <c r="L88" s="444">
        <f t="shared" ca="1" si="3"/>
        <v>1609627.5556507856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47">
        <f t="shared" ca="1" si="4"/>
        <v>-10202762.605986347</v>
      </c>
      <c r="C89" s="447">
        <f t="shared" si="0"/>
        <v>100747.55675784221</v>
      </c>
      <c r="D89" s="447">
        <f t="shared" ca="1" si="9"/>
        <v>-193532.7473187173</v>
      </c>
      <c r="E89" s="447">
        <f t="shared" ca="1" si="1"/>
        <v>-10497042.910062907</v>
      </c>
      <c r="F89" s="431"/>
      <c r="G89" s="459">
        <f t="shared" si="11"/>
        <v>7</v>
      </c>
      <c r="H89" s="459">
        <v>82</v>
      </c>
      <c r="I89" s="444">
        <f t="shared" ca="1" si="5"/>
        <v>1609627.5556507856</v>
      </c>
      <c r="J89" s="444">
        <f t="array" ref="J89">IFERROR(INDEX('Retirement Calculator'!J:J,MATCH('Isaac 401k'!N89,'Retirement Calculator'!A:A,0),0),0)</f>
        <v>9071.7293298201839</v>
      </c>
      <c r="K89" s="444">
        <f t="shared" ca="1" si="2"/>
        <v>6668.9826096706884</v>
      </c>
      <c r="L89" s="444">
        <f t="shared" ca="1" si="3"/>
        <v>1607224.8089306359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47">
        <f t="shared" ca="1" si="4"/>
        <v>-10497042.910062907</v>
      </c>
      <c r="C90" s="447">
        <f t="shared" si="0"/>
        <v>100747.55675784221</v>
      </c>
      <c r="D90" s="447">
        <f t="shared" ca="1" si="9"/>
        <v>-193532.7473187173</v>
      </c>
      <c r="E90" s="447">
        <f t="shared" ca="1" si="1"/>
        <v>-10791323.214139467</v>
      </c>
      <c r="F90" s="431"/>
      <c r="G90" s="459">
        <f t="shared" si="11"/>
        <v>7</v>
      </c>
      <c r="H90" s="459">
        <v>83</v>
      </c>
      <c r="I90" s="444">
        <f t="shared" ca="1" si="5"/>
        <v>1607224.8089306359</v>
      </c>
      <c r="J90" s="444">
        <f t="array" ref="J90">IFERROR(INDEX('Retirement Calculator'!J:J,MATCH('Isaac 401k'!N90,'Retirement Calculator'!A:A,0),0),0)</f>
        <v>9071.7293298201839</v>
      </c>
      <c r="K90" s="444">
        <f t="shared" ca="1" si="2"/>
        <v>6658.9711650033987</v>
      </c>
      <c r="L90" s="444">
        <f t="shared" ca="1" si="3"/>
        <v>1604812.0507658191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47">
        <f t="shared" ca="1" si="4"/>
        <v>-10791323.214139467</v>
      </c>
      <c r="C91" s="447">
        <f t="shared" si="0"/>
        <v>100747.55675784221</v>
      </c>
      <c r="D91" s="447">
        <f t="shared" ca="1" si="9"/>
        <v>-193532.7473187173</v>
      </c>
      <c r="E91" s="447">
        <f t="shared" ca="1" si="1"/>
        <v>-11085603.518216027</v>
      </c>
      <c r="F91" s="431"/>
      <c r="G91" s="459">
        <f t="shared" si="11"/>
        <v>7</v>
      </c>
      <c r="H91" s="459">
        <v>84</v>
      </c>
      <c r="I91" s="444">
        <f t="shared" ca="1" si="5"/>
        <v>1604812.0507658191</v>
      </c>
      <c r="J91" s="444">
        <f t="array" ref="J91">IFERROR(INDEX('Retirement Calculator'!J:J,MATCH('Isaac 401k'!N91,'Retirement Calculator'!A:A,0),0),0)</f>
        <v>9071.7293298201839</v>
      </c>
      <c r="K91" s="444">
        <f t="shared" ca="1" si="2"/>
        <v>6648.9180059833288</v>
      </c>
      <c r="L91" s="444">
        <f t="shared" ca="1" si="3"/>
        <v>1602389.2394419822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47">
        <f t="shared" ca="1" si="4"/>
        <v>-11085603.518216027</v>
      </c>
      <c r="C92" s="447">
        <f t="shared" si="0"/>
        <v>100747.55675784221</v>
      </c>
      <c r="D92" s="447">
        <f t="shared" ca="1" si="9"/>
        <v>-193532.7473187173</v>
      </c>
      <c r="E92" s="447">
        <f t="shared" ca="1" si="1"/>
        <v>-11379883.822292587</v>
      </c>
      <c r="F92" s="431"/>
      <c r="G92" s="459">
        <f>G91+1</f>
        <v>8</v>
      </c>
      <c r="H92" s="459">
        <v>85</v>
      </c>
      <c r="I92" s="444">
        <f t="shared" ca="1" si="5"/>
        <v>1602389.2394419822</v>
      </c>
      <c r="J92" s="444">
        <f t="array" ref="J92">IFERROR(INDEX('Retirement Calculator'!J:J,MATCH('Isaac 401k'!N92,'Retirement Calculator'!A:A,0),0),0)</f>
        <v>9071.7293298201839</v>
      </c>
      <c r="K92" s="444">
        <f t="shared" ca="1" si="2"/>
        <v>6638.8229588006752</v>
      </c>
      <c r="L92" s="444">
        <f t="shared" ca="1" si="3"/>
        <v>1599956.3330709627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47">
        <f t="shared" ca="1" si="4"/>
        <v>-11379883.822292587</v>
      </c>
      <c r="C93" s="447">
        <f t="shared" si="0"/>
        <v>100747.55675784221</v>
      </c>
      <c r="D93" s="447">
        <f t="shared" ca="1" si="9"/>
        <v>-193532.7473187173</v>
      </c>
      <c r="E93" s="447">
        <f t="shared" ca="1" si="1"/>
        <v>-11674164.126369147</v>
      </c>
      <c r="F93" s="431"/>
      <c r="G93" s="459">
        <f t="shared" ref="G93:G103" si="12">G92</f>
        <v>8</v>
      </c>
      <c r="H93" s="459">
        <v>86</v>
      </c>
      <c r="I93" s="444">
        <f t="shared" ca="1" si="5"/>
        <v>1599956.3330709627</v>
      </c>
      <c r="J93" s="444">
        <f t="array" ref="J93">IFERROR(INDEX('Retirement Calculator'!J:J,MATCH('Isaac 401k'!N93,'Retirement Calculator'!A:A,0),0),0)</f>
        <v>9071.7293298201839</v>
      </c>
      <c r="K93" s="444">
        <f t="shared" ca="1" si="2"/>
        <v>6628.6858489214264</v>
      </c>
      <c r="L93" s="444">
        <f t="shared" ca="1" si="3"/>
        <v>1597513.289590064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47">
        <f t="shared" ca="1" si="4"/>
        <v>-11674164.126369147</v>
      </c>
      <c r="C94" s="447">
        <f t="shared" si="0"/>
        <v>100747.55675784221</v>
      </c>
      <c r="D94" s="447">
        <f t="shared" ca="1" si="9"/>
        <v>-193532.7473187173</v>
      </c>
      <c r="E94" s="447">
        <f t="shared" ca="1" si="1"/>
        <v>-11968444.430445706</v>
      </c>
      <c r="F94" s="431"/>
      <c r="G94" s="459">
        <f t="shared" si="12"/>
        <v>8</v>
      </c>
      <c r="H94" s="459">
        <v>87</v>
      </c>
      <c r="I94" s="444">
        <f t="shared" ca="1" si="5"/>
        <v>1597513.289590064</v>
      </c>
      <c r="J94" s="444">
        <f t="array" ref="J94">IFERROR(INDEX('Retirement Calculator'!J:J,MATCH('Isaac 401k'!N94,'Retirement Calculator'!A:A,0),0),0)</f>
        <v>9071.7293298201839</v>
      </c>
      <c r="K94" s="444">
        <f t="shared" ca="1" si="2"/>
        <v>6618.5065010843491</v>
      </c>
      <c r="L94" s="444">
        <f t="shared" ca="1" si="3"/>
        <v>1595060.0667613281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47">
        <f t="shared" ca="1" si="4"/>
        <v>-11968444.430445706</v>
      </c>
      <c r="C95" s="447">
        <f t="shared" si="0"/>
        <v>100747.55675784221</v>
      </c>
      <c r="D95" s="447">
        <f t="shared" ca="1" si="9"/>
        <v>-193532.7473187173</v>
      </c>
      <c r="E95" s="447">
        <f t="shared" ca="1" si="1"/>
        <v>-12262724.734522266</v>
      </c>
      <c r="F95" s="431"/>
      <c r="G95" s="459">
        <f t="shared" si="12"/>
        <v>8</v>
      </c>
      <c r="H95" s="459">
        <v>88</v>
      </c>
      <c r="I95" s="444">
        <f t="shared" ca="1" si="5"/>
        <v>1595060.0667613281</v>
      </c>
      <c r="J95" s="444">
        <f t="array" ref="J95">IFERROR(INDEX('Retirement Calculator'!J:J,MATCH('Isaac 401k'!N95,'Retirement Calculator'!A:A,0),0),0)</f>
        <v>9071.7293298201839</v>
      </c>
      <c r="K95" s="444">
        <f t="shared" ca="1" si="2"/>
        <v>6608.2847392979493</v>
      </c>
      <c r="L95" s="444">
        <f t="shared" ca="1" si="3"/>
        <v>1592596.6221708059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47">
        <f t="shared" ca="1" si="4"/>
        <v>-12262724.734522266</v>
      </c>
      <c r="C96" s="447">
        <f t="shared" si="0"/>
        <v>100747.55675784221</v>
      </c>
      <c r="D96" s="447">
        <f t="shared" ca="1" si="9"/>
        <v>-193532.7473187173</v>
      </c>
      <c r="E96" s="447">
        <f t="shared" ca="1" si="1"/>
        <v>-12557005.038598826</v>
      </c>
      <c r="F96" s="431"/>
      <c r="G96" s="459">
        <f t="shared" si="12"/>
        <v>8</v>
      </c>
      <c r="H96" s="459">
        <v>89</v>
      </c>
      <c r="I96" s="444">
        <f t="shared" ca="1" si="5"/>
        <v>1592596.6221708059</v>
      </c>
      <c r="J96" s="444">
        <f t="array" ref="J96">IFERROR(INDEX('Retirement Calculator'!J:J,MATCH('Isaac 401k'!N96,'Retirement Calculator'!A:A,0),0),0)</f>
        <v>9071.7293298201839</v>
      </c>
      <c r="K96" s="444">
        <f t="shared" ca="1" si="2"/>
        <v>6598.0203868374401</v>
      </c>
      <c r="L96" s="444">
        <f t="shared" ca="1" si="3"/>
        <v>1590122.9132278231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47">
        <f t="shared" ca="1" si="4"/>
        <v>-12557005.038598826</v>
      </c>
      <c r="C97" s="447">
        <f t="shared" si="0"/>
        <v>100747.55675784221</v>
      </c>
      <c r="D97" s="447">
        <f t="shared" ca="1" si="9"/>
        <v>-193532.7473187173</v>
      </c>
      <c r="E97" s="447">
        <f t="shared" ca="1" si="1"/>
        <v>-12851285.342675386</v>
      </c>
      <c r="F97" s="431"/>
      <c r="G97" s="459">
        <f t="shared" si="12"/>
        <v>8</v>
      </c>
      <c r="H97" s="459">
        <v>90</v>
      </c>
      <c r="I97" s="444">
        <f t="shared" ca="1" si="5"/>
        <v>1590122.9132278231</v>
      </c>
      <c r="J97" s="444">
        <f t="array" ref="J97">IFERROR(INDEX('Retirement Calculator'!J:J,MATCH('Isaac 401k'!N97,'Retirement Calculator'!A:A,0),0),0)</f>
        <v>9071.7293298201839</v>
      </c>
      <c r="K97" s="444">
        <f t="shared" ca="1" si="2"/>
        <v>6587.713266241678</v>
      </c>
      <c r="L97" s="444">
        <f t="shared" ca="1" si="3"/>
        <v>1587638.8971642444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47">
        <f t="shared" ca="1" si="4"/>
        <v>-12851285.342675386</v>
      </c>
      <c r="C98" s="447">
        <f t="shared" si="0"/>
        <v>100747.55675784221</v>
      </c>
      <c r="D98" s="447">
        <f t="shared" ca="1" si="9"/>
        <v>-193532.7473187173</v>
      </c>
      <c r="E98" s="447">
        <f t="shared" ca="1" si="1"/>
        <v>-13145565.646751946</v>
      </c>
      <c r="F98" s="431"/>
      <c r="G98" s="459">
        <f t="shared" si="12"/>
        <v>8</v>
      </c>
      <c r="H98" s="459">
        <v>91</v>
      </c>
      <c r="I98" s="444">
        <f t="shared" ca="1" si="5"/>
        <v>1587638.8971642444</v>
      </c>
      <c r="J98" s="444">
        <f t="array" ref="J98">IFERROR(INDEX('Retirement Calculator'!J:J,MATCH('Isaac 401k'!N98,'Retirement Calculator'!A:A,0),0),0)</f>
        <v>9071.7293298201839</v>
      </c>
      <c r="K98" s="444">
        <f t="shared" ca="1" si="2"/>
        <v>6577.3631993101008</v>
      </c>
      <c r="L98" s="444">
        <f t="shared" ca="1" si="3"/>
        <v>1585144.5310337343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47">
        <f t="shared" ca="1" si="4"/>
        <v>-13145565.646751946</v>
      </c>
      <c r="C99" s="447">
        <f t="shared" si="0"/>
        <v>100747.55675784221</v>
      </c>
      <c r="D99" s="447">
        <f t="shared" ca="1" si="9"/>
        <v>-193532.7473187173</v>
      </c>
      <c r="E99" s="447">
        <f t="shared" ca="1" si="1"/>
        <v>-13439845.950828506</v>
      </c>
      <c r="F99" s="431"/>
      <c r="G99" s="459">
        <f t="shared" si="12"/>
        <v>8</v>
      </c>
      <c r="H99" s="459">
        <v>92</v>
      </c>
      <c r="I99" s="444">
        <f t="shared" ca="1" si="5"/>
        <v>1585144.5310337343</v>
      </c>
      <c r="J99" s="444">
        <f t="array" ref="J99">IFERROR(INDEX('Retirement Calculator'!J:J,MATCH('Isaac 401k'!N99,'Retirement Calculator'!A:A,0),0),0)</f>
        <v>9071.7293298201839</v>
      </c>
      <c r="K99" s="444">
        <f t="shared" ca="1" si="2"/>
        <v>6566.9700070996423</v>
      </c>
      <c r="L99" s="444">
        <f t="shared" ca="1" si="3"/>
        <v>1582639.7717110137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47">
        <f t="shared" ca="1" si="4"/>
        <v>-13439845.950828506</v>
      </c>
      <c r="C100" s="447">
        <f t="shared" si="0"/>
        <v>100747.55675784221</v>
      </c>
      <c r="D100" s="447">
        <f t="shared" ca="1" si="9"/>
        <v>-193532.7473187173</v>
      </c>
      <c r="E100" s="447">
        <f t="shared" ca="1" si="1"/>
        <v>-13734126.254905066</v>
      </c>
      <c r="F100" s="431"/>
      <c r="G100" s="459">
        <f t="shared" si="12"/>
        <v>8</v>
      </c>
      <c r="H100" s="459">
        <v>93</v>
      </c>
      <c r="I100" s="444">
        <f t="shared" ca="1" si="5"/>
        <v>1582639.7717110137</v>
      </c>
      <c r="J100" s="444">
        <f t="array" ref="J100">IFERROR(INDEX('Retirement Calculator'!J:J,MATCH('Isaac 401k'!N100,'Retirement Calculator'!A:A,0),0),0)</f>
        <v>9071.7293298201839</v>
      </c>
      <c r="K100" s="444">
        <f t="shared" ca="1" si="2"/>
        <v>6556.5335099216391</v>
      </c>
      <c r="L100" s="444">
        <f t="shared" ca="1" si="3"/>
        <v>1580124.5758911152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47">
        <f t="shared" ca="1" si="4"/>
        <v>-13734126.254905066</v>
      </c>
      <c r="C101" s="447">
        <f t="shared" si="0"/>
        <v>100747.55675784221</v>
      </c>
      <c r="D101" s="447">
        <f t="shared" ca="1" si="9"/>
        <v>-193532.7473187173</v>
      </c>
      <c r="E101" s="447">
        <f t="shared" ca="1" si="1"/>
        <v>-14028406.558981625</v>
      </c>
      <c r="F101" s="431"/>
      <c r="G101" s="459">
        <f t="shared" si="12"/>
        <v>8</v>
      </c>
      <c r="H101" s="459">
        <v>94</v>
      </c>
      <c r="I101" s="444">
        <f t="shared" ca="1" si="5"/>
        <v>1580124.5758911152</v>
      </c>
      <c r="J101" s="444">
        <f t="array" ref="J101">IFERROR(INDEX('Retirement Calculator'!J:J,MATCH('Isaac 401k'!N101,'Retirement Calculator'!A:A,0),0),0)</f>
        <v>9071.7293298201839</v>
      </c>
      <c r="K101" s="444">
        <f t="shared" ca="1" si="2"/>
        <v>6546.0535273387286</v>
      </c>
      <c r="L101" s="444">
        <f t="shared" ca="1" si="3"/>
        <v>1577598.9000886336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47">
        <f t="shared" ca="1" si="4"/>
        <v>-14028406.558981625</v>
      </c>
      <c r="C102" s="447">
        <f t="shared" si="0"/>
        <v>100747.55675784221</v>
      </c>
      <c r="D102" s="447">
        <f t="shared" ca="1" si="9"/>
        <v>-193532.7473187173</v>
      </c>
      <c r="E102" s="447">
        <f t="shared" ca="1" si="1"/>
        <v>-14322686.863058185</v>
      </c>
      <c r="F102" s="431"/>
      <c r="G102" s="459">
        <f t="shared" si="12"/>
        <v>8</v>
      </c>
      <c r="H102" s="459">
        <v>95</v>
      </c>
      <c r="I102" s="444">
        <f t="shared" ca="1" si="5"/>
        <v>1577598.9000886336</v>
      </c>
      <c r="J102" s="444">
        <f t="array" ref="J102">IFERROR(INDEX('Retirement Calculator'!J:J,MATCH('Isaac 401k'!N102,'Retirement Calculator'!A:A,0),0),0)</f>
        <v>9071.7293298201839</v>
      </c>
      <c r="K102" s="444">
        <f t="shared" ca="1" si="2"/>
        <v>6535.5298781617221</v>
      </c>
      <c r="L102" s="444">
        <f t="shared" ca="1" si="3"/>
        <v>1575062.700636975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47">
        <f t="shared" ca="1" si="4"/>
        <v>-14322686.863058185</v>
      </c>
      <c r="C103" s="447">
        <f t="shared" si="0"/>
        <v>100747.55675784221</v>
      </c>
      <c r="D103" s="447">
        <f t="shared" ca="1" si="9"/>
        <v>-193532.7473187173</v>
      </c>
      <c r="E103" s="447">
        <f t="shared" ca="1" si="1"/>
        <v>-14616967.167134745</v>
      </c>
      <c r="F103" s="431"/>
      <c r="G103" s="459">
        <f t="shared" si="12"/>
        <v>8</v>
      </c>
      <c r="H103" s="459">
        <v>96</v>
      </c>
      <c r="I103" s="444">
        <f t="shared" ca="1" si="5"/>
        <v>1575062.700636975</v>
      </c>
      <c r="J103" s="444">
        <f t="array" ref="J103">IFERROR(INDEX('Retirement Calculator'!J:J,MATCH('Isaac 401k'!N103,'Retirement Calculator'!A:A,0),0),0)</f>
        <v>9071.7293298201839</v>
      </c>
      <c r="K103" s="444">
        <f t="shared" ca="1" si="2"/>
        <v>6524.9623804464782</v>
      </c>
      <c r="L103" s="444">
        <f t="shared" ca="1" si="3"/>
        <v>1572515.9336876012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47">
        <f t="shared" ca="1" si="4"/>
        <v>-14616967.167134745</v>
      </c>
      <c r="C104" s="447">
        <f t="shared" si="0"/>
        <v>75560.667568381657</v>
      </c>
      <c r="D104" s="447">
        <f t="shared" ca="1" si="9"/>
        <v>-193532.7473187173</v>
      </c>
      <c r="E104" s="447">
        <f t="shared" ca="1" si="1"/>
        <v>-14886060.582021844</v>
      </c>
      <c r="F104" s="431"/>
      <c r="G104" s="459">
        <f>G103+1</f>
        <v>9</v>
      </c>
      <c r="H104" s="459">
        <v>97</v>
      </c>
      <c r="I104" s="444">
        <f t="shared" ca="1" si="5"/>
        <v>1572515.9336876012</v>
      </c>
      <c r="J104" s="444">
        <f t="array" ref="J104">IFERROR(INDEX('Retirement Calculator'!J:J,MATCH('Isaac 401k'!N104,'Retirement Calculator'!A:A,0),0),0)</f>
        <v>9071.7293298201839</v>
      </c>
      <c r="K104" s="444">
        <f t="shared" ca="1" si="2"/>
        <v>6514.3508514907544</v>
      </c>
      <c r="L104" s="444">
        <f t="shared" ca="1" si="3"/>
        <v>1569958.5552092718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47">
        <f t="shared" ca="1" si="4"/>
        <v>-14886060.582021844</v>
      </c>
      <c r="C105" s="447">
        <f t="shared" si="0"/>
        <v>0</v>
      </c>
      <c r="D105" s="447">
        <f t="shared" ca="1" si="9"/>
        <v>-193532.7473187173</v>
      </c>
      <c r="E105" s="447">
        <f t="shared" ca="1" si="1"/>
        <v>-15079593.32934056</v>
      </c>
      <c r="F105" s="431"/>
      <c r="G105" s="459">
        <f t="shared" ref="G105:G115" si="13">G104</f>
        <v>9</v>
      </c>
      <c r="H105" s="459">
        <v>98</v>
      </c>
      <c r="I105" s="444">
        <f t="shared" ca="1" si="5"/>
        <v>1569958.5552092718</v>
      </c>
      <c r="J105" s="444">
        <f t="array" ref="J105">IFERROR(INDEX('Retirement Calculator'!J:J,MATCH('Isaac 401k'!N105,'Retirement Calculator'!A:A,0),0),0)</f>
        <v>8395.6297298201844</v>
      </c>
      <c r="K105" s="444">
        <f t="shared" ca="1" si="2"/>
        <v>6506.5121894977156</v>
      </c>
      <c r="L105" s="444">
        <f t="shared" ca="1" si="3"/>
        <v>1568069.4376689494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47">
        <f t="shared" ca="1" si="4"/>
        <v>-15079593.32934056</v>
      </c>
      <c r="C106" s="447">
        <f t="shared" si="0"/>
        <v>0</v>
      </c>
      <c r="D106" s="447">
        <f t="shared" ca="1" si="9"/>
        <v>-193532.7473187173</v>
      </c>
      <c r="E106" s="447">
        <f t="shared" ca="1" si="1"/>
        <v>-15273126.076659277</v>
      </c>
      <c r="F106" s="431"/>
      <c r="G106" s="459">
        <f t="shared" si="13"/>
        <v>9</v>
      </c>
      <c r="H106" s="459">
        <v>99</v>
      </c>
      <c r="I106" s="444">
        <f t="shared" ca="1" si="5"/>
        <v>1568069.4376689494</v>
      </c>
      <c r="J106" s="444">
        <f t="array" ref="J106">IFERROR(INDEX('Retirement Calculator'!J:J,MATCH('Isaac 401k'!N106,'Retirement Calculator'!A:A,0),0),0)</f>
        <v>8395.6297298201844</v>
      </c>
      <c r="K106" s="444">
        <f t="shared" ca="1" si="2"/>
        <v>6498.6408664130386</v>
      </c>
      <c r="L106" s="444">
        <f t="shared" ca="1" si="3"/>
        <v>1566172.4488055422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47">
        <f t="shared" ca="1" si="4"/>
        <v>-15273126.076659277</v>
      </c>
      <c r="C107" s="447">
        <f t="shared" si="0"/>
        <v>0</v>
      </c>
      <c r="D107" s="447">
        <f t="shared" ca="1" si="9"/>
        <v>-193532.7473187173</v>
      </c>
      <c r="E107" s="447">
        <f t="shared" ca="1" si="1"/>
        <v>-15466658.823977994</v>
      </c>
      <c r="F107" s="431"/>
      <c r="G107" s="459">
        <f t="shared" si="13"/>
        <v>9</v>
      </c>
      <c r="H107" s="459">
        <v>100</v>
      </c>
      <c r="I107" s="444">
        <f t="shared" ca="1" si="5"/>
        <v>1566172.4488055422</v>
      </c>
      <c r="J107" s="444">
        <f t="array" ref="J107">IFERROR(INDEX('Retirement Calculator'!J:J,MATCH('Isaac 401k'!N107,'Retirement Calculator'!A:A,0),0),0)</f>
        <v>8395.6297298201844</v>
      </c>
      <c r="K107" s="444">
        <f t="shared" ca="1" si="2"/>
        <v>6490.736746148842</v>
      </c>
      <c r="L107" s="444">
        <f t="shared" ca="1" si="3"/>
        <v>1564267.5558218709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47">
        <f t="shared" ca="1" si="4"/>
        <v>-15466658.823977994</v>
      </c>
      <c r="C108" s="447">
        <f t="shared" si="0"/>
        <v>0</v>
      </c>
      <c r="D108" s="447">
        <f t="shared" ca="1" si="9"/>
        <v>-193532.7473187173</v>
      </c>
      <c r="E108" s="447">
        <f t="shared" ca="1" si="1"/>
        <v>-15660191.571296711</v>
      </c>
      <c r="F108" s="431"/>
      <c r="G108" s="459">
        <f t="shared" si="13"/>
        <v>9</v>
      </c>
      <c r="H108" s="459">
        <v>101</v>
      </c>
      <c r="I108" s="444">
        <f t="shared" ca="1" si="5"/>
        <v>1564267.5558218709</v>
      </c>
      <c r="J108" s="444">
        <f t="array" ref="J108">IFERROR(INDEX('Retirement Calculator'!J:J,MATCH('Isaac 401k'!N108,'Retirement Calculator'!A:A,0),0),0)</f>
        <v>8395.6297298201844</v>
      </c>
      <c r="K108" s="444">
        <f t="shared" ca="1" si="2"/>
        <v>6482.799692050211</v>
      </c>
      <c r="L108" s="444">
        <f t="shared" ca="1" si="3"/>
        <v>1562354.7257841011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47">
        <f t="shared" ca="1" si="4"/>
        <v>-15660191.571296711</v>
      </c>
      <c r="C109" s="447">
        <f t="shared" si="0"/>
        <v>0</v>
      </c>
      <c r="D109" s="447">
        <f t="shared" ca="1" si="9"/>
        <v>-193532.7473187173</v>
      </c>
      <c r="E109" s="447">
        <f t="shared" ca="1" si="1"/>
        <v>-15853724.318615427</v>
      </c>
      <c r="F109" s="431"/>
      <c r="G109" s="459">
        <f t="shared" si="13"/>
        <v>9</v>
      </c>
      <c r="H109" s="459">
        <v>102</v>
      </c>
      <c r="I109" s="444">
        <f t="shared" ca="1" si="5"/>
        <v>1562354.7257841011</v>
      </c>
      <c r="J109" s="444">
        <f t="array" ref="J109">IFERROR(INDEX('Retirement Calculator'!J:J,MATCH('Isaac 401k'!N109,'Retirement Calculator'!A:A,0),0),0)</f>
        <v>8395.6297298201844</v>
      </c>
      <c r="K109" s="444">
        <f t="shared" ca="1" si="2"/>
        <v>6474.8295668928367</v>
      </c>
      <c r="L109" s="444">
        <f t="shared" ca="1" si="3"/>
        <v>1560433.9256211738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47">
        <f t="shared" ca="1" si="4"/>
        <v>-15853724.318615427</v>
      </c>
      <c r="C110" s="447">
        <f t="shared" si="0"/>
        <v>0</v>
      </c>
      <c r="D110" s="447">
        <f t="shared" ca="1" si="9"/>
        <v>-193532.7473187173</v>
      </c>
      <c r="E110" s="447">
        <f t="shared" ca="1" si="1"/>
        <v>-16047257.065934144</v>
      </c>
      <c r="F110" s="431"/>
      <c r="G110" s="459">
        <f t="shared" si="13"/>
        <v>9</v>
      </c>
      <c r="H110" s="459">
        <v>103</v>
      </c>
      <c r="I110" s="444">
        <f t="shared" ca="1" si="5"/>
        <v>1560433.9256211738</v>
      </c>
      <c r="J110" s="444">
        <f t="array" ref="J110">IFERROR(INDEX('Retirement Calculator'!J:J,MATCH('Isaac 401k'!N110,'Retirement Calculator'!A:A,0),0),0)</f>
        <v>8395.6297298201844</v>
      </c>
      <c r="K110" s="444">
        <f t="shared" ca="1" si="2"/>
        <v>6466.8262328806404</v>
      </c>
      <c r="L110" s="444">
        <f t="shared" ca="1" si="3"/>
        <v>1558505.1221242342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47">
        <f t="shared" ca="1" si="4"/>
        <v>-16047257.065934144</v>
      </c>
      <c r="C111" s="447">
        <f t="shared" si="0"/>
        <v>0</v>
      </c>
      <c r="D111" s="447">
        <f t="shared" ca="1" si="9"/>
        <v>-193532.7473187173</v>
      </c>
      <c r="E111" s="447">
        <f t="shared" ca="1" si="1"/>
        <v>-16240789.813252861</v>
      </c>
      <c r="F111" s="431"/>
      <c r="G111" s="459">
        <f t="shared" si="13"/>
        <v>9</v>
      </c>
      <c r="H111" s="459">
        <v>104</v>
      </c>
      <c r="I111" s="444">
        <f t="shared" ca="1" si="5"/>
        <v>1558505.1221242342</v>
      </c>
      <c r="J111" s="444">
        <f t="array" ref="J111">IFERROR(INDEX('Retirement Calculator'!J:J,MATCH('Isaac 401k'!N111,'Retirement Calculator'!A:A,0),0),0)</f>
        <v>8395.6297298201844</v>
      </c>
      <c r="K111" s="444">
        <f t="shared" ca="1" si="2"/>
        <v>6458.7895516433919</v>
      </c>
      <c r="L111" s="444">
        <f t="shared" ca="1" si="3"/>
        <v>1556568.2819460575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47">
        <f t="shared" ca="1" si="4"/>
        <v>-16240789.813252861</v>
      </c>
      <c r="C112" s="447">
        <f t="shared" si="0"/>
        <v>0</v>
      </c>
      <c r="D112" s="447">
        <f t="shared" ca="1" si="9"/>
        <v>-193532.7473187173</v>
      </c>
      <c r="E112" s="447">
        <f t="shared" ca="1" si="1"/>
        <v>-16434322.560571577</v>
      </c>
      <c r="F112" s="431"/>
      <c r="G112" s="459">
        <f t="shared" si="13"/>
        <v>9</v>
      </c>
      <c r="H112" s="459">
        <v>105</v>
      </c>
      <c r="I112" s="444">
        <f t="shared" ca="1" si="5"/>
        <v>1556568.2819460575</v>
      </c>
      <c r="J112" s="444">
        <f t="array" ref="J112">IFERROR(INDEX('Retirement Calculator'!J:J,MATCH('Isaac 401k'!N112,'Retirement Calculator'!A:A,0),0),0)</f>
        <v>8395.6297298201844</v>
      </c>
      <c r="K112" s="444">
        <f t="shared" ca="1" si="2"/>
        <v>6450.7193842343222</v>
      </c>
      <c r="L112" s="444">
        <f t="shared" ca="1" si="3"/>
        <v>1554623.3716004717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47">
        <f t="shared" ca="1" si="4"/>
        <v>-16434322.560571577</v>
      </c>
      <c r="C113" s="447">
        <f t="shared" si="0"/>
        <v>0</v>
      </c>
      <c r="D113" s="447">
        <f t="shared" ca="1" si="9"/>
        <v>-193532.7473187173</v>
      </c>
      <c r="E113" s="447">
        <f t="shared" ca="1" si="1"/>
        <v>-16627855.307890294</v>
      </c>
      <c r="F113" s="431"/>
      <c r="G113" s="459">
        <f t="shared" si="13"/>
        <v>9</v>
      </c>
      <c r="H113" s="459">
        <v>106</v>
      </c>
      <c r="I113" s="444">
        <f t="shared" ca="1" si="5"/>
        <v>1554623.3716004717</v>
      </c>
      <c r="J113" s="444">
        <f t="array" ref="J113">IFERROR(INDEX('Retirement Calculator'!J:J,MATCH('Isaac 401k'!N113,'Retirement Calculator'!A:A,0),0),0)</f>
        <v>8395.6297298201844</v>
      </c>
      <c r="K113" s="444">
        <f t="shared" ca="1" si="2"/>
        <v>6442.6155911277147</v>
      </c>
      <c r="L113" s="444">
        <f t="shared" ca="1" si="3"/>
        <v>1552670.3574617791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47">
        <f t="shared" ca="1" si="4"/>
        <v>-16627855.307890294</v>
      </c>
      <c r="C114" s="447">
        <f t="shared" si="0"/>
        <v>0</v>
      </c>
      <c r="D114" s="447">
        <f t="shared" ca="1" si="9"/>
        <v>-193532.7473187173</v>
      </c>
      <c r="E114" s="447">
        <f t="shared" ca="1" si="1"/>
        <v>-16821388.055209011</v>
      </c>
      <c r="F114" s="431"/>
      <c r="G114" s="459">
        <f t="shared" si="13"/>
        <v>9</v>
      </c>
      <c r="H114" s="459">
        <v>107</v>
      </c>
      <c r="I114" s="444">
        <f t="shared" ca="1" si="5"/>
        <v>1552670.3574617791</v>
      </c>
      <c r="J114" s="444">
        <f t="array" ref="J114">IFERROR(INDEX('Retirement Calculator'!J:J,MATCH('Isaac 401k'!N114,'Retirement Calculator'!A:A,0),0),0)</f>
        <v>8395.6297298201844</v>
      </c>
      <c r="K114" s="444">
        <f t="shared" ca="1" si="2"/>
        <v>6434.4780322164952</v>
      </c>
      <c r="L114" s="444">
        <f t="shared" ca="1" si="3"/>
        <v>1550709.2057641754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47">
        <f t="shared" ca="1" si="4"/>
        <v>-16821388.055209011</v>
      </c>
      <c r="C115" s="447">
        <f t="shared" si="0"/>
        <v>0</v>
      </c>
      <c r="D115" s="447">
        <f t="shared" ca="1" si="9"/>
        <v>-193532.7473187173</v>
      </c>
      <c r="E115" s="447">
        <f t="shared" ca="1" si="1"/>
        <v>-17014920.802527729</v>
      </c>
      <c r="F115" s="431"/>
      <c r="G115" s="459">
        <f t="shared" si="13"/>
        <v>9</v>
      </c>
      <c r="H115" s="459">
        <v>108</v>
      </c>
      <c r="I115" s="444">
        <f t="shared" ca="1" si="5"/>
        <v>1550709.2057641754</v>
      </c>
      <c r="J115" s="444">
        <f t="array" ref="J115">IFERROR(INDEX('Retirement Calculator'!J:J,MATCH('Isaac 401k'!N115,'Retirement Calculator'!A:A,0),0),0)</f>
        <v>8395.6297298201844</v>
      </c>
      <c r="K115" s="444">
        <f t="shared" ca="1" si="2"/>
        <v>6426.3065668098134</v>
      </c>
      <c r="L115" s="444">
        <f t="shared" ca="1" si="3"/>
        <v>1548739.882601165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47">
        <f t="shared" ca="1" si="4"/>
        <v>-17014920.802527729</v>
      </c>
      <c r="C116" s="447">
        <f t="shared" si="0"/>
        <v>0</v>
      </c>
      <c r="D116" s="447">
        <f t="shared" ca="1" si="9"/>
        <v>-193532.7473187173</v>
      </c>
      <c r="E116" s="447">
        <f t="shared" ca="1" si="1"/>
        <v>-17208453.549846448</v>
      </c>
      <c r="F116" s="431"/>
      <c r="G116" s="459">
        <f>G115+1</f>
        <v>10</v>
      </c>
      <c r="H116" s="459">
        <v>109</v>
      </c>
      <c r="I116" s="444">
        <f t="shared" ca="1" si="5"/>
        <v>1548739.882601165</v>
      </c>
      <c r="J116" s="444">
        <f t="array" ref="J116">IFERROR(INDEX('Retirement Calculator'!J:J,MATCH('Isaac 401k'!N116,'Retirement Calculator'!A:A,0),0),0)</f>
        <v>8395.6297298201844</v>
      </c>
      <c r="K116" s="444">
        <f t="shared" ca="1" si="2"/>
        <v>6418.101053630603</v>
      </c>
      <c r="L116" s="444">
        <f t="shared" ca="1" si="3"/>
        <v>1546762.3539249755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47">
        <f t="shared" ca="1" si="4"/>
        <v>-17208453.549846448</v>
      </c>
      <c r="C117" s="447">
        <f t="shared" si="0"/>
        <v>0</v>
      </c>
      <c r="D117" s="447">
        <f t="shared" ca="1" si="9"/>
        <v>-193532.7473187173</v>
      </c>
      <c r="E117" s="447">
        <f t="shared" ca="1" si="1"/>
        <v>-17401986.297165167</v>
      </c>
      <c r="F117" s="431"/>
      <c r="G117" s="459">
        <f t="shared" ref="G117:G127" si="14">G116</f>
        <v>10</v>
      </c>
      <c r="H117" s="459">
        <v>110</v>
      </c>
      <c r="I117" s="444">
        <f t="shared" ca="1" si="5"/>
        <v>1546762.3539249755</v>
      </c>
      <c r="J117" s="444">
        <f t="array" ref="J117">IFERROR(INDEX('Retirement Calculator'!J:J,MATCH('Isaac 401k'!N117,'Retirement Calculator'!A:A,0),0),0)</f>
        <v>8395.6297298201844</v>
      </c>
      <c r="K117" s="444">
        <f t="shared" ca="1" si="2"/>
        <v>6409.8613508131475</v>
      </c>
      <c r="L117" s="444">
        <f t="shared" ca="1" si="3"/>
        <v>1544776.5855459685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47">
        <f t="shared" ca="1" si="4"/>
        <v>-17401986.297165167</v>
      </c>
      <c r="C118" s="447">
        <f t="shared" si="0"/>
        <v>0</v>
      </c>
      <c r="D118" s="447">
        <f t="shared" ca="1" si="9"/>
        <v>-193532.7473187173</v>
      </c>
      <c r="E118" s="447">
        <f t="shared" ca="1" si="1"/>
        <v>-17595519.044483885</v>
      </c>
      <c r="F118" s="431"/>
      <c r="G118" s="459">
        <f t="shared" si="14"/>
        <v>10</v>
      </c>
      <c r="H118" s="459">
        <v>111</v>
      </c>
      <c r="I118" s="444">
        <f t="shared" ca="1" si="5"/>
        <v>1544776.5855459685</v>
      </c>
      <c r="J118" s="444">
        <f t="array" ref="J118">IFERROR(INDEX('Retirement Calculator'!J:J,MATCH('Isaac 401k'!N118,'Retirement Calculator'!A:A,0),0),0)</f>
        <v>8395.6297298201844</v>
      </c>
      <c r="K118" s="444">
        <f t="shared" ca="1" si="2"/>
        <v>6401.5873159006178</v>
      </c>
      <c r="L118" s="444">
        <f t="shared" ca="1" si="3"/>
        <v>1542782.543132049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47">
        <f t="shared" ca="1" si="4"/>
        <v>-17595519.044483885</v>
      </c>
      <c r="C119" s="447">
        <f t="shared" si="0"/>
        <v>0</v>
      </c>
      <c r="D119" s="447">
        <f t="shared" ca="1" si="9"/>
        <v>-193532.7473187173</v>
      </c>
      <c r="E119" s="447">
        <f t="shared" ca="1" si="1"/>
        <v>-17789051.791802604</v>
      </c>
      <c r="F119" s="431"/>
      <c r="G119" s="459">
        <f t="shared" si="14"/>
        <v>10</v>
      </c>
      <c r="H119" s="459">
        <v>112</v>
      </c>
      <c r="I119" s="444">
        <f t="shared" ca="1" si="5"/>
        <v>1542782.543132049</v>
      </c>
      <c r="J119" s="444">
        <f t="array" ref="J119">IFERROR(INDEX('Retirement Calculator'!J:J,MATCH('Isaac 401k'!N119,'Retirement Calculator'!A:A,0),0),0)</f>
        <v>8395.6297298201844</v>
      </c>
      <c r="K119" s="444">
        <f t="shared" ca="1" si="2"/>
        <v>6393.2788058426204</v>
      </c>
      <c r="L119" s="444">
        <f t="shared" ca="1" si="3"/>
        <v>1540780.1922080715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47">
        <f t="shared" ca="1" si="4"/>
        <v>-17789051.791802604</v>
      </c>
      <c r="C120" s="447">
        <f t="shared" si="0"/>
        <v>0</v>
      </c>
      <c r="D120" s="447">
        <f t="shared" ca="1" si="9"/>
        <v>-193532.7473187173</v>
      </c>
      <c r="E120" s="447">
        <f t="shared" ca="1" si="1"/>
        <v>-17982584.539121322</v>
      </c>
      <c r="F120" s="431"/>
      <c r="G120" s="459">
        <f t="shared" si="14"/>
        <v>10</v>
      </c>
      <c r="H120" s="459">
        <v>113</v>
      </c>
      <c r="I120" s="444">
        <f t="shared" ca="1" si="5"/>
        <v>1540780.1922080715</v>
      </c>
      <c r="J120" s="444">
        <f t="array" ref="J120">IFERROR(INDEX('Retirement Calculator'!J:J,MATCH('Isaac 401k'!N120,'Retirement Calculator'!A:A,0),0),0)</f>
        <v>8395.6297298201844</v>
      </c>
      <c r="K120" s="444">
        <f t="shared" ca="1" si="2"/>
        <v>6384.9356769927135</v>
      </c>
      <c r="L120" s="444">
        <f t="shared" ca="1" si="3"/>
        <v>1538769.4981552439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47">
        <f t="shared" ca="1" si="4"/>
        <v>-17982584.539121322</v>
      </c>
      <c r="C121" s="447">
        <f t="shared" si="0"/>
        <v>0</v>
      </c>
      <c r="D121" s="447">
        <f t="shared" ca="1" si="9"/>
        <v>-193532.7473187173</v>
      </c>
      <c r="E121" s="447">
        <f t="shared" ca="1" si="1"/>
        <v>-18176117.286440041</v>
      </c>
      <c r="F121" s="431"/>
      <c r="G121" s="459">
        <f t="shared" si="14"/>
        <v>10</v>
      </c>
      <c r="H121" s="459">
        <v>114</v>
      </c>
      <c r="I121" s="444">
        <f t="shared" ca="1" si="5"/>
        <v>1538769.4981552439</v>
      </c>
      <c r="J121" s="444">
        <f t="array" ref="J121">IFERROR(INDEX('Retirement Calculator'!J:J,MATCH('Isaac 401k'!N121,'Retirement Calculator'!A:A,0),0),0)</f>
        <v>8395.6297298201844</v>
      </c>
      <c r="K121" s="444">
        <f t="shared" ca="1" si="2"/>
        <v>6376.5577851059325</v>
      </c>
      <c r="L121" s="444">
        <f t="shared" ca="1" si="3"/>
        <v>1536750.4262105296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47">
        <f t="shared" ca="1" si="4"/>
        <v>-18176117.286440041</v>
      </c>
      <c r="C122" s="447">
        <f t="shared" si="0"/>
        <v>0</v>
      </c>
      <c r="D122" s="447">
        <f t="shared" ca="1" si="9"/>
        <v>-193532.7473187173</v>
      </c>
      <c r="E122" s="447">
        <f t="shared" ca="1" si="1"/>
        <v>-18369650.033758759</v>
      </c>
      <c r="F122" s="431"/>
      <c r="G122" s="459">
        <f t="shared" si="14"/>
        <v>10</v>
      </c>
      <c r="H122" s="459">
        <v>115</v>
      </c>
      <c r="I122" s="444">
        <f t="shared" ca="1" si="5"/>
        <v>1536750.4262105296</v>
      </c>
      <c r="J122" s="444">
        <f t="array" ref="J122">IFERROR(INDEX('Retirement Calculator'!J:J,MATCH('Isaac 401k'!N122,'Retirement Calculator'!A:A,0),0),0)</f>
        <v>8395.6297298201844</v>
      </c>
      <c r="K122" s="444">
        <f t="shared" ca="1" si="2"/>
        <v>6368.1449853362892</v>
      </c>
      <c r="L122" s="444">
        <f t="shared" ca="1" si="3"/>
        <v>1534722.9414660458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47">
        <f t="shared" ca="1" si="4"/>
        <v>-18369650.033758759</v>
      </c>
      <c r="C123" s="447">
        <f t="shared" si="0"/>
        <v>0</v>
      </c>
      <c r="D123" s="447">
        <f t="shared" ca="1" si="9"/>
        <v>-193532.7473187173</v>
      </c>
      <c r="E123" s="447">
        <f t="shared" ca="1" si="1"/>
        <v>-18563182.781077478</v>
      </c>
      <c r="F123" s="431"/>
      <c r="G123" s="459">
        <f t="shared" si="14"/>
        <v>10</v>
      </c>
      <c r="H123" s="459">
        <v>116</v>
      </c>
      <c r="I123" s="444">
        <f t="shared" ca="1" si="5"/>
        <v>1534722.9414660458</v>
      </c>
      <c r="J123" s="444">
        <f t="array" ref="J123">IFERROR(INDEX('Retirement Calculator'!J:J,MATCH('Isaac 401k'!N123,'Retirement Calculator'!A:A,0),0),0)</f>
        <v>8395.6297298201844</v>
      </c>
      <c r="K123" s="444">
        <f t="shared" ca="1" si="2"/>
        <v>6359.6971322342733</v>
      </c>
      <c r="L123" s="444">
        <f t="shared" ca="1" si="3"/>
        <v>1532687.0088684598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47">
        <f t="shared" ca="1" si="4"/>
        <v>-18563182.781077478</v>
      </c>
      <c r="C124" s="447">
        <f t="shared" si="0"/>
        <v>0</v>
      </c>
      <c r="D124" s="447">
        <f t="shared" ca="1" si="9"/>
        <v>-193532.7473187173</v>
      </c>
      <c r="E124" s="447">
        <f t="shared" ca="1" si="1"/>
        <v>-18756715.528396197</v>
      </c>
      <c r="F124" s="431"/>
      <c r="G124" s="459">
        <f t="shared" si="14"/>
        <v>10</v>
      </c>
      <c r="H124" s="459">
        <v>117</v>
      </c>
      <c r="I124" s="444">
        <f t="shared" ca="1" si="5"/>
        <v>1532687.0088684598</v>
      </c>
      <c r="J124" s="444">
        <f t="array" ref="J124">IFERROR(INDEX('Retirement Calculator'!J:J,MATCH('Isaac 401k'!N124,'Retirement Calculator'!A:A,0),0),0)</f>
        <v>8395.6297298201844</v>
      </c>
      <c r="K124" s="444">
        <f t="shared" ca="1" si="2"/>
        <v>6351.2140797443317</v>
      </c>
      <c r="L124" s="444">
        <f t="shared" ca="1" si="3"/>
        <v>1530642.5932183841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47">
        <f t="shared" ca="1" si="4"/>
        <v>-18756715.528396197</v>
      </c>
      <c r="C125" s="447">
        <f t="shared" si="0"/>
        <v>0</v>
      </c>
      <c r="D125" s="447">
        <f t="shared" ca="1" si="9"/>
        <v>-193532.7473187173</v>
      </c>
      <c r="E125" s="447">
        <f t="shared" ca="1" si="1"/>
        <v>-18950248.275714915</v>
      </c>
      <c r="F125" s="431"/>
      <c r="G125" s="459">
        <f t="shared" si="14"/>
        <v>10</v>
      </c>
      <c r="H125" s="459">
        <v>118</v>
      </c>
      <c r="I125" s="444">
        <f t="shared" ca="1" si="5"/>
        <v>1530642.5932183841</v>
      </c>
      <c r="J125" s="444">
        <f t="array" ref="J125">IFERROR(INDEX('Retirement Calculator'!J:J,MATCH('Isaac 401k'!N125,'Retirement Calculator'!A:A,0),0),0)</f>
        <v>8395.6297298201844</v>
      </c>
      <c r="K125" s="444">
        <f t="shared" ca="1" si="2"/>
        <v>6342.6956812023491</v>
      </c>
      <c r="L125" s="444">
        <f t="shared" ca="1" si="3"/>
        <v>1528589.6591697664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47">
        <f t="shared" ca="1" si="4"/>
        <v>-18950248.275714915</v>
      </c>
      <c r="C126" s="447">
        <f t="shared" si="0"/>
        <v>0</v>
      </c>
      <c r="D126" s="447">
        <f t="shared" ca="1" si="9"/>
        <v>-193532.7473187173</v>
      </c>
      <c r="E126" s="447">
        <f t="shared" ca="1" si="1"/>
        <v>-19143781.023033634</v>
      </c>
      <c r="F126" s="431"/>
      <c r="G126" s="459">
        <f t="shared" si="14"/>
        <v>10</v>
      </c>
      <c r="H126" s="459">
        <v>119</v>
      </c>
      <c r="I126" s="444">
        <f t="shared" ca="1" si="5"/>
        <v>1528589.6591697664</v>
      </c>
      <c r="J126" s="444">
        <f t="array" ref="J126">IFERROR(INDEX('Retirement Calculator'!J:J,MATCH('Isaac 401k'!N126,'Retirement Calculator'!A:A,0),0),0)</f>
        <v>8395.6297298201844</v>
      </c>
      <c r="K126" s="444">
        <f t="shared" ca="1" si="2"/>
        <v>6334.141789333109</v>
      </c>
      <c r="L126" s="444">
        <f t="shared" ca="1" si="3"/>
        <v>1526528.1712292794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47">
        <f t="shared" ca="1" si="4"/>
        <v>-19143781.023033634</v>
      </c>
      <c r="C127" s="447">
        <f t="shared" si="0"/>
        <v>0</v>
      </c>
      <c r="D127" s="447">
        <f t="shared" ca="1" si="9"/>
        <v>-193532.7473187173</v>
      </c>
      <c r="E127" s="447">
        <f t="shared" ca="1" si="1"/>
        <v>-19337313.770352352</v>
      </c>
      <c r="F127" s="431"/>
      <c r="G127" s="459">
        <f t="shared" si="14"/>
        <v>10</v>
      </c>
      <c r="H127" s="459">
        <v>120</v>
      </c>
      <c r="I127" s="444">
        <f t="shared" ca="1" si="5"/>
        <v>1526528.1712292794</v>
      </c>
      <c r="J127" s="444">
        <f t="array" ref="J127">IFERROR(INDEX('Retirement Calculator'!J:J,MATCH('Isaac 401k'!N127,'Retirement Calculator'!A:A,0),0),0)</f>
        <v>8395.6297298201844</v>
      </c>
      <c r="K127" s="444">
        <f t="shared" ca="1" si="2"/>
        <v>6325.5522562477463</v>
      </c>
      <c r="L127" s="444">
        <f t="shared" ca="1" si="3"/>
        <v>1524458.0937557069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47">
        <f t="shared" ca="1" si="4"/>
        <v>-19337313.770352352</v>
      </c>
      <c r="C128" s="447">
        <f t="shared" si="0"/>
        <v>0</v>
      </c>
      <c r="D128" s="447">
        <f t="shared" ca="1" si="9"/>
        <v>-193532.7473187173</v>
      </c>
      <c r="E128" s="447">
        <f t="shared" ca="1" si="1"/>
        <v>-19530846.517671071</v>
      </c>
      <c r="F128" s="431"/>
      <c r="G128" s="459">
        <f>G127+1</f>
        <v>11</v>
      </c>
      <c r="H128" s="459">
        <v>121</v>
      </c>
      <c r="I128" s="444">
        <f t="shared" ca="1" si="5"/>
        <v>1524458.0937557069</v>
      </c>
      <c r="J128" s="444">
        <f t="array" ref="J128">IFERROR(INDEX('Retirement Calculator'!J:J,MATCH('Isaac 401k'!N128,'Retirement Calculator'!A:A,0),0),0)</f>
        <v>8395.6297298201844</v>
      </c>
      <c r="K128" s="444">
        <f t="shared" ca="1" si="2"/>
        <v>6316.9269334411947</v>
      </c>
      <c r="L128" s="444">
        <f t="shared" ca="1" si="3"/>
        <v>1522379.390959328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47">
        <f t="shared" ca="1" si="4"/>
        <v>-19530846.517671071</v>
      </c>
      <c r="C129" s="447">
        <f t="shared" si="0"/>
        <v>0</v>
      </c>
      <c r="D129" s="447">
        <f t="shared" ca="1" si="9"/>
        <v>-193532.7473187173</v>
      </c>
      <c r="E129" s="447">
        <f t="shared" ca="1" si="1"/>
        <v>-19724379.26498979</v>
      </c>
      <c r="F129" s="431"/>
      <c r="G129" s="459">
        <f t="shared" ref="G129:G139" si="15">G128</f>
        <v>11</v>
      </c>
      <c r="H129" s="459">
        <v>122</v>
      </c>
      <c r="I129" s="444">
        <f t="shared" ca="1" si="5"/>
        <v>1522379.390959328</v>
      </c>
      <c r="J129" s="444">
        <f t="array" ref="J129">IFERROR(INDEX('Retirement Calculator'!J:J,MATCH('Isaac 401k'!N129,'Retirement Calculator'!A:A,0),0),0)</f>
        <v>8395.6297298201844</v>
      </c>
      <c r="K129" s="444">
        <f t="shared" ca="1" si="2"/>
        <v>6308.2656717896161</v>
      </c>
      <c r="L129" s="444">
        <f t="shared" ca="1" si="3"/>
        <v>1520292.0269012975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47">
        <f t="shared" ca="1" si="4"/>
        <v>-19724379.26498979</v>
      </c>
      <c r="C130" s="447">
        <f t="shared" si="0"/>
        <v>0</v>
      </c>
      <c r="D130" s="447">
        <f t="shared" ca="1" si="9"/>
        <v>-193532.7473187173</v>
      </c>
      <c r="E130" s="447">
        <f t="shared" ca="1" si="1"/>
        <v>-19917912.012308508</v>
      </c>
      <c r="F130" s="431"/>
      <c r="G130" s="459">
        <f t="shared" si="15"/>
        <v>11</v>
      </c>
      <c r="H130" s="459">
        <v>123</v>
      </c>
      <c r="I130" s="444">
        <f t="shared" ca="1" si="5"/>
        <v>1520292.0269012975</v>
      </c>
      <c r="J130" s="444">
        <f t="array" ref="J130">IFERROR(INDEX('Retirement Calculator'!J:J,MATCH('Isaac 401k'!N130,'Retirement Calculator'!A:A,0),0),0)</f>
        <v>8395.6297298201844</v>
      </c>
      <c r="K130" s="444">
        <f t="shared" ca="1" si="2"/>
        <v>6299.5683215478221</v>
      </c>
      <c r="L130" s="444">
        <f t="shared" ca="1" si="3"/>
        <v>1518195.9654930253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47">
        <f t="shared" ca="1" si="4"/>
        <v>-19917912.012308508</v>
      </c>
      <c r="C131" s="447">
        <f t="shared" si="0"/>
        <v>0</v>
      </c>
      <c r="D131" s="447">
        <f t="shared" ca="1" si="9"/>
        <v>-193532.7473187173</v>
      </c>
      <c r="E131" s="447">
        <f t="shared" ca="1" si="1"/>
        <v>-20111444.759627227</v>
      </c>
      <c r="F131" s="431"/>
      <c r="G131" s="459">
        <f t="shared" si="15"/>
        <v>11</v>
      </c>
      <c r="H131" s="459">
        <v>124</v>
      </c>
      <c r="I131" s="444">
        <f t="shared" ca="1" si="5"/>
        <v>1518195.9654930253</v>
      </c>
      <c r="J131" s="444">
        <f t="array" ref="J131">IFERROR(INDEX('Retirement Calculator'!J:J,MATCH('Isaac 401k'!N131,'Retirement Calculator'!A:A,0),0),0)</f>
        <v>8395.6297298201844</v>
      </c>
      <c r="K131" s="444">
        <f t="shared" ca="1" si="2"/>
        <v>6290.8347323466878</v>
      </c>
      <c r="L131" s="444">
        <f t="shared" ca="1" si="3"/>
        <v>1516091.1704955518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47">
        <f t="shared" ca="1" si="4"/>
        <v>-20111444.759627227</v>
      </c>
      <c r="C132" s="447">
        <f t="shared" si="0"/>
        <v>0</v>
      </c>
      <c r="D132" s="447">
        <f t="shared" ca="1" si="9"/>
        <v>-193532.7473187173</v>
      </c>
      <c r="E132" s="447">
        <f t="shared" ca="1" si="1"/>
        <v>-20304977.506945945</v>
      </c>
      <c r="F132" s="431"/>
      <c r="G132" s="459">
        <f t="shared" si="15"/>
        <v>11</v>
      </c>
      <c r="H132" s="459">
        <v>125</v>
      </c>
      <c r="I132" s="444">
        <f t="shared" ca="1" si="5"/>
        <v>1516091.1704955518</v>
      </c>
      <c r="J132" s="444">
        <f t="array" ref="J132">IFERROR(INDEX('Retirement Calculator'!J:J,MATCH('Isaac 401k'!N132,'Retirement Calculator'!A:A,0),0),0)</f>
        <v>8395.6297298201844</v>
      </c>
      <c r="K132" s="444">
        <f t="shared" ca="1" si="2"/>
        <v>6282.0647531905479</v>
      </c>
      <c r="L132" s="444">
        <f t="shared" ca="1" si="3"/>
        <v>1513977.6055189222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47">
        <f t="shared" ca="1" si="4"/>
        <v>-20304977.506945945</v>
      </c>
      <c r="C133" s="447">
        <f t="shared" si="0"/>
        <v>0</v>
      </c>
      <c r="D133" s="447">
        <f t="shared" ca="1" si="9"/>
        <v>-193532.7473187173</v>
      </c>
      <c r="E133" s="447">
        <f t="shared" ca="1" si="1"/>
        <v>-20498510.254264664</v>
      </c>
      <c r="F133" s="431"/>
      <c r="G133" s="459">
        <f t="shared" si="15"/>
        <v>11</v>
      </c>
      <c r="H133" s="459">
        <v>126</v>
      </c>
      <c r="I133" s="444">
        <f t="shared" ca="1" si="5"/>
        <v>1513977.6055189222</v>
      </c>
      <c r="J133" s="444">
        <f t="array" ref="J133">IFERROR(INDEX('Retirement Calculator'!J:J,MATCH('Isaac 401k'!N133,'Retirement Calculator'!A:A,0),0),0)</f>
        <v>8395.6297298201844</v>
      </c>
      <c r="K133" s="444">
        <f t="shared" ca="1" si="2"/>
        <v>6273.258232454592</v>
      </c>
      <c r="L133" s="444">
        <f t="shared" ca="1" si="3"/>
        <v>1511855.2340215566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47">
        <f t="shared" ca="1" si="4"/>
        <v>-20498510.254264664</v>
      </c>
      <c r="C134" s="447">
        <f t="shared" si="0"/>
        <v>0</v>
      </c>
      <c r="D134" s="447">
        <f t="shared" ca="1" si="9"/>
        <v>-193532.7473187173</v>
      </c>
      <c r="E134" s="447">
        <f t="shared" ca="1" si="1"/>
        <v>-20692043.001583382</v>
      </c>
      <c r="F134" s="431"/>
      <c r="G134" s="459">
        <f t="shared" si="15"/>
        <v>11</v>
      </c>
      <c r="H134" s="459">
        <v>127</v>
      </c>
      <c r="I134" s="444">
        <f t="shared" ca="1" si="5"/>
        <v>1511855.2340215566</v>
      </c>
      <c r="J134" s="444">
        <f t="array" ref="J134">IFERROR(INDEX('Retirement Calculator'!J:J,MATCH('Isaac 401k'!N134,'Retirement Calculator'!A:A,0),0),0)</f>
        <v>8395.6297298201844</v>
      </c>
      <c r="K134" s="444">
        <f t="shared" ca="1" si="2"/>
        <v>6264.4150178822347</v>
      </c>
      <c r="L134" s="444">
        <f t="shared" ca="1" si="3"/>
        <v>1509724.0193096185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47">
        <f t="shared" ca="1" si="4"/>
        <v>-20692043.001583382</v>
      </c>
      <c r="C135" s="447">
        <f t="shared" si="0"/>
        <v>0</v>
      </c>
      <c r="D135" s="447">
        <f t="shared" ca="1" si="9"/>
        <v>-193532.7473187173</v>
      </c>
      <c r="E135" s="447">
        <f t="shared" ca="1" si="1"/>
        <v>-20885575.748902101</v>
      </c>
      <c r="F135" s="431"/>
      <c r="G135" s="459">
        <f t="shared" si="15"/>
        <v>11</v>
      </c>
      <c r="H135" s="459">
        <v>128</v>
      </c>
      <c r="I135" s="444">
        <f t="shared" ca="1" si="5"/>
        <v>1509724.0193096185</v>
      </c>
      <c r="J135" s="444">
        <f t="array" ref="J135">IFERROR(INDEX('Retirement Calculator'!J:J,MATCH('Isaac 401k'!N135,'Retirement Calculator'!A:A,0),0),0)</f>
        <v>8395.6297298201844</v>
      </c>
      <c r="K135" s="444">
        <f t="shared" ca="1" si="2"/>
        <v>6255.5349565824927</v>
      </c>
      <c r="L135" s="444">
        <f t="shared" ca="1" si="3"/>
        <v>1507583.9245363809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47">
        <f t="shared" ca="1" si="4"/>
        <v>-20885575.748902101</v>
      </c>
      <c r="C136" s="447">
        <f t="shared" si="0"/>
        <v>0</v>
      </c>
      <c r="D136" s="447">
        <f t="shared" ca="1" si="9"/>
        <v>-193532.7473187173</v>
      </c>
      <c r="E136" s="447">
        <f t="shared" ca="1" si="1"/>
        <v>-21079108.49622082</v>
      </c>
      <c r="F136" s="431"/>
      <c r="G136" s="459">
        <f t="shared" si="15"/>
        <v>11</v>
      </c>
      <c r="H136" s="459">
        <v>129</v>
      </c>
      <c r="I136" s="444">
        <f t="shared" ca="1" si="5"/>
        <v>1507583.9245363809</v>
      </c>
      <c r="J136" s="444">
        <f t="array" ref="J136">IFERROR(INDEX('Retirement Calculator'!J:J,MATCH('Isaac 401k'!N136,'Retirement Calculator'!A:A,0),0),0)</f>
        <v>8395.6297298201844</v>
      </c>
      <c r="K136" s="444">
        <f t="shared" ca="1" si="2"/>
        <v>6246.6178950273361</v>
      </c>
      <c r="L136" s="444">
        <f t="shared" ca="1" si="3"/>
        <v>1505434.9127015881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1505434.9127015881</v>
      </c>
      <c r="J137" s="444">
        <f t="array" ref="J137">IFERROR(INDEX('Retirement Calculator'!J:J,MATCH('Isaac 401k'!N137,'Retirement Calculator'!A:A,0),0),0)</f>
        <v>8395.6297298201844</v>
      </c>
      <c r="K137" s="444">
        <f t="shared" ca="1" si="2"/>
        <v>6237.6636790490329</v>
      </c>
      <c r="L137" s="444">
        <f t="shared" ca="1" si="3"/>
        <v>1503276.9466508171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1503276.9466508171</v>
      </c>
      <c r="J138" s="444">
        <f t="array" ref="J138">IFERROR(INDEX('Retirement Calculator'!J:J,MATCH('Isaac 401k'!N138,'Retirement Calculator'!A:A,0),0),0)</f>
        <v>8395.6297298201844</v>
      </c>
      <c r="K138" s="444">
        <f t="shared" ca="1" si="2"/>
        <v>6228.6721538374868</v>
      </c>
      <c r="L138" s="444">
        <f t="shared" ca="1" si="3"/>
        <v>1501109.9890748344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1501109.9890748344</v>
      </c>
      <c r="J139" s="444">
        <f t="array" ref="J139">IFERROR(INDEX('Retirement Calculator'!J:J,MATCH('Isaac 401k'!N139,'Retirement Calculator'!A:A,0),0),0)</f>
        <v>8395.6297298201844</v>
      </c>
      <c r="K139" s="444">
        <f t="shared" ca="1" si="2"/>
        <v>6219.6431639375587</v>
      </c>
      <c r="L139" s="444">
        <f t="shared" ca="1" si="3"/>
        <v>1498934.0025089518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1498934.0025089518</v>
      </c>
      <c r="J140" s="444">
        <f t="array" ref="J140">IFERROR(INDEX('Retirement Calculator'!J:J,MATCH('Isaac 401k'!N140,'Retirement Calculator'!A:A,0),0),0)</f>
        <v>8395.6297298201844</v>
      </c>
      <c r="K140" s="444">
        <f t="shared" ca="1" si="2"/>
        <v>6210.576553246382</v>
      </c>
      <c r="L140" s="444">
        <f t="shared" ca="1" si="3"/>
        <v>1496748.9493323781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1496748.9493323781</v>
      </c>
      <c r="J141" s="444">
        <f t="array" ref="J141">IFERROR(INDEX('Retirement Calculator'!J:J,MATCH('Isaac 401k'!N141,'Retirement Calculator'!A:A,0),0),0)</f>
        <v>8395.6297298201844</v>
      </c>
      <c r="K141" s="444">
        <f t="shared" ca="1" si="2"/>
        <v>6201.4721650106576</v>
      </c>
      <c r="L141" s="444">
        <f t="shared" ca="1" si="3"/>
        <v>1494554.7917675686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1494554.7917675686</v>
      </c>
      <c r="J142" s="444">
        <f t="array" ref="J142">IFERROR(INDEX('Retirement Calculator'!J:J,MATCH('Isaac 401k'!N142,'Retirement Calculator'!A:A,0),0),0)</f>
        <v>8395.6297298201844</v>
      </c>
      <c r="K142" s="444">
        <f t="shared" ca="1" si="2"/>
        <v>6192.3298418239519</v>
      </c>
      <c r="L142" s="444">
        <f t="shared" ca="1" si="3"/>
        <v>1492351.4918795724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1492351.4918795724</v>
      </c>
      <c r="J143" s="444">
        <f t="array" ref="J143">IFERROR(INDEX('Retirement Calculator'!J:J,MATCH('Isaac 401k'!N143,'Retirement Calculator'!A:A,0),0),0)</f>
        <v>8395.6297298201844</v>
      </c>
      <c r="K143" s="444">
        <f t="shared" ca="1" si="2"/>
        <v>6183.1494256239675</v>
      </c>
      <c r="L143" s="444">
        <f t="shared" ca="1" si="3"/>
        <v>1490139.0115753761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1490139.0115753761</v>
      </c>
      <c r="J144" s="444">
        <f t="array" ref="J144">IFERROR(INDEX('Retirement Calculator'!J:J,MATCH('Isaac 401k'!N144,'Retirement Calculator'!A:A,0),0),0)</f>
        <v>8395.6297298201844</v>
      </c>
      <c r="K144" s="444">
        <f t="shared" ca="1" si="2"/>
        <v>6173.9307576898163</v>
      </c>
      <c r="L144" s="444">
        <f t="shared" ca="1" si="3"/>
        <v>1487917.3126032457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1487917.3126032457</v>
      </c>
      <c r="J145" s="444">
        <f t="array" ref="J145">IFERROR(INDEX('Retirement Calculator'!J:J,MATCH('Isaac 401k'!N145,'Retirement Calculator'!A:A,0),0),0)</f>
        <v>8395.6297298201844</v>
      </c>
      <c r="K145" s="444">
        <f t="shared" ca="1" si="2"/>
        <v>6164.673678639273</v>
      </c>
      <c r="L145" s="444">
        <f t="shared" ca="1" si="3"/>
        <v>1485686.3565520649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1485686.3565520649</v>
      </c>
      <c r="J146" s="444">
        <f t="array" ref="J146">IFERROR(INDEX('Retirement Calculator'!J:J,MATCH('Isaac 401k'!N146,'Retirement Calculator'!A:A,0),0),0)</f>
        <v>8395.6297298201844</v>
      </c>
      <c r="K146" s="444">
        <f t="shared" ca="1" si="2"/>
        <v>6155.3780284260192</v>
      </c>
      <c r="L146" s="444">
        <f t="shared" ca="1" si="3"/>
        <v>1483446.1048506708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1483446.1048506708</v>
      </c>
      <c r="J147" s="444">
        <f t="array" ref="J147">IFERROR(INDEX('Retirement Calculator'!J:J,MATCH('Isaac 401k'!N147,'Retirement Calculator'!A:A,0),0),0)</f>
        <v>8395.6297298201844</v>
      </c>
      <c r="K147" s="444">
        <f t="shared" ca="1" si="2"/>
        <v>6146.0436463368778</v>
      </c>
      <c r="L147" s="444">
        <f t="shared" ca="1" si="3"/>
        <v>1481196.5187671874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1481196.5187671874</v>
      </c>
      <c r="J148" s="444">
        <f t="array" ref="J148">IFERROR(INDEX('Retirement Calculator'!J:J,MATCH('Isaac 401k'!N148,'Retirement Calculator'!A:A,0),0),0)</f>
        <v>8395.6297298201844</v>
      </c>
      <c r="K148" s="444">
        <f t="shared" ca="1" si="2"/>
        <v>6136.6703709890298</v>
      </c>
      <c r="L148" s="444">
        <f t="shared" ca="1" si="3"/>
        <v>1478937.5594083562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1478937.5594083562</v>
      </c>
      <c r="J149" s="444">
        <f t="array" ref="J149">IFERROR(INDEX('Retirement Calculator'!J:J,MATCH('Isaac 401k'!N149,'Retirement Calculator'!A:A,0),0),0)</f>
        <v>8395.6297298201844</v>
      </c>
      <c r="K149" s="444">
        <f t="shared" ca="1" si="2"/>
        <v>6127.2580403272332</v>
      </c>
      <c r="L149" s="444">
        <f t="shared" ca="1" si="3"/>
        <v>1476669.1877188634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1476669.1877188634</v>
      </c>
      <c r="J150" s="444">
        <f t="array" ref="J150">IFERROR(INDEX('Retirement Calculator'!J:J,MATCH('Isaac 401k'!N150,'Retirement Calculator'!A:A,0),0),0)</f>
        <v>8395.6297298201844</v>
      </c>
      <c r="K150" s="444">
        <f t="shared" ca="1" si="2"/>
        <v>6117.8064916210133</v>
      </c>
      <c r="L150" s="444">
        <f t="shared" ca="1" si="3"/>
        <v>1474391.3644806643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1474391.3644806643</v>
      </c>
      <c r="J151" s="444">
        <f t="array" ref="J151">IFERROR(INDEX('Retirement Calculator'!J:J,MATCH('Isaac 401k'!N151,'Retirement Calculator'!A:A,0),0),0)</f>
        <v>8395.6297298201844</v>
      </c>
      <c r="K151" s="444">
        <f t="shared" ca="1" si="2"/>
        <v>6108.3155614618499</v>
      </c>
      <c r="L151" s="444">
        <f t="shared" ca="1" si="3"/>
        <v>1472104.050312306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1472104.050312306</v>
      </c>
      <c r="J152" s="444">
        <f t="array" ref="J152">IFERROR(INDEX('Retirement Calculator'!J:J,MATCH('Isaac 401k'!N152,'Retirement Calculator'!A:A,0),0),0)</f>
        <v>8395.6297298201844</v>
      </c>
      <c r="K152" s="444">
        <f t="shared" ca="1" si="2"/>
        <v>6098.785085760358</v>
      </c>
      <c r="L152" s="444">
        <f t="shared" ca="1" si="3"/>
        <v>1469807.2056682461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1469807.2056682461</v>
      </c>
      <c r="J153" s="444">
        <f t="array" ref="J153">IFERROR(INDEX('Retirement Calculator'!J:J,MATCH('Isaac 401k'!N153,'Retirement Calculator'!A:A,0),0),0)</f>
        <v>8395.6297298201844</v>
      </c>
      <c r="K153" s="444">
        <f t="shared" ca="1" si="2"/>
        <v>6089.2148997434415</v>
      </c>
      <c r="L153" s="444">
        <f t="shared" ca="1" si="3"/>
        <v>1467500.7908381694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1467500.7908381694</v>
      </c>
      <c r="J154" s="444">
        <f t="array" ref="J154">IFERROR(INDEX('Retirement Calculator'!J:J,MATCH('Isaac 401k'!N154,'Retirement Calculator'!A:A,0),0),0)</f>
        <v>8395.6297298201844</v>
      </c>
      <c r="K154" s="444">
        <f t="shared" ca="1" si="2"/>
        <v>6079.604837951455</v>
      </c>
      <c r="L154" s="444">
        <f t="shared" ca="1" si="3"/>
        <v>1465184.7659463007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1465184.7659463007</v>
      </c>
      <c r="J155" s="444">
        <f t="array" ref="J155">IFERROR(INDEX('Retirement Calculator'!J:J,MATCH('Isaac 401k'!N155,'Retirement Calculator'!A:A,0),0),0)</f>
        <v>8395.6297298201844</v>
      </c>
      <c r="K155" s="444">
        <f t="shared" ca="1" si="2"/>
        <v>6069.9547342353353</v>
      </c>
      <c r="L155" s="444">
        <f t="shared" ca="1" si="3"/>
        <v>1462859.0909507158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1462859.0909507158</v>
      </c>
      <c r="J156" s="444">
        <f t="array" ref="J156">IFERROR(INDEX('Retirement Calculator'!J:J,MATCH('Isaac 401k'!N156,'Retirement Calculator'!A:A,0),0),0)</f>
        <v>8395.6297298201844</v>
      </c>
      <c r="K156" s="444">
        <f t="shared" ca="1" si="2"/>
        <v>6060.2644217537318</v>
      </c>
      <c r="L156" s="444">
        <f t="shared" ca="1" si="3"/>
        <v>1460523.7256426495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1460523.7256426495</v>
      </c>
      <c r="J157" s="444">
        <f t="array" ref="J157">IFERROR(INDEX('Retirement Calculator'!J:J,MATCH('Isaac 401k'!N157,'Retirement Calculator'!A:A,0),0),0)</f>
        <v>8395.6297298201844</v>
      </c>
      <c r="K157" s="444">
        <f t="shared" ca="1" si="2"/>
        <v>6050.5337329701215</v>
      </c>
      <c r="L157" s="444">
        <f t="shared" ca="1" si="3"/>
        <v>1458178.6296457993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1458178.6296457993</v>
      </c>
      <c r="J158" s="444">
        <f t="array" ref="J158">IFERROR(INDEX('Retirement Calculator'!J:J,MATCH('Isaac 401k'!N158,'Retirement Calculator'!A:A,0),0),0)</f>
        <v>8395.6297298201844</v>
      </c>
      <c r="K158" s="444">
        <f t="shared" ca="1" si="2"/>
        <v>6040.7624996499126</v>
      </c>
      <c r="L158" s="444">
        <f t="shared" ca="1" si="3"/>
        <v>1455823.7624156291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1455823.7624156291</v>
      </c>
      <c r="J159" s="444">
        <f t="array" ref="J159">IFERROR(INDEX('Retirement Calculator'!J:J,MATCH('Isaac 401k'!N159,'Retirement Calculator'!A:A,0),0),0)</f>
        <v>8395.6297298201844</v>
      </c>
      <c r="K159" s="444">
        <f t="shared" ca="1" si="2"/>
        <v>6030.9505528575373</v>
      </c>
      <c r="L159" s="444">
        <f t="shared" ca="1" si="3"/>
        <v>1453459.0832386664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1453459.0832386664</v>
      </c>
      <c r="J160" s="444">
        <f t="array" ref="J160">IFERROR(INDEX('Retirement Calculator'!J:J,MATCH('Isaac 401k'!N160,'Retirement Calculator'!A:A,0),0),0)</f>
        <v>8395.6297298201844</v>
      </c>
      <c r="K160" s="444">
        <f t="shared" ca="1" si="2"/>
        <v>6021.0977229535256</v>
      </c>
      <c r="L160" s="444">
        <f t="shared" ca="1" si="3"/>
        <v>1451084.5512317996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1451084.5512317996</v>
      </c>
      <c r="J161" s="444">
        <f t="array" ref="J161">IFERROR(INDEX('Retirement Calculator'!J:J,MATCH('Isaac 401k'!N161,'Retirement Calculator'!A:A,0),0),0)</f>
        <v>8395.6297298201844</v>
      </c>
      <c r="K161" s="444">
        <f t="shared" ca="1" si="2"/>
        <v>6011.2038395915806</v>
      </c>
      <c r="L161" s="444">
        <f t="shared" ca="1" si="3"/>
        <v>1448700.1253415709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1448700.1253415709</v>
      </c>
      <c r="J162" s="444">
        <f t="array" ref="J162">IFERROR(INDEX('Retirement Calculator'!J:J,MATCH('Isaac 401k'!N162,'Retirement Calculator'!A:A,0),0),0)</f>
        <v>8395.6297298201844</v>
      </c>
      <c r="K162" s="444">
        <f t="shared" ca="1" si="2"/>
        <v>6001.2687317156278</v>
      </c>
      <c r="L162" s="444">
        <f t="shared" ca="1" si="3"/>
        <v>1446305.7643434664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1446305.7643434664</v>
      </c>
      <c r="J163" s="444">
        <f t="array" ref="J163">IFERROR(INDEX('Retirement Calculator'!J:J,MATCH('Isaac 401k'!N163,'Retirement Calculator'!A:A,0),0),0)</f>
        <v>8395.6297298201844</v>
      </c>
      <c r="K163" s="444">
        <f t="shared" ca="1" si="2"/>
        <v>5991.292227556859</v>
      </c>
      <c r="L163" s="444">
        <f t="shared" ca="1" si="3"/>
        <v>1443901.4268412031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1443901.4268412031</v>
      </c>
      <c r="J164" s="444">
        <f t="array" ref="J164">IFERROR(INDEX('Retirement Calculator'!J:J,MATCH('Isaac 401k'!N164,'Retirement Calculator'!A:A,0),0),0)</f>
        <v>8395.6297298201844</v>
      </c>
      <c r="K164" s="444">
        <f t="shared" ca="1" si="2"/>
        <v>5981.2741546307625</v>
      </c>
      <c r="L164" s="444">
        <f t="shared" ca="1" si="3"/>
        <v>1441487.0712660137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1441487.0712660137</v>
      </c>
      <c r="J165" s="444">
        <f t="array" ref="J165">IFERROR(INDEX('Retirement Calculator'!J:J,MATCH('Isaac 401k'!N165,'Retirement Calculator'!A:A,0),0),0)</f>
        <v>8395.6297298201844</v>
      </c>
      <c r="K165" s="444">
        <f t="shared" ca="1" si="2"/>
        <v>5971.2143397341397</v>
      </c>
      <c r="L165" s="444">
        <f t="shared" ca="1" si="3"/>
        <v>1439062.6558759275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1439062.6558759275</v>
      </c>
      <c r="J166" s="444">
        <f t="array" ref="J166">IFERROR(INDEX('Retirement Calculator'!J:J,MATCH('Isaac 401k'!N166,'Retirement Calculator'!A:A,0),0),0)</f>
        <v>8395.6297298201844</v>
      </c>
      <c r="K166" s="444">
        <f t="shared" ca="1" si="2"/>
        <v>5961.1126089421141</v>
      </c>
      <c r="L166" s="444">
        <f t="shared" ca="1" si="3"/>
        <v>1436628.1387550496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1436628.1387550496</v>
      </c>
      <c r="J167" s="444">
        <f t="array" ref="J167">IFERROR(INDEX('Retirement Calculator'!J:J,MATCH('Isaac 401k'!N167,'Retirement Calculator'!A:A,0),0),0)</f>
        <v>8395.6297298201844</v>
      </c>
      <c r="K167" s="444">
        <f t="shared" ca="1" si="2"/>
        <v>5950.9687876051221</v>
      </c>
      <c r="L167" s="444">
        <f t="shared" ca="1" si="3"/>
        <v>1434183.4778128345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1434183.4778128345</v>
      </c>
      <c r="J168" s="444">
        <f t="array" ref="J168">IFERROR(INDEX('Retirement Calculator'!J:J,MATCH('Isaac 401k'!N168,'Retirement Calculator'!A:A,0),0),0)</f>
        <v>8395.6297298201844</v>
      </c>
      <c r="K168" s="444">
        <f t="shared" ca="1" si="2"/>
        <v>5940.7827003458933</v>
      </c>
      <c r="L168" s="444">
        <f t="shared" ca="1" si="3"/>
        <v>1431728.6307833602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1431728.6307833602</v>
      </c>
      <c r="J169" s="444">
        <f t="array" ref="J169">IFERROR(INDEX('Retirement Calculator'!J:J,MATCH('Isaac 401k'!N169,'Retirement Calculator'!A:A,0),0),0)</f>
        <v>8395.6297298201844</v>
      </c>
      <c r="K169" s="444">
        <f t="shared" ca="1" si="2"/>
        <v>5930.5541710564166</v>
      </c>
      <c r="L169" s="444">
        <f t="shared" ca="1" si="3"/>
        <v>1429263.5552245965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1429263.5552245965</v>
      </c>
      <c r="J170" s="444">
        <f t="array" ref="J170">IFERROR(INDEX('Retirement Calculator'!J:J,MATCH('Isaac 401k'!N170,'Retirement Calculator'!A:A,0),0),0)</f>
        <v>8395.6297298201844</v>
      </c>
      <c r="K170" s="444">
        <f t="shared" ca="1" si="2"/>
        <v>5920.2830228949015</v>
      </c>
      <c r="L170" s="444">
        <f t="shared" ca="1" si="3"/>
        <v>1426788.2085176713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1426788.2085176713</v>
      </c>
      <c r="J171" s="444">
        <f t="array" ref="J171">IFERROR(INDEX('Retirement Calculator'!J:J,MATCH('Isaac 401k'!N171,'Retirement Calculator'!A:A,0),0),0)</f>
        <v>8395.6297298201844</v>
      </c>
      <c r="K171" s="444">
        <f t="shared" ca="1" si="2"/>
        <v>5909.9690782827129</v>
      </c>
      <c r="L171" s="444">
        <f t="shared" ca="1" si="3"/>
        <v>1424302.547866134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1424302.547866134</v>
      </c>
      <c r="J172" s="444">
        <f t="array" ref="J172">IFERROR(INDEX('Retirement Calculator'!J:J,MATCH('Isaac 401k'!N172,'Retirement Calculator'!A:A,0),0),0)</f>
        <v>8395.6297298201844</v>
      </c>
      <c r="K172" s="444">
        <f t="shared" ca="1" si="2"/>
        <v>5899.6121589013073</v>
      </c>
      <c r="L172" s="444">
        <f t="shared" ca="1" si="3"/>
        <v>1421806.5302952151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1421806.5302952151</v>
      </c>
      <c r="J173" s="444">
        <f t="array" ref="J173">IFERROR(INDEX('Retirement Calculator'!J:J,MATCH('Isaac 401k'!N173,'Retirement Calculator'!A:A,0),0),0)</f>
        <v>8395.6297298201844</v>
      </c>
      <c r="K173" s="444">
        <f t="shared" ca="1" si="2"/>
        <v>5889.2120856891452</v>
      </c>
      <c r="L173" s="444">
        <f t="shared" ca="1" si="3"/>
        <v>1419300.1126510841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1419300.1126510841</v>
      </c>
      <c r="J174" s="444">
        <f t="array" ref="J174">IFERROR(INDEX('Retirement Calculator'!J:J,MATCH('Isaac 401k'!N174,'Retirement Calculator'!A:A,0),0),0)</f>
        <v>8395.6297298201844</v>
      </c>
      <c r="K174" s="444">
        <f t="shared" ca="1" si="2"/>
        <v>5878.7686788386</v>
      </c>
      <c r="L174" s="444">
        <f t="shared" ca="1" si="3"/>
        <v>1416783.2516001025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1416783.2516001025</v>
      </c>
      <c r="J175" s="444">
        <f t="array" ref="J175">IFERROR(INDEX('Retirement Calculator'!J:J,MATCH('Isaac 401k'!N175,'Retirement Calculator'!A:A,0),0),0)</f>
        <v>8395.6297298201844</v>
      </c>
      <c r="K175" s="444">
        <f t="shared" ca="1" si="2"/>
        <v>5868.2817577928427</v>
      </c>
      <c r="L175" s="444">
        <f t="shared" ca="1" si="3"/>
        <v>1414255.9036280753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1414255.9036280753</v>
      </c>
      <c r="J176" s="444">
        <f t="array" ref="J176">IFERROR(INDEX('Retirement Calculator'!J:J,MATCH('Isaac 401k'!N176,'Retirement Calculator'!A:A,0),0),0)</f>
        <v>8395.6297298201844</v>
      </c>
      <c r="K176" s="444">
        <f t="shared" ca="1" si="2"/>
        <v>5857.7511412427293</v>
      </c>
      <c r="L176" s="444">
        <f t="shared" ca="1" si="3"/>
        <v>1411718.0250394978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1411718.0250394978</v>
      </c>
      <c r="J177" s="444">
        <f t="array" ref="J177">IFERROR(INDEX('Retirement Calculator'!J:J,MATCH('Isaac 401k'!N177,'Retirement Calculator'!A:A,0),0),0)</f>
        <v>8395.6297298201844</v>
      </c>
      <c r="K177" s="444">
        <f t="shared" ca="1" si="2"/>
        <v>5847.1766471236569</v>
      </c>
      <c r="L177" s="444">
        <f t="shared" ca="1" si="3"/>
        <v>1409169.5719568012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1409169.5719568012</v>
      </c>
      <c r="J178" s="444">
        <f t="array" ref="J178">IFERROR(INDEX('Retirement Calculator'!J:J,MATCH('Isaac 401k'!N178,'Retirement Calculator'!A:A,0),0),0)</f>
        <v>8395.6297298201844</v>
      </c>
      <c r="K178" s="444">
        <f t="shared" ca="1" si="2"/>
        <v>5836.5580926124212</v>
      </c>
      <c r="L178" s="444">
        <f t="shared" ca="1" si="3"/>
        <v>1406610.5003195934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1406610.5003195934</v>
      </c>
      <c r="J179" s="444">
        <f t="array" ref="J179">IFERROR(INDEX('Retirement Calculator'!J:J,MATCH('Isaac 401k'!N179,'Retirement Calculator'!A:A,0),0),0)</f>
        <v>8395.6297298201844</v>
      </c>
      <c r="K179" s="444">
        <f t="shared" ca="1" si="2"/>
        <v>5825.895294124055</v>
      </c>
      <c r="L179" s="444">
        <f t="shared" ca="1" si="3"/>
        <v>1404040.7658838972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1404040.7658838972</v>
      </c>
      <c r="J180" s="444">
        <f t="array" ref="J180">IFERROR(INDEX('Retirement Calculator'!J:J,MATCH('Isaac 401k'!N180,'Retirement Calculator'!A:A,0),0),0)</f>
        <v>8395.6297298201844</v>
      </c>
      <c r="K180" s="444">
        <f t="shared" ca="1" si="2"/>
        <v>5815.1880673086544</v>
      </c>
      <c r="L180" s="444">
        <f t="shared" ca="1" si="3"/>
        <v>1401460.3242213856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1401460.3242213856</v>
      </c>
      <c r="J181" s="444">
        <f t="array" ref="J181">IFERROR(INDEX('Retirement Calculator'!J:J,MATCH('Isaac 401k'!N181,'Retirement Calculator'!A:A,0),0),0)</f>
        <v>8395.6297298201844</v>
      </c>
      <c r="K181" s="444">
        <f t="shared" ca="1" si="2"/>
        <v>5804.4362270481897</v>
      </c>
      <c r="L181" s="444">
        <f t="shared" ca="1" si="3"/>
        <v>1398869.1307186137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1398869.1307186137</v>
      </c>
      <c r="J182" s="444">
        <f t="array" ref="J182">IFERROR(INDEX('Retirement Calculator'!J:J,MATCH('Isaac 401k'!N182,'Retirement Calculator'!A:A,0),0),0)</f>
        <v>8395.6297298201844</v>
      </c>
      <c r="K182" s="444">
        <f t="shared" ca="1" si="2"/>
        <v>5793.6395874533064</v>
      </c>
      <c r="L182" s="444">
        <f t="shared" ca="1" si="3"/>
        <v>1396267.1405762469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1396267.1405762469</v>
      </c>
      <c r="J183" s="444">
        <f t="array" ref="J183">IFERROR(INDEX('Retirement Calculator'!J:J,MATCH('Isaac 401k'!N183,'Retirement Calculator'!A:A,0),0),0)</f>
        <v>8395.6297298201844</v>
      </c>
      <c r="K183" s="444">
        <f t="shared" ca="1" si="2"/>
        <v>5782.7979618601112</v>
      </c>
      <c r="L183" s="444">
        <f t="shared" ca="1" si="3"/>
        <v>1393654.3088082869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1393654.3088082869</v>
      </c>
      <c r="J184" s="444">
        <f t="array" ref="J184">IFERROR(INDEX('Retirement Calculator'!J:J,MATCH('Isaac 401k'!N184,'Retirement Calculator'!A:A,0),0),0)</f>
        <v>8395.6297298201844</v>
      </c>
      <c r="K184" s="444">
        <f t="shared" ca="1" si="2"/>
        <v>5771.9111628269447</v>
      </c>
      <c r="L184" s="444">
        <f t="shared" ca="1" si="3"/>
        <v>1391030.5902412937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1391030.5902412937</v>
      </c>
      <c r="J185" s="444">
        <f t="array" ref="J185">IFERROR(INDEX('Retirement Calculator'!J:J,MATCH('Isaac 401k'!N185,'Retirement Calculator'!A:A,0),0),0)</f>
        <v>8395.6297298201844</v>
      </c>
      <c r="K185" s="444">
        <f t="shared" ca="1" si="2"/>
        <v>5760.9790021311392</v>
      </c>
      <c r="L185" s="444">
        <f t="shared" ca="1" si="3"/>
        <v>1388395.9395136046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1388395.9395136046</v>
      </c>
      <c r="J186" s="444">
        <f t="array" ref="J186">IFERROR(INDEX('Retirement Calculator'!J:J,MATCH('Isaac 401k'!N186,'Retirement Calculator'!A:A,0),0),0)</f>
        <v>8395.6297298201844</v>
      </c>
      <c r="K186" s="444">
        <f t="shared" ca="1" si="2"/>
        <v>5750.0012907657683</v>
      </c>
      <c r="L186" s="444">
        <f t="shared" ca="1" si="3"/>
        <v>1385750.3110745503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1385750.3110745503</v>
      </c>
      <c r="J187" s="444">
        <f t="array" ref="J187">IFERROR(INDEX('Retirement Calculator'!J:J,MATCH('Isaac 401k'!N187,'Retirement Calculator'!A:A,0),0),0)</f>
        <v>8395.6297298201844</v>
      </c>
      <c r="K187" s="444">
        <f t="shared" ca="1" si="2"/>
        <v>5738.9778389363755</v>
      </c>
      <c r="L187" s="444">
        <f t="shared" ca="1" si="3"/>
        <v>1383093.6591836663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1383093.6591836663</v>
      </c>
      <c r="J188" s="444">
        <f t="array" ref="J188">IFERROR(INDEX('Retirement Calculator'!J:J,MATCH('Isaac 401k'!N188,'Retirement Calculator'!A:A,0),0),0)</f>
        <v>8395.6297298201844</v>
      </c>
      <c r="K188" s="444">
        <f t="shared" ca="1" si="2"/>
        <v>5727.9084560576921</v>
      </c>
      <c r="L188" s="444">
        <f t="shared" ca="1" si="3"/>
        <v>1380425.9379099039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1380425.9379099039</v>
      </c>
      <c r="J189" s="444">
        <f t="array" ref="J189">IFERROR(INDEX('Retirement Calculator'!J:J,MATCH('Isaac 401k'!N189,'Retirement Calculator'!A:A,0),0),0)</f>
        <v>8395.6297298201844</v>
      </c>
      <c r="K189" s="444">
        <f t="shared" ca="1" si="2"/>
        <v>5716.7929507503486</v>
      </c>
      <c r="L189" s="444">
        <f t="shared" ca="1" si="3"/>
        <v>1377747.1011308341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1377747.1011308341</v>
      </c>
      <c r="J190" s="444">
        <f t="array" ref="J190">IFERROR(INDEX('Retirement Calculator'!J:J,MATCH('Isaac 401k'!N190,'Retirement Calculator'!A:A,0),0),0)</f>
        <v>8395.6297298201844</v>
      </c>
      <c r="K190" s="444">
        <f t="shared" ca="1" si="2"/>
        <v>5705.631130837558</v>
      </c>
      <c r="L190" s="444">
        <f t="shared" ca="1" si="3"/>
        <v>1375057.1025318515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1375057.1025318515</v>
      </c>
      <c r="J191" s="444">
        <f t="array" ref="J191">IFERROR(INDEX('Retirement Calculator'!J:J,MATCH('Isaac 401k'!N191,'Retirement Calculator'!A:A,0),0),0)</f>
        <v>8395.6297298201844</v>
      </c>
      <c r="K191" s="444">
        <f t="shared" ca="1" si="2"/>
        <v>5694.4228033417967</v>
      </c>
      <c r="L191" s="444">
        <f t="shared" ca="1" si="3"/>
        <v>1372355.8956053732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1372355.8956053732</v>
      </c>
      <c r="J192" s="444">
        <f t="array" ref="J192">IFERROR(INDEX('Retirement Calculator'!J:J,MATCH('Isaac 401k'!N192,'Retirement Calculator'!A:A,0),0),0)</f>
        <v>8395.6297298201844</v>
      </c>
      <c r="K192" s="444">
        <f t="shared" ca="1" si="2"/>
        <v>5683.1677744814706</v>
      </c>
      <c r="L192" s="444">
        <f t="shared" ca="1" si="3"/>
        <v>1369643.4336500345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1369643.4336500345</v>
      </c>
      <c r="J193" s="444">
        <f t="array" ref="J193">IFERROR(INDEX('Retirement Calculator'!J:J,MATCH('Isaac 401k'!N193,'Retirement Calculator'!A:A,0),0),0)</f>
        <v>8395.6297298201844</v>
      </c>
      <c r="K193" s="444">
        <f t="shared" ca="1" si="2"/>
        <v>5671.8658496675598</v>
      </c>
      <c r="L193" s="444">
        <f t="shared" ca="1" si="3"/>
        <v>1366919.6697698818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1366919.6697698818</v>
      </c>
      <c r="J194" s="444">
        <f t="array" ref="J194">IFERROR(INDEX('Retirement Calculator'!J:J,MATCH('Isaac 401k'!N194,'Retirement Calculator'!A:A,0),0),0)</f>
        <v>8395.6297298201844</v>
      </c>
      <c r="K194" s="444">
        <f t="shared" ca="1" si="2"/>
        <v>5660.5168335002563</v>
      </c>
      <c r="L194" s="444">
        <f t="shared" ca="1" si="3"/>
        <v>1364184.5568735618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1364184.5568735618</v>
      </c>
      <c r="J195" s="444">
        <f t="array" ref="J195">IFERROR(INDEX('Retirement Calculator'!J:J,MATCH('Isaac 401k'!N195,'Retirement Calculator'!A:A,0),0),0)</f>
        <v>8395.6297298201844</v>
      </c>
      <c r="K195" s="444">
        <f t="shared" ca="1" si="2"/>
        <v>5649.1205297655897</v>
      </c>
      <c r="L195" s="444">
        <f t="shared" ca="1" si="3"/>
        <v>1361438.0476735071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1361438.0476735071</v>
      </c>
      <c r="J196" s="444">
        <f t="array" ref="J196">IFERROR(INDEX('Retirement Calculator'!J:J,MATCH('Isaac 401k'!N196,'Retirement Calculator'!A:A,0),0),0)</f>
        <v>8395.6297298201844</v>
      </c>
      <c r="K196" s="444">
        <f t="shared" ca="1" si="2"/>
        <v>5637.6767414320293</v>
      </c>
      <c r="L196" s="444">
        <f t="shared" ca="1" si="3"/>
        <v>1358680.0946851189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1358680.0946851189</v>
      </c>
      <c r="J197" s="444">
        <f t="array" ref="J197">IFERROR(INDEX('Retirement Calculator'!J:J,MATCH('Isaac 401k'!N197,'Retirement Calculator'!A:A,0),0),0)</f>
        <v>8395.6297298201844</v>
      </c>
      <c r="K197" s="444">
        <f t="shared" ca="1" si="2"/>
        <v>5626.1852706470781</v>
      </c>
      <c r="L197" s="444">
        <f t="shared" ca="1" si="3"/>
        <v>1355910.6502259457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1355910.6502259457</v>
      </c>
      <c r="J198" s="444">
        <f t="array" ref="J198">IFERROR(INDEX('Retirement Calculator'!J:J,MATCH('Isaac 401k'!N198,'Retirement Calculator'!A:A,0),0),0)</f>
        <v>8395.6297298201844</v>
      </c>
      <c r="K198" s="444">
        <f t="shared" ca="1" si="2"/>
        <v>5614.6459187338569</v>
      </c>
      <c r="L198" s="444">
        <f t="shared" ca="1" si="3"/>
        <v>1353129.6664148595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1353129.6664148595</v>
      </c>
      <c r="J199" s="444">
        <f t="array" ref="J199">IFERROR(INDEX('Retirement Calculator'!J:J,MATCH('Isaac 401k'!N199,'Retirement Calculator'!A:A,0),0),0)</f>
        <v>8395.6297298201844</v>
      </c>
      <c r="K199" s="444">
        <f t="shared" ca="1" si="2"/>
        <v>5603.0584861876632</v>
      </c>
      <c r="L199" s="444">
        <f t="shared" ca="1" si="3"/>
        <v>1350337.0951712269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1350337.0951712269</v>
      </c>
      <c r="J200" s="444">
        <f t="array" ref="J200">IFERROR(INDEX('Retirement Calculator'!J:J,MATCH('Isaac 401k'!N200,'Retirement Calculator'!A:A,0),0),0)</f>
        <v>8395.6297298201844</v>
      </c>
      <c r="K200" s="444">
        <f t="shared" ca="1" si="2"/>
        <v>5591.4227726725276</v>
      </c>
      <c r="L200" s="444">
        <f t="shared" ca="1" si="3"/>
        <v>1347532.8882140792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1347532.8882140792</v>
      </c>
      <c r="J201" s="444">
        <f t="array" ref="J201">IFERROR(INDEX('Retirement Calculator'!J:J,MATCH('Isaac 401k'!N201,'Retirement Calculator'!A:A,0),0),0)</f>
        <v>8395.6297298201844</v>
      </c>
      <c r="K201" s="444">
        <f t="shared" ca="1" si="2"/>
        <v>5579.7385770177461</v>
      </c>
      <c r="L201" s="444">
        <f t="shared" ca="1" si="3"/>
        <v>1344716.9970612768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1344716.9970612768</v>
      </c>
      <c r="J202" s="444">
        <f t="array" ref="J202">IFERROR(INDEX('Retirement Calculator'!J:J,MATCH('Isaac 401k'!N202,'Retirement Calculator'!A:A,0),0),0)</f>
        <v>8395.6297298201844</v>
      </c>
      <c r="K202" s="444">
        <f t="shared" ca="1" si="2"/>
        <v>5568.005697214403</v>
      </c>
      <c r="L202" s="444">
        <f t="shared" ca="1" si="3"/>
        <v>1341889.3730286711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1341889.3730286711</v>
      </c>
      <c r="J203" s="444">
        <f t="array" ref="J203">IFERROR(INDEX('Retirement Calculator'!J:J,MATCH('Isaac 401k'!N203,'Retirement Calculator'!A:A,0),0),0)</f>
        <v>8395.6297298201844</v>
      </c>
      <c r="K203" s="444">
        <f t="shared" ca="1" si="2"/>
        <v>5556.2239304118793</v>
      </c>
      <c r="L203" s="444">
        <f t="shared" ca="1" si="3"/>
        <v>1339049.9672292629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1339049.9672292629</v>
      </c>
      <c r="J204" s="444">
        <f t="array" ref="J204">IFERROR(INDEX('Retirement Calculator'!J:J,MATCH('Isaac 401k'!N204,'Retirement Calculator'!A:A,0),0),0)</f>
        <v>8395.6297298201844</v>
      </c>
      <c r="K204" s="444">
        <f t="shared" ca="1" si="2"/>
        <v>5544.3930729143449</v>
      </c>
      <c r="L204" s="444">
        <f t="shared" ca="1" si="3"/>
        <v>1336198.7305723571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1336198.7305723571</v>
      </c>
      <c r="J205" s="444">
        <f t="array" ref="J205">IFERROR(INDEX('Retirement Calculator'!J:J,MATCH('Isaac 401k'!N205,'Retirement Calculator'!A:A,0),0),0)</f>
        <v>8395.6297298201844</v>
      </c>
      <c r="K205" s="444">
        <f t="shared" ca="1" si="2"/>
        <v>5532.512920177237</v>
      </c>
      <c r="L205" s="444">
        <f t="shared" ca="1" si="3"/>
        <v>1333335.6137627142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1333335.6137627142</v>
      </c>
      <c r="J206" s="444">
        <f t="array" ref="J206">IFERROR(INDEX('Retirement Calculator'!J:J,MATCH('Isaac 401k'!N206,'Retirement Calculator'!A:A,0),0),0)</f>
        <v>8395.6297298201844</v>
      </c>
      <c r="K206" s="444">
        <f t="shared" ca="1" si="2"/>
        <v>5520.5832668037247</v>
      </c>
      <c r="L206" s="444">
        <f t="shared" ca="1" si="3"/>
        <v>1330460.5672996978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1330460.5672996978</v>
      </c>
      <c r="J207" s="444">
        <f t="array" ref="J207">IFERROR(INDEX('Retirement Calculator'!J:J,MATCH('Isaac 401k'!N207,'Retirement Calculator'!A:A,0),0),0)</f>
        <v>8395.6297298201844</v>
      </c>
      <c r="K207" s="444">
        <f t="shared" ca="1" si="2"/>
        <v>5508.6039065411569</v>
      </c>
      <c r="L207" s="444">
        <f t="shared" ca="1" si="3"/>
        <v>1327573.5414764187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1327573.5414764187</v>
      </c>
      <c r="J208" s="444">
        <f t="array" ref="J208">IFERROR(INDEX('Retirement Calculator'!J:J,MATCH('Isaac 401k'!N208,'Retirement Calculator'!A:A,0),0),0)</f>
        <v>8395.6297298201844</v>
      </c>
      <c r="K208" s="444">
        <f t="shared" ca="1" si="2"/>
        <v>5496.5746322774939</v>
      </c>
      <c r="L208" s="444">
        <f t="shared" ca="1" si="3"/>
        <v>1324674.486378876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1324674.486378876</v>
      </c>
      <c r="J209" s="444">
        <f t="array" ref="J209">IFERROR(INDEX('Retirement Calculator'!J:J,MATCH('Isaac 401k'!N209,'Retirement Calculator'!A:A,0),0),0)</f>
        <v>8395.6297298201844</v>
      </c>
      <c r="K209" s="444">
        <f t="shared" ca="1" si="2"/>
        <v>5484.4952360377329</v>
      </c>
      <c r="L209" s="444">
        <f t="shared" ca="1" si="3"/>
        <v>1321763.3518850936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1321763.3518850936</v>
      </c>
      <c r="J210" s="444">
        <f t="array" ref="J210">IFERROR(INDEX('Retirement Calculator'!J:J,MATCH('Isaac 401k'!N210,'Retirement Calculator'!A:A,0),0),0)</f>
        <v>8395.6297298201844</v>
      </c>
      <c r="K210" s="444">
        <f t="shared" ca="1" si="2"/>
        <v>5472.365508980306</v>
      </c>
      <c r="L210" s="444">
        <f t="shared" ca="1" si="3"/>
        <v>1318840.0876642538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1318840.0876642538</v>
      </c>
      <c r="J211" s="444">
        <f t="array" ref="J211">IFERROR(INDEX('Retirement Calculator'!J:J,MATCH('Isaac 401k'!N211,'Retirement Calculator'!A:A,0),0),0)</f>
        <v>8395.6297298201844</v>
      </c>
      <c r="K211" s="444">
        <f t="shared" ca="1" si="2"/>
        <v>5460.185241393473</v>
      </c>
      <c r="L211" s="444">
        <f t="shared" ca="1" si="3"/>
        <v>1315904.6431758271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1315904.6431758271</v>
      </c>
      <c r="J212" s="444">
        <f t="array" ref="J212">IFERROR(INDEX('Retirement Calculator'!J:J,MATCH('Isaac 401k'!N212,'Retirement Calculator'!A:A,0),0),0)</f>
        <v>8395.6297298201844</v>
      </c>
      <c r="K212" s="444">
        <f t="shared" ca="1" si="2"/>
        <v>5447.9542226916956</v>
      </c>
      <c r="L212" s="444">
        <f t="shared" ca="1" si="3"/>
        <v>1312956.9676686986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1312956.9676686986</v>
      </c>
      <c r="J213" s="444">
        <f t="array" ref="J213">IFERROR(INDEX('Retirement Calculator'!J:J,MATCH('Isaac 401k'!N213,'Retirement Calculator'!A:A,0),0),0)</f>
        <v>8395.6297298201844</v>
      </c>
      <c r="K213" s="444">
        <f t="shared" ca="1" si="2"/>
        <v>5435.6722414119931</v>
      </c>
      <c r="L213" s="444">
        <f t="shared" ca="1" si="3"/>
        <v>1309997.0101802906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1309997.0101802906</v>
      </c>
      <c r="J214" s="444">
        <f t="array" ref="J214">IFERROR(INDEX('Retirement Calculator'!J:J,MATCH('Isaac 401k'!N214,'Retirement Calculator'!A:A,0),0),0)</f>
        <v>8395.6297298201844</v>
      </c>
      <c r="K214" s="444">
        <f t="shared" ca="1" si="2"/>
        <v>5423.339085210293</v>
      </c>
      <c r="L214" s="444">
        <f t="shared" ca="1" si="3"/>
        <v>1307024.7195356807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1307024.7195356807</v>
      </c>
      <c r="J215" s="444">
        <f t="array" ref="J215">IFERROR(INDEX('Retirement Calculator'!J:J,MATCH('Isaac 401k'!N215,'Retirement Calculator'!A:A,0),0),0)</f>
        <v>8395.6297298201844</v>
      </c>
      <c r="K215" s="444">
        <f t="shared" ca="1" si="2"/>
        <v>5410.9545408577524</v>
      </c>
      <c r="L215" s="444">
        <f t="shared" ca="1" si="3"/>
        <v>1304040.0443467184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1304040.0443467184</v>
      </c>
      <c r="J216" s="444">
        <f t="array" ref="J216">IFERROR(INDEX('Retirement Calculator'!J:J,MATCH('Isaac 401k'!N216,'Retirement Calculator'!A:A,0),0),0)</f>
        <v>8395.6297298201844</v>
      </c>
      <c r="K216" s="444">
        <f t="shared" ca="1" si="2"/>
        <v>5398.5183942370759</v>
      </c>
      <c r="L216" s="444">
        <f t="shared" ca="1" si="3"/>
        <v>1301042.9330111353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1301042.9330111353</v>
      </c>
      <c r="J217" s="444">
        <f t="array" ref="J217">IFERROR(INDEX('Retirement Calculator'!J:J,MATCH('Isaac 401k'!N217,'Retirement Calculator'!A:A,0),0),0)</f>
        <v>8395.6297298201844</v>
      </c>
      <c r="K217" s="444">
        <f t="shared" ca="1" si="2"/>
        <v>5386.0304303388129</v>
      </c>
      <c r="L217" s="444">
        <f t="shared" ca="1" si="3"/>
        <v>1298033.3337116539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1298033.3337116539</v>
      </c>
      <c r="J218" s="444">
        <f t="array" ref="J218">IFERROR(INDEX('Retirement Calculator'!J:J,MATCH('Isaac 401k'!N218,'Retirement Calculator'!A:A,0),0),0)</f>
        <v>8395.6297298201844</v>
      </c>
      <c r="K218" s="444">
        <f t="shared" ca="1" si="2"/>
        <v>5373.4904332576407</v>
      </c>
      <c r="L218" s="444">
        <f t="shared" ca="1" si="3"/>
        <v>1295011.1944150913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1295011.1944150913</v>
      </c>
      <c r="J219" s="444">
        <f t="array" ref="J219">IFERROR(INDEX('Retirement Calculator'!J:J,MATCH('Isaac 401k'!N219,'Retirement Calculator'!A:A,0),0),0)</f>
        <v>8395.6297298201844</v>
      </c>
      <c r="K219" s="444">
        <f t="shared" ca="1" si="2"/>
        <v>5360.8981861886296</v>
      </c>
      <c r="L219" s="444">
        <f t="shared" ca="1" si="3"/>
        <v>1291976.4628714598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1291976.4628714598</v>
      </c>
      <c r="J220" s="444">
        <f t="array" ref="J220">IFERROR(INDEX('Retirement Calculator'!J:J,MATCH('Isaac 401k'!N220,'Retirement Calculator'!A:A,0),0),0)</f>
        <v>8395.6297298201844</v>
      </c>
      <c r="K220" s="444">
        <f t="shared" ca="1" si="2"/>
        <v>5348.253471423498</v>
      </c>
      <c r="L220" s="444">
        <f t="shared" ca="1" si="3"/>
        <v>1288929.086613063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1288929.086613063</v>
      </c>
      <c r="J221" s="444">
        <f t="array" ref="J221">IFERROR(INDEX('Retirement Calculator'!J:J,MATCH('Isaac 401k'!N221,'Retirement Calculator'!A:A,0),0),0)</f>
        <v>8395.6297298201844</v>
      </c>
      <c r="K221" s="444">
        <f t="shared" ca="1" si="2"/>
        <v>5335.5560703468454</v>
      </c>
      <c r="L221" s="444">
        <f t="shared" ca="1" si="3"/>
        <v>1285869.0129535897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1285869.0129535897</v>
      </c>
      <c r="J222" s="444">
        <f t="array" ref="J222">IFERROR(INDEX('Retirement Calculator'!J:J,MATCH('Isaac 401k'!N222,'Retirement Calculator'!A:A,0),0),0)</f>
        <v>8395.6297298201844</v>
      </c>
      <c r="K222" s="444">
        <f t="shared" ca="1" si="2"/>
        <v>5322.8057634323732</v>
      </c>
      <c r="L222" s="444">
        <f t="shared" ca="1" si="3"/>
        <v>1282796.1889872018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1282796.1889872018</v>
      </c>
      <c r="J223" s="444">
        <f t="array" ref="J223">IFERROR(INDEX('Retirement Calculator'!J:J,MATCH('Isaac 401k'!N223,'Retirement Calculator'!A:A,0),0),0)</f>
        <v>8395.6297298201844</v>
      </c>
      <c r="K223" s="444">
        <f t="shared" ca="1" si="2"/>
        <v>5310.00233023909</v>
      </c>
      <c r="L223" s="444">
        <f t="shared" ca="1" si="3"/>
        <v>1279710.5615876208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1279710.5615876208</v>
      </c>
      <c r="J224" s="444">
        <f t="array" ref="J224">IFERROR(INDEX('Retirement Calculator'!J:J,MATCH('Isaac 401k'!N224,'Retirement Calculator'!A:A,0),0),0)</f>
        <v>8395.6297298201844</v>
      </c>
      <c r="K224" s="444">
        <f t="shared" ca="1" si="2"/>
        <v>5297.1455494075026</v>
      </c>
      <c r="L224" s="444">
        <f t="shared" ca="1" si="3"/>
        <v>1276612.077407208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1276612.077407208</v>
      </c>
      <c r="J225" s="444">
        <f t="array" ref="J225">IFERROR(INDEX('Retirement Calculator'!J:J,MATCH('Isaac 401k'!N225,'Retirement Calculator'!A:A,0),0),0)</f>
        <v>8395.6297298201844</v>
      </c>
      <c r="K225" s="444">
        <f t="shared" ca="1" si="2"/>
        <v>5284.2351986557824</v>
      </c>
      <c r="L225" s="444">
        <f t="shared" ca="1" si="3"/>
        <v>1273500.6828760437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1273500.6828760437</v>
      </c>
      <c r="J226" s="444">
        <f t="array" ref="J226">IFERROR(INDEX('Retirement Calculator'!J:J,MATCH('Isaac 401k'!N226,'Retirement Calculator'!A:A,0),0),0)</f>
        <v>8395.6297298201844</v>
      </c>
      <c r="K226" s="444">
        <f t="shared" ca="1" si="2"/>
        <v>5271.2710547759316</v>
      </c>
      <c r="L226" s="444">
        <f t="shared" ca="1" si="3"/>
        <v>1270376.3242009995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1270376.3242009995</v>
      </c>
      <c r="J227" s="444">
        <f t="array" ref="J227">IFERROR(INDEX('Retirement Calculator'!J:J,MATCH('Isaac 401k'!N227,'Retirement Calculator'!A:A,0),0),0)</f>
        <v>8395.6297298201844</v>
      </c>
      <c r="K227" s="444">
        <f t="shared" ca="1" si="2"/>
        <v>5258.2528936299132</v>
      </c>
      <c r="L227" s="444">
        <f t="shared" ca="1" si="3"/>
        <v>1267238.9473648092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1267238.9473648092</v>
      </c>
      <c r="J228" s="444">
        <f t="array" ref="J228">IFERROR(INDEX('Retirement Calculator'!J:J,MATCH('Isaac 401k'!N228,'Retirement Calculator'!A:A,0),0),0)</f>
        <v>8395.6297298201844</v>
      </c>
      <c r="K228" s="444">
        <f t="shared" ca="1" si="2"/>
        <v>5245.1804901457872</v>
      </c>
      <c r="L228" s="444">
        <f t="shared" ca="1" si="3"/>
        <v>1264088.4981251347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1264088.4981251347</v>
      </c>
      <c r="J229" s="444">
        <f t="array" ref="J229">IFERROR(INDEX('Retirement Calculator'!J:J,MATCH('Isaac 401k'!N229,'Retirement Calculator'!A:A,0),0),0)</f>
        <v>8395.6297298201844</v>
      </c>
      <c r="K229" s="444">
        <f t="shared" ca="1" si="2"/>
        <v>5232.0536183138101</v>
      </c>
      <c r="L229" s="444">
        <f t="shared" ca="1" si="3"/>
        <v>1260924.9220136283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1260924.9220136283</v>
      </c>
      <c r="J230" s="444">
        <f t="array" ref="J230">IFERROR(INDEX('Retirement Calculator'!J:J,MATCH('Isaac 401k'!N230,'Retirement Calculator'!A:A,0),0),0)</f>
        <v>8395.6297298201844</v>
      </c>
      <c r="K230" s="444">
        <f t="shared" ca="1" si="2"/>
        <v>5218.8720511825341</v>
      </c>
      <c r="L230" s="444">
        <f t="shared" ca="1" si="3"/>
        <v>1257748.1643349905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1257748.1643349905</v>
      </c>
      <c r="J231" s="444">
        <f t="array" ref="J231">IFERROR(INDEX('Retirement Calculator'!J:J,MATCH('Isaac 401k'!N231,'Retirement Calculator'!A:A,0),0),0)</f>
        <v>8395.6297298201844</v>
      </c>
      <c r="K231" s="444">
        <f t="shared" ca="1" si="2"/>
        <v>5205.6355608548765</v>
      </c>
      <c r="L231" s="444">
        <f t="shared" ca="1" si="3"/>
        <v>1254558.1701660252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1254558.1701660252</v>
      </c>
      <c r="J232" s="444">
        <f t="array" ref="J232">IFERROR(INDEX('Retirement Calculator'!J:J,MATCH('Isaac 401k'!N232,'Retirement Calculator'!A:A,0),0),0)</f>
        <v>8395.6297298201844</v>
      </c>
      <c r="K232" s="444">
        <f t="shared" ca="1" si="2"/>
        <v>5192.3439184841873</v>
      </c>
      <c r="L232" s="444">
        <f t="shared" ca="1" si="3"/>
        <v>1251354.8843546892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1251354.8843546892</v>
      </c>
      <c r="J233" s="444">
        <f t="array" ref="J233">IFERROR(INDEX('Retirement Calculator'!J:J,MATCH('Isaac 401k'!N233,'Retirement Calculator'!A:A,0),0),0)</f>
        <v>8395.6297298201844</v>
      </c>
      <c r="K233" s="444">
        <f t="shared" ca="1" si="2"/>
        <v>5178.9968942702872</v>
      </c>
      <c r="L233" s="444">
        <f t="shared" ca="1" si="3"/>
        <v>1248138.2515191392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1248138.2515191392</v>
      </c>
      <c r="J234" s="444">
        <f t="array" ref="J234">IFERROR(INDEX('Retirement Calculator'!J:J,MATCH('Isaac 401k'!N234,'Retirement Calculator'!A:A,0),0),0)</f>
        <v>8395.6297298201844</v>
      </c>
      <c r="K234" s="444">
        <f t="shared" ca="1" si="2"/>
        <v>5165.5942574554956</v>
      </c>
      <c r="L234" s="444">
        <f t="shared" ca="1" si="3"/>
        <v>1244908.2160467745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1244908.2160467745</v>
      </c>
      <c r="J235" s="444">
        <f t="array" ref="J235">IFERROR(INDEX('Retirement Calculator'!J:J,MATCH('Isaac 401k'!N235,'Retirement Calculator'!A:A,0),0),0)</f>
        <v>8395.6297298201844</v>
      </c>
      <c r="K235" s="444">
        <f t="shared" ca="1" si="2"/>
        <v>5152.1357763206433</v>
      </c>
      <c r="L235" s="444">
        <f t="shared" ca="1" si="3"/>
        <v>1241664.722093275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1241664.722093275</v>
      </c>
      <c r="J236" s="444">
        <f t="array" ref="J236">IFERROR(INDEX('Retirement Calculator'!J:J,MATCH('Isaac 401k'!N236,'Retirement Calculator'!A:A,0),0),0)</f>
        <v>8395.6297298201844</v>
      </c>
      <c r="K236" s="444">
        <f t="shared" ca="1" si="2"/>
        <v>5138.6212181810615</v>
      </c>
      <c r="L236" s="444">
        <f t="shared" ca="1" si="3"/>
        <v>1238407.7135816358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1238407.7135816358</v>
      </c>
      <c r="J237" s="444">
        <f t="array" ref="J237">IFERROR(INDEX('Retirement Calculator'!J:J,MATCH('Isaac 401k'!N237,'Retirement Calculator'!A:A,0),0),0)</f>
        <v>8395.6297298201844</v>
      </c>
      <c r="K237" s="444">
        <f t="shared" ca="1" si="2"/>
        <v>5125.0503493825654</v>
      </c>
      <c r="L237" s="444">
        <f t="shared" ca="1" si="3"/>
        <v>1235137.1342011981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1235137.1342011981</v>
      </c>
      <c r="J238" s="444">
        <f t="array" ref="J238">IFERROR(INDEX('Retirement Calculator'!J:J,MATCH('Isaac 401k'!N238,'Retirement Calculator'!A:A,0),0),0)</f>
        <v>8395.6297298201844</v>
      </c>
      <c r="K238" s="444">
        <f t="shared" ca="1" si="2"/>
        <v>5111.422935297408</v>
      </c>
      <c r="L238" s="444">
        <f t="shared" ca="1" si="3"/>
        <v>1231852.9274066754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1231852.9274066754</v>
      </c>
      <c r="J239" s="444">
        <f t="array" ref="J239">IFERROR(INDEX('Retirement Calculator'!J:J,MATCH('Isaac 401k'!N239,'Retirement Calculator'!A:A,0),0),0)</f>
        <v>8395.6297298201844</v>
      </c>
      <c r="K239" s="444">
        <f t="shared" ca="1" si="2"/>
        <v>5097.7387403202301</v>
      </c>
      <c r="L239" s="444">
        <f t="shared" ca="1" si="3"/>
        <v>1228555.0364171756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1228555.0364171756</v>
      </c>
      <c r="J240" s="444">
        <f t="array" ref="J240">IFERROR(INDEX('Retirement Calculator'!J:J,MATCH('Isaac 401k'!N240,'Retirement Calculator'!A:A,0),0),0)</f>
        <v>8395.6297298201844</v>
      </c>
      <c r="K240" s="444">
        <f t="shared" ca="1" si="2"/>
        <v>5083.9975278639804</v>
      </c>
      <c r="L240" s="444">
        <f t="shared" ca="1" si="3"/>
        <v>1225243.4042152194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1225243.4042152194</v>
      </c>
      <c r="J241" s="444">
        <f t="array" ref="J241">IFERROR(INDEX('Retirement Calculator'!J:J,MATCH('Isaac 401k'!N241,'Retirement Calculator'!A:A,0),0),0)</f>
        <v>8395.6297298201844</v>
      </c>
      <c r="K241" s="444">
        <f t="shared" ca="1" si="2"/>
        <v>5070.1990603558297</v>
      </c>
      <c r="L241" s="444">
        <f t="shared" ca="1" si="3"/>
        <v>1221917.973545755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1221917.973545755</v>
      </c>
      <c r="J242" s="444">
        <f t="array" ref="J242">IFERROR(INDEX('Retirement Calculator'!J:J,MATCH('Isaac 401k'!N242,'Retirement Calculator'!A:A,0),0),0)</f>
        <v>8395.6297298201844</v>
      </c>
      <c r="K242" s="444">
        <f t="shared" ca="1" si="2"/>
        <v>5056.3430992330614</v>
      </c>
      <c r="L242" s="444">
        <f t="shared" ca="1" si="3"/>
        <v>1218578.6869151678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1218578.6869151678</v>
      </c>
      <c r="J243" s="444">
        <f t="array" ref="J243">IFERROR(INDEX('Retirement Calculator'!J:J,MATCH('Isaac 401k'!N243,'Retirement Calculator'!A:A,0),0),0)</f>
        <v>8395.6297298201844</v>
      </c>
      <c r="K243" s="444">
        <f t="shared" ca="1" si="2"/>
        <v>5042.4294049389482</v>
      </c>
      <c r="L243" s="444">
        <f t="shared" ca="1" si="3"/>
        <v>1215225.4865902867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1215225.4865902867</v>
      </c>
      <c r="J244" s="444">
        <f t="array" ref="J244">IFERROR(INDEX('Retirement Calculator'!J:J,MATCH('Isaac 401k'!N244,'Retirement Calculator'!A:A,0),0),0)</f>
        <v>8395.6297298201844</v>
      </c>
      <c r="K244" s="444">
        <f t="shared" ca="1" si="2"/>
        <v>5028.4577369186109</v>
      </c>
      <c r="L244" s="444">
        <f t="shared" ca="1" si="3"/>
        <v>1211858.3145973852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1211858.3145973852</v>
      </c>
      <c r="J245" s="444">
        <f t="array" ref="J245">IFERROR(INDEX('Retirement Calculator'!J:J,MATCH('Isaac 401k'!N245,'Retirement Calculator'!A:A,0),0),0)</f>
        <v>8395.6297298201844</v>
      </c>
      <c r="K245" s="444">
        <f t="shared" ca="1" si="2"/>
        <v>5014.427853614854</v>
      </c>
      <c r="L245" s="444">
        <f t="shared" ca="1" si="3"/>
        <v>1208477.1127211798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1208477.1127211798</v>
      </c>
      <c r="J246" s="444">
        <f t="array" ref="J246">IFERROR(INDEX('Retirement Calculator'!J:J,MATCH('Isaac 401k'!N246,'Retirement Calculator'!A:A,0),0),0)</f>
        <v>8395.6297298201844</v>
      </c>
      <c r="K246" s="444">
        <f t="shared" ca="1" si="2"/>
        <v>5000.3395124639983</v>
      </c>
      <c r="L246" s="444">
        <f t="shared" ca="1" si="3"/>
        <v>1205081.8225038236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1205081.8225038236</v>
      </c>
      <c r="J247" s="444">
        <f t="array" ref="J247">IFERROR(INDEX('Retirement Calculator'!J:J,MATCH('Isaac 401k'!N247,'Retirement Calculator'!A:A,0),0),0)</f>
        <v>8395.6297298201844</v>
      </c>
      <c r="K247" s="444">
        <f t="shared" ca="1" si="2"/>
        <v>4986.192469891681</v>
      </c>
      <c r="L247" s="444">
        <f t="shared" ca="1" si="3"/>
        <v>1201672.385243895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1201672.385243895</v>
      </c>
      <c r="J248" s="444">
        <f t="array" ref="J248">IFERROR(INDEX('Retirement Calculator'!J:J,MATCH('Isaac 401k'!N248,'Retirement Calculator'!A:A,0),0),0)</f>
        <v>8395.6297298201844</v>
      </c>
      <c r="K248" s="444">
        <f t="shared" ca="1" si="2"/>
        <v>4971.9864813086451</v>
      </c>
      <c r="L248" s="444">
        <f t="shared" ca="1" si="3"/>
        <v>1198248.7419953835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1198248.7419953835</v>
      </c>
      <c r="J249" s="444">
        <f t="array" ref="J249">IFERROR(INDEX('Retirement Calculator'!J:J,MATCH('Isaac 401k'!N249,'Retirement Calculator'!A:A,0),0),0)</f>
        <v>8395.6297298201844</v>
      </c>
      <c r="K249" s="444">
        <f t="shared" ca="1" si="2"/>
        <v>4957.7213011065141</v>
      </c>
      <c r="L249" s="444">
        <f t="shared" ca="1" si="3"/>
        <v>1194810.8335666698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1194810.8335666698</v>
      </c>
      <c r="J250" s="444">
        <f t="array" ref="J250">IFERROR(INDEX('Retirement Calculator'!J:J,MATCH('Isaac 401k'!N250,'Retirement Calculator'!A:A,0),0),0)</f>
        <v>8395.6297298201844</v>
      </c>
      <c r="K250" s="444">
        <f t="shared" ca="1" si="2"/>
        <v>4943.3966826535398</v>
      </c>
      <c r="L250" s="444">
        <f t="shared" ca="1" si="3"/>
        <v>1191358.6005195032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1191358.6005195032</v>
      </c>
      <c r="J251" s="444">
        <f t="array" ref="J251">IFERROR(INDEX('Retirement Calculator'!J:J,MATCH('Isaac 401k'!N251,'Retirement Calculator'!A:A,0),0),0)</f>
        <v>8395.6297298201844</v>
      </c>
      <c r="K251" s="444">
        <f t="shared" ca="1" si="2"/>
        <v>4929.0123782903456</v>
      </c>
      <c r="L251" s="444">
        <f t="shared" ca="1" si="3"/>
        <v>1187891.9831679733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1187891.9831679733</v>
      </c>
      <c r="J252" s="444">
        <f t="array" ref="J252">IFERROR(INDEX('Retirement Calculator'!J:J,MATCH('Isaac 401k'!N252,'Retirement Calculator'!A:A,0),0),0)</f>
        <v>8395.6297298201844</v>
      </c>
      <c r="K252" s="444">
        <f t="shared" ca="1" si="2"/>
        <v>4914.5681393256382</v>
      </c>
      <c r="L252" s="444">
        <f t="shared" ca="1" si="3"/>
        <v>1184410.9215774788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1184410.9215774788</v>
      </c>
      <c r="J253" s="444">
        <f t="array" ref="J253">IFERROR(INDEX('Retirement Calculator'!J:J,MATCH('Isaac 401k'!N253,'Retirement Calculator'!A:A,0),0),0)</f>
        <v>8395.6297298201844</v>
      </c>
      <c r="K253" s="444">
        <f t="shared" ca="1" si="2"/>
        <v>4900.0637160319111</v>
      </c>
      <c r="L253" s="444">
        <f t="shared" ca="1" si="3"/>
        <v>1180915.3555636904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1180915.3555636904</v>
      </c>
      <c r="J254" s="444">
        <f t="array" ref="J254">IFERROR(INDEX('Retirement Calculator'!J:J,MATCH('Isaac 401k'!N254,'Retirement Calculator'!A:A,0),0),0)</f>
        <v>8395.6297298201844</v>
      </c>
      <c r="K254" s="444">
        <f t="shared" ca="1" si="2"/>
        <v>4885.4988576411261</v>
      </c>
      <c r="L254" s="444">
        <f t="shared" ca="1" si="3"/>
        <v>1177405.2246915114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1177405.2246915114</v>
      </c>
      <c r="J255" s="444">
        <f t="array" ref="J255">IFERROR(INDEX('Retirement Calculator'!J:J,MATCH('Isaac 401k'!N255,'Retirement Calculator'!A:A,0),0),0)</f>
        <v>8395.6297298201844</v>
      </c>
      <c r="K255" s="444">
        <f t="shared" ca="1" si="2"/>
        <v>4870.8733123403799</v>
      </c>
      <c r="L255" s="444">
        <f t="shared" ca="1" si="3"/>
        <v>1173880.4682740315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1173880.4682740315</v>
      </c>
      <c r="J256" s="444">
        <f t="array" ref="J256">IFERROR(INDEX('Retirement Calculator'!J:J,MATCH('Isaac 401k'!N256,'Retirement Calculator'!A:A,0),0),0)</f>
        <v>8395.6297298201844</v>
      </c>
      <c r="K256" s="444">
        <f t="shared" ca="1" si="2"/>
        <v>4856.1868272675474</v>
      </c>
      <c r="L256" s="444">
        <f t="shared" ca="1" si="3"/>
        <v>1170341.0253714789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1170341.0253714789</v>
      </c>
      <c r="J257" s="444">
        <f t="array" ref="J257">IFERROR(INDEX('Retirement Calculator'!J:J,MATCH('Isaac 401k'!N257,'Retirement Calculator'!A:A,0),0),0)</f>
        <v>8395.6297298201844</v>
      </c>
      <c r="K257" s="444">
        <f t="shared" ca="1" si="2"/>
        <v>4841.4391485069109</v>
      </c>
      <c r="L257" s="444">
        <f t="shared" ca="1" si="3"/>
        <v>1166786.8347901655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1166786.8347901655</v>
      </c>
      <c r="J258" s="444">
        <f t="array" ref="J258">IFERROR(INDEX('Retirement Calculator'!J:J,MATCH('Isaac 401k'!N258,'Retirement Calculator'!A:A,0),0),0)</f>
        <v>8395.6297298201844</v>
      </c>
      <c r="K258" s="444">
        <f t="shared" ca="1" si="2"/>
        <v>4826.6300210847721</v>
      </c>
      <c r="L258" s="444">
        <f t="shared" ca="1" si="3"/>
        <v>1163217.8350814302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1163217.8350814302</v>
      </c>
      <c r="J259" s="444">
        <f t="array" ref="J259">IFERROR(INDEX('Retirement Calculator'!J:J,MATCH('Isaac 401k'!N259,'Retirement Calculator'!A:A,0),0),0)</f>
        <v>8395.6297298201844</v>
      </c>
      <c r="K259" s="444">
        <f t="shared" ca="1" si="2"/>
        <v>4811.7591889650412</v>
      </c>
      <c r="L259" s="444">
        <f t="shared" ca="1" si="3"/>
        <v>1159633.9645405749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1159633.9645405749</v>
      </c>
      <c r="J260" s="444">
        <f t="array" ref="J260">IFERROR(INDEX('Retirement Calculator'!J:J,MATCH('Isaac 401k'!N260,'Retirement Calculator'!A:A,0),0),0)</f>
        <v>8395.6297298201844</v>
      </c>
      <c r="K260" s="444">
        <f t="shared" ca="1" si="2"/>
        <v>4796.8263950448118</v>
      </c>
      <c r="L260" s="444">
        <f t="shared" ca="1" si="3"/>
        <v>1156035.1612057996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1156035.1612057996</v>
      </c>
      <c r="J261" s="444">
        <f t="array" ref="J261">IFERROR(INDEX('Retirement Calculator'!J:J,MATCH('Isaac 401k'!N261,'Retirement Calculator'!A:A,0),0),0)</f>
        <v>8395.6297298201844</v>
      </c>
      <c r="K261" s="444">
        <f t="shared" ca="1" si="2"/>
        <v>4781.8313811499138</v>
      </c>
      <c r="L261" s="444">
        <f t="shared" ca="1" si="3"/>
        <v>1152421.3628571292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1152421.3628571292</v>
      </c>
      <c r="J262" s="444">
        <f t="array" ref="J262">IFERROR(INDEX('Retirement Calculator'!J:J,MATCH('Isaac 401k'!N262,'Retirement Calculator'!A:A,0),0),0)</f>
        <v>8395.6297298201844</v>
      </c>
      <c r="K262" s="444">
        <f t="shared" ca="1" si="2"/>
        <v>4766.7738880304541</v>
      </c>
      <c r="L262" s="444">
        <f t="shared" ca="1" si="3"/>
        <v>1148792.5070153396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1148792.5070153396</v>
      </c>
      <c r="J263" s="444">
        <f t="array" ref="J263">IFERROR(INDEX('Retirement Calculator'!J:J,MATCH('Isaac 401k'!N263,'Retirement Calculator'!A:A,0),0),0)</f>
        <v>8395.6297298201844</v>
      </c>
      <c r="K263" s="444">
        <f t="shared" ref="K263:K517" ca="1" si="27">IPMT(M263/12,1,12,-I263+J263,,0)</f>
        <v>4751.653655356331</v>
      </c>
      <c r="L263" s="444">
        <f t="shared" ref="L263:L517" ca="1" si="28">I263-J263+K263</f>
        <v>1145148.5309408756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1145148.5309408756</v>
      </c>
      <c r="J264" s="444">
        <f t="array" ref="J264">IFERROR(INDEX('Retirement Calculator'!J:J,MATCH('Isaac 401k'!N264,'Retirement Calculator'!A:A,0),0),0)</f>
        <v>8395.6297298201844</v>
      </c>
      <c r="K264" s="444">
        <f t="shared" ca="1" si="27"/>
        <v>4736.470421712731</v>
      </c>
      <c r="L264" s="444">
        <f t="shared" ca="1" si="28"/>
        <v>1141489.3716327683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1141489.3716327683</v>
      </c>
      <c r="J265" s="444">
        <f t="array" ref="J265">IFERROR(INDEX('Retirement Calculator'!J:J,MATCH('Isaac 401k'!N265,'Retirement Calculator'!A:A,0),0),0)</f>
        <v>8395.6297298201844</v>
      </c>
      <c r="K265" s="444">
        <f t="shared" ca="1" si="27"/>
        <v>4721.2239245956171</v>
      </c>
      <c r="L265" s="444">
        <f t="shared" ca="1" si="28"/>
        <v>1137814.9658275438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1137814.9658275438</v>
      </c>
      <c r="J266" s="444">
        <f t="array" ref="J266">IFERROR(INDEX('Retirement Calculator'!J:J,MATCH('Isaac 401k'!N266,'Retirement Calculator'!A:A,0),0),0)</f>
        <v>8395.6297298201844</v>
      </c>
      <c r="K266" s="444">
        <f t="shared" ca="1" si="27"/>
        <v>4705.9139004071812</v>
      </c>
      <c r="L266" s="444">
        <f t="shared" ca="1" si="28"/>
        <v>1134125.2499981308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1134125.2499981308</v>
      </c>
      <c r="J267" s="444">
        <f t="array" ref="J267">IFERROR(INDEX('Retirement Calculator'!J:J,MATCH('Isaac 401k'!N267,'Retirement Calculator'!A:A,0),0),0)</f>
        <v>8395.6297298201844</v>
      </c>
      <c r="K267" s="444">
        <f t="shared" ca="1" si="27"/>
        <v>4690.5400844512942</v>
      </c>
      <c r="L267" s="444">
        <f t="shared" ca="1" si="28"/>
        <v>1130420.1603527619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1130420.1603527619</v>
      </c>
      <c r="J268" s="444">
        <f t="array" ref="J268">IFERROR(INDEX('Retirement Calculator'!J:J,MATCH('Isaac 401k'!N268,'Retirement Calculator'!A:A,0),0),0)</f>
        <v>8395.6297298201844</v>
      </c>
      <c r="K268" s="444">
        <f t="shared" ca="1" si="27"/>
        <v>4675.1022109289233</v>
      </c>
      <c r="L268" s="444">
        <f t="shared" ca="1" si="28"/>
        <v>1126699.6328338706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1126699.6328338706</v>
      </c>
      <c r="J269" s="444">
        <f t="array" ref="J269">IFERROR(INDEX('Retirement Calculator'!J:J,MATCH('Isaac 401k'!N269,'Retirement Calculator'!A:A,0),0),0)</f>
        <v>8395.6297298201844</v>
      </c>
      <c r="K269" s="444">
        <f t="shared" ca="1" si="27"/>
        <v>4659.6000129335434</v>
      </c>
      <c r="L269" s="444">
        <f t="shared" ca="1" si="28"/>
        <v>1122963.603116984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1122963.603116984</v>
      </c>
      <c r="J270" s="444">
        <f t="array" ref="J270">IFERROR(INDEX('Retirement Calculator'!J:J,MATCH('Isaac 401k'!N270,'Retirement Calculator'!A:A,0),0),0)</f>
        <v>8395.6297298201844</v>
      </c>
      <c r="K270" s="444">
        <f t="shared" ca="1" si="27"/>
        <v>4644.0332224465155</v>
      </c>
      <c r="L270" s="444">
        <f t="shared" ca="1" si="28"/>
        <v>1119212.0066096103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1119212.0066096103</v>
      </c>
      <c r="J271" s="444">
        <f t="array" ref="J271">IFERROR(INDEX('Retirement Calculator'!J:J,MATCH('Isaac 401k'!N271,'Retirement Calculator'!A:A,0),0),0)</f>
        <v>8395.6297298201844</v>
      </c>
      <c r="K271" s="444">
        <f t="shared" ca="1" si="27"/>
        <v>4628.4015703324585</v>
      </c>
      <c r="L271" s="444">
        <f t="shared" ca="1" si="28"/>
        <v>1115444.7784501226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1115444.7784501226</v>
      </c>
      <c r="J272" s="444">
        <f t="array" ref="J272">IFERROR(INDEX('Retirement Calculator'!J:J,MATCH('Isaac 401k'!N272,'Retirement Calculator'!A:A,0),0),0)</f>
        <v>8395.6297298201844</v>
      </c>
      <c r="K272" s="444">
        <f t="shared" ca="1" si="27"/>
        <v>4612.7047863345933</v>
      </c>
      <c r="L272" s="444">
        <f t="shared" ca="1" si="28"/>
        <v>1111661.853506637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1111661.853506637</v>
      </c>
      <c r="J273" s="444">
        <f t="array" ref="J273">IFERROR(INDEX('Retirement Calculator'!J:J,MATCH('Isaac 401k'!N273,'Retirement Calculator'!A:A,0),0),0)</f>
        <v>8395.6297298201844</v>
      </c>
      <c r="K273" s="444">
        <f t="shared" ca="1" si="27"/>
        <v>4596.9425990700702</v>
      </c>
      <c r="L273" s="444">
        <f t="shared" ca="1" si="28"/>
        <v>1107863.1663758869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1107863.1663758869</v>
      </c>
      <c r="J274" s="444">
        <f t="array" ref="J274">IFERROR(INDEX('Retirement Calculator'!J:J,MATCH('Isaac 401k'!N274,'Retirement Calculator'!A:A,0),0),0)</f>
        <v>8395.6297298201844</v>
      </c>
      <c r="K274" s="444">
        <f t="shared" ca="1" si="27"/>
        <v>4581.114736025278</v>
      </c>
      <c r="L274" s="444">
        <f t="shared" ca="1" si="28"/>
        <v>1104048.6513820919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1104048.6513820919</v>
      </c>
      <c r="J275" s="444">
        <f t="array" ref="J275">IFERROR(INDEX('Retirement Calculator'!J:J,MATCH('Isaac 401k'!N275,'Retirement Calculator'!A:A,0),0),0)</f>
        <v>8395.6297298201844</v>
      </c>
      <c r="K275" s="444">
        <f t="shared" ca="1" si="27"/>
        <v>4565.2209235511318</v>
      </c>
      <c r="L275" s="444">
        <f t="shared" ca="1" si="28"/>
        <v>1100218.2425758229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1100218.2425758229</v>
      </c>
      <c r="J276" s="444">
        <f t="array" ref="J276">IFERROR(INDEX('Retirement Calculator'!J:J,MATCH('Isaac 401k'!N276,'Retirement Calculator'!A:A,0),0),0)</f>
        <v>8395.6297298201844</v>
      </c>
      <c r="K276" s="444">
        <f t="shared" ca="1" si="27"/>
        <v>4549.2608868583447</v>
      </c>
      <c r="L276" s="444">
        <f t="shared" ca="1" si="28"/>
        <v>1096371.8737328611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1096371.8737328611</v>
      </c>
      <c r="J277" s="444">
        <f t="array" ref="J277">IFERROR(INDEX('Retirement Calculator'!J:J,MATCH('Isaac 401k'!N277,'Retirement Calculator'!A:A,0),0),0)</f>
        <v>8395.6297298201844</v>
      </c>
      <c r="K277" s="444">
        <f t="shared" ca="1" si="27"/>
        <v>4533.2343500126708</v>
      </c>
      <c r="L277" s="444">
        <f t="shared" ca="1" si="28"/>
        <v>1092509.4783530536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1092509.4783530536</v>
      </c>
      <c r="J278" s="444">
        <f t="array" ref="J278">IFERROR(INDEX('Retirement Calculator'!J:J,MATCH('Isaac 401k'!N278,'Retirement Calculator'!A:A,0),0),0)</f>
        <v>8395.6297298201844</v>
      </c>
      <c r="K278" s="444">
        <f t="shared" ca="1" si="27"/>
        <v>4517.141035930139</v>
      </c>
      <c r="L278" s="444">
        <f t="shared" ca="1" si="28"/>
        <v>1088630.9896591636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1088630.9896591636</v>
      </c>
      <c r="J279" s="444">
        <f t="array" ref="J279">IFERROR(INDEX('Retirement Calculator'!J:J,MATCH('Isaac 401k'!N279,'Retirement Calculator'!A:A,0),0),0)</f>
        <v>8395.6297298201844</v>
      </c>
      <c r="K279" s="444">
        <f t="shared" ca="1" si="27"/>
        <v>4500.9806663722647</v>
      </c>
      <c r="L279" s="444">
        <f t="shared" ca="1" si="28"/>
        <v>1084736.3405957157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1084736.3405957157</v>
      </c>
      <c r="J280" s="444">
        <f t="array" ref="J280">IFERROR(INDEX('Retirement Calculator'!J:J,MATCH('Isaac 401k'!N280,'Retirement Calculator'!A:A,0),0),0)</f>
        <v>8395.6297298201844</v>
      </c>
      <c r="K280" s="444">
        <f t="shared" ca="1" si="27"/>
        <v>4484.7529619412308</v>
      </c>
      <c r="L280" s="444">
        <f t="shared" ca="1" si="28"/>
        <v>1080825.4638278368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1080825.4638278368</v>
      </c>
      <c r="J281" s="444">
        <f t="array" ref="J281">IFERROR(INDEX('Retirement Calculator'!J:J,MATCH('Isaac 401k'!N281,'Retirement Calculator'!A:A,0),0),0)</f>
        <v>8395.6297298201844</v>
      </c>
      <c r="K281" s="444">
        <f t="shared" ca="1" si="27"/>
        <v>4468.4576420750691</v>
      </c>
      <c r="L281" s="444">
        <f t="shared" ca="1" si="28"/>
        <v>1076898.2917400918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1076898.2917400918</v>
      </c>
      <c r="J282" s="444">
        <f t="array" ref="J282">IFERROR(INDEX('Retirement Calculator'!J:J,MATCH('Isaac 401k'!N282,'Retirement Calculator'!A:A,0),0),0)</f>
        <v>8395.6297298201844</v>
      </c>
      <c r="K282" s="444">
        <f t="shared" ca="1" si="27"/>
        <v>4452.0944250427983</v>
      </c>
      <c r="L282" s="444">
        <f t="shared" ca="1" si="28"/>
        <v>1072954.7564353144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1072954.7564353144</v>
      </c>
      <c r="J283" s="444">
        <f t="array" ref="J283">IFERROR(INDEX('Retirement Calculator'!J:J,MATCH('Isaac 401k'!N283,'Retirement Calculator'!A:A,0),0),0)</f>
        <v>8395.6297298201844</v>
      </c>
      <c r="K283" s="444">
        <f t="shared" ca="1" si="27"/>
        <v>4435.6630279395595</v>
      </c>
      <c r="L283" s="444">
        <f t="shared" ca="1" si="28"/>
        <v>1068994.7897334339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1068994.7897334339</v>
      </c>
      <c r="J284" s="444">
        <f t="array" ref="J284">IFERROR(INDEX('Retirement Calculator'!J:J,MATCH('Isaac 401k'!N284,'Retirement Calculator'!A:A,0),0),0)</f>
        <v>8395.6297298201844</v>
      </c>
      <c r="K284" s="444">
        <f t="shared" ca="1" si="27"/>
        <v>4419.1631666817239</v>
      </c>
      <c r="L284" s="444">
        <f t="shared" ca="1" si="28"/>
        <v>1065018.3231702955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1065018.3231702955</v>
      </c>
      <c r="J285" s="444">
        <f t="array" ref="J285">IFERROR(INDEX('Retirement Calculator'!J:J,MATCH('Isaac 401k'!N285,'Retirement Calculator'!A:A,0),0),0)</f>
        <v>8395.6297298201844</v>
      </c>
      <c r="K285" s="444">
        <f t="shared" ca="1" si="27"/>
        <v>4402.59455600198</v>
      </c>
      <c r="L285" s="444">
        <f t="shared" ca="1" si="28"/>
        <v>1061025.2879964772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1061025.2879964772</v>
      </c>
      <c r="J286" s="444">
        <f t="array" ref="J286">IFERROR(INDEX('Retirement Calculator'!J:J,MATCH('Isaac 401k'!N286,'Retirement Calculator'!A:A,0),0),0)</f>
        <v>8395.6297298201844</v>
      </c>
      <c r="K286" s="444">
        <f t="shared" ca="1" si="27"/>
        <v>4385.9569094444041</v>
      </c>
      <c r="L286" s="444">
        <f t="shared" ca="1" si="28"/>
        <v>1057015.6151761014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1057015.6151761014</v>
      </c>
      <c r="J287" s="444">
        <f t="array" ref="J287">IFERROR(INDEX('Retirement Calculator'!J:J,MATCH('Isaac 401k'!N287,'Retirement Calculator'!A:A,0),0),0)</f>
        <v>8395.6297298201844</v>
      </c>
      <c r="K287" s="444">
        <f t="shared" ca="1" si="27"/>
        <v>4369.2499393595053</v>
      </c>
      <c r="L287" s="444">
        <f t="shared" ca="1" si="28"/>
        <v>1052989.2353856408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1052989.2353856408</v>
      </c>
      <c r="J288" s="444">
        <f t="array" ref="J288">IFERROR(INDEX('Retirement Calculator'!J:J,MATCH('Isaac 401k'!N288,'Retirement Calculator'!A:A,0),0),0)</f>
        <v>8395.6297298201844</v>
      </c>
      <c r="K288" s="444">
        <f t="shared" ca="1" si="27"/>
        <v>4352.4733568992524</v>
      </c>
      <c r="L288" s="444">
        <f t="shared" ca="1" si="28"/>
        <v>1048946.0790127199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1048946.0790127199</v>
      </c>
      <c r="J289" s="444">
        <f t="array" ref="J289">IFERROR(INDEX('Retirement Calculator'!J:J,MATCH('Isaac 401k'!N289,'Retirement Calculator'!A:A,0),0),0)</f>
        <v>8395.6297298201844</v>
      </c>
      <c r="K289" s="444">
        <f t="shared" ca="1" si="27"/>
        <v>4335.6268720120825</v>
      </c>
      <c r="L289" s="444">
        <f t="shared" ca="1" si="28"/>
        <v>1044886.0761549118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1044886.0761549118</v>
      </c>
      <c r="J290" s="444">
        <f t="array" ref="J290">IFERROR(INDEX('Retirement Calculator'!J:J,MATCH('Isaac 401k'!N290,'Retirement Calculator'!A:A,0),0),0)</f>
        <v>8395.6297298201844</v>
      </c>
      <c r="K290" s="444">
        <f t="shared" ca="1" si="27"/>
        <v>4318.7101934378825</v>
      </c>
      <c r="L290" s="444">
        <f t="shared" ca="1" si="28"/>
        <v>1040809.1566185295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1040809.1566185295</v>
      </c>
      <c r="J291" s="444">
        <f t="array" ref="J291">IFERROR(INDEX('Retirement Calculator'!J:J,MATCH('Isaac 401k'!N291,'Retirement Calculator'!A:A,0),0),0)</f>
        <v>8395.6297298201844</v>
      </c>
      <c r="K291" s="444">
        <f t="shared" ca="1" si="27"/>
        <v>4301.7230287029552</v>
      </c>
      <c r="L291" s="444">
        <f t="shared" ca="1" si="28"/>
        <v>1036715.2499174123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1036715.2499174123</v>
      </c>
      <c r="J292" s="444">
        <f t="array" ref="J292">IFERROR(INDEX('Retirement Calculator'!J:J,MATCH('Isaac 401k'!N292,'Retirement Calculator'!A:A,0),0),0)</f>
        <v>8395.6297298201844</v>
      </c>
      <c r="K292" s="444">
        <f t="shared" ca="1" si="27"/>
        <v>4284.6650841149667</v>
      </c>
      <c r="L292" s="444">
        <f t="shared" ca="1" si="28"/>
        <v>1032604.2852717071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1032604.2852717071</v>
      </c>
      <c r="J293" s="444">
        <f t="array" ref="J293">IFERROR(INDEX('Retirement Calculator'!J:J,MATCH('Isaac 401k'!N293,'Retirement Calculator'!A:A,0),0),0)</f>
        <v>8395.6297298201844</v>
      </c>
      <c r="K293" s="444">
        <f t="shared" ca="1" si="27"/>
        <v>4267.5360647578618</v>
      </c>
      <c r="L293" s="444">
        <f t="shared" ca="1" si="28"/>
        <v>1028476.1916066448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1028476.1916066448</v>
      </c>
      <c r="J294" s="444">
        <f t="array" ref="J294">IFERROR(INDEX('Retirement Calculator'!J:J,MATCH('Isaac 401k'!N294,'Retirement Calculator'!A:A,0),0),0)</f>
        <v>8395.6297298201844</v>
      </c>
      <c r="K294" s="444">
        <f t="shared" ca="1" si="27"/>
        <v>4250.3356744867688</v>
      </c>
      <c r="L294" s="444">
        <f t="shared" ca="1" si="28"/>
        <v>1024330.8975513114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1024330.8975513114</v>
      </c>
      <c r="J295" s="444">
        <f t="array" ref="J295">IFERROR(INDEX('Retirement Calculator'!J:J,MATCH('Isaac 401k'!N295,'Retirement Calculator'!A:A,0),0),0)</f>
        <v>8395.6297298201844</v>
      </c>
      <c r="K295" s="444">
        <f t="shared" ca="1" si="27"/>
        <v>4233.0636159228798</v>
      </c>
      <c r="L295" s="444">
        <f t="shared" ca="1" si="28"/>
        <v>1020168.3314374142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1020168.3314374142</v>
      </c>
      <c r="J296" s="444">
        <f t="array" ref="J296">IFERROR(INDEX('Retirement Calculator'!J:J,MATCH('Isaac 401k'!N296,'Retirement Calculator'!A:A,0),0),0)</f>
        <v>8395.6297298201844</v>
      </c>
      <c r="K296" s="444">
        <f t="shared" ca="1" si="27"/>
        <v>4215.7195904483087</v>
      </c>
      <c r="L296" s="444">
        <f t="shared" ca="1" si="28"/>
        <v>1015988.4212980423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1015988.4212980423</v>
      </c>
      <c r="J297" s="444">
        <f t="array" ref="J297">IFERROR(INDEX('Retirement Calculator'!J:J,MATCH('Isaac 401k'!N297,'Retirement Calculator'!A:A,0),0),0)</f>
        <v>8395.6297298201844</v>
      </c>
      <c r="K297" s="444">
        <f t="shared" ca="1" si="27"/>
        <v>4198.3032982009254</v>
      </c>
      <c r="L297" s="444">
        <f t="shared" ca="1" si="28"/>
        <v>1011791.0948664231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1011791.0948664231</v>
      </c>
      <c r="J298" s="444">
        <f t="array" ref="J298">IFERROR(INDEX('Retirement Calculator'!J:J,MATCH('Isaac 401k'!N298,'Retirement Calculator'!A:A,0),0),0)</f>
        <v>8395.6297298201844</v>
      </c>
      <c r="K298" s="444">
        <f t="shared" ca="1" si="27"/>
        <v>4180.8144380691792</v>
      </c>
      <c r="L298" s="444">
        <f t="shared" ca="1" si="28"/>
        <v>1007576.279574672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1007576.279574672</v>
      </c>
      <c r="J299" s="444">
        <f t="array" ref="J299">IFERROR(INDEX('Retirement Calculator'!J:J,MATCH('Isaac 401k'!N299,'Retirement Calculator'!A:A,0),0),0)</f>
        <v>8395.6297298201844</v>
      </c>
      <c r="K299" s="444">
        <f t="shared" ca="1" si="27"/>
        <v>4163.2527076868819</v>
      </c>
      <c r="L299" s="444">
        <f t="shared" ca="1" si="28"/>
        <v>1003343.9025525387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1003343.9025525387</v>
      </c>
      <c r="J300" s="444">
        <f t="array" ref="J300">IFERROR(INDEX('Retirement Calculator'!J:J,MATCH('Isaac 401k'!N300,'Retirement Calculator'!A:A,0),0),0)</f>
        <v>8395.6297298201844</v>
      </c>
      <c r="K300" s="444">
        <f t="shared" ca="1" si="27"/>
        <v>4145.6178034279937</v>
      </c>
      <c r="L300" s="444">
        <f t="shared" ca="1" si="28"/>
        <v>999093.89062614646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999093.89062614646</v>
      </c>
      <c r="J301" s="444">
        <f t="array" ref="J301">IFERROR(INDEX('Retirement Calculator'!J:J,MATCH('Isaac 401k'!N301,'Retirement Calculator'!A:A,0),0),0)</f>
        <v>8395.6297298201844</v>
      </c>
      <c r="K301" s="444">
        <f t="shared" ca="1" si="27"/>
        <v>4127.90942040136</v>
      </c>
      <c r="L301" s="444">
        <f t="shared" ca="1" si="28"/>
        <v>994826.1703167276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994826.1703167276</v>
      </c>
      <c r="J302" s="444">
        <f t="array" ref="J302">IFERROR(INDEX('Retirement Calculator'!J:J,MATCH('Isaac 401k'!N302,'Retirement Calculator'!A:A,0),0),0)</f>
        <v>8395.6297298201844</v>
      </c>
      <c r="K302" s="444">
        <f t="shared" ca="1" si="27"/>
        <v>4110.1272524454471</v>
      </c>
      <c r="L302" s="444">
        <f t="shared" ca="1" si="28"/>
        <v>990540.66783935286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990540.66783935286</v>
      </c>
      <c r="J303" s="444">
        <f t="array" ref="J303">IFERROR(INDEX('Retirement Calculator'!J:J,MATCH('Isaac 401k'!N303,'Retirement Calculator'!A:A,0),0),0)</f>
        <v>8395.6297298201844</v>
      </c>
      <c r="K303" s="444">
        <f t="shared" ca="1" si="27"/>
        <v>4092.2709921230521</v>
      </c>
      <c r="L303" s="444">
        <f t="shared" ca="1" si="28"/>
        <v>986237.30910165573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986237.30910165573</v>
      </c>
      <c r="J304" s="444">
        <f t="array" ref="J304">IFERROR(INDEX('Retirement Calculator'!J:J,MATCH('Isaac 401k'!N304,'Retirement Calculator'!A:A,0),0),0)</f>
        <v>8395.6297298201844</v>
      </c>
      <c r="K304" s="444">
        <f t="shared" ca="1" si="27"/>
        <v>4074.3403307159815</v>
      </c>
      <c r="L304" s="444">
        <f t="shared" ca="1" si="28"/>
        <v>981916.01970255154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981916.01970255154</v>
      </c>
      <c r="J305" s="444">
        <f t="array" ref="J305">IFERROR(INDEX('Retirement Calculator'!J:J,MATCH('Isaac 401k'!N305,'Retirement Calculator'!A:A,0),0),0)</f>
        <v>8395.6297298201844</v>
      </c>
      <c r="K305" s="444">
        <f t="shared" ca="1" si="27"/>
        <v>4056.3349582197138</v>
      </c>
      <c r="L305" s="444">
        <f t="shared" ca="1" si="28"/>
        <v>977576.72493095102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977576.72493095102</v>
      </c>
      <c r="J306" s="444">
        <f t="array" ref="J306">IFERROR(INDEX('Retirement Calculator'!J:J,MATCH('Isaac 401k'!N306,'Retirement Calculator'!A:A,0),0),0)</f>
        <v>8395.6297298201844</v>
      </c>
      <c r="K306" s="444">
        <f t="shared" ca="1" si="27"/>
        <v>4038.254563338045</v>
      </c>
      <c r="L306" s="444">
        <f t="shared" ca="1" si="28"/>
        <v>973219.34976446885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973219.34976446885</v>
      </c>
      <c r="J307" s="444">
        <f t="array" ref="J307">IFERROR(INDEX('Retirement Calculator'!J:J,MATCH('Isaac 401k'!N307,'Retirement Calculator'!A:A,0),0),0)</f>
        <v>8395.6297298201844</v>
      </c>
      <c r="K307" s="444">
        <f t="shared" ca="1" si="27"/>
        <v>4020.098833477703</v>
      </c>
      <c r="L307" s="444">
        <f t="shared" ca="1" si="28"/>
        <v>968843.81886812637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968843.81886812637</v>
      </c>
      <c r="J308" s="444">
        <f t="array" ref="J308">IFERROR(INDEX('Retirement Calculator'!J:J,MATCH('Isaac 401k'!N308,'Retirement Calculator'!A:A,0),0),0)</f>
        <v>8395.6297298201844</v>
      </c>
      <c r="K308" s="444">
        <f t="shared" ca="1" si="27"/>
        <v>4001.8674547429423</v>
      </c>
      <c r="L308" s="444">
        <f t="shared" ca="1" si="28"/>
        <v>964450.05659304908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964450.05659304908</v>
      </c>
      <c r="J309" s="444">
        <f t="array" ref="J309">IFERROR(INDEX('Retirement Calculator'!J:J,MATCH('Isaac 401k'!N309,'Retirement Calculator'!A:A,0),0),0)</f>
        <v>8395.6297298201844</v>
      </c>
      <c r="K309" s="444">
        <f t="shared" ca="1" si="27"/>
        <v>3983.5601119301205</v>
      </c>
      <c r="L309" s="444">
        <f t="shared" ca="1" si="28"/>
        <v>960037.98697515903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960037.98697515903</v>
      </c>
      <c r="J310" s="444">
        <f t="array" ref="J310">IFERROR(INDEX('Retirement Calculator'!J:J,MATCH('Isaac 401k'!N310,'Retirement Calculator'!A:A,0),0),0)</f>
        <v>8395.6297298201844</v>
      </c>
      <c r="K310" s="444">
        <f t="shared" ca="1" si="27"/>
        <v>3965.1764885222456</v>
      </c>
      <c r="L310" s="444">
        <f t="shared" ca="1" si="28"/>
        <v>955607.53373386106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955607.53373386106</v>
      </c>
      <c r="J311" s="444">
        <f t="array" ref="J311">IFERROR(INDEX('Retirement Calculator'!J:J,MATCH('Isaac 401k'!N311,'Retirement Calculator'!A:A,0),0),0)</f>
        <v>8395.6297298201844</v>
      </c>
      <c r="K311" s="444">
        <f t="shared" ca="1" si="27"/>
        <v>3946.7162666835034</v>
      </c>
      <c r="L311" s="444">
        <f t="shared" ca="1" si="28"/>
        <v>951158.62027072441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951158.62027072441</v>
      </c>
      <c r="J312" s="444">
        <f t="array" ref="J312">IFERROR(INDEX('Retirement Calculator'!J:J,MATCH('Isaac 401k'!N312,'Retirement Calculator'!A:A,0),0),0)</f>
        <v>8395.6297298201844</v>
      </c>
      <c r="K312" s="444">
        <f t="shared" ca="1" si="27"/>
        <v>3928.1791272537675</v>
      </c>
      <c r="L312" s="444">
        <f t="shared" ca="1" si="28"/>
        <v>946691.16966815805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946691.16966815805</v>
      </c>
      <c r="J313" s="444">
        <f t="array" ref="J313">IFERROR(INDEX('Retirement Calculator'!J:J,MATCH('Isaac 401k'!N313,'Retirement Calculator'!A:A,0),0),0)</f>
        <v>8395.6297298201844</v>
      </c>
      <c r="K313" s="444">
        <f t="shared" ca="1" si="27"/>
        <v>3909.5647497430746</v>
      </c>
      <c r="L313" s="444">
        <f t="shared" ca="1" si="28"/>
        <v>942205.10468808096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942205.10468808096</v>
      </c>
      <c r="J314" s="444">
        <f t="array" ref="J314">IFERROR(INDEX('Retirement Calculator'!J:J,MATCH('Isaac 401k'!N314,'Retirement Calculator'!A:A,0),0),0)</f>
        <v>8395.6297298201844</v>
      </c>
      <c r="K314" s="444">
        <f t="shared" ca="1" si="27"/>
        <v>3890.8728123260867</v>
      </c>
      <c r="L314" s="444">
        <f t="shared" ca="1" si="28"/>
        <v>937700.34777058684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937700.34777058684</v>
      </c>
      <c r="J315" s="444">
        <f t="array" ref="J315">IFERROR(INDEX('Retirement Calculator'!J:J,MATCH('Isaac 401k'!N315,'Retirement Calculator'!A:A,0),0),0)</f>
        <v>8395.6297298201844</v>
      </c>
      <c r="K315" s="444">
        <f t="shared" ca="1" si="27"/>
        <v>3872.102991836528</v>
      </c>
      <c r="L315" s="444">
        <f t="shared" ca="1" si="28"/>
        <v>933176.82103260315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933176.82103260315</v>
      </c>
      <c r="J316" s="444">
        <f t="array" ref="J316">IFERROR(INDEX('Retirement Calculator'!J:J,MATCH('Isaac 401k'!N316,'Retirement Calculator'!A:A,0),0),0)</f>
        <v>8395.6297298201844</v>
      </c>
      <c r="K316" s="444">
        <f t="shared" ca="1" si="27"/>
        <v>3853.2549637615953</v>
      </c>
      <c r="L316" s="444">
        <f t="shared" ca="1" si="28"/>
        <v>928634.44626654452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928634.44626654452</v>
      </c>
      <c r="J317" s="444">
        <f t="array" ref="J317">IFERROR(INDEX('Retirement Calculator'!J:J,MATCH('Isaac 401k'!N317,'Retirement Calculator'!A:A,0),0),0)</f>
        <v>8395.6297298201844</v>
      </c>
      <c r="K317" s="444">
        <f t="shared" ca="1" si="27"/>
        <v>3834.3284022363514</v>
      </c>
      <c r="L317" s="444">
        <f t="shared" ca="1" si="28"/>
        <v>924073.14493896067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924073.14493896067</v>
      </c>
      <c r="J318" s="444">
        <f t="array" ref="J318">IFERROR(INDEX('Retirement Calculator'!J:J,MATCH('Isaac 401k'!N318,'Retirement Calculator'!A:A,0),0),0)</f>
        <v>8395.6297298201844</v>
      </c>
      <c r="K318" s="444">
        <f t="shared" ca="1" si="27"/>
        <v>3815.3229800380855</v>
      </c>
      <c r="L318" s="444">
        <f t="shared" ca="1" si="28"/>
        <v>919492.83818917861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919492.83818917861</v>
      </c>
      <c r="J319" s="444">
        <f t="array" ref="J319">IFERROR(INDEX('Retirement Calculator'!J:J,MATCH('Isaac 401k'!N319,'Retirement Calculator'!A:A,0),0),0)</f>
        <v>8395.6297298201844</v>
      </c>
      <c r="K319" s="444">
        <f t="shared" ca="1" si="27"/>
        <v>3796.2383685806599</v>
      </c>
      <c r="L319" s="444">
        <f t="shared" ca="1" si="28"/>
        <v>914893.44682793913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914893.44682793913</v>
      </c>
      <c r="J320" s="444">
        <f t="array" ref="J320">IFERROR(INDEX('Retirement Calculator'!J:J,MATCH('Isaac 401k'!N320,'Retirement Calculator'!A:A,0),0),0)</f>
        <v>8395.6297298201844</v>
      </c>
      <c r="K320" s="444">
        <f t="shared" ca="1" si="27"/>
        <v>3777.0742379088288</v>
      </c>
      <c r="L320" s="444">
        <f t="shared" ca="1" si="28"/>
        <v>910274.89133602777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910274.89133602777</v>
      </c>
      <c r="J321" s="444">
        <f t="array" ref="J321">IFERROR(INDEX('Retirement Calculator'!J:J,MATCH('Isaac 401k'!N321,'Retirement Calculator'!A:A,0),0),0)</f>
        <v>8395.6297298201844</v>
      </c>
      <c r="K321" s="444">
        <f t="shared" ca="1" si="27"/>
        <v>3757.8302566925317</v>
      </c>
      <c r="L321" s="444">
        <f t="shared" ca="1" si="28"/>
        <v>905637.09186290007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905637.09186290007</v>
      </c>
      <c r="J322" s="444">
        <f t="array" ref="J322">IFERROR(INDEX('Retirement Calculator'!J:J,MATCH('Isaac 401k'!N322,'Retirement Calculator'!A:A,0),0),0)</f>
        <v>8395.6297298201844</v>
      </c>
      <c r="K322" s="444">
        <f t="shared" ca="1" si="27"/>
        <v>3738.5060922211655</v>
      </c>
      <c r="L322" s="444">
        <f t="shared" ca="1" si="28"/>
        <v>900979.96822530101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900979.96822530101</v>
      </c>
      <c r="J323" s="444">
        <f t="array" ref="J323">IFERROR(INDEX('Retirement Calculator'!J:J,MATCH('Isaac 401k'!N323,'Retirement Calculator'!A:A,0),0),0)</f>
        <v>8395.6297298201844</v>
      </c>
      <c r="K323" s="444">
        <f t="shared" ca="1" si="27"/>
        <v>3719.1014103978373</v>
      </c>
      <c r="L323" s="444">
        <f t="shared" ca="1" si="28"/>
        <v>896303.43990587862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896303.43990587862</v>
      </c>
      <c r="J324" s="444">
        <f t="array" ref="J324">IFERROR(INDEX('Retirement Calculator'!J:J,MATCH('Isaac 401k'!N324,'Retirement Calculator'!A:A,0),0),0)</f>
        <v>8395.6297298201844</v>
      </c>
      <c r="K324" s="444">
        <f t="shared" ca="1" si="27"/>
        <v>3699.6158757335766</v>
      </c>
      <c r="L324" s="444">
        <f t="shared" ca="1" si="28"/>
        <v>891607.42605179199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891607.42605179199</v>
      </c>
      <c r="J325" s="444">
        <f t="array" ref="J325">IFERROR(INDEX('Retirement Calculator'!J:J,MATCH('Isaac 401k'!N325,'Retirement Calculator'!A:A,0),0),0)</f>
        <v>8395.6297298201844</v>
      </c>
      <c r="K325" s="444">
        <f t="shared" ca="1" si="27"/>
        <v>3680.0491513415495</v>
      </c>
      <c r="L325" s="444">
        <f t="shared" ca="1" si="28"/>
        <v>886891.84547331335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886891.84547331335</v>
      </c>
      <c r="J326" s="444">
        <f t="array" ref="J326">IFERROR(INDEX('Retirement Calculator'!J:J,MATCH('Isaac 401k'!N326,'Retirement Calculator'!A:A,0),0),0)</f>
        <v>8395.6297298201844</v>
      </c>
      <c r="K326" s="444">
        <f t="shared" ca="1" si="27"/>
        <v>3660.4008989312219</v>
      </c>
      <c r="L326" s="444">
        <f t="shared" ca="1" si="28"/>
        <v>882156.61664242437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882156.61664242437</v>
      </c>
      <c r="J327" s="444">
        <f t="array" ref="J327">IFERROR(INDEX('Retirement Calculator'!J:J,MATCH('Isaac 401k'!N327,'Retirement Calculator'!A:A,0),0),0)</f>
        <v>8395.6297298201844</v>
      </c>
      <c r="K327" s="444">
        <f t="shared" ca="1" si="27"/>
        <v>3640.6707788025169</v>
      </c>
      <c r="L327" s="444">
        <f t="shared" ca="1" si="28"/>
        <v>877401.65769140667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877401.65769140667</v>
      </c>
      <c r="J328" s="444">
        <f t="array" ref="J328">IFERROR(INDEX('Retirement Calculator'!J:J,MATCH('Isaac 401k'!N328,'Retirement Calculator'!A:A,0),0),0)</f>
        <v>8395.6297298201844</v>
      </c>
      <c r="K328" s="444">
        <f t="shared" ca="1" si="27"/>
        <v>3620.8584498399432</v>
      </c>
      <c r="L328" s="444">
        <f t="shared" ca="1" si="28"/>
        <v>872626.88641142647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872626.88641142647</v>
      </c>
      <c r="J329" s="444">
        <f t="array" ref="J329">IFERROR(INDEX('Retirement Calculator'!J:J,MATCH('Isaac 401k'!N329,'Retirement Calculator'!A:A,0),0),0)</f>
        <v>8395.6297298201844</v>
      </c>
      <c r="K329" s="444">
        <f t="shared" ca="1" si="27"/>
        <v>3600.9635695066927</v>
      </c>
      <c r="L329" s="444">
        <f t="shared" ca="1" si="28"/>
        <v>867832.22025111294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867832.22025111294</v>
      </c>
      <c r="J330" s="444">
        <f t="array" ref="J330">IFERROR(INDEX('Retirement Calculator'!J:J,MATCH('Isaac 401k'!N330,'Retirement Calculator'!A:A,0),0),0)</f>
        <v>8395.6297298201844</v>
      </c>
      <c r="K330" s="444">
        <f t="shared" ca="1" si="27"/>
        <v>3580.9857938387204</v>
      </c>
      <c r="L330" s="444">
        <f t="shared" ca="1" si="28"/>
        <v>863017.5763151315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863017.5763151315</v>
      </c>
      <c r="J331" s="444">
        <f t="array" ref="J331">IFERROR(INDEX('Retirement Calculator'!J:J,MATCH('Isaac 401k'!N331,'Retirement Calculator'!A:A,0),0),0)</f>
        <v>8395.6297298201844</v>
      </c>
      <c r="K331" s="444">
        <f t="shared" ca="1" si="27"/>
        <v>3560.9247774387973</v>
      </c>
      <c r="L331" s="444">
        <f t="shared" ca="1" si="28"/>
        <v>858182.87136275007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858182.87136275007</v>
      </c>
      <c r="J332" s="444">
        <f t="array" ref="J332">IFERROR(INDEX('Retirement Calculator'!J:J,MATCH('Isaac 401k'!N332,'Retirement Calculator'!A:A,0),0),0)</f>
        <v>8395.6297298201844</v>
      </c>
      <c r="K332" s="444">
        <f t="shared" ca="1" si="27"/>
        <v>3540.7801734705413</v>
      </c>
      <c r="L332" s="444">
        <f t="shared" ca="1" si="28"/>
        <v>853328.02180640039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853328.02180640039</v>
      </c>
      <c r="J333" s="444">
        <f t="array" ref="J333">IFERROR(INDEX('Retirement Calculator'!J:J,MATCH('Isaac 401k'!N333,'Retirement Calculator'!A:A,0),0),0)</f>
        <v>8395.6297298201844</v>
      </c>
      <c r="K333" s="444">
        <f t="shared" ca="1" si="27"/>
        <v>3520.5516336524174</v>
      </c>
      <c r="L333" s="444">
        <f t="shared" ca="1" si="28"/>
        <v>848452.94371023262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848452.94371023262</v>
      </c>
      <c r="J334" s="444">
        <f t="array" ref="J334">IFERROR(INDEX('Retirement Calculator'!J:J,MATCH('Isaac 401k'!N334,'Retirement Calculator'!A:A,0),0),0)</f>
        <v>8395.6297298201844</v>
      </c>
      <c r="K334" s="444">
        <f t="shared" ca="1" si="27"/>
        <v>3500.2388082517186</v>
      </c>
      <c r="L334" s="444">
        <f t="shared" ca="1" si="28"/>
        <v>843557.55278866412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843557.55278866412</v>
      </c>
      <c r="J335" s="444">
        <f t="array" ref="J335">IFERROR(INDEX('Retirement Calculator'!J:J,MATCH('Isaac 401k'!N335,'Retirement Calculator'!A:A,0),0),0)</f>
        <v>8395.6297298201844</v>
      </c>
      <c r="K335" s="444">
        <f t="shared" ca="1" si="27"/>
        <v>3479.8413460785164</v>
      </c>
      <c r="L335" s="444">
        <f t="shared" ca="1" si="28"/>
        <v>838641.76440492249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838641.76440492249</v>
      </c>
      <c r="J336" s="444">
        <f t="array" ref="J336">IFERROR(INDEX('Retirement Calculator'!J:J,MATCH('Isaac 401k'!N336,'Retirement Calculator'!A:A,0),0),0)</f>
        <v>8395.6297298201844</v>
      </c>
      <c r="K336" s="444">
        <f t="shared" ca="1" si="27"/>
        <v>3459.3588944795933</v>
      </c>
      <c r="L336" s="444">
        <f t="shared" ca="1" si="28"/>
        <v>833705.49356958189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833705.49356958189</v>
      </c>
      <c r="J337" s="444">
        <f t="array" ref="J337">IFERROR(INDEX('Retirement Calculator'!J:J,MATCH('Isaac 401k'!N337,'Retirement Calculator'!A:A,0),0),0)</f>
        <v>8395.6297298201844</v>
      </c>
      <c r="K337" s="444">
        <f t="shared" ca="1" si="27"/>
        <v>3438.7910993323403</v>
      </c>
      <c r="L337" s="444">
        <f t="shared" ca="1" si="28"/>
        <v>828748.65493909409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828748.65493909409</v>
      </c>
      <c r="J338" s="444">
        <f t="array" ref="J338">IFERROR(INDEX('Retirement Calculator'!J:J,MATCH('Isaac 401k'!N338,'Retirement Calculator'!A:A,0),0),0)</f>
        <v>8395.6297298201844</v>
      </c>
      <c r="K338" s="444">
        <f t="shared" ca="1" si="27"/>
        <v>3418.1376050386411</v>
      </c>
      <c r="L338" s="444">
        <f t="shared" ca="1" si="28"/>
        <v>823771.1628143125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823771.1628143125</v>
      </c>
      <c r="J339" s="444">
        <f t="array" ref="J339">IFERROR(INDEX('Retirement Calculator'!J:J,MATCH('Isaac 401k'!N339,'Retirement Calculator'!A:A,0),0),0)</f>
        <v>8395.6297298201844</v>
      </c>
      <c r="K339" s="444">
        <f t="shared" ca="1" si="27"/>
        <v>3397.3980545187178</v>
      </c>
      <c r="L339" s="444">
        <f t="shared" ca="1" si="28"/>
        <v>818772.93113901105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818772.93113901105</v>
      </c>
      <c r="J340" s="444">
        <f t="array" ref="J340">IFERROR(INDEX('Retirement Calculator'!J:J,MATCH('Isaac 401k'!N340,'Retirement Calculator'!A:A,0),0),0)</f>
        <v>8395.6297298201844</v>
      </c>
      <c r="K340" s="444">
        <f t="shared" ca="1" si="27"/>
        <v>3376.5720892049617</v>
      </c>
      <c r="L340" s="444">
        <f t="shared" ca="1" si="28"/>
        <v>813753.87349839578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813753.87349839578</v>
      </c>
      <c r="J341" s="444">
        <f t="array" ref="J341">IFERROR(INDEX('Retirement Calculator'!J:J,MATCH('Isaac 401k'!N341,'Retirement Calculator'!A:A,0),0),0)</f>
        <v>8395.6297298201844</v>
      </c>
      <c r="K341" s="444">
        <f t="shared" ca="1" si="27"/>
        <v>3355.6593490357318</v>
      </c>
      <c r="L341" s="444">
        <f t="shared" ca="1" si="28"/>
        <v>808713.90311761131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808713.90311761131</v>
      </c>
      <c r="J342" s="444">
        <f t="array" ref="J342">IFERROR(INDEX('Retirement Calculator'!J:J,MATCH('Isaac 401k'!N342,'Retirement Calculator'!A:A,0),0),0)</f>
        <v>8395.6297298201844</v>
      </c>
      <c r="K342" s="444">
        <f t="shared" ca="1" si="27"/>
        <v>3334.6594724491297</v>
      </c>
      <c r="L342" s="444">
        <f t="shared" ca="1" si="28"/>
        <v>803652.93286024022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803652.93286024022</v>
      </c>
      <c r="J343" s="444">
        <f t="array" ref="J343">IFERROR(INDEX('Retirement Calculator'!J:J,MATCH('Isaac 401k'!N343,'Retirement Calculator'!A:A,0),0),0)</f>
        <v>8395.6297298201844</v>
      </c>
      <c r="K343" s="444">
        <f t="shared" ca="1" si="27"/>
        <v>3313.5720963767503</v>
      </c>
      <c r="L343" s="444">
        <f t="shared" ca="1" si="28"/>
        <v>798570.87522679684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798570.87522679684</v>
      </c>
      <c r="J344" s="444">
        <f t="array" ref="J344">IFERROR(INDEX('Retirement Calculator'!J:J,MATCH('Isaac 401k'!N344,'Retirement Calculator'!A:A,0),0),0)</f>
        <v>8395.6297298201844</v>
      </c>
      <c r="K344" s="444">
        <f t="shared" ca="1" si="27"/>
        <v>3292.3968562374025</v>
      </c>
      <c r="L344" s="444">
        <f t="shared" ca="1" si="28"/>
        <v>793467.64235321409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793467.64235321409</v>
      </c>
      <c r="J345" s="444">
        <f t="array" ref="J345">IFERROR(INDEX('Retirement Calculator'!J:J,MATCH('Isaac 401k'!N345,'Retirement Calculator'!A:A,0),0),0)</f>
        <v>8395.6297298201844</v>
      </c>
      <c r="K345" s="444">
        <f t="shared" ca="1" si="27"/>
        <v>3271.1333859308079</v>
      </c>
      <c r="L345" s="444">
        <f t="shared" ca="1" si="28"/>
        <v>788343.1460093247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788343.1460093247</v>
      </c>
      <c r="J346" s="444">
        <f t="array" ref="J346">IFERROR(INDEX('Retirement Calculator'!J:J,MATCH('Isaac 401k'!N346,'Retirement Calculator'!A:A,0),0),0)</f>
        <v>8395.6297298201844</v>
      </c>
      <c r="K346" s="444">
        <f t="shared" ca="1" si="27"/>
        <v>3249.781317831269</v>
      </c>
      <c r="L346" s="444">
        <f t="shared" ca="1" si="28"/>
        <v>783197.29759733577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783197.29759733577</v>
      </c>
      <c r="J347" s="444">
        <f t="array" ref="J347">IFERROR(INDEX('Retirement Calculator'!J:J,MATCH('Isaac 401k'!N347,'Retirement Calculator'!A:A,0),0),0)</f>
        <v>8395.6297298201844</v>
      </c>
      <c r="K347" s="444">
        <f t="shared" ca="1" si="27"/>
        <v>3228.3402827813147</v>
      </c>
      <c r="L347" s="444">
        <f t="shared" ca="1" si="28"/>
        <v>778030.00815029687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778030.00815029687</v>
      </c>
      <c r="J348" s="444">
        <f t="array" ref="J348">IFERROR(INDEX('Retirement Calculator'!J:J,MATCH('Isaac 401k'!N348,'Retirement Calculator'!A:A,0),0),0)</f>
        <v>8395.6297298201844</v>
      </c>
      <c r="K348" s="444">
        <f t="shared" ca="1" si="27"/>
        <v>3206.8099100853196</v>
      </c>
      <c r="L348" s="444">
        <f t="shared" ca="1" si="28"/>
        <v>772841.18833056197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772841.18833056197</v>
      </c>
      <c r="J349" s="444">
        <f t="array" ref="J349">IFERROR(INDEX('Retirement Calculator'!J:J,MATCH('Isaac 401k'!N349,'Retirement Calculator'!A:A,0),0),0)</f>
        <v>8395.6297298201844</v>
      </c>
      <c r="K349" s="444">
        <f t="shared" ca="1" si="27"/>
        <v>3185.1898275030908</v>
      </c>
      <c r="L349" s="444">
        <f t="shared" ca="1" si="28"/>
        <v>767630.74842824484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767630.74842824484</v>
      </c>
      <c r="J350" s="444">
        <f t="array" ref="J350">IFERROR(INDEX('Retirement Calculator'!J:J,MATCH('Isaac 401k'!N350,'Retirement Calculator'!A:A,0),0),0)</f>
        <v>8395.6297298201844</v>
      </c>
      <c r="K350" s="444">
        <f t="shared" ca="1" si="27"/>
        <v>3163.4796612434361</v>
      </c>
      <c r="L350" s="444">
        <f t="shared" ca="1" si="28"/>
        <v>762398.59835966805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762398.59835966805</v>
      </c>
      <c r="J351" s="444">
        <f t="array" ref="J351">IFERROR(INDEX('Retirement Calculator'!J:J,MATCH('Isaac 401k'!N351,'Retirement Calculator'!A:A,0),0),0)</f>
        <v>8395.6297298201844</v>
      </c>
      <c r="K351" s="444">
        <f t="shared" ca="1" si="27"/>
        <v>3141.6790359576994</v>
      </c>
      <c r="L351" s="444">
        <f t="shared" ca="1" si="28"/>
        <v>757144.64766580553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757144.64766580553</v>
      </c>
      <c r="J352" s="444">
        <f t="array" ref="J352">IFERROR(INDEX('Retirement Calculator'!J:J,MATCH('Isaac 401k'!N352,'Retirement Calculator'!A:A,0),0),0)</f>
        <v>8395.6297298201844</v>
      </c>
      <c r="K352" s="444">
        <f t="shared" ca="1" si="27"/>
        <v>3119.7875747332723</v>
      </c>
      <c r="L352" s="444">
        <f t="shared" ca="1" si="28"/>
        <v>751868.80551071861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751868.80551071861</v>
      </c>
      <c r="J353" s="444">
        <f t="array" ref="J353">IFERROR(INDEX('Retirement Calculator'!J:J,MATCH('Isaac 401k'!N353,'Retirement Calculator'!A:A,0),0),0)</f>
        <v>8395.6297298201844</v>
      </c>
      <c r="K353" s="444">
        <f t="shared" ca="1" si="27"/>
        <v>3097.8048990870766</v>
      </c>
      <c r="L353" s="444">
        <f t="shared" ca="1" si="28"/>
        <v>746570.98067998549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746570.98067998549</v>
      </c>
      <c r="J354" s="444">
        <f t="array" ref="J354">IFERROR(INDEX('Retirement Calculator'!J:J,MATCH('Isaac 401k'!N354,'Retirement Calculator'!A:A,0),0),0)</f>
        <v>8395.6297298201844</v>
      </c>
      <c r="K354" s="444">
        <f t="shared" ca="1" si="27"/>
        <v>3075.7306289590219</v>
      </c>
      <c r="L354" s="444">
        <f t="shared" ca="1" si="28"/>
        <v>741251.08157912432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741251.08157912432</v>
      </c>
      <c r="J355" s="444">
        <f t="array" ref="J355">IFERROR(INDEX('Retirement Calculator'!J:J,MATCH('Isaac 401k'!N355,'Retirement Calculator'!A:A,0),0),0)</f>
        <v>8395.6297298201844</v>
      </c>
      <c r="K355" s="444">
        <f t="shared" ca="1" si="27"/>
        <v>3053.5643827054337</v>
      </c>
      <c r="L355" s="444">
        <f t="shared" ca="1" si="28"/>
        <v>735909.01623200963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735909.01623200963</v>
      </c>
      <c r="J356" s="444">
        <f t="array" ref="J356">IFERROR(INDEX('Retirement Calculator'!J:J,MATCH('Isaac 401k'!N356,'Retirement Calculator'!A:A,0),0),0)</f>
        <v>8395.6297298201844</v>
      </c>
      <c r="K356" s="444">
        <f t="shared" ca="1" si="27"/>
        <v>3031.3057770924561</v>
      </c>
      <c r="L356" s="444">
        <f t="shared" ca="1" si="28"/>
        <v>730544.69227928191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730544.69227928191</v>
      </c>
      <c r="J357" s="444">
        <f t="array" ref="J357">IFERROR(INDEX('Retirement Calculator'!J:J,MATCH('Isaac 401k'!N357,'Retirement Calculator'!A:A,0),0),0)</f>
        <v>8395.6297298201844</v>
      </c>
      <c r="K357" s="444">
        <f t="shared" ca="1" si="27"/>
        <v>3008.9544272894236</v>
      </c>
      <c r="L357" s="444">
        <f t="shared" ca="1" si="28"/>
        <v>725158.01697675115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725158.01697675115</v>
      </c>
      <c r="J358" s="444">
        <f t="array" ref="J358">IFERROR(INDEX('Retirement Calculator'!J:J,MATCH('Isaac 401k'!N358,'Retirement Calculator'!A:A,0),0),0)</f>
        <v>8395.6297298201844</v>
      </c>
      <c r="K358" s="444">
        <f t="shared" ca="1" si="27"/>
        <v>2986.5099468622125</v>
      </c>
      <c r="L358" s="444">
        <f t="shared" ca="1" si="28"/>
        <v>719748.89719379321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719748.89719379321</v>
      </c>
      <c r="J359" s="444">
        <f t="array" ref="J359">IFERROR(INDEX('Retirement Calculator'!J:J,MATCH('Isaac 401k'!N359,'Retirement Calculator'!A:A,0),0),0)</f>
        <v>8395.6297298201844</v>
      </c>
      <c r="K359" s="444">
        <f t="shared" ca="1" si="27"/>
        <v>2963.9719477665544</v>
      </c>
      <c r="L359" s="444">
        <f t="shared" ca="1" si="28"/>
        <v>714317.23941173963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714317.23941173963</v>
      </c>
      <c r="J360" s="444">
        <f t="array" ref="J360">IFERROR(INDEX('Retirement Calculator'!J:J,MATCH('Isaac 401k'!N360,'Retirement Calculator'!A:A,0),0),0)</f>
        <v>8395.6297298201844</v>
      </c>
      <c r="K360" s="444">
        <f t="shared" ca="1" si="27"/>
        <v>2941.3400403413311</v>
      </c>
      <c r="L360" s="444">
        <f t="shared" ca="1" si="28"/>
        <v>708862.94972226082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708862.94972226082</v>
      </c>
      <c r="J361" s="444">
        <f t="array" ref="J361">IFERROR(INDEX('Retirement Calculator'!J:J,MATCH('Isaac 401k'!N361,'Retirement Calculator'!A:A,0),0),0)</f>
        <v>8395.6297298201844</v>
      </c>
      <c r="K361" s="444">
        <f t="shared" ca="1" si="27"/>
        <v>2918.6138333018362</v>
      </c>
      <c r="L361" s="444">
        <f t="shared" ca="1" si="28"/>
        <v>703385.93382574245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703385.93382574245</v>
      </c>
      <c r="J362" s="444">
        <f t="array" ref="J362">IFERROR(INDEX('Retirement Calculator'!J:J,MATCH('Isaac 401k'!N362,'Retirement Calculator'!A:A,0),0),0)</f>
        <v>8395.6297298201844</v>
      </c>
      <c r="K362" s="444">
        <f t="shared" ca="1" si="27"/>
        <v>2895.7929337330092</v>
      </c>
      <c r="L362" s="444">
        <f t="shared" ca="1" si="28"/>
        <v>697886.09702965524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697886.09702965524</v>
      </c>
      <c r="J363" s="444">
        <f t="array" ref="J363">IFERROR(INDEX('Retirement Calculator'!J:J,MATCH('Isaac 401k'!N363,'Retirement Calculator'!A:A,0),0),0)</f>
        <v>8395.6297298201844</v>
      </c>
      <c r="K363" s="444">
        <f t="shared" ca="1" si="27"/>
        <v>2872.876947082646</v>
      </c>
      <c r="L363" s="444">
        <f t="shared" ca="1" si="28"/>
        <v>692363.34424691775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692363.34424691775</v>
      </c>
      <c r="J364" s="444">
        <f t="array" ref="J364">IFERROR(INDEX('Retirement Calculator'!J:J,MATCH('Isaac 401k'!N364,'Retirement Calculator'!A:A,0),0),0)</f>
        <v>8395.6297298201844</v>
      </c>
      <c r="K364" s="444">
        <f t="shared" ca="1" si="27"/>
        <v>2849.865477154573</v>
      </c>
      <c r="L364" s="444">
        <f t="shared" ca="1" si="28"/>
        <v>686817.57999425218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686817.57999425218</v>
      </c>
      <c r="J365" s="444">
        <f t="array" ref="J365">IFERROR(INDEX('Retirement Calculator'!J:J,MATCH('Isaac 401k'!N365,'Retirement Calculator'!A:A,0),0),0)</f>
        <v>8395.6297298201844</v>
      </c>
      <c r="K365" s="444">
        <f t="shared" ca="1" si="27"/>
        <v>2826.7581261017999</v>
      </c>
      <c r="L365" s="444">
        <f t="shared" ca="1" si="28"/>
        <v>681248.70839053381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681248.70839053381</v>
      </c>
      <c r="J366" s="444">
        <f t="array" ref="J366">IFERROR(INDEX('Retirement Calculator'!J:J,MATCH('Isaac 401k'!N366,'Retirement Calculator'!A:A,0),0),0)</f>
        <v>8395.6297298201844</v>
      </c>
      <c r="K366" s="444">
        <f t="shared" ca="1" si="27"/>
        <v>2803.5544944196399</v>
      </c>
      <c r="L366" s="444">
        <f t="shared" ca="1" si="28"/>
        <v>675656.63315513323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675656.63315513323</v>
      </c>
      <c r="J367" s="444">
        <f t="array" ref="J367">IFERROR(INDEX('Retirement Calculator'!J:J,MATCH('Isaac 401k'!N367,'Retirement Calculator'!A:A,0),0),0)</f>
        <v>8395.6297298201844</v>
      </c>
      <c r="K367" s="444">
        <f t="shared" ca="1" si="27"/>
        <v>2780.2541809388044</v>
      </c>
      <c r="L367" s="444">
        <f t="shared" ca="1" si="28"/>
        <v>670041.25760625186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670041.25760625186</v>
      </c>
      <c r="J368" s="444">
        <f t="array" ref="J368">IFERROR(INDEX('Retirement Calculator'!J:J,MATCH('Isaac 401k'!N368,'Retirement Calculator'!A:A,0),0),0)</f>
        <v>8395.6297298201844</v>
      </c>
      <c r="K368" s="444">
        <f t="shared" ca="1" si="27"/>
        <v>2756.8567828184655</v>
      </c>
      <c r="L368" s="444">
        <f t="shared" ca="1" si="28"/>
        <v>664402.48465925013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664402.48465925013</v>
      </c>
      <c r="J369" s="444">
        <f t="array" ref="J369">IFERROR(INDEX('Retirement Calculator'!J:J,MATCH('Isaac 401k'!N369,'Retirement Calculator'!A:A,0),0),0)</f>
        <v>8395.6297298201844</v>
      </c>
      <c r="K369" s="444">
        <f t="shared" ca="1" si="27"/>
        <v>2733.3618955392913</v>
      </c>
      <c r="L369" s="444">
        <f t="shared" ca="1" si="28"/>
        <v>658740.21682496928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658740.21682496928</v>
      </c>
      <c r="J370" s="444">
        <f t="array" ref="J370">IFERROR(INDEX('Retirement Calculator'!J:J,MATCH('Isaac 401k'!N370,'Retirement Calculator'!A:A,0),0),0)</f>
        <v>8395.6297298201844</v>
      </c>
      <c r="K370" s="444">
        <f t="shared" ca="1" si="27"/>
        <v>2709.7691128964543</v>
      </c>
      <c r="L370" s="444">
        <f t="shared" ca="1" si="28"/>
        <v>653054.3562080455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653054.3562080455</v>
      </c>
      <c r="J371" s="444">
        <f t="array" ref="J371">IFERROR(INDEX('Retirement Calculator'!J:J,MATCH('Isaac 401k'!N371,'Retirement Calculator'!A:A,0),0),0)</f>
        <v>8395.6297298201844</v>
      </c>
      <c r="K371" s="444">
        <f t="shared" ca="1" si="27"/>
        <v>2686.0780269926054</v>
      </c>
      <c r="L371" s="444">
        <f t="shared" ca="1" si="28"/>
        <v>647344.80450521794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647344.80450521794</v>
      </c>
      <c r="J372" s="444">
        <f t="array" ref="J372">IFERROR(INDEX('Retirement Calculator'!J:J,MATCH('Isaac 401k'!N372,'Retirement Calculator'!A:A,0),0),0)</f>
        <v>8395.6297298201844</v>
      </c>
      <c r="K372" s="444">
        <f t="shared" ca="1" si="27"/>
        <v>2662.2882282308237</v>
      </c>
      <c r="L372" s="444">
        <f t="shared" ca="1" si="28"/>
        <v>641611.46300362854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641611.46300362854</v>
      </c>
      <c r="J373" s="444">
        <f t="array" ref="J373">IFERROR(INDEX('Retirement Calculator'!J:J,MATCH('Isaac 401k'!N373,'Retirement Calculator'!A:A,0),0),0)</f>
        <v>8395.6297298201844</v>
      </c>
      <c r="K373" s="444">
        <f t="shared" ca="1" si="27"/>
        <v>2638.3993053075346</v>
      </c>
      <c r="L373" s="444">
        <f t="shared" ca="1" si="28"/>
        <v>635854.23257911589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635854.23257911589</v>
      </c>
      <c r="J374" s="444">
        <f t="array" ref="J374">IFERROR(INDEX('Retirement Calculator'!J:J,MATCH('Isaac 401k'!N374,'Retirement Calculator'!A:A,0),0),0)</f>
        <v>8395.6297298201844</v>
      </c>
      <c r="K374" s="444">
        <f t="shared" ca="1" si="27"/>
        <v>2614.4108452053988</v>
      </c>
      <c r="L374" s="444">
        <f t="shared" ca="1" si="28"/>
        <v>630073.01369450113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630073.01369450113</v>
      </c>
      <c r="J375" s="444">
        <f t="array" ref="J375">IFERROR(INDEX('Retirement Calculator'!J:J,MATCH('Isaac 401k'!N375,'Retirement Calculator'!A:A,0),0),0)</f>
        <v>8395.6297298201844</v>
      </c>
      <c r="K375" s="444">
        <f t="shared" ca="1" si="27"/>
        <v>2590.3224331861707</v>
      </c>
      <c r="L375" s="444">
        <f t="shared" ca="1" si="28"/>
        <v>624267.70639786706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624267.70639786706</v>
      </c>
      <c r="J376" s="444">
        <f t="array" ref="J376">IFERROR(INDEX('Retirement Calculator'!J:J,MATCH('Isaac 401k'!N376,'Retirement Calculator'!A:A,0),0),0)</f>
        <v>8395.6297298201844</v>
      </c>
      <c r="K376" s="444">
        <f t="shared" ca="1" si="27"/>
        <v>2566.1336527835288</v>
      </c>
      <c r="L376" s="444">
        <f t="shared" ca="1" si="28"/>
        <v>618438.21032083046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618438.21032083046</v>
      </c>
      <c r="J377" s="444">
        <f t="array" ref="J377">IFERROR(INDEX('Retirement Calculator'!J:J,MATCH('Isaac 401k'!N377,'Retirement Calculator'!A:A,0),0),0)</f>
        <v>8395.6297298201844</v>
      </c>
      <c r="K377" s="444">
        <f t="shared" ca="1" si="27"/>
        <v>2541.8440857958763</v>
      </c>
      <c r="L377" s="444">
        <f t="shared" ca="1" si="28"/>
        <v>612584.4246768062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612584.4246768062</v>
      </c>
      <c r="J378" s="444">
        <f t="array" ref="J378">IFERROR(INDEX('Retirement Calculator'!J:J,MATCH('Isaac 401k'!N378,'Retirement Calculator'!A:A,0),0),0)</f>
        <v>8395.6297298201844</v>
      </c>
      <c r="K378" s="444">
        <f t="shared" ca="1" si="27"/>
        <v>2517.4533122791086</v>
      </c>
      <c r="L378" s="444">
        <f t="shared" ca="1" si="28"/>
        <v>606706.24825926509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606706.24825926509</v>
      </c>
      <c r="J379" s="444">
        <f t="array" ref="J379">IFERROR(INDEX('Retirement Calculator'!J:J,MATCH('Isaac 401k'!N379,'Retirement Calculator'!A:A,0),0),0)</f>
        <v>8395.6297298201844</v>
      </c>
      <c r="K379" s="444">
        <f t="shared" ca="1" si="27"/>
        <v>2492.9609105393538</v>
      </c>
      <c r="L379" s="444">
        <f t="shared" ca="1" si="28"/>
        <v>600803.57943998429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600803.57943998429</v>
      </c>
      <c r="J380" s="444">
        <f t="array" ref="J380">IFERROR(INDEX('Retirement Calculator'!J:J,MATCH('Isaac 401k'!N380,'Retirement Calculator'!A:A,0),0),0)</f>
        <v>8395.6297298201844</v>
      </c>
      <c r="K380" s="444">
        <f t="shared" ca="1" si="27"/>
        <v>2468.3664571256836</v>
      </c>
      <c r="L380" s="444">
        <f t="shared" ca="1" si="28"/>
        <v>594876.31616728974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594876.31616728974</v>
      </c>
      <c r="J381" s="444">
        <f t="array" ref="J381">IFERROR(INDEX('Retirement Calculator'!J:J,MATCH('Isaac 401k'!N381,'Retirement Calculator'!A:A,0),0),0)</f>
        <v>8395.6297298201844</v>
      </c>
      <c r="K381" s="444">
        <f t="shared" ca="1" si="27"/>
        <v>2443.66952682279</v>
      </c>
      <c r="L381" s="444">
        <f t="shared" ca="1" si="28"/>
        <v>588924.35596429231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588924.35596429231</v>
      </c>
      <c r="J382" s="444">
        <f t="array" ref="J382">IFERROR(INDEX('Retirement Calculator'!J:J,MATCH('Isaac 401k'!N382,'Retirement Calculator'!A:A,0),0),0)</f>
        <v>8395.6297298201844</v>
      </c>
      <c r="K382" s="444">
        <f t="shared" ca="1" si="27"/>
        <v>2418.8696926436337</v>
      </c>
      <c r="L382" s="444">
        <f t="shared" ca="1" si="28"/>
        <v>582947.59592711576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582947.59592711576</v>
      </c>
      <c r="J383" s="444">
        <f t="array" ref="J383">IFERROR(INDEX('Retirement Calculator'!J:J,MATCH('Isaac 401k'!N383,'Retirement Calculator'!A:A,0),0),0)</f>
        <v>8395.6297298201844</v>
      </c>
      <c r="K383" s="444">
        <f t="shared" ca="1" si="27"/>
        <v>2393.9665258220648</v>
      </c>
      <c r="L383" s="444">
        <f t="shared" ca="1" si="28"/>
        <v>576945.93272311764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576945.93272311764</v>
      </c>
      <c r="J384" s="444">
        <f t="array" ref="J384">IFERROR(INDEX('Retirement Calculator'!J:J,MATCH('Isaac 401k'!N384,'Retirement Calculator'!A:A,0),0),0)</f>
        <v>8395.6297298201844</v>
      </c>
      <c r="K384" s="444">
        <f t="shared" ca="1" si="27"/>
        <v>2368.959595805406</v>
      </c>
      <c r="L384" s="444">
        <f t="shared" ca="1" si="28"/>
        <v>570919.26258910284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570919.26258910284</v>
      </c>
      <c r="J385" s="444">
        <f t="array" ref="J385">IFERROR(INDEX('Retirement Calculator'!J:J,MATCH('Isaac 401k'!N385,'Retirement Calculator'!A:A,0),0),0)</f>
        <v>8395.6297298201844</v>
      </c>
      <c r="K385" s="444">
        <f t="shared" ca="1" si="27"/>
        <v>2343.8484702470109</v>
      </c>
      <c r="L385" s="444">
        <f t="shared" ca="1" si="28"/>
        <v>564867.48132952966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564867.48132952966</v>
      </c>
      <c r="J386" s="444">
        <f t="array" ref="J386">IFERROR(INDEX('Retirement Calculator'!J:J,MATCH('Isaac 401k'!N386,'Retirement Calculator'!A:A,0),0),0)</f>
        <v>8395.6297298201844</v>
      </c>
      <c r="K386" s="444">
        <f t="shared" ca="1" si="27"/>
        <v>2318.6327149987897</v>
      </c>
      <c r="L386" s="444">
        <f t="shared" ca="1" si="28"/>
        <v>558790.48431470827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558790.48431470827</v>
      </c>
      <c r="J387" s="444">
        <f t="array" ref="J387">IFERROR(INDEX('Retirement Calculator'!J:J,MATCH('Isaac 401k'!N387,'Retirement Calculator'!A:A,0),0),0)</f>
        <v>8395.6297298201844</v>
      </c>
      <c r="K387" s="444">
        <f t="shared" ca="1" si="27"/>
        <v>2293.3118941037005</v>
      </c>
      <c r="L387" s="444">
        <f t="shared" ca="1" si="28"/>
        <v>552688.16647899174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552688.16647899174</v>
      </c>
      <c r="J388" s="444">
        <f t="array" ref="J388">IFERROR(INDEX('Retirement Calculator'!J:J,MATCH('Isaac 401k'!N388,'Retirement Calculator'!A:A,0),0),0)</f>
        <v>8395.6297298201844</v>
      </c>
      <c r="K388" s="444">
        <f t="shared" ca="1" si="27"/>
        <v>2267.885569788215</v>
      </c>
      <c r="L388" s="444">
        <f t="shared" ca="1" si="28"/>
        <v>546560.42231895973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546560.42231895973</v>
      </c>
      <c r="J389" s="444">
        <f t="array" ref="J389">IFERROR(INDEX('Retirement Calculator'!J:J,MATCH('Isaac 401k'!N389,'Retirement Calculator'!A:A,0),0),0)</f>
        <v>8395.6297298201844</v>
      </c>
      <c r="K389" s="444">
        <f t="shared" ca="1" si="27"/>
        <v>2242.3533024547482</v>
      </c>
      <c r="L389" s="444">
        <f t="shared" ca="1" si="28"/>
        <v>540407.14589159423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540407.14589159423</v>
      </c>
      <c r="J390" s="444">
        <f t="array" ref="J390">IFERROR(INDEX('Retirement Calculator'!J:J,MATCH('Isaac 401k'!N390,'Retirement Calculator'!A:A,0),0),0)</f>
        <v>8395.6297298201844</v>
      </c>
      <c r="K390" s="444">
        <f t="shared" ca="1" si="27"/>
        <v>2216.7146506740587</v>
      </c>
      <c r="L390" s="444">
        <f t="shared" ca="1" si="28"/>
        <v>534228.23081244808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534228.23081244808</v>
      </c>
      <c r="J391" s="444">
        <f t="array" ref="J391">IFERROR(INDEX('Retirement Calculator'!J:J,MATCH('Isaac 401k'!N391,'Retirement Calculator'!A:A,0),0),0)</f>
        <v>8395.6297298201844</v>
      </c>
      <c r="K391" s="444">
        <f t="shared" ca="1" si="27"/>
        <v>2190.9691711776163</v>
      </c>
      <c r="L391" s="444">
        <f t="shared" ca="1" si="28"/>
        <v>528023.57025380549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528023.57025380549</v>
      </c>
      <c r="J392" s="444">
        <f t="array" ref="J392">IFERROR(INDEX('Retirement Calculator'!J:J,MATCH('Isaac 401k'!N392,'Retirement Calculator'!A:A,0),0),0)</f>
        <v>8395.6297298201844</v>
      </c>
      <c r="K392" s="444">
        <f t="shared" ca="1" si="27"/>
        <v>2165.1164188499388</v>
      </c>
      <c r="L392" s="444">
        <f t="shared" ca="1" si="28"/>
        <v>521793.05694283522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521793.05694283522</v>
      </c>
      <c r="J393" s="444">
        <f t="array" ref="J393">IFERROR(INDEX('Retirement Calculator'!J:J,MATCH('Isaac 401k'!N393,'Retirement Calculator'!A:A,0),0),0)</f>
        <v>8395.6297298201844</v>
      </c>
      <c r="K393" s="444">
        <f t="shared" ca="1" si="27"/>
        <v>2139.1559467208958</v>
      </c>
      <c r="L393" s="444">
        <f t="shared" ca="1" si="28"/>
        <v>515536.58315973595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515536.58315973595</v>
      </c>
      <c r="J394" s="444">
        <f t="array" ref="J394">IFERROR(INDEX('Retirement Calculator'!J:J,MATCH('Isaac 401k'!N394,'Retirement Calculator'!A:A,0),0),0)</f>
        <v>8395.6297298201844</v>
      </c>
      <c r="K394" s="444">
        <f t="shared" ca="1" si="27"/>
        <v>2113.0873059579822</v>
      </c>
      <c r="L394" s="444">
        <f t="shared" ca="1" si="28"/>
        <v>509254.04073587374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509254.04073587374</v>
      </c>
      <c r="J395" s="444">
        <f t="array" ref="J395">IFERROR(INDEX('Retirement Calculator'!J:J,MATCH('Isaac 401k'!N395,'Retirement Calculator'!A:A,0),0),0)</f>
        <v>8395.6297298201844</v>
      </c>
      <c r="K395" s="444">
        <f t="shared" ca="1" si="27"/>
        <v>2086.9100458585563</v>
      </c>
      <c r="L395" s="444">
        <f t="shared" ca="1" si="28"/>
        <v>502945.32105191209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502945.32105191209</v>
      </c>
      <c r="J396" s="444">
        <f t="array" ref="J396">IFERROR(INDEX('Retirement Calculator'!J:J,MATCH('Isaac 401k'!N396,'Retirement Calculator'!A:A,0),0),0)</f>
        <v>8395.6297298201844</v>
      </c>
      <c r="K396" s="444">
        <f t="shared" ca="1" si="27"/>
        <v>2060.6237138420497</v>
      </c>
      <c r="L396" s="444">
        <f t="shared" ca="1" si="28"/>
        <v>496610.31503593398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496610.31503593398</v>
      </c>
      <c r="J397" s="444">
        <f t="array" ref="J397">IFERROR(INDEX('Retirement Calculator'!J:J,MATCH('Isaac 401k'!N397,'Retirement Calculator'!A:A,0),0),0)</f>
        <v>8395.6297298201844</v>
      </c>
      <c r="K397" s="444">
        <f t="shared" ca="1" si="27"/>
        <v>2034.2278554421407</v>
      </c>
      <c r="L397" s="444">
        <f t="shared" ca="1" si="28"/>
        <v>490248.91316155595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490248.91316155595</v>
      </c>
      <c r="J398" s="444">
        <f t="array" ref="J398">IFERROR(INDEX('Retirement Calculator'!J:J,MATCH('Isaac 401k'!N398,'Retirement Calculator'!A:A,0),0),0)</f>
        <v>8395.6297298201844</v>
      </c>
      <c r="K398" s="444">
        <f t="shared" ca="1" si="27"/>
        <v>2007.7220142988988</v>
      </c>
      <c r="L398" s="444">
        <f t="shared" ca="1" si="28"/>
        <v>483861.00544603466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483861.00544603466</v>
      </c>
      <c r="J399" s="444">
        <f t="array" ref="J399">IFERROR(INDEX('Retirement Calculator'!J:J,MATCH('Isaac 401k'!N399,'Retirement Calculator'!A:A,0),0),0)</f>
        <v>8395.6297298201844</v>
      </c>
      <c r="K399" s="444">
        <f t="shared" ca="1" si="27"/>
        <v>1981.1057321508938</v>
      </c>
      <c r="L399" s="444">
        <f t="shared" ca="1" si="28"/>
        <v>477446.48144836538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477446.48144836538</v>
      </c>
      <c r="J400" s="444">
        <f t="array" ref="J400">IFERROR(INDEX('Retirement Calculator'!J:J,MATCH('Isaac 401k'!N400,'Retirement Calculator'!A:A,0),0),0)</f>
        <v>8395.6297298201844</v>
      </c>
      <c r="K400" s="444">
        <f t="shared" ca="1" si="27"/>
        <v>1954.3785488272713</v>
      </c>
      <c r="L400" s="444">
        <f t="shared" ca="1" si="28"/>
        <v>471005.23026737245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471005.23026737245</v>
      </c>
      <c r="J401" s="444">
        <f t="array" ref="J401">IFERROR(INDEX('Retirement Calculator'!J:J,MATCH('Isaac 401k'!N401,'Retirement Calculator'!A:A,0),0),0)</f>
        <v>8395.6297298201844</v>
      </c>
      <c r="K401" s="444">
        <f t="shared" ca="1" si="27"/>
        <v>1927.5400022398014</v>
      </c>
      <c r="L401" s="444">
        <f t="shared" ca="1" si="28"/>
        <v>464537.14053979208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464537.14053979208</v>
      </c>
      <c r="J402" s="444">
        <f t="array" ref="J402">IFERROR(INDEX('Retirement Calculator'!J:J,MATCH('Isaac 401k'!N402,'Retirement Calculator'!A:A,0),0),0)</f>
        <v>8395.6297298201844</v>
      </c>
      <c r="K402" s="444">
        <f t="shared" ca="1" si="27"/>
        <v>1900.5896283748832</v>
      </c>
      <c r="L402" s="444">
        <f t="shared" ca="1" si="28"/>
        <v>458042.1004383468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458042.1004383468</v>
      </c>
      <c r="J403" s="444">
        <f t="array" ref="J403">IFERROR(INDEX('Retirement Calculator'!J:J,MATCH('Isaac 401k'!N403,'Retirement Calculator'!A:A,0),0),0)</f>
        <v>8395.6297298201844</v>
      </c>
      <c r="K403" s="444">
        <f t="shared" ca="1" si="27"/>
        <v>1873.5269612855277</v>
      </c>
      <c r="L403" s="444">
        <f t="shared" ca="1" si="28"/>
        <v>451519.99766981212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451519.99766981212</v>
      </c>
      <c r="J404" s="444">
        <f t="array" ref="J404">IFERROR(INDEX('Retirement Calculator'!J:J,MATCH('Isaac 401k'!N404,'Retirement Calculator'!A:A,0),0),0)</f>
        <v>8395.6297298201844</v>
      </c>
      <c r="K404" s="444">
        <f t="shared" ca="1" si="27"/>
        <v>1846.3515330833</v>
      </c>
      <c r="L404" s="444">
        <f t="shared" ca="1" si="28"/>
        <v>444970.71947307524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444970.71947307524</v>
      </c>
      <c r="J405" s="444">
        <f t="array" ref="J405">IFERROR(INDEX('Retirement Calculator'!J:J,MATCH('Isaac 401k'!N405,'Retirement Calculator'!A:A,0),0),0)</f>
        <v>8395.6297298201844</v>
      </c>
      <c r="K405" s="444">
        <f t="shared" ca="1" si="27"/>
        <v>1819.0628739302294</v>
      </c>
      <c r="L405" s="444">
        <f t="shared" ca="1" si="28"/>
        <v>438394.15261718526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438394.15261718526</v>
      </c>
      <c r="J406" s="444">
        <f t="array" ref="J406">IFERROR(INDEX('Retirement Calculator'!J:J,MATCH('Isaac 401k'!N406,'Retirement Calculator'!A:A,0),0),0)</f>
        <v>8395.6297298201844</v>
      </c>
      <c r="K406" s="444">
        <f t="shared" ca="1" si="27"/>
        <v>1791.6605120306879</v>
      </c>
      <c r="L406" s="444">
        <f t="shared" ca="1" si="28"/>
        <v>431790.18339939578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431790.18339939578</v>
      </c>
      <c r="J407" s="444">
        <f t="array" ref="J407">IFERROR(INDEX('Retirement Calculator'!J:J,MATCH('Isaac 401k'!N407,'Retirement Calculator'!A:A,0),0),0)</f>
        <v>8395.6297298201844</v>
      </c>
      <c r="K407" s="444">
        <f t="shared" ca="1" si="27"/>
        <v>1764.1439736232317</v>
      </c>
      <c r="L407" s="444">
        <f t="shared" ca="1" si="28"/>
        <v>425158.69764319883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425158.69764319883</v>
      </c>
      <c r="J408" s="444">
        <f t="array" ref="J408">IFERROR(INDEX('Retirement Calculator'!J:J,MATCH('Isaac 401k'!N408,'Retirement Calculator'!A:A,0),0),0)</f>
        <v>8395.6297298201844</v>
      </c>
      <c r="K408" s="444">
        <f t="shared" ca="1" si="27"/>
        <v>1736.5127829724111</v>
      </c>
      <c r="L408" s="444">
        <f t="shared" ca="1" si="28"/>
        <v>418499.58069635107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418499.58069635107</v>
      </c>
      <c r="J409" s="444">
        <f t="array" ref="J409">IFERROR(INDEX('Retirement Calculator'!J:J,MATCH('Isaac 401k'!N409,'Retirement Calculator'!A:A,0),0),0)</f>
        <v>8395.6297298201844</v>
      </c>
      <c r="K409" s="444">
        <f t="shared" ca="1" si="27"/>
        <v>1708.7664623605453</v>
      </c>
      <c r="L409" s="444">
        <f t="shared" ca="1" si="28"/>
        <v>411812.71742889145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411812.71742889145</v>
      </c>
      <c r="J410" s="444">
        <f t="array" ref="J410">IFERROR(INDEX('Retirement Calculator'!J:J,MATCH('Isaac 401k'!N410,'Retirement Calculator'!A:A,0),0),0)</f>
        <v>8395.6297298201844</v>
      </c>
      <c r="K410" s="444">
        <f t="shared" ca="1" si="27"/>
        <v>1680.9045320794637</v>
      </c>
      <c r="L410" s="444">
        <f t="shared" ca="1" si="28"/>
        <v>405097.99223115074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405097.99223115074</v>
      </c>
      <c r="J411" s="444">
        <f t="array" ref="J411">IFERROR(INDEX('Retirement Calculator'!J:J,MATCH('Isaac 401k'!N411,'Retirement Calculator'!A:A,0),0),0)</f>
        <v>8395.6297298201844</v>
      </c>
      <c r="K411" s="444">
        <f t="shared" ca="1" si="27"/>
        <v>1652.9265104222106</v>
      </c>
      <c r="L411" s="444">
        <f t="shared" ca="1" si="28"/>
        <v>398355.28901175276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398355.28901175276</v>
      </c>
      <c r="J412" s="444">
        <f t="array" ref="J412">IFERROR(INDEX('Retirement Calculator'!J:J,MATCH('Isaac 401k'!N412,'Retirement Calculator'!A:A,0),0),0)</f>
        <v>8395.6297298201844</v>
      </c>
      <c r="K412" s="444">
        <f t="shared" ca="1" si="27"/>
        <v>1624.8319136747191</v>
      </c>
      <c r="L412" s="444">
        <f t="shared" ca="1" si="28"/>
        <v>391584.49119560729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391584.49119560729</v>
      </c>
      <c r="J413" s="444">
        <f t="array" ref="J413">IFERROR(INDEX('Retirement Calculator'!J:J,MATCH('Isaac 401k'!N413,'Retirement Calculator'!A:A,0),0),0)</f>
        <v>8395.6297298201844</v>
      </c>
      <c r="K413" s="444">
        <f t="shared" ca="1" si="27"/>
        <v>1596.6202561074463</v>
      </c>
      <c r="L413" s="444">
        <f t="shared" ca="1" si="28"/>
        <v>384785.48172189458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384785.48172189458</v>
      </c>
      <c r="J414" s="444">
        <f t="array" ref="J414">IFERROR(INDEX('Retirement Calculator'!J:J,MATCH('Isaac 401k'!N414,'Retirement Calculator'!A:A,0),0),0)</f>
        <v>8395.6297298201844</v>
      </c>
      <c r="K414" s="444">
        <f t="shared" ca="1" si="27"/>
        <v>1568.2910499669767</v>
      </c>
      <c r="L414" s="444">
        <f t="shared" ca="1" si="28"/>
        <v>377958.1430420414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377958.1430420414</v>
      </c>
      <c r="J415" s="444">
        <f t="array" ref="J415">IFERROR(INDEX('Retirement Calculator'!J:J,MATCH('Isaac 401k'!N415,'Retirement Calculator'!A:A,0),0),0)</f>
        <v>8395.6297298201844</v>
      </c>
      <c r="K415" s="444">
        <f t="shared" ca="1" si="27"/>
        <v>1539.8438054675885</v>
      </c>
      <c r="L415" s="444">
        <f t="shared" ca="1" si="28"/>
        <v>371102.35711768881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371102.35711768881</v>
      </c>
      <c r="J416" s="444">
        <f t="array" ref="J416">IFERROR(INDEX('Retirement Calculator'!J:J,MATCH('Isaac 401k'!N416,'Retirement Calculator'!A:A,0),0),0)</f>
        <v>8395.6297298201844</v>
      </c>
      <c r="K416" s="444">
        <f t="shared" ca="1" si="27"/>
        <v>1511.2780307827859</v>
      </c>
      <c r="L416" s="444">
        <f t="shared" ca="1" si="28"/>
        <v>364218.00541865139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364218.00541865139</v>
      </c>
      <c r="J417" s="444">
        <f t="array" ref="J417">IFERROR(INDEX('Retirement Calculator'!J:J,MATCH('Isaac 401k'!N417,'Retirement Calculator'!A:A,0),0),0)</f>
        <v>8395.6297298201844</v>
      </c>
      <c r="K417" s="444">
        <f t="shared" ca="1" si="27"/>
        <v>1482.5932320367967</v>
      </c>
      <c r="L417" s="444">
        <f t="shared" ca="1" si="28"/>
        <v>357304.96892086801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357304.96892086801</v>
      </c>
      <c r="J418" s="444">
        <f t="array" ref="J418">IFERROR(INDEX('Retirement Calculator'!J:J,MATCH('Isaac 401k'!N418,'Retirement Calculator'!A:A,0),0),0)</f>
        <v>8395.6297298201844</v>
      </c>
      <c r="K418" s="444">
        <f t="shared" ca="1" si="27"/>
        <v>1453.7889132960327</v>
      </c>
      <c r="L418" s="444">
        <f t="shared" ca="1" si="28"/>
        <v>350363.12810434384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350363.12810434384</v>
      </c>
      <c r="J419" s="444">
        <f t="array" ref="J419">IFERROR(INDEX('Retirement Calculator'!J:J,MATCH('Isaac 401k'!N419,'Retirement Calculator'!A:A,0),0),0)</f>
        <v>8395.6297298201844</v>
      </c>
      <c r="K419" s="444">
        <f t="shared" ca="1" si="27"/>
        <v>1424.8645765605152</v>
      </c>
      <c r="L419" s="444">
        <f t="shared" ca="1" si="28"/>
        <v>343392.36295108416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343392.36295108416</v>
      </c>
      <c r="J420" s="444">
        <f t="array" ref="J420">IFERROR(INDEX('Retirement Calculator'!J:J,MATCH('Isaac 401k'!N420,'Retirement Calculator'!A:A,0),0),0)</f>
        <v>8395.6297298201844</v>
      </c>
      <c r="K420" s="444">
        <f t="shared" ca="1" si="27"/>
        <v>1395.8197217552665</v>
      </c>
      <c r="L420" s="444">
        <f t="shared" ca="1" si="28"/>
        <v>336392.55294301925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336392.55294301925</v>
      </c>
      <c r="J421" s="444">
        <f t="array" ref="J421">IFERROR(INDEX('Retirement Calculator'!J:J,MATCH('Isaac 401k'!N421,'Retirement Calculator'!A:A,0),0),0)</f>
        <v>8395.6297298201844</v>
      </c>
      <c r="K421" s="444">
        <f t="shared" ca="1" si="27"/>
        <v>1366.6538467216628</v>
      </c>
      <c r="L421" s="444">
        <f t="shared" ca="1" si="28"/>
        <v>329363.57705992076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329363.57705992076</v>
      </c>
      <c r="J422" s="444">
        <f t="array" ref="J422">IFERROR(INDEX('Retirement Calculator'!J:J,MATCH('Isaac 401k'!N422,'Retirement Calculator'!A:A,0),0),0)</f>
        <v>8395.6297298201844</v>
      </c>
      <c r="K422" s="444">
        <f t="shared" ca="1" si="27"/>
        <v>1337.3664472087523</v>
      </c>
      <c r="L422" s="444">
        <f t="shared" ca="1" si="28"/>
        <v>322305.31377730932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322305.31377730932</v>
      </c>
      <c r="J423" s="444">
        <f t="array" ref="J423">IFERROR(INDEX('Retirement Calculator'!J:J,MATCH('Isaac 401k'!N423,'Retirement Calculator'!A:A,0),0),0)</f>
        <v>8395.6297298201844</v>
      </c>
      <c r="K423" s="444">
        <f t="shared" ca="1" si="27"/>
        <v>1307.957016864538</v>
      </c>
      <c r="L423" s="444">
        <f t="shared" ca="1" si="28"/>
        <v>315217.64106435369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315217.64106435369</v>
      </c>
      <c r="J424" s="444">
        <f t="array" ref="J424">IFERROR(INDEX('Retirement Calculator'!J:J,MATCH('Isaac 401k'!N424,'Retirement Calculator'!A:A,0),0),0)</f>
        <v>8395.6297298201844</v>
      </c>
      <c r="K424" s="444">
        <f t="shared" ca="1" si="27"/>
        <v>1278.4250472272229</v>
      </c>
      <c r="L424" s="444">
        <f t="shared" ca="1" si="28"/>
        <v>308100.43638176075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308100.43638176075</v>
      </c>
      <c r="J425" s="444">
        <f t="array" ref="J425">IFERROR(INDEX('Retirement Calculator'!J:J,MATCH('Isaac 401k'!N425,'Retirement Calculator'!A:A,0),0),0)</f>
        <v>8395.6297298201844</v>
      </c>
      <c r="K425" s="444">
        <f t="shared" ca="1" si="27"/>
        <v>1248.770027716419</v>
      </c>
      <c r="L425" s="444">
        <f t="shared" ca="1" si="28"/>
        <v>300953.57667965698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300953.57667965698</v>
      </c>
      <c r="J426" s="444">
        <f t="array" ref="J426">IFERROR(INDEX('Retirement Calculator'!J:J,MATCH('Isaac 401k'!N426,'Retirement Calculator'!A:A,0),0),0)</f>
        <v>8395.6297298201844</v>
      </c>
      <c r="K426" s="444">
        <f t="shared" ca="1" si="27"/>
        <v>1218.99144562432</v>
      </c>
      <c r="L426" s="444">
        <f t="shared" ca="1" si="28"/>
        <v>293776.93839546113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293776.93839546113</v>
      </c>
      <c r="J427" s="444">
        <f t="array" ref="J427">IFERROR(INDEX('Retirement Calculator'!J:J,MATCH('Isaac 401k'!N427,'Retirement Calculator'!A:A,0),0),0)</f>
        <v>8395.6297298201844</v>
      </c>
      <c r="K427" s="444">
        <f t="shared" ca="1" si="27"/>
        <v>1189.0887861068372</v>
      </c>
      <c r="L427" s="444">
        <f t="shared" ca="1" si="28"/>
        <v>286570.39745174779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286570.39745174779</v>
      </c>
      <c r="J428" s="444">
        <f t="array" ref="J428">IFERROR(INDEX('Retirement Calculator'!J:J,MATCH('Isaac 401k'!N428,'Retirement Calculator'!A:A,0),0),0)</f>
        <v>8395.6297298201844</v>
      </c>
      <c r="K428" s="444">
        <f t="shared" ca="1" si="27"/>
        <v>1159.0615321746984</v>
      </c>
      <c r="L428" s="444">
        <f t="shared" ca="1" si="28"/>
        <v>279333.82925410231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279333.82925410231</v>
      </c>
      <c r="J429" s="444">
        <f t="array" ref="J429">IFERROR(INDEX('Retirement Calculator'!J:J,MATCH('Isaac 401k'!N429,'Retirement Calculator'!A:A,0),0),0)</f>
        <v>8395.6297298201844</v>
      </c>
      <c r="K429" s="444">
        <f t="shared" ca="1" si="27"/>
        <v>1128.9091646845088</v>
      </c>
      <c r="L429" s="444">
        <f t="shared" ca="1" si="28"/>
        <v>272067.10868896666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272067.10868896666</v>
      </c>
      <c r="J430" s="444">
        <f t="array" ref="J430">IFERROR(INDEX('Retirement Calculator'!J:J,MATCH('Isaac 401k'!N430,'Retirement Calculator'!A:A,0),0),0)</f>
        <v>8395.6297298201844</v>
      </c>
      <c r="K430" s="444">
        <f t="shared" ca="1" si="27"/>
        <v>1098.631162329777</v>
      </c>
      <c r="L430" s="444">
        <f t="shared" ca="1" si="28"/>
        <v>264770.11012147623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264770.11012147623</v>
      </c>
      <c r="J431" s="444">
        <f t="array" ref="J431">IFERROR(INDEX('Retirement Calculator'!J:J,MATCH('Isaac 401k'!N431,'Retirement Calculator'!A:A,0),0),0)</f>
        <v>8395.6297298201844</v>
      </c>
      <c r="K431" s="444">
        <f t="shared" ca="1" si="27"/>
        <v>1068.2270016319003</v>
      </c>
      <c r="L431" s="444">
        <f t="shared" ca="1" si="28"/>
        <v>257442.70739328794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257442.70739328794</v>
      </c>
      <c r="J432" s="444">
        <f t="array" ref="J432">IFERROR(INDEX('Retirement Calculator'!J:J,MATCH('Isaac 401k'!N432,'Retirement Calculator'!A:A,0),0),0)</f>
        <v>8395.6297298201844</v>
      </c>
      <c r="K432" s="444">
        <f t="shared" ca="1" si="27"/>
        <v>1037.6961569311156</v>
      </c>
      <c r="L432" s="444">
        <f t="shared" ca="1" si="28"/>
        <v>250084.77382039887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250084.77382039887</v>
      </c>
      <c r="J433" s="444">
        <f t="array" ref="J433">IFERROR(INDEX('Retirement Calculator'!J:J,MATCH('Isaac 401k'!N433,'Retirement Calculator'!A:A,0),0),0)</f>
        <v>8395.6297298201844</v>
      </c>
      <c r="K433" s="444">
        <f t="shared" ca="1" si="27"/>
        <v>1007.0381003774113</v>
      </c>
      <c r="L433" s="444">
        <f t="shared" ca="1" si="28"/>
        <v>242696.18219095611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242696.18219095611</v>
      </c>
      <c r="J434" s="444">
        <f t="array" ref="J434">IFERROR(INDEX('Retirement Calculator'!J:J,MATCH('Isaac 401k'!N434,'Retirement Calculator'!A:A,0),0),0)</f>
        <v>8395.6297298201844</v>
      </c>
      <c r="K434" s="444">
        <f t="shared" ca="1" si="27"/>
        <v>976.25230192139952</v>
      </c>
      <c r="L434" s="444">
        <f t="shared" ca="1" si="28"/>
        <v>235276.80476305733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235276.80476305733</v>
      </c>
      <c r="J435" s="444">
        <f t="array" ref="J435">IFERROR(INDEX('Retirement Calculator'!J:J,MATCH('Isaac 401k'!N435,'Retirement Calculator'!A:A,0),0),0)</f>
        <v>8395.6297298201844</v>
      </c>
      <c r="K435" s="444">
        <f t="shared" ca="1" si="27"/>
        <v>945.33822930515475</v>
      </c>
      <c r="L435" s="444">
        <f t="shared" ca="1" si="28"/>
        <v>227826.51326254231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227826.51326254231</v>
      </c>
      <c r="J436" s="444">
        <f t="array" ref="J436">IFERROR(INDEX('Retirement Calculator'!J:J,MATCH('Isaac 401k'!N436,'Retirement Calculator'!A:A,0),0),0)</f>
        <v>8395.6297298201844</v>
      </c>
      <c r="K436" s="444">
        <f t="shared" ca="1" si="27"/>
        <v>914.29534805300887</v>
      </c>
      <c r="L436" s="444">
        <f t="shared" ca="1" si="28"/>
        <v>220345.17888077514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220345.17888077514</v>
      </c>
      <c r="J437" s="444">
        <f t="array" ref="J437">IFERROR(INDEX('Retirement Calculator'!J:J,MATCH('Isaac 401k'!N437,'Retirement Calculator'!A:A,0),0),0)</f>
        <v>8395.6297298201844</v>
      </c>
      <c r="K437" s="444">
        <f t="shared" ca="1" si="27"/>
        <v>883.12312146231216</v>
      </c>
      <c r="L437" s="444">
        <f t="shared" ca="1" si="28"/>
        <v>212832.67227241729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212832.67227241729</v>
      </c>
      <c r="J438" s="444">
        <f t="array" ref="J438">IFERROR(INDEX('Retirement Calculator'!J:J,MATCH('Isaac 401k'!N438,'Retirement Calculator'!A:A,0),0),0)</f>
        <v>8395.6297298201844</v>
      </c>
      <c r="K438" s="444">
        <f t="shared" ca="1" si="27"/>
        <v>851.8210105941547</v>
      </c>
      <c r="L438" s="444">
        <f t="shared" ca="1" si="28"/>
        <v>205288.86355319127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205288.86355319127</v>
      </c>
      <c r="J439" s="444">
        <f t="array" ref="J439">IFERROR(INDEX('Retirement Calculator'!J:J,MATCH('Isaac 401k'!N439,'Retirement Calculator'!A:A,0),0),0)</f>
        <v>8395.6297298201844</v>
      </c>
      <c r="K439" s="444">
        <f t="shared" ca="1" si="27"/>
        <v>820.38847426404618</v>
      </c>
      <c r="L439" s="444">
        <f t="shared" ca="1" si="28"/>
        <v>197713.62229763513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197713.62229763513</v>
      </c>
      <c r="J440" s="444">
        <f t="array" ref="J440">IFERROR(INDEX('Retirement Calculator'!J:J,MATCH('Isaac 401k'!N440,'Retirement Calculator'!A:A,0),0),0)</f>
        <v>8395.6297298201844</v>
      </c>
      <c r="K440" s="444">
        <f t="shared" ca="1" si="27"/>
        <v>788.82496903256231</v>
      </c>
      <c r="L440" s="444">
        <f t="shared" ca="1" si="28"/>
        <v>190106.81753684752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190106.81753684752</v>
      </c>
      <c r="J441" s="444">
        <f t="array" ref="J441">IFERROR(INDEX('Retirement Calculator'!J:J,MATCH('Isaac 401k'!N441,'Retirement Calculator'!A:A,0),0),0)</f>
        <v>8395.6297298201844</v>
      </c>
      <c r="K441" s="444">
        <f t="shared" ca="1" si="27"/>
        <v>757.12994919594723</v>
      </c>
      <c r="L441" s="444">
        <f t="shared" ca="1" si="28"/>
        <v>182468.31775622329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182468.31775622329</v>
      </c>
      <c r="J442" s="444">
        <f t="array" ref="J442">IFERROR(INDEX('Retirement Calculator'!J:J,MATCH('Isaac 401k'!N442,'Retirement Calculator'!A:A,0),0),0)</f>
        <v>8395.6297298201844</v>
      </c>
      <c r="K442" s="444">
        <f t="shared" ca="1" si="27"/>
        <v>725.30286677667959</v>
      </c>
      <c r="L442" s="444">
        <f t="shared" ca="1" si="28"/>
        <v>174797.99089317978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174797.99089317978</v>
      </c>
      <c r="J443" s="444">
        <f t="array" ref="J443">IFERROR(INDEX('Retirement Calculator'!J:J,MATCH('Isaac 401k'!N443,'Retirement Calculator'!A:A,0),0),0)</f>
        <v>8395.6297298201844</v>
      </c>
      <c r="K443" s="444">
        <f t="shared" ca="1" si="27"/>
        <v>693.3431715139983</v>
      </c>
      <c r="L443" s="444">
        <f t="shared" ca="1" si="28"/>
        <v>167095.70433487359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167095.70433487359</v>
      </c>
      <c r="J444" s="444">
        <f t="array" ref="J444">IFERROR(INDEX('Retirement Calculator'!J:J,MATCH('Isaac 401k'!N444,'Retirement Calculator'!A:A,0),0),0)</f>
        <v>8395.6297298201844</v>
      </c>
      <c r="K444" s="444">
        <f t="shared" ca="1" si="27"/>
        <v>661.25031085438923</v>
      </c>
      <c r="L444" s="444">
        <f t="shared" ca="1" si="28"/>
        <v>159361.32491590778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159361.32491590778</v>
      </c>
      <c r="J445" s="444">
        <f t="array" ref="J445">IFERROR(INDEX('Retirement Calculator'!J:J,MATCH('Isaac 401k'!N445,'Retirement Calculator'!A:A,0),0),0)</f>
        <v>8395.6297298201844</v>
      </c>
      <c r="K445" s="444">
        <f t="shared" ca="1" si="27"/>
        <v>629.02372994203165</v>
      </c>
      <c r="L445" s="444">
        <f t="shared" ca="1" si="28"/>
        <v>151594.71891602964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151594.71891602964</v>
      </c>
      <c r="J446" s="444">
        <f t="array" ref="J446">IFERROR(INDEX('Retirement Calculator'!J:J,MATCH('Isaac 401k'!N446,'Retirement Calculator'!A:A,0),0),0)</f>
        <v>8395.6297298201844</v>
      </c>
      <c r="K446" s="444">
        <f t="shared" ca="1" si="27"/>
        <v>596.66287160920604</v>
      </c>
      <c r="L446" s="444">
        <f t="shared" ca="1" si="28"/>
        <v>143795.75205781867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143795.75205781867</v>
      </c>
      <c r="J447" s="444">
        <f t="array" ref="J447">IFERROR(INDEX('Retirement Calculator'!J:J,MATCH('Isaac 401k'!N447,'Retirement Calculator'!A:A,0),0),0)</f>
        <v>8395.6297298201844</v>
      </c>
      <c r="K447" s="444">
        <f t="shared" ca="1" si="27"/>
        <v>564.16717636666033</v>
      </c>
      <c r="L447" s="444">
        <f t="shared" ca="1" si="28"/>
        <v>135964.28950436515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135964.28950436515</v>
      </c>
      <c r="J448" s="444">
        <f t="array" ref="J448">IFERROR(INDEX('Retirement Calculator'!J:J,MATCH('Isaac 401k'!N448,'Retirement Calculator'!A:A,0),0),0)</f>
        <v>8395.6297298201844</v>
      </c>
      <c r="K448" s="444">
        <f t="shared" ca="1" si="27"/>
        <v>531.53608239393736</v>
      </c>
      <c r="L448" s="444">
        <f t="shared" ca="1" si="28"/>
        <v>128100.19585693891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128100.19585693891</v>
      </c>
      <c r="J449" s="444">
        <f t="array" ref="J449">IFERROR(INDEX('Retirement Calculator'!J:J,MATCH('Isaac 401k'!N449,'Retirement Calculator'!A:A,0),0),0)</f>
        <v>8395.6297298201844</v>
      </c>
      <c r="K449" s="444">
        <f t="shared" ca="1" si="27"/>
        <v>498.76902552966135</v>
      </c>
      <c r="L449" s="444">
        <f t="shared" ca="1" si="28"/>
        <v>120203.33515264839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120203.33515264839</v>
      </c>
      <c r="J450" s="444">
        <f t="array" ref="J450">IFERROR(INDEX('Retirement Calculator'!J:J,MATCH('Isaac 401k'!N450,'Retirement Calculator'!A:A,0),0),0)</f>
        <v>8395.6297298201844</v>
      </c>
      <c r="K450" s="444">
        <f t="shared" ca="1" si="27"/>
        <v>465.86543926178416</v>
      </c>
      <c r="L450" s="444">
        <f t="shared" ca="1" si="28"/>
        <v>112273.57086209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112273.57086209</v>
      </c>
      <c r="J451" s="444">
        <f t="array" ref="J451">IFERROR(INDEX('Retirement Calculator'!J:J,MATCH('Isaac 401k'!N451,'Retirement Calculator'!A:A,0),0),0)</f>
        <v>8395.6297298201844</v>
      </c>
      <c r="K451" s="444">
        <f t="shared" ca="1" si="27"/>
        <v>432.82475471779094</v>
      </c>
      <c r="L451" s="444">
        <f t="shared" ca="1" si="28"/>
        <v>104310.7658869876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104310.7658869876</v>
      </c>
      <c r="J452" s="444">
        <f t="array" ref="J452">IFERROR(INDEX('Retirement Calculator'!J:J,MATCH('Isaac 401k'!N452,'Retirement Calculator'!A:A,0),0),0)</f>
        <v>8395.6297298201844</v>
      </c>
      <c r="K452" s="444">
        <f t="shared" ca="1" si="27"/>
        <v>399.64640065486424</v>
      </c>
      <c r="L452" s="444">
        <f t="shared" ca="1" si="28"/>
        <v>96314.782557822284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96314.782557822284</v>
      </c>
      <c r="J453" s="444">
        <f t="array" ref="J453">IFERROR(INDEX('Retirement Calculator'!J:J,MATCH('Isaac 401k'!N453,'Retirement Calculator'!A:A,0),0),0)</f>
        <v>8395.6297298201844</v>
      </c>
      <c r="K453" s="444">
        <f t="shared" ca="1" si="27"/>
        <v>366.32980345000874</v>
      </c>
      <c r="L453" s="444">
        <f t="shared" ca="1" si="28"/>
        <v>88285.482631452105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88285.482631452105</v>
      </c>
      <c r="J454" s="444">
        <f t="array" ref="J454">IFERROR(INDEX('Retirement Calculator'!J:J,MATCH('Isaac 401k'!N454,'Retirement Calculator'!A:A,0),0),0)</f>
        <v>8395.6297298201844</v>
      </c>
      <c r="K454" s="444">
        <f t="shared" ca="1" si="27"/>
        <v>332.87438709013298</v>
      </c>
      <c r="L454" s="444">
        <f t="shared" ca="1" si="28"/>
        <v>80222.727288722061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80222.727288722061</v>
      </c>
      <c r="J455" s="444">
        <f t="array" ref="J455">IFERROR(INDEX('Retirement Calculator'!J:J,MATCH('Isaac 401k'!N455,'Retirement Calculator'!A:A,0),0),0)</f>
        <v>8395.6297298201844</v>
      </c>
      <c r="K455" s="444">
        <f t="shared" ca="1" si="27"/>
        <v>299.27957316209114</v>
      </c>
      <c r="L455" s="444">
        <f t="shared" ca="1" si="28"/>
        <v>72126.377132063964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72126.377132063964</v>
      </c>
      <c r="J456" s="444">
        <f t="array" ref="J456">IFERROR(INDEX('Retirement Calculator'!J:J,MATCH('Isaac 401k'!N456,'Retirement Calculator'!A:A,0),0),0)</f>
        <v>8395.6297298201844</v>
      </c>
      <c r="K456" s="444">
        <f t="shared" ca="1" si="27"/>
        <v>265.54478084268243</v>
      </c>
      <c r="L456" s="444">
        <f t="shared" ca="1" si="28"/>
        <v>63996.292183086465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63996.292183086465</v>
      </c>
      <c r="J457" s="444">
        <f t="array" ref="J457">IFERROR(INDEX('Retirement Calculator'!J:J,MATCH('Isaac 401k'!N457,'Retirement Calculator'!A:A,0),0),0)</f>
        <v>8395.6297298201844</v>
      </c>
      <c r="K457" s="444">
        <f t="shared" ca="1" si="27"/>
        <v>231.66942688860951</v>
      </c>
      <c r="L457" s="444">
        <f t="shared" ca="1" si="28"/>
        <v>55832.331880154896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55832.331880154896</v>
      </c>
      <c r="J458" s="444">
        <f t="array" ref="J458">IFERROR(INDEX('Retirement Calculator'!J:J,MATCH('Isaac 401k'!N458,'Retirement Calculator'!A:A,0),0),0)</f>
        <v>8395.6297298201844</v>
      </c>
      <c r="K458" s="444">
        <f t="shared" ca="1" si="27"/>
        <v>197.65292562639465</v>
      </c>
      <c r="L458" s="444">
        <f t="shared" ca="1" si="28"/>
        <v>47634.35507596111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47634.35507596111</v>
      </c>
      <c r="J459" s="444">
        <f t="array" ref="J459">IFERROR(INDEX('Retirement Calculator'!J:J,MATCH('Isaac 401k'!N459,'Retirement Calculator'!A:A,0),0),0)</f>
        <v>8395.6297298201844</v>
      </c>
      <c r="K459" s="444">
        <f t="shared" ca="1" si="27"/>
        <v>163.49468894225387</v>
      </c>
      <c r="L459" s="444">
        <f t="shared" ca="1" si="28"/>
        <v>39402.220035083184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39402.220035083184</v>
      </c>
      <c r="J460" s="444">
        <f t="array" ref="J460">IFERROR(INDEX('Retirement Calculator'!J:J,MATCH('Isaac 401k'!N460,'Retirement Calculator'!A:A,0),0),0)</f>
        <v>8395.6297298201844</v>
      </c>
      <c r="K460" s="444">
        <f t="shared" ca="1" si="27"/>
        <v>129.19412627192915</v>
      </c>
      <c r="L460" s="444">
        <f t="shared" ca="1" si="28"/>
        <v>31135.784431534932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31135.784431534932</v>
      </c>
      <c r="J461" s="444">
        <f t="array" ref="J461">IFERROR(INDEX('Retirement Calculator'!J:J,MATCH('Isaac 401k'!N461,'Retirement Calculator'!A:A,0),0),0)</f>
        <v>8395.6297298201844</v>
      </c>
      <c r="K461" s="444">
        <f t="shared" ca="1" si="27"/>
        <v>94.750644590478103</v>
      </c>
      <c r="L461" s="444">
        <f t="shared" ca="1" si="28"/>
        <v>22834.905346305222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22834.905346305222</v>
      </c>
      <c r="J462" s="444">
        <f t="array" ref="J462">IFERROR(INDEX('Retirement Calculator'!J:J,MATCH('Isaac 401k'!N462,'Retirement Calculator'!A:A,0),0),0)</f>
        <v>8395.6297298201844</v>
      </c>
      <c r="K462" s="444">
        <f t="shared" ca="1" si="27"/>
        <v>60.163648402020989</v>
      </c>
      <c r="L462" s="444">
        <f t="shared" ca="1" si="28"/>
        <v>14499.43926488706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14499.43926488706</v>
      </c>
      <c r="J463" s="444">
        <f t="array" ref="J463">IFERROR(INDEX('Retirement Calculator'!J:J,MATCH('Isaac 401k'!N463,'Retirement Calculator'!A:A,0),0),0)</f>
        <v>8395.6297298201844</v>
      </c>
      <c r="K463" s="444">
        <f t="shared" ca="1" si="27"/>
        <v>25.432539729445313</v>
      </c>
      <c r="L463" s="444">
        <f t="shared" ca="1" si="28"/>
        <v>6129.2420747963206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6129.2420747963206</v>
      </c>
      <c r="J464" s="444">
        <f t="array" ref="J464">IFERROR(INDEX('Retirement Calculator'!J:J,MATCH('Isaac 401k'!N464,'Retirement Calculator'!A:A,0),0),0)</f>
        <v>8395.6297298201844</v>
      </c>
      <c r="K464" s="444">
        <f t="shared" ca="1" si="27"/>
        <v>-9.4432818959327651</v>
      </c>
      <c r="L464" s="444">
        <f t="shared" ca="1" si="28"/>
        <v>-2275.8309369197964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-2275.8309369197964</v>
      </c>
      <c r="J465" s="444">
        <f t="array" ref="J465">IFERROR(INDEX('Retirement Calculator'!J:J,MATCH('Isaac 401k'!N465,'Retirement Calculator'!A:A,0),0),0)</f>
        <v>8395.6297298201844</v>
      </c>
      <c r="K465" s="444">
        <f t="shared" ca="1" si="27"/>
        <v>-44.464419444749915</v>
      </c>
      <c r="L465" s="444">
        <f t="shared" ca="1" si="28"/>
        <v>-10715.92508618473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-10715.92508618473</v>
      </c>
      <c r="J466" s="444">
        <f t="array" ref="J466">IFERROR(INDEX('Retirement Calculator'!J:J,MATCH('Isaac 401k'!N466,'Retirement Calculator'!A:A,0),0),0)</f>
        <v>8395.6297298201844</v>
      </c>
      <c r="K466" s="444">
        <f t="shared" ca="1" si="27"/>
        <v>-79.631478400020484</v>
      </c>
      <c r="L466" s="444">
        <f t="shared" ca="1" si="28"/>
        <v>-19191.186294404935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-19191.186294404935</v>
      </c>
      <c r="J467" s="444">
        <f t="array" ref="J467">IFERROR(INDEX('Retirement Calculator'!J:J,MATCH('Isaac 401k'!N467,'Retirement Calculator'!A:A,0),0),0)</f>
        <v>8395.6297298201844</v>
      </c>
      <c r="K467" s="444">
        <f t="shared" ca="1" si="27"/>
        <v>-114.94506676760466</v>
      </c>
      <c r="L467" s="444">
        <f t="shared" ca="1" si="28"/>
        <v>-27701.761090992724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-27701.761090992724</v>
      </c>
      <c r="J468" s="444">
        <f t="array" ref="J468">IFERROR(INDEX('Retirement Calculator'!J:J,MATCH('Isaac 401k'!N468,'Retirement Calculator'!A:A,0),0),0)</f>
        <v>8395.6297298201844</v>
      </c>
      <c r="K468" s="444">
        <f t="shared" ca="1" si="27"/>
        <v>-150.40579508672045</v>
      </c>
      <c r="L468" s="444">
        <f t="shared" ca="1" si="28"/>
        <v>-36247.796615899628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-36247.796615899628</v>
      </c>
      <c r="J469" s="444">
        <f t="array" ref="J469">IFERROR(INDEX('Retirement Calculator'!J:J,MATCH('Isaac 401k'!N469,'Retirement Calculator'!A:A,0),0),0)</f>
        <v>8395.6297298201844</v>
      </c>
      <c r="K469" s="444">
        <f t="shared" ca="1" si="27"/>
        <v>-186.0142764404992</v>
      </c>
      <c r="L469" s="444">
        <f t="shared" ca="1" si="28"/>
        <v>-44829.440622160313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-44829.440622160313</v>
      </c>
      <c r="J470" s="444">
        <f t="array" ref="J470">IFERROR(INDEX('Retirement Calculator'!J:J,MATCH('Isaac 401k'!N470,'Retirement Calculator'!A:A,0),0),0)</f>
        <v>8395.6297298201844</v>
      </c>
      <c r="K470" s="444">
        <f t="shared" ca="1" si="27"/>
        <v>-221.77112646658537</v>
      </c>
      <c r="L470" s="444">
        <f t="shared" ca="1" si="28"/>
        <v>-53446.841478447081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-53446.841478447081</v>
      </c>
      <c r="J471" s="444">
        <f t="array" ref="J471">IFERROR(INDEX('Retirement Calculator'!J:J,MATCH('Isaac 401k'!N471,'Retirement Calculator'!A:A,0),0),0)</f>
        <v>8395.6297298201844</v>
      </c>
      <c r="K471" s="444">
        <f t="shared" ca="1" si="27"/>
        <v>-257.67696336778027</v>
      </c>
      <c r="L471" s="444">
        <f t="shared" ca="1" si="28"/>
        <v>-62100.148171635046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-62100.148171635046</v>
      </c>
      <c r="J472" s="444">
        <f t="array" ref="J472">IFERROR(INDEX('Retirement Calculator'!J:J,MATCH('Isaac 401k'!N472,'Retirement Calculator'!A:A,0),0),0)</f>
        <v>8395.6297298201844</v>
      </c>
      <c r="K472" s="444">
        <f t="shared" ca="1" si="27"/>
        <v>-293.73240792273015</v>
      </c>
      <c r="L472" s="444">
        <f t="shared" ca="1" si="28"/>
        <v>-70789.510309377962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-70789.510309377962</v>
      </c>
      <c r="J473" s="444">
        <f t="array" ref="J473">IFERROR(INDEX('Retirement Calculator'!J:J,MATCH('Isaac 401k'!N473,'Retirement Calculator'!A:A,0),0),0)</f>
        <v>8395.6297298201844</v>
      </c>
      <c r="K473" s="444">
        <f t="shared" ca="1" si="27"/>
        <v>-329.93808349665892</v>
      </c>
      <c r="L473" s="444">
        <f t="shared" ca="1" si="28"/>
        <v>-79515.078122694802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-79515.078122694802</v>
      </c>
      <c r="J474" s="444">
        <f t="array" ref="J474">IFERROR(INDEX('Retirement Calculator'!J:J,MATCH('Isaac 401k'!N474,'Retirement Calculator'!A:A,0),0),0)</f>
        <v>8395.6297298201844</v>
      </c>
      <c r="K474" s="444">
        <f t="shared" ca="1" si="27"/>
        <v>-366.29461605214578</v>
      </c>
      <c r="L474" s="444">
        <f t="shared" ca="1" si="28"/>
        <v>-88277.002468567123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-88277.002468567123</v>
      </c>
      <c r="J475" s="444">
        <f t="array" ref="J475">IFERROR(INDEX('Retirement Calculator'!J:J,MATCH('Isaac 401k'!N475,'Retirement Calculator'!A:A,0),0),0)</f>
        <v>8395.6297298201844</v>
      </c>
      <c r="K475" s="444">
        <f t="shared" ca="1" si="27"/>
        <v>-402.8026341599471</v>
      </c>
      <c r="L475" s="444">
        <f t="shared" ca="1" si="28"/>
        <v>-97075.434832547253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-97075.434832547253</v>
      </c>
      <c r="J476" s="444">
        <f t="array" ref="J476">IFERROR(INDEX('Retirement Calculator'!J:J,MATCH('Isaac 401k'!N476,'Retirement Calculator'!A:A,0),0),0)</f>
        <v>8395.6297298201844</v>
      </c>
      <c r="K476" s="444">
        <f t="shared" ca="1" si="27"/>
        <v>-439.4627690098643</v>
      </c>
      <c r="L476" s="444">
        <f t="shared" ca="1" si="28"/>
        <v>-105910.52733137731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-105910.52733137731</v>
      </c>
      <c r="J477" s="444">
        <f t="array" ref="J477">IFERROR(INDEX('Retirement Calculator'!J:J,MATCH('Isaac 401k'!N477,'Retirement Calculator'!A:A,0),0),0)</f>
        <v>8395.6297298201844</v>
      </c>
      <c r="K477" s="444">
        <f t="shared" ca="1" si="27"/>
        <v>-476.27565442165621</v>
      </c>
      <c r="L477" s="444">
        <f t="shared" ca="1" si="28"/>
        <v>-114782.43271561914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-114782.43271561914</v>
      </c>
      <c r="J478" s="444">
        <f t="array" ref="J478">IFERROR(INDEX('Retirement Calculator'!J:J,MATCH('Isaac 401k'!N478,'Retirement Calculator'!A:A,0),0),0)</f>
        <v>8395.6297298201844</v>
      </c>
      <c r="K478" s="444">
        <f t="shared" ca="1" si="27"/>
        <v>-513.24192685599724</v>
      </c>
      <c r="L478" s="444">
        <f t="shared" ca="1" si="28"/>
        <v>-123691.30437229533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-123691.30437229533</v>
      </c>
      <c r="J479" s="444">
        <f t="array" ref="J479">IFERROR(INDEX('Retirement Calculator'!J:J,MATCH('Isaac 401k'!N479,'Retirement Calculator'!A:A,0),0),0)</f>
        <v>8395.6297298201844</v>
      </c>
      <c r="K479" s="444">
        <f t="shared" ca="1" si="27"/>
        <v>-550.36222542548126</v>
      </c>
      <c r="L479" s="444">
        <f t="shared" ca="1" si="28"/>
        <v>-132637.296327541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-132637.296327541</v>
      </c>
      <c r="J480" s="444">
        <f t="array" ref="J480">IFERROR(INDEX('Retirement Calculator'!J:J,MATCH('Isaac 401k'!N480,'Retirement Calculator'!A:A,0),0),0)</f>
        <v>8395.6297298201844</v>
      </c>
      <c r="K480" s="444">
        <f t="shared" ca="1" si="27"/>
        <v>-587.63719190567156</v>
      </c>
      <c r="L480" s="444">
        <f t="shared" ca="1" si="28"/>
        <v>-141620.56324926685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-141620.56324926685</v>
      </c>
      <c r="J481" s="444">
        <f t="array" ref="J481">IFERROR(INDEX('Retirement Calculator'!J:J,MATCH('Isaac 401k'!N481,'Retirement Calculator'!A:A,0),0),0)</f>
        <v>8395.6297298201844</v>
      </c>
      <c r="K481" s="444">
        <f t="shared" ca="1" si="27"/>
        <v>-625.06747074619602</v>
      </c>
      <c r="L481" s="444">
        <f t="shared" ca="1" si="28"/>
        <v>-150641.26044983324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-150641.26044983324</v>
      </c>
      <c r="J482" s="444">
        <f t="array" ref="J482">IFERROR(INDEX('Retirement Calculator'!J:J,MATCH('Isaac 401k'!N482,'Retirement Calculator'!A:A,0),0),0)</f>
        <v>8395.6297298201844</v>
      </c>
      <c r="K482" s="444">
        <f t="shared" ca="1" si="27"/>
        <v>-662.65370908188925</v>
      </c>
      <c r="L482" s="444">
        <f t="shared" ca="1" si="28"/>
        <v>-159699.54388873529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-159699.54388873529</v>
      </c>
      <c r="J483" s="444">
        <f t="array" ref="J483">IFERROR(INDEX('Retirement Calculator'!J:J,MATCH('Isaac 401k'!N483,'Retirement Calculator'!A:A,0),0),0)</f>
        <v>8395.6297298201844</v>
      </c>
      <c r="K483" s="444">
        <f t="shared" ca="1" si="27"/>
        <v>-700.39655674398114</v>
      </c>
      <c r="L483" s="444">
        <f t="shared" ca="1" si="28"/>
        <v>-168795.57017529945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-168795.57017529945</v>
      </c>
      <c r="J484" s="444">
        <f t="array" ref="J484">IFERROR(INDEX('Retirement Calculator'!J:J,MATCH('Isaac 401k'!N484,'Retirement Calculator'!A:A,0),0),0)</f>
        <v>8395.6297298201844</v>
      </c>
      <c r="K484" s="444">
        <f t="shared" ca="1" si="27"/>
        <v>-738.29666627133179</v>
      </c>
      <c r="L484" s="444">
        <f t="shared" ca="1" si="28"/>
        <v>-177929.49657139098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-177929.49657139098</v>
      </c>
      <c r="J485" s="444">
        <f t="array" ref="J485">IFERROR(INDEX('Retirement Calculator'!J:J,MATCH('Isaac 401k'!N485,'Retirement Calculator'!A:A,0),0),0)</f>
        <v>8395.6297298201844</v>
      </c>
      <c r="K485" s="444">
        <f t="shared" ca="1" si="27"/>
        <v>-776.35469292171319</v>
      </c>
      <c r="L485" s="444">
        <f t="shared" ca="1" si="28"/>
        <v>-187101.48099413287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-187101.48099413287</v>
      </c>
      <c r="J486" s="444">
        <f t="array" ref="J486">IFERROR(INDEX('Retirement Calculator'!J:J,MATCH('Isaac 401k'!N486,'Retirement Calculator'!A:A,0),0),0)</f>
        <v>8395.6297298201844</v>
      </c>
      <c r="K486" s="444">
        <f t="shared" ca="1" si="27"/>
        <v>-814.57129468313769</v>
      </c>
      <c r="L486" s="444">
        <f t="shared" ca="1" si="28"/>
        <v>-196311.6820186362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-196311.6820186362</v>
      </c>
      <c r="J487" s="444">
        <f t="array" ref="J487">IFERROR(INDEX('Retirement Calculator'!J:J,MATCH('Isaac 401k'!N487,'Retirement Calculator'!A:A,0),0),0)</f>
        <v>8395.6297298201844</v>
      </c>
      <c r="K487" s="444">
        <f t="shared" ca="1" si="27"/>
        <v>-852.94713228523506</v>
      </c>
      <c r="L487" s="444">
        <f t="shared" ca="1" si="28"/>
        <v>-205560.25888074163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-205560.25888074163</v>
      </c>
      <c r="J488" s="444">
        <f t="array" ref="J488">IFERROR(INDEX('Retirement Calculator'!J:J,MATCH('Isaac 401k'!N488,'Retirement Calculator'!A:A,0),0),0)</f>
        <v>8395.6297298201844</v>
      </c>
      <c r="K488" s="444">
        <f t="shared" ca="1" si="27"/>
        <v>-891.48286921067427</v>
      </c>
      <c r="L488" s="444">
        <f t="shared" ca="1" si="28"/>
        <v>-214847.3714797725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-214847.3714797725</v>
      </c>
      <c r="J489" s="444">
        <f t="array" ref="J489">IFERROR(INDEX('Retirement Calculator'!J:J,MATCH('Isaac 401k'!N489,'Retirement Calculator'!A:A,0),0),0)</f>
        <v>8395.6297298201844</v>
      </c>
      <c r="K489" s="444">
        <f t="shared" ca="1" si="27"/>
        <v>-930.179171706636</v>
      </c>
      <c r="L489" s="444">
        <f t="shared" ca="1" si="28"/>
        <v>-224173.18038129932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-224173.18038129932</v>
      </c>
      <c r="J490" s="444">
        <f t="array" ref="J490">IFERROR(INDEX('Retirement Calculator'!J:J,MATCH('Isaac 401k'!N490,'Retirement Calculator'!A:A,0),0),0)</f>
        <v>8395.6297298201844</v>
      </c>
      <c r="K490" s="444">
        <f t="shared" ca="1" si="27"/>
        <v>-969.03670879633114</v>
      </c>
      <c r="L490" s="444">
        <f t="shared" ca="1" si="28"/>
        <v>-233537.84681991584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-233537.84681991584</v>
      </c>
      <c r="J491" s="444">
        <f t="array" ref="J491">IFERROR(INDEX('Retirement Calculator'!J:J,MATCH('Isaac 401k'!N491,'Retirement Calculator'!A:A,0),0),0)</f>
        <v>8395.6297298201844</v>
      </c>
      <c r="K491" s="444">
        <f t="shared" ca="1" si="27"/>
        <v>-1008.0561522905667</v>
      </c>
      <c r="L491" s="444">
        <f t="shared" ca="1" si="28"/>
        <v>-242941.5327020266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-242941.5327020266</v>
      </c>
      <c r="J492" s="444">
        <f t="array" ref="J492">IFERROR(INDEX('Retirement Calculator'!J:J,MATCH('Isaac 401k'!N492,'Retirement Calculator'!A:A,0),0),0)</f>
        <v>8395.6297298201844</v>
      </c>
      <c r="K492" s="444">
        <f t="shared" ca="1" si="27"/>
        <v>-1047.2381767993618</v>
      </c>
      <c r="L492" s="444">
        <f t="shared" ca="1" si="28"/>
        <v>-252384.40060864613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-252384.40060864613</v>
      </c>
      <c r="J493" s="444">
        <f t="array" ref="J493">IFERROR(INDEX('Retirement Calculator'!J:J,MATCH('Isaac 401k'!N493,'Retirement Calculator'!A:A,0),0),0)</f>
        <v>8395.6297298201844</v>
      </c>
      <c r="K493" s="444">
        <f t="shared" ca="1" si="27"/>
        <v>-1086.5834597436096</v>
      </c>
      <c r="L493" s="444">
        <f t="shared" ca="1" si="28"/>
        <v>-261866.61379820993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-261866.61379820993</v>
      </c>
      <c r="J494" s="444">
        <f t="array" ref="J494">IFERROR(INDEX('Retirement Calculator'!J:J,MATCH('Isaac 401k'!N494,'Retirement Calculator'!A:A,0),0),0)</f>
        <v>8395.6297298201844</v>
      </c>
      <c r="K494" s="444">
        <f t="shared" ca="1" si="27"/>
        <v>-1126.092681366792</v>
      </c>
      <c r="L494" s="444">
        <f t="shared" ca="1" si="28"/>
        <v>-271388.33620939689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-271388.33620939689</v>
      </c>
      <c r="J495" s="444">
        <f t="array" ref="J495">IFERROR(INDEX('Retirement Calculator'!J:J,MATCH('Isaac 401k'!N495,'Retirement Calculator'!A:A,0),0),0)</f>
        <v>8395.6297298201844</v>
      </c>
      <c r="K495" s="444">
        <f t="shared" ca="1" si="27"/>
        <v>-1165.7665247467378</v>
      </c>
      <c r="L495" s="444">
        <f t="shared" ca="1" si="28"/>
        <v>-280949.7324639638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-280949.7324639638</v>
      </c>
      <c r="J496" s="444">
        <f t="array" ref="J496">IFERROR(INDEX('Retirement Calculator'!J:J,MATCH('Isaac 401k'!N496,'Retirement Calculator'!A:A,0),0),0)</f>
        <v>8395.6297298201844</v>
      </c>
      <c r="K496" s="444">
        <f t="shared" ca="1" si="27"/>
        <v>-1205.6056758074333</v>
      </c>
      <c r="L496" s="444">
        <f t="shared" ca="1" si="28"/>
        <v>-290550.96786959143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-290550.96786959143</v>
      </c>
      <c r="J497" s="444">
        <f t="array" ref="J497">IFERROR(INDEX('Retirement Calculator'!J:J,MATCH('Isaac 401k'!N497,'Retirement Calculator'!A:A,0),0),0)</f>
        <v>8395.6297298201844</v>
      </c>
      <c r="K497" s="444">
        <f t="shared" ca="1" si="27"/>
        <v>-1245.6108233308817</v>
      </c>
      <c r="L497" s="444">
        <f t="shared" ca="1" si="28"/>
        <v>-300192.20842274249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-300192.20842274249</v>
      </c>
      <c r="J498" s="444">
        <f t="array" ref="J498">IFERROR(INDEX('Retirement Calculator'!J:J,MATCH('Isaac 401k'!N498,'Retirement Calculator'!A:A,0),0),0)</f>
        <v>8395.6297298201844</v>
      </c>
      <c r="K498" s="444">
        <f t="shared" ca="1" si="27"/>
        <v>-1285.7826589690112</v>
      </c>
      <c r="L498" s="444">
        <f t="shared" ca="1" si="28"/>
        <v>-309873.62081153167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-309873.62081153167</v>
      </c>
      <c r="J499" s="444">
        <f t="array" ref="J499">IFERROR(INDEX('Retirement Calculator'!J:J,MATCH('Isaac 401k'!N499,'Retirement Calculator'!A:A,0),0),0)</f>
        <v>8395.6297298201844</v>
      </c>
      <c r="K499" s="444">
        <f t="shared" ca="1" si="27"/>
        <v>-1326.1218772556326</v>
      </c>
      <c r="L499" s="444">
        <f t="shared" ca="1" si="28"/>
        <v>-319595.37241860747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-319595.37241860747</v>
      </c>
      <c r="J500" s="444">
        <f t="array" ref="J500">IFERROR(INDEX('Retirement Calculator'!J:J,MATCH('Isaac 401k'!N500,'Retirement Calculator'!A:A,0),0),0)</f>
        <v>8395.6297298201844</v>
      </c>
      <c r="K500" s="444">
        <f t="shared" ca="1" si="27"/>
        <v>-1366.6291756184485</v>
      </c>
      <c r="L500" s="444">
        <f t="shared" ca="1" si="28"/>
        <v>-329357.63132404612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-329357.63132404612</v>
      </c>
      <c r="J501" s="444">
        <f t="array" ref="J501">IFERROR(INDEX('Retirement Calculator'!J:J,MATCH('Isaac 401k'!N501,'Retirement Calculator'!A:A,0),0),0)</f>
        <v>8395.6297298201844</v>
      </c>
      <c r="K501" s="444">
        <f t="shared" ca="1" si="27"/>
        <v>-1407.3052543911097</v>
      </c>
      <c r="L501" s="444">
        <f t="shared" ca="1" si="28"/>
        <v>-339160.5663082574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-339160.5663082574</v>
      </c>
      <c r="J502" s="444">
        <f t="array" ref="J502">IFERROR(INDEX('Retirement Calculator'!J:J,MATCH('Isaac 401k'!N502,'Retirement Calculator'!A:A,0),0),0)</f>
        <v>8395.6297298201844</v>
      </c>
      <c r="K502" s="444">
        <f t="shared" ca="1" si="27"/>
        <v>-1448.1508168253233</v>
      </c>
      <c r="L502" s="444">
        <f t="shared" ca="1" si="28"/>
        <v>-349004.34685490292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-349004.34685490292</v>
      </c>
      <c r="J503" s="444">
        <f t="array" ref="J503">IFERROR(INDEX('Retirement Calculator'!J:J,MATCH('Isaac 401k'!N503,'Retirement Calculator'!A:A,0),0),0)</f>
        <v>8395.6297298201844</v>
      </c>
      <c r="K503" s="444">
        <f t="shared" ca="1" si="27"/>
        <v>-1489.166569103013</v>
      </c>
      <c r="L503" s="444">
        <f t="shared" ca="1" si="28"/>
        <v>-358889.14315382612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-358889.14315382612</v>
      </c>
      <c r="J504" s="444">
        <f t="array" ref="J504">IFERROR(INDEX('Retirement Calculator'!J:J,MATCH('Isaac 401k'!N504,'Retirement Calculator'!A:A,0),0),0)</f>
        <v>8395.6297298201844</v>
      </c>
      <c r="K504" s="444">
        <f t="shared" ca="1" si="27"/>
        <v>-1530.3532203485263</v>
      </c>
      <c r="L504" s="444">
        <f t="shared" ca="1" si="28"/>
        <v>-368815.12610399484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-368815.12610399484</v>
      </c>
      <c r="J505" s="444">
        <f t="array" ref="J505">IFERROR(INDEX('Retirement Calculator'!J:J,MATCH('Isaac 401k'!N505,'Retirement Calculator'!A:A,0),0),0)</f>
        <v>8395.6297298201844</v>
      </c>
      <c r="K505" s="444">
        <f t="shared" ca="1" si="27"/>
        <v>-1571.7114826408958</v>
      </c>
      <c r="L505" s="444">
        <f t="shared" ca="1" si="28"/>
        <v>-378782.46731645591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-378782.46731645591</v>
      </c>
      <c r="J506" s="444">
        <f t="array" ref="J506">IFERROR(INDEX('Retirement Calculator'!J:J,MATCH('Isaac 401k'!N506,'Retirement Calculator'!A:A,0),0),0)</f>
        <v>8395.6297298201844</v>
      </c>
      <c r="K506" s="444">
        <f t="shared" ca="1" si="27"/>
        <v>-1613.2420710261504</v>
      </c>
      <c r="L506" s="444">
        <f t="shared" ca="1" si="28"/>
        <v>-388791.33911730221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-388791.33911730221</v>
      </c>
      <c r="J507" s="444">
        <f t="array" ref="J507">IFERROR(INDEX('Retirement Calculator'!J:J,MATCH('Isaac 401k'!N507,'Retirement Calculator'!A:A,0),0),0)</f>
        <v>8395.6297298201844</v>
      </c>
      <c r="K507" s="444">
        <f t="shared" ca="1" si="27"/>
        <v>-1654.9457035296766</v>
      </c>
      <c r="L507" s="444">
        <f t="shared" ca="1" si="28"/>
        <v>-398841.91455065209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-398841.91455065209</v>
      </c>
      <c r="J508" s="444">
        <f t="array" ref="J508">IFERROR(INDEX('Retirement Calculator'!J:J,MATCH('Isaac 401k'!N508,'Retirement Calculator'!A:A,0),0),0)</f>
        <v>8395.6297298201844</v>
      </c>
      <c r="K508" s="444">
        <f t="shared" ca="1" si="27"/>
        <v>-1696.8231011686344</v>
      </c>
      <c r="L508" s="444">
        <f t="shared" ca="1" si="28"/>
        <v>-408934.36738164088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-408934.36738164088</v>
      </c>
      <c r="J509" s="444">
        <f t="array" ref="J509">IFERROR(INDEX('Retirement Calculator'!J:J,MATCH('Isaac 401k'!N509,'Retirement Calculator'!A:A,0),0),0)</f>
        <v>8395.6297298201844</v>
      </c>
      <c r="K509" s="444">
        <f t="shared" ca="1" si="27"/>
        <v>-1738.8749879644213</v>
      </c>
      <c r="L509" s="444">
        <f t="shared" ca="1" si="28"/>
        <v>-419068.87209942547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-419068.87209942547</v>
      </c>
      <c r="J510" s="444">
        <f t="array" ref="J510">IFERROR(INDEX('Retirement Calculator'!J:J,MATCH('Isaac 401k'!N510,'Retirement Calculator'!A:A,0),0),0)</f>
        <v>8395.6297298201844</v>
      </c>
      <c r="K510" s="444">
        <f t="shared" ca="1" si="27"/>
        <v>-1781.1020909551901</v>
      </c>
      <c r="L510" s="444">
        <f t="shared" ca="1" si="28"/>
        <v>-429245.60392020084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-429245.60392020084</v>
      </c>
      <c r="J511" s="444">
        <f t="array" ref="J511">IFERROR(INDEX('Retirement Calculator'!J:J,MATCH('Isaac 401k'!N511,'Retirement Calculator'!A:A,0),0),0)</f>
        <v>8395.6297298201844</v>
      </c>
      <c r="K511" s="444">
        <f t="shared" ca="1" si="27"/>
        <v>-1823.5051402084209</v>
      </c>
      <c r="L511" s="444">
        <f t="shared" ca="1" si="28"/>
        <v>-439464.73879022943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-439464.73879022943</v>
      </c>
      <c r="J512" s="444">
        <f t="array" ref="J512">IFERROR(INDEX('Retirement Calculator'!J:J,MATCH('Isaac 401k'!N512,'Retirement Calculator'!A:A,0),0),0)</f>
        <v>8395.6297298201844</v>
      </c>
      <c r="K512" s="444">
        <f t="shared" ca="1" si="27"/>
        <v>-1866.08486883354</v>
      </c>
      <c r="L512" s="444">
        <f t="shared" ca="1" si="28"/>
        <v>-449726.45338888315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-449726.45338888315</v>
      </c>
      <c r="J513" s="444">
        <f t="array" ref="J513">IFERROR(INDEX('Retirement Calculator'!J:J,MATCH('Isaac 401k'!N513,'Retirement Calculator'!A:A,0),0),0)</f>
        <v>8395.6297298201844</v>
      </c>
      <c r="K513" s="444">
        <f t="shared" ca="1" si="27"/>
        <v>-1908.8420129945971</v>
      </c>
      <c r="L513" s="444">
        <f t="shared" ca="1" si="28"/>
        <v>-460030.92513169791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-460030.92513169791</v>
      </c>
      <c r="J514" s="444">
        <f t="array" ref="J514">IFERROR(INDEX('Retirement Calculator'!J:J,MATCH('Isaac 401k'!N514,'Retirement Calculator'!A:A,0),0),0)</f>
        <v>8395.6297298201844</v>
      </c>
      <c r="K514" s="444">
        <f t="shared" ca="1" si="27"/>
        <v>-1951.7773119229921</v>
      </c>
      <c r="L514" s="444">
        <f t="shared" ca="1" si="28"/>
        <v>-470378.33217344107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-470378.33217344107</v>
      </c>
      <c r="J515" s="444">
        <f t="array" ref="J515">IFERROR(INDEX('Retirement Calculator'!J:J,MATCH('Isaac 401k'!N515,'Retirement Calculator'!A:A,0),0),0)</f>
        <v>8395.6297298201844</v>
      </c>
      <c r="K515" s="444">
        <f t="shared" ca="1" si="27"/>
        <v>-1994.8915079302549</v>
      </c>
      <c r="L515" s="444">
        <f t="shared" ca="1" si="28"/>
        <v>-480768.85341119149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-480768.85341119149</v>
      </c>
      <c r="J516" s="444">
        <f t="array" ref="J516">IFERROR(INDEX('Retirement Calculator'!J:J,MATCH('Isaac 401k'!N516,'Retirement Calculator'!A:A,0),0),0)</f>
        <v>8395.6297298201844</v>
      </c>
      <c r="K516" s="444">
        <f t="shared" ca="1" si="27"/>
        <v>-2038.1853464208816</v>
      </c>
      <c r="L516" s="444">
        <f t="shared" ca="1" si="28"/>
        <v>-491202.66848743253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-491202.66848743253</v>
      </c>
      <c r="J517" s="444">
        <f t="array" ref="J517">IFERROR(INDEX('Retirement Calculator'!J:J,MATCH('Isaac 401k'!N517,'Retirement Calculator'!A:A,0),0),0)</f>
        <v>8395.6297298201844</v>
      </c>
      <c r="K517" s="444">
        <f t="shared" ca="1" si="27"/>
        <v>-2081.6595759052198</v>
      </c>
      <c r="L517" s="444">
        <f t="shared" ca="1" si="28"/>
        <v>-501679.95779315796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-501679.95779315796</v>
      </c>
      <c r="J518" s="444">
        <f t="array" ref="J518">IFERROR(INDEX('Retirement Calculator'!J:J,MATCH('Isaac 401k'!N518,'Retirement Calculator'!A:A,0),0),0)</f>
        <v>8395.6297298201844</v>
      </c>
      <c r="K518" s="444">
        <f t="shared" ref="K518:K772" ca="1" si="53">IPMT(M518/12,1,12,-I518+J518,,0)</f>
        <v>-2125.3149480124084</v>
      </c>
      <c r="L518" s="444">
        <f t="shared" ref="L518:L772" ca="1" si="54">I518-J518+K518</f>
        <v>-512200.90247099055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-512200.90247099055</v>
      </c>
      <c r="J519" s="444">
        <f t="array" ref="J519">IFERROR(INDEX('Retirement Calculator'!J:J,MATCH('Isaac 401k'!N519,'Retirement Calculator'!A:A,0),0),0)</f>
        <v>8395.6297298201844</v>
      </c>
      <c r="K519" s="444">
        <f t="shared" ca="1" si="53"/>
        <v>-2169.1522175033779</v>
      </c>
      <c r="L519" s="444">
        <f t="shared" ca="1" si="54"/>
        <v>-522765.68441831414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-522765.68441831414</v>
      </c>
      <c r="J520" s="444">
        <f t="array" ref="J520">IFERROR(INDEX('Retirement Calculator'!J:J,MATCH('Isaac 401k'!N520,'Retirement Calculator'!A:A,0),0),0)</f>
        <v>8395.6297298201844</v>
      </c>
      <c r="K520" s="444">
        <f t="shared" ca="1" si="53"/>
        <v>-2213.1721422838928</v>
      </c>
      <c r="L520" s="444">
        <f t="shared" ca="1" si="54"/>
        <v>-533374.48629041819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-533374.48629041819</v>
      </c>
      <c r="J521" s="444">
        <f t="array" ref="J521">IFERROR(INDEX('Retirement Calculator'!J:J,MATCH('Isaac 401k'!N521,'Retirement Calculator'!A:A,0),0),0)</f>
        <v>8395.6297298201844</v>
      </c>
      <c r="K521" s="444">
        <f t="shared" ca="1" si="53"/>
        <v>-2257.3754834176598</v>
      </c>
      <c r="L521" s="444">
        <f t="shared" ca="1" si="54"/>
        <v>-544027.49150365603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-544027.49150365603</v>
      </c>
      <c r="J522" s="444">
        <f t="array" ref="J522">IFERROR(INDEX('Retirement Calculator'!J:J,MATCH('Isaac 401k'!N522,'Retirement Calculator'!A:A,0),0),0)</f>
        <v>8395.6297298201844</v>
      </c>
      <c r="K522" s="444">
        <f t="shared" ca="1" si="53"/>
        <v>-2301.763005139484</v>
      </c>
      <c r="L522" s="444">
        <f t="shared" ca="1" si="54"/>
        <v>-554724.88423861575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-554724.88423861575</v>
      </c>
      <c r="J523" s="444">
        <f t="array" ref="J523">IFERROR(INDEX('Retirement Calculator'!J:J,MATCH('Isaac 401k'!N523,'Retirement Calculator'!A:A,0),0),0)</f>
        <v>8395.6297298201844</v>
      </c>
      <c r="K523" s="444">
        <f t="shared" ca="1" si="53"/>
        <v>-2346.3354748684828</v>
      </c>
      <c r="L523" s="444">
        <f t="shared" ca="1" si="54"/>
        <v>-565466.84944330447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-565466.84944330447</v>
      </c>
      <c r="J524" s="444">
        <f t="array" ref="J524">IFERROR(INDEX('Retirement Calculator'!J:J,MATCH('Isaac 401k'!N524,'Retirement Calculator'!A:A,0),0),0)</f>
        <v>8395.6297298201844</v>
      </c>
      <c r="K524" s="444">
        <f t="shared" ca="1" si="53"/>
        <v>-2391.0936632213525</v>
      </c>
      <c r="L524" s="444">
        <f t="shared" ca="1" si="54"/>
        <v>-576253.57283634599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-576253.57283634599</v>
      </c>
      <c r="J525" s="444">
        <f t="array" ref="J525">IFERROR(INDEX('Retirement Calculator'!J:J,MATCH('Isaac 401k'!N525,'Retirement Calculator'!A:A,0),0),0)</f>
        <v>8395.6297298201844</v>
      </c>
      <c r="K525" s="444">
        <f t="shared" ca="1" si="53"/>
        <v>-2436.0383440256924</v>
      </c>
      <c r="L525" s="444">
        <f t="shared" ca="1" si="54"/>
        <v>-587085.2409101919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-587085.2409101919</v>
      </c>
      <c r="J526" s="444">
        <f t="array" ref="J526">IFERROR(INDEX('Retirement Calculator'!J:J,MATCH('Isaac 401k'!N526,'Retirement Calculator'!A:A,0),0),0)</f>
        <v>8395.6297298201844</v>
      </c>
      <c r="K526" s="444">
        <f t="shared" ca="1" si="53"/>
        <v>-2481.1702943333835</v>
      </c>
      <c r="L526" s="444">
        <f t="shared" ca="1" si="54"/>
        <v>-597962.04093434545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-597962.04093434545</v>
      </c>
      <c r="J527" s="444">
        <f t="array" ref="J527">IFERROR(INDEX('Retirement Calculator'!J:J,MATCH('Isaac 401k'!N527,'Retirement Calculator'!A:A,0),0),0)</f>
        <v>8395.6297298201844</v>
      </c>
      <c r="K527" s="444">
        <f t="shared" ca="1" si="53"/>
        <v>-2526.4902944340233</v>
      </c>
      <c r="L527" s="444">
        <f t="shared" ca="1" si="54"/>
        <v>-608884.16095859965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-608884.16095859965</v>
      </c>
      <c r="J528" s="444">
        <f t="array" ref="J528">IFERROR(INDEX('Retirement Calculator'!J:J,MATCH('Isaac 401k'!N528,'Retirement Calculator'!A:A,0),0),0)</f>
        <v>8395.6297298201844</v>
      </c>
      <c r="K528" s="444">
        <f t="shared" ca="1" si="53"/>
        <v>-2571.9991278684161</v>
      </c>
      <c r="L528" s="444">
        <f t="shared" ca="1" si="54"/>
        <v>-619851.78981628828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-619851.78981628828</v>
      </c>
      <c r="J529" s="444">
        <f t="array" ref="J529">IFERROR(INDEX('Retirement Calculator'!J:J,MATCH('Isaac 401k'!N529,'Retirement Calculator'!A:A,0),0),0)</f>
        <v>8395.6297298201844</v>
      </c>
      <c r="K529" s="444">
        <f t="shared" ca="1" si="53"/>
        <v>-2617.6975814421185</v>
      </c>
      <c r="L529" s="444">
        <f t="shared" ca="1" si="54"/>
        <v>-630865.11712755053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-630865.11712755053</v>
      </c>
      <c r="J530" s="444">
        <f t="array" ref="J530">IFERROR(INDEX('Retirement Calculator'!J:J,MATCH('Isaac 401k'!N530,'Retirement Calculator'!A:A,0),0),0)</f>
        <v>8395.6297298201844</v>
      </c>
      <c r="K530" s="444">
        <f t="shared" ca="1" si="53"/>
        <v>-2663.5864452390447</v>
      </c>
      <c r="L530" s="444">
        <f t="shared" ca="1" si="54"/>
        <v>-641924.33330260974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-641924.33330260974</v>
      </c>
      <c r="J531" s="444">
        <f t="array" ref="J531">IFERROR(INDEX('Retirement Calculator'!J:J,MATCH('Isaac 401k'!N531,'Retirement Calculator'!A:A,0),0),0)</f>
        <v>8395.6297298201844</v>
      </c>
      <c r="K531" s="444">
        <f t="shared" ca="1" si="53"/>
        <v>-2709.6665126351245</v>
      </c>
      <c r="L531" s="444">
        <f t="shared" ca="1" si="54"/>
        <v>-653029.62954506499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-653029.62954506499</v>
      </c>
      <c r="J532" s="444">
        <f t="array" ref="J532">IFERROR(INDEX('Retirement Calculator'!J:J,MATCH('Isaac 401k'!N532,'Retirement Calculator'!A:A,0),0),0)</f>
        <v>8395.6297298201844</v>
      </c>
      <c r="K532" s="444">
        <f t="shared" ca="1" si="53"/>
        <v>-2755.9385803120217</v>
      </c>
      <c r="L532" s="444">
        <f t="shared" ca="1" si="54"/>
        <v>-664181.19785519724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-664181.19785519724</v>
      </c>
      <c r="J533" s="444">
        <f t="array" ref="J533">IFERROR(INDEX('Retirement Calculator'!J:J,MATCH('Isaac 401k'!N533,'Retirement Calculator'!A:A,0),0),0)</f>
        <v>8395.6297298201844</v>
      </c>
      <c r="K533" s="444">
        <f t="shared" ca="1" si="53"/>
        <v>-2802.4034482709058</v>
      </c>
      <c r="L533" s="444">
        <f t="shared" ca="1" si="54"/>
        <v>-675379.23103328829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-675379.23103328829</v>
      </c>
      <c r="J534" s="444">
        <f t="array" ref="J534">IFERROR(INDEX('Retirement Calculator'!J:J,MATCH('Isaac 401k'!N534,'Retirement Calculator'!A:A,0),0),0)</f>
        <v>8395.6297298201844</v>
      </c>
      <c r="K534" s="444">
        <f t="shared" ca="1" si="53"/>
        <v>-2849.0619198462855</v>
      </c>
      <c r="L534" s="444">
        <f t="shared" ca="1" si="54"/>
        <v>-686623.92268295481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-686623.92268295481</v>
      </c>
      <c r="J535" s="444">
        <f t="array" ref="J535">IFERROR(INDEX('Retirement Calculator'!J:J,MATCH('Isaac 401k'!N535,'Retirement Calculator'!A:A,0),0),0)</f>
        <v>8395.6297298201844</v>
      </c>
      <c r="K535" s="444">
        <f t="shared" ca="1" si="53"/>
        <v>-2895.9148017198959</v>
      </c>
      <c r="L535" s="444">
        <f t="shared" ca="1" si="54"/>
        <v>-697915.46721449494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-697915.46721449494</v>
      </c>
      <c r="J536" s="444">
        <f t="array" ref="J536">IFERROR(INDEX('Retirement Calculator'!J:J,MATCH('Isaac 401k'!N536,'Retirement Calculator'!A:A,0),0),0)</f>
        <v>8395.6297298201844</v>
      </c>
      <c r="K536" s="444">
        <f t="shared" ca="1" si="53"/>
        <v>-2942.9629039346464</v>
      </c>
      <c r="L536" s="444">
        <f t="shared" ca="1" si="54"/>
        <v>-709254.05984824977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-709254.05984824977</v>
      </c>
      <c r="J537" s="444">
        <f t="array" ref="J537">IFERROR(INDEX('Retirement Calculator'!J:J,MATCH('Isaac 401k'!N537,'Retirement Calculator'!A:A,0),0),0)</f>
        <v>8395.6297298201844</v>
      </c>
      <c r="K537" s="444">
        <f t="shared" ca="1" si="53"/>
        <v>-2990.2070399086247</v>
      </c>
      <c r="L537" s="444">
        <f t="shared" ca="1" si="54"/>
        <v>-720639.89661797858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-720639.89661797858</v>
      </c>
      <c r="J538" s="444">
        <f t="array" ref="J538">IFERROR(INDEX('Retirement Calculator'!J:J,MATCH('Isaac 401k'!N538,'Retirement Calculator'!A:A,0),0),0)</f>
        <v>8395.6297298201844</v>
      </c>
      <c r="K538" s="444">
        <f t="shared" ca="1" si="53"/>
        <v>-3037.6480264491615</v>
      </c>
      <c r="L538" s="444">
        <f t="shared" ca="1" si="54"/>
        <v>-732073.1743742479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-732073.1743742479</v>
      </c>
      <c r="J539" s="444">
        <f t="array" ref="J539">IFERROR(INDEX('Retirement Calculator'!J:J,MATCH('Isaac 401k'!N539,'Retirement Calculator'!A:A,0),0),0)</f>
        <v>8395.6297298201844</v>
      </c>
      <c r="K539" s="444">
        <f t="shared" ca="1" si="53"/>
        <v>-3085.2866837669503</v>
      </c>
      <c r="L539" s="444">
        <f t="shared" ca="1" si="54"/>
        <v>-743554.09078783507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-743554.09078783507</v>
      </c>
      <c r="J540" s="444">
        <f t="array" ref="J540">IFERROR(INDEX('Retirement Calculator'!J:J,MATCH('Isaac 401k'!N540,'Retirement Calculator'!A:A,0),0),0)</f>
        <v>8395.6297298201844</v>
      </c>
      <c r="K540" s="444">
        <f t="shared" ca="1" si="53"/>
        <v>-3133.1238354902302</v>
      </c>
      <c r="L540" s="444">
        <f t="shared" ca="1" si="54"/>
        <v>-755082.84435314545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-755082.84435314545</v>
      </c>
      <c r="J541" s="444">
        <f t="array" ref="J541">IFERROR(INDEX('Retirement Calculator'!J:J,MATCH('Isaac 401k'!N541,'Retirement Calculator'!A:A,0),0),0)</f>
        <v>8395.6297298201844</v>
      </c>
      <c r="K541" s="444">
        <f t="shared" ca="1" si="53"/>
        <v>-3181.1603086790233</v>
      </c>
      <c r="L541" s="444">
        <f t="shared" ca="1" si="54"/>
        <v>-766659.63439164462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-766659.63439164462</v>
      </c>
      <c r="J542" s="444">
        <f t="array" ref="J542">IFERROR(INDEX('Retirement Calculator'!J:J,MATCH('Isaac 401k'!N542,'Retirement Calculator'!A:A,0),0),0)</f>
        <v>8395.6297298201844</v>
      </c>
      <c r="K542" s="444">
        <f t="shared" ca="1" si="53"/>
        <v>-3229.3969338394368</v>
      </c>
      <c r="L542" s="444">
        <f t="shared" ca="1" si="54"/>
        <v>-778284.66105530423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-778284.66105530423</v>
      </c>
      <c r="J543" s="444">
        <f t="array" ref="J543">IFERROR(INDEX('Retirement Calculator'!J:J,MATCH('Isaac 401k'!N543,'Retirement Calculator'!A:A,0),0),0)</f>
        <v>8395.6297298201844</v>
      </c>
      <c r="K543" s="444">
        <f t="shared" ca="1" si="53"/>
        <v>-3277.8345449380186</v>
      </c>
      <c r="L543" s="444">
        <f t="shared" ca="1" si="54"/>
        <v>-789958.12533006247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-789958.12533006247</v>
      </c>
      <c r="J544" s="444">
        <f t="array" ref="J544">IFERROR(INDEX('Retirement Calculator'!J:J,MATCH('Isaac 401k'!N544,'Retirement Calculator'!A:A,0),0),0)</f>
        <v>8395.6297298201844</v>
      </c>
      <c r="K544" s="444">
        <f t="shared" ca="1" si="53"/>
        <v>-3326.4739794161778</v>
      </c>
      <c r="L544" s="444">
        <f t="shared" ca="1" si="54"/>
        <v>-801680.22903929884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-801680.22903929884</v>
      </c>
      <c r="J545" s="444">
        <f t="array" ref="J545">IFERROR(INDEX('Retirement Calculator'!J:J,MATCH('Isaac 401k'!N545,'Retirement Calculator'!A:A,0),0),0)</f>
        <v>8395.6297298201844</v>
      </c>
      <c r="K545" s="444">
        <f t="shared" ca="1" si="53"/>
        <v>-3375.3160782046625</v>
      </c>
      <c r="L545" s="444">
        <f t="shared" ca="1" si="54"/>
        <v>-813451.17484732368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-813451.17484732368</v>
      </c>
      <c r="J546" s="444">
        <f t="array" ref="J546">IFERROR(INDEX('Retirement Calculator'!J:J,MATCH('Isaac 401k'!N546,'Retirement Calculator'!A:A,0),0),0)</f>
        <v>8395.6297298201844</v>
      </c>
      <c r="K546" s="444">
        <f t="shared" ca="1" si="53"/>
        <v>-3424.3616857380989</v>
      </c>
      <c r="L546" s="444">
        <f t="shared" ca="1" si="54"/>
        <v>-825271.16626288195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-825271.16626288195</v>
      </c>
      <c r="J547" s="444">
        <f t="array" ref="J547">IFERROR(INDEX('Retirement Calculator'!J:J,MATCH('Isaac 401k'!N547,'Retirement Calculator'!A:A,0),0),0)</f>
        <v>8395.6297298201844</v>
      </c>
      <c r="K547" s="444">
        <f t="shared" ca="1" si="53"/>
        <v>-3473.6116499695927</v>
      </c>
      <c r="L547" s="444">
        <f t="shared" ca="1" si="54"/>
        <v>-837140.40764267172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-837140.40764267172</v>
      </c>
      <c r="J548" s="444">
        <f t="array" ref="J548">IFERROR(INDEX('Retirement Calculator'!J:J,MATCH('Isaac 401k'!N548,'Retirement Calculator'!A:A,0),0),0)</f>
        <v>8395.6297298201844</v>
      </c>
      <c r="K548" s="444">
        <f t="shared" ca="1" si="53"/>
        <v>-3523.0668223853827</v>
      </c>
      <c r="L548" s="444">
        <f t="shared" ca="1" si="54"/>
        <v>-849059.10419487732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-849059.10419487732</v>
      </c>
      <c r="J549" s="444">
        <f t="array" ref="J549">IFERROR(INDEX('Retirement Calculator'!J:J,MATCH('Isaac 401k'!N549,'Retirement Calculator'!A:A,0),0),0)</f>
        <v>8395.6297298201844</v>
      </c>
      <c r="K549" s="444">
        <f t="shared" ca="1" si="53"/>
        <v>-3572.7280580195729</v>
      </c>
      <c r="L549" s="444">
        <f t="shared" ca="1" si="54"/>
        <v>-861027.46198271704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-861027.46198271704</v>
      </c>
      <c r="J550" s="444">
        <f t="array" ref="J550">IFERROR(INDEX('Retirement Calculator'!J:J,MATCH('Isaac 401k'!N550,'Retirement Calculator'!A:A,0),0),0)</f>
        <v>8395.6297298201844</v>
      </c>
      <c r="K550" s="444">
        <f t="shared" ca="1" si="53"/>
        <v>-3622.596215468905</v>
      </c>
      <c r="L550" s="444">
        <f t="shared" ca="1" si="54"/>
        <v>-873045.68792800617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-873045.68792800617</v>
      </c>
      <c r="J551" s="444">
        <f t="array" ref="J551">IFERROR(INDEX('Retirement Calculator'!J:J,MATCH('Isaac 401k'!N551,'Retirement Calculator'!A:A,0),0),0)</f>
        <v>8395.6297298201844</v>
      </c>
      <c r="K551" s="444">
        <f t="shared" ca="1" si="53"/>
        <v>-3672.6721569076094</v>
      </c>
      <c r="L551" s="444">
        <f t="shared" ca="1" si="54"/>
        <v>-885113.98981473397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-885113.98981473397</v>
      </c>
      <c r="J552" s="444">
        <f t="array" ref="J552">IFERROR(INDEX('Retirement Calculator'!J:J,MATCH('Isaac 401k'!N552,'Retirement Calculator'!A:A,0),0),0)</f>
        <v>8395.6297298201844</v>
      </c>
      <c r="K552" s="444">
        <f t="shared" ca="1" si="53"/>
        <v>-3722.9567481023096</v>
      </c>
      <c r="L552" s="444">
        <f t="shared" ca="1" si="54"/>
        <v>-897232.57629265648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-897232.57629265648</v>
      </c>
      <c r="J553" s="444">
        <f t="array" ref="J553">IFERROR(INDEX('Retirement Calculator'!J:J,MATCH('Isaac 401k'!N553,'Retirement Calculator'!A:A,0),0),0)</f>
        <v>8395.6297298201844</v>
      </c>
      <c r="K553" s="444">
        <f t="shared" ca="1" si="53"/>
        <v>-3773.4508584269861</v>
      </c>
      <c r="L553" s="444">
        <f t="shared" ca="1" si="54"/>
        <v>-909401.65688090364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-909401.65688090364</v>
      </c>
      <c r="J554" s="444">
        <f t="array" ref="J554">IFERROR(INDEX('Retirement Calculator'!J:J,MATCH('Isaac 401k'!N554,'Retirement Calculator'!A:A,0),0),0)</f>
        <v>8395.6297298201844</v>
      </c>
      <c r="K554" s="444">
        <f t="shared" ca="1" si="53"/>
        <v>-3824.1553608780155</v>
      </c>
      <c r="L554" s="444">
        <f t="shared" ca="1" si="54"/>
        <v>-921621.4419716018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-921621.4419716018</v>
      </c>
      <c r="J555" s="444">
        <f t="array" ref="J555">IFERROR(INDEX('Retirement Calculator'!J:J,MATCH('Isaac 401k'!N555,'Retirement Calculator'!A:A,0),0),0)</f>
        <v>8395.6297298201844</v>
      </c>
      <c r="K555" s="444">
        <f t="shared" ca="1" si="53"/>
        <v>-3875.0711320892583</v>
      </c>
      <c r="L555" s="444">
        <f t="shared" ca="1" si="54"/>
        <v>-933892.14283351123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-933892.14283351123</v>
      </c>
      <c r="J556" s="444">
        <f t="array" ref="J556">IFERROR(INDEX('Retirement Calculator'!J:J,MATCH('Isaac 401k'!N556,'Retirement Calculator'!A:A,0),0),0)</f>
        <v>8395.6297298201844</v>
      </c>
      <c r="K556" s="444">
        <f t="shared" ca="1" si="53"/>
        <v>-3926.1990523472141</v>
      </c>
      <c r="L556" s="444">
        <f t="shared" ca="1" si="54"/>
        <v>-946213.97161567863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-946213.97161567863</v>
      </c>
      <c r="J557" s="444">
        <f t="array" ref="J557">IFERROR(INDEX('Retirement Calculator'!J:J,MATCH('Isaac 401k'!N557,'Retirement Calculator'!A:A,0),0),0)</f>
        <v>8395.6297298201844</v>
      </c>
      <c r="K557" s="444">
        <f t="shared" ca="1" si="53"/>
        <v>-3977.5400056062449</v>
      </c>
      <c r="L557" s="444">
        <f t="shared" ca="1" si="54"/>
        <v>-958587.14135110506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-958587.14135110506</v>
      </c>
      <c r="J558" s="444">
        <f t="array" ref="J558">IFERROR(INDEX('Retirement Calculator'!J:J,MATCH('Isaac 401k'!N558,'Retirement Calculator'!A:A,0),0),0)</f>
        <v>8395.6297298201844</v>
      </c>
      <c r="K558" s="444">
        <f t="shared" ca="1" si="53"/>
        <v>-4029.0948795038548</v>
      </c>
      <c r="L558" s="444">
        <f t="shared" ca="1" si="54"/>
        <v>-971011.86596042907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-971011.86596042907</v>
      </c>
      <c r="J559" s="444">
        <f t="array" ref="J559">IFERROR(INDEX('Retirement Calculator'!J:J,MATCH('Isaac 401k'!N559,'Retirement Calculator'!A:A,0),0),0)</f>
        <v>8395.6297298201844</v>
      </c>
      <c r="K559" s="444">
        <f t="shared" ca="1" si="53"/>
        <v>-4080.8645653760386</v>
      </c>
      <c r="L559" s="444">
        <f t="shared" ca="1" si="54"/>
        <v>-983488.36025562533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-983488.36025562533</v>
      </c>
      <c r="J560" s="444">
        <f t="array" ref="J560">IFERROR(INDEX('Retirement Calculator'!J:J,MATCH('Isaac 401k'!N560,'Retirement Calculator'!A:A,0),0),0)</f>
        <v>8395.6297298201844</v>
      </c>
      <c r="K560" s="444">
        <f t="shared" ca="1" si="53"/>
        <v>-4132.8499582726899</v>
      </c>
      <c r="L560" s="444">
        <f t="shared" ca="1" si="54"/>
        <v>-996016.83994371817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-996016.83994371817</v>
      </c>
      <c r="J561" s="444">
        <f t="array" ref="J561">IFERROR(INDEX('Retirement Calculator'!J:J,MATCH('Isaac 401k'!N561,'Retirement Calculator'!A:A,0),0),0)</f>
        <v>8395.6297298201844</v>
      </c>
      <c r="K561" s="444">
        <f t="shared" ca="1" si="53"/>
        <v>-4185.0519569730768</v>
      </c>
      <c r="L561" s="444">
        <f t="shared" ca="1" si="54"/>
        <v>-1008597.5216305114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-1008597.5216305114</v>
      </c>
      <c r="J562" s="444">
        <f t="array" ref="J562">IFERROR(INDEX('Retirement Calculator'!J:J,MATCH('Isaac 401k'!N562,'Retirement Calculator'!A:A,0),0),0)</f>
        <v>8395.6297298201844</v>
      </c>
      <c r="K562" s="444">
        <f t="shared" ca="1" si="53"/>
        <v>-4237.4714640013808</v>
      </c>
      <c r="L562" s="444">
        <f t="shared" ca="1" si="54"/>
        <v>-1021230.6228243329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-1021230.6228243329</v>
      </c>
      <c r="J563" s="444">
        <f t="array" ref="J563">IFERROR(INDEX('Retirement Calculator'!J:J,MATCH('Isaac 401k'!N563,'Retirement Calculator'!A:A,0),0),0)</f>
        <v>8395.6297298201844</v>
      </c>
      <c r="K563" s="444">
        <f t="shared" ca="1" si="53"/>
        <v>-4290.1093856423049</v>
      </c>
      <c r="L563" s="444">
        <f t="shared" ca="1" si="54"/>
        <v>-1033916.3619397954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-1033916.3619397954</v>
      </c>
      <c r="J564" s="444">
        <f t="array" ref="J564">IFERROR(INDEX('Retirement Calculator'!J:J,MATCH('Isaac 401k'!N564,'Retirement Calculator'!A:A,0),0),0)</f>
        <v>8395.6297298201844</v>
      </c>
      <c r="K564" s="444">
        <f t="shared" ca="1" si="53"/>
        <v>-4342.9666319567323</v>
      </c>
      <c r="L564" s="444">
        <f t="shared" ca="1" si="54"/>
        <v>-1046654.9583015724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-1046654.9583015724</v>
      </c>
      <c r="J565" s="444">
        <f t="array" ref="J565">IFERROR(INDEX('Retirement Calculator'!J:J,MATCH('Isaac 401k'!N565,'Retirement Calculator'!A:A,0),0),0)</f>
        <v>8395.6297298201844</v>
      </c>
      <c r="K565" s="444">
        <f t="shared" ca="1" si="53"/>
        <v>-4396.0441167974686</v>
      </c>
      <c r="L565" s="444">
        <f t="shared" ca="1" si="54"/>
        <v>-1059446.6321481899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-1059446.6321481899</v>
      </c>
      <c r="J566" s="444">
        <f t="array" ref="J566">IFERROR(INDEX('Retirement Calculator'!J:J,MATCH('Isaac 401k'!N566,'Retirement Calculator'!A:A,0),0),0)</f>
        <v>8395.6297298201844</v>
      </c>
      <c r="K566" s="444">
        <f t="shared" ca="1" si="53"/>
        <v>-4449.3427578250421</v>
      </c>
      <c r="L566" s="444">
        <f t="shared" ca="1" si="54"/>
        <v>-1072291.6046358352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-1072291.6046358352</v>
      </c>
      <c r="J567" s="444">
        <f t="array" ref="J567">IFERROR(INDEX('Retirement Calculator'!J:J,MATCH('Isaac 401k'!N567,'Retirement Calculator'!A:A,0),0),0)</f>
        <v>8395.6297298201844</v>
      </c>
      <c r="K567" s="444">
        <f t="shared" ca="1" si="53"/>
        <v>-4502.8634765235638</v>
      </c>
      <c r="L567" s="444">
        <f t="shared" ca="1" si="54"/>
        <v>-1085190.097842179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-1085190.097842179</v>
      </c>
      <c r="J568" s="444">
        <f t="array" ref="J568">IFERROR(INDEX('Retirement Calculator'!J:J,MATCH('Isaac 401k'!N568,'Retirement Calculator'!A:A,0),0),0)</f>
        <v>8395.6297298201844</v>
      </c>
      <c r="K568" s="444">
        <f t="shared" ca="1" si="53"/>
        <v>-4556.6071982166632</v>
      </c>
      <c r="L568" s="444">
        <f t="shared" ca="1" si="54"/>
        <v>-1098142.3347702159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-1098142.3347702159</v>
      </c>
      <c r="J569" s="444">
        <f t="array" ref="J569">IFERROR(INDEX('Retirement Calculator'!J:J,MATCH('Isaac 401k'!N569,'Retirement Calculator'!A:A,0),0),0)</f>
        <v>8395.6297298201844</v>
      </c>
      <c r="K569" s="444">
        <f t="shared" ca="1" si="53"/>
        <v>-4610.5748520834841</v>
      </c>
      <c r="L569" s="444">
        <f t="shared" ca="1" si="54"/>
        <v>-1111148.5393521197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-1111148.5393521197</v>
      </c>
      <c r="J570" s="444">
        <f t="array" ref="J570">IFERROR(INDEX('Retirement Calculator'!J:J,MATCH('Isaac 401k'!N570,'Retirement Calculator'!A:A,0),0),0)</f>
        <v>8395.6297298201844</v>
      </c>
      <c r="K570" s="444">
        <f t="shared" ca="1" si="53"/>
        <v>-4664.7673711747493</v>
      </c>
      <c r="L570" s="444">
        <f t="shared" ca="1" si="54"/>
        <v>-1124208.9364531145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-1124208.9364531145</v>
      </c>
      <c r="J571" s="444">
        <f t="array" ref="J571">IFERROR(INDEX('Retirement Calculator'!J:J,MATCH('Isaac 401k'!N571,'Retirement Calculator'!A:A,0),0),0)</f>
        <v>8395.6297298201844</v>
      </c>
      <c r="K571" s="444">
        <f t="shared" ca="1" si="53"/>
        <v>-4719.1856924288941</v>
      </c>
      <c r="L571" s="444">
        <f t="shared" ca="1" si="54"/>
        <v>-1137323.7518753635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-1137323.7518753635</v>
      </c>
      <c r="J572" s="444">
        <f t="array" ref="J572">IFERROR(INDEX('Retirement Calculator'!J:J,MATCH('Isaac 401k'!N572,'Retirement Calculator'!A:A,0),0),0)</f>
        <v>8395.6297298201844</v>
      </c>
      <c r="K572" s="444">
        <f t="shared" ca="1" si="53"/>
        <v>-4773.830756688265</v>
      </c>
      <c r="L572" s="444">
        <f t="shared" ca="1" si="54"/>
        <v>-1150493.212361872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-1150493.212361872</v>
      </c>
      <c r="J573" s="444">
        <f t="array" ref="J573">IFERROR(INDEX('Retirement Calculator'!J:J,MATCH('Isaac 401k'!N573,'Retirement Calculator'!A:A,0),0),0)</f>
        <v>8395.6297298201844</v>
      </c>
      <c r="K573" s="444">
        <f t="shared" ca="1" si="53"/>
        <v>-4828.7035087153836</v>
      </c>
      <c r="L573" s="444">
        <f t="shared" ca="1" si="54"/>
        <v>-1163717.5456004075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-1163717.5456004075</v>
      </c>
      <c r="J574" s="444">
        <f t="array" ref="J574">IFERROR(INDEX('Retirement Calculator'!J:J,MATCH('Isaac 401k'!N574,'Retirement Calculator'!A:A,0),0),0)</f>
        <v>8395.6297298201844</v>
      </c>
      <c r="K574" s="444">
        <f t="shared" ca="1" si="53"/>
        <v>-4883.804897209282</v>
      </c>
      <c r="L574" s="444">
        <f t="shared" ca="1" si="54"/>
        <v>-1176996.9802274371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-1176996.9802274371</v>
      </c>
      <c r="J575" s="444">
        <f t="array" ref="J575">IFERROR(INDEX('Retirement Calculator'!J:J,MATCH('Isaac 401k'!N575,'Retirement Calculator'!A:A,0),0),0)</f>
        <v>8395.6297298201844</v>
      </c>
      <c r="K575" s="444">
        <f t="shared" ca="1" si="53"/>
        <v>-4939.1358748219054</v>
      </c>
      <c r="L575" s="444">
        <f t="shared" ca="1" si="54"/>
        <v>-1190331.7458320791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-1190331.7458320791</v>
      </c>
      <c r="J576" s="444">
        <f t="array" ref="J576">IFERROR(INDEX('Retirement Calculator'!J:J,MATCH('Isaac 401k'!N576,'Retirement Calculator'!A:A,0),0),0)</f>
        <v>8395.6297298201844</v>
      </c>
      <c r="K576" s="444">
        <f t="shared" ca="1" si="53"/>
        <v>-4994.6973981745805</v>
      </c>
      <c r="L576" s="444">
        <f t="shared" ca="1" si="54"/>
        <v>-1203722.0729600738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-1203722.0729600738</v>
      </c>
      <c r="J577" s="444">
        <f t="array" ref="J577">IFERROR(INDEX('Retirement Calculator'!J:J,MATCH('Isaac 401k'!N577,'Retirement Calculator'!A:A,0),0),0)</f>
        <v>8395.6297298201844</v>
      </c>
      <c r="K577" s="444">
        <f t="shared" ca="1" si="53"/>
        <v>-5050.490427874558</v>
      </c>
      <c r="L577" s="444">
        <f t="shared" ca="1" si="54"/>
        <v>-1217168.1931177685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-1217168.1931177685</v>
      </c>
      <c r="J578" s="444">
        <f t="array" ref="J578">IFERROR(INDEX('Retirement Calculator'!J:J,MATCH('Isaac 401k'!N578,'Retirement Calculator'!A:A,0),0),0)</f>
        <v>8395.6297298201844</v>
      </c>
      <c r="K578" s="444">
        <f t="shared" ca="1" si="53"/>
        <v>-5106.5159285316195</v>
      </c>
      <c r="L578" s="444">
        <f t="shared" ca="1" si="54"/>
        <v>-1230670.3387761202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-1230670.3387761202</v>
      </c>
      <c r="J579" s="444">
        <f t="array" ref="J579">IFERROR(INDEX('Retirement Calculator'!J:J,MATCH('Isaac 401k'!N579,'Retirement Calculator'!A:A,0),0),0)</f>
        <v>8395.6297298201844</v>
      </c>
      <c r="K579" s="444">
        <f t="shared" ca="1" si="53"/>
        <v>-5162.7748687747517</v>
      </c>
      <c r="L579" s="444">
        <f t="shared" ca="1" si="54"/>
        <v>-1244228.7433747151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-1244228.7433747151</v>
      </c>
      <c r="J580" s="444">
        <f t="array" ref="J580">IFERROR(INDEX('Retirement Calculator'!J:J,MATCH('Isaac 401k'!N580,'Retirement Calculator'!A:A,0),0),0)</f>
        <v>8395.6297298201844</v>
      </c>
      <c r="K580" s="444">
        <f t="shared" ca="1" si="53"/>
        <v>-5219.2682212688969</v>
      </c>
      <c r="L580" s="444">
        <f t="shared" ca="1" si="54"/>
        <v>-1257843.6413258042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-1257843.6413258042</v>
      </c>
      <c r="J581" s="444">
        <f t="array" ref="J581">IFERROR(INDEX('Retirement Calculator'!J:J,MATCH('Isaac 401k'!N581,'Retirement Calculator'!A:A,0),0),0)</f>
        <v>8395.6297298201844</v>
      </c>
      <c r="K581" s="444">
        <f t="shared" ca="1" si="53"/>
        <v>-5275.9969627317678</v>
      </c>
      <c r="L581" s="444">
        <f t="shared" ca="1" si="54"/>
        <v>-1271515.2680183561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-1271515.2680183561</v>
      </c>
      <c r="J582" s="444">
        <f t="array" ref="J582">IFERROR(INDEX('Retirement Calculator'!J:J,MATCH('Isaac 401k'!N582,'Retirement Calculator'!A:A,0),0),0)</f>
        <v>8395.6297298201844</v>
      </c>
      <c r="K582" s="444">
        <f t="shared" ca="1" si="53"/>
        <v>-5332.9620739507345</v>
      </c>
      <c r="L582" s="444">
        <f t="shared" ca="1" si="54"/>
        <v>-1285243.859822127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-1285243.859822127</v>
      </c>
      <c r="J583" s="444">
        <f t="array" ref="J583">IFERROR(INDEX('Retirement Calculator'!J:J,MATCH('Isaac 401k'!N583,'Retirement Calculator'!A:A,0),0),0)</f>
        <v>8395.6297298201844</v>
      </c>
      <c r="K583" s="444">
        <f t="shared" ca="1" si="53"/>
        <v>-5390.16453979978</v>
      </c>
      <c r="L583" s="444">
        <f t="shared" ca="1" si="54"/>
        <v>-1299029.654091747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-1299029.654091747</v>
      </c>
      <c r="J584" s="444">
        <f t="array" ref="J584">IFERROR(INDEX('Retirement Calculator'!J:J,MATCH('Isaac 401k'!N584,'Retirement Calculator'!A:A,0),0),0)</f>
        <v>8395.6297298201844</v>
      </c>
      <c r="K584" s="444">
        <f t="shared" ca="1" si="53"/>
        <v>-5447.6053492565297</v>
      </c>
      <c r="L584" s="444">
        <f t="shared" ca="1" si="54"/>
        <v>-1312872.8891708236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-1312872.8891708236</v>
      </c>
      <c r="J585" s="444">
        <f t="array" ref="J585">IFERROR(INDEX('Retirement Calculator'!J:J,MATCH('Isaac 401k'!N585,'Retirement Calculator'!A:A,0),0),0)</f>
        <v>8395.6297298201844</v>
      </c>
      <c r="K585" s="444">
        <f t="shared" ca="1" si="53"/>
        <v>-5505.285495419349</v>
      </c>
      <c r="L585" s="444">
        <f t="shared" ca="1" si="54"/>
        <v>-1326773.8043960631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-1326773.8043960631</v>
      </c>
      <c r="J586" s="444">
        <f t="array" ref="J586">IFERROR(INDEX('Retirement Calculator'!J:J,MATCH('Isaac 401k'!N586,'Retirement Calculator'!A:A,0),0),0)</f>
        <v>8395.6297298201844</v>
      </c>
      <c r="K586" s="444">
        <f t="shared" ca="1" si="53"/>
        <v>-5563.2059755245136</v>
      </c>
      <c r="L586" s="444">
        <f t="shared" ca="1" si="54"/>
        <v>-1340732.6401014079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-1340732.6401014079</v>
      </c>
      <c r="J587" s="444">
        <f t="array" ref="J587">IFERROR(INDEX('Retirement Calculator'!J:J,MATCH('Isaac 401k'!N587,'Retirement Calculator'!A:A,0),0),0)</f>
        <v>8395.6297298201844</v>
      </c>
      <c r="K587" s="444">
        <f t="shared" ca="1" si="53"/>
        <v>-5621.3677909634498</v>
      </c>
      <c r="L587" s="444">
        <f t="shared" ca="1" si="54"/>
        <v>-1354749.6376221916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-1354749.6376221916</v>
      </c>
      <c r="J588" s="444">
        <f t="array" ref="J588">IFERROR(INDEX('Retirement Calculator'!J:J,MATCH('Isaac 401k'!N588,'Retirement Calculator'!A:A,0),0),0)</f>
        <v>8395.6297298201844</v>
      </c>
      <c r="K588" s="444">
        <f t="shared" ca="1" si="53"/>
        <v>-5679.7719473000489</v>
      </c>
      <c r="L588" s="444">
        <f t="shared" ca="1" si="54"/>
        <v>-1368825.0392993118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-1368825.0392993118</v>
      </c>
      <c r="J589" s="444">
        <f t="array" ref="J589">IFERROR(INDEX('Retirement Calculator'!J:J,MATCH('Isaac 401k'!N589,'Retirement Calculator'!A:A,0),0),0)</f>
        <v>8395.6297298201844</v>
      </c>
      <c r="K589" s="444">
        <f t="shared" ca="1" si="53"/>
        <v>-5738.4194542880496</v>
      </c>
      <c r="L589" s="444">
        <f t="shared" ca="1" si="54"/>
        <v>-1382959.08848342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-1382959.08848342</v>
      </c>
      <c r="J590" s="444">
        <f t="array" ref="J590">IFERROR(INDEX('Retirement Calculator'!J:J,MATCH('Isaac 401k'!N590,'Retirement Calculator'!A:A,0),0),0)</f>
        <v>8395.6297298201844</v>
      </c>
      <c r="K590" s="444">
        <f t="shared" ca="1" si="53"/>
        <v>-5797.3113258885005</v>
      </c>
      <c r="L590" s="444">
        <f t="shared" ca="1" si="54"/>
        <v>-1397152.0295391288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-1397152.0295391288</v>
      </c>
      <c r="J591" s="444">
        <f t="array" ref="J591">IFERROR(INDEX('Retirement Calculator'!J:J,MATCH('Isaac 401k'!N591,'Retirement Calculator'!A:A,0),0),0)</f>
        <v>8395.6297298201844</v>
      </c>
      <c r="K591" s="444">
        <f t="shared" ca="1" si="53"/>
        <v>-5856.4485802872869</v>
      </c>
      <c r="L591" s="444">
        <f t="shared" ca="1" si="54"/>
        <v>-1411404.1078492363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-1411404.1078492363</v>
      </c>
      <c r="J592" s="444">
        <f t="array" ref="J592">IFERROR(INDEX('Retirement Calculator'!J:J,MATCH('Isaac 401k'!N592,'Retirement Calculator'!A:A,0),0),0)</f>
        <v>8395.6297298201844</v>
      </c>
      <c r="K592" s="444">
        <f t="shared" ca="1" si="53"/>
        <v>-5915.8322399127355</v>
      </c>
      <c r="L592" s="444">
        <f t="shared" ca="1" si="54"/>
        <v>-1425715.5698189694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-1425715.5698189694</v>
      </c>
      <c r="J593" s="444">
        <f t="array" ref="J593">IFERROR(INDEX('Retirement Calculator'!J:J,MATCH('Isaac 401k'!N593,'Retirement Calculator'!A:A,0),0),0)</f>
        <v>8395.6297298201844</v>
      </c>
      <c r="K593" s="444">
        <f t="shared" ca="1" si="53"/>
        <v>-5975.4633314532894</v>
      </c>
      <c r="L593" s="444">
        <f t="shared" ca="1" si="54"/>
        <v>-1440086.6628802428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-1440086.6628802428</v>
      </c>
      <c r="J594" s="444">
        <f t="array" ref="J594">IFERROR(INDEX('Retirement Calculator'!J:J,MATCH('Isaac 401k'!N594,'Retirement Calculator'!A:A,0),0),0)</f>
        <v>8395.6297298201844</v>
      </c>
      <c r="K594" s="444">
        <f t="shared" ca="1" si="53"/>
        <v>-6035.3428858752623</v>
      </c>
      <c r="L594" s="444">
        <f t="shared" ca="1" si="54"/>
        <v>-1454517.6354959384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-1454517.6354959384</v>
      </c>
      <c r="J595" s="444">
        <f t="array" ref="J595">IFERROR(INDEX('Retirement Calculator'!J:J,MATCH('Isaac 401k'!N595,'Retirement Calculator'!A:A,0),0),0)</f>
        <v>8395.6297298201844</v>
      </c>
      <c r="K595" s="444">
        <f t="shared" ca="1" si="53"/>
        <v>-6095.4719384406608</v>
      </c>
      <c r="L595" s="444">
        <f t="shared" ca="1" si="54"/>
        <v>-1469008.7371641991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-1469008.7371641991</v>
      </c>
      <c r="J596" s="444">
        <f t="array" ref="J596">IFERROR(INDEX('Retirement Calculator'!J:J,MATCH('Isaac 401k'!N596,'Retirement Calculator'!A:A,0),0),0)</f>
        <v>8395.6297298201844</v>
      </c>
      <c r="K596" s="444">
        <f t="shared" ca="1" si="53"/>
        <v>-6155.8515287250802</v>
      </c>
      <c r="L596" s="444">
        <f t="shared" ca="1" si="54"/>
        <v>-1483560.2184227444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-1483560.2184227444</v>
      </c>
      <c r="J597" s="444">
        <f t="array" ref="J597">IFERROR(INDEX('Retirement Calculator'!J:J,MATCH('Isaac 401k'!N597,'Retirement Calculator'!A:A,0),0),0)</f>
        <v>8395.6297298201844</v>
      </c>
      <c r="K597" s="444">
        <f t="shared" ca="1" si="53"/>
        <v>-6216.4827006356854</v>
      </c>
      <c r="L597" s="444">
        <f t="shared" ca="1" si="54"/>
        <v>-1498172.3308532003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-1498172.3308532003</v>
      </c>
      <c r="J598" s="444">
        <f t="array" ref="J598">IFERROR(INDEX('Retirement Calculator'!J:J,MATCH('Isaac 401k'!N598,'Retirement Calculator'!A:A,0),0),0)</f>
        <v>8395.6297298201844</v>
      </c>
      <c r="K598" s="444">
        <f t="shared" ca="1" si="53"/>
        <v>-6277.3665024292523</v>
      </c>
      <c r="L598" s="444">
        <f t="shared" ca="1" si="54"/>
        <v>-1512845.3270854498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-1512845.3270854498</v>
      </c>
      <c r="J599" s="444">
        <f t="array" ref="J599">IFERROR(INDEX('Retirement Calculator'!J:J,MATCH('Isaac 401k'!N599,'Retirement Calculator'!A:A,0),0),0)</f>
        <v>8395.6297298201844</v>
      </c>
      <c r="K599" s="444">
        <f t="shared" ca="1" si="53"/>
        <v>-6338.5039867302912</v>
      </c>
      <c r="L599" s="444">
        <f t="shared" ca="1" si="54"/>
        <v>-1527579.4608020002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-1527579.4608020002</v>
      </c>
      <c r="J600" s="444">
        <f t="array" ref="J600">IFERROR(INDEX('Retirement Calculator'!J:J,MATCH('Isaac 401k'!N600,'Retirement Calculator'!A:A,0),0),0)</f>
        <v>8395.6297298201844</v>
      </c>
      <c r="K600" s="444">
        <f t="shared" ca="1" si="53"/>
        <v>-6399.8962105492519</v>
      </c>
      <c r="L600" s="444">
        <f t="shared" ca="1" si="54"/>
        <v>-1542374.9867423696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-1542374.9867423696</v>
      </c>
      <c r="J601" s="444">
        <f t="array" ref="J601">IFERROR(INDEX('Retirement Calculator'!J:J,MATCH('Isaac 401k'!N601,'Retirement Calculator'!A:A,0),0),0)</f>
        <v>8395.6297298201844</v>
      </c>
      <c r="K601" s="444">
        <f t="shared" ca="1" si="53"/>
        <v>-6461.5442353007911</v>
      </c>
      <c r="L601" s="444">
        <f t="shared" ca="1" si="54"/>
        <v>-1557232.1607074905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-1557232.1607074905</v>
      </c>
      <c r="J602" s="444">
        <f t="array" ref="J602">IFERROR(INDEX('Retirement Calculator'!J:J,MATCH('Isaac 401k'!N602,'Retirement Calculator'!A:A,0),0),0)</f>
        <v>8395.6297298201844</v>
      </c>
      <c r="K602" s="444">
        <f t="shared" ca="1" si="53"/>
        <v>-6523.4491268221282</v>
      </c>
      <c r="L602" s="444">
        <f t="shared" ca="1" si="54"/>
        <v>-1572151.2395641329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-1572151.2395641329</v>
      </c>
      <c r="J603" s="444">
        <f t="array" ref="J603">IFERROR(INDEX('Retirement Calculator'!J:J,MATCH('Isaac 401k'!N603,'Retirement Calculator'!A:A,0),0),0)</f>
        <v>8395.6297298201844</v>
      </c>
      <c r="K603" s="444">
        <f t="shared" ca="1" si="53"/>
        <v>-6585.6119553914714</v>
      </c>
      <c r="L603" s="444">
        <f t="shared" ca="1" si="54"/>
        <v>-1587132.4812493445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-1587132.4812493445</v>
      </c>
      <c r="J604" s="444">
        <f t="array" ref="J604">IFERROR(INDEX('Retirement Calculator'!J:J,MATCH('Isaac 401k'!N604,'Retirement Calculator'!A:A,0),0),0)</f>
        <v>8395.6297298201844</v>
      </c>
      <c r="K604" s="444">
        <f t="shared" ca="1" si="53"/>
        <v>-6648.0337957465199</v>
      </c>
      <c r="L604" s="444">
        <f t="shared" ca="1" si="54"/>
        <v>-1602176.1447749112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-1602176.1447749112</v>
      </c>
      <c r="J605" s="444">
        <f t="array" ref="J605">IFERROR(INDEX('Retirement Calculator'!J:J,MATCH('Isaac 401k'!N605,'Retirement Calculator'!A:A,0),0),0)</f>
        <v>8395.6297298201844</v>
      </c>
      <c r="K605" s="444">
        <f t="shared" ca="1" si="53"/>
        <v>-6710.7157271030474</v>
      </c>
      <c r="L605" s="444">
        <f t="shared" ca="1" si="54"/>
        <v>-1617282.4902318344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-1617282.4902318344</v>
      </c>
      <c r="J606" s="444">
        <f t="array" ref="J606">IFERROR(INDEX('Retirement Calculator'!J:J,MATCH('Isaac 401k'!N606,'Retirement Calculator'!A:A,0),0),0)</f>
        <v>8395.6297298201844</v>
      </c>
      <c r="K606" s="444">
        <f t="shared" ca="1" si="53"/>
        <v>-6773.6588331735602</v>
      </c>
      <c r="L606" s="444">
        <f t="shared" ca="1" si="54"/>
        <v>-1632451.7787948281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-1632451.7787948281</v>
      </c>
      <c r="J607" s="444">
        <f t="array" ref="J607">IFERROR(INDEX('Retirement Calculator'!J:J,MATCH('Isaac 401k'!N607,'Retirement Calculator'!A:A,0),0),0)</f>
        <v>8395.6297298201844</v>
      </c>
      <c r="K607" s="444">
        <f t="shared" ca="1" si="53"/>
        <v>-6836.8642021860333</v>
      </c>
      <c r="L607" s="444">
        <f t="shared" ca="1" si="54"/>
        <v>-1647684.2727268343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-1647684.2727268343</v>
      </c>
      <c r="J608" s="444">
        <f t="array" ref="J608">IFERROR(INDEX('Retirement Calculator'!J:J,MATCH('Isaac 401k'!N608,'Retirement Calculator'!A:A,0),0),0)</f>
        <v>8395.6297298201844</v>
      </c>
      <c r="K608" s="444">
        <f t="shared" ca="1" si="53"/>
        <v>-6900.3329269027272</v>
      </c>
      <c r="L608" s="444">
        <f t="shared" ca="1" si="54"/>
        <v>-1662980.2353835572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-1662980.2353835572</v>
      </c>
      <c r="J609" s="444">
        <f t="array" ref="J609">IFERROR(INDEX('Retirement Calculator'!J:J,MATCH('Isaac 401k'!N609,'Retirement Calculator'!A:A,0),0),0)</f>
        <v>8395.6297298201844</v>
      </c>
      <c r="K609" s="444">
        <f t="shared" ca="1" si="53"/>
        <v>-6964.0661046390724</v>
      </c>
      <c r="L609" s="444">
        <f t="shared" ca="1" si="54"/>
        <v>-1678339.9312180164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-1678339.9312180164</v>
      </c>
      <c r="J610" s="444">
        <f t="array" ref="J610">IFERROR(INDEX('Retirement Calculator'!J:J,MATCH('Isaac 401k'!N610,'Retirement Calculator'!A:A,0),0),0)</f>
        <v>8395.6297298201844</v>
      </c>
      <c r="K610" s="444">
        <f t="shared" ca="1" si="53"/>
        <v>-7028.0648372826518</v>
      </c>
      <c r="L610" s="444">
        <f t="shared" ca="1" si="54"/>
        <v>-1693763.6257851194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-1693763.6257851194</v>
      </c>
      <c r="J611" s="444">
        <f t="array" ref="J611">IFERROR(INDEX('Retirement Calculator'!J:J,MATCH('Isaac 401k'!N611,'Retirement Calculator'!A:A,0),0),0)</f>
        <v>8395.6297298201844</v>
      </c>
      <c r="K611" s="444">
        <f t="shared" ca="1" si="53"/>
        <v>-7092.3302313122476</v>
      </c>
      <c r="L611" s="444">
        <f t="shared" ca="1" si="54"/>
        <v>-1709251.5857462517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-1709251.5857462517</v>
      </c>
      <c r="J612" s="444">
        <f t="array" ref="J612">IFERROR(INDEX('Retirement Calculator'!J:J,MATCH('Isaac 401k'!N612,'Retirement Calculator'!A:A,0),0),0)</f>
        <v>8395.6297298201844</v>
      </c>
      <c r="K612" s="444">
        <f t="shared" ca="1" si="53"/>
        <v>-7156.8633978169664</v>
      </c>
      <c r="L612" s="444">
        <f t="shared" ca="1" si="54"/>
        <v>-1724804.0788738888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-1724804.0788738888</v>
      </c>
      <c r="J613" s="444">
        <f t="array" ref="J613">IFERROR(INDEX('Retirement Calculator'!J:J,MATCH('Isaac 401k'!N613,'Retirement Calculator'!A:A,0),0),0)</f>
        <v>8395.6297298201844</v>
      </c>
      <c r="K613" s="444">
        <f t="shared" ca="1" si="53"/>
        <v>-7221.6654525154545</v>
      </c>
      <c r="L613" s="444">
        <f t="shared" ca="1" si="54"/>
        <v>-1740421.3740562245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-1740421.3740562245</v>
      </c>
      <c r="J614" s="444">
        <f t="array" ref="J614">IFERROR(INDEX('Retirement Calculator'!J:J,MATCH('Isaac 401k'!N614,'Retirement Calculator'!A:A,0),0),0)</f>
        <v>8395.6297298201844</v>
      </c>
      <c r="K614" s="444">
        <f t="shared" ca="1" si="53"/>
        <v>-7286.7375157751858</v>
      </c>
      <c r="L614" s="444">
        <f t="shared" ca="1" si="54"/>
        <v>-1756103.7413018199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-1756103.7413018199</v>
      </c>
      <c r="J615" s="444">
        <f t="array" ref="J615">IFERROR(INDEX('Retirement Calculator'!J:J,MATCH('Isaac 401k'!N615,'Retirement Calculator'!A:A,0),0),0)</f>
        <v>8395.6297298201844</v>
      </c>
      <c r="K615" s="444">
        <f t="shared" ca="1" si="53"/>
        <v>-7352.0807126318332</v>
      </c>
      <c r="L615" s="444">
        <f t="shared" ca="1" si="54"/>
        <v>-1771851.4517442719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-1771851.4517442719</v>
      </c>
      <c r="J616" s="444">
        <f t="array" ref="J616">IFERROR(INDEX('Retirement Calculator'!J:J,MATCH('Isaac 401k'!N616,'Retirement Calculator'!A:A,0),0),0)</f>
        <v>8395.6297298201844</v>
      </c>
      <c r="K616" s="444">
        <f t="shared" ca="1" si="53"/>
        <v>-7417.6961728087163</v>
      </c>
      <c r="L616" s="444">
        <f t="shared" ca="1" si="54"/>
        <v>-1787664.7776469009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-1787664.7776469009</v>
      </c>
      <c r="J617" s="444">
        <f t="array" ref="J617">IFERROR(INDEX('Retirement Calculator'!J:J,MATCH('Isaac 401k'!N617,'Retirement Calculator'!A:A,0),0),0)</f>
        <v>8395.6297298201844</v>
      </c>
      <c r="K617" s="444">
        <f t="shared" ca="1" si="53"/>
        <v>-7483.5850307363371</v>
      </c>
      <c r="L617" s="444">
        <f t="shared" ca="1" si="54"/>
        <v>-1803543.9924074574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-1803543.9924074574</v>
      </c>
      <c r="J618" s="444">
        <f t="array" ref="J618">IFERROR(INDEX('Retirement Calculator'!J:J,MATCH('Isaac 401k'!N618,'Retirement Calculator'!A:A,0),0),0)</f>
        <v>8395.6297298201844</v>
      </c>
      <c r="K618" s="444">
        <f t="shared" ca="1" si="53"/>
        <v>-7549.7484255719901</v>
      </c>
      <c r="L618" s="444">
        <f t="shared" ca="1" si="54"/>
        <v>-1819489.3705628496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-1819489.3705628496</v>
      </c>
      <c r="J619" s="444">
        <f t="array" ref="J619">IFERROR(INDEX('Retirement Calculator'!J:J,MATCH('Isaac 401k'!N619,'Retirement Calculator'!A:A,0),0),0)</f>
        <v>8395.6297298201844</v>
      </c>
      <c r="K619" s="444">
        <f t="shared" ca="1" si="53"/>
        <v>-7616.1875012194578</v>
      </c>
      <c r="L619" s="444">
        <f t="shared" ca="1" si="54"/>
        <v>-1835501.1877938893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-1835501.1877938893</v>
      </c>
      <c r="J620" s="444">
        <f t="array" ref="J620">IFERROR(INDEX('Retirement Calculator'!J:J,MATCH('Isaac 401k'!N620,'Retirement Calculator'!A:A,0),0),0)</f>
        <v>8395.6297298201844</v>
      </c>
      <c r="K620" s="444">
        <f t="shared" ca="1" si="53"/>
        <v>-7682.9034063487898</v>
      </c>
      <c r="L620" s="444">
        <f t="shared" ca="1" si="54"/>
        <v>-1851579.7209300583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-1851579.7209300583</v>
      </c>
      <c r="J621" s="444">
        <f t="array" ref="J621">IFERROR(INDEX('Retirement Calculator'!J:J,MATCH('Isaac 401k'!N621,'Retirement Calculator'!A:A,0),0),0)</f>
        <v>8395.6297298201844</v>
      </c>
      <c r="K621" s="444">
        <f t="shared" ca="1" si="53"/>
        <v>-7749.8972944161615</v>
      </c>
      <c r="L621" s="444">
        <f t="shared" ca="1" si="54"/>
        <v>-1867725.2479542946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-1867725.2479542946</v>
      </c>
      <c r="J622" s="444">
        <f t="array" ref="J622">IFERROR(INDEX('Retirement Calculator'!J:J,MATCH('Isaac 401k'!N622,'Retirement Calculator'!A:A,0),0),0)</f>
        <v>8395.6297298201844</v>
      </c>
      <c r="K622" s="444">
        <f t="shared" ca="1" si="53"/>
        <v>-7817.1703236838111</v>
      </c>
      <c r="L622" s="444">
        <f t="shared" ca="1" si="54"/>
        <v>-1883938.0480077986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-1883938.0480077986</v>
      </c>
      <c r="J623" s="444">
        <f t="array" ref="J623">IFERROR(INDEX('Retirement Calculator'!J:J,MATCH('Isaac 401k'!N623,'Retirement Calculator'!A:A,0),0),0)</f>
        <v>8395.6297298201844</v>
      </c>
      <c r="K623" s="444">
        <f t="shared" ca="1" si="53"/>
        <v>-7884.723657240078</v>
      </c>
      <c r="L623" s="444">
        <f t="shared" ca="1" si="54"/>
        <v>-1900218.401394859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-1900218.401394859</v>
      </c>
      <c r="J624" s="444">
        <f t="array" ref="J624">IFERROR(INDEX('Retirement Calculator'!J:J,MATCH('Isaac 401k'!N624,'Retirement Calculator'!A:A,0),0),0)</f>
        <v>8395.6297298201844</v>
      </c>
      <c r="K624" s="444">
        <f t="shared" ca="1" si="53"/>
        <v>-7952.5584630194962</v>
      </c>
      <c r="L624" s="444">
        <f t="shared" ca="1" si="54"/>
        <v>-1916566.5895876987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-1916566.5895876987</v>
      </c>
      <c r="J625" s="444">
        <f t="array" ref="J625">IFERROR(INDEX('Retirement Calculator'!J:J,MATCH('Isaac 401k'!N625,'Retirement Calculator'!A:A,0),0),0)</f>
        <v>8395.6297298201844</v>
      </c>
      <c r="K625" s="444">
        <f t="shared" ca="1" si="53"/>
        <v>-8020.6759138229945</v>
      </c>
      <c r="L625" s="444">
        <f t="shared" ca="1" si="54"/>
        <v>-1932982.8952313419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-1932982.8952313419</v>
      </c>
      <c r="J626" s="444">
        <f t="array" ref="J626">IFERROR(INDEX('Retirement Calculator'!J:J,MATCH('Isaac 401k'!N626,'Retirement Calculator'!A:A,0),0),0)</f>
        <v>8395.6297298201844</v>
      </c>
      <c r="K626" s="444">
        <f t="shared" ca="1" si="53"/>
        <v>-8089.0771873381755</v>
      </c>
      <c r="L626" s="444">
        <f t="shared" ca="1" si="54"/>
        <v>-1949467.6021485003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-1949467.6021485003</v>
      </c>
      <c r="J627" s="444">
        <f t="array" ref="J627">IFERROR(INDEX('Retirement Calculator'!J:J,MATCH('Isaac 401k'!N627,'Retirement Calculator'!A:A,0),0),0)</f>
        <v>8395.6297298201844</v>
      </c>
      <c r="K627" s="444">
        <f t="shared" ca="1" si="53"/>
        <v>-8157.7634661596694</v>
      </c>
      <c r="L627" s="444">
        <f t="shared" ca="1" si="54"/>
        <v>-1966020.99534448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-1966020.99534448</v>
      </c>
      <c r="J628" s="444">
        <f t="array" ref="J628">IFERROR(INDEX('Retirement Calculator'!J:J,MATCH('Isaac 401k'!N628,'Retirement Calculator'!A:A,0),0),0)</f>
        <v>8395.6297298201844</v>
      </c>
      <c r="K628" s="444">
        <f t="shared" ca="1" si="53"/>
        <v>-8226.7359378095844</v>
      </c>
      <c r="L628" s="444">
        <f t="shared" ca="1" si="54"/>
        <v>-1982643.3610121098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-1982643.3610121098</v>
      </c>
      <c r="J629" s="444">
        <f t="array" ref="J629">IFERROR(INDEX('Retirement Calculator'!J:J,MATCH('Isaac 401k'!N629,'Retirement Calculator'!A:A,0),0),0)</f>
        <v>8395.6297298201844</v>
      </c>
      <c r="K629" s="444">
        <f t="shared" ca="1" si="53"/>
        <v>-8295.9957947580406</v>
      </c>
      <c r="L629" s="444">
        <f t="shared" ca="1" si="54"/>
        <v>-1999334.9865366879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-1999334.9865366879</v>
      </c>
      <c r="J630" s="444">
        <f t="array" ref="J630">IFERROR(INDEX('Retirement Calculator'!J:J,MATCH('Isaac 401k'!N630,'Retirement Calculator'!A:A,0),0),0)</f>
        <v>8395.6297298201844</v>
      </c>
      <c r="K630" s="444">
        <f t="shared" ca="1" si="53"/>
        <v>-8365.5442344437852</v>
      </c>
      <c r="L630" s="444">
        <f t="shared" ca="1" si="54"/>
        <v>-2016096.1605009518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-2016096.1605009518</v>
      </c>
      <c r="J631" s="444">
        <f t="array" ref="J631">IFERROR(INDEX('Retirement Calculator'!J:J,MATCH('Isaac 401k'!N631,'Retirement Calculator'!A:A,0),0),0)</f>
        <v>8395.6297298201844</v>
      </c>
      <c r="K631" s="444">
        <f t="shared" ca="1" si="53"/>
        <v>-8435.382459294884</v>
      </c>
      <c r="L631" s="444">
        <f t="shared" ca="1" si="54"/>
        <v>-2032927.172690067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-2032927.172690067</v>
      </c>
      <c r="J632" s="444">
        <f t="array" ref="J632">IFERROR(INDEX('Retirement Calculator'!J:J,MATCH('Isaac 401k'!N632,'Retirement Calculator'!A:A,0),0),0)</f>
        <v>8395.6297298201844</v>
      </c>
      <c r="K632" s="444">
        <f t="shared" ca="1" si="53"/>
        <v>-8505.5116767495292</v>
      </c>
      <c r="L632" s="444">
        <f t="shared" ca="1" si="54"/>
        <v>-2049828.3140966366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-2049828.3140966366</v>
      </c>
      <c r="J633" s="444">
        <f t="array" ref="J633">IFERROR(INDEX('Retirement Calculator'!J:J,MATCH('Isaac 401k'!N633,'Retirement Calculator'!A:A,0),0),0)</f>
        <v>8395.6297298201844</v>
      </c>
      <c r="K633" s="444">
        <f t="shared" ca="1" si="53"/>
        <v>-8575.9330992769028</v>
      </c>
      <c r="L633" s="444">
        <f t="shared" ca="1" si="54"/>
        <v>-2066799.8769257336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-2066799.8769257336</v>
      </c>
      <c r="J634" s="444">
        <f t="array" ref="J634">IFERROR(INDEX('Retirement Calculator'!J:J,MATCH('Isaac 401k'!N634,'Retirement Calculator'!A:A,0),0),0)</f>
        <v>8395.6297298201844</v>
      </c>
      <c r="K634" s="444">
        <f t="shared" ca="1" si="53"/>
        <v>-8646.6479443981407</v>
      </c>
      <c r="L634" s="444">
        <f t="shared" ca="1" si="54"/>
        <v>-2083842.154599952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-2083842.154599952</v>
      </c>
      <c r="J635" s="444">
        <f t="array" ref="J635">IFERROR(INDEX('Retirement Calculator'!J:J,MATCH('Isaac 401k'!N635,'Retirement Calculator'!A:A,0),0),0)</f>
        <v>8395.6297298201844</v>
      </c>
      <c r="K635" s="444">
        <f t="shared" ca="1" si="53"/>
        <v>-8717.6574347073856</v>
      </c>
      <c r="L635" s="444">
        <f t="shared" ca="1" si="54"/>
        <v>-2100955.4417644795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-2100955.4417644795</v>
      </c>
      <c r="J636" s="444">
        <f t="array" ref="J636">IFERROR(INDEX('Retirement Calculator'!J:J,MATCH('Isaac 401k'!N636,'Retirement Calculator'!A:A,0),0),0)</f>
        <v>8395.6297298201844</v>
      </c>
      <c r="K636" s="444">
        <f t="shared" ca="1" si="53"/>
        <v>-8788.9627978929166</v>
      </c>
      <c r="L636" s="444">
        <f t="shared" ca="1" si="54"/>
        <v>-2118140.0342921927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-2118140.0342921927</v>
      </c>
      <c r="J637" s="444">
        <f t="array" ref="J637">IFERROR(INDEX('Retirement Calculator'!J:J,MATCH('Isaac 401k'!N637,'Retirement Calculator'!A:A,0),0),0)</f>
        <v>8395.6297298201844</v>
      </c>
      <c r="K637" s="444">
        <f t="shared" ca="1" si="53"/>
        <v>-8860.5652667583872</v>
      </c>
      <c r="L637" s="444">
        <f t="shared" ca="1" si="54"/>
        <v>-2135396.2292887713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-2135396.2292887713</v>
      </c>
      <c r="J638" s="444">
        <f t="array" ref="J638">IFERROR(INDEX('Retirement Calculator'!J:J,MATCH('Isaac 401k'!N638,'Retirement Calculator'!A:A,0),0),0)</f>
        <v>8395.6297298201844</v>
      </c>
      <c r="K638" s="444">
        <f t="shared" ca="1" si="53"/>
        <v>-8932.4660792441318</v>
      </c>
      <c r="L638" s="444">
        <f t="shared" ca="1" si="54"/>
        <v>-2152724.3250978356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-2152724.3250978356</v>
      </c>
      <c r="J639" s="444">
        <f t="array" ref="J639">IFERROR(INDEX('Retirement Calculator'!J:J,MATCH('Isaac 401k'!N639,'Retirement Calculator'!A:A,0),0),0)</f>
        <v>8395.6297298201844</v>
      </c>
      <c r="K639" s="444">
        <f t="shared" ca="1" si="53"/>
        <v>-9004.6664784485674</v>
      </c>
      <c r="L639" s="444">
        <f t="shared" ca="1" si="54"/>
        <v>-2170124.6213061046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-2170124.6213061046</v>
      </c>
      <c r="J640" s="444">
        <f t="array" ref="J640">IFERROR(INDEX('Retirement Calculator'!J:J,MATCH('Isaac 401k'!N640,'Retirement Calculator'!A:A,0),0),0)</f>
        <v>8395.6297298201844</v>
      </c>
      <c r="K640" s="444">
        <f t="shared" ca="1" si="53"/>
        <v>-9077.167712649687</v>
      </c>
      <c r="L640" s="444">
        <f t="shared" ca="1" si="54"/>
        <v>-2187597.4187485748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-2187597.4187485748</v>
      </c>
      <c r="J641" s="444">
        <f t="array" ref="J641">IFERROR(INDEX('Retirement Calculator'!J:J,MATCH('Isaac 401k'!N641,'Retirement Calculator'!A:A,0),0),0)</f>
        <v>8395.6297298201844</v>
      </c>
      <c r="K641" s="444">
        <f t="shared" ca="1" si="53"/>
        <v>-9149.9710353266473</v>
      </c>
      <c r="L641" s="444">
        <f t="shared" ca="1" si="54"/>
        <v>-2205143.019513722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-2205143.019513722</v>
      </c>
      <c r="J642" s="444">
        <f t="array" ref="J642">IFERROR(INDEX('Retirement Calculator'!J:J,MATCH('Isaac 401k'!N642,'Retirement Calculator'!A:A,0),0),0)</f>
        <v>8395.6297298201844</v>
      </c>
      <c r="K642" s="444">
        <f t="shared" ca="1" si="53"/>
        <v>-9223.0777051814275</v>
      </c>
      <c r="L642" s="444">
        <f t="shared" ca="1" si="54"/>
        <v>-2222761.7269487237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-2222761.7269487237</v>
      </c>
      <c r="J643" s="444">
        <f t="array" ref="J643">IFERROR(INDEX('Retirement Calculator'!J:J,MATCH('Isaac 401k'!N643,'Retirement Calculator'!A:A,0),0),0)</f>
        <v>8395.6297298201844</v>
      </c>
      <c r="K643" s="444">
        <f t="shared" ca="1" si="53"/>
        <v>-9296.4889861606007</v>
      </c>
      <c r="L643" s="444">
        <f t="shared" ca="1" si="54"/>
        <v>-2240453.8456647047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-2240453.8456647047</v>
      </c>
      <c r="J644" s="444">
        <f t="array" ref="J644">IFERROR(INDEX('Retirement Calculator'!J:J,MATCH('Isaac 401k'!N644,'Retirement Calculator'!A:A,0),0),0)</f>
        <v>8395.6297298201844</v>
      </c>
      <c r="K644" s="444">
        <f t="shared" ca="1" si="53"/>
        <v>-9370.2061474771872</v>
      </c>
      <c r="L644" s="444">
        <f t="shared" ca="1" si="54"/>
        <v>-2258219.6815420021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-2258219.6815420021</v>
      </c>
      <c r="J645" s="444">
        <f t="array" ref="J645">IFERROR(INDEX('Retirement Calculator'!J:J,MATCH('Isaac 401k'!N645,'Retirement Calculator'!A:A,0),0),0)</f>
        <v>8395.6297298201844</v>
      </c>
      <c r="K645" s="444">
        <f t="shared" ca="1" si="53"/>
        <v>-9444.2304636325935</v>
      </c>
      <c r="L645" s="444">
        <f t="shared" ca="1" si="54"/>
        <v>-2276059.5417354549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-2276059.5417354549</v>
      </c>
      <c r="J646" s="444">
        <f t="array" ref="J646">IFERROR(INDEX('Retirement Calculator'!J:J,MATCH('Isaac 401k'!N646,'Retirement Calculator'!A:A,0),0),0)</f>
        <v>8395.6297298201844</v>
      </c>
      <c r="K646" s="444">
        <f t="shared" ca="1" si="53"/>
        <v>-9518.5632144386473</v>
      </c>
      <c r="L646" s="444">
        <f t="shared" ca="1" si="54"/>
        <v>-2293973.7346797138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-2293973.7346797138</v>
      </c>
      <c r="J647" s="444">
        <f t="array" ref="J647">IFERROR(INDEX('Retirement Calculator'!J:J,MATCH('Isaac 401k'!N647,'Retirement Calculator'!A:A,0),0),0)</f>
        <v>8395.6297298201844</v>
      </c>
      <c r="K647" s="444">
        <f t="shared" ca="1" si="53"/>
        <v>-9593.2056850397257</v>
      </c>
      <c r="L647" s="444">
        <f t="shared" ca="1" si="54"/>
        <v>-2311962.5700945738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-2311962.5700945738</v>
      </c>
      <c r="J648" s="444">
        <f t="array" ref="J648">IFERROR(INDEX('Retirement Calculator'!J:J,MATCH('Isaac 401k'!N648,'Retirement Calculator'!A:A,0),0),0)</f>
        <v>8395.6297298201844</v>
      </c>
      <c r="K648" s="444">
        <f t="shared" ca="1" si="53"/>
        <v>-9668.159165934976</v>
      </c>
      <c r="L648" s="444">
        <f t="shared" ca="1" si="54"/>
        <v>-2330026.3589903293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-2330026.3589903293</v>
      </c>
      <c r="J649" s="444">
        <f t="array" ref="J649">IFERROR(INDEX('Retirement Calculator'!J:J,MATCH('Isaac 401k'!N649,'Retirement Calculator'!A:A,0),0),0)</f>
        <v>8395.6297298201844</v>
      </c>
      <c r="K649" s="444">
        <f t="shared" ca="1" si="53"/>
        <v>-9743.4249530006236</v>
      </c>
      <c r="L649" s="444">
        <f t="shared" ca="1" si="54"/>
        <v>-2348165.4136731504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-2348165.4136731504</v>
      </c>
      <c r="J650" s="444">
        <f t="array" ref="J650">IFERROR(INDEX('Retirement Calculator'!J:J,MATCH('Isaac 401k'!N650,'Retirement Calculator'!A:A,0),0),0)</f>
        <v>8395.6297298201844</v>
      </c>
      <c r="K650" s="444">
        <f t="shared" ca="1" si="53"/>
        <v>-9819.0043475123784</v>
      </c>
      <c r="L650" s="444">
        <f t="shared" ca="1" si="54"/>
        <v>-2366380.0477504833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-2366380.0477504833</v>
      </c>
      <c r="J651" s="444">
        <f t="array" ref="J651">IFERROR(INDEX('Retirement Calculator'!J:J,MATCH('Isaac 401k'!N651,'Retirement Calculator'!A:A,0),0),0)</f>
        <v>8395.6297298201844</v>
      </c>
      <c r="K651" s="444">
        <f t="shared" ca="1" si="53"/>
        <v>-9894.8986561679321</v>
      </c>
      <c r="L651" s="444">
        <f t="shared" ca="1" si="54"/>
        <v>-2384670.5761364717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-2384670.5761364717</v>
      </c>
      <c r="J652" s="444">
        <f t="array" ref="J652">IFERROR(INDEX('Retirement Calculator'!J:J,MATCH('Isaac 401k'!N652,'Retirement Calculator'!A:A,0),0),0)</f>
        <v>8395.6297298201844</v>
      </c>
      <c r="K652" s="444">
        <f t="shared" ca="1" si="53"/>
        <v>-9971.10919110955</v>
      </c>
      <c r="L652" s="444">
        <f t="shared" ca="1" si="54"/>
        <v>-2403037.3150574015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-2403037.3150574015</v>
      </c>
      <c r="J653" s="444">
        <f t="array" ref="J653">IFERROR(INDEX('Retirement Calculator'!J:J,MATCH('Isaac 401k'!N653,'Retirement Calculator'!A:A,0),0),0)</f>
        <v>8395.6297298201844</v>
      </c>
      <c r="K653" s="444">
        <f t="shared" ca="1" si="53"/>
        <v>-10047.637269946757</v>
      </c>
      <c r="L653" s="444">
        <f t="shared" ca="1" si="54"/>
        <v>-2421480.5820571687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-2421480.5820571687</v>
      </c>
      <c r="J654" s="444">
        <f t="array" ref="J654">IFERROR(INDEX('Retirement Calculator'!J:J,MATCH('Isaac 401k'!N654,'Retirement Calculator'!A:A,0),0),0)</f>
        <v>8395.6297298201844</v>
      </c>
      <c r="K654" s="444">
        <f t="shared" ca="1" si="53"/>
        <v>-10124.484215779121</v>
      </c>
      <c r="L654" s="444">
        <f t="shared" ca="1" si="54"/>
        <v>-2440000.6960027684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-2440000.6960027684</v>
      </c>
      <c r="J655" s="444">
        <f t="array" ref="J655">IFERROR(INDEX('Retirement Calculator'!J:J,MATCH('Isaac 401k'!N655,'Retirement Calculator'!A:A,0),0),0)</f>
        <v>8395.6297298201844</v>
      </c>
      <c r="K655" s="444">
        <f t="shared" ca="1" si="53"/>
        <v>-10201.65135721912</v>
      </c>
      <c r="L655" s="444">
        <f t="shared" ca="1" si="54"/>
        <v>-2458597.9770898079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-2458597.9770898079</v>
      </c>
      <c r="J656" s="444">
        <f t="array" ref="J656">IFERROR(INDEX('Retirement Calculator'!J:J,MATCH('Isaac 401k'!N656,'Retirement Calculator'!A:A,0),0),0)</f>
        <v>8395.6297298201844</v>
      </c>
      <c r="K656" s="444">
        <f t="shared" ca="1" si="53"/>
        <v>-10279.140028415117</v>
      </c>
      <c r="L656" s="444">
        <f t="shared" ca="1" si="54"/>
        <v>-2477272.7468480435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-2477272.7468480435</v>
      </c>
      <c r="J657" s="444">
        <f t="array" ref="J657">IFERROR(INDEX('Retirement Calculator'!J:J,MATCH('Isaac 401k'!N657,'Retirement Calculator'!A:A,0),0),0)</f>
        <v>8395.6297298201844</v>
      </c>
      <c r="K657" s="444">
        <f t="shared" ca="1" si="53"/>
        <v>-10356.951569074434</v>
      </c>
      <c r="L657" s="444">
        <f t="shared" ca="1" si="54"/>
        <v>-2496025.3281469382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-2496025.3281469382</v>
      </c>
      <c r="J658" s="444">
        <f t="array" ref="J658">IFERROR(INDEX('Retirement Calculator'!J:J,MATCH('Isaac 401k'!N658,'Retirement Calculator'!A:A,0),0),0)</f>
        <v>8395.6297298201844</v>
      </c>
      <c r="K658" s="444">
        <f t="shared" ca="1" si="53"/>
        <v>-10435.087324486494</v>
      </c>
      <c r="L658" s="444">
        <f t="shared" ca="1" si="54"/>
        <v>-2514856.0452012452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-2514856.0452012452</v>
      </c>
      <c r="J659" s="444">
        <f t="array" ref="J659">IFERROR(INDEX('Retirement Calculator'!J:J,MATCH('Isaac 401k'!N659,'Retirement Calculator'!A:A,0),0),0)</f>
        <v>8395.6297298201844</v>
      </c>
      <c r="K659" s="444">
        <f t="shared" ca="1" si="53"/>
        <v>-10513.548645546107</v>
      </c>
      <c r="L659" s="444">
        <f t="shared" ca="1" si="54"/>
        <v>-2533765.2235766118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-2533765.2235766118</v>
      </c>
      <c r="J660" s="444">
        <f t="array" ref="J660">IFERROR(INDEX('Retirement Calculator'!J:J,MATCH('Isaac 401k'!N660,'Retirement Calculator'!A:A,0),0),0)</f>
        <v>8395.6297298201844</v>
      </c>
      <c r="K660" s="444">
        <f t="shared" ca="1" si="53"/>
        <v>-10592.336888776801</v>
      </c>
      <c r="L660" s="444">
        <f t="shared" ca="1" si="54"/>
        <v>-2552753.1901952089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-2552753.1901952089</v>
      </c>
      <c r="J661" s="444">
        <f t="array" ref="J661">IFERROR(INDEX('Retirement Calculator'!J:J,MATCH('Isaac 401k'!N661,'Retirement Calculator'!A:A,0),0),0)</f>
        <v>8395.6297298201844</v>
      </c>
      <c r="K661" s="444">
        <f t="shared" ca="1" si="53"/>
        <v>-10671.453416354288</v>
      </c>
      <c r="L661" s="444">
        <f t="shared" ca="1" si="54"/>
        <v>-2571820.2733413838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-2571820.2733413838</v>
      </c>
      <c r="J662" s="444">
        <f t="array" ref="J662">IFERROR(INDEX('Retirement Calculator'!J:J,MATCH('Isaac 401k'!N662,'Retirement Calculator'!A:A,0),0),0)</f>
        <v>8395.6297298201844</v>
      </c>
      <c r="K662" s="444">
        <f t="shared" ca="1" si="53"/>
        <v>-10750.899596130017</v>
      </c>
      <c r="L662" s="444">
        <f t="shared" ca="1" si="54"/>
        <v>-2590966.8026673342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-2590966.8026673342</v>
      </c>
      <c r="J663" s="444">
        <f t="array" ref="J663">IFERROR(INDEX('Retirement Calculator'!J:J,MATCH('Isaac 401k'!N663,'Retirement Calculator'!A:A,0),0),0)</f>
        <v>8395.6297298201844</v>
      </c>
      <c r="K663" s="444">
        <f t="shared" ca="1" si="53"/>
        <v>-10830.67680165481</v>
      </c>
      <c r="L663" s="444">
        <f t="shared" ca="1" si="54"/>
        <v>-2610193.1091988096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-2610193.1091988096</v>
      </c>
      <c r="J664" s="444">
        <f t="array" ref="J664">IFERROR(INDEX('Retirement Calculator'!J:J,MATCH('Isaac 401k'!N664,'Retirement Calculator'!A:A,0),0),0)</f>
        <v>8395.6297298201844</v>
      </c>
      <c r="K664" s="444">
        <f t="shared" ca="1" si="53"/>
        <v>-10910.786412202626</v>
      </c>
      <c r="L664" s="444">
        <f t="shared" ca="1" si="54"/>
        <v>-2629499.5253408328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-2629499.5253408328</v>
      </c>
      <c r="J665" s="444">
        <f t="array" ref="J665">IFERROR(INDEX('Retirement Calculator'!J:J,MATCH('Isaac 401k'!N665,'Retirement Calculator'!A:A,0),0),0)</f>
        <v>8395.6297298201844</v>
      </c>
      <c r="K665" s="444">
        <f t="shared" ca="1" si="53"/>
        <v>-10991.229812794389</v>
      </c>
      <c r="L665" s="444">
        <f t="shared" ca="1" si="54"/>
        <v>-2648886.3848834476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-2648886.3848834476</v>
      </c>
      <c r="J666" s="444">
        <f t="array" ref="J666">IFERROR(INDEX('Retirement Calculator'!J:J,MATCH('Isaac 401k'!N666,'Retirement Calculator'!A:A,0),0),0)</f>
        <v>8395.6297298201844</v>
      </c>
      <c r="K666" s="444">
        <f t="shared" ca="1" si="53"/>
        <v>-11072.00839422195</v>
      </c>
      <c r="L666" s="444">
        <f t="shared" ca="1" si="54"/>
        <v>-2668354.0230074897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-2668354.0230074897</v>
      </c>
      <c r="J667" s="444">
        <f t="array" ref="J667">IFERROR(INDEX('Retirement Calculator'!J:J,MATCH('Isaac 401k'!N667,'Retirement Calculator'!A:A,0),0),0)</f>
        <v>8395.6297298201844</v>
      </c>
      <c r="K667" s="444">
        <f t="shared" ca="1" si="53"/>
        <v>-11153.123553072126</v>
      </c>
      <c r="L667" s="444">
        <f t="shared" ca="1" si="54"/>
        <v>-2687902.7762903823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-2687902.7762903823</v>
      </c>
      <c r="J668" s="444">
        <f t="array" ref="J668">IFERROR(INDEX('Retirement Calculator'!J:J,MATCH('Isaac 401k'!N668,'Retirement Calculator'!A:A,0),0),0)</f>
        <v>8395.6297298201844</v>
      </c>
      <c r="K668" s="444">
        <f t="shared" ca="1" si="53"/>
        <v>-11234.576691750844</v>
      </c>
      <c r="L668" s="444">
        <f t="shared" ca="1" si="54"/>
        <v>-2707532.9827119536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-2707532.9827119536</v>
      </c>
      <c r="J669" s="444">
        <f t="array" ref="J669">IFERROR(INDEX('Retirement Calculator'!J:J,MATCH('Isaac 401k'!N669,'Retirement Calculator'!A:A,0),0),0)</f>
        <v>8395.6297298201844</v>
      </c>
      <c r="K669" s="444">
        <f t="shared" ca="1" si="53"/>
        <v>-11316.369218507392</v>
      </c>
      <c r="L669" s="444">
        <f t="shared" ca="1" si="54"/>
        <v>-2727244.9816602813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-2727244.9816602813</v>
      </c>
      <c r="J670" s="444">
        <f t="array" ref="J670">IFERROR(INDEX('Retirement Calculator'!J:J,MATCH('Isaac 401k'!N670,'Retirement Calculator'!A:A,0),0),0)</f>
        <v>8395.6297298201844</v>
      </c>
      <c r="K670" s="444">
        <f t="shared" ca="1" si="53"/>
        <v>-11398.502547458756</v>
      </c>
      <c r="L670" s="444">
        <f t="shared" ca="1" si="54"/>
        <v>-2747039.1139375605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-2747039.1139375605</v>
      </c>
      <c r="J671" s="444">
        <f t="array" ref="J671">IFERROR(INDEX('Retirement Calculator'!J:J,MATCH('Isaac 401k'!N671,'Retirement Calculator'!A:A,0),0),0)</f>
        <v>8395.6297298201844</v>
      </c>
      <c r="K671" s="444">
        <f t="shared" ca="1" si="53"/>
        <v>-11480.978098614087</v>
      </c>
      <c r="L671" s="444">
        <f t="shared" ca="1" si="54"/>
        <v>-2766915.721765995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-2766915.721765995</v>
      </c>
      <c r="J672" s="444">
        <f t="array" ref="J672">IFERROR(INDEX('Retirement Calculator'!J:J,MATCH('Isaac 401k'!N672,'Retirement Calculator'!A:A,0),0),0)</f>
        <v>8395.6297298201844</v>
      </c>
      <c r="K672" s="444">
        <f t="shared" ca="1" si="53"/>
        <v>-11563.797297899231</v>
      </c>
      <c r="L672" s="444">
        <f t="shared" ca="1" si="54"/>
        <v>-2786875.1487937146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-2786875.1487937146</v>
      </c>
      <c r="J673" s="444">
        <f t="array" ref="J673">IFERROR(INDEX('Retirement Calculator'!J:J,MATCH('Isaac 401k'!N673,'Retirement Calculator'!A:A,0),0),0)</f>
        <v>8395.6297298201844</v>
      </c>
      <c r="K673" s="444">
        <f t="shared" ca="1" si="53"/>
        <v>-11646.961577181395</v>
      </c>
      <c r="L673" s="444">
        <f t="shared" ca="1" si="54"/>
        <v>-2806917.7401007162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-2806917.7401007162</v>
      </c>
      <c r="J674" s="444">
        <f t="array" ref="J674">IFERROR(INDEX('Retirement Calculator'!J:J,MATCH('Isaac 401k'!N674,'Retirement Calculator'!A:A,0),0),0)</f>
        <v>8395.6297298201844</v>
      </c>
      <c r="K674" s="444">
        <f t="shared" ca="1" si="53"/>
        <v>-11730.472374293902</v>
      </c>
      <c r="L674" s="444">
        <f t="shared" ca="1" si="54"/>
        <v>-2827043.8422048306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-2827043.8422048306</v>
      </c>
      <c r="J675" s="444">
        <f t="array" ref="J675">IFERROR(INDEX('Retirement Calculator'!J:J,MATCH('Isaac 401k'!N675,'Retirement Calculator'!A:A,0),0),0)</f>
        <v>8395.6297298201844</v>
      </c>
      <c r="K675" s="444">
        <f t="shared" ca="1" si="53"/>
        <v>-11814.331133061045</v>
      </c>
      <c r="L675" s="444">
        <f t="shared" ca="1" si="54"/>
        <v>-2847253.8030677121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-2847253.8030677121</v>
      </c>
      <c r="J676" s="444">
        <f t="array" ref="J676">IFERROR(INDEX('Retirement Calculator'!J:J,MATCH('Isaac 401k'!N676,'Retirement Calculator'!A:A,0),0),0)</f>
        <v>8395.6297298201844</v>
      </c>
      <c r="K676" s="444">
        <f t="shared" ca="1" si="53"/>
        <v>-11898.539303323052</v>
      </c>
      <c r="L676" s="444">
        <f t="shared" ca="1" si="54"/>
        <v>-2867547.9721008558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-2867547.9721008558</v>
      </c>
      <c r="J677" s="444">
        <f t="array" ref="J677">IFERROR(INDEX('Retirement Calculator'!J:J,MATCH('Isaac 401k'!N677,'Retirement Calculator'!A:A,0),0),0)</f>
        <v>8395.6297298201844</v>
      </c>
      <c r="K677" s="444">
        <f t="shared" ca="1" si="53"/>
        <v>-11983.098340961151</v>
      </c>
      <c r="L677" s="444">
        <f t="shared" ca="1" si="54"/>
        <v>-2887926.7001716373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-2887926.7001716373</v>
      </c>
      <c r="J678" s="444">
        <f t="array" ref="J678">IFERROR(INDEX('Retirement Calculator'!J:J,MATCH('Isaac 401k'!N678,'Retirement Calculator'!A:A,0),0),0)</f>
        <v>8395.6297298201844</v>
      </c>
      <c r="K678" s="444">
        <f t="shared" ca="1" si="53"/>
        <v>-12068.00970792274</v>
      </c>
      <c r="L678" s="444">
        <f t="shared" ca="1" si="54"/>
        <v>-2908390.3396093803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-2908390.3396093803</v>
      </c>
      <c r="J679" s="444">
        <f t="array" ref="J679">IFERROR(INDEX('Retirement Calculator'!J:J,MATCH('Isaac 401k'!N679,'Retirement Calculator'!A:A,0),0),0)</f>
        <v>8395.6297298201844</v>
      </c>
      <c r="K679" s="444">
        <f t="shared" ca="1" si="53"/>
        <v>-12153.274872246669</v>
      </c>
      <c r="L679" s="444">
        <f t="shared" ca="1" si="54"/>
        <v>-2928939.2442114474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-2928939.2442114474</v>
      </c>
      <c r="J680" s="444">
        <f t="array" ref="J680">IFERROR(INDEX('Retirement Calculator'!J:J,MATCH('Isaac 401k'!N680,'Retirement Calculator'!A:A,0),0),0)</f>
        <v>8395.6297298201844</v>
      </c>
      <c r="K680" s="444">
        <f t="shared" ca="1" si="53"/>
        <v>-12238.895308088617</v>
      </c>
      <c r="L680" s="444">
        <f t="shared" ca="1" si="54"/>
        <v>-2949573.7692493564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-2949573.7692493564</v>
      </c>
      <c r="J681" s="444">
        <f t="array" ref="J681">IFERROR(INDEX('Retirement Calculator'!J:J,MATCH('Isaac 401k'!N681,'Retirement Calculator'!A:A,0),0),0)</f>
        <v>8395.6297298201844</v>
      </c>
      <c r="K681" s="444">
        <f t="shared" ca="1" si="53"/>
        <v>-12324.872495746569</v>
      </c>
      <c r="L681" s="444">
        <f t="shared" ca="1" si="54"/>
        <v>-2970294.2714749235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-2970294.2714749235</v>
      </c>
      <c r="J682" s="444">
        <f t="array" ref="J682">IFERROR(INDEX('Retirement Calculator'!J:J,MATCH('Isaac 401k'!N682,'Retirement Calculator'!A:A,0),0),0)</f>
        <v>8395.6297298201844</v>
      </c>
      <c r="K682" s="444">
        <f t="shared" ca="1" si="53"/>
        <v>-12411.207921686433</v>
      </c>
      <c r="L682" s="444">
        <f t="shared" ca="1" si="54"/>
        <v>-2991101.1091264305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-2991101.1091264305</v>
      </c>
      <c r="J683" s="444">
        <f t="array" ref="J683">IFERROR(INDEX('Retirement Calculator'!J:J,MATCH('Isaac 401k'!N683,'Retirement Calculator'!A:A,0),0),0)</f>
        <v>8395.6297298201844</v>
      </c>
      <c r="K683" s="444">
        <f t="shared" ca="1" si="53"/>
        <v>-12497.903078567711</v>
      </c>
      <c r="L683" s="444">
        <f t="shared" ca="1" si="54"/>
        <v>-3011994.6419348186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-3011994.6419348186</v>
      </c>
      <c r="J684" s="444">
        <f t="array" ref="J684">IFERROR(INDEX('Retirement Calculator'!J:J,MATCH('Isaac 401k'!N684,'Retirement Calculator'!A:A,0),0),0)</f>
        <v>8395.6297298201844</v>
      </c>
      <c r="K684" s="444">
        <f t="shared" ca="1" si="53"/>
        <v>-12584.959465269329</v>
      </c>
      <c r="L684" s="444">
        <f t="shared" ca="1" si="54"/>
        <v>-3032975.2311299085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-3032975.2311299085</v>
      </c>
      <c r="J685" s="444">
        <f t="array" ref="J685">IFERROR(INDEX('Retirement Calculator'!J:J,MATCH('Isaac 401k'!N685,'Retirement Calculator'!A:A,0),0),0)</f>
        <v>8395.6297298201844</v>
      </c>
      <c r="K685" s="444">
        <f t="shared" ca="1" si="53"/>
        <v>-12672.378586915536</v>
      </c>
      <c r="L685" s="444">
        <f t="shared" ca="1" si="54"/>
        <v>-3054043.2394466442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-3054043.2394466442</v>
      </c>
      <c r="J686" s="444">
        <f t="array" ref="J686">IFERROR(INDEX('Retirement Calculator'!J:J,MATCH('Isaac 401k'!N686,'Retirement Calculator'!A:A,0),0),0)</f>
        <v>8395.6297298201844</v>
      </c>
      <c r="K686" s="444">
        <f t="shared" ca="1" si="53"/>
        <v>-12760.161954901936</v>
      </c>
      <c r="L686" s="444">
        <f t="shared" ca="1" si="54"/>
        <v>-3075199.0311313667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-3075199.0311313667</v>
      </c>
      <c r="J687" s="444">
        <f t="array" ref="J687">IFERROR(INDEX('Retirement Calculator'!J:J,MATCH('Isaac 401k'!N687,'Retirement Calculator'!A:A,0),0),0)</f>
        <v>8395.6297298201844</v>
      </c>
      <c r="K687" s="444">
        <f t="shared" ca="1" si="53"/>
        <v>-12848.311086921613</v>
      </c>
      <c r="L687" s="444">
        <f t="shared" ca="1" si="54"/>
        <v>-3096442.9719481086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-3096442.9719481086</v>
      </c>
      <c r="J688" s="444">
        <f t="array" ref="J688">IFERROR(INDEX('Retirement Calculator'!J:J,MATCH('Isaac 401k'!N688,'Retirement Calculator'!A:A,0),0),0)</f>
        <v>8395.6297298201844</v>
      </c>
      <c r="K688" s="444">
        <f t="shared" ca="1" si="53"/>
        <v>-12936.827506991371</v>
      </c>
      <c r="L688" s="444">
        <f t="shared" ca="1" si="54"/>
        <v>-3117775.4291849206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-3117775.4291849206</v>
      </c>
      <c r="J689" s="444">
        <f t="array" ref="J689">IFERROR(INDEX('Retirement Calculator'!J:J,MATCH('Isaac 401k'!N689,'Retirement Calculator'!A:A,0),0),0)</f>
        <v>8395.6297298201844</v>
      </c>
      <c r="K689" s="444">
        <f t="shared" ca="1" si="53"/>
        <v>-13025.712745478088</v>
      </c>
      <c r="L689" s="444">
        <f t="shared" ca="1" si="54"/>
        <v>-3139196.7716602189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-3139196.7716602189</v>
      </c>
      <c r="J690" s="444">
        <f t="array" ref="J690">IFERROR(INDEX('Retirement Calculator'!J:J,MATCH('Isaac 401k'!N690,'Retirement Calculator'!A:A,0),0),0)</f>
        <v>8395.6297298201844</v>
      </c>
      <c r="K690" s="444">
        <f t="shared" ca="1" si="53"/>
        <v>-13114.968339125164</v>
      </c>
      <c r="L690" s="444">
        <f t="shared" ca="1" si="54"/>
        <v>-3160707.3697291645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-3160707.3697291645</v>
      </c>
      <c r="J691" s="444">
        <f t="array" ref="J691">IFERROR(INDEX('Retirement Calculator'!J:J,MATCH('Isaac 401k'!N691,'Retirement Calculator'!A:A,0),0),0)</f>
        <v>8395.6297298201844</v>
      </c>
      <c r="K691" s="444">
        <f t="shared" ca="1" si="53"/>
        <v>-13204.595831079103</v>
      </c>
      <c r="L691" s="444">
        <f t="shared" ca="1" si="54"/>
        <v>-3182307.5952900639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-3182307.5952900639</v>
      </c>
      <c r="J692" s="444">
        <f t="array" ref="J692">IFERROR(INDEX('Retirement Calculator'!J:J,MATCH('Isaac 401k'!N692,'Retirement Calculator'!A:A,0),0),0)</f>
        <v>8395.6297298201844</v>
      </c>
      <c r="K692" s="444">
        <f t="shared" ca="1" si="53"/>
        <v>-13294.596770916185</v>
      </c>
      <c r="L692" s="444">
        <f t="shared" ca="1" si="54"/>
        <v>-3203997.8217908004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-3203997.8217908004</v>
      </c>
      <c r="J693" s="444">
        <f t="array" ref="J693">IFERROR(INDEX('Retirement Calculator'!J:J,MATCH('Isaac 401k'!N693,'Retirement Calculator'!A:A,0),0),0)</f>
        <v>8395.6297298201844</v>
      </c>
      <c r="K693" s="444">
        <f t="shared" ca="1" si="53"/>
        <v>-13384.972714669253</v>
      </c>
      <c r="L693" s="444">
        <f t="shared" ca="1" si="54"/>
        <v>-3225778.4242352899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-3225778.4242352899</v>
      </c>
      <c r="J694" s="444">
        <f t="array" ref="J694">IFERROR(INDEX('Retirement Calculator'!J:J,MATCH('Isaac 401k'!N694,'Retirement Calculator'!A:A,0),0),0)</f>
        <v>8395.6297298201844</v>
      </c>
      <c r="K694" s="444">
        <f t="shared" ca="1" si="53"/>
        <v>-13475.725224854627</v>
      </c>
      <c r="L694" s="444">
        <f t="shared" ca="1" si="54"/>
        <v>-3247649.7791899648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-3247649.7791899648</v>
      </c>
      <c r="J695" s="444">
        <f t="array" ref="J695">IFERROR(INDEX('Retirement Calculator'!J:J,MATCH('Isaac 401k'!N695,'Retirement Calculator'!A:A,0),0),0)</f>
        <v>8395.6297298201844</v>
      </c>
      <c r="K695" s="444">
        <f t="shared" ca="1" si="53"/>
        <v>-13566.855870499105</v>
      </c>
      <c r="L695" s="444">
        <f t="shared" ca="1" si="54"/>
        <v>-3269612.2647902844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-3269612.2647902844</v>
      </c>
      <c r="J696" s="444">
        <f t="array" ref="J696">IFERROR(INDEX('Retirement Calculator'!J:J,MATCH('Isaac 401k'!N696,'Retirement Calculator'!A:A,0),0),0)</f>
        <v>8395.6297298201844</v>
      </c>
      <c r="K696" s="444">
        <f t="shared" ca="1" si="53"/>
        <v>-13658.366227167106</v>
      </c>
      <c r="L696" s="444">
        <f t="shared" ca="1" si="54"/>
        <v>-3291666.2607472721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-3291666.2607472721</v>
      </c>
      <c r="J697" s="444">
        <f t="array" ref="J697">IFERROR(INDEX('Retirement Calculator'!J:J,MATCH('Isaac 401k'!N697,'Retirement Calculator'!A:A,0),0),0)</f>
        <v>8395.6297298201844</v>
      </c>
      <c r="K697" s="444">
        <f t="shared" ca="1" si="53"/>
        <v>-13750.257876987887</v>
      </c>
      <c r="L697" s="444">
        <f t="shared" ca="1" si="54"/>
        <v>-3313812.1483540805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-3313812.1483540805</v>
      </c>
      <c r="J698" s="444">
        <f t="array" ref="J698">IFERROR(INDEX('Retirement Calculator'!J:J,MATCH('Isaac 401k'!N698,'Retirement Calculator'!A:A,0),0),0)</f>
        <v>8395.6297298201844</v>
      </c>
      <c r="K698" s="444">
        <f t="shared" ca="1" si="53"/>
        <v>-13842.532408682922</v>
      </c>
      <c r="L698" s="444">
        <f t="shared" ca="1" si="54"/>
        <v>-3336050.310492584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-3336050.310492584</v>
      </c>
      <c r="J699" s="444">
        <f t="array" ref="J699">IFERROR(INDEX('Retirement Calculator'!J:J,MATCH('Isaac 401k'!N699,'Retirement Calculator'!A:A,0),0),0)</f>
        <v>8395.6297298201844</v>
      </c>
      <c r="K699" s="444">
        <f t="shared" ca="1" si="53"/>
        <v>-13935.191417593351</v>
      </c>
      <c r="L699" s="444">
        <f t="shared" ca="1" si="54"/>
        <v>-3358381.1316399979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-3358381.1316399979</v>
      </c>
      <c r="J700" s="444">
        <f t="array" ref="J700">IFERROR(INDEX('Retirement Calculator'!J:J,MATCH('Isaac 401k'!N700,'Retirement Calculator'!A:A,0),0),0)</f>
        <v>8395.6297298201844</v>
      </c>
      <c r="K700" s="444">
        <f t="shared" ca="1" si="53"/>
        <v>-14028.236505707577</v>
      </c>
      <c r="L700" s="444">
        <f t="shared" ca="1" si="54"/>
        <v>-3380804.9978755261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-3380804.9978755261</v>
      </c>
      <c r="J701" s="444">
        <f t="array" ref="J701">IFERROR(INDEX('Retirement Calculator'!J:J,MATCH('Isaac 401k'!N701,'Retirement Calculator'!A:A,0),0),0)</f>
        <v>8395.6297298201844</v>
      </c>
      <c r="K701" s="444">
        <f t="shared" ca="1" si="53"/>
        <v>-14121.669281688946</v>
      </c>
      <c r="L701" s="444">
        <f t="shared" ca="1" si="54"/>
        <v>-3403322.2968870355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-3403322.2968870355</v>
      </c>
      <c r="J702" s="444">
        <f t="array" ref="J702">IFERROR(INDEX('Retirement Calculator'!J:J,MATCH('Isaac 401k'!N702,'Retirement Calculator'!A:A,0),0),0)</f>
        <v>8395.6297298201844</v>
      </c>
      <c r="K702" s="444">
        <f t="shared" ca="1" si="53"/>
        <v>-14215.491360903567</v>
      </c>
      <c r="L702" s="444">
        <f t="shared" ca="1" si="54"/>
        <v>-3425933.4179777596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-3425933.4179777596</v>
      </c>
      <c r="J703" s="444">
        <f t="array" ref="J703">IFERROR(INDEX('Retirement Calculator'!J:J,MATCH('Isaac 401k'!N703,'Retirement Calculator'!A:A,0),0),0)</f>
        <v>8395.6297298201844</v>
      </c>
      <c r="K703" s="444">
        <f t="shared" ca="1" si="53"/>
        <v>-14309.70436544825</v>
      </c>
      <c r="L703" s="444">
        <f t="shared" ca="1" si="54"/>
        <v>-3448638.7520730281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-3448638.7520730281</v>
      </c>
      <c r="J704" s="444">
        <f t="array" ref="J704">IFERROR(INDEX('Retirement Calculator'!J:J,MATCH('Isaac 401k'!N704,'Retirement Calculator'!A:A,0),0),0)</f>
        <v>8395.6297298201844</v>
      </c>
      <c r="K704" s="444">
        <f t="shared" ca="1" si="53"/>
        <v>-14404.309924178535</v>
      </c>
      <c r="L704" s="444">
        <f t="shared" ca="1" si="54"/>
        <v>-3471438.6917270273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-3471438.6917270273</v>
      </c>
      <c r="J705" s="444">
        <f t="array" ref="J705">IFERROR(INDEX('Retirement Calculator'!J:J,MATCH('Isaac 401k'!N705,'Retirement Calculator'!A:A,0),0),0)</f>
        <v>8395.6297298201844</v>
      </c>
      <c r="K705" s="444">
        <f t="shared" ca="1" si="53"/>
        <v>-14499.309672736865</v>
      </c>
      <c r="L705" s="444">
        <f t="shared" ca="1" si="54"/>
        <v>-3494333.6311295847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-3494333.6311295847</v>
      </c>
      <c r="J706" s="444">
        <f t="array" ref="J706">IFERROR(INDEX('Retirement Calculator'!J:J,MATCH('Isaac 401k'!N706,'Retirement Calculator'!A:A,0),0),0)</f>
        <v>8395.6297298201844</v>
      </c>
      <c r="K706" s="444">
        <f t="shared" ca="1" si="53"/>
        <v>-14594.705253580856</v>
      </c>
      <c r="L706" s="444">
        <f t="shared" ca="1" si="54"/>
        <v>-3517323.9661129862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-3517323.9661129862</v>
      </c>
      <c r="J707" s="444">
        <f t="array" ref="J707">IFERROR(INDEX('Retirement Calculator'!J:J,MATCH('Isaac 401k'!N707,'Retirement Calculator'!A:A,0),0),0)</f>
        <v>8395.6297298201844</v>
      </c>
      <c r="K707" s="444">
        <f t="shared" ca="1" si="53"/>
        <v>-14690.498316011694</v>
      </c>
      <c r="L707" s="444">
        <f t="shared" ca="1" si="54"/>
        <v>-3540410.0941588185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-3540410.0941588185</v>
      </c>
      <c r="J708" s="444">
        <f t="array" ref="J708">IFERROR(INDEX('Retirement Calculator'!J:J,MATCH('Isaac 401k'!N708,'Retirement Calculator'!A:A,0),0),0)</f>
        <v>8395.6297298201844</v>
      </c>
      <c r="K708" s="444">
        <f t="shared" ca="1" si="53"/>
        <v>-14786.690516202661</v>
      </c>
      <c r="L708" s="444">
        <f t="shared" ca="1" si="54"/>
        <v>-3563592.4144048416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-3563592.4144048416</v>
      </c>
      <c r="J709" s="444">
        <f t="array" ref="J709">IFERROR(INDEX('Retirement Calculator'!J:J,MATCH('Isaac 401k'!N709,'Retirement Calculator'!A:A,0),0),0)</f>
        <v>8395.6297298201844</v>
      </c>
      <c r="K709" s="444">
        <f t="shared" ca="1" si="53"/>
        <v>-14883.283517227757</v>
      </c>
      <c r="L709" s="444">
        <f t="shared" ca="1" si="54"/>
        <v>-3586871.32765189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-3586871.32765189</v>
      </c>
      <c r="J710" s="444">
        <f t="array" ref="J710">IFERROR(INDEX('Retirement Calculator'!J:J,MATCH('Isaac 401k'!N710,'Retirement Calculator'!A:A,0),0),0)</f>
        <v>8395.6297298201844</v>
      </c>
      <c r="K710" s="444">
        <f t="shared" ca="1" si="53"/>
        <v>-14980.278989090461</v>
      </c>
      <c r="L710" s="444">
        <f t="shared" ca="1" si="54"/>
        <v>-3610247.236370801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-3610247.236370801</v>
      </c>
      <c r="J711" s="444">
        <f t="array" ref="J711">IFERROR(INDEX('Retirement Calculator'!J:J,MATCH('Isaac 401k'!N711,'Retirement Calculator'!A:A,0),0),0)</f>
        <v>8395.6297298201844</v>
      </c>
      <c r="K711" s="444">
        <f t="shared" ca="1" si="53"/>
        <v>-15077.678608752589</v>
      </c>
      <c r="L711" s="444">
        <f t="shared" ca="1" si="54"/>
        <v>-3633720.5447093742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-3633720.5447093742</v>
      </c>
      <c r="J712" s="444">
        <f t="array" ref="J712">IFERROR(INDEX('Retirement Calculator'!J:J,MATCH('Isaac 401k'!N712,'Retirement Calculator'!A:A,0),0),0)</f>
        <v>8395.6297298201844</v>
      </c>
      <c r="K712" s="444">
        <f t="shared" ca="1" si="53"/>
        <v>-15175.48406016331</v>
      </c>
      <c r="L712" s="444">
        <f t="shared" ca="1" si="54"/>
        <v>-3657291.6584993578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-3657291.6584993578</v>
      </c>
      <c r="J713" s="444">
        <f t="array" ref="J713">IFERROR(INDEX('Retirement Calculator'!J:J,MATCH('Isaac 401k'!N713,'Retirement Calculator'!A:A,0),0),0)</f>
        <v>8395.6297298201844</v>
      </c>
      <c r="K713" s="444">
        <f t="shared" ca="1" si="53"/>
        <v>-15273.697034288241</v>
      </c>
      <c r="L713" s="444">
        <f t="shared" ca="1" si="54"/>
        <v>-3680960.9852634664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-3680960.9852634664</v>
      </c>
      <c r="J714" s="444">
        <f t="array" ref="J714">IFERROR(INDEX('Retirement Calculator'!J:J,MATCH('Isaac 401k'!N714,'Retirement Calculator'!A:A,0),0),0)</f>
        <v>8395.6297298201844</v>
      </c>
      <c r="K714" s="444">
        <f t="shared" ca="1" si="53"/>
        <v>-15372.319229138695</v>
      </c>
      <c r="L714" s="444">
        <f t="shared" ca="1" si="54"/>
        <v>-3704728.9342224253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-3704728.9342224253</v>
      </c>
      <c r="J715" s="444">
        <f t="array" ref="J715">IFERROR(INDEX('Retirement Calculator'!J:J,MATCH('Isaac 401k'!N715,'Retirement Calculator'!A:A,0),0),0)</f>
        <v>8395.6297298201844</v>
      </c>
      <c r="K715" s="444">
        <f t="shared" ca="1" si="53"/>
        <v>-15471.352349801024</v>
      </c>
      <c r="L715" s="444">
        <f t="shared" ca="1" si="54"/>
        <v>-3728595.9163020467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-3728595.9163020467</v>
      </c>
      <c r="J716" s="444">
        <f t="array" ref="J716">IFERROR(INDEX('Retirement Calculator'!J:J,MATCH('Isaac 401k'!N716,'Retirement Calculator'!A:A,0),0),0)</f>
        <v>8395.6297298201844</v>
      </c>
      <c r="K716" s="444">
        <f t="shared" ca="1" si="53"/>
        <v>-15570.798108466113</v>
      </c>
      <c r="L716" s="444">
        <f t="shared" ca="1" si="54"/>
        <v>-3752562.3441403331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-3752562.3441403331</v>
      </c>
      <c r="J717" s="444">
        <f t="array" ref="J717">IFERROR(INDEX('Retirement Calculator'!J:J,MATCH('Isaac 401k'!N717,'Retirement Calculator'!A:A,0),0),0)</f>
        <v>8395.6297298201844</v>
      </c>
      <c r="K717" s="444">
        <f t="shared" ca="1" si="53"/>
        <v>-15670.658224458972</v>
      </c>
      <c r="L717" s="444">
        <f t="shared" ca="1" si="54"/>
        <v>-3776628.6320946123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-3776628.6320946123</v>
      </c>
      <c r="J718" s="444">
        <f t="array" ref="J718">IFERROR(INDEX('Retirement Calculator'!J:J,MATCH('Isaac 401k'!N718,'Retirement Calculator'!A:A,0),0),0)</f>
        <v>8395.6297298201844</v>
      </c>
      <c r="K718" s="444">
        <f t="shared" ca="1" si="53"/>
        <v>-15770.934424268469</v>
      </c>
      <c r="L718" s="444">
        <f t="shared" ca="1" si="54"/>
        <v>-3800795.1962487013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-3800795.1962487013</v>
      </c>
      <c r="J719" s="444">
        <f t="array" ref="J719">IFERROR(INDEX('Retirement Calculator'!J:J,MATCH('Isaac 401k'!N719,'Retirement Calculator'!A:A,0),0),0)</f>
        <v>8395.6297298201844</v>
      </c>
      <c r="K719" s="444">
        <f t="shared" ca="1" si="53"/>
        <v>-15871.628441577172</v>
      </c>
      <c r="L719" s="444">
        <f t="shared" ca="1" si="54"/>
        <v>-3825062.454420099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-3825062.454420099</v>
      </c>
      <c r="J720" s="444">
        <f t="array" ref="J720">IFERROR(INDEX('Retirement Calculator'!J:J,MATCH('Isaac 401k'!N720,'Retirement Calculator'!A:A,0),0),0)</f>
        <v>8395.6297298201844</v>
      </c>
      <c r="K720" s="444">
        <f t="shared" ca="1" si="53"/>
        <v>-15972.742017291333</v>
      </c>
      <c r="L720" s="444">
        <f t="shared" ca="1" si="54"/>
        <v>-3849430.8261672109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-3849430.8261672109</v>
      </c>
      <c r="J721" s="444">
        <f t="array" ref="J721">IFERROR(INDEX('Retirement Calculator'!J:J,MATCH('Isaac 401k'!N721,'Retirement Calculator'!A:A,0),0),0)</f>
        <v>8395.6297298201844</v>
      </c>
      <c r="K721" s="444">
        <f t="shared" ca="1" si="53"/>
        <v>-16074.276899570963</v>
      </c>
      <c r="L721" s="444">
        <f t="shared" ca="1" si="54"/>
        <v>-3873900.7327966024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-3873900.7327966024</v>
      </c>
      <c r="J722" s="444">
        <f t="array" ref="J722">IFERROR(INDEX('Retirement Calculator'!J:J,MATCH('Isaac 401k'!N722,'Retirement Calculator'!A:A,0),0),0)</f>
        <v>8395.6297298201844</v>
      </c>
      <c r="K722" s="444">
        <f t="shared" ca="1" si="53"/>
        <v>-16176.234843860093</v>
      </c>
      <c r="L722" s="444">
        <f t="shared" ca="1" si="54"/>
        <v>-3898472.5973702827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-3898472.5973702827</v>
      </c>
      <c r="J723" s="444">
        <f t="array" ref="J723">IFERROR(INDEX('Retirement Calculator'!J:J,MATCH('Isaac 401k'!N723,'Retirement Calculator'!A:A,0),0),0)</f>
        <v>8395.6297298201844</v>
      </c>
      <c r="K723" s="444">
        <f t="shared" ca="1" si="53"/>
        <v>-16278.617612917094</v>
      </c>
      <c r="L723" s="444">
        <f t="shared" ca="1" si="54"/>
        <v>-3923146.8447130201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-3923146.8447130201</v>
      </c>
      <c r="J724" s="444">
        <f t="array" ref="J724">IFERROR(INDEX('Retirement Calculator'!J:J,MATCH('Isaac 401k'!N724,'Retirement Calculator'!A:A,0),0),0)</f>
        <v>8395.6297298201844</v>
      </c>
      <c r="K724" s="444">
        <f t="shared" ca="1" si="53"/>
        <v>-16381.426976845169</v>
      </c>
      <c r="L724" s="444">
        <f t="shared" ca="1" si="54"/>
        <v>-3947923.9014196857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-3947923.9014196857</v>
      </c>
      <c r="J725" s="444">
        <f t="array" ref="J725">IFERROR(INDEX('Retirement Calculator'!J:J,MATCH('Isaac 401k'!N725,'Retirement Calculator'!A:A,0),0),0)</f>
        <v>8395.6297298201844</v>
      </c>
      <c r="K725" s="444">
        <f t="shared" ca="1" si="53"/>
        <v>-16484.66471312294</v>
      </c>
      <c r="L725" s="444">
        <f t="shared" ca="1" si="54"/>
        <v>-3972804.195862629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-3972804.195862629</v>
      </c>
      <c r="J726" s="444">
        <f t="array" ref="J726">IFERROR(INDEX('Retirement Calculator'!J:J,MATCH('Isaac 401k'!N726,'Retirement Calculator'!A:A,0),0),0)</f>
        <v>8395.6297298201844</v>
      </c>
      <c r="K726" s="444">
        <f t="shared" ca="1" si="53"/>
        <v>-16588.332606635206</v>
      </c>
      <c r="L726" s="444">
        <f t="shared" ca="1" si="54"/>
        <v>-3997788.1581990845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-3997788.1581990845</v>
      </c>
      <c r="J727" s="444">
        <f t="array" ref="J727">IFERROR(INDEX('Retirement Calculator'!J:J,MATCH('Isaac 401k'!N727,'Retirement Calculator'!A:A,0),0),0)</f>
        <v>8395.6297298201844</v>
      </c>
      <c r="K727" s="444">
        <f t="shared" ca="1" si="53"/>
        <v>-16692.432449703771</v>
      </c>
      <c r="L727" s="444">
        <f t="shared" ca="1" si="54"/>
        <v>-4022876.2203786084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-4022876.2203786084</v>
      </c>
      <c r="J728" s="444">
        <f t="array" ref="J728">IFERROR(INDEX('Retirement Calculator'!J:J,MATCH('Isaac 401k'!N728,'Retirement Calculator'!A:A,0),0),0)</f>
        <v>8395.6297298201844</v>
      </c>
      <c r="K728" s="444">
        <f t="shared" ca="1" si="53"/>
        <v>-16796.966042118453</v>
      </c>
      <c r="L728" s="444">
        <f t="shared" ca="1" si="54"/>
        <v>-4048068.8161505475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-4048068.8161505475</v>
      </c>
      <c r="J729" s="444">
        <f t="array" ref="J729">IFERROR(INDEX('Retirement Calculator'!J:J,MATCH('Isaac 401k'!N729,'Retirement Calculator'!A:A,0),0),0)</f>
        <v>8395.6297298201844</v>
      </c>
      <c r="K729" s="444">
        <f t="shared" ca="1" si="53"/>
        <v>-16901.935191168199</v>
      </c>
      <c r="L729" s="444">
        <f t="shared" ca="1" si="54"/>
        <v>-4073366.3810715359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-4073366.3810715359</v>
      </c>
      <c r="J730" s="444">
        <f t="array" ref="J730">IFERROR(INDEX('Retirement Calculator'!J:J,MATCH('Isaac 401k'!N730,'Retirement Calculator'!A:A,0),0),0)</f>
        <v>8395.6297298201844</v>
      </c>
      <c r="K730" s="444">
        <f t="shared" ca="1" si="53"/>
        <v>-17007.341711672321</v>
      </c>
      <c r="L730" s="444">
        <f t="shared" ca="1" si="54"/>
        <v>-4098769.3525130288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-4098769.3525130288</v>
      </c>
      <c r="J731" s="444">
        <f t="array" ref="J731">IFERROR(INDEX('Retirement Calculator'!J:J,MATCH('Isaac 401k'!N731,'Retirement Calculator'!A:A,0),0),0)</f>
        <v>8395.6297298201844</v>
      </c>
      <c r="K731" s="444">
        <f t="shared" ca="1" si="53"/>
        <v>-17113.187426011871</v>
      </c>
      <c r="L731" s="444">
        <f t="shared" ca="1" si="54"/>
        <v>-4124278.1696688612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-4124278.1696688612</v>
      </c>
      <c r="J732" s="444">
        <f t="array" ref="J732">IFERROR(INDEX('Retirement Calculator'!J:J,MATCH('Isaac 401k'!N732,'Retirement Calculator'!A:A,0),0),0)</f>
        <v>8395.6297298201844</v>
      </c>
      <c r="K732" s="444">
        <f t="shared" ca="1" si="53"/>
        <v>-17219.474164161173</v>
      </c>
      <c r="L732" s="444">
        <f t="shared" ca="1" si="54"/>
        <v>-4149893.273562843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-4149893.273562843</v>
      </c>
      <c r="J733" s="444">
        <f t="array" ref="J733">IFERROR(INDEX('Retirement Calculator'!J:J,MATCH('Isaac 401k'!N733,'Retirement Calculator'!A:A,0),0),0)</f>
        <v>8395.6297298201844</v>
      </c>
      <c r="K733" s="444">
        <f t="shared" ca="1" si="53"/>
        <v>-17326.20376371943</v>
      </c>
      <c r="L733" s="444">
        <f t="shared" ca="1" si="54"/>
        <v>-4175615.107056383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-4175615.107056383</v>
      </c>
      <c r="J734" s="444">
        <f t="array" ref="J734">IFERROR(INDEX('Retirement Calculator'!J:J,MATCH('Isaac 401k'!N734,'Retirement Calculator'!A:A,0),0),0)</f>
        <v>8395.6297298201844</v>
      </c>
      <c r="K734" s="444">
        <f t="shared" ca="1" si="53"/>
        <v>-17433.378069942512</v>
      </c>
      <c r="L734" s="444">
        <f t="shared" ca="1" si="54"/>
        <v>-4201444.1148561463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-4201444.1148561463</v>
      </c>
      <c r="J735" s="444">
        <f t="array" ref="J735">IFERROR(INDEX('Retirement Calculator'!J:J,MATCH('Isaac 401k'!N735,'Retirement Calculator'!A:A,0),0),0)</f>
        <v>8395.6297298201844</v>
      </c>
      <c r="K735" s="444">
        <f t="shared" ca="1" si="53"/>
        <v>-17540.99893577486</v>
      </c>
      <c r="L735" s="444">
        <f t="shared" ca="1" si="54"/>
        <v>-4227380.7435217416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-4227380.7435217416</v>
      </c>
      <c r="J736" s="444">
        <f t="array" ref="J736">IFERROR(INDEX('Retirement Calculator'!J:J,MATCH('Isaac 401k'!N736,'Retirement Calculator'!A:A,0),0),0)</f>
        <v>8395.6297298201844</v>
      </c>
      <c r="K736" s="444">
        <f t="shared" ca="1" si="53"/>
        <v>-17649.068221881509</v>
      </c>
      <c r="L736" s="444">
        <f t="shared" ca="1" si="54"/>
        <v>-4253425.4414734431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-4253425.4414734431</v>
      </c>
      <c r="J737" s="444">
        <f t="array" ref="J737">IFERROR(INDEX('Retirement Calculator'!J:J,MATCH('Isaac 401k'!N737,'Retirement Calculator'!A:A,0),0),0)</f>
        <v>8395.6297298201844</v>
      </c>
      <c r="K737" s="444">
        <f t="shared" ca="1" si="53"/>
        <v>-17757.587796680265</v>
      </c>
      <c r="L737" s="444">
        <f t="shared" ca="1" si="54"/>
        <v>-4279578.6589999441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-4279578.6589999441</v>
      </c>
      <c r="J738" s="444">
        <f t="array" ref="J738">IFERROR(INDEX('Retirement Calculator'!J:J,MATCH('Isaac 401k'!N738,'Retirement Calculator'!A:A,0),0),0)</f>
        <v>8395.6297298201844</v>
      </c>
      <c r="K738" s="444">
        <f t="shared" ca="1" si="53"/>
        <v>-17866.559536374018</v>
      </c>
      <c r="L738" s="444">
        <f t="shared" ca="1" si="54"/>
        <v>-4305840.8482661387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-4305840.8482661387</v>
      </c>
      <c r="J739" s="444">
        <f t="array" ref="J739">IFERROR(INDEX('Retirement Calculator'!J:J,MATCH('Isaac 401k'!N739,'Retirement Calculator'!A:A,0),0),0)</f>
        <v>8395.6297298201844</v>
      </c>
      <c r="K739" s="444">
        <f t="shared" ca="1" si="53"/>
        <v>-17975.985324983161</v>
      </c>
      <c r="L739" s="444">
        <f t="shared" ca="1" si="54"/>
        <v>-4332212.4633209426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-4332212.4633209426</v>
      </c>
      <c r="J740" s="444">
        <f t="array" ref="J740">IFERROR(INDEX('Retirement Calculator'!J:J,MATCH('Isaac 401k'!N740,'Retirement Calculator'!A:A,0),0),0)</f>
        <v>8395.6297298201844</v>
      </c>
      <c r="K740" s="444">
        <f t="shared" ca="1" si="53"/>
        <v>-18085.867054378177</v>
      </c>
      <c r="L740" s="444">
        <f t="shared" ca="1" si="54"/>
        <v>-4358693.9601051416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-4358693.9601051416</v>
      </c>
      <c r="J741" s="444">
        <f t="array" ref="J741">IFERROR(INDEX('Retirement Calculator'!J:J,MATCH('Isaac 401k'!N741,'Retirement Calculator'!A:A,0),0),0)</f>
        <v>8395.6297298201844</v>
      </c>
      <c r="K741" s="444">
        <f t="shared" ca="1" si="53"/>
        <v>-18196.206624312341</v>
      </c>
      <c r="L741" s="444">
        <f t="shared" ca="1" si="54"/>
        <v>-4385285.7964592744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-4385285.7964592744</v>
      </c>
      <c r="J742" s="444">
        <f t="array" ref="J742">IFERROR(INDEX('Retirement Calculator'!J:J,MATCH('Isaac 401k'!N742,'Retirement Calculator'!A:A,0),0),0)</f>
        <v>8395.6297298201844</v>
      </c>
      <c r="K742" s="444">
        <f t="shared" ca="1" si="53"/>
        <v>-18307.005942454562</v>
      </c>
      <c r="L742" s="444">
        <f t="shared" ca="1" si="54"/>
        <v>-4411988.4321315493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-4411988.4321315493</v>
      </c>
      <c r="J743" s="444">
        <f t="array" ref="J743">IFERROR(INDEX('Retirement Calculator'!J:J,MATCH('Isaac 401k'!N743,'Retirement Calculator'!A:A,0),0),0)</f>
        <v>8395.6297298201844</v>
      </c>
      <c r="K743" s="444">
        <f t="shared" ca="1" si="53"/>
        <v>-18418.266924422373</v>
      </c>
      <c r="L743" s="444">
        <f t="shared" ca="1" si="54"/>
        <v>-4438802.328785792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-4438802.328785792</v>
      </c>
      <c r="J744" s="444">
        <f t="array" ref="J744">IFERROR(INDEX('Retirement Calculator'!J:J,MATCH('Isaac 401k'!N744,'Retirement Calculator'!A:A,0),0),0)</f>
        <v>8395.6297298201844</v>
      </c>
      <c r="K744" s="444">
        <f t="shared" ca="1" si="53"/>
        <v>-18529.99149381505</v>
      </c>
      <c r="L744" s="444">
        <f t="shared" ca="1" si="54"/>
        <v>-4465727.950009427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-4465727.950009427</v>
      </c>
      <c r="J745" s="444">
        <f t="array" ref="J745">IFERROR(INDEX('Retirement Calculator'!J:J,MATCH('Isaac 401k'!N745,'Retirement Calculator'!A:A,0),0),0)</f>
        <v>8395.6297298201844</v>
      </c>
      <c r="K745" s="444">
        <f t="shared" ca="1" si="53"/>
        <v>-18642.181582246863</v>
      </c>
      <c r="L745" s="444">
        <f t="shared" ca="1" si="54"/>
        <v>-4492765.7613214944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-4492765.7613214944</v>
      </c>
      <c r="J746" s="444">
        <f t="array" ref="J746">IFERROR(INDEX('Retirement Calculator'!J:J,MATCH('Isaac 401k'!N746,'Retirement Calculator'!A:A,0),0),0)</f>
        <v>8395.6297298201844</v>
      </c>
      <c r="K746" s="444">
        <f t="shared" ca="1" si="53"/>
        <v>-18754.839129380478</v>
      </c>
      <c r="L746" s="444">
        <f t="shared" ca="1" si="54"/>
        <v>-4519916.2301806957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-4519916.2301806957</v>
      </c>
      <c r="J747" s="444">
        <f t="array" ref="J747">IFERROR(INDEX('Retirement Calculator'!J:J,MATCH('Isaac 401k'!N747,'Retirement Calculator'!A:A,0),0),0)</f>
        <v>8395.6297298201844</v>
      </c>
      <c r="K747" s="444">
        <f t="shared" ca="1" si="53"/>
        <v>-18867.966082960484</v>
      </c>
      <c r="L747" s="444">
        <f t="shared" ca="1" si="54"/>
        <v>-4547179.8259934764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-4547179.8259934764</v>
      </c>
      <c r="J748" s="444">
        <f t="array" ref="J748">IFERROR(INDEX('Retirement Calculator'!J:J,MATCH('Isaac 401k'!N748,'Retirement Calculator'!A:A,0),0),0)</f>
        <v>8395.6297298201844</v>
      </c>
      <c r="K748" s="444">
        <f t="shared" ca="1" si="53"/>
        <v>-18981.564398847069</v>
      </c>
      <c r="L748" s="444">
        <f t="shared" ca="1" si="54"/>
        <v>-4574557.0201221444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-4574557.0201221444</v>
      </c>
      <c r="J749" s="444">
        <f t="array" ref="J749">IFERROR(INDEX('Retirement Calculator'!J:J,MATCH('Isaac 401k'!N749,'Retirement Calculator'!A:A,0),0),0)</f>
        <v>8395.6297298201844</v>
      </c>
      <c r="K749" s="444">
        <f t="shared" ca="1" si="53"/>
        <v>-19095.636041049853</v>
      </c>
      <c r="L749" s="444">
        <f t="shared" ca="1" si="54"/>
        <v>-4602048.2858930146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-4602048.2858930146</v>
      </c>
      <c r="J750" s="444">
        <f t="array" ref="J750">IFERROR(INDEX('Retirement Calculator'!J:J,MATCH('Isaac 401k'!N750,'Retirement Calculator'!A:A,0),0),0)</f>
        <v>8395.6297298201844</v>
      </c>
      <c r="K750" s="444">
        <f t="shared" ca="1" si="53"/>
        <v>-19210.182981761813</v>
      </c>
      <c r="L750" s="444">
        <f t="shared" ca="1" si="54"/>
        <v>-4629654.0986045972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-4629654.0986045972</v>
      </c>
      <c r="J751" s="444">
        <f t="array" ref="J751">IFERROR(INDEX('Retirement Calculator'!J:J,MATCH('Isaac 401k'!N751,'Retirement Calculator'!A:A,0),0),0)</f>
        <v>8395.6297298201844</v>
      </c>
      <c r="K751" s="444">
        <f t="shared" ca="1" si="53"/>
        <v>-19325.207201393405</v>
      </c>
      <c r="L751" s="444">
        <f t="shared" ca="1" si="54"/>
        <v>-4657374.9355358109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-4657374.9355358109</v>
      </c>
      <c r="J752" s="444">
        <f t="array" ref="J752">IFERROR(INDEX('Retirement Calculator'!J:J,MATCH('Isaac 401k'!N752,'Retirement Calculator'!A:A,0),0),0)</f>
        <v>8395.6297298201844</v>
      </c>
      <c r="K752" s="444">
        <f t="shared" ca="1" si="53"/>
        <v>-19440.710688606796</v>
      </c>
      <c r="L752" s="444">
        <f t="shared" ca="1" si="54"/>
        <v>-4685211.2759542381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-4685211.2759542381</v>
      </c>
      <c r="J753" s="444">
        <f t="array" ref="J753">IFERROR(INDEX('Retirement Calculator'!J:J,MATCH('Isaac 401k'!N753,'Retirement Calculator'!A:A,0),0),0)</f>
        <v>8395.6297298201844</v>
      </c>
      <c r="K753" s="444">
        <f t="shared" ca="1" si="53"/>
        <v>-19556.695440350242</v>
      </c>
      <c r="L753" s="444">
        <f t="shared" ca="1" si="54"/>
        <v>-4713163.6011244087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-4713163.6011244087</v>
      </c>
      <c r="J754" s="444">
        <f t="array" ref="J754">IFERROR(INDEX('Retirement Calculator'!J:J,MATCH('Isaac 401k'!N754,'Retirement Calculator'!A:A,0),0),0)</f>
        <v>8395.6297298201844</v>
      </c>
      <c r="K754" s="444">
        <f t="shared" ca="1" si="53"/>
        <v>-19673.163461892622</v>
      </c>
      <c r="L754" s="444">
        <f t="shared" ca="1" si="54"/>
        <v>-4741232.3943161219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-4741232.3943161219</v>
      </c>
      <c r="J755" s="444">
        <f t="array" ref="J755">IFERROR(INDEX('Retirement Calculator'!J:J,MATCH('Isaac 401k'!N755,'Retirement Calculator'!A:A,0),0),0)</f>
        <v>8395.6297298201844</v>
      </c>
      <c r="K755" s="444">
        <f t="shared" ca="1" si="53"/>
        <v>-19790.116766858093</v>
      </c>
      <c r="L755" s="444">
        <f t="shared" ca="1" si="54"/>
        <v>-4769418.1408128003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-4769418.1408128003</v>
      </c>
      <c r="J756" s="444">
        <f t="array" ref="J756">IFERROR(INDEX('Retirement Calculator'!J:J,MATCH('Isaac 401k'!N756,'Retirement Calculator'!A:A,0),0),0)</f>
        <v>8395.6297298201844</v>
      </c>
      <c r="K756" s="444">
        <f t="shared" ca="1" si="53"/>
        <v>-19907.55737726092</v>
      </c>
      <c r="L756" s="444">
        <f t="shared" ca="1" si="54"/>
        <v>-4797721.3279198818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-4797721.3279198818</v>
      </c>
      <c r="J757" s="444">
        <f t="array" ref="J757">IFERROR(INDEX('Retirement Calculator'!J:J,MATCH('Isaac 401k'!N757,'Retirement Calculator'!A:A,0),0),0)</f>
        <v>8395.6297298201844</v>
      </c>
      <c r="K757" s="444">
        <f t="shared" ca="1" si="53"/>
        <v>-20025.487323540427</v>
      </c>
      <c r="L757" s="444">
        <f t="shared" ca="1" si="54"/>
        <v>-4826142.4449732425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-4826142.4449732425</v>
      </c>
      <c r="J758" s="444">
        <f t="array" ref="J758">IFERROR(INDEX('Retirement Calculator'!J:J,MATCH('Isaac 401k'!N758,'Retirement Calculator'!A:A,0),0),0)</f>
        <v>8395.6297298201844</v>
      </c>
      <c r="K758" s="444">
        <f t="shared" ca="1" si="53"/>
        <v>-20143.908644596097</v>
      </c>
      <c r="L758" s="444">
        <f t="shared" ca="1" si="54"/>
        <v>-4854681.983347659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-4854681.983347659</v>
      </c>
      <c r="J759" s="444">
        <f t="array" ref="J759">IFERROR(INDEX('Retirement Calculator'!J:J,MATCH('Isaac 401k'!N759,'Retirement Calculator'!A:A,0),0),0)</f>
        <v>8395.6297298201844</v>
      </c>
      <c r="K759" s="444">
        <f t="shared" ca="1" si="53"/>
        <v>-20262.823387822831</v>
      </c>
      <c r="L759" s="444">
        <f t="shared" ca="1" si="54"/>
        <v>-4883340.4364653025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-4883340.4364653025</v>
      </c>
      <c r="J760" s="444">
        <f t="array" ref="J760">IFERROR(INDEX('Retirement Calculator'!J:J,MATCH('Isaac 401k'!N760,'Retirement Calculator'!A:A,0),0),0)</f>
        <v>8395.6297298201844</v>
      </c>
      <c r="K760" s="444">
        <f t="shared" ca="1" si="53"/>
        <v>-20382.233609146344</v>
      </c>
      <c r="L760" s="444">
        <f t="shared" ca="1" si="54"/>
        <v>-4912118.2998042693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-4912118.2998042693</v>
      </c>
      <c r="J761" s="444">
        <f t="array" ref="J761">IFERROR(INDEX('Retirement Calculator'!J:J,MATCH('Isaac 401k'!N761,'Retirement Calculator'!A:A,0),0),0)</f>
        <v>8395.6297298201844</v>
      </c>
      <c r="K761" s="444">
        <f t="shared" ca="1" si="53"/>
        <v>-20502.141373058708</v>
      </c>
      <c r="L761" s="444">
        <f t="shared" ca="1" si="54"/>
        <v>-4941016.0709071485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-4941016.0709071485</v>
      </c>
      <c r="J762" s="444">
        <f t="array" ref="J762">IFERROR(INDEX('Retirement Calculator'!J:J,MATCH('Isaac 401k'!N762,'Retirement Calculator'!A:A,0),0),0)</f>
        <v>8395.6297298201844</v>
      </c>
      <c r="K762" s="444">
        <f t="shared" ca="1" si="53"/>
        <v>-20622.548752654038</v>
      </c>
      <c r="L762" s="444">
        <f t="shared" ca="1" si="54"/>
        <v>-4970034.2493896233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-4970034.2493896233</v>
      </c>
      <c r="J763" s="444">
        <f t="array" ref="J763">IFERROR(INDEX('Retirement Calculator'!J:J,MATCH('Isaac 401k'!N763,'Retirement Calculator'!A:A,0),0),0)</f>
        <v>8395.6297298201844</v>
      </c>
      <c r="K763" s="444">
        <f t="shared" ca="1" si="53"/>
        <v>-20743.457829664349</v>
      </c>
      <c r="L763" s="444">
        <f t="shared" ca="1" si="54"/>
        <v>-4999173.3369491082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-4999173.3369491082</v>
      </c>
      <c r="J764" s="444">
        <f t="array" ref="J764">IFERROR(INDEX('Retirement Calculator'!J:J,MATCH('Isaac 401k'!N764,'Retirement Calculator'!A:A,0),0),0)</f>
        <v>8395.6297298201844</v>
      </c>
      <c r="K764" s="444">
        <f t="shared" ca="1" si="53"/>
        <v>-20864.870694495534</v>
      </c>
      <c r="L764" s="444">
        <f t="shared" ca="1" si="54"/>
        <v>-5028433.8373734243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-5028433.8373734243</v>
      </c>
      <c r="J765" s="444">
        <f t="array" ref="J765">IFERROR(INDEX('Retirement Calculator'!J:J,MATCH('Isaac 401k'!N765,'Retirement Calculator'!A:A,0),0),0)</f>
        <v>8395.6297298201844</v>
      </c>
      <c r="K765" s="444">
        <f t="shared" ca="1" si="53"/>
        <v>-20986.789446263519</v>
      </c>
      <c r="L765" s="444">
        <f t="shared" ca="1" si="54"/>
        <v>-5057816.2565495083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-5057816.2565495083</v>
      </c>
      <c r="J766" s="444">
        <f t="array" ref="J766">IFERROR(INDEX('Retirement Calculator'!J:J,MATCH('Isaac 401k'!N766,'Retirement Calculator'!A:A,0),0),0)</f>
        <v>8395.6297298201844</v>
      </c>
      <c r="K766" s="444">
        <f t="shared" ca="1" si="53"/>
        <v>-21109.216192830536</v>
      </c>
      <c r="L766" s="444">
        <f t="shared" ca="1" si="54"/>
        <v>-5087321.1024721591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-5087321.1024721591</v>
      </c>
      <c r="J767" s="444">
        <f t="array" ref="J767">IFERROR(INDEX('Retirement Calculator'!J:J,MATCH('Isaac 401k'!N767,'Retirement Calculator'!A:A,0),0),0)</f>
        <v>8395.6297298201844</v>
      </c>
      <c r="K767" s="444">
        <f t="shared" ca="1" si="53"/>
        <v>-21232.153050841582</v>
      </c>
      <c r="L767" s="444">
        <f t="shared" ca="1" si="54"/>
        <v>-5116948.8852528213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-5116948.8852528213</v>
      </c>
      <c r="J768" s="444">
        <f t="array" ref="J768">IFERROR(INDEX('Retirement Calculator'!J:J,MATCH('Isaac 401k'!N768,'Retirement Calculator'!A:A,0),0),0)</f>
        <v>8395.6297298201844</v>
      </c>
      <c r="K768" s="444">
        <f t="shared" ca="1" si="53"/>
        <v>-21355.602145761008</v>
      </c>
      <c r="L768" s="444">
        <f t="shared" ca="1" si="54"/>
        <v>-5146700.1171284029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-5146700.1171284029</v>
      </c>
      <c r="J769" s="444">
        <f t="array" ref="J769">IFERROR(INDEX('Retirement Calculator'!J:J,MATCH('Isaac 401k'!N769,'Retirement Calculator'!A:A,0),0),0)</f>
        <v>8395.6297298201844</v>
      </c>
      <c r="K769" s="444">
        <f t="shared" ca="1" si="53"/>
        <v>-21479.565611909264</v>
      </c>
      <c r="L769" s="444">
        <f t="shared" ca="1" si="54"/>
        <v>-5176575.3124701325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-5176575.3124701325</v>
      </c>
      <c r="J770" s="444">
        <f t="array" ref="J770">IFERROR(INDEX('Retirement Calculator'!J:J,MATCH('Isaac 401k'!N770,'Retirement Calculator'!A:A,0),0),0)</f>
        <v>8395.6297298201844</v>
      </c>
      <c r="K770" s="444">
        <f t="shared" ca="1" si="53"/>
        <v>-21604.045592499802</v>
      </c>
      <c r="L770" s="444">
        <f t="shared" ca="1" si="54"/>
        <v>-5206574.9877924528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-5206574.9877924528</v>
      </c>
      <c r="J771" s="444">
        <f t="array" ref="J771">IFERROR(INDEX('Retirement Calculator'!J:J,MATCH('Isaac 401k'!N771,'Retirement Calculator'!A:A,0),0),0)</f>
        <v>8395.6297298201844</v>
      </c>
      <c r="K771" s="444">
        <f t="shared" ca="1" si="53"/>
        <v>-21729.044239676139</v>
      </c>
      <c r="L771" s="444">
        <f t="shared" ca="1" si="54"/>
        <v>-5236699.6617619498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-5236699.6617619498</v>
      </c>
      <c r="J772" s="444">
        <f t="array" ref="J772">IFERROR(INDEX('Retirement Calculator'!J:J,MATCH('Isaac 401k'!N772,'Retirement Calculator'!A:A,0),0),0)</f>
        <v>8395.6297298201844</v>
      </c>
      <c r="K772" s="444">
        <f t="shared" ca="1" si="53"/>
        <v>-21854.563714549044</v>
      </c>
      <c r="L772" s="444">
        <f t="shared" ca="1" si="54"/>
        <v>-5266949.8552063191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-5266949.8552063191</v>
      </c>
      <c r="J773" s="444">
        <f t="array" ref="J773">IFERROR(INDEX('Retirement Calculator'!J:J,MATCH('Isaac 401k'!N773,'Retirement Calculator'!A:A,0),0),0)</f>
        <v>8395.6297298201844</v>
      </c>
      <c r="K773" s="444">
        <f t="shared" ref="K773:K1027" ca="1" si="79">IPMT(M773/12,1,12,-I773+J773,,0)</f>
        <v>-21980.606187233916</v>
      </c>
      <c r="L773" s="444">
        <f t="shared" ref="L773:L1027" ca="1" si="80">I773-J773+K773</f>
        <v>-5297326.0911233732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-5297326.0911233732</v>
      </c>
      <c r="J774" s="444">
        <f t="array" ref="J774">IFERROR(INDEX('Retirement Calculator'!J:J,MATCH('Isaac 401k'!N774,'Retirement Calculator'!A:A,0),0),0)</f>
        <v>8395.6297298201844</v>
      </c>
      <c r="K774" s="444">
        <f t="shared" ca="1" si="79"/>
        <v>-22107.173836888305</v>
      </c>
      <c r="L774" s="444">
        <f t="shared" ca="1" si="80"/>
        <v>-5327828.8946900824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-5327828.8946900824</v>
      </c>
      <c r="J775" s="444">
        <f t="array" ref="J775">IFERROR(INDEX('Retirement Calculator'!J:J,MATCH('Isaac 401k'!N775,'Retirement Calculator'!A:A,0),0),0)</f>
        <v>8395.6297298201844</v>
      </c>
      <c r="K775" s="444">
        <f t="shared" ca="1" si="79"/>
        <v>-22234.268851749595</v>
      </c>
      <c r="L775" s="444">
        <f t="shared" ca="1" si="80"/>
        <v>-5358458.7932716524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-5358458.7932716524</v>
      </c>
      <c r="J776" s="444">
        <f t="array" ref="J776">IFERROR(INDEX('Retirement Calculator'!J:J,MATCH('Isaac 401k'!N776,'Retirement Calculator'!A:A,0),0),0)</f>
        <v>8395.6297298201844</v>
      </c>
      <c r="K776" s="444">
        <f t="shared" ca="1" si="79"/>
        <v>-22361.893429172804</v>
      </c>
      <c r="L776" s="444">
        <f t="shared" ca="1" si="80"/>
        <v>-5389216.316430646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-5389216.316430646</v>
      </c>
      <c r="J777" s="444">
        <f t="array" ref="J777">IFERROR(INDEX('Retirement Calculator'!J:J,MATCH('Isaac 401k'!N777,'Retirement Calculator'!A:A,0),0),0)</f>
        <v>8395.6297298201844</v>
      </c>
      <c r="K777" s="444">
        <f t="shared" ca="1" si="79"/>
        <v>-22490.049775668609</v>
      </c>
      <c r="L777" s="444">
        <f t="shared" ca="1" si="80"/>
        <v>-5420101.9959361348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-5420101.9959361348</v>
      </c>
      <c r="J778" s="444">
        <f t="array" ref="J778">IFERROR(INDEX('Retirement Calculator'!J:J,MATCH('Isaac 401k'!N778,'Retirement Calculator'!A:A,0),0),0)</f>
        <v>8395.6297298201844</v>
      </c>
      <c r="K778" s="444">
        <f t="shared" ca="1" si="79"/>
        <v>-22618.740106941481</v>
      </c>
      <c r="L778" s="444">
        <f t="shared" ca="1" si="80"/>
        <v>-5451116.3657728964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-5451116.3657728964</v>
      </c>
      <c r="J779" s="444">
        <f t="array" ref="J779">IFERROR(INDEX('Retirement Calculator'!J:J,MATCH('Isaac 401k'!N779,'Retirement Calculator'!A:A,0),0),0)</f>
        <v>8395.6297298201844</v>
      </c>
      <c r="K779" s="444">
        <f t="shared" ca="1" si="79"/>
        <v>-22747.966647927988</v>
      </c>
      <c r="L779" s="444">
        <f t="shared" ca="1" si="80"/>
        <v>-5482259.9621506445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-5482259.9621506445</v>
      </c>
      <c r="J780" s="444">
        <f t="array" ref="J780">IFERROR(INDEX('Retirement Calculator'!J:J,MATCH('Isaac 401k'!N780,'Retirement Calculator'!A:A,0),0),0)</f>
        <v>8395.6297298201844</v>
      </c>
      <c r="K780" s="444">
        <f t="shared" ca="1" si="79"/>
        <v>-22877.731632835272</v>
      </c>
      <c r="L780" s="444">
        <f t="shared" ca="1" si="80"/>
        <v>-5513533.3235133002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-5513533.3235133002</v>
      </c>
      <c r="J781" s="444">
        <f t="array" ref="J781">IFERROR(INDEX('Retirement Calculator'!J:J,MATCH('Isaac 401k'!N781,'Retirement Calculator'!A:A,0),0),0)</f>
        <v>8395.6297298201844</v>
      </c>
      <c r="K781" s="444">
        <f t="shared" ca="1" si="79"/>
        <v>-23008.037305179671</v>
      </c>
      <c r="L781" s="444">
        <f t="shared" ca="1" si="80"/>
        <v>-5544936.9905483006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-5544936.9905483006</v>
      </c>
      <c r="J782" s="444">
        <f t="array" ref="J782">IFERROR(INDEX('Retirement Calculator'!J:J,MATCH('Isaac 401k'!N782,'Retirement Calculator'!A:A,0),0),0)</f>
        <v>8395.6297298201844</v>
      </c>
      <c r="K782" s="444">
        <f t="shared" ca="1" si="79"/>
        <v>-23138.885917825504</v>
      </c>
      <c r="L782" s="444">
        <f t="shared" ca="1" si="80"/>
        <v>-5576471.5061959466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-5576471.5061959466</v>
      </c>
      <c r="J783" s="444">
        <f t="array" ref="J783">IFERROR(INDEX('Retirement Calculator'!J:J,MATCH('Isaac 401k'!N783,'Retirement Calculator'!A:A,0),0),0)</f>
        <v>8395.6297298201844</v>
      </c>
      <c r="K783" s="444">
        <f t="shared" ca="1" si="79"/>
        <v>-23270.279733024028</v>
      </c>
      <c r="L783" s="444">
        <f t="shared" ca="1" si="80"/>
        <v>-5608137.4156587906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-5608137.4156587906</v>
      </c>
      <c r="J784" s="444">
        <f t="array" ref="J784">IFERROR(INDEX('Retirement Calculator'!J:J,MATCH('Isaac 401k'!N784,'Retirement Calculator'!A:A,0),0),0)</f>
        <v>8395.6297298201844</v>
      </c>
      <c r="K784" s="444">
        <f t="shared" ca="1" si="79"/>
        <v>-23402.221022452544</v>
      </c>
      <c r="L784" s="444">
        <f t="shared" ca="1" si="80"/>
        <v>-5639935.2664110633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-5639935.2664110633</v>
      </c>
      <c r="J785" s="444">
        <f t="array" ref="J785">IFERROR(INDEX('Retirement Calculator'!J:J,MATCH('Isaac 401k'!N785,'Retirement Calculator'!A:A,0),0),0)</f>
        <v>8395.6297298201844</v>
      </c>
      <c r="K785" s="444">
        <f t="shared" ca="1" si="79"/>
        <v>-23534.71206725368</v>
      </c>
      <c r="L785" s="444">
        <f t="shared" ca="1" si="80"/>
        <v>-5671865.6082081376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-5671865.6082081376</v>
      </c>
      <c r="J786" s="444">
        <f t="array" ref="J786">IFERROR(INDEX('Retirement Calculator'!J:J,MATCH('Isaac 401k'!N786,'Retirement Calculator'!A:A,0),0),0)</f>
        <v>8395.6297298201844</v>
      </c>
      <c r="K786" s="444">
        <f t="shared" ca="1" si="79"/>
        <v>-23667.755158074826</v>
      </c>
      <c r="L786" s="444">
        <f t="shared" ca="1" si="80"/>
        <v>-5703928.9930960331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-5703928.9930960331</v>
      </c>
      <c r="J787" s="444">
        <f t="array" ref="J787">IFERROR(INDEX('Retirement Calculator'!J:J,MATCH('Isaac 401k'!N787,'Retirement Calculator'!A:A,0),0),0)</f>
        <v>8395.6297298201844</v>
      </c>
      <c r="K787" s="444">
        <f t="shared" ca="1" si="79"/>
        <v>-23801.352595107724</v>
      </c>
      <c r="L787" s="444">
        <f t="shared" ca="1" si="80"/>
        <v>-5736125.9754209612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-5736125.9754209612</v>
      </c>
      <c r="J788" s="444">
        <f t="array" ref="J788">IFERROR(INDEX('Retirement Calculator'!J:J,MATCH('Isaac 401k'!N788,'Retirement Calculator'!A:A,0),0),0)</f>
        <v>8395.6297298201844</v>
      </c>
      <c r="K788" s="444">
        <f t="shared" ca="1" si="79"/>
        <v>-23935.506688128255</v>
      </c>
      <c r="L788" s="444">
        <f t="shared" ca="1" si="80"/>
        <v>-5768457.1118389098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-5768457.1118389098</v>
      </c>
      <c r="J789" s="444">
        <f t="array" ref="J789">IFERROR(INDEX('Retirement Calculator'!J:J,MATCH('Isaac 401k'!N789,'Retirement Calculator'!A:A,0),0),0)</f>
        <v>8395.6297298201844</v>
      </c>
      <c r="K789" s="444">
        <f t="shared" ca="1" si="79"/>
        <v>-24070.219756536375</v>
      </c>
      <c r="L789" s="444">
        <f t="shared" ca="1" si="80"/>
        <v>-5800922.9613252664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-5800922.9613252664</v>
      </c>
      <c r="J790" s="444">
        <f t="array" ref="J790">IFERROR(INDEX('Retirement Calculator'!J:J,MATCH('Isaac 401k'!N790,'Retirement Calculator'!A:A,0),0),0)</f>
        <v>8395.6297298201844</v>
      </c>
      <c r="K790" s="444">
        <f t="shared" ca="1" si="79"/>
        <v>-24205.494129396197</v>
      </c>
      <c r="L790" s="444">
        <f t="shared" ca="1" si="80"/>
        <v>-5833524.0851844829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-5833524.0851844829</v>
      </c>
      <c r="J791" s="444">
        <f t="array" ref="J791">IFERROR(INDEX('Retirement Calculator'!J:J,MATCH('Isaac 401k'!N791,'Retirement Calculator'!A:A,0),0),0)</f>
        <v>8395.6297298201844</v>
      </c>
      <c r="K791" s="444">
        <f t="shared" ca="1" si="79"/>
        <v>-24341.332145476263</v>
      </c>
      <c r="L791" s="444">
        <f t="shared" ca="1" si="80"/>
        <v>-5866261.04705978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-5866261.04705978</v>
      </c>
      <c r="J792" s="444">
        <f t="array" ref="J792">IFERROR(INDEX('Retirement Calculator'!J:J,MATCH('Isaac 401k'!N792,'Retirement Calculator'!A:A,0),0),0)</f>
        <v>8395.6297298201844</v>
      </c>
      <c r="K792" s="444">
        <f t="shared" ca="1" si="79"/>
        <v>-24477.736153290003</v>
      </c>
      <c r="L792" s="444">
        <f t="shared" ca="1" si="80"/>
        <v>-5899134.4129428901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-5899134.4129428901</v>
      </c>
      <c r="J793" s="444">
        <f t="array" ref="J793">IFERROR(INDEX('Retirement Calculator'!J:J,MATCH('Isaac 401k'!N793,'Retirement Calculator'!A:A,0),0),0)</f>
        <v>8395.6297298201844</v>
      </c>
      <c r="K793" s="444">
        <f t="shared" ca="1" si="79"/>
        <v>-24614.708511136294</v>
      </c>
      <c r="L793" s="444">
        <f t="shared" ca="1" si="80"/>
        <v>-5932144.751183847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-5932144.751183847</v>
      </c>
      <c r="J794" s="444">
        <f t="array" ref="J794">IFERROR(INDEX('Retirement Calculator'!J:J,MATCH('Isaac 401k'!N794,'Retirement Calculator'!A:A,0),0),0)</f>
        <v>8395.6297298201844</v>
      </c>
      <c r="K794" s="444">
        <f t="shared" ca="1" si="79"/>
        <v>-24752.251587140279</v>
      </c>
      <c r="L794" s="444">
        <f t="shared" ca="1" si="80"/>
        <v>-5965292.6325008078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-5965292.6325008078</v>
      </c>
      <c r="J795" s="444">
        <f t="array" ref="J795">IFERROR(INDEX('Retirement Calculator'!J:J,MATCH('Isaac 401k'!N795,'Retirement Calculator'!A:A,0),0),0)</f>
        <v>8395.6297298201844</v>
      </c>
      <c r="K795" s="444">
        <f t="shared" ca="1" si="79"/>
        <v>-24890.367759294284</v>
      </c>
      <c r="L795" s="444">
        <f t="shared" ca="1" si="80"/>
        <v>-5998578.629989922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-5998578.629989922</v>
      </c>
      <c r="J796" s="444">
        <f t="array" ref="J796">IFERROR(INDEX('Retirement Calculator'!J:J,MATCH('Isaac 401k'!N796,'Retirement Calculator'!A:A,0),0),0)</f>
        <v>8395.6297298201844</v>
      </c>
      <c r="K796" s="444">
        <f t="shared" ca="1" si="79"/>
        <v>-25029.059415498927</v>
      </c>
      <c r="L796" s="444">
        <f t="shared" ca="1" si="80"/>
        <v>-6032003.3191352412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-6032003.3191352412</v>
      </c>
      <c r="J797" s="444">
        <f t="array" ref="J797">IFERROR(INDEX('Retirement Calculator'!J:J,MATCH('Isaac 401k'!N797,'Retirement Calculator'!A:A,0),0),0)</f>
        <v>8395.6297298201844</v>
      </c>
      <c r="K797" s="444">
        <f t="shared" ca="1" si="79"/>
        <v>-25168.328953604425</v>
      </c>
      <c r="L797" s="444">
        <f t="shared" ca="1" si="80"/>
        <v>-6065567.2778186658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-6065567.2778186658</v>
      </c>
      <c r="J798" s="444">
        <f t="array" ref="J798">IFERROR(INDEX('Retirement Calculator'!J:J,MATCH('Isaac 401k'!N798,'Retirement Calculator'!A:A,0),0),0)</f>
        <v>8395.6297298201844</v>
      </c>
      <c r="K798" s="444">
        <f t="shared" ca="1" si="79"/>
        <v>-25308.178781452025</v>
      </c>
      <c r="L798" s="444">
        <f t="shared" ca="1" si="80"/>
        <v>-6099271.0863299379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-6099271.0863299379</v>
      </c>
      <c r="J799" s="444">
        <f t="array" ref="J799">IFERROR(INDEX('Retirement Calculator'!J:J,MATCH('Isaac 401k'!N799,'Retirement Calculator'!A:A,0),0),0)</f>
        <v>8395.6297298201844</v>
      </c>
      <c r="K799" s="444">
        <f t="shared" ca="1" si="79"/>
        <v>-25448.61131691566</v>
      </c>
      <c r="L799" s="444">
        <f t="shared" ca="1" si="80"/>
        <v>-6133115.3273766739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-6133115.3273766739</v>
      </c>
      <c r="J800" s="444">
        <f t="array" ref="J800">IFERROR(INDEX('Retirement Calculator'!J:J,MATCH('Isaac 401k'!N800,'Retirement Calculator'!A:A,0),0),0)</f>
        <v>8395.6297298201844</v>
      </c>
      <c r="K800" s="444">
        <f t="shared" ca="1" si="79"/>
        <v>-25589.628987943724</v>
      </c>
      <c r="L800" s="444">
        <f t="shared" ca="1" si="80"/>
        <v>-6167100.5860944381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-6167100.5860944381</v>
      </c>
      <c r="J801" s="444">
        <f t="array" ref="J801">IFERROR(INDEX('Retirement Calculator'!J:J,MATCH('Isaac 401k'!N801,'Retirement Calculator'!A:A,0),0),0)</f>
        <v>8395.6297298201844</v>
      </c>
      <c r="K801" s="444">
        <f t="shared" ca="1" si="79"/>
        <v>-25731.234232601077</v>
      </c>
      <c r="L801" s="444">
        <f t="shared" ca="1" si="80"/>
        <v>-6201227.4500568593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-6201227.4500568593</v>
      </c>
      <c r="J802" s="444">
        <f t="array" ref="J802">IFERROR(INDEX('Retirement Calculator'!J:J,MATCH('Isaac 401k'!N802,'Retirement Calculator'!A:A,0),0),0)</f>
        <v>8395.6297298201844</v>
      </c>
      <c r="K802" s="444">
        <f t="shared" ca="1" si="79"/>
        <v>-25873.429499111164</v>
      </c>
      <c r="L802" s="444">
        <f t="shared" ca="1" si="80"/>
        <v>-6235496.5092857908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-6235496.5092857908</v>
      </c>
      <c r="J803" s="444">
        <f t="array" ref="J803">IFERROR(INDEX('Retirement Calculator'!J:J,MATCH('Isaac 401k'!N803,'Retirement Calculator'!A:A,0),0),0)</f>
        <v>8395.6297298201844</v>
      </c>
      <c r="K803" s="444">
        <f t="shared" ca="1" si="79"/>
        <v>-26016.21724589838</v>
      </c>
      <c r="L803" s="444">
        <f t="shared" ca="1" si="80"/>
        <v>-6269908.3562615095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-6269908.3562615095</v>
      </c>
      <c r="J804" s="444">
        <f t="array" ref="J804">IFERROR(INDEX('Retirement Calculator'!J:J,MATCH('Isaac 401k'!N804,'Retirement Calculator'!A:A,0),0),0)</f>
        <v>8395.6297298201844</v>
      </c>
      <c r="K804" s="444">
        <f t="shared" ca="1" si="79"/>
        <v>-26159.599941630542</v>
      </c>
      <c r="L804" s="444">
        <f t="shared" ca="1" si="80"/>
        <v>-6304463.5859329607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-6304463.5859329607</v>
      </c>
      <c r="J805" s="444">
        <f t="array" ref="J805">IFERROR(INDEX('Retirement Calculator'!J:J,MATCH('Isaac 401k'!N805,'Retirement Calculator'!A:A,0),0),0)</f>
        <v>8395.6297298201844</v>
      </c>
      <c r="K805" s="444">
        <f t="shared" ca="1" si="79"/>
        <v>-26303.580065261587</v>
      </c>
      <c r="L805" s="444">
        <f t="shared" ca="1" si="80"/>
        <v>-6339162.7957280427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-6339162.7957280427</v>
      </c>
      <c r="J806" s="444">
        <f t="array" ref="J806">IFERROR(INDEX('Retirement Calculator'!J:J,MATCH('Isaac 401k'!N806,'Retirement Calculator'!A:A,0),0),0)</f>
        <v>8395.6297298201844</v>
      </c>
      <c r="K806" s="444">
        <f t="shared" ca="1" si="79"/>
        <v>-26448.160106074429</v>
      </c>
      <c r="L806" s="444">
        <f t="shared" ca="1" si="80"/>
        <v>-6374006.5855639372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-6374006.5855639372</v>
      </c>
      <c r="J807" s="444">
        <f t="array" ref="J807">IFERROR(INDEX('Retirement Calculator'!J:J,MATCH('Isaac 401k'!N807,'Retirement Calculator'!A:A,0),0),0)</f>
        <v>8395.6297298201844</v>
      </c>
      <c r="K807" s="444">
        <f t="shared" ca="1" si="79"/>
        <v>-26593.342563723989</v>
      </c>
      <c r="L807" s="444">
        <f t="shared" ca="1" si="80"/>
        <v>-6408995.5578574818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-6408995.5578574818</v>
      </c>
      <c r="J808" s="444">
        <f t="array" ref="J808">IFERROR(INDEX('Retirement Calculator'!J:J,MATCH('Isaac 401k'!N808,'Retirement Calculator'!A:A,0),0),0)</f>
        <v>8395.6297298201844</v>
      </c>
      <c r="K808" s="444">
        <f t="shared" ca="1" si="79"/>
        <v>-26739.129948280424</v>
      </c>
      <c r="L808" s="444">
        <f t="shared" ca="1" si="80"/>
        <v>-6444130.3175355829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-6444130.3175355829</v>
      </c>
      <c r="J809" s="444">
        <f t="array" ref="J809">IFERROR(INDEX('Retirement Calculator'!J:J,MATCH('Isaac 401k'!N809,'Retirement Calculator'!A:A,0),0),0)</f>
        <v>8395.6297298201844</v>
      </c>
      <c r="K809" s="444">
        <f t="shared" ca="1" si="79"/>
        <v>-26885.524780272513</v>
      </c>
      <c r="L809" s="444">
        <f t="shared" ca="1" si="80"/>
        <v>-6479411.4720456759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-6479411.4720456759</v>
      </c>
      <c r="J810" s="444">
        <f t="array" ref="J810">IFERROR(INDEX('Retirement Calculator'!J:J,MATCH('Isaac 401k'!N810,'Retirement Calculator'!A:A,0),0),0)</f>
        <v>8395.6297298201844</v>
      </c>
      <c r="K810" s="444">
        <f t="shared" ca="1" si="79"/>
        <v>-27032.529590731236</v>
      </c>
      <c r="L810" s="444">
        <f t="shared" ca="1" si="80"/>
        <v>-6514839.6313662278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-6514839.6313662278</v>
      </c>
      <c r="J811" s="444">
        <f t="array" ref="J811">IFERROR(INDEX('Retirement Calculator'!J:J,MATCH('Isaac 401k'!N811,'Retirement Calculator'!A:A,0),0),0)</f>
        <v>8395.6297298201844</v>
      </c>
      <c r="K811" s="444">
        <f t="shared" ca="1" si="79"/>
        <v>-27180.146921233532</v>
      </c>
      <c r="L811" s="444">
        <f t="shared" ca="1" si="80"/>
        <v>-6550415.4080172814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-6550415.4080172814</v>
      </c>
      <c r="J812" s="444">
        <f t="array" ref="J812">IFERROR(INDEX('Retirement Calculator'!J:J,MATCH('Isaac 401k'!N812,'Retirement Calculator'!A:A,0),0),0)</f>
        <v>8395.6297298201844</v>
      </c>
      <c r="K812" s="444">
        <f t="shared" ca="1" si="79"/>
        <v>-27328.379323946258</v>
      </c>
      <c r="L812" s="444">
        <f t="shared" ca="1" si="80"/>
        <v>-6586139.4170710482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-6586139.4170710482</v>
      </c>
      <c r="J813" s="444">
        <f t="array" ref="J813">IFERROR(INDEX('Retirement Calculator'!J:J,MATCH('Isaac 401k'!N813,'Retirement Calculator'!A:A,0),0),0)</f>
        <v>8395.6297298201844</v>
      </c>
      <c r="K813" s="444">
        <f t="shared" ca="1" si="79"/>
        <v>-27477.229361670285</v>
      </c>
      <c r="L813" s="444">
        <f t="shared" ca="1" si="80"/>
        <v>-6622012.2761625387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-6622012.2761625387</v>
      </c>
      <c r="J814" s="444">
        <f t="array" ref="J814">IFERROR(INDEX('Retirement Calculator'!J:J,MATCH('Isaac 401k'!N814,'Retirement Calculator'!A:A,0),0),0)</f>
        <v>8395.6297298201844</v>
      </c>
      <c r="K814" s="444">
        <f t="shared" ca="1" si="79"/>
        <v>-27626.699607884824</v>
      </c>
      <c r="L814" s="444">
        <f t="shared" ca="1" si="80"/>
        <v>-6658034.6055002436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-6658034.6055002436</v>
      </c>
      <c r="J815" s="444">
        <f t="array" ref="J815">IFERROR(INDEX('Retirement Calculator'!J:J,MATCH('Isaac 401k'!N815,'Retirement Calculator'!A:A,0),0),0)</f>
        <v>8395.6297298201844</v>
      </c>
      <c r="K815" s="444">
        <f t="shared" ca="1" si="79"/>
        <v>-27776.792646791931</v>
      </c>
      <c r="L815" s="444">
        <f t="shared" ca="1" si="80"/>
        <v>-6694207.0278768558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-6694207.0278768558</v>
      </c>
      <c r="J816" s="444">
        <f t="array" ref="J816">IFERROR(INDEX('Retirement Calculator'!J:J,MATCH('Isaac 401k'!N816,'Retirement Calculator'!A:A,0),0),0)</f>
        <v>8395.6297298201844</v>
      </c>
      <c r="K816" s="444">
        <f t="shared" ca="1" si="79"/>
        <v>-27927.511073361155</v>
      </c>
      <c r="L816" s="444">
        <f t="shared" ca="1" si="80"/>
        <v>-6730530.1686800374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-6730530.1686800374</v>
      </c>
      <c r="J817" s="444">
        <f t="array" ref="J817">IFERROR(INDEX('Retirement Calculator'!J:J,MATCH('Isaac 401k'!N817,'Retirement Calculator'!A:A,0),0),0)</f>
        <v>8395.6297298201844</v>
      </c>
      <c r="K817" s="444">
        <f t="shared" ca="1" si="79"/>
        <v>-28078.857493374406</v>
      </c>
      <c r="L817" s="444">
        <f t="shared" ca="1" si="80"/>
        <v>-6767004.6559032323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-6767004.6559032323</v>
      </c>
      <c r="J818" s="444">
        <f t="array" ref="J818">IFERROR(INDEX('Retirement Calculator'!J:J,MATCH('Isaac 401k'!N818,'Retirement Calculator'!A:A,0),0),0)</f>
        <v>8395.6297298201844</v>
      </c>
      <c r="K818" s="444">
        <f t="shared" ca="1" si="79"/>
        <v>-28230.834523471054</v>
      </c>
      <c r="L818" s="444">
        <f t="shared" ca="1" si="80"/>
        <v>-6803631.1201565238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-6803631.1201565238</v>
      </c>
      <c r="J819" s="444">
        <f t="array" ref="J819">IFERROR(INDEX('Retirement Calculator'!J:J,MATCH('Isaac 401k'!N819,'Retirement Calculator'!A:A,0),0),0)</f>
        <v>8395.6297298201844</v>
      </c>
      <c r="K819" s="444">
        <f t="shared" ca="1" si="79"/>
        <v>-28383.444791193106</v>
      </c>
      <c r="L819" s="444">
        <f t="shared" ca="1" si="80"/>
        <v>-6840410.1946775373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-6840410.1946775373</v>
      </c>
      <c r="J820" s="444">
        <f t="array" ref="J820">IFERROR(INDEX('Retirement Calculator'!J:J,MATCH('Isaac 401k'!N820,'Retirement Calculator'!A:A,0),0),0)</f>
        <v>8395.6297298201844</v>
      </c>
      <c r="K820" s="444">
        <f t="shared" ca="1" si="79"/>
        <v>-28536.690935030656</v>
      </c>
      <c r="L820" s="444">
        <f t="shared" ca="1" si="80"/>
        <v>-6877342.5153423883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-6877342.5153423883</v>
      </c>
      <c r="J821" s="444">
        <f t="array" ref="J821">IFERROR(INDEX('Retirement Calculator'!J:J,MATCH('Isaac 401k'!N821,'Retirement Calculator'!A:A,0),0),0)</f>
        <v>8395.6297298201844</v>
      </c>
      <c r="K821" s="444">
        <f t="shared" ca="1" si="79"/>
        <v>-28690.575604467533</v>
      </c>
      <c r="L821" s="444">
        <f t="shared" ca="1" si="80"/>
        <v>-6914428.7206766764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-6914428.7206766764</v>
      </c>
      <c r="J822" s="444">
        <f t="array" ref="J822">IFERROR(INDEX('Retirement Calculator'!J:J,MATCH('Isaac 401k'!N822,'Retirement Calculator'!A:A,0),0),0)</f>
        <v>8395.6297298201844</v>
      </c>
      <c r="K822" s="444">
        <f t="shared" ca="1" si="79"/>
        <v>-28845.101460027065</v>
      </c>
      <c r="L822" s="444">
        <f t="shared" ca="1" si="80"/>
        <v>-6951669.4518665243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-6951669.4518665243</v>
      </c>
      <c r="J823" s="444">
        <f t="array" ref="J823">IFERROR(INDEX('Retirement Calculator'!J:J,MATCH('Isaac 401k'!N823,'Retirement Calculator'!A:A,0),0),0)</f>
        <v>8395.6297298201844</v>
      </c>
      <c r="K823" s="444">
        <f t="shared" ca="1" si="79"/>
        <v>-29000.271173318099</v>
      </c>
      <c r="L823" s="444">
        <f t="shared" ca="1" si="80"/>
        <v>-6989065.3527696626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-6989065.3527696626</v>
      </c>
      <c r="J824" s="444">
        <f t="array" ref="J824">IFERROR(INDEX('Retirement Calculator'!J:J,MATCH('Isaac 401k'!N824,'Retirement Calculator'!A:A,0),0),0)</f>
        <v>8395.6297298201844</v>
      </c>
      <c r="K824" s="444">
        <f t="shared" ca="1" si="79"/>
        <v>-29156.08742708118</v>
      </c>
      <c r="L824" s="444">
        <f t="shared" ca="1" si="80"/>
        <v>-7026617.0699265646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-7026617.0699265646</v>
      </c>
      <c r="J825" s="444">
        <f t="array" ref="J825">IFERROR(INDEX('Retirement Calculator'!J:J,MATCH('Isaac 401k'!N825,'Retirement Calculator'!A:A,0),0),0)</f>
        <v>8395.6297298201844</v>
      </c>
      <c r="K825" s="444">
        <f t="shared" ca="1" si="79"/>
        <v>-29312.552915234937</v>
      </c>
      <c r="L825" s="444">
        <f t="shared" ca="1" si="80"/>
        <v>-7064325.25257162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-7064325.25257162</v>
      </c>
      <c r="J826" s="444">
        <f t="array" ref="J826">IFERROR(INDEX('Retirement Calculator'!J:J,MATCH('Isaac 401k'!N826,'Retirement Calculator'!A:A,0),0),0)</f>
        <v>8395.6297298201844</v>
      </c>
      <c r="K826" s="444">
        <f t="shared" ca="1" si="79"/>
        <v>-29469.670342922665</v>
      </c>
      <c r="L826" s="444">
        <f t="shared" ca="1" si="80"/>
        <v>-7102190.5526443627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-7102190.5526443627</v>
      </c>
      <c r="J827" s="444">
        <f t="array" ref="J827">IFERROR(INDEX('Retirement Calculator'!J:J,MATCH('Isaac 401k'!N827,'Retirement Calculator'!A:A,0),0),0)</f>
        <v>8395.6297298201844</v>
      </c>
      <c r="K827" s="444">
        <f t="shared" ca="1" si="79"/>
        <v>-29627.442426559101</v>
      </c>
      <c r="L827" s="444">
        <f t="shared" ca="1" si="80"/>
        <v>-7140213.6248007426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-7140213.6248007426</v>
      </c>
      <c r="J828" s="444">
        <f t="array" ref="J828">IFERROR(INDEX('Retirement Calculator'!J:J,MATCH('Isaac 401k'!N828,'Retirement Calculator'!A:A,0),0),0)</f>
        <v>8395.6297298201844</v>
      </c>
      <c r="K828" s="444">
        <f t="shared" ca="1" si="79"/>
        <v>-29785.871893877345</v>
      </c>
      <c r="L828" s="444">
        <f t="shared" ca="1" si="80"/>
        <v>-7178395.1264244402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-7178395.1264244402</v>
      </c>
      <c r="J829" s="444">
        <f t="array" ref="J829">IFERROR(INDEX('Retirement Calculator'!J:J,MATCH('Isaac 401k'!N829,'Retirement Calculator'!A:A,0),0),0)</f>
        <v>8395.6297298201844</v>
      </c>
      <c r="K829" s="444">
        <f t="shared" ca="1" si="79"/>
        <v>-29944.961483976087</v>
      </c>
      <c r="L829" s="444">
        <f t="shared" ca="1" si="80"/>
        <v>-7216735.7176382365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-7216735.7176382365</v>
      </c>
      <c r="J830" s="444">
        <f t="array" ref="J830">IFERROR(INDEX('Retirement Calculator'!J:J,MATCH('Isaac 401k'!N830,'Retirement Calculator'!A:A,0),0),0)</f>
        <v>8395.6297298201844</v>
      </c>
      <c r="K830" s="444">
        <f t="shared" ca="1" si="79"/>
        <v>-30104.713947366898</v>
      </c>
      <c r="L830" s="444">
        <f t="shared" ca="1" si="80"/>
        <v>-7255236.0613154238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-7255236.0613154238</v>
      </c>
      <c r="J831" s="444">
        <f t="array" ref="J831">IFERROR(INDEX('Retirement Calculator'!J:J,MATCH('Isaac 401k'!N831,'Retirement Calculator'!A:A,0),0),0)</f>
        <v>8395.6297298201844</v>
      </c>
      <c r="K831" s="444">
        <f t="shared" ca="1" si="79"/>
        <v>-30265.132046021856</v>
      </c>
      <c r="L831" s="444">
        <f t="shared" ca="1" si="80"/>
        <v>-7293896.8230912657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-7293896.8230912657</v>
      </c>
      <c r="J832" s="444">
        <f t="array" ref="J832">IFERROR(INDEX('Retirement Calculator'!J:J,MATCH('Isaac 401k'!N832,'Retirement Calculator'!A:A,0),0),0)</f>
        <v>8395.6297298201844</v>
      </c>
      <c r="K832" s="444">
        <f t="shared" ca="1" si="79"/>
        <v>-30426.218553421193</v>
      </c>
      <c r="L832" s="444">
        <f t="shared" ca="1" si="80"/>
        <v>-7332718.6713745072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-7332718.6713745072</v>
      </c>
      <c r="J833" s="444">
        <f t="array" ref="J833">IFERROR(INDEX('Retirement Calculator'!J:J,MATCH('Isaac 401k'!N833,'Retirement Calculator'!A:A,0),0),0)</f>
        <v>8395.6297298201844</v>
      </c>
      <c r="K833" s="444">
        <f t="shared" ca="1" si="79"/>
        <v>-30587.976254601366</v>
      </c>
      <c r="L833" s="444">
        <f t="shared" ca="1" si="80"/>
        <v>-7371702.2773589287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-7371702.2773589287</v>
      </c>
      <c r="J834" s="444">
        <f t="array" ref="J834">IFERROR(INDEX('Retirement Calculator'!J:J,MATCH('Isaac 401k'!N834,'Retirement Calculator'!A:A,0),0),0)</f>
        <v>8395.6297298201844</v>
      </c>
      <c r="K834" s="444">
        <f t="shared" ca="1" si="79"/>
        <v>-30750.407946203122</v>
      </c>
      <c r="L834" s="444">
        <f t="shared" ca="1" si="80"/>
        <v>-7410848.315034952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-7410848.315034952</v>
      </c>
      <c r="J835" s="444">
        <f t="array" ref="J835">IFERROR(INDEX('Retirement Calculator'!J:J,MATCH('Isaac 401k'!N835,'Retirement Calculator'!A:A,0),0),0)</f>
        <v>8395.6297298201844</v>
      </c>
      <c r="K835" s="444">
        <f t="shared" ca="1" si="79"/>
        <v>-30913.516436519883</v>
      </c>
      <c r="L835" s="444">
        <f t="shared" ca="1" si="80"/>
        <v>-7450157.4612012925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-7450157.4612012925</v>
      </c>
      <c r="J836" s="444">
        <f t="array" ref="J836">IFERROR(INDEX('Retirement Calculator'!J:J,MATCH('Isaac 401k'!N836,'Retirement Calculator'!A:A,0),0),0)</f>
        <v>8395.6297298201844</v>
      </c>
      <c r="K836" s="444">
        <f t="shared" ca="1" si="79"/>
        <v>-31077.304545546307</v>
      </c>
      <c r="L836" s="444">
        <f t="shared" ca="1" si="80"/>
        <v>-7489630.3954766588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-7489630.3954766588</v>
      </c>
      <c r="J837" s="444">
        <f t="array" ref="J837">IFERROR(INDEX('Retirement Calculator'!J:J,MATCH('Isaac 401k'!N837,'Retirement Calculator'!A:A,0),0),0)</f>
        <v>8395.6297298201844</v>
      </c>
      <c r="K837" s="444">
        <f t="shared" ca="1" si="79"/>
        <v>-31241.775105026998</v>
      </c>
      <c r="L837" s="444">
        <f t="shared" ca="1" si="80"/>
        <v>-7529267.8003115058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-7529267.8003115058</v>
      </c>
      <c r="J838" s="444">
        <f t="array" ref="J838">IFERROR(INDEX('Retirement Calculator'!J:J,MATCH('Isaac 401k'!N838,'Retirement Calculator'!A:A,0),0),0)</f>
        <v>8395.6297298201844</v>
      </c>
      <c r="K838" s="444">
        <f t="shared" ca="1" si="79"/>
        <v>-31406.930958505531</v>
      </c>
      <c r="L838" s="444">
        <f t="shared" ca="1" si="80"/>
        <v>-7569070.3609998319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-7569070.3609998319</v>
      </c>
      <c r="J839" s="444">
        <f t="array" ref="J839">IFERROR(INDEX('Retirement Calculator'!J:J,MATCH('Isaac 401k'!N839,'Retirement Calculator'!A:A,0),0),0)</f>
        <v>8395.6297298201844</v>
      </c>
      <c r="K839" s="444">
        <f t="shared" ca="1" si="79"/>
        <v>-31572.774961373554</v>
      </c>
      <c r="L839" s="444">
        <f t="shared" ca="1" si="80"/>
        <v>-7609038.7656910261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-7609038.7656910261</v>
      </c>
      <c r="J840" s="444">
        <f t="array" ref="J840">IFERROR(INDEX('Retirement Calculator'!J:J,MATCH('Isaac 401k'!N840,'Retirement Calculator'!A:A,0),0),0)</f>
        <v>8395.6297298201844</v>
      </c>
      <c r="K840" s="444">
        <f t="shared" ca="1" si="79"/>
        <v>-31739.309980920196</v>
      </c>
      <c r="L840" s="444">
        <f t="shared" ca="1" si="80"/>
        <v>-7649173.705401767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-7649173.705401767</v>
      </c>
      <c r="J841" s="444">
        <f t="array" ref="J841">IFERROR(INDEX('Retirement Calculator'!J:J,MATCH('Isaac 401k'!N841,'Retirement Calculator'!A:A,0),0),0)</f>
        <v>8395.6297298201844</v>
      </c>
      <c r="K841" s="444">
        <f t="shared" ca="1" si="79"/>
        <v>-31906.538896381611</v>
      </c>
      <c r="L841" s="444">
        <f t="shared" ca="1" si="80"/>
        <v>-7689475.8740279693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-7689475.8740279693</v>
      </c>
      <c r="J842" s="444">
        <f t="array" ref="J842">IFERROR(INDEX('Retirement Calculator'!J:J,MATCH('Isaac 401k'!N842,'Retirement Calculator'!A:A,0),0),0)</f>
        <v>8395.6297298201844</v>
      </c>
      <c r="K842" s="444">
        <f t="shared" ca="1" si="79"/>
        <v>-32074.464598990795</v>
      </c>
      <c r="L842" s="444">
        <f t="shared" ca="1" si="80"/>
        <v>-7729945.9683567807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-7729945.9683567807</v>
      </c>
      <c r="J843" s="444">
        <f t="array" ref="J843">IFERROR(INDEX('Retirement Calculator'!J:J,MATCH('Isaac 401k'!N843,'Retirement Calculator'!A:A,0),0),0)</f>
        <v>8395.6297298201844</v>
      </c>
      <c r="K843" s="444">
        <f t="shared" ca="1" si="79"/>
        <v>-32243.089992027501</v>
      </c>
      <c r="L843" s="444">
        <f t="shared" ca="1" si="80"/>
        <v>-7770584.6880786289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-7770584.6880786289</v>
      </c>
      <c r="J844" s="444">
        <f t="array" ref="J844">IFERROR(INDEX('Retirement Calculator'!J:J,MATCH('Isaac 401k'!N844,'Retirement Calculator'!A:A,0),0),0)</f>
        <v>8395.6297298201844</v>
      </c>
      <c r="K844" s="444">
        <f t="shared" ca="1" si="79"/>
        <v>-32412.417990868536</v>
      </c>
      <c r="L844" s="444">
        <f t="shared" ca="1" si="80"/>
        <v>-7811392.7357993182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-7811392.7357993182</v>
      </c>
      <c r="J845" s="444">
        <f t="array" ref="J845">IFERROR(INDEX('Retirement Calculator'!J:J,MATCH('Isaac 401k'!N845,'Retirement Calculator'!A:A,0),0),0)</f>
        <v>8395.6297298201844</v>
      </c>
      <c r="K845" s="444">
        <f t="shared" ca="1" si="79"/>
        <v>-32582.451523038078</v>
      </c>
      <c r="L845" s="444">
        <f t="shared" ca="1" si="80"/>
        <v>-7852370.8170521762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-7852370.8170521762</v>
      </c>
      <c r="J846" s="444">
        <f t="array" ref="J846">IFERROR(INDEX('Retirement Calculator'!J:J,MATCH('Isaac 401k'!N846,'Retirement Calculator'!A:A,0),0),0)</f>
        <v>8395.6297298201844</v>
      </c>
      <c r="K846" s="444">
        <f t="shared" ca="1" si="79"/>
        <v>-32753.193528258314</v>
      </c>
      <c r="L846" s="444">
        <f t="shared" ca="1" si="80"/>
        <v>-7893519.6403102549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-7893519.6403102549</v>
      </c>
      <c r="J847" s="444">
        <f t="array" ref="J847">IFERROR(INDEX('Retirement Calculator'!J:J,MATCH('Isaac 401k'!N847,'Retirement Calculator'!A:A,0),0),0)</f>
        <v>8395.6297298201844</v>
      </c>
      <c r="K847" s="444">
        <f t="shared" ca="1" si="79"/>
        <v>-32924.646958500314</v>
      </c>
      <c r="L847" s="444">
        <f t="shared" ca="1" si="80"/>
        <v>-7934839.9169985754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-7934839.9169985754</v>
      </c>
      <c r="J848" s="444">
        <f t="array" ref="J848">IFERROR(INDEX('Retirement Calculator'!J:J,MATCH('Isaac 401k'!N848,'Retirement Calculator'!A:A,0),0),0)</f>
        <v>8395.6297298201844</v>
      </c>
      <c r="K848" s="444">
        <f t="shared" ca="1" si="79"/>
        <v>-33096.814778034983</v>
      </c>
      <c r="L848" s="444">
        <f t="shared" ca="1" si="80"/>
        <v>-7976332.3615064304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-7976332.3615064304</v>
      </c>
      <c r="J849" s="444">
        <f t="array" ref="J849">IFERROR(INDEX('Retirement Calculator'!J:J,MATCH('Isaac 401k'!N849,'Retirement Calculator'!A:A,0),0),0)</f>
        <v>8395.6297298201844</v>
      </c>
      <c r="K849" s="444">
        <f t="shared" ca="1" si="79"/>
        <v>-33269.699963484381</v>
      </c>
      <c r="L849" s="444">
        <f t="shared" ca="1" si="80"/>
        <v>-8017997.6911997348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-8017997.6911997348</v>
      </c>
      <c r="J850" s="444">
        <f t="array" ref="J850">IFERROR(INDEX('Retirement Calculator'!J:J,MATCH('Isaac 401k'!N850,'Retirement Calculator'!A:A,0),0),0)</f>
        <v>8395.6297298201844</v>
      </c>
      <c r="K850" s="444">
        <f t="shared" ca="1" si="79"/>
        <v>-33443.305503873147</v>
      </c>
      <c r="L850" s="444">
        <f t="shared" ca="1" si="80"/>
        <v>-8059836.6264334284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-8059836.6264334284</v>
      </c>
      <c r="J851" s="444">
        <f t="array" ref="J851">IFERROR(INDEX('Retirement Calculator'!J:J,MATCH('Isaac 401k'!N851,'Retirement Calculator'!A:A,0),0),0)</f>
        <v>8395.6297298201844</v>
      </c>
      <c r="K851" s="444">
        <f t="shared" ca="1" si="79"/>
        <v>-33617.634400680203</v>
      </c>
      <c r="L851" s="444">
        <f t="shared" ca="1" si="80"/>
        <v>-8101849.8905639295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-8101849.8905639295</v>
      </c>
      <c r="J852" s="444">
        <f t="array" ref="J852">IFERROR(INDEX('Retirement Calculator'!J:J,MATCH('Isaac 401k'!N852,'Retirement Calculator'!A:A,0),0),0)</f>
        <v>8395.6297298201844</v>
      </c>
      <c r="K852" s="444">
        <f t="shared" ca="1" si="79"/>
        <v>-33792.689667890627</v>
      </c>
      <c r="L852" s="444">
        <f t="shared" ca="1" si="80"/>
        <v>-8144038.2099616406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-8144038.2099616406</v>
      </c>
      <c r="J853" s="444">
        <f t="array" ref="J853">IFERROR(INDEX('Retirement Calculator'!J:J,MATCH('Isaac 401k'!N853,'Retirement Calculator'!A:A,0),0),0)</f>
        <v>8395.6297298201844</v>
      </c>
      <c r="K853" s="444">
        <f t="shared" ca="1" si="79"/>
        <v>-33968.474332047757</v>
      </c>
      <c r="L853" s="444">
        <f t="shared" ca="1" si="80"/>
        <v>-8186402.3140235087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-8186402.3140235087</v>
      </c>
      <c r="J854" s="444">
        <f t="array" ref="J854">IFERROR(INDEX('Retirement Calculator'!J:J,MATCH('Isaac 401k'!N854,'Retirement Calculator'!A:A,0),0),0)</f>
        <v>8395.6297298201844</v>
      </c>
      <c r="K854" s="444">
        <f t="shared" ca="1" si="79"/>
        <v>-34144.991432305535</v>
      </c>
      <c r="L854" s="444">
        <f t="shared" ca="1" si="80"/>
        <v>-8228942.9351856345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-8228942.9351856345</v>
      </c>
      <c r="J855" s="444">
        <f t="array" ref="J855">IFERROR(INDEX('Retirement Calculator'!J:J,MATCH('Isaac 401k'!N855,'Retirement Calculator'!A:A,0),0),0)</f>
        <v>8395.6297298201844</v>
      </c>
      <c r="K855" s="444">
        <f t="shared" ca="1" si="79"/>
        <v>-34322.244020481055</v>
      </c>
      <c r="L855" s="444">
        <f t="shared" ca="1" si="80"/>
        <v>-8271660.8089359356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-8271660.8089359356</v>
      </c>
      <c r="J856" s="444">
        <f t="array" ref="J856">IFERROR(INDEX('Retirement Calculator'!J:J,MATCH('Isaac 401k'!N856,'Retirement Calculator'!A:A,0),0),0)</f>
        <v>8395.6297298201844</v>
      </c>
      <c r="K856" s="444">
        <f t="shared" ca="1" si="79"/>
        <v>-34500.23516110731</v>
      </c>
      <c r="L856" s="444">
        <f t="shared" ca="1" si="80"/>
        <v>-8314556.6738268631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-8314556.6738268631</v>
      </c>
      <c r="J857" s="444">
        <f t="array" ref="J857">IFERROR(INDEX('Retirement Calculator'!J:J,MATCH('Isaac 401k'!N857,'Retirement Calculator'!A:A,0),0),0)</f>
        <v>8395.6297298201844</v>
      </c>
      <c r="K857" s="444">
        <f t="shared" ca="1" si="79"/>
        <v>-34678.967931486179</v>
      </c>
      <c r="L857" s="444">
        <f t="shared" ca="1" si="80"/>
        <v>-8357631.2714881692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-8357631.2714881692</v>
      </c>
      <c r="J858" s="444">
        <f t="array" ref="J858">IFERROR(INDEX('Retirement Calculator'!J:J,MATCH('Isaac 401k'!N858,'Retirement Calculator'!A:A,0),0),0)</f>
        <v>8395.6297298201844</v>
      </c>
      <c r="K858" s="444">
        <f t="shared" ca="1" si="79"/>
        <v>-34858.445421741621</v>
      </c>
      <c r="L858" s="444">
        <f t="shared" ca="1" si="80"/>
        <v>-8400885.3466397319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-8400885.3466397319</v>
      </c>
      <c r="J859" s="444">
        <f t="array" ref="J859">IFERROR(INDEX('Retirement Calculator'!J:J,MATCH('Isaac 401k'!N859,'Retirement Calculator'!A:A,0),0),0)</f>
        <v>8395.6297298201844</v>
      </c>
      <c r="K859" s="444">
        <f t="shared" ca="1" si="79"/>
        <v>-35038.670734873136</v>
      </c>
      <c r="L859" s="444">
        <f t="shared" ca="1" si="80"/>
        <v>-8444319.6471044254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-8444319.6471044254</v>
      </c>
      <c r="J860" s="444">
        <f t="array" ref="J860">IFERROR(INDEX('Retirement Calculator'!J:J,MATCH('Isaac 401k'!N860,'Retirement Calculator'!A:A,0),0),0)</f>
        <v>8395.6297298201844</v>
      </c>
      <c r="K860" s="444">
        <f t="shared" ca="1" si="79"/>
        <v>-35219.646986809355</v>
      </c>
      <c r="L860" s="444">
        <f t="shared" ca="1" si="80"/>
        <v>-8487934.9238210544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-8487934.9238210544</v>
      </c>
      <c r="J861" s="444">
        <f t="array" ref="J861">IFERROR(INDEX('Retirement Calculator'!J:J,MATCH('Isaac 401k'!N861,'Retirement Calculator'!A:A,0),0),0)</f>
        <v>8395.6297298201844</v>
      </c>
      <c r="K861" s="444">
        <f t="shared" ca="1" si="79"/>
        <v>-35401.377306461975</v>
      </c>
      <c r="L861" s="444">
        <f t="shared" ca="1" si="80"/>
        <v>-8531731.9308573361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-8531731.9308573361</v>
      </c>
      <c r="J862" s="444">
        <f t="array" ref="J862">IFERROR(INDEX('Retirement Calculator'!J:J,MATCH('Isaac 401k'!N862,'Retirement Calculator'!A:A,0),0),0)</f>
        <v>8395.6297298201844</v>
      </c>
      <c r="K862" s="444">
        <f t="shared" ca="1" si="79"/>
        <v>-35583.864835779816</v>
      </c>
      <c r="L862" s="444">
        <f t="shared" ca="1" si="80"/>
        <v>-8575711.4254229367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-8575711.4254229367</v>
      </c>
      <c r="J863" s="444">
        <f t="array" ref="J863">IFERROR(INDEX('Retirement Calculator'!J:J,MATCH('Isaac 401k'!N863,'Retirement Calculator'!A:A,0),0),0)</f>
        <v>8395.6297298201844</v>
      </c>
      <c r="K863" s="444">
        <f t="shared" ca="1" si="79"/>
        <v>-35767.112729803157</v>
      </c>
      <c r="L863" s="444">
        <f t="shared" ca="1" si="80"/>
        <v>-8619874.1678825598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-8619874.1678825598</v>
      </c>
      <c r="J864" s="444">
        <f t="array" ref="J864">IFERROR(INDEX('Retirement Calculator'!J:J,MATCH('Isaac 401k'!N864,'Retirement Calculator'!A:A,0),0),0)</f>
        <v>8395.6297298201844</v>
      </c>
      <c r="K864" s="444">
        <f t="shared" ca="1" si="79"/>
        <v>-35951.124156718251</v>
      </c>
      <c r="L864" s="444">
        <f t="shared" ca="1" si="80"/>
        <v>-8664220.9217690993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-8664220.9217690993</v>
      </c>
      <c r="J865" s="444">
        <f t="array" ref="J865">IFERROR(INDEX('Retirement Calculator'!J:J,MATCH('Isaac 401k'!N865,'Retirement Calculator'!A:A,0),0),0)</f>
        <v>8395.6297298201844</v>
      </c>
      <c r="K865" s="444">
        <f t="shared" ca="1" si="79"/>
        <v>-36135.902297912166</v>
      </c>
      <c r="L865" s="444">
        <f t="shared" ca="1" si="80"/>
        <v>-8708752.4537968319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-8708752.4537968319</v>
      </c>
      <c r="J866" s="444">
        <f t="array" ref="J866">IFERROR(INDEX('Retirement Calculator'!J:J,MATCH('Isaac 401k'!N866,'Retirement Calculator'!A:A,0),0),0)</f>
        <v>8395.6297298201844</v>
      </c>
      <c r="K866" s="444">
        <f t="shared" ca="1" si="79"/>
        <v>-36321.45034802772</v>
      </c>
      <c r="L866" s="444">
        <f t="shared" ca="1" si="80"/>
        <v>-8753469.5338746794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-8753469.5338746794</v>
      </c>
      <c r="J867" s="444">
        <f t="array" ref="J867">IFERROR(INDEX('Retirement Calculator'!J:J,MATCH('Isaac 401k'!N867,'Retirement Calculator'!A:A,0),0),0)</f>
        <v>8395.6297298201844</v>
      </c>
      <c r="K867" s="444">
        <f t="shared" ca="1" si="79"/>
        <v>-36507.771515018751</v>
      </c>
      <c r="L867" s="444">
        <f t="shared" ca="1" si="80"/>
        <v>-8798372.935119519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-8798372.935119519</v>
      </c>
      <c r="J868" s="444">
        <f t="array" ref="J868">IFERROR(INDEX('Retirement Calculator'!J:J,MATCH('Isaac 401k'!N868,'Retirement Calculator'!A:A,0),0),0)</f>
        <v>8395.6297298201844</v>
      </c>
      <c r="K868" s="444">
        <f t="shared" ca="1" si="79"/>
        <v>-36694.86902020558</v>
      </c>
      <c r="L868" s="444">
        <f t="shared" ca="1" si="80"/>
        <v>-8843463.4338695444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-8843463.4338695444</v>
      </c>
      <c r="J869" s="444">
        <f t="array" ref="J869">IFERROR(INDEX('Retirement Calculator'!J:J,MATCH('Isaac 401k'!N869,'Retirement Calculator'!A:A,0),0),0)</f>
        <v>8395.6297298201844</v>
      </c>
      <c r="K869" s="444">
        <f t="shared" ca="1" si="79"/>
        <v>-36882.746098330688</v>
      </c>
      <c r="L869" s="444">
        <f t="shared" ca="1" si="80"/>
        <v>-8888741.8096976951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-8888741.8096976951</v>
      </c>
      <c r="J870" s="444">
        <f t="array" ref="J870">IFERROR(INDEX('Retirement Calculator'!J:J,MATCH('Isaac 401k'!N870,'Retirement Calculator'!A:A,0),0),0)</f>
        <v>8395.6297298201844</v>
      </c>
      <c r="K870" s="444">
        <f t="shared" ca="1" si="79"/>
        <v>-37071.405997614645</v>
      </c>
      <c r="L870" s="444">
        <f t="shared" ca="1" si="80"/>
        <v>-8934208.8454251308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-8934208.8454251308</v>
      </c>
      <c r="J871" s="444">
        <f t="array" ref="J871">IFERROR(INDEX('Retirement Calculator'!J:J,MATCH('Isaac 401k'!N871,'Retirement Calculator'!A:A,0),0),0)</f>
        <v>8395.6297298201844</v>
      </c>
      <c r="K871" s="444">
        <f t="shared" ca="1" si="79"/>
        <v>-37260.851979812294</v>
      </c>
      <c r="L871" s="444">
        <f t="shared" ca="1" si="80"/>
        <v>-8979865.3271347638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-8979865.3271347638</v>
      </c>
      <c r="J872" s="444">
        <f t="array" ref="J872">IFERROR(INDEX('Retirement Calculator'!J:J,MATCH('Isaac 401k'!N872,'Retirement Calculator'!A:A,0),0),0)</f>
        <v>8395.6297298201844</v>
      </c>
      <c r="K872" s="444">
        <f t="shared" ca="1" si="79"/>
        <v>-37451.0873202691</v>
      </c>
      <c r="L872" s="444">
        <f t="shared" ca="1" si="80"/>
        <v>-9025712.0441848543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-9025712.0441848543</v>
      </c>
      <c r="J873" s="444">
        <f t="array" ref="J873">IFERROR(INDEX('Retirement Calculator'!J:J,MATCH('Isaac 401k'!N873,'Retirement Calculator'!A:A,0),0),0)</f>
        <v>8395.6297298201844</v>
      </c>
      <c r="K873" s="444">
        <f t="shared" ca="1" si="79"/>
        <v>-37642.115307977809</v>
      </c>
      <c r="L873" s="444">
        <f t="shared" ca="1" si="80"/>
        <v>-9071749.7892226521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-9071749.7892226521</v>
      </c>
      <c r="J874" s="444">
        <f t="array" ref="J874">IFERROR(INDEX('Retirement Calculator'!J:J,MATCH('Isaac 401k'!N874,'Retirement Calculator'!A:A,0),0),0)</f>
        <v>8395.6297298201844</v>
      </c>
      <c r="K874" s="444">
        <f t="shared" ca="1" si="79"/>
        <v>-37833.939245635302</v>
      </c>
      <c r="L874" s="444">
        <f t="shared" ca="1" si="80"/>
        <v>-9117979.3581981082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-9117979.3581981082</v>
      </c>
      <c r="J875" s="444">
        <f t="array" ref="J875">IFERROR(INDEX('Retirement Calculator'!J:J,MATCH('Isaac 401k'!N875,'Retirement Calculator'!A:A,0),0),0)</f>
        <v>8395.6297298201844</v>
      </c>
      <c r="K875" s="444">
        <f t="shared" ca="1" si="79"/>
        <v>-38026.562449699704</v>
      </c>
      <c r="L875" s="444">
        <f t="shared" ca="1" si="80"/>
        <v>-9164401.5503776278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-9164401.5503776278</v>
      </c>
      <c r="J876" s="444">
        <f t="array" ref="J876">IFERROR(INDEX('Retirement Calculator'!J:J,MATCH('Isaac 401k'!N876,'Retirement Calculator'!A:A,0),0),0)</f>
        <v>8395.6297298201844</v>
      </c>
      <c r="K876" s="444">
        <f t="shared" ca="1" si="79"/>
        <v>-38219.988250447699</v>
      </c>
      <c r="L876" s="444">
        <f t="shared" ca="1" si="80"/>
        <v>-9211017.1683578957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-9211017.1683578957</v>
      </c>
      <c r="J877" s="444">
        <f t="array" ref="J877">IFERROR(INDEX('Retirement Calculator'!J:J,MATCH('Isaac 401k'!N877,'Retirement Calculator'!A:A,0),0),0)</f>
        <v>8395.6297298201844</v>
      </c>
      <c r="K877" s="444">
        <f t="shared" ca="1" si="79"/>
        <v>-38414.219992032151</v>
      </c>
      <c r="L877" s="444">
        <f t="shared" ca="1" si="80"/>
        <v>-9257827.0180797484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-9257827.0180797484</v>
      </c>
      <c r="J878" s="444">
        <f t="array" ref="J878">IFERROR(INDEX('Retirement Calculator'!J:J,MATCH('Isaac 401k'!N878,'Retirement Calculator'!A:A,0),0),0)</f>
        <v>8395.6297298201844</v>
      </c>
      <c r="K878" s="444">
        <f t="shared" ca="1" si="79"/>
        <v>-38609.261032539871</v>
      </c>
      <c r="L878" s="444">
        <f t="shared" ca="1" si="80"/>
        <v>-9304831.9088421091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-9304831.9088421091</v>
      </c>
      <c r="J879" s="444">
        <f t="array" ref="J879">IFERROR(INDEX('Retirement Calculator'!J:J,MATCH('Isaac 401k'!N879,'Retirement Calculator'!A:A,0),0),0)</f>
        <v>8395.6297298201844</v>
      </c>
      <c r="K879" s="444">
        <f t="shared" ca="1" si="79"/>
        <v>-38805.114744049708</v>
      </c>
      <c r="L879" s="444">
        <f t="shared" ca="1" si="80"/>
        <v>-9352032.65331598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-9352032.65331598</v>
      </c>
      <c r="J880" s="444">
        <f t="array" ref="J880">IFERROR(INDEX('Retirement Calculator'!J:J,MATCH('Isaac 401k'!N880,'Retirement Calculator'!A:A,0),0),0)</f>
        <v>8395.6297298201844</v>
      </c>
      <c r="K880" s="444">
        <f t="shared" ca="1" si="79"/>
        <v>-39001.784512690836</v>
      </c>
      <c r="L880" s="444">
        <f t="shared" ca="1" si="80"/>
        <v>-9399430.0675584916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-9399430.0675584916</v>
      </c>
      <c r="J881" s="444">
        <f t="array" ref="J881">IFERROR(INDEX('Retirement Calculator'!J:J,MATCH('Isaac 401k'!N881,'Retirement Calculator'!A:A,0),0),0)</f>
        <v>8395.6297298201844</v>
      </c>
      <c r="K881" s="444">
        <f t="shared" ca="1" si="79"/>
        <v>-39199.273738701297</v>
      </c>
      <c r="L881" s="444">
        <f t="shared" ca="1" si="80"/>
        <v>-9447024.9710270129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-9447024.9710270129</v>
      </c>
      <c r="J882" s="444">
        <f t="array" ref="J882">IFERROR(INDEX('Retirement Calculator'!J:J,MATCH('Isaac 401k'!N882,'Retirement Calculator'!A:A,0),0),0)</f>
        <v>8395.6297298201844</v>
      </c>
      <c r="K882" s="444">
        <f t="shared" ca="1" si="79"/>
        <v>-39397.585836486804</v>
      </c>
      <c r="L882" s="444">
        <f t="shared" ca="1" si="80"/>
        <v>-9494818.1865933202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-9494818.1865933202</v>
      </c>
      <c r="J883" s="444">
        <f t="array" ref="J883">IFERROR(INDEX('Retirement Calculator'!J:J,MATCH('Isaac 401k'!N883,'Retirement Calculator'!A:A,0),0),0)</f>
        <v>8395.6297298201844</v>
      </c>
      <c r="K883" s="444">
        <f t="shared" ca="1" si="79"/>
        <v>-39596.72423467975</v>
      </c>
      <c r="L883" s="444">
        <f t="shared" ca="1" si="80"/>
        <v>-9542810.5405578203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-9542810.5405578203</v>
      </c>
      <c r="J884" s="444">
        <f t="array" ref="J884">IFERROR(INDEX('Retirement Calculator'!J:J,MATCH('Isaac 401k'!N884,'Retirement Calculator'!A:A,0),0),0)</f>
        <v>8395.6297298201844</v>
      </c>
      <c r="K884" s="444">
        <f t="shared" ca="1" si="79"/>
        <v>-39796.692376198502</v>
      </c>
      <c r="L884" s="444">
        <f t="shared" ca="1" si="80"/>
        <v>-9591002.862663839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-9591002.862663839</v>
      </c>
      <c r="J885" s="444">
        <f t="array" ref="J885">IFERROR(INDEX('Retirement Calculator'!J:J,MATCH('Isaac 401k'!N885,'Retirement Calculator'!A:A,0),0),0)</f>
        <v>8395.6297298201844</v>
      </c>
      <c r="K885" s="444">
        <f t="shared" ca="1" si="79"/>
        <v>-39997.493718306912</v>
      </c>
      <c r="L885" s="444">
        <f t="shared" ca="1" si="80"/>
        <v>-9639395.9861119669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-9639395.9861119669</v>
      </c>
      <c r="J886" s="444">
        <f t="array" ref="J886">IFERROR(INDEX('Retirement Calculator'!J:J,MATCH('Isaac 401k'!N886,'Retirement Calculator'!A:A,0),0),0)</f>
        <v>8395.6297298201844</v>
      </c>
      <c r="K886" s="444">
        <f t="shared" ca="1" si="79"/>
        <v>-40199.131732674112</v>
      </c>
      <c r="L886" s="444">
        <f t="shared" ca="1" si="80"/>
        <v>-9687990.7475744616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-9687990.7475744616</v>
      </c>
      <c r="J887" s="444">
        <f t="array" ref="J887">IFERROR(INDEX('Retirement Calculator'!J:J,MATCH('Isaac 401k'!N887,'Retirement Calculator'!A:A,0),0),0)</f>
        <v>8395.6297298201844</v>
      </c>
      <c r="K887" s="444">
        <f t="shared" ca="1" si="79"/>
        <v>-40401.60990543451</v>
      </c>
      <c r="L887" s="444">
        <f t="shared" ca="1" si="80"/>
        <v>-9736787.9872097168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-9736787.9872097168</v>
      </c>
      <c r="J888" s="444">
        <f t="array" ref="J888">IFERROR(INDEX('Retirement Calculator'!J:J,MATCH('Isaac 401k'!N888,'Retirement Calculator'!A:A,0),0),0)</f>
        <v>8395.6297298201844</v>
      </c>
      <c r="K888" s="444">
        <f t="shared" ca="1" si="79"/>
        <v>-40604.931737248073</v>
      </c>
      <c r="L888" s="444">
        <f t="shared" ca="1" si="80"/>
        <v>-9785788.5486767851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-9785788.5486767851</v>
      </c>
      <c r="J889" s="444">
        <f t="array" ref="J889">IFERROR(INDEX('Retirement Calculator'!J:J,MATCH('Isaac 401k'!N889,'Retirement Calculator'!A:A,0),0),0)</f>
        <v>8395.6297298201844</v>
      </c>
      <c r="K889" s="444">
        <f t="shared" ca="1" si="79"/>
        <v>-40809.100743360854</v>
      </c>
      <c r="L889" s="444">
        <f t="shared" ca="1" si="80"/>
        <v>-9834993.2791499663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-9834993.2791499663</v>
      </c>
      <c r="J890" s="444">
        <f t="array" ref="J890">IFERROR(INDEX('Retirement Calculator'!J:J,MATCH('Isaac 401k'!N890,'Retirement Calculator'!A:A,0),0),0)</f>
        <v>8395.6297298201844</v>
      </c>
      <c r="K890" s="444">
        <f t="shared" ca="1" si="79"/>
        <v>-41014.120453665775</v>
      </c>
      <c r="L890" s="444">
        <f t="shared" ca="1" si="80"/>
        <v>-9884403.0293334518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-9884403.0293334518</v>
      </c>
      <c r="J891" s="444">
        <f t="array" ref="J891">IFERROR(INDEX('Retirement Calculator'!J:J,MATCH('Isaac 401k'!N891,'Retirement Calculator'!A:A,0),0),0)</f>
        <v>8395.6297298201844</v>
      </c>
      <c r="K891" s="444">
        <f t="shared" ca="1" si="79"/>
        <v>-41219.994412763634</v>
      </c>
      <c r="L891" s="444">
        <f t="shared" ca="1" si="80"/>
        <v>-9934018.6534760352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-9934018.6534760352</v>
      </c>
      <c r="J892" s="444">
        <f t="array" ref="J892">IFERROR(INDEX('Retirement Calculator'!J:J,MATCH('Isaac 401k'!N892,'Retirement Calculator'!A:A,0),0),0)</f>
        <v>8395.6297298201844</v>
      </c>
      <c r="K892" s="444">
        <f t="shared" ca="1" si="79"/>
        <v>-41426.726180024401</v>
      </c>
      <c r="L892" s="444">
        <f t="shared" ca="1" si="80"/>
        <v>-9983841.0093858801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-9983841.0093858801</v>
      </c>
      <c r="J893" s="444">
        <f t="array" ref="J893">IFERROR(INDEX('Retirement Calculator'!J:J,MATCH('Isaac 401k'!N893,'Retirement Calculator'!A:A,0),0),0)</f>
        <v>8395.6297298201844</v>
      </c>
      <c r="K893" s="444">
        <f t="shared" ca="1" si="79"/>
        <v>-41634.319329648752</v>
      </c>
      <c r="L893" s="444">
        <f t="shared" ca="1" si="80"/>
        <v>-10033870.95844535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-10033870.95844535</v>
      </c>
      <c r="J894" s="444">
        <f t="array" ref="J894">IFERROR(INDEX('Retirement Calculator'!J:J,MATCH('Isaac 401k'!N894,'Retirement Calculator'!A:A,0),0),0)</f>
        <v>8395.6297298201844</v>
      </c>
      <c r="K894" s="444">
        <f t="shared" ca="1" si="79"/>
        <v>-41842.777450729875</v>
      </c>
      <c r="L894" s="444">
        <f t="shared" ca="1" si="80"/>
        <v>-10084109.365625899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-10084109.365625899</v>
      </c>
      <c r="J895" s="444">
        <f t="array" ref="J895">IFERROR(INDEX('Retirement Calculator'!J:J,MATCH('Isaac 401k'!N895,'Retirement Calculator'!A:A,0),0),0)</f>
        <v>8395.6297298201844</v>
      </c>
      <c r="K895" s="444">
        <f t="shared" ca="1" si="79"/>
        <v>-42052.104147315498</v>
      </c>
      <c r="L895" s="444">
        <f t="shared" ca="1" si="80"/>
        <v>-10134557.099503035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-10134557.099503035</v>
      </c>
      <c r="J896" s="444">
        <f t="array" ref="J896">IFERROR(INDEX('Retirement Calculator'!J:J,MATCH('Isaac 401k'!N896,'Retirement Calculator'!A:A,0),0),0)</f>
        <v>8395.6297298201844</v>
      </c>
      <c r="K896" s="444">
        <f t="shared" ca="1" si="79"/>
        <v>-42262.303038470229</v>
      </c>
      <c r="L896" s="444">
        <f t="shared" ca="1" si="80"/>
        <v>-10185215.032271326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-10185215.032271326</v>
      </c>
      <c r="J897" s="444">
        <f t="array" ref="J897">IFERROR(INDEX('Retirement Calculator'!J:J,MATCH('Isaac 401k'!N897,'Retirement Calculator'!A:A,0),0),0)</f>
        <v>8395.6297298201844</v>
      </c>
      <c r="K897" s="444">
        <f t="shared" ca="1" si="79"/>
        <v>-42473.377758338109</v>
      </c>
      <c r="L897" s="444">
        <f t="shared" ca="1" si="80"/>
        <v>-10236084.039759483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-10236084.039759483</v>
      </c>
      <c r="J898" s="444">
        <f t="array" ref="J898">IFERROR(INDEX('Retirement Calculator'!J:J,MATCH('Isaac 401k'!N898,'Retirement Calculator'!A:A,0),0),0)</f>
        <v>8395.6297298201844</v>
      </c>
      <c r="K898" s="444">
        <f t="shared" ca="1" si="79"/>
        <v>-42685.331956205431</v>
      </c>
      <c r="L898" s="444">
        <f t="shared" ca="1" si="80"/>
        <v>-10287165.001445509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-10287165.001445509</v>
      </c>
      <c r="J899" s="444">
        <f t="array" ref="J899">IFERROR(INDEX('Retirement Calculator'!J:J,MATCH('Isaac 401k'!N899,'Retirement Calculator'!A:A,0),0),0)</f>
        <v>8395.6297298201844</v>
      </c>
      <c r="K899" s="444">
        <f t="shared" ca="1" si="79"/>
        <v>-42898.169296563872</v>
      </c>
      <c r="L899" s="444">
        <f t="shared" ca="1" si="80"/>
        <v>-10338458.800471894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-10338458.800471894</v>
      </c>
      <c r="J900" s="444">
        <f t="array" ref="J900">IFERROR(INDEX('Retirement Calculator'!J:J,MATCH('Isaac 401k'!N900,'Retirement Calculator'!A:A,0),0),0)</f>
        <v>8395.6297298201844</v>
      </c>
      <c r="K900" s="444">
        <f t="shared" ca="1" si="79"/>
        <v>-43111.893459173814</v>
      </c>
      <c r="L900" s="444">
        <f t="shared" ca="1" si="80"/>
        <v>-10389966.323660888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-10389966.323660888</v>
      </c>
      <c r="J901" s="444">
        <f t="array" ref="J901">IFERROR(INDEX('Retirement Calculator'!J:J,MATCH('Isaac 401k'!N901,'Retirement Calculator'!A:A,0),0),0)</f>
        <v>8395.6297298201844</v>
      </c>
      <c r="K901" s="444">
        <f t="shared" ca="1" si="79"/>
        <v>-43326.508139127953</v>
      </c>
      <c r="L901" s="444">
        <f t="shared" ca="1" si="80"/>
        <v>-10441688.461529836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-10441688.461529836</v>
      </c>
      <c r="J902" s="444">
        <f t="array" ref="J902">IFERROR(INDEX('Retirement Calculator'!J:J,MATCH('Isaac 401k'!N902,'Retirement Calculator'!A:A,0),0),0)</f>
        <v>8395.6297298201844</v>
      </c>
      <c r="K902" s="444">
        <f t="shared" ca="1" si="79"/>
        <v>-43542.017046915236</v>
      </c>
      <c r="L902" s="444">
        <f t="shared" ca="1" si="80"/>
        <v>-10493626.108306572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-10493626.108306572</v>
      </c>
      <c r="J903" s="444">
        <f t="array" ref="J903">IFERROR(INDEX('Retirement Calculator'!J:J,MATCH('Isaac 401k'!N903,'Retirement Calculator'!A:A,0),0),0)</f>
        <v>8395.6297298201844</v>
      </c>
      <c r="K903" s="444">
        <f t="shared" ca="1" si="79"/>
        <v>-43758.423908484969</v>
      </c>
      <c r="L903" s="444">
        <f t="shared" ca="1" si="80"/>
        <v>-10545780.161944877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-10545780.161944877</v>
      </c>
      <c r="J904" s="444">
        <f t="array" ref="J904">IFERROR(INDEX('Retirement Calculator'!J:J,MATCH('Isaac 401k'!N904,'Retirement Calculator'!A:A,0),0),0)</f>
        <v>8395.6297298201844</v>
      </c>
      <c r="K904" s="444">
        <f t="shared" ca="1" si="79"/>
        <v>-43975.732465311237</v>
      </c>
      <c r="L904" s="444">
        <f t="shared" ca="1" si="80"/>
        <v>-10598151.52414001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-10598151.52414001</v>
      </c>
      <c r="J905" s="444">
        <f t="array" ref="J905">IFERROR(INDEX('Retirement Calculator'!J:J,MATCH('Isaac 401k'!N905,'Retirement Calculator'!A:A,0),0),0)</f>
        <v>8395.6297298201844</v>
      </c>
      <c r="K905" s="444">
        <f t="shared" ca="1" si="79"/>
        <v>-44193.946474457625</v>
      </c>
      <c r="L905" s="444">
        <f t="shared" ca="1" si="80"/>
        <v>-10650741.100344287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-10650741.100344287</v>
      </c>
      <c r="J906" s="444">
        <f t="array" ref="J906">IFERROR(INDEX('Retirement Calculator'!J:J,MATCH('Isaac 401k'!N906,'Retirement Calculator'!A:A,0),0),0)</f>
        <v>8395.6297298201844</v>
      </c>
      <c r="K906" s="444">
        <f t="shared" ca="1" si="79"/>
        <v>-44413.069708642113</v>
      </c>
      <c r="L906" s="444">
        <f t="shared" ca="1" si="80"/>
        <v>-10703549.799782749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-10703549.799782749</v>
      </c>
      <c r="J907" s="444">
        <f t="array" ref="J907">IFERROR(INDEX('Retirement Calculator'!J:J,MATCH('Isaac 401k'!N907,'Retirement Calculator'!A:A,0),0),0)</f>
        <v>8395.6297298201844</v>
      </c>
      <c r="K907" s="444">
        <f t="shared" ca="1" si="79"/>
        <v>-44633.105956302374</v>
      </c>
      <c r="L907" s="444">
        <f t="shared" ca="1" si="80"/>
        <v>-10756578.535468873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-10756578.535468873</v>
      </c>
      <c r="J908" s="444">
        <f t="array" ref="J908">IFERROR(INDEX('Retirement Calculator'!J:J,MATCH('Isaac 401k'!N908,'Retirement Calculator'!A:A,0),0),0)</f>
        <v>8395.6297298201844</v>
      </c>
      <c r="K908" s="444">
        <f t="shared" ca="1" si="79"/>
        <v>-44854.059021661218</v>
      </c>
      <c r="L908" s="444">
        <f t="shared" ca="1" si="80"/>
        <v>-10809828.224220354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-10809828.224220354</v>
      </c>
      <c r="J909" s="444">
        <f t="array" ref="J909">IFERROR(INDEX('Retirement Calculator'!J:J,MATCH('Isaac 401k'!N909,'Retirement Calculator'!A:A,0),0),0)</f>
        <v>8395.6297298201844</v>
      </c>
      <c r="K909" s="444">
        <f t="shared" ca="1" si="79"/>
        <v>-45075.932724792394</v>
      </c>
      <c r="L909" s="444">
        <f t="shared" ca="1" si="80"/>
        <v>-10863299.786674967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-10863299.786674967</v>
      </c>
      <c r="J910" s="444">
        <f t="array" ref="J910">IFERROR(INDEX('Retirement Calculator'!J:J,MATCH('Isaac 401k'!N910,'Retirement Calculator'!A:A,0),0),0)</f>
        <v>8395.6297298201844</v>
      </c>
      <c r="K910" s="444">
        <f t="shared" ca="1" si="79"/>
        <v>-45298.730901686613</v>
      </c>
      <c r="L910" s="444">
        <f t="shared" ca="1" si="80"/>
        <v>-10916994.147306474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-10916994.147306474</v>
      </c>
      <c r="J911" s="444">
        <f t="array" ref="J911">IFERROR(INDEX('Retirement Calculator'!J:J,MATCH('Isaac 401k'!N911,'Retirement Calculator'!A:A,0),0),0)</f>
        <v>8395.6297298201844</v>
      </c>
      <c r="K911" s="444">
        <f t="shared" ca="1" si="79"/>
        <v>-45522.457404317895</v>
      </c>
      <c r="L911" s="444">
        <f t="shared" ca="1" si="80"/>
        <v>-10970912.234440612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-10970912.234440612</v>
      </c>
      <c r="J912" s="444">
        <f t="array" ref="J912">IFERROR(INDEX('Retirement Calculator'!J:J,MATCH('Isaac 401k'!N912,'Retirement Calculator'!A:A,0),0),0)</f>
        <v>8395.6297298201844</v>
      </c>
      <c r="K912" s="444">
        <f t="shared" ca="1" si="79"/>
        <v>-45747.116100710133</v>
      </c>
      <c r="L912" s="444">
        <f t="shared" ca="1" si="80"/>
        <v>-11025054.980271142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-11025054.980271142</v>
      </c>
      <c r="J913" s="444">
        <f t="array" ref="J913">IFERROR(INDEX('Retirement Calculator'!J:J,MATCH('Isaac 401k'!N913,'Retirement Calculator'!A:A,0),0),0)</f>
        <v>8395.6297298201844</v>
      </c>
      <c r="K913" s="444">
        <f t="shared" ca="1" si="79"/>
        <v>-45972.710875004006</v>
      </c>
      <c r="L913" s="444">
        <f t="shared" ca="1" si="80"/>
        <v>-11079423.320875967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-11079423.320875967</v>
      </c>
      <c r="J914" s="444">
        <f t="array" ref="J914">IFERROR(INDEX('Retirement Calculator'!J:J,MATCH('Isaac 401k'!N914,'Retirement Calculator'!A:A,0),0),0)</f>
        <v>8395.6297298201844</v>
      </c>
      <c r="K914" s="444">
        <f t="shared" ca="1" si="79"/>
        <v>-46199.245627524113</v>
      </c>
      <c r="L914" s="444">
        <f t="shared" ca="1" si="80"/>
        <v>-11134018.196233312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-11134018.196233312</v>
      </c>
      <c r="J915" s="444">
        <f t="array" ref="J915">IFERROR(INDEX('Retirement Calculator'!J:J,MATCH('Isaac 401k'!N915,'Retirement Calculator'!A:A,0),0),0)</f>
        <v>8395.6297298201844</v>
      </c>
      <c r="K915" s="444">
        <f t="shared" ca="1" si="79"/>
        <v>-46426.724274846383</v>
      </c>
      <c r="L915" s="444">
        <f t="shared" ca="1" si="80"/>
        <v>-11188840.550237978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-11188840.550237978</v>
      </c>
      <c r="J916" s="444">
        <f t="array" ref="J916">IFERROR(INDEX('Retirement Calculator'!J:J,MATCH('Isaac 401k'!N916,'Retirement Calculator'!A:A,0),0),0)</f>
        <v>8395.6297298201844</v>
      </c>
      <c r="K916" s="444">
        <f t="shared" ca="1" si="79"/>
        <v>-46655.150749865825</v>
      </c>
      <c r="L916" s="444">
        <f t="shared" ca="1" si="80"/>
        <v>-11243891.330717664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-11243891.330717664</v>
      </c>
      <c r="J917" s="444">
        <f t="array" ref="J917">IFERROR(INDEX('Retirement Calculator'!J:J,MATCH('Isaac 401k'!N917,'Retirement Calculator'!A:A,0),0),0)</f>
        <v>8395.6297298201844</v>
      </c>
      <c r="K917" s="444">
        <f t="shared" ca="1" si="79"/>
        <v>-46884.529001864517</v>
      </c>
      <c r="L917" s="444">
        <f t="shared" ca="1" si="80"/>
        <v>-11299171.489449348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-11299171.489449348</v>
      </c>
      <c r="J918" s="444">
        <f t="array" ref="J918">IFERROR(INDEX('Retirement Calculator'!J:J,MATCH('Isaac 401k'!N918,'Retirement Calculator'!A:A,0),0),0)</f>
        <v>8395.6297298201844</v>
      </c>
      <c r="K918" s="444">
        <f t="shared" ca="1" si="79"/>
        <v>-47114.862996579868</v>
      </c>
      <c r="L918" s="444">
        <f t="shared" ca="1" si="80"/>
        <v>-11354681.982175749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-11354681.982175749</v>
      </c>
      <c r="J919" s="444">
        <f t="array" ref="J919">IFERROR(INDEX('Retirement Calculator'!J:J,MATCH('Isaac 401k'!N919,'Retirement Calculator'!A:A,0),0),0)</f>
        <v>8395.6297298201844</v>
      </c>
      <c r="K919" s="444">
        <f t="shared" ca="1" si="79"/>
        <v>-47346.156716273203</v>
      </c>
      <c r="L919" s="444">
        <f t="shared" ca="1" si="80"/>
        <v>-11410423.768621843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-11410423.768621843</v>
      </c>
      <c r="J920" s="444">
        <f t="array" ref="J920">IFERROR(INDEX('Retirement Calculator'!J:J,MATCH('Isaac 401k'!N920,'Retirement Calculator'!A:A,0),0),0)</f>
        <v>8395.6297298201844</v>
      </c>
      <c r="K920" s="444">
        <f t="shared" ca="1" si="79"/>
        <v>-47578.414159798602</v>
      </c>
      <c r="L920" s="444">
        <f t="shared" ca="1" si="80"/>
        <v>-11466397.812511463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-11466397.812511463</v>
      </c>
      <c r="J921" s="444">
        <f t="array" ref="J921">IFERROR(INDEX('Retirement Calculator'!J:J,MATCH('Isaac 401k'!N921,'Retirement Calculator'!A:A,0),0),0)</f>
        <v>8395.6297298201844</v>
      </c>
      <c r="K921" s="444">
        <f t="shared" ca="1" si="79"/>
        <v>-47811.63934267201</v>
      </c>
      <c r="L921" s="444">
        <f t="shared" ca="1" si="80"/>
        <v>-11522605.081583954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-11522605.081583954</v>
      </c>
      <c r="J922" s="444">
        <f t="array" ref="J922">IFERROR(INDEX('Retirement Calculator'!J:J,MATCH('Isaac 401k'!N922,'Retirement Calculator'!A:A,0),0),0)</f>
        <v>8395.6297298201844</v>
      </c>
      <c r="K922" s="444">
        <f t="shared" ca="1" si="79"/>
        <v>-48045.836297140726</v>
      </c>
      <c r="L922" s="444">
        <f t="shared" ca="1" si="80"/>
        <v>-11579046.547610916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-11579046.547610916</v>
      </c>
      <c r="J923" s="444">
        <f t="array" ref="J923">IFERROR(INDEX('Retirement Calculator'!J:J,MATCH('Isaac 401k'!N923,'Retirement Calculator'!A:A,0),0),0)</f>
        <v>8395.6297298201844</v>
      </c>
      <c r="K923" s="444">
        <f t="shared" ca="1" si="79"/>
        <v>-48281.009072253066</v>
      </c>
      <c r="L923" s="444">
        <f t="shared" ca="1" si="80"/>
        <v>-11635723.18641299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-11635723.18641299</v>
      </c>
      <c r="J924" s="444">
        <f t="array" ref="J924">IFERROR(INDEX('Retirement Calculator'!J:J,MATCH('Isaac 401k'!N924,'Retirement Calculator'!A:A,0),0),0)</f>
        <v>8395.6297298201844</v>
      </c>
      <c r="K924" s="444">
        <f t="shared" ca="1" si="79"/>
        <v>-48517.161733928377</v>
      </c>
      <c r="L924" s="444">
        <f t="shared" ca="1" si="80"/>
        <v>-11692635.97787674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-11692635.97787674</v>
      </c>
      <c r="J925" s="444">
        <f t="array" ref="J925">IFERROR(INDEX('Retirement Calculator'!J:J,MATCH('Isaac 401k'!N925,'Retirement Calculator'!A:A,0),0),0)</f>
        <v>8395.6297298201844</v>
      </c>
      <c r="K925" s="444">
        <f t="shared" ca="1" si="79"/>
        <v>-48754.298365027331</v>
      </c>
      <c r="L925" s="444">
        <f t="shared" ca="1" si="80"/>
        <v>-11749785.905971587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-11749785.905971587</v>
      </c>
      <c r="J926" s="444">
        <f t="array" ref="J926">IFERROR(INDEX('Retirement Calculator'!J:J,MATCH('Isaac 401k'!N926,'Retirement Calculator'!A:A,0),0),0)</f>
        <v>8395.6297298201844</v>
      </c>
      <c r="K926" s="444">
        <f t="shared" ca="1" si="79"/>
        <v>-48992.423065422532</v>
      </c>
      <c r="L926" s="444">
        <f t="shared" ca="1" si="80"/>
        <v>-11807173.958766829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-11807173.958766829</v>
      </c>
      <c r="J927" s="444">
        <f t="array" ref="J927">IFERROR(INDEX('Retirement Calculator'!J:J,MATCH('Isaac 401k'!N927,'Retirement Calculator'!A:A,0),0),0)</f>
        <v>8395.6297298201844</v>
      </c>
      <c r="K927" s="444">
        <f t="shared" ca="1" si="79"/>
        <v>-49231.539952069375</v>
      </c>
      <c r="L927" s="444">
        <f t="shared" ca="1" si="80"/>
        <v>-11864801.128448719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-11864801.128448719</v>
      </c>
      <c r="J928" s="444">
        <f t="array" ref="J928">IFERROR(INDEX('Retirement Calculator'!J:J,MATCH('Isaac 401k'!N928,'Retirement Calculator'!A:A,0),0),0)</f>
        <v>8395.6297298201844</v>
      </c>
      <c r="K928" s="444">
        <f t="shared" ca="1" si="79"/>
        <v>-49471.65315907725</v>
      </c>
      <c r="L928" s="444">
        <f t="shared" ca="1" si="80"/>
        <v>-11922668.411337616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-11922668.411337616</v>
      </c>
      <c r="J929" s="444">
        <f t="array" ref="J929">IFERROR(INDEX('Retirement Calculator'!J:J,MATCH('Isaac 401k'!N929,'Retirement Calculator'!A:A,0),0),0)</f>
        <v>8395.6297298201844</v>
      </c>
      <c r="K929" s="444">
        <f t="shared" ca="1" si="79"/>
        <v>-49712.766837780982</v>
      </c>
      <c r="L929" s="444">
        <f t="shared" ca="1" si="80"/>
        <v>-11980776.807905218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-11980776.807905218</v>
      </c>
      <c r="J930" s="444">
        <f t="array" ref="J930">IFERROR(INDEX('Retirement Calculator'!J:J,MATCH('Isaac 401k'!N930,'Retirement Calculator'!A:A,0),0),0)</f>
        <v>8395.6297298201844</v>
      </c>
      <c r="K930" s="444">
        <f t="shared" ca="1" si="79"/>
        <v>-49954.885156812656</v>
      </c>
      <c r="L930" s="444">
        <f t="shared" ca="1" si="80"/>
        <v>-12039127.32279185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-12039127.32279185</v>
      </c>
      <c r="J931" s="444">
        <f t="array" ref="J931">IFERROR(INDEX('Retirement Calculator'!J:J,MATCH('Isaac 401k'!N931,'Retirement Calculator'!A:A,0),0),0)</f>
        <v>8395.6297298201844</v>
      </c>
      <c r="K931" s="444">
        <f t="shared" ca="1" si="79"/>
        <v>-50198.012302173629</v>
      </c>
      <c r="L931" s="444">
        <f t="shared" ca="1" si="80"/>
        <v>-12097720.964823844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-12097720.964823844</v>
      </c>
      <c r="J932" s="444">
        <f t="array" ref="J932">IFERROR(INDEX('Retirement Calculator'!J:J,MATCH('Isaac 401k'!N932,'Retirement Calculator'!A:A,0),0),0)</f>
        <v>8395.6297298201844</v>
      </c>
      <c r="K932" s="444">
        <f t="shared" ca="1" si="79"/>
        <v>-50442.152477306932</v>
      </c>
      <c r="L932" s="444">
        <f t="shared" ca="1" si="80"/>
        <v>-12156558.747030972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-12156558.747030972</v>
      </c>
      <c r="J933" s="444">
        <f t="array" ref="J933">IFERROR(INDEX('Retirement Calculator'!J:J,MATCH('Isaac 401k'!N933,'Retirement Calculator'!A:A,0),0),0)</f>
        <v>8395.6297298201844</v>
      </c>
      <c r="K933" s="444">
        <f t="shared" ca="1" si="79"/>
        <v>-50687.309903169968</v>
      </c>
      <c r="L933" s="444">
        <f t="shared" ca="1" si="80"/>
        <v>-12215641.686663961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-12215641.686663961</v>
      </c>
      <c r="J934" s="444">
        <f t="array" ref="J934">IFERROR(INDEX('Retirement Calculator'!J:J,MATCH('Isaac 401k'!N934,'Retirement Calculator'!A:A,0),0),0)</f>
        <v>8395.6297298201844</v>
      </c>
      <c r="K934" s="444">
        <f t="shared" ca="1" si="79"/>
        <v>-50933.488818307422</v>
      </c>
      <c r="L934" s="444">
        <f t="shared" ca="1" si="80"/>
        <v>-12274970.80521209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-12274970.80521209</v>
      </c>
      <c r="J935" s="444">
        <f t="array" ref="J935">IFERROR(INDEX('Retirement Calculator'!J:J,MATCH('Isaac 401k'!N935,'Retirement Calculator'!A:A,0),0),0)</f>
        <v>8395.6297298201844</v>
      </c>
      <c r="K935" s="444">
        <f t="shared" ca="1" si="79"/>
        <v>-51180.693478924622</v>
      </c>
      <c r="L935" s="444">
        <f t="shared" ca="1" si="80"/>
        <v>-12334547.128420835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-12334547.128420835</v>
      </c>
      <c r="J936" s="444">
        <f t="array" ref="J936">IFERROR(INDEX('Retirement Calculator'!J:J,MATCH('Isaac 401k'!N936,'Retirement Calculator'!A:A,0),0),0)</f>
        <v>8395.6297298201844</v>
      </c>
      <c r="K936" s="444">
        <f t="shared" ca="1" si="79"/>
        <v>-51428.928158961062</v>
      </c>
      <c r="L936" s="444">
        <f t="shared" ca="1" si="80"/>
        <v>-12394371.686309617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-12394371.686309617</v>
      </c>
      <c r="J937" s="444">
        <f t="array" ref="J937">IFERROR(INDEX('Retirement Calculator'!J:J,MATCH('Isaac 401k'!N937,'Retirement Calculator'!A:A,0),0),0)</f>
        <v>8395.6297298201844</v>
      </c>
      <c r="K937" s="444">
        <f t="shared" ca="1" si="79"/>
        <v>-51678.19715016432</v>
      </c>
      <c r="L937" s="444">
        <f t="shared" ca="1" si="80"/>
        <v>-12454445.513189603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-12454445.513189603</v>
      </c>
      <c r="J938" s="444">
        <f t="array" ref="J938">IFERROR(INDEX('Retirement Calculator'!J:J,MATCH('Isaac 401k'!N938,'Retirement Calculator'!A:A,0),0),0)</f>
        <v>8395.6297298201844</v>
      </c>
      <c r="K938" s="444">
        <f t="shared" ca="1" si="79"/>
        <v>-51928.504762164259</v>
      </c>
      <c r="L938" s="444">
        <f t="shared" ca="1" si="80"/>
        <v>-12514769.647681586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-12514769.647681586</v>
      </c>
      <c r="J939" s="444">
        <f t="array" ref="J939">IFERROR(INDEX('Retirement Calculator'!J:J,MATCH('Isaac 401k'!N939,'Retirement Calculator'!A:A,0),0),0)</f>
        <v>8395.6297298201844</v>
      </c>
      <c r="K939" s="444">
        <f t="shared" ca="1" si="79"/>
        <v>-52179.855322547526</v>
      </c>
      <c r="L939" s="444">
        <f t="shared" ca="1" si="80"/>
        <v>-12575345.132733954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-12575345.132733954</v>
      </c>
      <c r="J940" s="444">
        <f t="array" ref="J940">IFERROR(INDEX('Retirement Calculator'!J:J,MATCH('Isaac 401k'!N940,'Retirement Calculator'!A:A,0),0),0)</f>
        <v>8395.6297298201844</v>
      </c>
      <c r="K940" s="444">
        <f t="shared" ca="1" si="79"/>
        <v>-52432.25317693239</v>
      </c>
      <c r="L940" s="444">
        <f t="shared" ca="1" si="80"/>
        <v>-12636173.015640708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-12636173.015640708</v>
      </c>
      <c r="J941" s="444">
        <f t="array" ref="J941">IFERROR(INDEX('Retirement Calculator'!J:J,MATCH('Isaac 401k'!N941,'Retirement Calculator'!A:A,0),0),0)</f>
        <v>8395.6297298201844</v>
      </c>
      <c r="K941" s="444">
        <f t="shared" ca="1" si="79"/>
        <v>-52685.702689043865</v>
      </c>
      <c r="L941" s="444">
        <f t="shared" ca="1" si="80"/>
        <v>-12697254.348059572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-12697254.348059572</v>
      </c>
      <c r="J942" s="444">
        <f t="array" ref="J942">IFERROR(INDEX('Retirement Calculator'!J:J,MATCH('Isaac 401k'!N942,'Retirement Calculator'!A:A,0),0),0)</f>
        <v>8395.6297298201844</v>
      </c>
      <c r="K942" s="444">
        <f t="shared" ca="1" si="79"/>
        <v>-52940.208240789136</v>
      </c>
      <c r="L942" s="444">
        <f t="shared" ca="1" si="80"/>
        <v>-12758590.186030181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-12758590.186030181</v>
      </c>
      <c r="J943" s="444">
        <f t="array" ref="J943">IFERROR(INDEX('Retirement Calculator'!J:J,MATCH('Isaac 401k'!N943,'Retirement Calculator'!A:A,0),0),0)</f>
        <v>8395.6297298201844</v>
      </c>
      <c r="K943" s="444">
        <f t="shared" ca="1" si="79"/>
        <v>-53195.774232333337</v>
      </c>
      <c r="L943" s="444">
        <f t="shared" ca="1" si="80"/>
        <v>-12820181.589992335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-12820181.589992335</v>
      </c>
      <c r="J944" s="444">
        <f t="array" ref="J944">IFERROR(INDEX('Retirement Calculator'!J:J,MATCH('Isaac 401k'!N944,'Retirement Calculator'!A:A,0),0),0)</f>
        <v>8395.6297298201844</v>
      </c>
      <c r="K944" s="444">
        <f t="shared" ca="1" si="79"/>
        <v>-53452.405082175646</v>
      </c>
      <c r="L944" s="444">
        <f t="shared" ca="1" si="80"/>
        <v>-12882029.624804331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-12882029.624804331</v>
      </c>
      <c r="J945" s="444">
        <f t="array" ref="J945">IFERROR(INDEX('Retirement Calculator'!J:J,MATCH('Isaac 401k'!N945,'Retirement Calculator'!A:A,0),0),0)</f>
        <v>8395.6297298201844</v>
      </c>
      <c r="K945" s="444">
        <f t="shared" ca="1" si="79"/>
        <v>-53710.105227225627</v>
      </c>
      <c r="L945" s="444">
        <f t="shared" ca="1" si="80"/>
        <v>-12944135.359761378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-12944135.359761378</v>
      </c>
      <c r="J946" s="444">
        <f t="array" ref="J946">IFERROR(INDEX('Retirement Calculator'!J:J,MATCH('Isaac 401k'!N946,'Retirement Calculator'!A:A,0),0),0)</f>
        <v>8395.6297298201844</v>
      </c>
      <c r="K946" s="444">
        <f t="shared" ca="1" si="79"/>
        <v>-53968.879122879989</v>
      </c>
      <c r="L946" s="444">
        <f t="shared" ca="1" si="80"/>
        <v>-13006499.868614078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-13006499.868614078</v>
      </c>
      <c r="J947" s="444">
        <f t="array" ref="J947">IFERROR(INDEX('Retirement Calculator'!J:J,MATCH('Isaac 401k'!N947,'Retirement Calculator'!A:A,0),0),0)</f>
        <v>8395.6297298201844</v>
      </c>
      <c r="K947" s="444">
        <f t="shared" ca="1" si="79"/>
        <v>-54228.731243099573</v>
      </c>
      <c r="L947" s="444">
        <f t="shared" ca="1" si="80"/>
        <v>-13069124.229586998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-13069124.229586998</v>
      </c>
      <c r="J948" s="444">
        <f t="array" ref="J948">IFERROR(INDEX('Retirement Calculator'!J:J,MATCH('Isaac 401k'!N948,'Retirement Calculator'!A:A,0),0),0)</f>
        <v>8395.6297298201844</v>
      </c>
      <c r="K948" s="444">
        <f t="shared" ca="1" si="79"/>
        <v>-54489.666080486742</v>
      </c>
      <c r="L948" s="444">
        <f t="shared" ca="1" si="80"/>
        <v>-13132009.525397304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-13132009.525397304</v>
      </c>
      <c r="J949" s="444">
        <f t="array" ref="J949">IFERROR(INDEX('Retirement Calculator'!J:J,MATCH('Isaac 401k'!N949,'Retirement Calculator'!A:A,0),0),0)</f>
        <v>8395.6297298201844</v>
      </c>
      <c r="K949" s="444">
        <f t="shared" ca="1" si="79"/>
        <v>-54751.688146363012</v>
      </c>
      <c r="L949" s="444">
        <f t="shared" ca="1" si="80"/>
        <v>-13195156.843273487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-13195156.843273487</v>
      </c>
      <c r="J950" s="444">
        <f t="array" ref="J950">IFERROR(INDEX('Retirement Calculator'!J:J,MATCH('Isaac 401k'!N950,'Retirement Calculator'!A:A,0),0),0)</f>
        <v>8395.6297298201844</v>
      </c>
      <c r="K950" s="444">
        <f t="shared" ca="1" si="79"/>
        <v>-55014.801970847111</v>
      </c>
      <c r="L950" s="444">
        <f t="shared" ca="1" si="80"/>
        <v>-13258567.274974154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-13258567.274974154</v>
      </c>
      <c r="J951" s="444">
        <f t="array" ref="J951">IFERROR(INDEX('Retirement Calculator'!J:J,MATCH('Isaac 401k'!N951,'Retirement Calculator'!A:A,0),0),0)</f>
        <v>8395.6297298201844</v>
      </c>
      <c r="K951" s="444">
        <f t="shared" ca="1" si="79"/>
        <v>-55279.012102933229</v>
      </c>
      <c r="L951" s="444">
        <f t="shared" ca="1" si="80"/>
        <v>-13322241.916806908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-13322241.916806908</v>
      </c>
      <c r="J952" s="444">
        <f t="array" ref="J952">IFERROR(INDEX('Retirement Calculator'!J:J,MATCH('Isaac 401k'!N952,'Retirement Calculator'!A:A,0),0),0)</f>
        <v>8395.6297298201844</v>
      </c>
      <c r="K952" s="444">
        <f t="shared" ca="1" si="79"/>
        <v>-55544.323110569705</v>
      </c>
      <c r="L952" s="444">
        <f t="shared" ca="1" si="80"/>
        <v>-13386181.869647298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-13386181.869647298</v>
      </c>
      <c r="J953" s="444">
        <f t="array" ref="J953">IFERROR(INDEX('Retirement Calculator'!J:J,MATCH('Isaac 401k'!N953,'Retirement Calculator'!A:A,0),0),0)</f>
        <v>8395.6297298201844</v>
      </c>
      <c r="K953" s="444">
        <f t="shared" ca="1" si="79"/>
        <v>-55810.739580737994</v>
      </c>
      <c r="L953" s="444">
        <f t="shared" ca="1" si="80"/>
        <v>-13450388.238957856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-13450388.238957856</v>
      </c>
      <c r="J954" s="444">
        <f t="array" ref="J954">IFERROR(INDEX('Retirement Calculator'!J:J,MATCH('Isaac 401k'!N954,'Retirement Calculator'!A:A,0),0),0)</f>
        <v>8395.6297298201844</v>
      </c>
      <c r="K954" s="444">
        <f t="shared" ca="1" si="79"/>
        <v>-56078.266119531989</v>
      </c>
      <c r="L954" s="444">
        <f t="shared" ca="1" si="80"/>
        <v>-13514862.134807209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-13514862.134807209</v>
      </c>
      <c r="J955" s="444">
        <f t="array" ref="J955">IFERROR(INDEX('Retirement Calculator'!J:J,MATCH('Isaac 401k'!N955,'Retirement Calculator'!A:A,0),0),0)</f>
        <v>8395.6297298201844</v>
      </c>
      <c r="K955" s="444">
        <f t="shared" ca="1" si="79"/>
        <v>-56346.907352237627</v>
      </c>
      <c r="L955" s="444">
        <f t="shared" ca="1" si="80"/>
        <v>-13579604.671889266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-13579604.671889266</v>
      </c>
      <c r="J956" s="444">
        <f t="array" ref="J956">IFERROR(INDEX('Retirement Calculator'!J:J,MATCH('Isaac 401k'!N956,'Retirement Calculator'!A:A,0),0),0)</f>
        <v>8395.6297298201844</v>
      </c>
      <c r="K956" s="444">
        <f t="shared" ca="1" si="79"/>
        <v>-56616.667923412861</v>
      </c>
      <c r="L956" s="444">
        <f t="shared" ca="1" si="80"/>
        <v>-13644616.9695425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-13644616.9695425</v>
      </c>
      <c r="J957" s="444">
        <f t="array" ref="J957">IFERROR(INDEX('Retirement Calculator'!J:J,MATCH('Isaac 401k'!N957,'Retirement Calculator'!A:A,0),0),0)</f>
        <v>8395.6297298201844</v>
      </c>
      <c r="K957" s="444">
        <f t="shared" ca="1" si="79"/>
        <v>-56887.55249696799</v>
      </c>
      <c r="L957" s="444">
        <f t="shared" ca="1" si="80"/>
        <v>-13709900.151769288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-13709900.151769288</v>
      </c>
      <c r="J958" s="444">
        <f t="array" ref="J958">IFERROR(INDEX('Retirement Calculator'!J:J,MATCH('Isaac 401k'!N958,'Retirement Calculator'!A:A,0),0),0)</f>
        <v>8395.6297298201844</v>
      </c>
      <c r="K958" s="444">
        <f t="shared" ca="1" si="79"/>
        <v>-57159.56575624628</v>
      </c>
      <c r="L958" s="444">
        <f t="shared" ca="1" si="80"/>
        <v>-13775455.347255355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-13775455.347255355</v>
      </c>
      <c r="J959" s="444">
        <f t="array" ref="J959">IFERROR(INDEX('Retirement Calculator'!J:J,MATCH('Isaac 401k'!N959,'Retirement Calculator'!A:A,0),0),0)</f>
        <v>8395.6297298201844</v>
      </c>
      <c r="K959" s="444">
        <f t="shared" ca="1" si="79"/>
        <v>-57432.712404104896</v>
      </c>
      <c r="L959" s="444">
        <f t="shared" ca="1" si="80"/>
        <v>-13841283.689389281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-13841283.689389281</v>
      </c>
      <c r="J960" s="444">
        <f t="array" ref="J960">IFERROR(INDEX('Retirement Calculator'!J:J,MATCH('Isaac 401k'!N960,'Retirement Calculator'!A:A,0),0),0)</f>
        <v>8395.6297298201844</v>
      </c>
      <c r="K960" s="444">
        <f t="shared" ca="1" si="79"/>
        <v>-57706.997162996253</v>
      </c>
      <c r="L960" s="444">
        <f t="shared" ca="1" si="80"/>
        <v>-13907386.316282097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-13907386.316282097</v>
      </c>
      <c r="J961" s="444">
        <f t="array" ref="J961">IFERROR(INDEX('Retirement Calculator'!J:J,MATCH('Isaac 401k'!N961,'Retirement Calculator'!A:A,0),0),0)</f>
        <v>8395.6297298201844</v>
      </c>
      <c r="K961" s="444">
        <f t="shared" ca="1" si="79"/>
        <v>-57982.424775049658</v>
      </c>
      <c r="L961" s="444">
        <f t="shared" ca="1" si="80"/>
        <v>-13973764.370786967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-13973764.370786967</v>
      </c>
      <c r="J962" s="444">
        <f t="array" ref="J962">IFERROR(INDEX('Retirement Calculator'!J:J,MATCH('Isaac 401k'!N962,'Retirement Calculator'!A:A,0),0),0)</f>
        <v>8395.6297298201844</v>
      </c>
      <c r="K962" s="444">
        <f t="shared" ca="1" si="79"/>
        <v>-58259.000002153276</v>
      </c>
      <c r="L962" s="444">
        <f t="shared" ca="1" si="80"/>
        <v>-14040419.00051894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-14040419.00051894</v>
      </c>
      <c r="J963" s="444">
        <f t="array" ref="J963">IFERROR(INDEX('Retirement Calculator'!J:J,MATCH('Isaac 401k'!N963,'Retirement Calculator'!A:A,0),0),0)</f>
        <v>8395.6297298201844</v>
      </c>
      <c r="K963" s="444">
        <f t="shared" ca="1" si="79"/>
        <v>-58536.727626036503</v>
      </c>
      <c r="L963" s="444">
        <f t="shared" ca="1" si="80"/>
        <v>-14107351.357874798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-14107351.357874798</v>
      </c>
      <c r="J964" s="444">
        <f t="array" ref="J964">IFERROR(INDEX('Retirement Calculator'!J:J,MATCH('Isaac 401k'!N964,'Retirement Calculator'!A:A,0),0),0)</f>
        <v>8395.6297298201844</v>
      </c>
      <c r="K964" s="444">
        <f t="shared" ca="1" si="79"/>
        <v>-58815.612448352585</v>
      </c>
      <c r="L964" s="444">
        <f t="shared" ca="1" si="80"/>
        <v>-14174562.600052971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-14174562.600052971</v>
      </c>
      <c r="J965" s="444">
        <f t="array" ref="J965">IFERROR(INDEX('Retirement Calculator'!J:J,MATCH('Isaac 401k'!N965,'Retirement Calculator'!A:A,0),0),0)</f>
        <v>8395.6297298201844</v>
      </c>
      <c r="K965" s="444">
        <f t="shared" ca="1" si="79"/>
        <v>-59095.659290761629</v>
      </c>
      <c r="L965" s="444">
        <f t="shared" ca="1" si="80"/>
        <v>-14242053.889073553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-14242053.889073553</v>
      </c>
      <c r="J966" s="444">
        <f t="array" ref="J966">IFERROR(INDEX('Retirement Calculator'!J:J,MATCH('Isaac 401k'!N966,'Retirement Calculator'!A:A,0),0),0)</f>
        <v>8395.6297298201844</v>
      </c>
      <c r="K966" s="444">
        <f t="shared" ca="1" si="79"/>
        <v>-59376.872995014062</v>
      </c>
      <c r="L966" s="444">
        <f t="shared" ca="1" si="80"/>
        <v>-14309826.391798386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-14309826.391798386</v>
      </c>
      <c r="J967" s="444">
        <f t="array" ref="J967">IFERROR(INDEX('Retirement Calculator'!J:J,MATCH('Isaac 401k'!N967,'Retirement Calculator'!A:A,0),0),0)</f>
        <v>8395.6297298201844</v>
      </c>
      <c r="K967" s="444">
        <f t="shared" ca="1" si="79"/>
        <v>-59659.258423034196</v>
      </c>
      <c r="L967" s="444">
        <f t="shared" ca="1" si="80"/>
        <v>-14377881.279951241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-14377881.279951241</v>
      </c>
      <c r="J968" s="444">
        <f t="array" ref="J968">IFERROR(INDEX('Retirement Calculator'!J:J,MATCH('Isaac 401k'!N968,'Retirement Calculator'!A:A,0),0),0)</f>
        <v>8395.6297298201844</v>
      </c>
      <c r="K968" s="444">
        <f t="shared" ca="1" si="79"/>
        <v>-59942.820457004418</v>
      </c>
      <c r="L968" s="444">
        <f t="shared" ca="1" si="80"/>
        <v>-14446219.730138065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-14446219.730138065</v>
      </c>
      <c r="J969" s="444">
        <f t="array" ref="J969">IFERROR(INDEX('Retirement Calculator'!J:J,MATCH('Isaac 401k'!N969,'Retirement Calculator'!A:A,0),0),0)</f>
        <v>8395.6297298201844</v>
      </c>
      <c r="K969" s="444">
        <f t="shared" ca="1" si="79"/>
        <v>-60227.563999449521</v>
      </c>
      <c r="L969" s="444">
        <f t="shared" ca="1" si="80"/>
        <v>-14514842.923867336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-14514842.923867336</v>
      </c>
      <c r="J970" s="444">
        <f t="array" ref="J970">IFERROR(INDEX('Retirement Calculator'!J:J,MATCH('Isaac 401k'!N970,'Retirement Calculator'!A:A,0),0),0)</f>
        <v>8395.6297298201844</v>
      </c>
      <c r="K970" s="444">
        <f t="shared" ca="1" si="79"/>
        <v>-60513.493973321478</v>
      </c>
      <c r="L970" s="444">
        <f t="shared" ca="1" si="80"/>
        <v>-14583752.047570478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-14583752.047570478</v>
      </c>
      <c r="J971" s="444">
        <f t="array" ref="J971">IFERROR(INDEX('Retirement Calculator'!J:J,MATCH('Isaac 401k'!N971,'Retirement Calculator'!A:A,0),0),0)</f>
        <v>8395.6297298201844</v>
      </c>
      <c r="K971" s="444">
        <f t="shared" ca="1" si="79"/>
        <v>-60800.615322084574</v>
      </c>
      <c r="L971" s="444">
        <f t="shared" ca="1" si="80"/>
        <v>-14652948.292622384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-14652948.292622384</v>
      </c>
      <c r="J972" s="444">
        <f t="array" ref="J972">IFERROR(INDEX('Retirement Calculator'!J:J,MATCH('Isaac 401k'!N972,'Retirement Calculator'!A:A,0),0),0)</f>
        <v>8395.6297298201844</v>
      </c>
      <c r="K972" s="444">
        <f t="shared" ca="1" si="79"/>
        <v>-61088.93300980085</v>
      </c>
      <c r="L972" s="444">
        <f t="shared" ca="1" si="80"/>
        <v>-14722432.855362006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-14722432.855362006</v>
      </c>
      <c r="J973" s="444">
        <f t="array" ref="J973">IFERROR(INDEX('Retirement Calculator'!J:J,MATCH('Isaac 401k'!N973,'Retirement Calculator'!A:A,0),0),0)</f>
        <v>8395.6297298201844</v>
      </c>
      <c r="K973" s="444">
        <f t="shared" ca="1" si="79"/>
        <v>-61378.45202121594</v>
      </c>
      <c r="L973" s="444">
        <f t="shared" ca="1" si="80"/>
        <v>-14792206.937113041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-14792206.937113041</v>
      </c>
      <c r="J974" s="444">
        <f t="array" ref="J974">IFERROR(INDEX('Retirement Calculator'!J:J,MATCH('Isaac 401k'!N974,'Retirement Calculator'!A:A,0),0),0)</f>
        <v>8395.6297298201844</v>
      </c>
      <c r="K974" s="444">
        <f t="shared" ca="1" si="79"/>
        <v>-61669.177361845257</v>
      </c>
      <c r="L974" s="444">
        <f t="shared" ca="1" si="80"/>
        <v>-14862271.744204707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-14862271.744204707</v>
      </c>
      <c r="J975" s="444">
        <f t="array" ref="J975">IFERROR(INDEX('Retirement Calculator'!J:J,MATCH('Isaac 401k'!N975,'Retirement Calculator'!A:A,0),0),0)</f>
        <v>8395.6297298201844</v>
      </c>
      <c r="K975" s="444">
        <f t="shared" ca="1" si="79"/>
        <v>-61961.114058060521</v>
      </c>
      <c r="L975" s="444">
        <f t="shared" ca="1" si="80"/>
        <v>-14932628.487992588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-14932628.487992588</v>
      </c>
      <c r="J976" s="444">
        <f t="array" ref="J976">IFERROR(INDEX('Retirement Calculator'!J:J,MATCH('Isaac 401k'!N976,'Retirement Calculator'!A:A,0),0),0)</f>
        <v>8395.6297298201844</v>
      </c>
      <c r="K976" s="444">
        <f t="shared" ca="1" si="79"/>
        <v>-62254.267157176713</v>
      </c>
      <c r="L976" s="444">
        <f t="shared" ca="1" si="80"/>
        <v>-15003278.384879585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-15003278.384879585</v>
      </c>
      <c r="J977" s="444">
        <f t="array" ref="J977">IFERROR(INDEX('Retirement Calculator'!J:J,MATCH('Isaac 401k'!N977,'Retirement Calculator'!A:A,0),0),0)</f>
        <v>8395.6297298201844</v>
      </c>
      <c r="K977" s="444">
        <f t="shared" ca="1" si="79"/>
        <v>-62548.641727539194</v>
      </c>
      <c r="L977" s="444">
        <f t="shared" ca="1" si="80"/>
        <v>-15074222.656336945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-15074222.656336945</v>
      </c>
      <c r="J978" s="444">
        <f t="array" ref="J978">IFERROR(INDEX('Retirement Calculator'!J:J,MATCH('Isaac 401k'!N978,'Retirement Calculator'!A:A,0),0),0)</f>
        <v>8395.6297298201844</v>
      </c>
      <c r="K978" s="444">
        <f t="shared" ca="1" si="79"/>
        <v>-62844.24285861152</v>
      </c>
      <c r="L978" s="444">
        <f t="shared" ca="1" si="80"/>
        <v>-15145462.528925376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-15145462.528925376</v>
      </c>
      <c r="J979" s="444">
        <f t="array" ref="J979">IFERROR(INDEX('Retirement Calculator'!J:J,MATCH('Isaac 401k'!N979,'Retirement Calculator'!A:A,0),0),0)</f>
        <v>8395.6297298201844</v>
      </c>
      <c r="K979" s="444">
        <f t="shared" ca="1" si="79"/>
        <v>-63141.075661063325</v>
      </c>
      <c r="L979" s="444">
        <f t="shared" ca="1" si="80"/>
        <v>-15216999.23431626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-15216999.23431626</v>
      </c>
      <c r="J980" s="444">
        <f t="array" ref="J980">IFERROR(INDEX('Retirement Calculator'!J:J,MATCH('Isaac 401k'!N980,'Retirement Calculator'!A:A,0),0),0)</f>
        <v>8395.6297298201844</v>
      </c>
      <c r="K980" s="444">
        <f t="shared" ca="1" si="79"/>
        <v>-63439.145266858672</v>
      </c>
      <c r="L980" s="444">
        <f t="shared" ca="1" si="80"/>
        <v>-15288834.009312939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-15288834.009312939</v>
      </c>
      <c r="J981" s="444">
        <f t="array" ref="J981">IFERROR(INDEX('Retirement Calculator'!J:J,MATCH('Isaac 401k'!N981,'Retirement Calculator'!A:A,0),0),0)</f>
        <v>8395.6297298201844</v>
      </c>
      <c r="K981" s="444">
        <f t="shared" ca="1" si="79"/>
        <v>-63738.456829344832</v>
      </c>
      <c r="L981" s="444">
        <f t="shared" ca="1" si="80"/>
        <v>-15360968.095872104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-15360968.095872104</v>
      </c>
      <c r="J982" s="444">
        <f t="array" ref="J982">IFERROR(INDEX('Retirement Calculator'!J:J,MATCH('Isaac 401k'!N982,'Retirement Calculator'!A:A,0),0),0)</f>
        <v>8395.6297298201844</v>
      </c>
      <c r="K982" s="444">
        <f t="shared" ca="1" si="79"/>
        <v>-64039.015523341346</v>
      </c>
      <c r="L982" s="444">
        <f t="shared" ca="1" si="80"/>
        <v>-15433402.741125265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-15433402.741125265</v>
      </c>
      <c r="J983" s="444">
        <f t="array" ref="J983">IFERROR(INDEX('Retirement Calculator'!J:J,MATCH('Isaac 401k'!N983,'Retirement Calculator'!A:A,0),0),0)</f>
        <v>8395.6297298201844</v>
      </c>
      <c r="K983" s="444">
        <f t="shared" ca="1" si="79"/>
        <v>-64340.826545229524</v>
      </c>
      <c r="L983" s="444">
        <f t="shared" ca="1" si="80"/>
        <v>-15506139.197400315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-15506139.197400315</v>
      </c>
      <c r="J984" s="444">
        <f t="array" ref="J984">IFERROR(INDEX('Retirement Calculator'!J:J,MATCH('Isaac 401k'!N984,'Retirement Calculator'!A:A,0),0),0)</f>
        <v>8395.6297298201844</v>
      </c>
      <c r="K984" s="444">
        <f t="shared" ca="1" si="79"/>
        <v>-64643.895113042236</v>
      </c>
      <c r="L984" s="444">
        <f t="shared" ca="1" si="80"/>
        <v>-15579178.722243177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-15579178.722243177</v>
      </c>
      <c r="J985" s="444">
        <f t="array" ref="J985">IFERROR(INDEX('Retirement Calculator'!J:J,MATCH('Isaac 401k'!N985,'Retirement Calculator'!A:A,0),0),0)</f>
        <v>8395.6297298201844</v>
      </c>
      <c r="K985" s="444">
        <f t="shared" ca="1" si="79"/>
        <v>-64948.226466554159</v>
      </c>
      <c r="L985" s="444">
        <f t="shared" ca="1" si="80"/>
        <v>-15652522.57843955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-15652522.57843955</v>
      </c>
      <c r="J986" s="444">
        <f t="array" ref="J986">IFERROR(INDEX('Retirement Calculator'!J:J,MATCH('Isaac 401k'!N986,'Retirement Calculator'!A:A,0),0),0)</f>
        <v>8395.6297298201844</v>
      </c>
      <c r="K986" s="444">
        <f t="shared" ca="1" si="79"/>
        <v>-65253.825867372376</v>
      </c>
      <c r="L986" s="444">
        <f t="shared" ca="1" si="80"/>
        <v>-15726172.034036743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-15726172.034036743</v>
      </c>
      <c r="J987" s="444">
        <f t="array" ref="J987">IFERROR(INDEX('Retirement Calculator'!J:J,MATCH('Isaac 401k'!N987,'Retirement Calculator'!A:A,0),0),0)</f>
        <v>8395.6297298201844</v>
      </c>
      <c r="K987" s="444">
        <f t="shared" ca="1" si="79"/>
        <v>-65560.698599027353</v>
      </c>
      <c r="L987" s="444">
        <f t="shared" ca="1" si="80"/>
        <v>-15800128.36236559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-15800128.36236559</v>
      </c>
      <c r="J988" s="444">
        <f t="array" ref="J988">IFERROR(INDEX('Retirement Calculator'!J:J,MATCH('Isaac 401k'!N988,'Retirement Calculator'!A:A,0),0),0)</f>
        <v>8395.6297298201844</v>
      </c>
      <c r="K988" s="444">
        <f t="shared" ca="1" si="79"/>
        <v>-65868.849967064205</v>
      </c>
      <c r="L988" s="444">
        <f t="shared" ca="1" si="80"/>
        <v>-15874392.842062475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-15874392.842062475</v>
      </c>
      <c r="J989" s="444">
        <f t="array" ref="J989">IFERROR(INDEX('Retirement Calculator'!J:J,MATCH('Isaac 401k'!N989,'Retirement Calculator'!A:A,0),0),0)</f>
        <v>8395.6297298201844</v>
      </c>
      <c r="K989" s="444">
        <f t="shared" ca="1" si="79"/>
        <v>-66178.285299134557</v>
      </c>
      <c r="L989" s="444">
        <f t="shared" ca="1" si="80"/>
        <v>-15948966.757091431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-15948966.757091431</v>
      </c>
      <c r="J990" s="444">
        <f t="array" ref="J990">IFERROR(INDEX('Retirement Calculator'!J:J,MATCH('Isaac 401k'!N990,'Retirement Calculator'!A:A,0),0),0)</f>
        <v>8395.6297298201844</v>
      </c>
      <c r="K990" s="444">
        <f t="shared" ca="1" si="79"/>
        <v>-66489.009945088532</v>
      </c>
      <c r="L990" s="444">
        <f t="shared" ca="1" si="80"/>
        <v>-16023851.39676634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-16023851.39676634</v>
      </c>
      <c r="J991" s="444">
        <f t="array" ref="J991">IFERROR(INDEX('Retirement Calculator'!J:J,MATCH('Isaac 401k'!N991,'Retirement Calculator'!A:A,0),0),0)</f>
        <v>8395.6297298201844</v>
      </c>
      <c r="K991" s="444">
        <f t="shared" ca="1" si="79"/>
        <v>-66801.02927706734</v>
      </c>
      <c r="L991" s="444">
        <f t="shared" ca="1" si="80"/>
        <v>-16099048.055773228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-16099048.055773228</v>
      </c>
      <c r="J992" s="444">
        <f t="array" ref="J992">IFERROR(INDEX('Retirement Calculator'!J:J,MATCH('Isaac 401k'!N992,'Retirement Calculator'!A:A,0),0),0)</f>
        <v>8395.6297298201844</v>
      </c>
      <c r="K992" s="444">
        <f t="shared" ca="1" si="79"/>
        <v>-67114.348689596023</v>
      </c>
      <c r="L992" s="444">
        <f t="shared" ca="1" si="80"/>
        <v>-16174558.034192644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-16174558.034192644</v>
      </c>
      <c r="J993" s="444">
        <f t="array" ref="J993">IFERROR(INDEX('Retirement Calculator'!J:J,MATCH('Isaac 401k'!N993,'Retirement Calculator'!A:A,0),0),0)</f>
        <v>8395.6297298201844</v>
      </c>
      <c r="K993" s="444">
        <f t="shared" ca="1" si="79"/>
        <v>-67428.973599676945</v>
      </c>
      <c r="L993" s="444">
        <f t="shared" ca="1" si="80"/>
        <v>-16250382.637522141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-16250382.637522141</v>
      </c>
      <c r="J994" s="444">
        <f t="array" ref="J994">IFERROR(INDEX('Retirement Calculator'!J:J,MATCH('Isaac 401k'!N994,'Retirement Calculator'!A:A,0),0),0)</f>
        <v>8395.6297298201844</v>
      </c>
      <c r="K994" s="444">
        <f t="shared" ca="1" si="79"/>
        <v>-67744.909446883175</v>
      </c>
      <c r="L994" s="444">
        <f t="shared" ca="1" si="80"/>
        <v>-16326523.176698845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-16326523.176698845</v>
      </c>
      <c r="J995" s="444">
        <f t="array" ref="J995">IFERROR(INDEX('Retirement Calculator'!J:J,MATCH('Isaac 401k'!N995,'Retirement Calculator'!A:A,0),0),0)</f>
        <v>8395.6297298201844</v>
      </c>
      <c r="K995" s="444">
        <f t="shared" ca="1" si="79"/>
        <v>-68062.16169345277</v>
      </c>
      <c r="L995" s="444">
        <f t="shared" ca="1" si="80"/>
        <v>-16402980.968122117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-16402980.968122117</v>
      </c>
      <c r="J996" s="444">
        <f t="array" ref="J996">IFERROR(INDEX('Retirement Calculator'!J:J,MATCH('Isaac 401k'!N996,'Retirement Calculator'!A:A,0),0),0)</f>
        <v>8395.6297298201844</v>
      </c>
      <c r="K996" s="444">
        <f t="shared" ca="1" si="79"/>
        <v>-68380.735824383082</v>
      </c>
      <c r="L996" s="444">
        <f t="shared" ca="1" si="80"/>
        <v>-16479757.333676321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-16479757.333676321</v>
      </c>
      <c r="J997" s="444">
        <f t="array" ref="J997">IFERROR(INDEX('Retirement Calculator'!J:J,MATCH('Isaac 401k'!N997,'Retirement Calculator'!A:A,0),0),0)</f>
        <v>8395.6297298201844</v>
      </c>
      <c r="K997" s="444">
        <f t="shared" ca="1" si="79"/>
        <v>-68700.637347525597</v>
      </c>
      <c r="L997" s="444">
        <f t="shared" ca="1" si="80"/>
        <v>-16556853.600753667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-16556853.600753667</v>
      </c>
      <c r="J998" s="444">
        <f t="array" ref="J998">IFERROR(INDEX('Retirement Calculator'!J:J,MATCH('Isaac 401k'!N998,'Retirement Calculator'!A:A,0),0),0)</f>
        <v>8395.6297298201844</v>
      </c>
      <c r="K998" s="444">
        <f t="shared" ca="1" si="79"/>
        <v>-69021.871793681203</v>
      </c>
      <c r="L998" s="444">
        <f t="shared" ca="1" si="80"/>
        <v>-16634271.102277169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-16634271.102277169</v>
      </c>
      <c r="J999" s="444">
        <f t="array" ref="J999">IFERROR(INDEX('Retirement Calculator'!J:J,MATCH('Isaac 401k'!N999,'Retirement Calculator'!A:A,0),0),0)</f>
        <v>8395.6297298201844</v>
      </c>
      <c r="K999" s="444">
        <f t="shared" ca="1" si="79"/>
        <v>-69344.444716695783</v>
      </c>
      <c r="L999" s="444">
        <f t="shared" ca="1" si="80"/>
        <v>-16712011.176723685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-16712011.176723685</v>
      </c>
      <c r="J1000" s="444">
        <f t="array" ref="J1000">IFERROR(INDEX('Retirement Calculator'!J:J,MATCH('Isaac 401k'!N1000,'Retirement Calculator'!A:A,0),0),0)</f>
        <v>8395.6297298201844</v>
      </c>
      <c r="K1000" s="444">
        <f t="shared" ca="1" si="79"/>
        <v>-69668.361693556275</v>
      </c>
      <c r="L1000" s="444">
        <f t="shared" ca="1" si="80"/>
        <v>-16790075.168147061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-16790075.168147061</v>
      </c>
      <c r="J1001" s="444">
        <f t="array" ref="J1001">IFERROR(INDEX('Retirement Calculator'!J:J,MATCH('Isaac 401k'!N1001,'Retirement Calculator'!A:A,0),0),0)</f>
        <v>8395.6297298201844</v>
      </c>
      <c r="K1001" s="444">
        <f t="shared" ca="1" si="79"/>
        <v>-69993.628324486999</v>
      </c>
      <c r="L1001" s="444">
        <f t="shared" ca="1" si="80"/>
        <v>-16868464.426201366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-16868464.426201366</v>
      </c>
      <c r="J1002" s="444">
        <f t="array" ref="J1002">IFERROR(INDEX('Retirement Calculator'!J:J,MATCH('Isaac 401k'!N1002,'Retirement Calculator'!A:A,0),0),0)</f>
        <v>8395.6297298201844</v>
      </c>
      <c r="K1002" s="444">
        <f t="shared" ca="1" si="79"/>
        <v>-70320.250233046594</v>
      </c>
      <c r="L1002" s="444">
        <f t="shared" ca="1" si="80"/>
        <v>-16947180.306164231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-16947180.306164231</v>
      </c>
      <c r="J1003" s="444">
        <f t="array" ref="J1003">IFERROR(INDEX('Retirement Calculator'!J:J,MATCH('Isaac 401k'!N1003,'Retirement Calculator'!A:A,0),0),0)</f>
        <v>8395.6297298201844</v>
      </c>
      <c r="K1003" s="444">
        <f t="shared" ca="1" si="79"/>
        <v>-70648.233066225206</v>
      </c>
      <c r="L1003" s="444">
        <f t="shared" ca="1" si="80"/>
        <v>-17026224.168960273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>
        <f>G1003+1</f>
        <v>84</v>
      </c>
      <c r="H1004" s="459">
        <v>997</v>
      </c>
      <c r="I1004" s="444">
        <f t="shared" ca="1" si="81"/>
        <v>-17026224.168960273</v>
      </c>
      <c r="J1004" s="444">
        <f t="array" ref="J1004">IFERROR(INDEX('Retirement Calculator'!J:J,MATCH('Isaac 401k'!N1004,'Retirement Calculator'!A:A,0),0),0)</f>
        <v>8395.6297298201844</v>
      </c>
      <c r="K1004" s="444">
        <f t="shared" ca="1" si="79"/>
        <v>-70977.582494542046</v>
      </c>
      <c r="L1004" s="444">
        <f t="shared" ca="1" si="80"/>
        <v>-17105597.381184634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>
        <f t="shared" ref="G1005:G1015" si="103">G1004</f>
        <v>84</v>
      </c>
      <c r="H1005" s="459">
        <v>998</v>
      </c>
      <c r="I1005" s="444">
        <f t="shared" ca="1" si="81"/>
        <v>-17105597.381184634</v>
      </c>
      <c r="J1005" s="444">
        <f t="array" ref="J1005">IFERROR(INDEX('Retirement Calculator'!J:J,MATCH('Isaac 401k'!N1005,'Retirement Calculator'!A:A,0),0),0)</f>
        <v>8395.6297298201844</v>
      </c>
      <c r="K1005" s="444">
        <f t="shared" ca="1" si="79"/>
        <v>-71308.304212143557</v>
      </c>
      <c r="L1005" s="444">
        <f t="shared" ca="1" si="80"/>
        <v>-17185301.315126594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>
        <f t="shared" si="103"/>
        <v>84</v>
      </c>
      <c r="H1006" s="459">
        <v>999</v>
      </c>
      <c r="I1006" s="444">
        <f t="shared" ca="1" si="81"/>
        <v>-17185301.315126594</v>
      </c>
      <c r="J1006" s="444">
        <f t="array" ref="J1006">IFERROR(INDEX('Retirement Calculator'!J:J,MATCH('Isaac 401k'!N1006,'Retirement Calculator'!A:A,0),0),0)</f>
        <v>8395.6297298201844</v>
      </c>
      <c r="K1006" s="444">
        <f t="shared" ca="1" si="79"/>
        <v>-71640.403936901712</v>
      </c>
      <c r="L1006" s="444">
        <f t="shared" ca="1" si="80"/>
        <v>-17265337.348793313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>
        <f t="shared" si="103"/>
        <v>84</v>
      </c>
      <c r="H1007" s="459">
        <v>1000</v>
      </c>
      <c r="I1007" s="444">
        <f t="shared" ca="1" si="81"/>
        <v>-17265337.348793313</v>
      </c>
      <c r="J1007" s="444">
        <f t="array" ref="J1007">IFERROR(INDEX('Retirement Calculator'!J:J,MATCH('Isaac 401k'!N1007,'Retirement Calculator'!A:A,0),0),0)</f>
        <v>8395.6297298201844</v>
      </c>
      <c r="K1007" s="444">
        <f t="shared" ca="1" si="79"/>
        <v>-71973.887410513053</v>
      </c>
      <c r="L1007" s="444">
        <f t="shared" ca="1" si="80"/>
        <v>-17345706.865933646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>
        <f t="shared" si="103"/>
        <v>84</v>
      </c>
      <c r="H1008" s="459">
        <v>1001</v>
      </c>
      <c r="I1008" s="444">
        <f t="shared" ca="1" si="81"/>
        <v>-17345706.865933646</v>
      </c>
      <c r="J1008" s="444">
        <f t="array" ref="J1008">IFERROR(INDEX('Retirement Calculator'!J:J,MATCH('Isaac 401k'!N1008,'Retirement Calculator'!A:A,0),0),0)</f>
        <v>8395.6297298201844</v>
      </c>
      <c r="K1008" s="444">
        <f t="shared" ca="1" si="79"/>
        <v>-72308.760398597762</v>
      </c>
      <c r="L1008" s="444">
        <f t="shared" ca="1" si="80"/>
        <v>-17426411.256062061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>
        <f t="shared" si="103"/>
        <v>84</v>
      </c>
      <c r="H1009" s="459">
        <v>1002</v>
      </c>
      <c r="I1009" s="444">
        <f t="shared" ca="1" si="81"/>
        <v>-17426411.256062061</v>
      </c>
      <c r="J1009" s="444">
        <f t="array" ref="J1009">IFERROR(INDEX('Retirement Calculator'!J:J,MATCH('Isaac 401k'!N1009,'Retirement Calculator'!A:A,0),0),0)</f>
        <v>8395.6297298201844</v>
      </c>
      <c r="K1009" s="444">
        <f t="shared" ca="1" si="79"/>
        <v>-72645.028690799489</v>
      </c>
      <c r="L1009" s="444">
        <f t="shared" ca="1" si="80"/>
        <v>-17507451.914482679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>
        <f t="shared" si="103"/>
        <v>84</v>
      </c>
      <c r="H1010" s="459">
        <v>1003</v>
      </c>
      <c r="I1010" s="444">
        <f t="shared" ca="1" si="81"/>
        <v>-17507451.914482679</v>
      </c>
      <c r="J1010" s="444">
        <f t="array" ref="J1010">IFERROR(INDEX('Retirement Calculator'!J:J,MATCH('Isaac 401k'!N1010,'Retirement Calculator'!A:A,0),0),0)</f>
        <v>8395.6297298201844</v>
      </c>
      <c r="K1010" s="444">
        <f t="shared" ca="1" si="79"/>
        <v>-72982.698100885405</v>
      </c>
      <c r="L1010" s="444">
        <f t="shared" ca="1" si="80"/>
        <v>-17588830.242313385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>
        <f t="shared" si="103"/>
        <v>84</v>
      </c>
      <c r="H1011" s="459">
        <v>1004</v>
      </c>
      <c r="I1011" s="444">
        <f t="shared" ca="1" si="81"/>
        <v>-17588830.242313385</v>
      </c>
      <c r="J1011" s="444">
        <f t="array" ref="J1011">IFERROR(INDEX('Retirement Calculator'!J:J,MATCH('Isaac 401k'!N1011,'Retirement Calculator'!A:A,0),0),0)</f>
        <v>8395.6297298201844</v>
      </c>
      <c r="K1011" s="444">
        <f t="shared" ca="1" si="79"/>
        <v>-73321.774466846677</v>
      </c>
      <c r="L1011" s="444">
        <f t="shared" ca="1" si="80"/>
        <v>-17670547.64651005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>
        <f t="shared" si="103"/>
        <v>84</v>
      </c>
      <c r="H1012" s="459">
        <v>1005</v>
      </c>
      <c r="I1012" s="444">
        <f t="shared" ca="1" si="81"/>
        <v>-17670547.64651005</v>
      </c>
      <c r="J1012" s="444">
        <f t="array" ref="J1012">IFERROR(INDEX('Retirement Calculator'!J:J,MATCH('Isaac 401k'!N1012,'Retirement Calculator'!A:A,0),0),0)</f>
        <v>8395.6297298201844</v>
      </c>
      <c r="K1012" s="444">
        <f t="shared" ca="1" si="79"/>
        <v>-73662.263650999448</v>
      </c>
      <c r="L1012" s="444">
        <f t="shared" ca="1" si="80"/>
        <v>-17752605.539890867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>
        <f t="shared" si="103"/>
        <v>84</v>
      </c>
      <c r="H1013" s="459">
        <v>1006</v>
      </c>
      <c r="I1013" s="444">
        <f t="shared" ca="1" si="81"/>
        <v>-17752605.539890867</v>
      </c>
      <c r="J1013" s="444">
        <f t="array" ref="J1013">IFERROR(INDEX('Retirement Calculator'!J:J,MATCH('Isaac 401k'!N1013,'Retirement Calculator'!A:A,0),0),0)</f>
        <v>8395.6297298201844</v>
      </c>
      <c r="K1013" s="444">
        <f t="shared" ca="1" si="79"/>
        <v>-74004.171540086187</v>
      </c>
      <c r="L1013" s="444">
        <f t="shared" ca="1" si="80"/>
        <v>-17835005.341160771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>
        <f t="shared" si="103"/>
        <v>84</v>
      </c>
      <c r="H1014" s="459">
        <v>1007</v>
      </c>
      <c r="I1014" s="444">
        <f t="shared" ca="1" si="81"/>
        <v>-17835005.341160771</v>
      </c>
      <c r="J1014" s="444">
        <f t="array" ref="J1014">IFERROR(INDEX('Retirement Calculator'!J:J,MATCH('Isaac 401k'!N1014,'Retirement Calculator'!A:A,0),0),0)</f>
        <v>8395.6297298201844</v>
      </c>
      <c r="K1014" s="444">
        <f t="shared" ca="1" si="79"/>
        <v>-74347.504045377456</v>
      </c>
      <c r="L1014" s="444">
        <f t="shared" ca="1" si="80"/>
        <v>-17917748.474935967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>
        <f t="shared" si="103"/>
        <v>84</v>
      </c>
      <c r="H1015" s="459">
        <v>1008</v>
      </c>
      <c r="I1015" s="444">
        <f t="shared" ca="1" si="81"/>
        <v>-17917748.474935967</v>
      </c>
      <c r="J1015" s="444">
        <f t="array" ref="J1015">IFERROR(INDEX('Retirement Calculator'!J:J,MATCH('Isaac 401k'!N1015,'Retirement Calculator'!A:A,0),0),0)</f>
        <v>8395.6297298201844</v>
      </c>
      <c r="K1015" s="444">
        <f t="shared" ca="1" si="79"/>
        <v>-74692.267102774102</v>
      </c>
      <c r="L1015" s="444">
        <f t="shared" ca="1" si="80"/>
        <v>-18000836.37176856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>
        <f>G1015+1</f>
        <v>85</v>
      </c>
      <c r="H1016" s="459">
        <v>1009</v>
      </c>
      <c r="I1016" s="444">
        <f t="shared" ca="1" si="81"/>
        <v>-18000836.37176856</v>
      </c>
      <c r="J1016" s="444">
        <f t="array" ref="J1016">IFERROR(INDEX('Retirement Calculator'!J:J,MATCH('Isaac 401k'!N1016,'Retirement Calculator'!A:A,0),0),0)</f>
        <v>8395.6297298201844</v>
      </c>
      <c r="K1016" s="444">
        <f t="shared" ca="1" si="79"/>
        <v>-75038.466672909912</v>
      </c>
      <c r="L1016" s="444">
        <f t="shared" ca="1" si="80"/>
        <v>-18084270.468171287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>
        <f t="shared" ref="G1017:G1027" si="104">G1016</f>
        <v>85</v>
      </c>
      <c r="H1017" s="459">
        <v>1010</v>
      </c>
      <c r="I1017" s="444">
        <f t="shared" ca="1" si="81"/>
        <v>-18084270.468171287</v>
      </c>
      <c r="J1017" s="444">
        <f t="array" ref="J1017">IFERROR(INDEX('Retirement Calculator'!J:J,MATCH('Isaac 401k'!N1017,'Retirement Calculator'!A:A,0),0),0)</f>
        <v>8395.6297298201844</v>
      </c>
      <c r="K1017" s="444">
        <f t="shared" ca="1" si="79"/>
        <v>-75386.108741254604</v>
      </c>
      <c r="L1017" s="444">
        <f t="shared" ca="1" si="80"/>
        <v>-18168052.206642359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>
        <f t="shared" si="104"/>
        <v>85</v>
      </c>
      <c r="H1018" s="459">
        <v>1011</v>
      </c>
      <c r="I1018" s="444">
        <f t="shared" ca="1" si="81"/>
        <v>-18168052.206642359</v>
      </c>
      <c r="J1018" s="444">
        <f t="array" ref="J1018">IFERROR(INDEX('Retirement Calculator'!J:J,MATCH('Isaac 401k'!N1018,'Retirement Calculator'!A:A,0),0),0)</f>
        <v>8395.6297298201844</v>
      </c>
      <c r="K1018" s="444">
        <f t="shared" ca="1" si="79"/>
        <v>-75735.199318217405</v>
      </c>
      <c r="L1018" s="444">
        <f t="shared" ca="1" si="80"/>
        <v>-18252183.035690397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>
        <f t="shared" si="104"/>
        <v>85</v>
      </c>
      <c r="H1019" s="459">
        <v>1012</v>
      </c>
      <c r="I1019" s="444">
        <f t="shared" ca="1" si="81"/>
        <v>-18252183.035690397</v>
      </c>
      <c r="J1019" s="444">
        <f t="array" ref="J1019">IFERROR(INDEX('Retirement Calculator'!J:J,MATCH('Isaac 401k'!N1019,'Retirement Calculator'!A:A,0),0),0)</f>
        <v>8395.6297298201844</v>
      </c>
      <c r="K1019" s="444">
        <f t="shared" ca="1" si="79"/>
        <v>-76085.744439250891</v>
      </c>
      <c r="L1019" s="444">
        <f t="shared" ca="1" si="80"/>
        <v>-18336664.409859467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>
        <f t="shared" si="104"/>
        <v>85</v>
      </c>
      <c r="H1020" s="459">
        <v>1013</v>
      </c>
      <c r="I1020" s="444">
        <f t="shared" ca="1" si="81"/>
        <v>-18336664.409859467</v>
      </c>
      <c r="J1020" s="444">
        <f t="array" ref="J1020">IFERROR(INDEX('Retirement Calculator'!J:J,MATCH('Isaac 401k'!N1020,'Retirement Calculator'!A:A,0),0),0)</f>
        <v>8395.6297298201844</v>
      </c>
      <c r="K1020" s="444">
        <f t="shared" ca="1" si="79"/>
        <v>-76437.75016495536</v>
      </c>
      <c r="L1020" s="444">
        <f t="shared" ca="1" si="80"/>
        <v>-18421497.789754242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>
        <f t="shared" si="104"/>
        <v>85</v>
      </c>
      <c r="H1021" s="459">
        <v>1014</v>
      </c>
      <c r="I1021" s="444">
        <f t="shared" ca="1" si="81"/>
        <v>-18421497.789754242</v>
      </c>
      <c r="J1021" s="444">
        <f t="array" ref="J1021">IFERROR(INDEX('Retirement Calculator'!J:J,MATCH('Isaac 401k'!N1021,'Retirement Calculator'!A:A,0),0),0)</f>
        <v>8395.6297298201844</v>
      </c>
      <c r="K1021" s="444">
        <f t="shared" ca="1" si="79"/>
        <v>-76791.222581183581</v>
      </c>
      <c r="L1021" s="444">
        <f t="shared" ca="1" si="80"/>
        <v>-18506684.642065246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>
        <f t="shared" si="104"/>
        <v>85</v>
      </c>
      <c r="H1022" s="459">
        <v>1015</v>
      </c>
      <c r="I1022" s="444">
        <f t="shared" ca="1" si="81"/>
        <v>-18506684.642065246</v>
      </c>
      <c r="J1022" s="444">
        <f t="array" ref="J1022">IFERROR(INDEX('Retirement Calculator'!J:J,MATCH('Isaac 401k'!N1022,'Retirement Calculator'!A:A,0),0),0)</f>
        <v>8395.6297298201844</v>
      </c>
      <c r="K1022" s="444">
        <f t="shared" ca="1" si="79"/>
        <v>-77146.167799146104</v>
      </c>
      <c r="L1022" s="444">
        <f t="shared" ca="1" si="80"/>
        <v>-18592226.439594209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>
        <f t="shared" si="104"/>
        <v>85</v>
      </c>
      <c r="H1023" s="459">
        <v>1016</v>
      </c>
      <c r="I1023" s="444">
        <f t="shared" ca="1" si="81"/>
        <v>-18592226.439594209</v>
      </c>
      <c r="J1023" s="444">
        <f t="array" ref="J1023">IFERROR(INDEX('Retirement Calculator'!J:J,MATCH('Isaac 401k'!N1023,'Retirement Calculator'!A:A,0),0),0)</f>
        <v>8395.6297298201844</v>
      </c>
      <c r="K1023" s="444">
        <f t="shared" ca="1" si="79"/>
        <v>-77502.591955516778</v>
      </c>
      <c r="L1023" s="444">
        <f t="shared" ca="1" si="80"/>
        <v>-18678124.661279544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>
        <f t="shared" si="104"/>
        <v>85</v>
      </c>
      <c r="H1024" s="459">
        <v>1017</v>
      </c>
      <c r="I1024" s="444">
        <f t="shared" ca="1" si="81"/>
        <v>-18678124.661279544</v>
      </c>
      <c r="J1024" s="444">
        <f t="array" ref="J1024">IFERROR(INDEX('Retirement Calculator'!J:J,MATCH('Isaac 401k'!N1024,'Retirement Calculator'!A:A,0),0),0)</f>
        <v>8395.6297298201844</v>
      </c>
      <c r="K1024" s="444">
        <f t="shared" ca="1" si="79"/>
        <v>-77860.501212539006</v>
      </c>
      <c r="L1024" s="444">
        <f t="shared" ca="1" si="80"/>
        <v>-18764380.7922219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>
        <f t="shared" si="104"/>
        <v>85</v>
      </c>
      <c r="H1025" s="459">
        <v>1018</v>
      </c>
      <c r="I1025" s="444">
        <f t="shared" ca="1" si="81"/>
        <v>-18764380.7922219</v>
      </c>
      <c r="J1025" s="444">
        <f t="array" ref="J1025">IFERROR(INDEX('Retirement Calculator'!J:J,MATCH('Isaac 401k'!N1025,'Retirement Calculator'!A:A,0),0),0)</f>
        <v>8395.6297298201844</v>
      </c>
      <c r="K1025" s="444">
        <f t="shared" ca="1" si="79"/>
        <v>-78219.901758132153</v>
      </c>
      <c r="L1025" s="444">
        <f t="shared" ca="1" si="80"/>
        <v>-18850996.323709849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>
        <f t="shared" si="104"/>
        <v>85</v>
      </c>
      <c r="H1026" s="459">
        <v>1019</v>
      </c>
      <c r="I1026" s="444">
        <f t="shared" ca="1" si="81"/>
        <v>-18850996.323709849</v>
      </c>
      <c r="J1026" s="444">
        <f t="array" ref="J1026">IFERROR(INDEX('Retirement Calculator'!J:J,MATCH('Isaac 401k'!N1026,'Retirement Calculator'!A:A,0),0),0)</f>
        <v>8395.6297298201844</v>
      </c>
      <c r="K1026" s="444">
        <f t="shared" ca="1" si="79"/>
        <v>-78580.799805998613</v>
      </c>
      <c r="L1026" s="444">
        <f t="shared" ca="1" si="80"/>
        <v>-18937972.753245667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>
        <f t="shared" si="104"/>
        <v>85</v>
      </c>
      <c r="H1027" s="459">
        <v>1020</v>
      </c>
      <c r="I1027" s="444">
        <f t="shared" ca="1" si="81"/>
        <v>-18937972.753245667</v>
      </c>
      <c r="J1027" s="444">
        <f t="array" ref="J1027">IFERROR(INDEX('Retirement Calculator'!J:J,MATCH('Isaac 401k'!N1027,'Retirement Calculator'!A:A,0),0),0)</f>
        <v>8395.6297298201844</v>
      </c>
      <c r="K1027" s="444">
        <f t="shared" ca="1" si="79"/>
        <v>-78943.201595731181</v>
      </c>
      <c r="L1027" s="444">
        <f t="shared" ca="1" si="80"/>
        <v>-19025311.584571216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>
        <f>G1027+1</f>
        <v>86</v>
      </c>
      <c r="H1028" s="459">
        <v>1021</v>
      </c>
      <c r="I1028" s="444">
        <f t="shared" ca="1" si="81"/>
        <v>-19025311.584571216</v>
      </c>
      <c r="J1028" s="444">
        <f t="array" ref="J1028">IFERROR(INDEX('Retirement Calculator'!J:J,MATCH('Isaac 401k'!N1028,'Retirement Calculator'!A:A,0),0),0)</f>
        <v>8395.6297298201844</v>
      </c>
      <c r="K1028" s="444">
        <f t="shared" ref="K1028:K1282" ca="1" si="105">IPMT(M1028/12,1,12,-I1028+J1028,,0)</f>
        <v>-79307.113392920975</v>
      </c>
      <c r="L1028" s="444">
        <f t="shared" ref="L1028:L1282" ca="1" si="106">I1028-J1028+K1028</f>
        <v>-19113014.327693954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>
        <f t="shared" ref="G1029:G1039" si="107">G1028</f>
        <v>86</v>
      </c>
      <c r="H1029" s="459">
        <v>1022</v>
      </c>
      <c r="I1029" s="444">
        <f t="shared" ref="I1029:I1283" ca="1" si="108">L1028</f>
        <v>-19113014.327693954</v>
      </c>
      <c r="J1029" s="444">
        <f t="array" ref="J1029">IFERROR(INDEX('Retirement Calculator'!J:J,MATCH('Isaac 401k'!N1029,'Retirement Calculator'!A:A,0),0),0)</f>
        <v>8395.6297298201844</v>
      </c>
      <c r="K1029" s="444">
        <f t="shared" ca="1" si="105"/>
        <v>-79672.541489265714</v>
      </c>
      <c r="L1029" s="444">
        <f t="shared" ca="1" si="106"/>
        <v>-19201082.498913039</v>
      </c>
      <c r="M1029" s="460">
        <f t="shared" ref="M1029:M1283" si="109">M1028</f>
        <v>0.05</v>
      </c>
      <c r="N1029" s="464">
        <f t="shared" ref="N1029:N1283" si="110">EDATE(N1028,1)</f>
        <v>82363</v>
      </c>
    </row>
    <row r="1030" spans="7:14" ht="11.25" customHeight="1" x14ac:dyDescent="0.3">
      <c r="G1030" s="459">
        <f t="shared" si="107"/>
        <v>86</v>
      </c>
      <c r="H1030" s="459">
        <v>1023</v>
      </c>
      <c r="I1030" s="444">
        <f t="shared" ca="1" si="108"/>
        <v>-19201082.498913039</v>
      </c>
      <c r="J1030" s="444">
        <f t="array" ref="J1030">IFERROR(INDEX('Retirement Calculator'!J:J,MATCH('Isaac 401k'!N1030,'Retirement Calculator'!A:A,0),0),0)</f>
        <v>8395.6297298201844</v>
      </c>
      <c r="K1030" s="444">
        <f t="shared" ca="1" si="105"/>
        <v>-80039.492202678564</v>
      </c>
      <c r="L1030" s="444">
        <f t="shared" ca="1" si="106"/>
        <v>-19289517.620845534</v>
      </c>
      <c r="M1030" s="460">
        <f t="shared" si="109"/>
        <v>0.05</v>
      </c>
      <c r="N1030" s="464">
        <f t="shared" si="110"/>
        <v>82394</v>
      </c>
    </row>
    <row r="1031" spans="7:14" ht="11.25" customHeight="1" x14ac:dyDescent="0.3">
      <c r="G1031" s="459">
        <f t="shared" si="107"/>
        <v>86</v>
      </c>
      <c r="H1031" s="459">
        <v>1024</v>
      </c>
      <c r="I1031" s="444">
        <f t="shared" ca="1" si="108"/>
        <v>-19289517.620845534</v>
      </c>
      <c r="J1031" s="444">
        <f t="array" ref="J1031">IFERROR(INDEX('Retirement Calculator'!J:J,MATCH('Isaac 401k'!N1031,'Retirement Calculator'!A:A,0),0),0)</f>
        <v>8395.6297298201844</v>
      </c>
      <c r="K1031" s="444">
        <f t="shared" ca="1" si="105"/>
        <v>-80407.9718773973</v>
      </c>
      <c r="L1031" s="444">
        <f t="shared" ca="1" si="106"/>
        <v>-19378321.222452749</v>
      </c>
      <c r="M1031" s="460">
        <f t="shared" si="109"/>
        <v>0.05</v>
      </c>
      <c r="N1031" s="464">
        <f t="shared" si="110"/>
        <v>82425</v>
      </c>
    </row>
    <row r="1032" spans="7:14" ht="11.25" customHeight="1" x14ac:dyDescent="0.3">
      <c r="G1032" s="459">
        <f t="shared" si="107"/>
        <v>86</v>
      </c>
      <c r="H1032" s="459">
        <v>1025</v>
      </c>
      <c r="I1032" s="444">
        <f t="shared" ca="1" si="108"/>
        <v>-19378321.222452749</v>
      </c>
      <c r="J1032" s="444">
        <f t="array" ref="J1032">IFERROR(INDEX('Retirement Calculator'!J:J,MATCH('Isaac 401k'!N1032,'Retirement Calculator'!A:A,0),0),0)</f>
        <v>8395.6297298201844</v>
      </c>
      <c r="K1032" s="444">
        <f t="shared" ca="1" si="105"/>
        <v>-80777.986884094033</v>
      </c>
      <c r="L1032" s="444">
        <f t="shared" ca="1" si="106"/>
        <v>-19467494.839066662</v>
      </c>
      <c r="M1032" s="460">
        <f t="shared" si="109"/>
        <v>0.05</v>
      </c>
      <c r="N1032" s="464">
        <f t="shared" si="110"/>
        <v>82455</v>
      </c>
    </row>
    <row r="1033" spans="7:14" ht="11.25" customHeight="1" x14ac:dyDescent="0.3">
      <c r="G1033" s="459">
        <f t="shared" si="107"/>
        <v>86</v>
      </c>
      <c r="H1033" s="459">
        <v>1026</v>
      </c>
      <c r="I1033" s="444">
        <f t="shared" ca="1" si="108"/>
        <v>-19467494.839066662</v>
      </c>
      <c r="J1033" s="444">
        <f t="array" ref="J1033">IFERROR(INDEX('Retirement Calculator'!J:J,MATCH('Isaac 401k'!N1033,'Retirement Calculator'!A:A,0),0),0)</f>
        <v>8395.6297298201844</v>
      </c>
      <c r="K1033" s="444">
        <f t="shared" ca="1" si="105"/>
        <v>-81149.543619985328</v>
      </c>
      <c r="L1033" s="444">
        <f t="shared" ca="1" si="106"/>
        <v>-19557040.012416467</v>
      </c>
      <c r="M1033" s="460">
        <f t="shared" si="109"/>
        <v>0.05</v>
      </c>
      <c r="N1033" s="464">
        <f t="shared" si="110"/>
        <v>82486</v>
      </c>
    </row>
    <row r="1034" spans="7:14" ht="11.25" customHeight="1" x14ac:dyDescent="0.3">
      <c r="G1034" s="459">
        <f t="shared" si="107"/>
        <v>86</v>
      </c>
      <c r="H1034" s="459">
        <v>1027</v>
      </c>
      <c r="I1034" s="444">
        <f t="shared" ca="1" si="108"/>
        <v>-19557040.012416467</v>
      </c>
      <c r="J1034" s="444">
        <f t="array" ref="J1034">IFERROR(INDEX('Retirement Calculator'!J:J,MATCH('Isaac 401k'!N1034,'Retirement Calculator'!A:A,0),0),0)</f>
        <v>8395.6297298201844</v>
      </c>
      <c r="K1034" s="444">
        <f t="shared" ca="1" si="105"/>
        <v>-81522.648508942861</v>
      </c>
      <c r="L1034" s="444">
        <f t="shared" ca="1" si="106"/>
        <v>-19646958.290655229</v>
      </c>
      <c r="M1034" s="460">
        <f t="shared" si="109"/>
        <v>0.05</v>
      </c>
      <c r="N1034" s="464">
        <f t="shared" si="110"/>
        <v>82516</v>
      </c>
    </row>
    <row r="1035" spans="7:14" ht="11.25" customHeight="1" x14ac:dyDescent="0.3">
      <c r="G1035" s="459">
        <f t="shared" si="107"/>
        <v>86</v>
      </c>
      <c r="H1035" s="459">
        <v>1028</v>
      </c>
      <c r="I1035" s="444">
        <f t="shared" ca="1" si="108"/>
        <v>-19646958.290655229</v>
      </c>
      <c r="J1035" s="444">
        <f t="array" ref="J1035">IFERROR(INDEX('Retirement Calculator'!J:J,MATCH('Isaac 401k'!N1035,'Retirement Calculator'!A:A,0),0),0)</f>
        <v>8395.6297298201844</v>
      </c>
      <c r="K1035" s="444">
        <f t="shared" ca="1" si="105"/>
        <v>-81897.308001604368</v>
      </c>
      <c r="L1035" s="444">
        <f t="shared" ca="1" si="106"/>
        <v>-19737251.228386652</v>
      </c>
      <c r="M1035" s="460">
        <f t="shared" si="109"/>
        <v>0.05</v>
      </c>
      <c r="N1035" s="464">
        <f t="shared" si="110"/>
        <v>82547</v>
      </c>
    </row>
    <row r="1036" spans="7:14" ht="11.25" customHeight="1" x14ac:dyDescent="0.3">
      <c r="G1036" s="459">
        <f t="shared" si="107"/>
        <v>86</v>
      </c>
      <c r="H1036" s="459">
        <v>1029</v>
      </c>
      <c r="I1036" s="444">
        <f t="shared" ca="1" si="108"/>
        <v>-19737251.228386652</v>
      </c>
      <c r="J1036" s="444">
        <f t="array" ref="J1036">IFERROR(INDEX('Retirement Calculator'!J:J,MATCH('Isaac 401k'!N1036,'Retirement Calculator'!A:A,0),0),0)</f>
        <v>8395.6297298201844</v>
      </c>
      <c r="K1036" s="444">
        <f t="shared" ca="1" si="105"/>
        <v>-82273.528575485296</v>
      </c>
      <c r="L1036" s="444">
        <f t="shared" ca="1" si="106"/>
        <v>-19827920.386691954</v>
      </c>
      <c r="M1036" s="460">
        <f t="shared" si="109"/>
        <v>0.05</v>
      </c>
      <c r="N1036" s="464">
        <f t="shared" si="110"/>
        <v>82578</v>
      </c>
    </row>
    <row r="1037" spans="7:14" ht="11.25" customHeight="1" x14ac:dyDescent="0.3">
      <c r="G1037" s="459">
        <f t="shared" si="107"/>
        <v>86</v>
      </c>
      <c r="H1037" s="459">
        <v>1030</v>
      </c>
      <c r="I1037" s="444">
        <f t="shared" ca="1" si="108"/>
        <v>-19827920.386691954</v>
      </c>
      <c r="J1037" s="444">
        <f t="array" ref="J1037">IFERROR(INDEX('Retirement Calculator'!J:J,MATCH('Isaac 401k'!N1037,'Retirement Calculator'!A:A,0),0),0)</f>
        <v>8395.6297298201844</v>
      </c>
      <c r="K1037" s="444">
        <f t="shared" ca="1" si="105"/>
        <v>-82651.316735090717</v>
      </c>
      <c r="L1037" s="444">
        <f t="shared" ca="1" si="106"/>
        <v>-19918967.333156865</v>
      </c>
      <c r="M1037" s="460">
        <f t="shared" si="109"/>
        <v>0.05</v>
      </c>
      <c r="N1037" s="464">
        <f t="shared" si="110"/>
        <v>82606</v>
      </c>
    </row>
    <row r="1038" spans="7:14" ht="11.25" customHeight="1" x14ac:dyDescent="0.3">
      <c r="G1038" s="459">
        <f t="shared" si="107"/>
        <v>86</v>
      </c>
      <c r="H1038" s="459">
        <v>1031</v>
      </c>
      <c r="I1038" s="444">
        <f t="shared" ca="1" si="108"/>
        <v>-19918967.333156865</v>
      </c>
      <c r="J1038" s="444">
        <f t="array" ref="J1038">IFERROR(INDEX('Retirement Calculator'!J:J,MATCH('Isaac 401k'!N1038,'Retirement Calculator'!A:A,0),0),0)</f>
        <v>8395.6297298201844</v>
      </c>
      <c r="K1038" s="444">
        <f t="shared" ca="1" si="105"/>
        <v>-83030.679012027846</v>
      </c>
      <c r="L1038" s="444">
        <f t="shared" ca="1" si="106"/>
        <v>-20010393.64189871</v>
      </c>
      <c r="M1038" s="460">
        <f t="shared" si="109"/>
        <v>0.05</v>
      </c>
      <c r="N1038" s="464">
        <f t="shared" si="110"/>
        <v>82637</v>
      </c>
    </row>
    <row r="1039" spans="7:14" ht="11.25" customHeight="1" x14ac:dyDescent="0.3">
      <c r="G1039" s="459">
        <f t="shared" si="107"/>
        <v>86</v>
      </c>
      <c r="H1039" s="459">
        <v>1032</v>
      </c>
      <c r="I1039" s="444">
        <f t="shared" ca="1" si="108"/>
        <v>-20010393.64189871</v>
      </c>
      <c r="J1039" s="444">
        <f t="array" ref="J1039">IFERROR(INDEX('Retirement Calculator'!J:J,MATCH('Isaac 401k'!N1039,'Retirement Calculator'!A:A,0),0),0)</f>
        <v>8395.6297298201844</v>
      </c>
      <c r="K1039" s="444">
        <f t="shared" ca="1" si="105"/>
        <v>-83411.621965118873</v>
      </c>
      <c r="L1039" s="444">
        <f t="shared" ca="1" si="106"/>
        <v>-20102200.893593647</v>
      </c>
      <c r="M1039" s="460">
        <f t="shared" si="109"/>
        <v>0.05</v>
      </c>
      <c r="N1039" s="464">
        <f t="shared" si="110"/>
        <v>82667</v>
      </c>
    </row>
    <row r="1040" spans="7:14" ht="11.25" customHeight="1" x14ac:dyDescent="0.3">
      <c r="G1040" s="459">
        <f>G1039+1</f>
        <v>87</v>
      </c>
      <c r="H1040" s="459">
        <v>1033</v>
      </c>
      <c r="I1040" s="444">
        <f t="shared" ca="1" si="108"/>
        <v>-20102200.893593647</v>
      </c>
      <c r="J1040" s="444">
        <f t="array" ref="J1040">IFERROR(INDEX('Retirement Calculator'!J:J,MATCH('Isaac 401k'!N1040,'Retirement Calculator'!A:A,0),0),0)</f>
        <v>8395.6297298201844</v>
      </c>
      <c r="K1040" s="444">
        <f t="shared" ca="1" si="105"/>
        <v>-83794.152180514444</v>
      </c>
      <c r="L1040" s="444">
        <f t="shared" ca="1" si="106"/>
        <v>-20194390.67550398</v>
      </c>
      <c r="M1040" s="460">
        <f t="shared" si="109"/>
        <v>0.05</v>
      </c>
      <c r="N1040" s="464">
        <f t="shared" si="110"/>
        <v>82698</v>
      </c>
    </row>
    <row r="1041" spans="7:14" ht="11.25" customHeight="1" x14ac:dyDescent="0.3">
      <c r="G1041" s="459">
        <f t="shared" ref="G1041:G1051" si="111">G1040</f>
        <v>87</v>
      </c>
      <c r="H1041" s="459">
        <v>1034</v>
      </c>
      <c r="I1041" s="444">
        <f t="shared" ca="1" si="108"/>
        <v>-20194390.67550398</v>
      </c>
      <c r="J1041" s="444">
        <f t="array" ref="J1041">IFERROR(INDEX('Retirement Calculator'!J:J,MATCH('Isaac 401k'!N1041,'Retirement Calculator'!A:A,0),0),0)</f>
        <v>8395.6297298201844</v>
      </c>
      <c r="K1041" s="444">
        <f t="shared" ca="1" si="105"/>
        <v>-84178.276271807496</v>
      </c>
      <c r="L1041" s="444">
        <f t="shared" ca="1" si="106"/>
        <v>-20286964.581505608</v>
      </c>
      <c r="M1041" s="460">
        <f t="shared" si="109"/>
        <v>0.05</v>
      </c>
      <c r="N1041" s="464">
        <f t="shared" si="110"/>
        <v>82728</v>
      </c>
    </row>
    <row r="1042" spans="7:14" ht="11.25" customHeight="1" x14ac:dyDescent="0.3">
      <c r="G1042" s="459">
        <f t="shared" si="111"/>
        <v>87</v>
      </c>
      <c r="H1042" s="459">
        <v>1035</v>
      </c>
      <c r="I1042" s="444">
        <f t="shared" ca="1" si="108"/>
        <v>-20286964.581505608</v>
      </c>
      <c r="J1042" s="444">
        <f t="array" ref="J1042">IFERROR(INDEX('Retirement Calculator'!J:J,MATCH('Isaac 401k'!N1042,'Retirement Calculator'!A:A,0),0),0)</f>
        <v>8395.6297298201844</v>
      </c>
      <c r="K1042" s="444">
        <f t="shared" ca="1" si="105"/>
        <v>-84564.000880147607</v>
      </c>
      <c r="L1042" s="444">
        <f t="shared" ca="1" si="106"/>
        <v>-20379924.212115575</v>
      </c>
      <c r="M1042" s="460">
        <f t="shared" si="109"/>
        <v>0.05</v>
      </c>
      <c r="N1042" s="464">
        <f t="shared" si="110"/>
        <v>82759</v>
      </c>
    </row>
    <row r="1043" spans="7:14" ht="11.25" customHeight="1" x14ac:dyDescent="0.3">
      <c r="G1043" s="459">
        <f t="shared" si="111"/>
        <v>87</v>
      </c>
      <c r="H1043" s="459">
        <v>1036</v>
      </c>
      <c r="I1043" s="444">
        <f t="shared" ca="1" si="108"/>
        <v>-20379924.212115575</v>
      </c>
      <c r="J1043" s="444">
        <f t="array" ref="J1043">IFERROR(INDEX('Retirement Calculator'!J:J,MATCH('Isaac 401k'!N1043,'Retirement Calculator'!A:A,0),0),0)</f>
        <v>8395.6297298201844</v>
      </c>
      <c r="K1043" s="444">
        <f t="shared" ca="1" si="105"/>
        <v>-84951.332674355799</v>
      </c>
      <c r="L1043" s="444">
        <f t="shared" ca="1" si="106"/>
        <v>-20473271.174519747</v>
      </c>
      <c r="M1043" s="460">
        <f t="shared" si="109"/>
        <v>0.05</v>
      </c>
      <c r="N1043" s="464">
        <f t="shared" si="110"/>
        <v>82790</v>
      </c>
    </row>
    <row r="1044" spans="7:14" ht="11.25" customHeight="1" x14ac:dyDescent="0.3">
      <c r="G1044" s="459">
        <f t="shared" si="111"/>
        <v>87</v>
      </c>
      <c r="H1044" s="459">
        <v>1037</v>
      </c>
      <c r="I1044" s="444">
        <f t="shared" ca="1" si="108"/>
        <v>-20473271.174519747</v>
      </c>
      <c r="J1044" s="444">
        <f t="array" ref="J1044">IFERROR(INDEX('Retirement Calculator'!J:J,MATCH('Isaac 401k'!N1044,'Retirement Calculator'!A:A,0),0),0)</f>
        <v>8395.6297298201844</v>
      </c>
      <c r="K1044" s="444">
        <f t="shared" ca="1" si="105"/>
        <v>-85340.278351039859</v>
      </c>
      <c r="L1044" s="444">
        <f t="shared" ca="1" si="106"/>
        <v>-20567007.082600605</v>
      </c>
      <c r="M1044" s="460">
        <f t="shared" si="109"/>
        <v>0.05</v>
      </c>
      <c r="N1044" s="464">
        <f t="shared" si="110"/>
        <v>82820</v>
      </c>
    </row>
    <row r="1045" spans="7:14" ht="11.25" customHeight="1" x14ac:dyDescent="0.3">
      <c r="G1045" s="459">
        <f t="shared" si="111"/>
        <v>87</v>
      </c>
      <c r="H1045" s="459">
        <v>1038</v>
      </c>
      <c r="I1045" s="444">
        <f t="shared" ca="1" si="108"/>
        <v>-20567007.082600605</v>
      </c>
      <c r="J1045" s="444">
        <f t="array" ref="J1045">IFERROR(INDEX('Retirement Calculator'!J:J,MATCH('Isaac 401k'!N1045,'Retirement Calculator'!A:A,0),0),0)</f>
        <v>8395.6297298201844</v>
      </c>
      <c r="K1045" s="444">
        <f t="shared" ca="1" si="105"/>
        <v>-85730.844634710098</v>
      </c>
      <c r="L1045" s="444">
        <f t="shared" ca="1" si="106"/>
        <v>-20661133.556965135</v>
      </c>
      <c r="M1045" s="460">
        <f t="shared" si="109"/>
        <v>0.05</v>
      </c>
      <c r="N1045" s="464">
        <f t="shared" si="110"/>
        <v>82851</v>
      </c>
    </row>
    <row r="1046" spans="7:14" ht="11.25" customHeight="1" x14ac:dyDescent="0.3">
      <c r="G1046" s="459">
        <f t="shared" si="111"/>
        <v>87</v>
      </c>
      <c r="H1046" s="459">
        <v>1039</v>
      </c>
      <c r="I1046" s="444">
        <f t="shared" ca="1" si="108"/>
        <v>-20661133.556965135</v>
      </c>
      <c r="J1046" s="444">
        <f t="array" ref="J1046">IFERROR(INDEX('Retirement Calculator'!J:J,MATCH('Isaac 401k'!N1046,'Retirement Calculator'!A:A,0),0),0)</f>
        <v>8395.6297298201844</v>
      </c>
      <c r="K1046" s="444">
        <f t="shared" ca="1" si="105"/>
        <v>-86123.038277895641</v>
      </c>
      <c r="L1046" s="444">
        <f t="shared" ca="1" si="106"/>
        <v>-20755652.224972848</v>
      </c>
      <c r="M1046" s="460">
        <f t="shared" si="109"/>
        <v>0.05</v>
      </c>
      <c r="N1046" s="464">
        <f t="shared" si="110"/>
        <v>82881</v>
      </c>
    </row>
    <row r="1047" spans="7:14" ht="11.25" customHeight="1" x14ac:dyDescent="0.3">
      <c r="G1047" s="459">
        <f t="shared" si="111"/>
        <v>87</v>
      </c>
      <c r="H1047" s="459">
        <v>1040</v>
      </c>
      <c r="I1047" s="444">
        <f t="shared" ca="1" si="108"/>
        <v>-20755652.224972848</v>
      </c>
      <c r="J1047" s="444">
        <f t="array" ref="J1047">IFERROR(INDEX('Retirement Calculator'!J:J,MATCH('Isaac 401k'!N1047,'Retirement Calculator'!A:A,0),0),0)</f>
        <v>8395.6297298201844</v>
      </c>
      <c r="K1047" s="444">
        <f t="shared" ca="1" si="105"/>
        <v>-86516.866061261113</v>
      </c>
      <c r="L1047" s="444">
        <f t="shared" ca="1" si="106"/>
        <v>-20850564.720763929</v>
      </c>
      <c r="M1047" s="460">
        <f t="shared" si="109"/>
        <v>0.05</v>
      </c>
      <c r="N1047" s="464">
        <f t="shared" si="110"/>
        <v>82912</v>
      </c>
    </row>
    <row r="1048" spans="7:14" ht="11.25" customHeight="1" x14ac:dyDescent="0.3">
      <c r="G1048" s="459">
        <f t="shared" si="111"/>
        <v>87</v>
      </c>
      <c r="H1048" s="459">
        <v>1041</v>
      </c>
      <c r="I1048" s="444">
        <f t="shared" ca="1" si="108"/>
        <v>-20850564.720763929</v>
      </c>
      <c r="J1048" s="444">
        <f t="array" ref="J1048">IFERROR(INDEX('Retirement Calculator'!J:J,MATCH('Isaac 401k'!N1048,'Retirement Calculator'!A:A,0),0),0)</f>
        <v>8395.6297298201844</v>
      </c>
      <c r="K1048" s="444">
        <f t="shared" ca="1" si="105"/>
        <v>-86912.334793723945</v>
      </c>
      <c r="L1048" s="444">
        <f t="shared" ca="1" si="106"/>
        <v>-20945872.685287472</v>
      </c>
      <c r="M1048" s="460">
        <f t="shared" si="109"/>
        <v>0.05</v>
      </c>
      <c r="N1048" s="464">
        <f t="shared" si="110"/>
        <v>82943</v>
      </c>
    </row>
    <row r="1049" spans="7:14" ht="11.25" customHeight="1" x14ac:dyDescent="0.3">
      <c r="G1049" s="459">
        <f t="shared" si="111"/>
        <v>87</v>
      </c>
      <c r="H1049" s="459">
        <v>1042</v>
      </c>
      <c r="I1049" s="444">
        <f t="shared" ca="1" si="108"/>
        <v>-20945872.685287472</v>
      </c>
      <c r="J1049" s="444">
        <f t="array" ref="J1049">IFERROR(INDEX('Retirement Calculator'!J:J,MATCH('Isaac 401k'!N1049,'Retirement Calculator'!A:A,0),0),0)</f>
        <v>8395.6297298201844</v>
      </c>
      <c r="K1049" s="444">
        <f t="shared" ca="1" si="105"/>
        <v>-87309.45131257204</v>
      </c>
      <c r="L1049" s="444">
        <f t="shared" ca="1" si="106"/>
        <v>-21041577.766329862</v>
      </c>
      <c r="M1049" s="460">
        <f t="shared" si="109"/>
        <v>0.05</v>
      </c>
      <c r="N1049" s="464">
        <f t="shared" si="110"/>
        <v>82971</v>
      </c>
    </row>
    <row r="1050" spans="7:14" ht="11.25" customHeight="1" x14ac:dyDescent="0.3">
      <c r="G1050" s="459">
        <f t="shared" si="111"/>
        <v>87</v>
      </c>
      <c r="H1050" s="459">
        <v>1043</v>
      </c>
      <c r="I1050" s="444">
        <f t="shared" ca="1" si="108"/>
        <v>-21041577.766329862</v>
      </c>
      <c r="J1050" s="444">
        <f t="array" ref="J1050">IFERROR(INDEX('Retirement Calculator'!J:J,MATCH('Isaac 401k'!N1050,'Retirement Calculator'!A:A,0),0),0)</f>
        <v>8395.6297298201844</v>
      </c>
      <c r="K1050" s="444">
        <f t="shared" ca="1" si="105"/>
        <v>-87708.222483582009</v>
      </c>
      <c r="L1050" s="444">
        <f t="shared" ca="1" si="106"/>
        <v>-21137681.618543264</v>
      </c>
      <c r="M1050" s="460">
        <f t="shared" si="109"/>
        <v>0.05</v>
      </c>
      <c r="N1050" s="464">
        <f t="shared" si="110"/>
        <v>83002</v>
      </c>
    </row>
    <row r="1051" spans="7:14" ht="11.25" customHeight="1" x14ac:dyDescent="0.3">
      <c r="G1051" s="459">
        <f t="shared" si="111"/>
        <v>87</v>
      </c>
      <c r="H1051" s="459">
        <v>1044</v>
      </c>
      <c r="I1051" s="444">
        <f t="shared" ca="1" si="108"/>
        <v>-21137681.618543264</v>
      </c>
      <c r="J1051" s="444">
        <f t="array" ref="J1051">IFERROR(INDEX('Retirement Calculator'!J:J,MATCH('Isaac 401k'!N1051,'Retirement Calculator'!A:A,0),0),0)</f>
        <v>8395.6297298201844</v>
      </c>
      <c r="K1051" s="444">
        <f t="shared" ca="1" si="105"/>
        <v>-88108.655201137837</v>
      </c>
      <c r="L1051" s="444">
        <f t="shared" ca="1" si="106"/>
        <v>-21234185.903474219</v>
      </c>
      <c r="M1051" s="460">
        <f t="shared" si="109"/>
        <v>0.05</v>
      </c>
      <c r="N1051" s="464">
        <f t="shared" si="110"/>
        <v>83032</v>
      </c>
    </row>
    <row r="1052" spans="7:14" ht="11.25" customHeight="1" x14ac:dyDescent="0.3">
      <c r="G1052" s="459">
        <f>G1051+1</f>
        <v>88</v>
      </c>
      <c r="H1052" s="459">
        <v>1045</v>
      </c>
      <c r="I1052" s="444">
        <f t="shared" ca="1" si="108"/>
        <v>-21234185.903474219</v>
      </c>
      <c r="J1052" s="444">
        <f t="array" ref="J1052">IFERROR(INDEX('Retirement Calculator'!J:J,MATCH('Isaac 401k'!N1052,'Retirement Calculator'!A:A,0),0),0)</f>
        <v>8395.6297298201844</v>
      </c>
      <c r="K1052" s="444">
        <f t="shared" ca="1" si="105"/>
        <v>-88510.756388350157</v>
      </c>
      <c r="L1052" s="444">
        <f t="shared" ca="1" si="106"/>
        <v>-21331092.289592389</v>
      </c>
      <c r="M1052" s="460">
        <f t="shared" si="109"/>
        <v>0.05</v>
      </c>
      <c r="N1052" s="464">
        <f t="shared" si="110"/>
        <v>83063</v>
      </c>
    </row>
    <row r="1053" spans="7:14" ht="11.25" customHeight="1" x14ac:dyDescent="0.3">
      <c r="G1053" s="459">
        <f t="shared" ref="G1053:G1063" si="112">G1052</f>
        <v>88</v>
      </c>
      <c r="H1053" s="459">
        <v>1046</v>
      </c>
      <c r="I1053" s="444">
        <f t="shared" ca="1" si="108"/>
        <v>-21331092.289592389</v>
      </c>
      <c r="J1053" s="444">
        <f t="array" ref="J1053">IFERROR(INDEX('Retirement Calculator'!J:J,MATCH('Isaac 401k'!N1053,'Retirement Calculator'!A:A,0),0),0)</f>
        <v>8395.6297298201844</v>
      </c>
      <c r="K1053" s="444">
        <f t="shared" ca="1" si="105"/>
        <v>-88914.532997175862</v>
      </c>
      <c r="L1053" s="444">
        <f t="shared" ca="1" si="106"/>
        <v>-21428402.452319384</v>
      </c>
      <c r="M1053" s="460">
        <f t="shared" si="109"/>
        <v>0.05</v>
      </c>
      <c r="N1053" s="464">
        <f t="shared" si="110"/>
        <v>83093</v>
      </c>
    </row>
    <row r="1054" spans="7:14" ht="11.25" customHeight="1" x14ac:dyDescent="0.3">
      <c r="G1054" s="459">
        <f t="shared" si="112"/>
        <v>88</v>
      </c>
      <c r="H1054" s="459">
        <v>1047</v>
      </c>
      <c r="I1054" s="444">
        <f t="shared" ca="1" si="108"/>
        <v>-21428402.452319384</v>
      </c>
      <c r="J1054" s="444">
        <f t="array" ref="J1054">IFERROR(INDEX('Retirement Calculator'!J:J,MATCH('Isaac 401k'!N1054,'Retirement Calculator'!A:A,0),0),0)</f>
        <v>8395.6297298201844</v>
      </c>
      <c r="K1054" s="444">
        <f t="shared" ca="1" si="105"/>
        <v>-89319.992008538335</v>
      </c>
      <c r="L1054" s="444">
        <f t="shared" ca="1" si="106"/>
        <v>-21526118.074057739</v>
      </c>
      <c r="M1054" s="460">
        <f t="shared" si="109"/>
        <v>0.05</v>
      </c>
      <c r="N1054" s="464">
        <f t="shared" si="110"/>
        <v>83124</v>
      </c>
    </row>
    <row r="1055" spans="7:14" ht="11.25" customHeight="1" x14ac:dyDescent="0.3">
      <c r="G1055" s="459">
        <f t="shared" si="112"/>
        <v>88</v>
      </c>
      <c r="H1055" s="459">
        <v>1048</v>
      </c>
      <c r="I1055" s="444">
        <f t="shared" ca="1" si="108"/>
        <v>-21526118.074057739</v>
      </c>
      <c r="J1055" s="444">
        <f t="array" ref="J1055">IFERROR(INDEX('Retirement Calculator'!J:J,MATCH('Isaac 401k'!N1055,'Retirement Calculator'!A:A,0),0),0)</f>
        <v>8395.6297298201844</v>
      </c>
      <c r="K1055" s="444">
        <f t="shared" ca="1" si="105"/>
        <v>-89727.140432448155</v>
      </c>
      <c r="L1055" s="444">
        <f t="shared" ca="1" si="106"/>
        <v>-21624240.844220005</v>
      </c>
      <c r="M1055" s="460">
        <f t="shared" si="109"/>
        <v>0.05</v>
      </c>
      <c r="N1055" s="464">
        <f t="shared" si="110"/>
        <v>83155</v>
      </c>
    </row>
    <row r="1056" spans="7:14" ht="11.25" customHeight="1" x14ac:dyDescent="0.3">
      <c r="G1056" s="459">
        <f t="shared" si="112"/>
        <v>88</v>
      </c>
      <c r="H1056" s="459">
        <v>1049</v>
      </c>
      <c r="I1056" s="444">
        <f t="shared" ca="1" si="108"/>
        <v>-21624240.844220005</v>
      </c>
      <c r="J1056" s="444">
        <f t="array" ref="J1056">IFERROR(INDEX('Retirement Calculator'!J:J,MATCH('Isaac 401k'!N1056,'Retirement Calculator'!A:A,0),0),0)</f>
        <v>8395.6297298201844</v>
      </c>
      <c r="K1056" s="444">
        <f t="shared" ca="1" si="105"/>
        <v>-90135.985308124262</v>
      </c>
      <c r="L1056" s="444">
        <f t="shared" ca="1" si="106"/>
        <v>-21722772.459257949</v>
      </c>
      <c r="M1056" s="460">
        <f t="shared" si="109"/>
        <v>0.05</v>
      </c>
      <c r="N1056" s="464">
        <f t="shared" si="110"/>
        <v>83185</v>
      </c>
    </row>
    <row r="1057" spans="7:14" ht="11.25" customHeight="1" x14ac:dyDescent="0.3">
      <c r="G1057" s="459">
        <f t="shared" si="112"/>
        <v>88</v>
      </c>
      <c r="H1057" s="459">
        <v>1050</v>
      </c>
      <c r="I1057" s="444">
        <f t="shared" ca="1" si="108"/>
        <v>-21722772.459257949</v>
      </c>
      <c r="J1057" s="444">
        <f t="array" ref="J1057">IFERROR(INDEX('Retirement Calculator'!J:J,MATCH('Isaac 401k'!N1057,'Retirement Calculator'!A:A,0),0),0)</f>
        <v>8395.6297298201844</v>
      </c>
      <c r="K1057" s="444">
        <f t="shared" ca="1" si="105"/>
        <v>-90546.533704115704</v>
      </c>
      <c r="L1057" s="444">
        <f t="shared" ca="1" si="106"/>
        <v>-21821714.622691885</v>
      </c>
      <c r="M1057" s="460">
        <f t="shared" si="109"/>
        <v>0.05</v>
      </c>
      <c r="N1057" s="464">
        <f t="shared" si="110"/>
        <v>83216</v>
      </c>
    </row>
    <row r="1058" spans="7:14" ht="11.25" customHeight="1" x14ac:dyDescent="0.3">
      <c r="G1058" s="459">
        <f t="shared" si="112"/>
        <v>88</v>
      </c>
      <c r="H1058" s="459">
        <v>1051</v>
      </c>
      <c r="I1058" s="444">
        <f t="shared" ca="1" si="108"/>
        <v>-21821714.622691885</v>
      </c>
      <c r="J1058" s="444">
        <f t="array" ref="J1058">IFERROR(INDEX('Retirement Calculator'!J:J,MATCH('Isaac 401k'!N1058,'Retirement Calculator'!A:A,0),0),0)</f>
        <v>8395.6297298201844</v>
      </c>
      <c r="K1058" s="444">
        <f t="shared" ca="1" si="105"/>
        <v>-90958.792718423763</v>
      </c>
      <c r="L1058" s="444">
        <f t="shared" ca="1" si="106"/>
        <v>-21921069.045140129</v>
      </c>
      <c r="M1058" s="460">
        <f t="shared" si="109"/>
        <v>0.05</v>
      </c>
      <c r="N1058" s="464">
        <f t="shared" si="110"/>
        <v>83246</v>
      </c>
    </row>
    <row r="1059" spans="7:14" ht="11.25" customHeight="1" x14ac:dyDescent="0.3">
      <c r="G1059" s="459">
        <f t="shared" si="112"/>
        <v>88</v>
      </c>
      <c r="H1059" s="459">
        <v>1052</v>
      </c>
      <c r="I1059" s="444">
        <f t="shared" ca="1" si="108"/>
        <v>-21921069.045140129</v>
      </c>
      <c r="J1059" s="444">
        <f t="array" ref="J1059">IFERROR(INDEX('Retirement Calculator'!J:J,MATCH('Isaac 401k'!N1059,'Retirement Calculator'!A:A,0),0),0)</f>
        <v>8395.6297298201844</v>
      </c>
      <c r="K1059" s="444">
        <f t="shared" ca="1" si="105"/>
        <v>-91372.769478624774</v>
      </c>
      <c r="L1059" s="444">
        <f t="shared" ca="1" si="106"/>
        <v>-22020837.444348574</v>
      </c>
      <c r="M1059" s="460">
        <f t="shared" si="109"/>
        <v>0.05</v>
      </c>
      <c r="N1059" s="464">
        <f t="shared" si="110"/>
        <v>83277</v>
      </c>
    </row>
    <row r="1060" spans="7:14" ht="11.25" customHeight="1" x14ac:dyDescent="0.3">
      <c r="G1060" s="459">
        <f t="shared" si="112"/>
        <v>88</v>
      </c>
      <c r="H1060" s="459">
        <v>1053</v>
      </c>
      <c r="I1060" s="444">
        <f t="shared" ca="1" si="108"/>
        <v>-22020837.444348574</v>
      </c>
      <c r="J1060" s="444">
        <f t="array" ref="J1060">IFERROR(INDEX('Retirement Calculator'!J:J,MATCH('Isaac 401k'!N1060,'Retirement Calculator'!A:A,0),0),0)</f>
        <v>8395.6297298201844</v>
      </c>
      <c r="K1060" s="444">
        <f t="shared" ca="1" si="105"/>
        <v>-91788.471141993301</v>
      </c>
      <c r="L1060" s="444">
        <f t="shared" ca="1" si="106"/>
        <v>-22121021.545220386</v>
      </c>
      <c r="M1060" s="460">
        <f t="shared" si="109"/>
        <v>0.05</v>
      </c>
      <c r="N1060" s="464">
        <f t="shared" si="110"/>
        <v>83308</v>
      </c>
    </row>
    <row r="1061" spans="7:14" ht="11.25" customHeight="1" x14ac:dyDescent="0.3">
      <c r="G1061" s="459">
        <f t="shared" si="112"/>
        <v>88</v>
      </c>
      <c r="H1061" s="459">
        <v>1054</v>
      </c>
      <c r="I1061" s="444">
        <f t="shared" ca="1" si="108"/>
        <v>-22121021.545220386</v>
      </c>
      <c r="J1061" s="444">
        <f t="array" ref="J1061">IFERROR(INDEX('Retirement Calculator'!J:J,MATCH('Isaac 401k'!N1061,'Retirement Calculator'!A:A,0),0),0)</f>
        <v>8395.6297298201844</v>
      </c>
      <c r="K1061" s="444">
        <f t="shared" ca="1" si="105"/>
        <v>-92205.904895625848</v>
      </c>
      <c r="L1061" s="444">
        <f t="shared" ca="1" si="106"/>
        <v>-22221623.079845831</v>
      </c>
      <c r="M1061" s="460">
        <f t="shared" si="109"/>
        <v>0.05</v>
      </c>
      <c r="N1061" s="464">
        <f t="shared" si="110"/>
        <v>83337</v>
      </c>
    </row>
    <row r="1062" spans="7:14" ht="11.25" customHeight="1" x14ac:dyDescent="0.3">
      <c r="G1062" s="459">
        <f t="shared" si="112"/>
        <v>88</v>
      </c>
      <c r="H1062" s="459">
        <v>1055</v>
      </c>
      <c r="I1062" s="444">
        <f t="shared" ca="1" si="108"/>
        <v>-22221623.079845831</v>
      </c>
      <c r="J1062" s="444">
        <f t="array" ref="J1062">IFERROR(INDEX('Retirement Calculator'!J:J,MATCH('Isaac 401k'!N1062,'Retirement Calculator'!A:A,0),0),0)</f>
        <v>8395.6297298201844</v>
      </c>
      <c r="K1062" s="444">
        <f t="shared" ca="1" si="105"/>
        <v>-92625.077956565205</v>
      </c>
      <c r="L1062" s="444">
        <f t="shared" ca="1" si="106"/>
        <v>-22322643.787532214</v>
      </c>
      <c r="M1062" s="460">
        <f t="shared" si="109"/>
        <v>0.05</v>
      </c>
      <c r="N1062" s="464">
        <f t="shared" si="110"/>
        <v>83368</v>
      </c>
    </row>
    <row r="1063" spans="7:14" ht="11.25" customHeight="1" x14ac:dyDescent="0.3">
      <c r="G1063" s="459">
        <f t="shared" si="112"/>
        <v>88</v>
      </c>
      <c r="H1063" s="459">
        <v>1056</v>
      </c>
      <c r="I1063" s="444">
        <f t="shared" ca="1" si="108"/>
        <v>-22322643.787532214</v>
      </c>
      <c r="J1063" s="444">
        <f t="array" ref="J1063">IFERROR(INDEX('Retirement Calculator'!J:J,MATCH('Isaac 401k'!N1063,'Retirement Calculator'!A:A,0),0),0)</f>
        <v>8395.6297298201844</v>
      </c>
      <c r="K1063" s="444">
        <f t="shared" ca="1" si="105"/>
        <v>-93045.997571925138</v>
      </c>
      <c r="L1063" s="444">
        <f t="shared" ca="1" si="106"/>
        <v>-22424085.414833959</v>
      </c>
      <c r="M1063" s="460">
        <f t="shared" si="109"/>
        <v>0.05</v>
      </c>
      <c r="N1063" s="464">
        <f t="shared" si="110"/>
        <v>83398</v>
      </c>
    </row>
    <row r="1064" spans="7:14" ht="11.25" customHeight="1" x14ac:dyDescent="0.3">
      <c r="G1064" s="459">
        <f>G1063+1</f>
        <v>89</v>
      </c>
      <c r="H1064" s="459">
        <v>1057</v>
      </c>
      <c r="I1064" s="444">
        <f t="shared" ca="1" si="108"/>
        <v>-22424085.414833959</v>
      </c>
      <c r="J1064" s="444">
        <f t="array" ref="J1064">IFERROR(INDEX('Retirement Calculator'!J:J,MATCH('Isaac 401k'!N1064,'Retirement Calculator'!A:A,0),0),0)</f>
        <v>8395.6297298201844</v>
      </c>
      <c r="K1064" s="444">
        <f t="shared" ca="1" si="105"/>
        <v>-93468.671019015746</v>
      </c>
      <c r="L1064" s="444">
        <f t="shared" ca="1" si="106"/>
        <v>-22525949.715582792</v>
      </c>
      <c r="M1064" s="460">
        <f t="shared" si="109"/>
        <v>0.05</v>
      </c>
      <c r="N1064" s="464">
        <f t="shared" si="110"/>
        <v>83429</v>
      </c>
    </row>
    <row r="1065" spans="7:14" ht="11.25" customHeight="1" x14ac:dyDescent="0.3">
      <c r="G1065" s="459">
        <f t="shared" ref="G1065:G1075" si="113">G1064</f>
        <v>89</v>
      </c>
      <c r="H1065" s="459">
        <v>1058</v>
      </c>
      <c r="I1065" s="444">
        <f t="shared" ca="1" si="108"/>
        <v>-22525949.715582792</v>
      </c>
      <c r="J1065" s="444">
        <f t="array" ref="J1065">IFERROR(INDEX('Retirement Calculator'!J:J,MATCH('Isaac 401k'!N1065,'Retirement Calculator'!A:A,0),0),0)</f>
        <v>8395.6297298201844</v>
      </c>
      <c r="K1065" s="444">
        <f t="shared" ca="1" si="105"/>
        <v>-93893.105605469202</v>
      </c>
      <c r="L1065" s="444">
        <f t="shared" ca="1" si="106"/>
        <v>-22628238.450918078</v>
      </c>
      <c r="M1065" s="460">
        <f t="shared" si="109"/>
        <v>0.05</v>
      </c>
      <c r="N1065" s="464">
        <f t="shared" si="110"/>
        <v>83459</v>
      </c>
    </row>
    <row r="1066" spans="7:14" ht="11.25" customHeight="1" x14ac:dyDescent="0.3">
      <c r="G1066" s="459">
        <f t="shared" si="113"/>
        <v>89</v>
      </c>
      <c r="H1066" s="459">
        <v>1059</v>
      </c>
      <c r="I1066" s="444">
        <f t="shared" ca="1" si="108"/>
        <v>-22628238.450918078</v>
      </c>
      <c r="J1066" s="444">
        <f t="array" ref="J1066">IFERROR(INDEX('Retirement Calculator'!J:J,MATCH('Isaac 401k'!N1066,'Retirement Calculator'!A:A,0),0),0)</f>
        <v>8395.6297298201844</v>
      </c>
      <c r="K1066" s="444">
        <f t="shared" ca="1" si="105"/>
        <v>-94319.308669366234</v>
      </c>
      <c r="L1066" s="444">
        <f t="shared" ca="1" si="106"/>
        <v>-22730953.389317263</v>
      </c>
      <c r="M1066" s="460">
        <f t="shared" si="109"/>
        <v>0.05</v>
      </c>
      <c r="N1066" s="464">
        <f t="shared" si="110"/>
        <v>83490</v>
      </c>
    </row>
    <row r="1067" spans="7:14" ht="11.25" customHeight="1" x14ac:dyDescent="0.3">
      <c r="G1067" s="459">
        <f t="shared" si="113"/>
        <v>89</v>
      </c>
      <c r="H1067" s="459">
        <v>1060</v>
      </c>
      <c r="I1067" s="444">
        <f t="shared" ca="1" si="108"/>
        <v>-22730953.389317263</v>
      </c>
      <c r="J1067" s="444">
        <f t="array" ref="J1067">IFERROR(INDEX('Retirement Calculator'!J:J,MATCH('Isaac 401k'!N1067,'Retirement Calculator'!A:A,0),0),0)</f>
        <v>8395.6297298201844</v>
      </c>
      <c r="K1067" s="444">
        <f t="shared" ca="1" si="105"/>
        <v>-94747.287579362834</v>
      </c>
      <c r="L1067" s="444">
        <f t="shared" ca="1" si="106"/>
        <v>-22834096.306626443</v>
      </c>
      <c r="M1067" s="460">
        <f t="shared" si="109"/>
        <v>0.05</v>
      </c>
      <c r="N1067" s="464">
        <f t="shared" si="110"/>
        <v>83521</v>
      </c>
    </row>
    <row r="1068" spans="7:14" ht="11.25" customHeight="1" x14ac:dyDescent="0.3">
      <c r="G1068" s="459">
        <f t="shared" si="113"/>
        <v>89</v>
      </c>
      <c r="H1068" s="459">
        <v>1061</v>
      </c>
      <c r="I1068" s="444">
        <f t="shared" ca="1" si="108"/>
        <v>-22834096.306626443</v>
      </c>
      <c r="J1068" s="444">
        <f t="array" ref="J1068">IFERROR(INDEX('Retirement Calculator'!J:J,MATCH('Isaac 401k'!N1068,'Retirement Calculator'!A:A,0),0),0)</f>
        <v>8395.6297298201844</v>
      </c>
      <c r="K1068" s="444">
        <f t="shared" ca="1" si="105"/>
        <v>-95177.04973481776</v>
      </c>
      <c r="L1068" s="444">
        <f t="shared" ca="1" si="106"/>
        <v>-22937668.986091077</v>
      </c>
      <c r="M1068" s="460">
        <f t="shared" si="109"/>
        <v>0.05</v>
      </c>
      <c r="N1068" s="464">
        <f t="shared" si="110"/>
        <v>83551</v>
      </c>
    </row>
    <row r="1069" spans="7:14" ht="11.25" customHeight="1" x14ac:dyDescent="0.3">
      <c r="G1069" s="459">
        <f t="shared" si="113"/>
        <v>89</v>
      </c>
      <c r="H1069" s="459">
        <v>1062</v>
      </c>
      <c r="I1069" s="444">
        <f t="shared" ca="1" si="108"/>
        <v>-22937668.986091077</v>
      </c>
      <c r="J1069" s="444">
        <f t="array" ref="J1069">IFERROR(INDEX('Retirement Calculator'!J:J,MATCH('Isaac 401k'!N1069,'Retirement Calculator'!A:A,0),0),0)</f>
        <v>8395.6297298201844</v>
      </c>
      <c r="K1069" s="444">
        <f t="shared" ca="1" si="105"/>
        <v>-95608.602565920402</v>
      </c>
      <c r="L1069" s="444">
        <f t="shared" ca="1" si="106"/>
        <v>-23041673.218386818</v>
      </c>
      <c r="M1069" s="460">
        <f t="shared" si="109"/>
        <v>0.05</v>
      </c>
      <c r="N1069" s="464">
        <f t="shared" si="110"/>
        <v>83582</v>
      </c>
    </row>
    <row r="1070" spans="7:14" ht="11.25" customHeight="1" x14ac:dyDescent="0.3">
      <c r="G1070" s="459">
        <f t="shared" si="113"/>
        <v>89</v>
      </c>
      <c r="H1070" s="459">
        <v>1063</v>
      </c>
      <c r="I1070" s="444">
        <f t="shared" ca="1" si="108"/>
        <v>-23041673.218386818</v>
      </c>
      <c r="J1070" s="444">
        <f t="array" ref="J1070">IFERROR(INDEX('Retirement Calculator'!J:J,MATCH('Isaac 401k'!N1070,'Retirement Calculator'!A:A,0),0),0)</f>
        <v>8395.6297298201844</v>
      </c>
      <c r="K1070" s="444">
        <f t="shared" ca="1" si="105"/>
        <v>-96041.953533819324</v>
      </c>
      <c r="L1070" s="444">
        <f t="shared" ca="1" si="106"/>
        <v>-23146110.801650457</v>
      </c>
      <c r="M1070" s="460">
        <f t="shared" si="109"/>
        <v>0.05</v>
      </c>
      <c r="N1070" s="464">
        <f t="shared" si="110"/>
        <v>83612</v>
      </c>
    </row>
    <row r="1071" spans="7:14" ht="11.25" customHeight="1" x14ac:dyDescent="0.3">
      <c r="G1071" s="459">
        <f t="shared" si="113"/>
        <v>89</v>
      </c>
      <c r="H1071" s="459">
        <v>1064</v>
      </c>
      <c r="I1071" s="444">
        <f t="shared" ca="1" si="108"/>
        <v>-23146110.801650457</v>
      </c>
      <c r="J1071" s="444">
        <f t="array" ref="J1071">IFERROR(INDEX('Retirement Calculator'!J:J,MATCH('Isaac 401k'!N1071,'Retirement Calculator'!A:A,0),0),0)</f>
        <v>8395.6297298201844</v>
      </c>
      <c r="K1071" s="444">
        <f t="shared" ca="1" si="105"/>
        <v>-96477.110130751142</v>
      </c>
      <c r="L1071" s="444">
        <f t="shared" ca="1" si="106"/>
        <v>-23250983.541511025</v>
      </c>
      <c r="M1071" s="460">
        <f t="shared" si="109"/>
        <v>0.05</v>
      </c>
      <c r="N1071" s="464">
        <f t="shared" si="110"/>
        <v>83643</v>
      </c>
    </row>
    <row r="1072" spans="7:14" ht="11.25" customHeight="1" x14ac:dyDescent="0.3">
      <c r="G1072" s="459">
        <f t="shared" si="113"/>
        <v>89</v>
      </c>
      <c r="H1072" s="459">
        <v>1065</v>
      </c>
      <c r="I1072" s="444">
        <f t="shared" ca="1" si="108"/>
        <v>-23250983.541511025</v>
      </c>
      <c r="J1072" s="444">
        <f t="array" ref="J1072">IFERROR(INDEX('Retirement Calculator'!J:J,MATCH('Isaac 401k'!N1072,'Retirement Calculator'!A:A,0),0),0)</f>
        <v>8395.6297298201844</v>
      </c>
      <c r="K1072" s="444">
        <f t="shared" ca="1" si="105"/>
        <v>-96914.079880170175</v>
      </c>
      <c r="L1072" s="444">
        <f t="shared" ca="1" si="106"/>
        <v>-23356293.251121014</v>
      </c>
      <c r="M1072" s="460">
        <f t="shared" si="109"/>
        <v>0.05</v>
      </c>
      <c r="N1072" s="464">
        <f t="shared" si="110"/>
        <v>83674</v>
      </c>
    </row>
    <row r="1073" spans="7:14" ht="11.25" customHeight="1" x14ac:dyDescent="0.3">
      <c r="G1073" s="459">
        <f t="shared" si="113"/>
        <v>89</v>
      </c>
      <c r="H1073" s="459">
        <v>1066</v>
      </c>
      <c r="I1073" s="444">
        <f t="shared" ca="1" si="108"/>
        <v>-23356293.251121014</v>
      </c>
      <c r="J1073" s="444">
        <f t="array" ref="J1073">IFERROR(INDEX('Retirement Calculator'!J:J,MATCH('Isaac 401k'!N1073,'Retirement Calculator'!A:A,0),0),0)</f>
        <v>8395.6297298201844</v>
      </c>
      <c r="K1073" s="444">
        <f t="shared" ca="1" si="105"/>
        <v>-97352.870336878463</v>
      </c>
      <c r="L1073" s="444">
        <f t="shared" ca="1" si="106"/>
        <v>-23462041.751187712</v>
      </c>
      <c r="M1073" s="460">
        <f t="shared" si="109"/>
        <v>0.05</v>
      </c>
      <c r="N1073" s="464">
        <f t="shared" si="110"/>
        <v>83702</v>
      </c>
    </row>
    <row r="1074" spans="7:14" ht="11.25" customHeight="1" x14ac:dyDescent="0.3">
      <c r="G1074" s="459">
        <f t="shared" si="113"/>
        <v>89</v>
      </c>
      <c r="H1074" s="459">
        <v>1067</v>
      </c>
      <c r="I1074" s="444">
        <f t="shared" ca="1" si="108"/>
        <v>-23462041.751187712</v>
      </c>
      <c r="J1074" s="444">
        <f t="array" ref="J1074">IFERROR(INDEX('Retirement Calculator'!J:J,MATCH('Isaac 401k'!N1074,'Retirement Calculator'!A:A,0),0),0)</f>
        <v>8395.6297298201844</v>
      </c>
      <c r="K1074" s="444">
        <f t="shared" ca="1" si="105"/>
        <v>-97793.489087156369</v>
      </c>
      <c r="L1074" s="444">
        <f t="shared" ca="1" si="106"/>
        <v>-23568230.870004687</v>
      </c>
      <c r="M1074" s="460">
        <f t="shared" si="109"/>
        <v>0.05</v>
      </c>
      <c r="N1074" s="464">
        <f t="shared" si="110"/>
        <v>83733</v>
      </c>
    </row>
    <row r="1075" spans="7:14" ht="11.25" customHeight="1" x14ac:dyDescent="0.3">
      <c r="G1075" s="459">
        <f t="shared" si="113"/>
        <v>89</v>
      </c>
      <c r="H1075" s="459">
        <v>1068</v>
      </c>
      <c r="I1075" s="444">
        <f t="shared" ca="1" si="108"/>
        <v>-23568230.870004687</v>
      </c>
      <c r="J1075" s="444">
        <f t="array" ref="J1075">IFERROR(INDEX('Retirement Calculator'!J:J,MATCH('Isaac 401k'!N1075,'Retirement Calculator'!A:A,0),0),0)</f>
        <v>8395.6297298201844</v>
      </c>
      <c r="K1075" s="444">
        <f t="shared" ca="1" si="105"/>
        <v>-98235.943748893769</v>
      </c>
      <c r="L1075" s="444">
        <f t="shared" ca="1" si="106"/>
        <v>-23674862.443483401</v>
      </c>
      <c r="M1075" s="460">
        <f t="shared" si="109"/>
        <v>0.05</v>
      </c>
      <c r="N1075" s="464">
        <f t="shared" si="110"/>
        <v>83763</v>
      </c>
    </row>
    <row r="1076" spans="7:14" ht="11.25" customHeight="1" x14ac:dyDescent="0.3">
      <c r="G1076" s="459">
        <f>G1075+1</f>
        <v>90</v>
      </c>
      <c r="H1076" s="459">
        <v>1069</v>
      </c>
      <c r="I1076" s="444">
        <f t="shared" ca="1" si="108"/>
        <v>-23674862.443483401</v>
      </c>
      <c r="J1076" s="444">
        <f t="array" ref="J1076">IFERROR(INDEX('Retirement Calculator'!J:J,MATCH('Isaac 401k'!N1076,'Retirement Calculator'!A:A,0),0),0)</f>
        <v>8395.6297298201844</v>
      </c>
      <c r="K1076" s="444">
        <f t="shared" ca="1" si="105"/>
        <v>-98680.241971721742</v>
      </c>
      <c r="L1076" s="444">
        <f t="shared" ca="1" si="106"/>
        <v>-23781938.31518494</v>
      </c>
      <c r="M1076" s="460">
        <f t="shared" si="109"/>
        <v>0.05</v>
      </c>
      <c r="N1076" s="464">
        <f t="shared" si="110"/>
        <v>83794</v>
      </c>
    </row>
    <row r="1077" spans="7:14" ht="11.25" customHeight="1" x14ac:dyDescent="0.3">
      <c r="G1077" s="459">
        <f t="shared" ref="G1077:G1087" si="114">G1076</f>
        <v>90</v>
      </c>
      <c r="H1077" s="459">
        <v>1070</v>
      </c>
      <c r="I1077" s="444">
        <f t="shared" ca="1" si="108"/>
        <v>-23781938.31518494</v>
      </c>
      <c r="J1077" s="444">
        <f t="array" ref="J1077">IFERROR(INDEX('Retirement Calculator'!J:J,MATCH('Isaac 401k'!N1077,'Retirement Calculator'!A:A,0),0),0)</f>
        <v>8395.6297298201844</v>
      </c>
      <c r="K1077" s="444">
        <f t="shared" ca="1" si="105"/>
        <v>-99126.391437144819</v>
      </c>
      <c r="L1077" s="444">
        <f t="shared" ca="1" si="106"/>
        <v>-23889460.336351901</v>
      </c>
      <c r="M1077" s="460">
        <f t="shared" si="109"/>
        <v>0.05</v>
      </c>
      <c r="N1077" s="464">
        <f t="shared" si="110"/>
        <v>83824</v>
      </c>
    </row>
    <row r="1078" spans="7:14" ht="11.25" customHeight="1" x14ac:dyDescent="0.3">
      <c r="G1078" s="459">
        <f t="shared" si="114"/>
        <v>90</v>
      </c>
      <c r="H1078" s="459">
        <v>1071</v>
      </c>
      <c r="I1078" s="444">
        <f t="shared" ca="1" si="108"/>
        <v>-23889460.336351901</v>
      </c>
      <c r="J1078" s="444">
        <f t="array" ref="J1078">IFERROR(INDEX('Retirement Calculator'!J:J,MATCH('Isaac 401k'!N1078,'Retirement Calculator'!A:A,0),0),0)</f>
        <v>8395.6297298201844</v>
      </c>
      <c r="K1078" s="444">
        <f t="shared" ca="1" si="105"/>
        <v>-99574.399858673831</v>
      </c>
      <c r="L1078" s="444">
        <f t="shared" ca="1" si="106"/>
        <v>-23997430.365940392</v>
      </c>
      <c r="M1078" s="460">
        <f t="shared" si="109"/>
        <v>0.05</v>
      </c>
      <c r="N1078" s="464">
        <f t="shared" si="110"/>
        <v>83855</v>
      </c>
    </row>
    <row r="1079" spans="7:14" ht="11.25" customHeight="1" x14ac:dyDescent="0.3">
      <c r="G1079" s="459">
        <f t="shared" si="114"/>
        <v>90</v>
      </c>
      <c r="H1079" s="459">
        <v>1072</v>
      </c>
      <c r="I1079" s="444">
        <f t="shared" ca="1" si="108"/>
        <v>-23997430.365940392</v>
      </c>
      <c r="J1079" s="444">
        <f t="array" ref="J1079">IFERROR(INDEX('Retirement Calculator'!J:J,MATCH('Isaac 401k'!N1079,'Retirement Calculator'!A:A,0),0),0)</f>
        <v>8395.6297298201844</v>
      </c>
      <c r="K1079" s="444">
        <f t="shared" ca="1" si="105"/>
        <v>-100024.27498195921</v>
      </c>
      <c r="L1079" s="444">
        <f t="shared" ca="1" si="106"/>
        <v>-24105850.270652171</v>
      </c>
      <c r="M1079" s="460">
        <f t="shared" si="109"/>
        <v>0.05</v>
      </c>
      <c r="N1079" s="464">
        <f t="shared" si="110"/>
        <v>83886</v>
      </c>
    </row>
    <row r="1080" spans="7:14" ht="11.25" customHeight="1" x14ac:dyDescent="0.3">
      <c r="G1080" s="459">
        <f t="shared" si="114"/>
        <v>90</v>
      </c>
      <c r="H1080" s="459">
        <v>1073</v>
      </c>
      <c r="I1080" s="444">
        <f t="shared" ca="1" si="108"/>
        <v>-24105850.270652171</v>
      </c>
      <c r="J1080" s="444">
        <f t="array" ref="J1080">IFERROR(INDEX('Retirement Calculator'!J:J,MATCH('Isaac 401k'!N1080,'Retirement Calculator'!A:A,0),0),0)</f>
        <v>8395.6297298201844</v>
      </c>
      <c r="K1080" s="444">
        <f t="shared" ca="1" si="105"/>
        <v>-100476.02458492496</v>
      </c>
      <c r="L1080" s="444">
        <f t="shared" ca="1" si="106"/>
        <v>-24214721.924966916</v>
      </c>
      <c r="M1080" s="460">
        <f t="shared" si="109"/>
        <v>0.05</v>
      </c>
      <c r="N1080" s="464">
        <f t="shared" si="110"/>
        <v>83916</v>
      </c>
    </row>
    <row r="1081" spans="7:14" ht="11.25" customHeight="1" x14ac:dyDescent="0.3">
      <c r="G1081" s="459">
        <f t="shared" si="114"/>
        <v>90</v>
      </c>
      <c r="H1081" s="459">
        <v>1074</v>
      </c>
      <c r="I1081" s="444">
        <f t="shared" ca="1" si="108"/>
        <v>-24214721.924966916</v>
      </c>
      <c r="J1081" s="444">
        <f t="array" ref="J1081">IFERROR(INDEX('Retirement Calculator'!J:J,MATCH('Isaac 401k'!N1081,'Retirement Calculator'!A:A,0),0),0)</f>
        <v>8395.6297298201844</v>
      </c>
      <c r="K1081" s="444">
        <f t="shared" ca="1" si="105"/>
        <v>-100929.65647790306</v>
      </c>
      <c r="L1081" s="444">
        <f t="shared" ca="1" si="106"/>
        <v>-24324047.211174637</v>
      </c>
      <c r="M1081" s="460">
        <f t="shared" si="109"/>
        <v>0.05</v>
      </c>
      <c r="N1081" s="464">
        <f t="shared" si="110"/>
        <v>83947</v>
      </c>
    </row>
    <row r="1082" spans="7:14" ht="11.25" customHeight="1" x14ac:dyDescent="0.3">
      <c r="G1082" s="459">
        <f t="shared" si="114"/>
        <v>90</v>
      </c>
      <c r="H1082" s="459">
        <v>1075</v>
      </c>
      <c r="I1082" s="444">
        <f t="shared" ca="1" si="108"/>
        <v>-24324047.211174637</v>
      </c>
      <c r="J1082" s="444">
        <f t="array" ref="J1082">IFERROR(INDEX('Retirement Calculator'!J:J,MATCH('Isaac 401k'!N1082,'Retirement Calculator'!A:A,0),0),0)</f>
        <v>8395.6297298201844</v>
      </c>
      <c r="K1082" s="444">
        <f t="shared" ca="1" si="105"/>
        <v>-101385.17850376856</v>
      </c>
      <c r="L1082" s="444">
        <f t="shared" ca="1" si="106"/>
        <v>-24433828.019408226</v>
      </c>
      <c r="M1082" s="460">
        <f t="shared" si="109"/>
        <v>0.05</v>
      </c>
      <c r="N1082" s="464">
        <f t="shared" si="110"/>
        <v>83977</v>
      </c>
    </row>
    <row r="1083" spans="7:14" ht="11.25" customHeight="1" x14ac:dyDescent="0.3">
      <c r="G1083" s="459">
        <f t="shared" si="114"/>
        <v>90</v>
      </c>
      <c r="H1083" s="459">
        <v>1076</v>
      </c>
      <c r="I1083" s="444">
        <f t="shared" ca="1" si="108"/>
        <v>-24433828.019408226</v>
      </c>
      <c r="J1083" s="444">
        <f t="array" ref="J1083">IFERROR(INDEX('Retirement Calculator'!J:J,MATCH('Isaac 401k'!N1083,'Retirement Calculator'!A:A,0),0),0)</f>
        <v>8395.6297298201844</v>
      </c>
      <c r="K1083" s="444">
        <f t="shared" ca="1" si="105"/>
        <v>-101842.59853807518</v>
      </c>
      <c r="L1083" s="444">
        <f t="shared" ca="1" si="106"/>
        <v>-24544066.247676119</v>
      </c>
      <c r="M1083" s="460">
        <f t="shared" si="109"/>
        <v>0.05</v>
      </c>
      <c r="N1083" s="464">
        <f t="shared" si="110"/>
        <v>84008</v>
      </c>
    </row>
    <row r="1084" spans="7:14" ht="11.25" customHeight="1" x14ac:dyDescent="0.3">
      <c r="G1084" s="459">
        <f t="shared" si="114"/>
        <v>90</v>
      </c>
      <c r="H1084" s="459">
        <v>1077</v>
      </c>
      <c r="I1084" s="444">
        <f t="shared" ca="1" si="108"/>
        <v>-24544066.247676119</v>
      </c>
      <c r="J1084" s="444">
        <f t="array" ref="J1084">IFERROR(INDEX('Retirement Calculator'!J:J,MATCH('Isaac 401k'!N1084,'Retirement Calculator'!A:A,0),0),0)</f>
        <v>8395.6297298201844</v>
      </c>
      <c r="K1084" s="444">
        <f t="shared" ca="1" si="105"/>
        <v>-102301.92448919141</v>
      </c>
      <c r="L1084" s="444">
        <f t="shared" ca="1" si="106"/>
        <v>-24654763.80189513</v>
      </c>
      <c r="M1084" s="460">
        <f t="shared" si="109"/>
        <v>0.05</v>
      </c>
      <c r="N1084" s="464">
        <f t="shared" si="110"/>
        <v>84039</v>
      </c>
    </row>
    <row r="1085" spans="7:14" ht="11.25" customHeight="1" x14ac:dyDescent="0.3">
      <c r="G1085" s="459">
        <f t="shared" si="114"/>
        <v>90</v>
      </c>
      <c r="H1085" s="459">
        <v>1078</v>
      </c>
      <c r="I1085" s="444">
        <f t="shared" ca="1" si="108"/>
        <v>-24654763.80189513</v>
      </c>
      <c r="J1085" s="444">
        <f t="array" ref="J1085">IFERROR(INDEX('Retirement Calculator'!J:J,MATCH('Isaac 401k'!N1085,'Retirement Calculator'!A:A,0),0),0)</f>
        <v>8395.6297298201844</v>
      </c>
      <c r="K1085" s="444">
        <f t="shared" ca="1" si="105"/>
        <v>-102763.16429843729</v>
      </c>
      <c r="L1085" s="444">
        <f t="shared" ca="1" si="106"/>
        <v>-24765922.595923387</v>
      </c>
      <c r="M1085" s="460">
        <f t="shared" si="109"/>
        <v>0.05</v>
      </c>
      <c r="N1085" s="464">
        <f t="shared" si="110"/>
        <v>84067</v>
      </c>
    </row>
    <row r="1086" spans="7:14" ht="11.25" customHeight="1" x14ac:dyDescent="0.3">
      <c r="G1086" s="459">
        <f t="shared" si="114"/>
        <v>90</v>
      </c>
      <c r="H1086" s="459">
        <v>1079</v>
      </c>
      <c r="I1086" s="444">
        <f t="shared" ca="1" si="108"/>
        <v>-24765922.595923387</v>
      </c>
      <c r="J1086" s="444">
        <f t="array" ref="J1086">IFERROR(INDEX('Retirement Calculator'!J:J,MATCH('Isaac 401k'!N1086,'Retirement Calculator'!A:A,0),0),0)</f>
        <v>8395.6297298201844</v>
      </c>
      <c r="K1086" s="444">
        <f t="shared" ca="1" si="105"/>
        <v>-103226.32594022169</v>
      </c>
      <c r="L1086" s="444">
        <f t="shared" ca="1" si="106"/>
        <v>-24877544.551593427</v>
      </c>
      <c r="M1086" s="460">
        <f t="shared" si="109"/>
        <v>0.05</v>
      </c>
      <c r="N1086" s="464">
        <f t="shared" si="110"/>
        <v>84098</v>
      </c>
    </row>
    <row r="1087" spans="7:14" ht="11.25" customHeight="1" x14ac:dyDescent="0.3">
      <c r="G1087" s="459">
        <f t="shared" si="114"/>
        <v>90</v>
      </c>
      <c r="H1087" s="459">
        <v>1080</v>
      </c>
      <c r="I1087" s="444">
        <f t="shared" ca="1" si="108"/>
        <v>-24877544.551593427</v>
      </c>
      <c r="J1087" s="444">
        <f t="array" ref="J1087">IFERROR(INDEX('Retirement Calculator'!J:J,MATCH('Isaac 401k'!N1087,'Retirement Calculator'!A:A,0),0),0)</f>
        <v>8395.6297298201844</v>
      </c>
      <c r="K1087" s="444">
        <f t="shared" ca="1" si="105"/>
        <v>-103691.41742218018</v>
      </c>
      <c r="L1087" s="444">
        <f t="shared" ca="1" si="106"/>
        <v>-24989631.598745424</v>
      </c>
      <c r="M1087" s="460">
        <f t="shared" si="109"/>
        <v>0.05</v>
      </c>
      <c r="N1087" s="464">
        <f t="shared" si="110"/>
        <v>84128</v>
      </c>
    </row>
    <row r="1088" spans="7:14" ht="11.25" customHeight="1" x14ac:dyDescent="0.3">
      <c r="G1088" s="459">
        <f>G1087+1</f>
        <v>91</v>
      </c>
      <c r="H1088" s="459">
        <v>1081</v>
      </c>
      <c r="I1088" s="444">
        <f t="shared" ca="1" si="108"/>
        <v>-24989631.598745424</v>
      </c>
      <c r="J1088" s="444">
        <f t="array" ref="J1088">IFERROR(INDEX('Retirement Calculator'!J:J,MATCH('Isaac 401k'!N1088,'Retirement Calculator'!A:A,0),0),0)</f>
        <v>8395.6297298201844</v>
      </c>
      <c r="K1088" s="444">
        <f t="shared" ca="1" si="105"/>
        <v>-104158.44678531351</v>
      </c>
      <c r="L1088" s="444">
        <f t="shared" ca="1" si="106"/>
        <v>-25102185.675260555</v>
      </c>
      <c r="M1088" s="460">
        <f t="shared" si="109"/>
        <v>0.05</v>
      </c>
      <c r="N1088" s="464">
        <f t="shared" si="110"/>
        <v>84159</v>
      </c>
    </row>
    <row r="1089" spans="7:14" ht="11.25" customHeight="1" x14ac:dyDescent="0.3">
      <c r="G1089" s="459">
        <f t="shared" ref="G1089:G1099" si="115">G1088</f>
        <v>91</v>
      </c>
      <c r="H1089" s="459">
        <v>1082</v>
      </c>
      <c r="I1089" s="444">
        <f t="shared" ca="1" si="108"/>
        <v>-25102185.675260555</v>
      </c>
      <c r="J1089" s="444">
        <f t="array" ref="J1089">IFERROR(INDEX('Retirement Calculator'!J:J,MATCH('Isaac 401k'!N1089,'Retirement Calculator'!A:A,0),0),0)</f>
        <v>8395.6297298201844</v>
      </c>
      <c r="K1089" s="444">
        <f t="shared" ca="1" si="105"/>
        <v>-104627.42210412656</v>
      </c>
      <c r="L1089" s="444">
        <f t="shared" ca="1" si="106"/>
        <v>-25215208.727094501</v>
      </c>
      <c r="M1089" s="460">
        <f t="shared" si="109"/>
        <v>0.05</v>
      </c>
      <c r="N1089" s="464">
        <f t="shared" si="110"/>
        <v>84189</v>
      </c>
    </row>
    <row r="1090" spans="7:14" ht="11.25" customHeight="1" x14ac:dyDescent="0.3">
      <c r="G1090" s="459">
        <f t="shared" si="115"/>
        <v>91</v>
      </c>
      <c r="H1090" s="459">
        <v>1083</v>
      </c>
      <c r="I1090" s="444">
        <f t="shared" ca="1" si="108"/>
        <v>-25215208.727094501</v>
      </c>
      <c r="J1090" s="444">
        <f t="array" ref="J1090">IFERROR(INDEX('Retirement Calculator'!J:J,MATCH('Isaac 401k'!N1090,'Retirement Calculator'!A:A,0),0),0)</f>
        <v>8395.6297298201844</v>
      </c>
      <c r="K1090" s="444">
        <f t="shared" ca="1" si="105"/>
        <v>-105098.35148676799</v>
      </c>
      <c r="L1090" s="444">
        <f t="shared" ca="1" si="106"/>
        <v>-25328702.708311088</v>
      </c>
      <c r="M1090" s="460">
        <f t="shared" si="109"/>
        <v>0.05</v>
      </c>
      <c r="N1090" s="464">
        <f t="shared" si="110"/>
        <v>84220</v>
      </c>
    </row>
    <row r="1091" spans="7:14" ht="11.25" customHeight="1" x14ac:dyDescent="0.3">
      <c r="G1091" s="459">
        <f t="shared" si="115"/>
        <v>91</v>
      </c>
      <c r="H1091" s="459">
        <v>1084</v>
      </c>
      <c r="I1091" s="444">
        <f t="shared" ca="1" si="108"/>
        <v>-25328702.708311088</v>
      </c>
      <c r="J1091" s="444">
        <f t="array" ref="J1091">IFERROR(INDEX('Retirement Calculator'!J:J,MATCH('Isaac 401k'!N1091,'Retirement Calculator'!A:A,0),0),0)</f>
        <v>8395.6297298201844</v>
      </c>
      <c r="K1091" s="444">
        <f t="shared" ca="1" si="105"/>
        <v>-105571.24307517044</v>
      </c>
      <c r="L1091" s="444">
        <f t="shared" ca="1" si="106"/>
        <v>-25442669.581116077</v>
      </c>
      <c r="M1091" s="460">
        <f t="shared" si="109"/>
        <v>0.05</v>
      </c>
      <c r="N1091" s="464">
        <f t="shared" si="110"/>
        <v>84251</v>
      </c>
    </row>
    <row r="1092" spans="7:14" ht="11.25" customHeight="1" x14ac:dyDescent="0.3">
      <c r="G1092" s="459">
        <f t="shared" si="115"/>
        <v>91</v>
      </c>
      <c r="H1092" s="459">
        <v>1085</v>
      </c>
      <c r="I1092" s="444">
        <f t="shared" ca="1" si="108"/>
        <v>-25442669.581116077</v>
      </c>
      <c r="J1092" s="444">
        <f t="array" ref="J1092">IFERROR(INDEX('Retirement Calculator'!J:J,MATCH('Isaac 401k'!N1092,'Retirement Calculator'!A:A,0),0),0)</f>
        <v>8395.6297298201844</v>
      </c>
      <c r="K1092" s="444">
        <f t="shared" ca="1" si="105"/>
        <v>-106046.10504519123</v>
      </c>
      <c r="L1092" s="444">
        <f t="shared" ca="1" si="106"/>
        <v>-25557111.315891087</v>
      </c>
      <c r="M1092" s="460">
        <f t="shared" si="109"/>
        <v>0.05</v>
      </c>
      <c r="N1092" s="464">
        <f t="shared" si="110"/>
        <v>84281</v>
      </c>
    </row>
    <row r="1093" spans="7:14" ht="11.25" customHeight="1" x14ac:dyDescent="0.3">
      <c r="G1093" s="459">
        <f t="shared" si="115"/>
        <v>91</v>
      </c>
      <c r="H1093" s="459">
        <v>1086</v>
      </c>
      <c r="I1093" s="444">
        <f t="shared" ca="1" si="108"/>
        <v>-25557111.315891087</v>
      </c>
      <c r="J1093" s="444">
        <f t="array" ref="J1093">IFERROR(INDEX('Retirement Calculator'!J:J,MATCH('Isaac 401k'!N1093,'Retirement Calculator'!A:A,0),0),0)</f>
        <v>8395.6297298201844</v>
      </c>
      <c r="K1093" s="444">
        <f t="shared" ca="1" si="105"/>
        <v>-106522.94560675377</v>
      </c>
      <c r="L1093" s="444">
        <f t="shared" ca="1" si="106"/>
        <v>-25672029.891227659</v>
      </c>
      <c r="M1093" s="460">
        <f t="shared" si="109"/>
        <v>0.05</v>
      </c>
      <c r="N1093" s="464">
        <f t="shared" si="110"/>
        <v>84312</v>
      </c>
    </row>
    <row r="1094" spans="7:14" ht="11.25" customHeight="1" x14ac:dyDescent="0.3">
      <c r="G1094" s="459">
        <f t="shared" si="115"/>
        <v>91</v>
      </c>
      <c r="H1094" s="459">
        <v>1087</v>
      </c>
      <c r="I1094" s="444">
        <f t="shared" ca="1" si="108"/>
        <v>-25672029.891227659</v>
      </c>
      <c r="J1094" s="444">
        <f t="array" ref="J1094">IFERROR(INDEX('Retirement Calculator'!J:J,MATCH('Isaac 401k'!N1094,'Retirement Calculator'!A:A,0),0),0)</f>
        <v>8395.6297298201844</v>
      </c>
      <c r="K1094" s="444">
        <f t="shared" ca="1" si="105"/>
        <v>-107001.77300398948</v>
      </c>
      <c r="L1094" s="444">
        <f t="shared" ca="1" si="106"/>
        <v>-25787427.293961465</v>
      </c>
      <c r="M1094" s="460">
        <f t="shared" si="109"/>
        <v>0.05</v>
      </c>
      <c r="N1094" s="464">
        <f t="shared" si="110"/>
        <v>84342</v>
      </c>
    </row>
    <row r="1095" spans="7:14" ht="11.25" customHeight="1" x14ac:dyDescent="0.3">
      <c r="G1095" s="459">
        <f t="shared" si="115"/>
        <v>91</v>
      </c>
      <c r="H1095" s="459">
        <v>1088</v>
      </c>
      <c r="I1095" s="444">
        <f t="shared" ca="1" si="108"/>
        <v>-25787427.293961465</v>
      </c>
      <c r="J1095" s="444">
        <f t="array" ref="J1095">IFERROR(INDEX('Retirement Calculator'!J:J,MATCH('Isaac 401k'!N1095,'Retirement Calculator'!A:A,0),0),0)</f>
        <v>8395.6297298201844</v>
      </c>
      <c r="K1095" s="444">
        <f t="shared" ca="1" si="105"/>
        <v>-107482.59551538035</v>
      </c>
      <c r="L1095" s="444">
        <f t="shared" ca="1" si="106"/>
        <v>-25903305.519206665</v>
      </c>
      <c r="M1095" s="460">
        <f t="shared" si="109"/>
        <v>0.05</v>
      </c>
      <c r="N1095" s="464">
        <f t="shared" si="110"/>
        <v>84373</v>
      </c>
    </row>
    <row r="1096" spans="7:14" ht="11.25" customHeight="1" x14ac:dyDescent="0.3">
      <c r="G1096" s="459">
        <f t="shared" si="115"/>
        <v>91</v>
      </c>
      <c r="H1096" s="459">
        <v>1089</v>
      </c>
      <c r="I1096" s="444">
        <f t="shared" ca="1" si="108"/>
        <v>-25903305.519206665</v>
      </c>
      <c r="J1096" s="444">
        <f t="array" ref="J1096">IFERROR(INDEX('Retirement Calculator'!J:J,MATCH('Isaac 401k'!N1096,'Retirement Calculator'!A:A,0),0),0)</f>
        <v>8395.6297298201844</v>
      </c>
      <c r="K1096" s="444">
        <f t="shared" ca="1" si="105"/>
        <v>-107965.42145390202</v>
      </c>
      <c r="L1096" s="444">
        <f t="shared" ca="1" si="106"/>
        <v>-26019666.570390385</v>
      </c>
      <c r="M1096" s="460">
        <f t="shared" si="109"/>
        <v>0.05</v>
      </c>
      <c r="N1096" s="464">
        <f t="shared" si="110"/>
        <v>84404</v>
      </c>
    </row>
    <row r="1097" spans="7:14" ht="11.25" customHeight="1" x14ac:dyDescent="0.3">
      <c r="G1097" s="459">
        <f t="shared" si="115"/>
        <v>91</v>
      </c>
      <c r="H1097" s="459">
        <v>1090</v>
      </c>
      <c r="I1097" s="444">
        <f t="shared" ca="1" si="108"/>
        <v>-26019666.570390385</v>
      </c>
      <c r="J1097" s="444">
        <f t="array" ref="J1097">IFERROR(INDEX('Retirement Calculator'!J:J,MATCH('Isaac 401k'!N1097,'Retirement Calculator'!A:A,0),0),0)</f>
        <v>8395.6297298201844</v>
      </c>
      <c r="K1097" s="444">
        <f t="shared" ca="1" si="105"/>
        <v>-108450.25916716752</v>
      </c>
      <c r="L1097" s="444">
        <f t="shared" ca="1" si="106"/>
        <v>-26136512.459287371</v>
      </c>
      <c r="M1097" s="460">
        <f t="shared" si="109"/>
        <v>0.05</v>
      </c>
      <c r="N1097" s="464">
        <f t="shared" si="110"/>
        <v>84432</v>
      </c>
    </row>
    <row r="1098" spans="7:14" ht="11.25" customHeight="1" x14ac:dyDescent="0.3">
      <c r="G1098" s="459">
        <f t="shared" si="115"/>
        <v>91</v>
      </c>
      <c r="H1098" s="459">
        <v>1091</v>
      </c>
      <c r="I1098" s="444">
        <f t="shared" ca="1" si="108"/>
        <v>-26136512.459287371</v>
      </c>
      <c r="J1098" s="444">
        <f t="array" ref="J1098">IFERROR(INDEX('Retirement Calculator'!J:J,MATCH('Isaac 401k'!N1098,'Retirement Calculator'!A:A,0),0),0)</f>
        <v>8395.6297298201844</v>
      </c>
      <c r="K1098" s="444">
        <f t="shared" ca="1" si="105"/>
        <v>-108937.11703757162</v>
      </c>
      <c r="L1098" s="444">
        <f t="shared" ca="1" si="106"/>
        <v>-26253845.206054762</v>
      </c>
      <c r="M1098" s="460">
        <f t="shared" si="109"/>
        <v>0.05</v>
      </c>
      <c r="N1098" s="464">
        <f t="shared" si="110"/>
        <v>84463</v>
      </c>
    </row>
    <row r="1099" spans="7:14" ht="11.25" customHeight="1" x14ac:dyDescent="0.3">
      <c r="G1099" s="459">
        <f t="shared" si="115"/>
        <v>91</v>
      </c>
      <c r="H1099" s="459">
        <v>1092</v>
      </c>
      <c r="I1099" s="444">
        <f t="shared" ca="1" si="108"/>
        <v>-26253845.206054762</v>
      </c>
      <c r="J1099" s="444">
        <f t="array" ref="J1099">IFERROR(INDEX('Retirement Calculator'!J:J,MATCH('Isaac 401k'!N1099,'Retirement Calculator'!A:A,0),0),0)</f>
        <v>8395.6297298201844</v>
      </c>
      <c r="K1099" s="444">
        <f t="shared" ca="1" si="105"/>
        <v>-109426.00348243576</v>
      </c>
      <c r="L1099" s="444">
        <f t="shared" ca="1" si="106"/>
        <v>-26371666.839267015</v>
      </c>
      <c r="M1099" s="460">
        <f t="shared" si="109"/>
        <v>0.05</v>
      </c>
      <c r="N1099" s="464">
        <f t="shared" si="110"/>
        <v>84493</v>
      </c>
    </row>
    <row r="1100" spans="7:14" ht="11.25" customHeight="1" x14ac:dyDescent="0.3">
      <c r="G1100" s="459">
        <f>G1099+1</f>
        <v>92</v>
      </c>
      <c r="H1100" s="459">
        <v>1093</v>
      </c>
      <c r="I1100" s="444">
        <f t="shared" ca="1" si="108"/>
        <v>-26371666.839267015</v>
      </c>
      <c r="J1100" s="444">
        <f t="array" ref="J1100">IFERROR(INDEX('Retirement Calculator'!J:J,MATCH('Isaac 401k'!N1100,'Retirement Calculator'!A:A,0),0),0)</f>
        <v>8395.6297298201844</v>
      </c>
      <c r="K1100" s="444">
        <f t="shared" ca="1" si="105"/>
        <v>-109916.92695415347</v>
      </c>
      <c r="L1100" s="444">
        <f t="shared" ca="1" si="106"/>
        <v>-26489979.395950988</v>
      </c>
      <c r="M1100" s="460">
        <f t="shared" si="109"/>
        <v>0.05</v>
      </c>
      <c r="N1100" s="464">
        <f t="shared" si="110"/>
        <v>84524</v>
      </c>
    </row>
    <row r="1101" spans="7:14" ht="11.25" customHeight="1" x14ac:dyDescent="0.3">
      <c r="G1101" s="459">
        <f t="shared" ref="G1101:G1111" si="116">G1100</f>
        <v>92</v>
      </c>
      <c r="H1101" s="459">
        <v>1094</v>
      </c>
      <c r="I1101" s="444">
        <f t="shared" ca="1" si="108"/>
        <v>-26489979.395950988</v>
      </c>
      <c r="J1101" s="444">
        <f t="array" ref="J1101">IFERROR(INDEX('Retirement Calculator'!J:J,MATCH('Isaac 401k'!N1101,'Retirement Calculator'!A:A,0),0),0)</f>
        <v>8395.6297298201844</v>
      </c>
      <c r="K1101" s="444">
        <f t="shared" ca="1" si="105"/>
        <v>-110409.89594033669</v>
      </c>
      <c r="L1101" s="444">
        <f t="shared" ca="1" si="106"/>
        <v>-26608784.921621144</v>
      </c>
      <c r="M1101" s="460">
        <f t="shared" si="109"/>
        <v>0.05</v>
      </c>
      <c r="N1101" s="464">
        <f t="shared" si="110"/>
        <v>84554</v>
      </c>
    </row>
    <row r="1102" spans="7:14" ht="11.25" customHeight="1" x14ac:dyDescent="0.3">
      <c r="G1102" s="459">
        <f t="shared" si="116"/>
        <v>92</v>
      </c>
      <c r="H1102" s="459">
        <v>1095</v>
      </c>
      <c r="I1102" s="444">
        <f t="shared" ca="1" si="108"/>
        <v>-26608784.921621144</v>
      </c>
      <c r="J1102" s="444">
        <f t="array" ref="J1102">IFERROR(INDEX('Retirement Calculator'!J:J,MATCH('Isaac 401k'!N1102,'Retirement Calculator'!A:A,0),0),0)</f>
        <v>8395.6297298201844</v>
      </c>
      <c r="K1102" s="444">
        <f t="shared" ca="1" si="105"/>
        <v>-110904.91896396234</v>
      </c>
      <c r="L1102" s="444">
        <f t="shared" ca="1" si="106"/>
        <v>-26728085.470314924</v>
      </c>
      <c r="M1102" s="460">
        <f t="shared" si="109"/>
        <v>0.05</v>
      </c>
      <c r="N1102" s="464">
        <f t="shared" si="110"/>
        <v>84585</v>
      </c>
    </row>
    <row r="1103" spans="7:14" ht="11.25" customHeight="1" x14ac:dyDescent="0.3">
      <c r="G1103" s="459">
        <f t="shared" si="116"/>
        <v>92</v>
      </c>
      <c r="H1103" s="459">
        <v>1096</v>
      </c>
      <c r="I1103" s="444">
        <f t="shared" ca="1" si="108"/>
        <v>-26728085.470314924</v>
      </c>
      <c r="J1103" s="444">
        <f t="array" ref="J1103">IFERROR(INDEX('Retirement Calculator'!J:J,MATCH('Isaac 401k'!N1103,'Retirement Calculator'!A:A,0),0),0)</f>
        <v>8395.6297298201844</v>
      </c>
      <c r="K1103" s="444">
        <f t="shared" ca="1" si="105"/>
        <v>-111402.00458351975</v>
      </c>
      <c r="L1103" s="444">
        <f t="shared" ca="1" si="106"/>
        <v>-26847883.104628261</v>
      </c>
      <c r="M1103" s="460">
        <f t="shared" si="109"/>
        <v>0.05</v>
      </c>
      <c r="N1103" s="464">
        <f t="shared" si="110"/>
        <v>84616</v>
      </c>
    </row>
    <row r="1104" spans="7:14" ht="11.25" customHeight="1" x14ac:dyDescent="0.3">
      <c r="G1104" s="459">
        <f t="shared" si="116"/>
        <v>92</v>
      </c>
      <c r="H1104" s="459">
        <v>1097</v>
      </c>
      <c r="I1104" s="444">
        <f t="shared" ca="1" si="108"/>
        <v>-26847883.104628261</v>
      </c>
      <c r="J1104" s="444">
        <f t="array" ref="J1104">IFERROR(INDEX('Retirement Calculator'!J:J,MATCH('Isaac 401k'!N1104,'Retirement Calculator'!A:A,0),0),0)</f>
        <v>8395.6297298201844</v>
      </c>
      <c r="K1104" s="444">
        <f t="shared" ca="1" si="105"/>
        <v>-111901.16139315865</v>
      </c>
      <c r="L1104" s="444">
        <f t="shared" ca="1" si="106"/>
        <v>-26968179.895751238</v>
      </c>
      <c r="M1104" s="460">
        <f t="shared" si="109"/>
        <v>0.05</v>
      </c>
      <c r="N1104" s="464">
        <f t="shared" si="110"/>
        <v>84646</v>
      </c>
    </row>
    <row r="1105" spans="7:14" ht="11.25" customHeight="1" x14ac:dyDescent="0.3">
      <c r="G1105" s="459">
        <f t="shared" si="116"/>
        <v>92</v>
      </c>
      <c r="H1105" s="459">
        <v>1098</v>
      </c>
      <c r="I1105" s="444">
        <f t="shared" ca="1" si="108"/>
        <v>-26968179.895751238</v>
      </c>
      <c r="J1105" s="444">
        <f t="array" ref="J1105">IFERROR(INDEX('Retirement Calculator'!J:J,MATCH('Isaac 401k'!N1105,'Retirement Calculator'!A:A,0),0),0)</f>
        <v>8395.6297298201844</v>
      </c>
      <c r="K1105" s="444">
        <f t="shared" ca="1" si="105"/>
        <v>-112402.39802283775</v>
      </c>
      <c r="L1105" s="444">
        <f t="shared" ca="1" si="106"/>
        <v>-27088977.923503894</v>
      </c>
      <c r="M1105" s="460">
        <f t="shared" si="109"/>
        <v>0.05</v>
      </c>
      <c r="N1105" s="464">
        <f t="shared" si="110"/>
        <v>84677</v>
      </c>
    </row>
    <row r="1106" spans="7:14" ht="11.25" customHeight="1" x14ac:dyDescent="0.3">
      <c r="G1106" s="459">
        <f t="shared" si="116"/>
        <v>92</v>
      </c>
      <c r="H1106" s="459">
        <v>1099</v>
      </c>
      <c r="I1106" s="444">
        <f t="shared" ca="1" si="108"/>
        <v>-27088977.923503894</v>
      </c>
      <c r="J1106" s="444">
        <f t="array" ref="J1106">IFERROR(INDEX('Retirement Calculator'!J:J,MATCH('Isaac 401k'!N1106,'Retirement Calculator'!A:A,0),0),0)</f>
        <v>8395.6297298201844</v>
      </c>
      <c r="K1106" s="444">
        <f t="shared" ca="1" si="105"/>
        <v>-112905.72313847378</v>
      </c>
      <c r="L1106" s="444">
        <f t="shared" ca="1" si="106"/>
        <v>-27210279.276372187</v>
      </c>
      <c r="M1106" s="460">
        <f t="shared" si="109"/>
        <v>0.05</v>
      </c>
      <c r="N1106" s="464">
        <f t="shared" si="110"/>
        <v>84707</v>
      </c>
    </row>
    <row r="1107" spans="7:14" ht="11.25" customHeight="1" x14ac:dyDescent="0.3">
      <c r="G1107" s="459">
        <f t="shared" si="116"/>
        <v>92</v>
      </c>
      <c r="H1107" s="459">
        <v>1100</v>
      </c>
      <c r="I1107" s="444">
        <f t="shared" ca="1" si="108"/>
        <v>-27210279.276372187</v>
      </c>
      <c r="J1107" s="444">
        <f t="array" ref="J1107">IFERROR(INDEX('Retirement Calculator'!J:J,MATCH('Isaac 401k'!N1107,'Retirement Calculator'!A:A,0),0),0)</f>
        <v>8395.6297298201844</v>
      </c>
      <c r="K1107" s="444">
        <f t="shared" ca="1" si="105"/>
        <v>-113411.14544209169</v>
      </c>
      <c r="L1107" s="444">
        <f t="shared" ca="1" si="106"/>
        <v>-27332086.051544096</v>
      </c>
      <c r="M1107" s="460">
        <f t="shared" si="109"/>
        <v>0.05</v>
      </c>
      <c r="N1107" s="464">
        <f t="shared" si="110"/>
        <v>84738</v>
      </c>
    </row>
    <row r="1108" spans="7:14" ht="11.25" customHeight="1" x14ac:dyDescent="0.3">
      <c r="G1108" s="459">
        <f t="shared" si="116"/>
        <v>92</v>
      </c>
      <c r="H1108" s="459">
        <v>1101</v>
      </c>
      <c r="I1108" s="444">
        <f t="shared" ca="1" si="108"/>
        <v>-27332086.051544096</v>
      </c>
      <c r="J1108" s="444">
        <f t="array" ref="J1108">IFERROR(INDEX('Retirement Calculator'!J:J,MATCH('Isaac 401k'!N1108,'Retirement Calculator'!A:A,0),0),0)</f>
        <v>8395.6297298201844</v>
      </c>
      <c r="K1108" s="444">
        <f t="shared" ca="1" si="105"/>
        <v>-113918.67367197463</v>
      </c>
      <c r="L1108" s="444">
        <f t="shared" ca="1" si="106"/>
        <v>-27454400.354945891</v>
      </c>
      <c r="M1108" s="460">
        <f t="shared" si="109"/>
        <v>0.05</v>
      </c>
      <c r="N1108" s="464">
        <f t="shared" si="110"/>
        <v>84769</v>
      </c>
    </row>
    <row r="1109" spans="7:14" ht="11.25" customHeight="1" x14ac:dyDescent="0.3">
      <c r="G1109" s="459">
        <f t="shared" si="116"/>
        <v>92</v>
      </c>
      <c r="H1109" s="459">
        <v>1102</v>
      </c>
      <c r="I1109" s="444">
        <f t="shared" ca="1" si="108"/>
        <v>-27454400.354945891</v>
      </c>
      <c r="J1109" s="444">
        <f t="array" ref="J1109">IFERROR(INDEX('Retirement Calculator'!J:J,MATCH('Isaac 401k'!N1109,'Retirement Calculator'!A:A,0),0),0)</f>
        <v>8395.6297298201844</v>
      </c>
      <c r="K1109" s="444">
        <f t="shared" ca="1" si="105"/>
        <v>-114428.31660281547</v>
      </c>
      <c r="L1109" s="444">
        <f t="shared" ca="1" si="106"/>
        <v>-27577224.301278524</v>
      </c>
      <c r="M1109" s="460">
        <f t="shared" si="109"/>
        <v>0.05</v>
      </c>
      <c r="N1109" s="464">
        <f t="shared" si="110"/>
        <v>84798</v>
      </c>
    </row>
    <row r="1110" spans="7:14" ht="11.25" customHeight="1" x14ac:dyDescent="0.3">
      <c r="G1110" s="459">
        <f t="shared" si="116"/>
        <v>92</v>
      </c>
      <c r="H1110" s="459">
        <v>1103</v>
      </c>
      <c r="I1110" s="444">
        <f t="shared" ca="1" si="108"/>
        <v>-27577224.301278524</v>
      </c>
      <c r="J1110" s="444">
        <f t="array" ref="J1110">IFERROR(INDEX('Retirement Calculator'!J:J,MATCH('Isaac 401k'!N1110,'Retirement Calculator'!A:A,0),0),0)</f>
        <v>8395.6297298201844</v>
      </c>
      <c r="K1110" s="444">
        <f t="shared" ca="1" si="105"/>
        <v>-114940.08304586809</v>
      </c>
      <c r="L1110" s="444">
        <f t="shared" ca="1" si="106"/>
        <v>-27700560.014054209</v>
      </c>
      <c r="M1110" s="460">
        <f t="shared" si="109"/>
        <v>0.05</v>
      </c>
      <c r="N1110" s="464">
        <f t="shared" si="110"/>
        <v>84829</v>
      </c>
    </row>
    <row r="1111" spans="7:14" ht="11.25" customHeight="1" x14ac:dyDescent="0.3">
      <c r="G1111" s="459">
        <f t="shared" si="116"/>
        <v>92</v>
      </c>
      <c r="H1111" s="459">
        <v>1104</v>
      </c>
      <c r="I1111" s="444">
        <f t="shared" ca="1" si="108"/>
        <v>-27700560.014054209</v>
      </c>
      <c r="J1111" s="444">
        <f t="array" ref="J1111">IFERROR(INDEX('Retirement Calculator'!J:J,MATCH('Isaac 401k'!N1111,'Retirement Calculator'!A:A,0),0),0)</f>
        <v>8395.6297298201844</v>
      </c>
      <c r="K1111" s="444">
        <f t="shared" ca="1" si="105"/>
        <v>-115453.98184910014</v>
      </c>
      <c r="L1111" s="444">
        <f t="shared" ca="1" si="106"/>
        <v>-27824409.625633128</v>
      </c>
      <c r="M1111" s="460">
        <f t="shared" si="109"/>
        <v>0.05</v>
      </c>
      <c r="N1111" s="464">
        <f t="shared" si="110"/>
        <v>84859</v>
      </c>
    </row>
    <row r="1112" spans="7:14" ht="11.25" customHeight="1" x14ac:dyDescent="0.3">
      <c r="G1112" s="459">
        <f>G1111+1</f>
        <v>93</v>
      </c>
      <c r="H1112" s="459">
        <v>1105</v>
      </c>
      <c r="I1112" s="444">
        <f t="shared" ca="1" si="108"/>
        <v>-27824409.625633128</v>
      </c>
      <c r="J1112" s="444">
        <f t="array" ref="J1112">IFERROR(INDEX('Retirement Calculator'!J:J,MATCH('Isaac 401k'!N1112,'Retirement Calculator'!A:A,0),0),0)</f>
        <v>8395.6297298201844</v>
      </c>
      <c r="K1112" s="444">
        <f t="shared" ca="1" si="105"/>
        <v>-115970.02189734561</v>
      </c>
      <c r="L1112" s="444">
        <f t="shared" ca="1" si="106"/>
        <v>-27948775.277260292</v>
      </c>
      <c r="M1112" s="460">
        <f t="shared" si="109"/>
        <v>0.05</v>
      </c>
      <c r="N1112" s="464">
        <f t="shared" si="110"/>
        <v>84890</v>
      </c>
    </row>
    <row r="1113" spans="7:14" ht="11.25" customHeight="1" x14ac:dyDescent="0.3">
      <c r="G1113" s="459">
        <f t="shared" ref="G1113:G1123" si="117">G1112</f>
        <v>93</v>
      </c>
      <c r="H1113" s="459">
        <v>1106</v>
      </c>
      <c r="I1113" s="444">
        <f t="shared" ca="1" si="108"/>
        <v>-27948775.277260292</v>
      </c>
      <c r="J1113" s="444">
        <f t="array" ref="J1113">IFERROR(INDEX('Retirement Calculator'!J:J,MATCH('Isaac 401k'!N1113,'Retirement Calculator'!A:A,0),0),0)</f>
        <v>8395.6297298201844</v>
      </c>
      <c r="K1113" s="444">
        <f t="shared" ca="1" si="105"/>
        <v>-116488.21211245882</v>
      </c>
      <c r="L1113" s="444">
        <f t="shared" ca="1" si="106"/>
        <v>-28073659.119102571</v>
      </c>
      <c r="M1113" s="460">
        <f t="shared" si="109"/>
        <v>0.05</v>
      </c>
      <c r="N1113" s="464">
        <f t="shared" si="110"/>
        <v>84920</v>
      </c>
    </row>
    <row r="1114" spans="7:14" ht="11.25" customHeight="1" x14ac:dyDescent="0.3">
      <c r="G1114" s="459">
        <f t="shared" si="117"/>
        <v>93</v>
      </c>
      <c r="H1114" s="459">
        <v>1107</v>
      </c>
      <c r="I1114" s="444">
        <f t="shared" ca="1" si="108"/>
        <v>-28073659.119102571</v>
      </c>
      <c r="J1114" s="444">
        <f t="array" ref="J1114">IFERROR(INDEX('Retirement Calculator'!J:J,MATCH('Isaac 401k'!N1114,'Retirement Calculator'!A:A,0),0),0)</f>
        <v>8395.6297298201844</v>
      </c>
      <c r="K1114" s="444">
        <f t="shared" ca="1" si="105"/>
        <v>-117008.5614534683</v>
      </c>
      <c r="L1114" s="444">
        <f t="shared" ca="1" si="106"/>
        <v>-28199063.310285859</v>
      </c>
      <c r="M1114" s="460">
        <f t="shared" si="109"/>
        <v>0.05</v>
      </c>
      <c r="N1114" s="464">
        <f t="shared" si="110"/>
        <v>84951</v>
      </c>
    </row>
    <row r="1115" spans="7:14" ht="11.25" customHeight="1" x14ac:dyDescent="0.3">
      <c r="G1115" s="459">
        <f t="shared" si="117"/>
        <v>93</v>
      </c>
      <c r="H1115" s="459">
        <v>1108</v>
      </c>
      <c r="I1115" s="444">
        <f t="shared" ca="1" si="108"/>
        <v>-28199063.310285859</v>
      </c>
      <c r="J1115" s="444">
        <f t="array" ref="J1115">IFERROR(INDEX('Retirement Calculator'!J:J,MATCH('Isaac 401k'!N1115,'Retirement Calculator'!A:A,0),0),0)</f>
        <v>8395.6297298201844</v>
      </c>
      <c r="K1115" s="444">
        <f t="shared" ca="1" si="105"/>
        <v>-117531.078916732</v>
      </c>
      <c r="L1115" s="444">
        <f t="shared" ca="1" si="106"/>
        <v>-28324990.01893241</v>
      </c>
      <c r="M1115" s="460">
        <f t="shared" si="109"/>
        <v>0.05</v>
      </c>
      <c r="N1115" s="464">
        <f t="shared" si="110"/>
        <v>84982</v>
      </c>
    </row>
    <row r="1116" spans="7:14" ht="11.25" customHeight="1" x14ac:dyDescent="0.3">
      <c r="G1116" s="459">
        <f t="shared" si="117"/>
        <v>93</v>
      </c>
      <c r="H1116" s="459">
        <v>1109</v>
      </c>
      <c r="I1116" s="444">
        <f t="shared" ca="1" si="108"/>
        <v>-28324990.01893241</v>
      </c>
      <c r="J1116" s="444">
        <f t="array" ref="J1116">IFERROR(INDEX('Retirement Calculator'!J:J,MATCH('Isaac 401k'!N1116,'Retirement Calculator'!A:A,0),0),0)</f>
        <v>8395.6297298201844</v>
      </c>
      <c r="K1116" s="444">
        <f t="shared" ca="1" si="105"/>
        <v>-118055.77353609262</v>
      </c>
      <c r="L1116" s="444">
        <f t="shared" ca="1" si="106"/>
        <v>-28451441.422198322</v>
      </c>
      <c r="M1116" s="460">
        <f t="shared" si="109"/>
        <v>0.05</v>
      </c>
      <c r="N1116" s="464">
        <f t="shared" si="110"/>
        <v>85012</v>
      </c>
    </row>
    <row r="1117" spans="7:14" ht="11.25" customHeight="1" x14ac:dyDescent="0.3">
      <c r="G1117" s="459">
        <f t="shared" si="117"/>
        <v>93</v>
      </c>
      <c r="H1117" s="459">
        <v>1110</v>
      </c>
      <c r="I1117" s="444">
        <f t="shared" ca="1" si="108"/>
        <v>-28451441.422198322</v>
      </c>
      <c r="J1117" s="444">
        <f t="array" ref="J1117">IFERROR(INDEX('Retirement Calculator'!J:J,MATCH('Isaac 401k'!N1117,'Retirement Calculator'!A:A,0),0),0)</f>
        <v>8395.6297298201844</v>
      </c>
      <c r="K1117" s="444">
        <f t="shared" ca="1" si="105"/>
        <v>-118582.65438303392</v>
      </c>
      <c r="L1117" s="444">
        <f t="shared" ca="1" si="106"/>
        <v>-28578419.706311174</v>
      </c>
      <c r="M1117" s="460">
        <f t="shared" si="109"/>
        <v>0.05</v>
      </c>
      <c r="N1117" s="464">
        <f t="shared" si="110"/>
        <v>85043</v>
      </c>
    </row>
    <row r="1118" spans="7:14" ht="11.25" customHeight="1" x14ac:dyDescent="0.3">
      <c r="G1118" s="459">
        <f t="shared" si="117"/>
        <v>93</v>
      </c>
      <c r="H1118" s="459">
        <v>1111</v>
      </c>
      <c r="I1118" s="444">
        <f t="shared" ca="1" si="108"/>
        <v>-28578419.706311174</v>
      </c>
      <c r="J1118" s="444">
        <f t="array" ref="J1118">IFERROR(INDEX('Retirement Calculator'!J:J,MATCH('Isaac 401k'!N1118,'Retirement Calculator'!A:A,0),0),0)</f>
        <v>8395.6297298201844</v>
      </c>
      <c r="K1118" s="444">
        <f t="shared" ca="1" si="105"/>
        <v>-119111.73056683745</v>
      </c>
      <c r="L1118" s="444">
        <f t="shared" ca="1" si="106"/>
        <v>-28705927.066607829</v>
      </c>
      <c r="M1118" s="460">
        <f t="shared" si="109"/>
        <v>0.05</v>
      </c>
      <c r="N1118" s="464">
        <f t="shared" si="110"/>
        <v>85073</v>
      </c>
    </row>
    <row r="1119" spans="7:14" ht="11.25" customHeight="1" x14ac:dyDescent="0.3">
      <c r="G1119" s="459">
        <f t="shared" si="117"/>
        <v>93</v>
      </c>
      <c r="H1119" s="459">
        <v>1112</v>
      </c>
      <c r="I1119" s="444">
        <f t="shared" ca="1" si="108"/>
        <v>-28705927.066607829</v>
      </c>
      <c r="J1119" s="444">
        <f t="array" ref="J1119">IFERROR(INDEX('Retirement Calculator'!J:J,MATCH('Isaac 401k'!N1119,'Retirement Calculator'!A:A,0),0),0)</f>
        <v>8395.6297298201844</v>
      </c>
      <c r="K1119" s="444">
        <f t="shared" ca="1" si="105"/>
        <v>-119643.01123474022</v>
      </c>
      <c r="L1119" s="444">
        <f t="shared" ca="1" si="106"/>
        <v>-28833965.707572389</v>
      </c>
      <c r="M1119" s="460">
        <f t="shared" si="109"/>
        <v>0.05</v>
      </c>
      <c r="N1119" s="464">
        <f t="shared" si="110"/>
        <v>85104</v>
      </c>
    </row>
    <row r="1120" spans="7:14" ht="11.25" customHeight="1" x14ac:dyDescent="0.3">
      <c r="G1120" s="459">
        <f t="shared" si="117"/>
        <v>93</v>
      </c>
      <c r="H1120" s="459">
        <v>1113</v>
      </c>
      <c r="I1120" s="444">
        <f t="shared" ca="1" si="108"/>
        <v>-28833965.707572389</v>
      </c>
      <c r="J1120" s="444">
        <f t="array" ref="J1120">IFERROR(INDEX('Retirement Calculator'!J:J,MATCH('Isaac 401k'!N1120,'Retirement Calculator'!A:A,0),0),0)</f>
        <v>8395.6297298201844</v>
      </c>
      <c r="K1120" s="444">
        <f t="shared" ca="1" si="105"/>
        <v>-120176.50557209252</v>
      </c>
      <c r="L1120" s="444">
        <f t="shared" ca="1" si="106"/>
        <v>-28962537.8428743</v>
      </c>
      <c r="M1120" s="460">
        <f t="shared" si="109"/>
        <v>0.05</v>
      </c>
      <c r="N1120" s="464">
        <f t="shared" si="110"/>
        <v>85135</v>
      </c>
    </row>
    <row r="1121" spans="7:14" ht="11.25" customHeight="1" x14ac:dyDescent="0.3">
      <c r="G1121" s="459">
        <f t="shared" si="117"/>
        <v>93</v>
      </c>
      <c r="H1121" s="459">
        <v>1114</v>
      </c>
      <c r="I1121" s="444">
        <f t="shared" ca="1" si="108"/>
        <v>-28962537.8428743</v>
      </c>
      <c r="J1121" s="444">
        <f t="array" ref="J1121">IFERROR(INDEX('Retirement Calculator'!J:J,MATCH('Isaac 401k'!N1121,'Retirement Calculator'!A:A,0),0),0)</f>
        <v>8395.6297298201844</v>
      </c>
      <c r="K1121" s="444">
        <f t="shared" ca="1" si="105"/>
        <v>-120712.22280251716</v>
      </c>
      <c r="L1121" s="444">
        <f t="shared" ca="1" si="106"/>
        <v>-29091645.695406634</v>
      </c>
      <c r="M1121" s="460">
        <f t="shared" si="109"/>
        <v>0.05</v>
      </c>
      <c r="N1121" s="464">
        <f t="shared" si="110"/>
        <v>85163</v>
      </c>
    </row>
    <row r="1122" spans="7:14" ht="11.25" customHeight="1" x14ac:dyDescent="0.3">
      <c r="G1122" s="459">
        <f t="shared" si="117"/>
        <v>93</v>
      </c>
      <c r="H1122" s="459">
        <v>1115</v>
      </c>
      <c r="I1122" s="444">
        <f t="shared" ca="1" si="108"/>
        <v>-29091645.695406634</v>
      </c>
      <c r="J1122" s="444">
        <f t="array" ref="J1122">IFERROR(INDEX('Retirement Calculator'!J:J,MATCH('Isaac 401k'!N1122,'Retirement Calculator'!A:A,0),0),0)</f>
        <v>8395.6297298201844</v>
      </c>
      <c r="K1122" s="444">
        <f t="shared" ca="1" si="105"/>
        <v>-121250.17218806855</v>
      </c>
      <c r="L1122" s="444">
        <f t="shared" ca="1" si="106"/>
        <v>-29221291.497324523</v>
      </c>
      <c r="M1122" s="460">
        <f t="shared" si="109"/>
        <v>0.05</v>
      </c>
      <c r="N1122" s="464">
        <f t="shared" si="110"/>
        <v>85194</v>
      </c>
    </row>
    <row r="1123" spans="7:14" ht="11.25" customHeight="1" x14ac:dyDescent="0.3">
      <c r="G1123" s="459">
        <f t="shared" si="117"/>
        <v>93</v>
      </c>
      <c r="H1123" s="459">
        <v>1116</v>
      </c>
      <c r="I1123" s="444">
        <f t="shared" ca="1" si="108"/>
        <v>-29221291.497324523</v>
      </c>
      <c r="J1123" s="444">
        <f t="array" ref="J1123">IFERROR(INDEX('Retirement Calculator'!J:J,MATCH('Isaac 401k'!N1123,'Retirement Calculator'!A:A,0),0),0)</f>
        <v>8395.6297298201844</v>
      </c>
      <c r="K1123" s="444">
        <f t="shared" ca="1" si="105"/>
        <v>-121790.36302939309</v>
      </c>
      <c r="L1123" s="444">
        <f t="shared" ca="1" si="106"/>
        <v>-29351477.490083735</v>
      </c>
      <c r="M1123" s="460">
        <f t="shared" si="109"/>
        <v>0.05</v>
      </c>
      <c r="N1123" s="464">
        <f t="shared" si="110"/>
        <v>85224</v>
      </c>
    </row>
    <row r="1124" spans="7:14" ht="11.25" customHeight="1" x14ac:dyDescent="0.3">
      <c r="G1124" s="459">
        <f>G1123+1</f>
        <v>94</v>
      </c>
      <c r="H1124" s="459">
        <v>1117</v>
      </c>
      <c r="I1124" s="444">
        <f t="shared" ca="1" si="108"/>
        <v>-29351477.490083735</v>
      </c>
      <c r="J1124" s="444">
        <f t="array" ref="J1124">IFERROR(INDEX('Retirement Calculator'!J:J,MATCH('Isaac 401k'!N1124,'Retirement Calculator'!A:A,0),0),0)</f>
        <v>8395.6297298201844</v>
      </c>
      <c r="K1124" s="444">
        <f t="shared" ca="1" si="105"/>
        <v>-122332.80466588981</v>
      </c>
      <c r="L1124" s="444">
        <f t="shared" ca="1" si="106"/>
        <v>-29482205.924479444</v>
      </c>
      <c r="M1124" s="460">
        <f t="shared" si="109"/>
        <v>0.05</v>
      </c>
      <c r="N1124" s="464">
        <f t="shared" si="110"/>
        <v>85255</v>
      </c>
    </row>
    <row r="1125" spans="7:14" ht="11.25" customHeight="1" x14ac:dyDescent="0.3">
      <c r="G1125" s="459">
        <f t="shared" ref="G1125:G1135" si="118">G1124</f>
        <v>94</v>
      </c>
      <c r="H1125" s="459">
        <v>1118</v>
      </c>
      <c r="I1125" s="444">
        <f t="shared" ca="1" si="108"/>
        <v>-29482205.924479444</v>
      </c>
      <c r="J1125" s="444">
        <f t="array" ref="J1125">IFERROR(INDEX('Retirement Calculator'!J:J,MATCH('Isaac 401k'!N1125,'Retirement Calculator'!A:A,0),0),0)</f>
        <v>8395.6297298201844</v>
      </c>
      <c r="K1125" s="444">
        <f t="shared" ca="1" si="105"/>
        <v>-122877.50647587192</v>
      </c>
      <c r="L1125" s="444">
        <f t="shared" ca="1" si="106"/>
        <v>-29613479.060685135</v>
      </c>
      <c r="M1125" s="460">
        <f t="shared" si="109"/>
        <v>0.05</v>
      </c>
      <c r="N1125" s="464">
        <f t="shared" si="110"/>
        <v>85285</v>
      </c>
    </row>
    <row r="1126" spans="7:14" ht="11.25" customHeight="1" x14ac:dyDescent="0.3">
      <c r="G1126" s="459">
        <f t="shared" si="118"/>
        <v>94</v>
      </c>
      <c r="H1126" s="459">
        <v>1119</v>
      </c>
      <c r="I1126" s="444">
        <f t="shared" ca="1" si="108"/>
        <v>-29613479.060685135</v>
      </c>
      <c r="J1126" s="444">
        <f t="array" ref="J1126">IFERROR(INDEX('Retirement Calculator'!J:J,MATCH('Isaac 401k'!N1126,'Retirement Calculator'!A:A,0),0),0)</f>
        <v>8395.6297298201844</v>
      </c>
      <c r="K1126" s="444">
        <f t="shared" ca="1" si="105"/>
        <v>-123424.47787672897</v>
      </c>
      <c r="L1126" s="444">
        <f t="shared" ca="1" si="106"/>
        <v>-29745299.168291684</v>
      </c>
      <c r="M1126" s="460">
        <f t="shared" si="109"/>
        <v>0.05</v>
      </c>
      <c r="N1126" s="464">
        <f t="shared" si="110"/>
        <v>85316</v>
      </c>
    </row>
    <row r="1127" spans="7:14" ht="11.25" customHeight="1" x14ac:dyDescent="0.3">
      <c r="G1127" s="459">
        <f t="shared" si="118"/>
        <v>94</v>
      </c>
      <c r="H1127" s="459">
        <v>1120</v>
      </c>
      <c r="I1127" s="444">
        <f t="shared" ca="1" si="108"/>
        <v>-29745299.168291684</v>
      </c>
      <c r="J1127" s="444">
        <f t="array" ref="J1127">IFERROR(INDEX('Retirement Calculator'!J:J,MATCH('Isaac 401k'!N1127,'Retirement Calculator'!A:A,0),0),0)</f>
        <v>8395.6297298201844</v>
      </c>
      <c r="K1127" s="444">
        <f t="shared" ca="1" si="105"/>
        <v>-123973.72832508957</v>
      </c>
      <c r="L1127" s="444">
        <f t="shared" ca="1" si="106"/>
        <v>-29877668.526346594</v>
      </c>
      <c r="M1127" s="460">
        <f t="shared" si="109"/>
        <v>0.05</v>
      </c>
      <c r="N1127" s="464">
        <f t="shared" si="110"/>
        <v>85347</v>
      </c>
    </row>
    <row r="1128" spans="7:14" ht="11.25" customHeight="1" x14ac:dyDescent="0.3">
      <c r="G1128" s="459">
        <f t="shared" si="118"/>
        <v>94</v>
      </c>
      <c r="H1128" s="459">
        <v>1121</v>
      </c>
      <c r="I1128" s="444">
        <f t="shared" ca="1" si="108"/>
        <v>-29877668.526346594</v>
      </c>
      <c r="J1128" s="444">
        <f t="array" ref="J1128">IFERROR(INDEX('Retirement Calculator'!J:J,MATCH('Isaac 401k'!N1128,'Retirement Calculator'!A:A,0),0),0)</f>
        <v>8395.6297298201844</v>
      </c>
      <c r="K1128" s="444">
        <f t="shared" ca="1" si="105"/>
        <v>-124525.26731698506</v>
      </c>
      <c r="L1128" s="444">
        <f t="shared" ca="1" si="106"/>
        <v>-30010589.423393399</v>
      </c>
      <c r="M1128" s="460">
        <f t="shared" si="109"/>
        <v>0.05</v>
      </c>
      <c r="N1128" s="464">
        <f t="shared" si="110"/>
        <v>85377</v>
      </c>
    </row>
    <row r="1129" spans="7:14" ht="11.25" customHeight="1" x14ac:dyDescent="0.3">
      <c r="G1129" s="459">
        <f t="shared" si="118"/>
        <v>94</v>
      </c>
      <c r="H1129" s="459">
        <v>1122</v>
      </c>
      <c r="I1129" s="444">
        <f t="shared" ca="1" si="108"/>
        <v>-30010589.423393399</v>
      </c>
      <c r="J1129" s="444">
        <f t="array" ref="J1129">IFERROR(INDEX('Retirement Calculator'!J:J,MATCH('Isaac 401k'!N1129,'Retirement Calculator'!A:A,0),0),0)</f>
        <v>8395.6297298201844</v>
      </c>
      <c r="K1129" s="444">
        <f t="shared" ca="1" si="105"/>
        <v>-125079.10438801341</v>
      </c>
      <c r="L1129" s="444">
        <f t="shared" ca="1" si="106"/>
        <v>-30144064.157511231</v>
      </c>
      <c r="M1129" s="460">
        <f t="shared" si="109"/>
        <v>0.05</v>
      </c>
      <c r="N1129" s="464">
        <f t="shared" si="110"/>
        <v>85408</v>
      </c>
    </row>
    <row r="1130" spans="7:14" ht="11.25" customHeight="1" x14ac:dyDescent="0.3">
      <c r="G1130" s="459">
        <f t="shared" si="118"/>
        <v>94</v>
      </c>
      <c r="H1130" s="459">
        <v>1123</v>
      </c>
      <c r="I1130" s="444">
        <f t="shared" ca="1" si="108"/>
        <v>-30144064.157511231</v>
      </c>
      <c r="J1130" s="444">
        <f t="array" ref="J1130">IFERROR(INDEX('Retirement Calculator'!J:J,MATCH('Isaac 401k'!N1130,'Retirement Calculator'!A:A,0),0),0)</f>
        <v>8395.6297298201844</v>
      </c>
      <c r="K1130" s="444">
        <f t="shared" ca="1" si="105"/>
        <v>-125635.24911350438</v>
      </c>
      <c r="L1130" s="444">
        <f t="shared" ca="1" si="106"/>
        <v>-30278095.036354553</v>
      </c>
      <c r="M1130" s="460">
        <f t="shared" si="109"/>
        <v>0.05</v>
      </c>
      <c r="N1130" s="464">
        <f t="shared" si="110"/>
        <v>85438</v>
      </c>
    </row>
    <row r="1131" spans="7:14" ht="11.25" customHeight="1" x14ac:dyDescent="0.3">
      <c r="G1131" s="459">
        <f t="shared" si="118"/>
        <v>94</v>
      </c>
      <c r="H1131" s="459">
        <v>1124</v>
      </c>
      <c r="I1131" s="444">
        <f t="shared" ca="1" si="108"/>
        <v>-30278095.036354553</v>
      </c>
      <c r="J1131" s="444">
        <f t="array" ref="J1131">IFERROR(INDEX('Retirement Calculator'!J:J,MATCH('Isaac 401k'!N1131,'Retirement Calculator'!A:A,0),0),0)</f>
        <v>8395.6297298201844</v>
      </c>
      <c r="K1131" s="444">
        <f t="shared" ca="1" si="105"/>
        <v>-126193.71110868487</v>
      </c>
      <c r="L1131" s="444">
        <f t="shared" ca="1" si="106"/>
        <v>-30412684.377193056</v>
      </c>
      <c r="M1131" s="460">
        <f t="shared" si="109"/>
        <v>0.05</v>
      </c>
      <c r="N1131" s="464">
        <f t="shared" si="110"/>
        <v>85469</v>
      </c>
    </row>
    <row r="1132" spans="7:14" ht="11.25" customHeight="1" x14ac:dyDescent="0.3">
      <c r="G1132" s="459">
        <f t="shared" si="118"/>
        <v>94</v>
      </c>
      <c r="H1132" s="459">
        <v>1125</v>
      </c>
      <c r="I1132" s="444">
        <f t="shared" ca="1" si="108"/>
        <v>-30412684.377193056</v>
      </c>
      <c r="J1132" s="444">
        <f t="array" ref="J1132">IFERROR(INDEX('Retirement Calculator'!J:J,MATCH('Isaac 401k'!N1132,'Retirement Calculator'!A:A,0),0),0)</f>
        <v>8395.6297298201844</v>
      </c>
      <c r="K1132" s="444">
        <f t="shared" ca="1" si="105"/>
        <v>-126754.50002884532</v>
      </c>
      <c r="L1132" s="444">
        <f t="shared" ca="1" si="106"/>
        <v>-30547834.50695172</v>
      </c>
      <c r="M1132" s="460">
        <f t="shared" si="109"/>
        <v>0.05</v>
      </c>
      <c r="N1132" s="464">
        <f t="shared" si="110"/>
        <v>85500</v>
      </c>
    </row>
    <row r="1133" spans="7:14" ht="11.25" customHeight="1" x14ac:dyDescent="0.3">
      <c r="G1133" s="459">
        <f t="shared" si="118"/>
        <v>94</v>
      </c>
      <c r="H1133" s="459">
        <v>1126</v>
      </c>
      <c r="I1133" s="444">
        <f t="shared" ca="1" si="108"/>
        <v>-30547834.50695172</v>
      </c>
      <c r="J1133" s="444">
        <f t="array" ref="J1133">IFERROR(INDEX('Retirement Calculator'!J:J,MATCH('Isaac 401k'!N1133,'Retirement Calculator'!A:A,0),0),0)</f>
        <v>8395.6297298201844</v>
      </c>
      <c r="K1133" s="444">
        <f t="shared" ca="1" si="105"/>
        <v>-127317.6255695064</v>
      </c>
      <c r="L1133" s="444">
        <f t="shared" ca="1" si="106"/>
        <v>-30683547.762251046</v>
      </c>
      <c r="M1133" s="460">
        <f t="shared" si="109"/>
        <v>0.05</v>
      </c>
      <c r="N1133" s="464">
        <f t="shared" si="110"/>
        <v>85528</v>
      </c>
    </row>
    <row r="1134" spans="7:14" ht="11.25" customHeight="1" x14ac:dyDescent="0.3">
      <c r="G1134" s="459">
        <f t="shared" si="118"/>
        <v>94</v>
      </c>
      <c r="H1134" s="459">
        <v>1127</v>
      </c>
      <c r="I1134" s="444">
        <f t="shared" ca="1" si="108"/>
        <v>-30683547.762251046</v>
      </c>
      <c r="J1134" s="444">
        <f t="array" ref="J1134">IFERROR(INDEX('Retirement Calculator'!J:J,MATCH('Isaac 401k'!N1134,'Retirement Calculator'!A:A,0),0),0)</f>
        <v>8395.6297298201844</v>
      </c>
      <c r="K1134" s="444">
        <f t="shared" ca="1" si="105"/>
        <v>-127883.09746658693</v>
      </c>
      <c r="L1134" s="444">
        <f t="shared" ca="1" si="106"/>
        <v>-30819826.489447452</v>
      </c>
      <c r="M1134" s="460">
        <f t="shared" si="109"/>
        <v>0.05</v>
      </c>
      <c r="N1134" s="464">
        <f t="shared" si="110"/>
        <v>85559</v>
      </c>
    </row>
    <row r="1135" spans="7:14" ht="11.25" customHeight="1" x14ac:dyDescent="0.3">
      <c r="G1135" s="459">
        <f t="shared" si="118"/>
        <v>94</v>
      </c>
      <c r="H1135" s="459">
        <v>1128</v>
      </c>
      <c r="I1135" s="444">
        <f t="shared" ca="1" si="108"/>
        <v>-30819826.489447452</v>
      </c>
      <c r="J1135" s="444">
        <f t="array" ref="J1135">IFERROR(INDEX('Retirement Calculator'!J:J,MATCH('Isaac 401k'!N1135,'Retirement Calculator'!A:A,0),0),0)</f>
        <v>8395.6297298201844</v>
      </c>
      <c r="K1135" s="444">
        <f t="shared" ca="1" si="105"/>
        <v>-128450.92549657196</v>
      </c>
      <c r="L1135" s="444">
        <f t="shared" ca="1" si="106"/>
        <v>-30956673.044673841</v>
      </c>
      <c r="M1135" s="460">
        <f t="shared" si="109"/>
        <v>0.05</v>
      </c>
      <c r="N1135" s="464">
        <f t="shared" si="110"/>
        <v>85589</v>
      </c>
    </row>
    <row r="1136" spans="7:14" ht="11.25" customHeight="1" x14ac:dyDescent="0.3">
      <c r="G1136" s="459">
        <f>G1135+1</f>
        <v>95</v>
      </c>
      <c r="H1136" s="459">
        <v>1129</v>
      </c>
      <c r="I1136" s="444">
        <f t="shared" ca="1" si="108"/>
        <v>-30956673.044673841</v>
      </c>
      <c r="J1136" s="444">
        <f t="array" ref="J1136">IFERROR(INDEX('Retirement Calculator'!J:J,MATCH('Isaac 401k'!N1136,'Retirement Calculator'!A:A,0),0),0)</f>
        <v>8395.6297298201844</v>
      </c>
      <c r="K1136" s="444">
        <f t="shared" ca="1" si="105"/>
        <v>-129021.1194766819</v>
      </c>
      <c r="L1136" s="444">
        <f t="shared" ca="1" si="106"/>
        <v>-31094089.793880343</v>
      </c>
      <c r="M1136" s="460">
        <f t="shared" si="109"/>
        <v>0.05</v>
      </c>
      <c r="N1136" s="464">
        <f t="shared" si="110"/>
        <v>85620</v>
      </c>
    </row>
    <row r="1137" spans="7:14" ht="11.25" customHeight="1" x14ac:dyDescent="0.3">
      <c r="G1137" s="459">
        <f t="shared" ref="G1137:G1147" si="119">G1136</f>
        <v>95</v>
      </c>
      <c r="H1137" s="459">
        <v>1130</v>
      </c>
      <c r="I1137" s="444">
        <f t="shared" ca="1" si="108"/>
        <v>-31094089.793880343</v>
      </c>
      <c r="J1137" s="444">
        <f t="array" ref="J1137">IFERROR(INDEX('Retirement Calculator'!J:J,MATCH('Isaac 401k'!N1137,'Retirement Calculator'!A:A,0),0),0)</f>
        <v>8395.6297298201844</v>
      </c>
      <c r="K1137" s="444">
        <f t="shared" ca="1" si="105"/>
        <v>-129593.68926504233</v>
      </c>
      <c r="L1137" s="444">
        <f t="shared" ca="1" si="106"/>
        <v>-31232079.112875205</v>
      </c>
      <c r="M1137" s="460">
        <f t="shared" si="109"/>
        <v>0.05</v>
      </c>
      <c r="N1137" s="464">
        <f t="shared" si="110"/>
        <v>85650</v>
      </c>
    </row>
    <row r="1138" spans="7:14" ht="11.25" customHeight="1" x14ac:dyDescent="0.3">
      <c r="G1138" s="459">
        <f t="shared" si="119"/>
        <v>95</v>
      </c>
      <c r="H1138" s="459">
        <v>1131</v>
      </c>
      <c r="I1138" s="444">
        <f t="shared" ca="1" si="108"/>
        <v>-31232079.112875205</v>
      </c>
      <c r="J1138" s="444">
        <f t="array" ref="J1138">IFERROR(INDEX('Retirement Calculator'!J:J,MATCH('Isaac 401k'!N1138,'Retirement Calculator'!A:A,0),0),0)</f>
        <v>8395.6297298201844</v>
      </c>
      <c r="K1138" s="444">
        <f t="shared" ca="1" si="105"/>
        <v>-130168.64476085427</v>
      </c>
      <c r="L1138" s="444">
        <f t="shared" ca="1" si="106"/>
        <v>-31370643.387365878</v>
      </c>
      <c r="M1138" s="460">
        <f t="shared" si="109"/>
        <v>0.05</v>
      </c>
      <c r="N1138" s="464">
        <f t="shared" si="110"/>
        <v>85681</v>
      </c>
    </row>
    <row r="1139" spans="7:14" ht="11.25" customHeight="1" x14ac:dyDescent="0.3">
      <c r="G1139" s="459">
        <f t="shared" si="119"/>
        <v>95</v>
      </c>
      <c r="H1139" s="459">
        <v>1132</v>
      </c>
      <c r="I1139" s="444">
        <f t="shared" ca="1" si="108"/>
        <v>-31370643.387365878</v>
      </c>
      <c r="J1139" s="444">
        <f t="array" ref="J1139">IFERROR(INDEX('Retirement Calculator'!J:J,MATCH('Isaac 401k'!N1139,'Retirement Calculator'!A:A,0),0),0)</f>
        <v>8395.6297298201844</v>
      </c>
      <c r="K1139" s="444">
        <f t="shared" ca="1" si="105"/>
        <v>-130745.9959045654</v>
      </c>
      <c r="L1139" s="444">
        <f t="shared" ca="1" si="106"/>
        <v>-31509785.013000261</v>
      </c>
      <c r="M1139" s="460">
        <f t="shared" si="109"/>
        <v>0.05</v>
      </c>
      <c r="N1139" s="464">
        <f t="shared" si="110"/>
        <v>85712</v>
      </c>
    </row>
    <row r="1140" spans="7:14" ht="11.25" customHeight="1" x14ac:dyDescent="0.3">
      <c r="G1140" s="459">
        <f t="shared" si="119"/>
        <v>95</v>
      </c>
      <c r="H1140" s="459">
        <v>1133</v>
      </c>
      <c r="I1140" s="444">
        <f t="shared" ca="1" si="108"/>
        <v>-31509785.013000261</v>
      </c>
      <c r="J1140" s="444">
        <f t="array" ref="J1140">IFERROR(INDEX('Retirement Calculator'!J:J,MATCH('Isaac 401k'!N1140,'Retirement Calculator'!A:A,0),0),0)</f>
        <v>8395.6297298201844</v>
      </c>
      <c r="K1140" s="444">
        <f t="shared" ca="1" si="105"/>
        <v>-131325.75267804199</v>
      </c>
      <c r="L1140" s="444">
        <f t="shared" ca="1" si="106"/>
        <v>-31649506.39540812</v>
      </c>
      <c r="M1140" s="460">
        <f t="shared" si="109"/>
        <v>0.05</v>
      </c>
      <c r="N1140" s="464">
        <f t="shared" si="110"/>
        <v>85742</v>
      </c>
    </row>
    <row r="1141" spans="7:14" ht="11.25" customHeight="1" x14ac:dyDescent="0.3">
      <c r="G1141" s="459">
        <f t="shared" si="119"/>
        <v>95</v>
      </c>
      <c r="H1141" s="459">
        <v>1134</v>
      </c>
      <c r="I1141" s="444">
        <f t="shared" ca="1" si="108"/>
        <v>-31649506.39540812</v>
      </c>
      <c r="J1141" s="444">
        <f t="array" ref="J1141">IFERROR(INDEX('Retirement Calculator'!J:J,MATCH('Isaac 401k'!N1141,'Retirement Calculator'!A:A,0),0),0)</f>
        <v>8395.6297298201844</v>
      </c>
      <c r="K1141" s="444">
        <f t="shared" ca="1" si="105"/>
        <v>-131907.92510474139</v>
      </c>
      <c r="L1141" s="444">
        <f t="shared" ca="1" si="106"/>
        <v>-31789809.95024268</v>
      </c>
      <c r="M1141" s="460">
        <f t="shared" si="109"/>
        <v>0.05</v>
      </c>
      <c r="N1141" s="464">
        <f t="shared" si="110"/>
        <v>85773</v>
      </c>
    </row>
    <row r="1142" spans="7:14" ht="11.25" customHeight="1" x14ac:dyDescent="0.3">
      <c r="G1142" s="459">
        <f t="shared" si="119"/>
        <v>95</v>
      </c>
      <c r="H1142" s="459">
        <v>1135</v>
      </c>
      <c r="I1142" s="444">
        <f t="shared" ca="1" si="108"/>
        <v>-31789809.95024268</v>
      </c>
      <c r="J1142" s="444">
        <f t="array" ref="J1142">IFERROR(INDEX('Retirement Calculator'!J:J,MATCH('Isaac 401k'!N1142,'Retirement Calculator'!A:A,0),0),0)</f>
        <v>8395.6297298201844</v>
      </c>
      <c r="K1142" s="444">
        <f t="shared" ca="1" si="105"/>
        <v>-132492.52324988542</v>
      </c>
      <c r="L1142" s="444">
        <f t="shared" ca="1" si="106"/>
        <v>-31930698.103222385</v>
      </c>
      <c r="M1142" s="460">
        <f t="shared" si="109"/>
        <v>0.05</v>
      </c>
      <c r="N1142" s="464">
        <f t="shared" si="110"/>
        <v>85803</v>
      </c>
    </row>
    <row r="1143" spans="7:14" ht="11.25" customHeight="1" x14ac:dyDescent="0.3">
      <c r="G1143" s="459">
        <f t="shared" si="119"/>
        <v>95</v>
      </c>
      <c r="H1143" s="459">
        <v>1136</v>
      </c>
      <c r="I1143" s="444">
        <f t="shared" ca="1" si="108"/>
        <v>-31930698.103222385</v>
      </c>
      <c r="J1143" s="444">
        <f t="array" ref="J1143">IFERROR(INDEX('Retirement Calculator'!J:J,MATCH('Isaac 401k'!N1143,'Retirement Calculator'!A:A,0),0),0)</f>
        <v>8395.6297298201844</v>
      </c>
      <c r="K1143" s="444">
        <f t="shared" ca="1" si="105"/>
        <v>-133079.55722063416</v>
      </c>
      <c r="L1143" s="444">
        <f t="shared" ca="1" si="106"/>
        <v>-32072173.290172838</v>
      </c>
      <c r="M1143" s="460">
        <f t="shared" si="109"/>
        <v>0.05</v>
      </c>
      <c r="N1143" s="464">
        <f t="shared" si="110"/>
        <v>85834</v>
      </c>
    </row>
    <row r="1144" spans="7:14" ht="11.25" customHeight="1" x14ac:dyDescent="0.3">
      <c r="G1144" s="459">
        <f t="shared" si="119"/>
        <v>95</v>
      </c>
      <c r="H1144" s="459">
        <v>1137</v>
      </c>
      <c r="I1144" s="444">
        <f t="shared" ca="1" si="108"/>
        <v>-32072173.290172838</v>
      </c>
      <c r="J1144" s="444">
        <f t="array" ref="J1144">IFERROR(INDEX('Retirement Calculator'!J:J,MATCH('Isaac 401k'!N1144,'Retirement Calculator'!A:A,0),0),0)</f>
        <v>8395.6297298201844</v>
      </c>
      <c r="K1144" s="444">
        <f t="shared" ca="1" si="105"/>
        <v>-133669.03716626106</v>
      </c>
      <c r="L1144" s="444">
        <f t="shared" ca="1" si="106"/>
        <v>-32214237.957068916</v>
      </c>
      <c r="M1144" s="460">
        <f t="shared" si="109"/>
        <v>0.05</v>
      </c>
      <c r="N1144" s="464">
        <f t="shared" si="110"/>
        <v>85865</v>
      </c>
    </row>
    <row r="1145" spans="7:14" ht="11.25" customHeight="1" x14ac:dyDescent="0.3">
      <c r="G1145" s="459">
        <f t="shared" si="119"/>
        <v>95</v>
      </c>
      <c r="H1145" s="459">
        <v>1138</v>
      </c>
      <c r="I1145" s="444">
        <f t="shared" ca="1" si="108"/>
        <v>-32214237.957068916</v>
      </c>
      <c r="J1145" s="444">
        <f t="array" ref="J1145">IFERROR(INDEX('Retirement Calculator'!J:J,MATCH('Isaac 401k'!N1145,'Retirement Calculator'!A:A,0),0),0)</f>
        <v>8395.6297298201844</v>
      </c>
      <c r="K1145" s="444">
        <f t="shared" ca="1" si="105"/>
        <v>-134260.97327832808</v>
      </c>
      <c r="L1145" s="444">
        <f t="shared" ca="1" si="106"/>
        <v>-32356894.560077064</v>
      </c>
      <c r="M1145" s="460">
        <f t="shared" si="109"/>
        <v>0.05</v>
      </c>
      <c r="N1145" s="464">
        <f t="shared" si="110"/>
        <v>85893</v>
      </c>
    </row>
    <row r="1146" spans="7:14" ht="11.25" customHeight="1" x14ac:dyDescent="0.3">
      <c r="G1146" s="459">
        <f t="shared" si="119"/>
        <v>95</v>
      </c>
      <c r="H1146" s="459">
        <v>1139</v>
      </c>
      <c r="I1146" s="444">
        <f t="shared" ca="1" si="108"/>
        <v>-32356894.560077064</v>
      </c>
      <c r="J1146" s="444">
        <f t="array" ref="J1146">IFERROR(INDEX('Retirement Calculator'!J:J,MATCH('Isaac 401k'!N1146,'Retirement Calculator'!A:A,0),0),0)</f>
        <v>8395.6297298201844</v>
      </c>
      <c r="K1146" s="444">
        <f t="shared" ca="1" si="105"/>
        <v>-134855.37579086202</v>
      </c>
      <c r="L1146" s="444">
        <f t="shared" ca="1" si="106"/>
        <v>-32500145.565597743</v>
      </c>
      <c r="M1146" s="460">
        <f t="shared" si="109"/>
        <v>0.05</v>
      </c>
      <c r="N1146" s="464">
        <f t="shared" si="110"/>
        <v>85924</v>
      </c>
    </row>
    <row r="1147" spans="7:14" ht="11.25" customHeight="1" x14ac:dyDescent="0.3">
      <c r="G1147" s="459">
        <f t="shared" si="119"/>
        <v>95</v>
      </c>
      <c r="H1147" s="459">
        <v>1140</v>
      </c>
      <c r="I1147" s="444">
        <f t="shared" ca="1" si="108"/>
        <v>-32500145.565597743</v>
      </c>
      <c r="J1147" s="444">
        <f t="array" ref="J1147">IFERROR(INDEX('Retirement Calculator'!J:J,MATCH('Isaac 401k'!N1147,'Retirement Calculator'!A:A,0),0),0)</f>
        <v>8395.6297298201844</v>
      </c>
      <c r="K1147" s="444">
        <f t="shared" ca="1" si="105"/>
        <v>-135452.25498053149</v>
      </c>
      <c r="L1147" s="444">
        <f t="shared" ca="1" si="106"/>
        <v>-32643993.450308092</v>
      </c>
      <c r="M1147" s="460">
        <f t="shared" si="109"/>
        <v>0.05</v>
      </c>
      <c r="N1147" s="464">
        <f t="shared" si="110"/>
        <v>85954</v>
      </c>
    </row>
    <row r="1148" spans="7:14" ht="11.25" customHeight="1" x14ac:dyDescent="0.3">
      <c r="G1148" s="459">
        <f>G1147+1</f>
        <v>96</v>
      </c>
      <c r="H1148" s="459">
        <v>1141</v>
      </c>
      <c r="I1148" s="444">
        <f t="shared" ca="1" si="108"/>
        <v>-32643993.450308092</v>
      </c>
      <c r="J1148" s="444">
        <f t="array" ref="J1148">IFERROR(INDEX('Retirement Calculator'!J:J,MATCH('Isaac 401k'!N1148,'Retirement Calculator'!A:A,0),0),0)</f>
        <v>8395.6297298201844</v>
      </c>
      <c r="K1148" s="444">
        <f t="shared" ca="1" si="105"/>
        <v>-136051.6211668246</v>
      </c>
      <c r="L1148" s="444">
        <f t="shared" ca="1" si="106"/>
        <v>-32788440.701204736</v>
      </c>
      <c r="M1148" s="460">
        <f t="shared" si="109"/>
        <v>0.05</v>
      </c>
      <c r="N1148" s="464">
        <f t="shared" si="110"/>
        <v>85985</v>
      </c>
    </row>
    <row r="1149" spans="7:14" ht="11.25" customHeight="1" x14ac:dyDescent="0.3">
      <c r="G1149" s="459">
        <f t="shared" ref="G1149:G1159" si="120">G1148</f>
        <v>96</v>
      </c>
      <c r="H1149" s="459">
        <v>1142</v>
      </c>
      <c r="I1149" s="444">
        <f t="shared" ca="1" si="108"/>
        <v>-32788440.701204736</v>
      </c>
      <c r="J1149" s="444">
        <f t="array" ref="J1149">IFERROR(INDEX('Retirement Calculator'!J:J,MATCH('Isaac 401k'!N1149,'Retirement Calculator'!A:A,0),0),0)</f>
        <v>8395.6297298201844</v>
      </c>
      <c r="K1149" s="444">
        <f t="shared" ca="1" si="105"/>
        <v>-136653.48471222731</v>
      </c>
      <c r="L1149" s="444">
        <f t="shared" ca="1" si="106"/>
        <v>-32933489.815646783</v>
      </c>
      <c r="M1149" s="460">
        <f t="shared" si="109"/>
        <v>0.05</v>
      </c>
      <c r="N1149" s="464">
        <f t="shared" si="110"/>
        <v>86015</v>
      </c>
    </row>
    <row r="1150" spans="7:14" ht="11.25" customHeight="1" x14ac:dyDescent="0.3">
      <c r="G1150" s="459">
        <f t="shared" si="120"/>
        <v>96</v>
      </c>
      <c r="H1150" s="459">
        <v>1143</v>
      </c>
      <c r="I1150" s="444">
        <f t="shared" ca="1" si="108"/>
        <v>-32933489.815646783</v>
      </c>
      <c r="J1150" s="444">
        <f t="array" ref="J1150">IFERROR(INDEX('Retirement Calculator'!J:J,MATCH('Isaac 401k'!N1150,'Retirement Calculator'!A:A,0),0),0)</f>
        <v>8395.6297298201844</v>
      </c>
      <c r="K1150" s="444">
        <f t="shared" ca="1" si="105"/>
        <v>-137257.8560224025</v>
      </c>
      <c r="L1150" s="444">
        <f t="shared" ca="1" si="106"/>
        <v>-33079143.301399004</v>
      </c>
      <c r="M1150" s="460">
        <f t="shared" si="109"/>
        <v>0.05</v>
      </c>
      <c r="N1150" s="464">
        <f t="shared" si="110"/>
        <v>86046</v>
      </c>
    </row>
    <row r="1151" spans="7:14" ht="11.25" customHeight="1" x14ac:dyDescent="0.3">
      <c r="G1151" s="459">
        <f t="shared" si="120"/>
        <v>96</v>
      </c>
      <c r="H1151" s="459">
        <v>1144</v>
      </c>
      <c r="I1151" s="444">
        <f t="shared" ca="1" si="108"/>
        <v>-33079143.301399004</v>
      </c>
      <c r="J1151" s="444">
        <f t="array" ref="J1151">IFERROR(INDEX('Retirement Calculator'!J:J,MATCH('Isaac 401k'!N1151,'Retirement Calculator'!A:A,0),0),0)</f>
        <v>8395.6297298201844</v>
      </c>
      <c r="K1151" s="444">
        <f t="shared" ca="1" si="105"/>
        <v>-137864.7455463701</v>
      </c>
      <c r="L1151" s="444">
        <f t="shared" ca="1" si="106"/>
        <v>-33225403.676675193</v>
      </c>
      <c r="M1151" s="460">
        <f t="shared" si="109"/>
        <v>0.05</v>
      </c>
      <c r="N1151" s="464">
        <f t="shared" si="110"/>
        <v>86077</v>
      </c>
    </row>
    <row r="1152" spans="7:14" ht="11.25" customHeight="1" x14ac:dyDescent="0.3">
      <c r="G1152" s="459">
        <f t="shared" si="120"/>
        <v>96</v>
      </c>
      <c r="H1152" s="459">
        <v>1145</v>
      </c>
      <c r="I1152" s="444">
        <f t="shared" ca="1" si="108"/>
        <v>-33225403.676675193</v>
      </c>
      <c r="J1152" s="444">
        <f t="array" ref="J1152">IFERROR(INDEX('Retirement Calculator'!J:J,MATCH('Isaac 401k'!N1152,'Retirement Calculator'!A:A,0),0),0)</f>
        <v>8395.6297298201844</v>
      </c>
      <c r="K1152" s="444">
        <f t="shared" ca="1" si="105"/>
        <v>-138474.16377668755</v>
      </c>
      <c r="L1152" s="444">
        <f t="shared" ca="1" si="106"/>
        <v>-33372273.4701817</v>
      </c>
      <c r="M1152" s="460">
        <f t="shared" si="109"/>
        <v>0.05</v>
      </c>
      <c r="N1152" s="464">
        <f t="shared" si="110"/>
        <v>86107</v>
      </c>
    </row>
    <row r="1153" spans="7:14" ht="11.25" customHeight="1" x14ac:dyDescent="0.3">
      <c r="G1153" s="459">
        <f t="shared" si="120"/>
        <v>96</v>
      </c>
      <c r="H1153" s="459">
        <v>1146</v>
      </c>
      <c r="I1153" s="444">
        <f t="shared" ca="1" si="108"/>
        <v>-33372273.4701817</v>
      </c>
      <c r="J1153" s="444">
        <f t="array" ref="J1153">IFERROR(INDEX('Retirement Calculator'!J:J,MATCH('Isaac 401k'!N1153,'Retirement Calculator'!A:A,0),0),0)</f>
        <v>8395.6297298201844</v>
      </c>
      <c r="K1153" s="444">
        <f t="shared" ca="1" si="105"/>
        <v>-139086.12124963134</v>
      </c>
      <c r="L1153" s="444">
        <f t="shared" ca="1" si="106"/>
        <v>-33519755.221161149</v>
      </c>
      <c r="M1153" s="460">
        <f t="shared" si="109"/>
        <v>0.05</v>
      </c>
      <c r="N1153" s="464">
        <f t="shared" si="110"/>
        <v>86138</v>
      </c>
    </row>
    <row r="1154" spans="7:14" ht="11.25" customHeight="1" x14ac:dyDescent="0.3">
      <c r="G1154" s="459">
        <f t="shared" si="120"/>
        <v>96</v>
      </c>
      <c r="H1154" s="459">
        <v>1147</v>
      </c>
      <c r="I1154" s="444">
        <f t="shared" ca="1" si="108"/>
        <v>-33519755.221161149</v>
      </c>
      <c r="J1154" s="444">
        <f t="array" ref="J1154">IFERROR(INDEX('Retirement Calculator'!J:J,MATCH('Isaac 401k'!N1154,'Retirement Calculator'!A:A,0),0),0)</f>
        <v>8395.6297298201844</v>
      </c>
      <c r="K1154" s="444">
        <f t="shared" ca="1" si="105"/>
        <v>-139700.62854537903</v>
      </c>
      <c r="L1154" s="444">
        <f t="shared" ca="1" si="106"/>
        <v>-33667851.479436345</v>
      </c>
      <c r="M1154" s="460">
        <f t="shared" si="109"/>
        <v>0.05</v>
      </c>
      <c r="N1154" s="464">
        <f t="shared" si="110"/>
        <v>86168</v>
      </c>
    </row>
    <row r="1155" spans="7:14" ht="11.25" customHeight="1" x14ac:dyDescent="0.3">
      <c r="G1155" s="459">
        <f t="shared" si="120"/>
        <v>96</v>
      </c>
      <c r="H1155" s="459">
        <v>1148</v>
      </c>
      <c r="I1155" s="444">
        <f t="shared" ca="1" si="108"/>
        <v>-33667851.479436345</v>
      </c>
      <c r="J1155" s="444">
        <f t="array" ref="J1155">IFERROR(INDEX('Retirement Calculator'!J:J,MATCH('Isaac 401k'!N1155,'Retirement Calculator'!A:A,0),0),0)</f>
        <v>8395.6297298201844</v>
      </c>
      <c r="K1155" s="444">
        <f t="shared" ca="1" si="105"/>
        <v>-140317.69628819235</v>
      </c>
      <c r="L1155" s="444">
        <f t="shared" ca="1" si="106"/>
        <v>-33816564.805454358</v>
      </c>
      <c r="M1155" s="460">
        <f t="shared" si="109"/>
        <v>0.05</v>
      </c>
      <c r="N1155" s="464">
        <f t="shared" si="110"/>
        <v>86199</v>
      </c>
    </row>
    <row r="1156" spans="7:14" ht="11.25" customHeight="1" x14ac:dyDescent="0.3">
      <c r="G1156" s="459">
        <f t="shared" si="120"/>
        <v>96</v>
      </c>
      <c r="H1156" s="459">
        <v>1149</v>
      </c>
      <c r="I1156" s="444">
        <f t="shared" ca="1" si="108"/>
        <v>-33816564.805454358</v>
      </c>
      <c r="J1156" s="444">
        <f t="array" ref="J1156">IFERROR(INDEX('Retirement Calculator'!J:J,MATCH('Isaac 401k'!N1156,'Retirement Calculator'!A:A,0),0),0)</f>
        <v>8395.6297298201844</v>
      </c>
      <c r="K1156" s="444">
        <f t="shared" ca="1" si="105"/>
        <v>-140937.33514660076</v>
      </c>
      <c r="L1156" s="444">
        <f t="shared" ca="1" si="106"/>
        <v>-33965897.770330779</v>
      </c>
      <c r="M1156" s="460">
        <f t="shared" si="109"/>
        <v>0.05</v>
      </c>
      <c r="N1156" s="464">
        <f t="shared" si="110"/>
        <v>86230</v>
      </c>
    </row>
    <row r="1157" spans="7:14" ht="11.25" customHeight="1" x14ac:dyDescent="0.3">
      <c r="G1157" s="459">
        <f t="shared" si="120"/>
        <v>96</v>
      </c>
      <c r="H1157" s="459">
        <v>1150</v>
      </c>
      <c r="I1157" s="444">
        <f t="shared" ca="1" si="108"/>
        <v>-33965897.770330779</v>
      </c>
      <c r="J1157" s="444">
        <f t="array" ref="J1157">IFERROR(INDEX('Retirement Calculator'!J:J,MATCH('Isaac 401k'!N1157,'Retirement Calculator'!A:A,0),0),0)</f>
        <v>8395.6297298201844</v>
      </c>
      <c r="K1157" s="444">
        <f t="shared" ca="1" si="105"/>
        <v>-141559.55583358585</v>
      </c>
      <c r="L1157" s="444">
        <f t="shared" ca="1" si="106"/>
        <v>-34115852.955894187</v>
      </c>
      <c r="M1157" s="460">
        <f t="shared" si="109"/>
        <v>0.05</v>
      </c>
      <c r="N1157" s="464">
        <f t="shared" si="110"/>
        <v>86259</v>
      </c>
    </row>
    <row r="1158" spans="7:14" ht="11.25" customHeight="1" x14ac:dyDescent="0.3">
      <c r="G1158" s="459">
        <f t="shared" si="120"/>
        <v>96</v>
      </c>
      <c r="H1158" s="459">
        <v>1151</v>
      </c>
      <c r="I1158" s="444">
        <f t="shared" ca="1" si="108"/>
        <v>-34115852.955894187</v>
      </c>
      <c r="J1158" s="444">
        <f t="array" ref="J1158">IFERROR(INDEX('Retirement Calculator'!J:J,MATCH('Isaac 401k'!N1158,'Retirement Calculator'!A:A,0),0),0)</f>
        <v>8395.6297298201844</v>
      </c>
      <c r="K1158" s="444">
        <f t="shared" ca="1" si="105"/>
        <v>-142184.36910676671</v>
      </c>
      <c r="L1158" s="444">
        <f t="shared" ca="1" si="106"/>
        <v>-34266432.954730779</v>
      </c>
      <c r="M1158" s="460">
        <f t="shared" si="109"/>
        <v>0.05</v>
      </c>
      <c r="N1158" s="464">
        <f t="shared" si="110"/>
        <v>86290</v>
      </c>
    </row>
    <row r="1159" spans="7:14" ht="11.25" customHeight="1" x14ac:dyDescent="0.3">
      <c r="G1159" s="459">
        <f t="shared" si="120"/>
        <v>96</v>
      </c>
      <c r="H1159" s="459">
        <v>1152</v>
      </c>
      <c r="I1159" s="444">
        <f t="shared" ca="1" si="108"/>
        <v>-34266432.954730779</v>
      </c>
      <c r="J1159" s="444">
        <f t="array" ref="J1159">IFERROR(INDEX('Retirement Calculator'!J:J,MATCH('Isaac 401k'!N1159,'Retirement Calculator'!A:A,0),0),0)</f>
        <v>8395.6297298201844</v>
      </c>
      <c r="K1159" s="444">
        <f t="shared" ca="1" si="105"/>
        <v>-142811.78576858583</v>
      </c>
      <c r="L1159" s="444">
        <f t="shared" ca="1" si="106"/>
        <v>-34417640.370229185</v>
      </c>
      <c r="M1159" s="460">
        <f t="shared" si="109"/>
        <v>0.05</v>
      </c>
      <c r="N1159" s="464">
        <f t="shared" si="110"/>
        <v>86320</v>
      </c>
    </row>
    <row r="1160" spans="7:14" ht="11.25" customHeight="1" x14ac:dyDescent="0.3">
      <c r="G1160" s="459">
        <f>G1159+1</f>
        <v>97</v>
      </c>
      <c r="H1160" s="459">
        <v>1153</v>
      </c>
      <c r="I1160" s="444">
        <f t="shared" ca="1" si="108"/>
        <v>-34417640.370229185</v>
      </c>
      <c r="J1160" s="444">
        <f t="array" ref="J1160">IFERROR(INDEX('Retirement Calculator'!J:J,MATCH('Isaac 401k'!N1160,'Retirement Calculator'!A:A,0),0),0)</f>
        <v>8395.6297298201844</v>
      </c>
      <c r="K1160" s="444">
        <f t="shared" ca="1" si="105"/>
        <v>-143441.81666649587</v>
      </c>
      <c r="L1160" s="444">
        <f t="shared" ca="1" si="106"/>
        <v>-34569477.816625506</v>
      </c>
      <c r="M1160" s="460">
        <f t="shared" si="109"/>
        <v>0.05</v>
      </c>
      <c r="N1160" s="464">
        <f t="shared" si="110"/>
        <v>86351</v>
      </c>
    </row>
    <row r="1161" spans="7:14" ht="11.25" customHeight="1" x14ac:dyDescent="0.3">
      <c r="G1161" s="459">
        <f t="shared" ref="G1161:G1171" si="121">G1160</f>
        <v>97</v>
      </c>
      <c r="H1161" s="459">
        <v>1154</v>
      </c>
      <c r="I1161" s="444">
        <f t="shared" ca="1" si="108"/>
        <v>-34569477.816625506</v>
      </c>
      <c r="J1161" s="444">
        <f t="array" ref="J1161">IFERROR(INDEX('Retirement Calculator'!J:J,MATCH('Isaac 401k'!N1161,'Retirement Calculator'!A:A,0),0),0)</f>
        <v>8395.6297298201844</v>
      </c>
      <c r="K1161" s="444">
        <f t="shared" ca="1" si="105"/>
        <v>-144074.4726931472</v>
      </c>
      <c r="L1161" s="444">
        <f t="shared" ca="1" si="106"/>
        <v>-34721947.919048473</v>
      </c>
      <c r="M1161" s="460">
        <f t="shared" si="109"/>
        <v>0.05</v>
      </c>
      <c r="N1161" s="464">
        <f t="shared" si="110"/>
        <v>86381</v>
      </c>
    </row>
    <row r="1162" spans="7:14" ht="11.25" customHeight="1" x14ac:dyDescent="0.3">
      <c r="G1162" s="459">
        <f t="shared" si="121"/>
        <v>97</v>
      </c>
      <c r="H1162" s="459">
        <v>1155</v>
      </c>
      <c r="I1162" s="444">
        <f t="shared" ca="1" si="108"/>
        <v>-34721947.919048473</v>
      </c>
      <c r="J1162" s="444">
        <f t="array" ref="J1162">IFERROR(INDEX('Retirement Calculator'!J:J,MATCH('Isaac 401k'!N1162,'Retirement Calculator'!A:A,0),0),0)</f>
        <v>8395.6297298201844</v>
      </c>
      <c r="K1162" s="444">
        <f t="shared" ca="1" si="105"/>
        <v>-144709.76478657624</v>
      </c>
      <c r="L1162" s="444">
        <f t="shared" ca="1" si="106"/>
        <v>-34875053.313564874</v>
      </c>
      <c r="M1162" s="460">
        <f t="shared" si="109"/>
        <v>0.05</v>
      </c>
      <c r="N1162" s="464">
        <f t="shared" si="110"/>
        <v>86412</v>
      </c>
    </row>
    <row r="1163" spans="7:14" ht="11.25" customHeight="1" x14ac:dyDescent="0.3">
      <c r="G1163" s="459">
        <f t="shared" si="121"/>
        <v>97</v>
      </c>
      <c r="H1163" s="459">
        <v>1156</v>
      </c>
      <c r="I1163" s="444">
        <f t="shared" ca="1" si="108"/>
        <v>-34875053.313564874</v>
      </c>
      <c r="J1163" s="444">
        <f t="array" ref="J1163">IFERROR(INDEX('Retirement Calculator'!J:J,MATCH('Isaac 401k'!N1163,'Retirement Calculator'!A:A,0),0),0)</f>
        <v>8395.6297298201844</v>
      </c>
      <c r="K1163" s="444">
        <f t="shared" ca="1" si="105"/>
        <v>-145347.70393039458</v>
      </c>
      <c r="L1163" s="444">
        <f t="shared" ca="1" si="106"/>
        <v>-35028796.647225089</v>
      </c>
      <c r="M1163" s="460">
        <f t="shared" si="109"/>
        <v>0.05</v>
      </c>
      <c r="N1163" s="464">
        <f t="shared" si="110"/>
        <v>86443</v>
      </c>
    </row>
    <row r="1164" spans="7:14" ht="11.25" customHeight="1" x14ac:dyDescent="0.3">
      <c r="G1164" s="459">
        <f t="shared" si="121"/>
        <v>97</v>
      </c>
      <c r="H1164" s="459">
        <v>1157</v>
      </c>
      <c r="I1164" s="444">
        <f t="shared" ca="1" si="108"/>
        <v>-35028796.647225089</v>
      </c>
      <c r="J1164" s="444">
        <f t="array" ref="J1164">IFERROR(INDEX('Retirement Calculator'!J:J,MATCH('Isaac 401k'!N1164,'Retirement Calculator'!A:A,0),0),0)</f>
        <v>8395.6297298201844</v>
      </c>
      <c r="K1164" s="444">
        <f t="shared" ca="1" si="105"/>
        <v>-145988.3011539788</v>
      </c>
      <c r="L1164" s="444">
        <f t="shared" ca="1" si="106"/>
        <v>-35183180.578108892</v>
      </c>
      <c r="M1164" s="460">
        <f t="shared" si="109"/>
        <v>0.05</v>
      </c>
      <c r="N1164" s="464">
        <f t="shared" si="110"/>
        <v>86473</v>
      </c>
    </row>
    <row r="1165" spans="7:14" ht="11.25" customHeight="1" x14ac:dyDescent="0.3">
      <c r="G1165" s="459">
        <f t="shared" si="121"/>
        <v>97</v>
      </c>
      <c r="H1165" s="459">
        <v>1158</v>
      </c>
      <c r="I1165" s="444">
        <f t="shared" ca="1" si="108"/>
        <v>-35183180.578108892</v>
      </c>
      <c r="J1165" s="444">
        <f t="array" ref="J1165">IFERROR(INDEX('Retirement Calculator'!J:J,MATCH('Isaac 401k'!N1165,'Retirement Calculator'!A:A,0),0),0)</f>
        <v>8395.6297298201844</v>
      </c>
      <c r="K1165" s="444">
        <f t="shared" ca="1" si="105"/>
        <v>-146631.56753266131</v>
      </c>
      <c r="L1165" s="444">
        <f t="shared" ca="1" si="106"/>
        <v>-35338207.775371373</v>
      </c>
      <c r="M1165" s="460">
        <f t="shared" si="109"/>
        <v>0.05</v>
      </c>
      <c r="N1165" s="464">
        <f t="shared" si="110"/>
        <v>86504</v>
      </c>
    </row>
    <row r="1166" spans="7:14" ht="11.25" customHeight="1" x14ac:dyDescent="0.3">
      <c r="G1166" s="459">
        <f t="shared" si="121"/>
        <v>97</v>
      </c>
      <c r="H1166" s="459">
        <v>1159</v>
      </c>
      <c r="I1166" s="444">
        <f t="shared" ca="1" si="108"/>
        <v>-35338207.775371373</v>
      </c>
      <c r="J1166" s="444">
        <f t="array" ref="J1166">IFERROR(INDEX('Retirement Calculator'!J:J,MATCH('Isaac 401k'!N1166,'Retirement Calculator'!A:A,0),0),0)</f>
        <v>8395.6297298201844</v>
      </c>
      <c r="K1166" s="444">
        <f t="shared" ca="1" si="105"/>
        <v>-147277.51418792165</v>
      </c>
      <c r="L1166" s="444">
        <f t="shared" ca="1" si="106"/>
        <v>-35493880.91928912</v>
      </c>
      <c r="M1166" s="460">
        <f t="shared" si="109"/>
        <v>0.05</v>
      </c>
      <c r="N1166" s="464">
        <f t="shared" si="110"/>
        <v>86534</v>
      </c>
    </row>
    <row r="1167" spans="7:14" ht="11.25" customHeight="1" x14ac:dyDescent="0.3">
      <c r="G1167" s="459">
        <f t="shared" si="121"/>
        <v>97</v>
      </c>
      <c r="H1167" s="459">
        <v>1160</v>
      </c>
      <c r="I1167" s="444">
        <f t="shared" ca="1" si="108"/>
        <v>-35493880.91928912</v>
      </c>
      <c r="J1167" s="444">
        <f t="array" ref="J1167">IFERROR(INDEX('Retirement Calculator'!J:J,MATCH('Isaac 401k'!N1167,'Retirement Calculator'!A:A,0),0),0)</f>
        <v>8395.6297298201844</v>
      </c>
      <c r="K1167" s="444">
        <f t="shared" ca="1" si="105"/>
        <v>-147926.15228757891</v>
      </c>
      <c r="L1167" s="444">
        <f t="shared" ca="1" si="106"/>
        <v>-35650202.701306522</v>
      </c>
      <c r="M1167" s="460">
        <f t="shared" si="109"/>
        <v>0.05</v>
      </c>
      <c r="N1167" s="464">
        <f t="shared" si="110"/>
        <v>86565</v>
      </c>
    </row>
    <row r="1168" spans="7:14" ht="11.25" customHeight="1" x14ac:dyDescent="0.3">
      <c r="G1168" s="459">
        <f t="shared" si="121"/>
        <v>97</v>
      </c>
      <c r="H1168" s="459">
        <v>1161</v>
      </c>
      <c r="I1168" s="444">
        <f t="shared" ca="1" si="108"/>
        <v>-35650202.701306522</v>
      </c>
      <c r="J1168" s="444">
        <f t="array" ref="J1168">IFERROR(INDEX('Retirement Calculator'!J:J,MATCH('Isaac 401k'!N1168,'Retirement Calculator'!A:A,0),0),0)</f>
        <v>8395.6297298201844</v>
      </c>
      <c r="K1168" s="444">
        <f t="shared" ca="1" si="105"/>
        <v>-148577.49304598477</v>
      </c>
      <c r="L1168" s="444">
        <f t="shared" ca="1" si="106"/>
        <v>-35807175.82408233</v>
      </c>
      <c r="M1168" s="460">
        <f t="shared" si="109"/>
        <v>0.05</v>
      </c>
      <c r="N1168" s="464">
        <f t="shared" si="110"/>
        <v>86596</v>
      </c>
    </row>
    <row r="1169" spans="7:14" ht="11.25" customHeight="1" x14ac:dyDescent="0.3">
      <c r="G1169" s="459">
        <f t="shared" si="121"/>
        <v>97</v>
      </c>
      <c r="H1169" s="459">
        <v>1162</v>
      </c>
      <c r="I1169" s="444">
        <f t="shared" ca="1" si="108"/>
        <v>-35807175.82408233</v>
      </c>
      <c r="J1169" s="444">
        <f t="array" ref="J1169">IFERROR(INDEX('Retirement Calculator'!J:J,MATCH('Isaac 401k'!N1169,'Retirement Calculator'!A:A,0),0),0)</f>
        <v>0</v>
      </c>
      <c r="K1169" s="444">
        <f t="shared" ca="1" si="105"/>
        <v>-149196.56593367638</v>
      </c>
      <c r="L1169" s="444">
        <f t="shared" ca="1" si="106"/>
        <v>-35956372.390016004</v>
      </c>
      <c r="M1169" s="460">
        <f t="shared" si="109"/>
        <v>0.05</v>
      </c>
      <c r="N1169" s="464">
        <f t="shared" si="110"/>
        <v>86624</v>
      </c>
    </row>
    <row r="1170" spans="7:14" ht="11.25" customHeight="1" x14ac:dyDescent="0.3">
      <c r="G1170" s="459">
        <f t="shared" si="121"/>
        <v>97</v>
      </c>
      <c r="H1170" s="459">
        <v>1163</v>
      </c>
      <c r="I1170" s="444">
        <f t="shared" ca="1" si="108"/>
        <v>-35956372.390016004</v>
      </c>
      <c r="J1170" s="444">
        <f t="array" ref="J1170">IFERROR(INDEX('Retirement Calculator'!J:J,MATCH('Isaac 401k'!N1170,'Retirement Calculator'!A:A,0),0),0)</f>
        <v>0</v>
      </c>
      <c r="K1170" s="444">
        <f t="shared" ca="1" si="105"/>
        <v>-149818.21829173336</v>
      </c>
      <c r="L1170" s="444">
        <f t="shared" ca="1" si="106"/>
        <v>-36106190.608307734</v>
      </c>
      <c r="M1170" s="460">
        <f t="shared" si="109"/>
        <v>0.05</v>
      </c>
      <c r="N1170" s="464">
        <f t="shared" si="110"/>
        <v>86655</v>
      </c>
    </row>
    <row r="1171" spans="7:14" ht="11.25" customHeight="1" x14ac:dyDescent="0.3">
      <c r="G1171" s="459">
        <f t="shared" si="121"/>
        <v>97</v>
      </c>
      <c r="H1171" s="459">
        <v>1164</v>
      </c>
      <c r="I1171" s="444">
        <f t="shared" ca="1" si="108"/>
        <v>-36106190.608307734</v>
      </c>
      <c r="J1171" s="444">
        <f t="array" ref="J1171">IFERROR(INDEX('Retirement Calculator'!J:J,MATCH('Isaac 401k'!N1171,'Retirement Calculator'!A:A,0),0),0)</f>
        <v>0</v>
      </c>
      <c r="K1171" s="444">
        <f t="shared" ca="1" si="105"/>
        <v>-150442.46086794889</v>
      </c>
      <c r="L1171" s="444">
        <f t="shared" ca="1" si="106"/>
        <v>-36256633.069175683</v>
      </c>
      <c r="M1171" s="460">
        <f t="shared" si="109"/>
        <v>0.05</v>
      </c>
      <c r="N1171" s="464">
        <f t="shared" si="110"/>
        <v>86685</v>
      </c>
    </row>
    <row r="1172" spans="7:14" ht="11.25" customHeight="1" x14ac:dyDescent="0.3">
      <c r="G1172" s="459">
        <f>G1171+1</f>
        <v>98</v>
      </c>
      <c r="H1172" s="459">
        <v>1165</v>
      </c>
      <c r="I1172" s="444">
        <f t="shared" ca="1" si="108"/>
        <v>-36256633.069175683</v>
      </c>
      <c r="J1172" s="444">
        <f t="array" ref="J1172">IFERROR(INDEX('Retirement Calculator'!J:J,MATCH('Isaac 401k'!N1172,'Retirement Calculator'!A:A,0),0),0)</f>
        <v>0</v>
      </c>
      <c r="K1172" s="444">
        <f t="shared" ca="1" si="105"/>
        <v>-151069.30445489867</v>
      </c>
      <c r="L1172" s="444">
        <f t="shared" ca="1" si="106"/>
        <v>-36407702.373630583</v>
      </c>
      <c r="M1172" s="460">
        <f t="shared" si="109"/>
        <v>0.05</v>
      </c>
      <c r="N1172" s="464">
        <f t="shared" si="110"/>
        <v>86716</v>
      </c>
    </row>
    <row r="1173" spans="7:14" ht="11.25" customHeight="1" x14ac:dyDescent="0.3">
      <c r="G1173" s="459">
        <f t="shared" ref="G1173:G1183" si="122">G1172</f>
        <v>98</v>
      </c>
      <c r="H1173" s="459">
        <v>1166</v>
      </c>
      <c r="I1173" s="444">
        <f t="shared" ca="1" si="108"/>
        <v>-36407702.373630583</v>
      </c>
      <c r="J1173" s="444">
        <f t="array" ref="J1173">IFERROR(INDEX('Retirement Calculator'!J:J,MATCH('Isaac 401k'!N1173,'Retirement Calculator'!A:A,0),0),0)</f>
        <v>0</v>
      </c>
      <c r="K1173" s="444">
        <f t="shared" ca="1" si="105"/>
        <v>-151698.75989012743</v>
      </c>
      <c r="L1173" s="444">
        <f t="shared" ca="1" si="106"/>
        <v>-36559401.133520707</v>
      </c>
      <c r="M1173" s="460">
        <f t="shared" si="109"/>
        <v>0.05</v>
      </c>
      <c r="N1173" s="464">
        <f t="shared" si="110"/>
        <v>86746</v>
      </c>
    </row>
    <row r="1174" spans="7:14" ht="11.25" customHeight="1" x14ac:dyDescent="0.3">
      <c r="G1174" s="459">
        <f t="shared" si="122"/>
        <v>98</v>
      </c>
      <c r="H1174" s="459">
        <v>1167</v>
      </c>
      <c r="I1174" s="444">
        <f t="shared" ca="1" si="108"/>
        <v>-36559401.133520707</v>
      </c>
      <c r="J1174" s="444">
        <f t="array" ref="J1174">IFERROR(INDEX('Retirement Calculator'!J:J,MATCH('Isaac 401k'!N1174,'Retirement Calculator'!A:A,0),0),0)</f>
        <v>0</v>
      </c>
      <c r="K1174" s="444">
        <f t="shared" ca="1" si="105"/>
        <v>-152330.83805633627</v>
      </c>
      <c r="L1174" s="444">
        <f t="shared" ca="1" si="106"/>
        <v>-36711731.971577041</v>
      </c>
      <c r="M1174" s="460">
        <f t="shared" si="109"/>
        <v>0.05</v>
      </c>
      <c r="N1174" s="464">
        <f t="shared" si="110"/>
        <v>86777</v>
      </c>
    </row>
    <row r="1175" spans="7:14" ht="11.25" customHeight="1" x14ac:dyDescent="0.3">
      <c r="G1175" s="459">
        <f t="shared" si="122"/>
        <v>98</v>
      </c>
      <c r="H1175" s="459">
        <v>1168</v>
      </c>
      <c r="I1175" s="444">
        <f t="shared" ca="1" si="108"/>
        <v>-36711731.971577041</v>
      </c>
      <c r="J1175" s="444">
        <f t="array" ref="J1175">IFERROR(INDEX('Retirement Calculator'!J:J,MATCH('Isaac 401k'!N1175,'Retirement Calculator'!A:A,0),0),0)</f>
        <v>0</v>
      </c>
      <c r="K1175" s="444">
        <f t="shared" ca="1" si="105"/>
        <v>-152965.549881571</v>
      </c>
      <c r="L1175" s="444">
        <f t="shared" ca="1" si="106"/>
        <v>-36864697.521458611</v>
      </c>
      <c r="M1175" s="460">
        <f t="shared" si="109"/>
        <v>0.05</v>
      </c>
      <c r="N1175" s="464">
        <f t="shared" si="110"/>
        <v>86808</v>
      </c>
    </row>
    <row r="1176" spans="7:14" ht="11.25" customHeight="1" x14ac:dyDescent="0.3">
      <c r="G1176" s="459">
        <f t="shared" si="122"/>
        <v>98</v>
      </c>
      <c r="H1176" s="459">
        <v>1169</v>
      </c>
      <c r="I1176" s="444">
        <f t="shared" ca="1" si="108"/>
        <v>-36864697.521458611</v>
      </c>
      <c r="J1176" s="444">
        <f t="array" ref="J1176">IFERROR(INDEX('Retirement Calculator'!J:J,MATCH('Isaac 401k'!N1176,'Retirement Calculator'!A:A,0),0),0)</f>
        <v>0</v>
      </c>
      <c r="K1176" s="444">
        <f t="shared" ca="1" si="105"/>
        <v>-153602.90633941087</v>
      </c>
      <c r="L1176" s="444">
        <f t="shared" ca="1" si="106"/>
        <v>-37018300.427798025</v>
      </c>
      <c r="M1176" s="460">
        <f t="shared" si="109"/>
        <v>0.05</v>
      </c>
      <c r="N1176" s="464">
        <f t="shared" si="110"/>
        <v>86838</v>
      </c>
    </row>
    <row r="1177" spans="7:14" ht="11.25" customHeight="1" x14ac:dyDescent="0.3">
      <c r="G1177" s="459">
        <f t="shared" si="122"/>
        <v>98</v>
      </c>
      <c r="H1177" s="459">
        <v>1170</v>
      </c>
      <c r="I1177" s="444">
        <f t="shared" ca="1" si="108"/>
        <v>-37018300.427798025</v>
      </c>
      <c r="J1177" s="444">
        <f t="array" ref="J1177">IFERROR(INDEX('Retirement Calculator'!J:J,MATCH('Isaac 401k'!N1177,'Retirement Calculator'!A:A,0),0),0)</f>
        <v>0</v>
      </c>
      <c r="K1177" s="444">
        <f t="shared" ca="1" si="105"/>
        <v>-154242.91844915843</v>
      </c>
      <c r="L1177" s="444">
        <f t="shared" ca="1" si="106"/>
        <v>-37172543.346247181</v>
      </c>
      <c r="M1177" s="460">
        <f t="shared" si="109"/>
        <v>0.05</v>
      </c>
      <c r="N1177" s="464">
        <f t="shared" si="110"/>
        <v>86869</v>
      </c>
    </row>
    <row r="1178" spans="7:14" ht="11.25" customHeight="1" x14ac:dyDescent="0.3">
      <c r="G1178" s="459">
        <f t="shared" si="122"/>
        <v>98</v>
      </c>
      <c r="H1178" s="459">
        <v>1171</v>
      </c>
      <c r="I1178" s="444">
        <f t="shared" ca="1" si="108"/>
        <v>-37172543.346247181</v>
      </c>
      <c r="J1178" s="444">
        <f t="array" ref="J1178">IFERROR(INDEX('Retirement Calculator'!J:J,MATCH('Isaac 401k'!N1178,'Retirement Calculator'!A:A,0),0),0)</f>
        <v>0</v>
      </c>
      <c r="K1178" s="444">
        <f t="shared" ca="1" si="105"/>
        <v>-154885.59727602993</v>
      </c>
      <c r="L1178" s="444">
        <f t="shared" ca="1" si="106"/>
        <v>-37327428.943523213</v>
      </c>
      <c r="M1178" s="460">
        <f t="shared" si="109"/>
        <v>0.05</v>
      </c>
      <c r="N1178" s="464">
        <f t="shared" si="110"/>
        <v>86899</v>
      </c>
    </row>
    <row r="1179" spans="7:14" ht="11.25" customHeight="1" x14ac:dyDescent="0.3">
      <c r="G1179" s="459">
        <f t="shared" si="122"/>
        <v>98</v>
      </c>
      <c r="H1179" s="459">
        <v>1172</v>
      </c>
      <c r="I1179" s="444">
        <f t="shared" ca="1" si="108"/>
        <v>-37327428.943523213</v>
      </c>
      <c r="J1179" s="444">
        <f t="array" ref="J1179">IFERROR(INDEX('Retirement Calculator'!J:J,MATCH('Isaac 401k'!N1179,'Retirement Calculator'!A:A,0),0),0)</f>
        <v>0</v>
      </c>
      <c r="K1179" s="444">
        <f t="shared" ca="1" si="105"/>
        <v>-155530.95393134671</v>
      </c>
      <c r="L1179" s="444">
        <f t="shared" ca="1" si="106"/>
        <v>-37482959.89745456</v>
      </c>
      <c r="M1179" s="460">
        <f t="shared" si="109"/>
        <v>0.05</v>
      </c>
      <c r="N1179" s="464">
        <f t="shared" si="110"/>
        <v>86930</v>
      </c>
    </row>
    <row r="1180" spans="7:14" ht="11.25" customHeight="1" x14ac:dyDescent="0.3">
      <c r="G1180" s="459">
        <f t="shared" si="122"/>
        <v>98</v>
      </c>
      <c r="H1180" s="459">
        <v>1173</v>
      </c>
      <c r="I1180" s="444">
        <f t="shared" ca="1" si="108"/>
        <v>-37482959.89745456</v>
      </c>
      <c r="J1180" s="444">
        <f t="array" ref="J1180">IFERROR(INDEX('Retirement Calculator'!J:J,MATCH('Isaac 401k'!N1180,'Retirement Calculator'!A:A,0),0),0)</f>
        <v>0</v>
      </c>
      <c r="K1180" s="444">
        <f t="shared" ca="1" si="105"/>
        <v>-156178.99957272733</v>
      </c>
      <c r="L1180" s="444">
        <f t="shared" ca="1" si="106"/>
        <v>-37639138.897027284</v>
      </c>
      <c r="M1180" s="460">
        <f t="shared" si="109"/>
        <v>0.05</v>
      </c>
      <c r="N1180" s="464">
        <f t="shared" si="110"/>
        <v>86961</v>
      </c>
    </row>
    <row r="1181" spans="7:14" ht="11.25" customHeight="1" x14ac:dyDescent="0.3">
      <c r="G1181" s="459">
        <f t="shared" si="122"/>
        <v>98</v>
      </c>
      <c r="H1181" s="459">
        <v>1174</v>
      </c>
      <c r="I1181" s="444">
        <f t="shared" ca="1" si="108"/>
        <v>-37639138.897027284</v>
      </c>
      <c r="J1181" s="444">
        <f t="array" ref="J1181">IFERROR(INDEX('Retirement Calculator'!J:J,MATCH('Isaac 401k'!N1181,'Retirement Calculator'!A:A,0),0),0)</f>
        <v>0</v>
      </c>
      <c r="K1181" s="444">
        <f t="shared" ca="1" si="105"/>
        <v>-156829.74540428034</v>
      </c>
      <c r="L1181" s="444">
        <f t="shared" ca="1" si="106"/>
        <v>-37795968.642431565</v>
      </c>
      <c r="M1181" s="460">
        <f t="shared" si="109"/>
        <v>0.05</v>
      </c>
      <c r="N1181" s="464">
        <f t="shared" si="110"/>
        <v>86989</v>
      </c>
    </row>
    <row r="1182" spans="7:14" ht="11.25" customHeight="1" x14ac:dyDescent="0.3">
      <c r="G1182" s="459">
        <f t="shared" si="122"/>
        <v>98</v>
      </c>
      <c r="H1182" s="459">
        <v>1175</v>
      </c>
      <c r="I1182" s="444">
        <f t="shared" ca="1" si="108"/>
        <v>-37795968.642431565</v>
      </c>
      <c r="J1182" s="444">
        <f t="array" ref="J1182">IFERROR(INDEX('Retirement Calculator'!J:J,MATCH('Isaac 401k'!N1182,'Retirement Calculator'!A:A,0),0),0)</f>
        <v>0</v>
      </c>
      <c r="K1182" s="444">
        <f t="shared" ca="1" si="105"/>
        <v>-157483.20267679819</v>
      </c>
      <c r="L1182" s="444">
        <f t="shared" ca="1" si="106"/>
        <v>-37953451.84510836</v>
      </c>
      <c r="M1182" s="460">
        <f t="shared" si="109"/>
        <v>0.05</v>
      </c>
      <c r="N1182" s="464">
        <f t="shared" si="110"/>
        <v>87020</v>
      </c>
    </row>
    <row r="1183" spans="7:14" ht="11.25" customHeight="1" x14ac:dyDescent="0.3">
      <c r="G1183" s="459">
        <f t="shared" si="122"/>
        <v>98</v>
      </c>
      <c r="H1183" s="459">
        <v>1176</v>
      </c>
      <c r="I1183" s="444">
        <f t="shared" ca="1" si="108"/>
        <v>-37953451.84510836</v>
      </c>
      <c r="J1183" s="444">
        <f t="array" ref="J1183">IFERROR(INDEX('Retirement Calculator'!J:J,MATCH('Isaac 401k'!N1183,'Retirement Calculator'!A:A,0),0),0)</f>
        <v>0</v>
      </c>
      <c r="K1183" s="444">
        <f t="shared" ca="1" si="105"/>
        <v>-158139.3826879515</v>
      </c>
      <c r="L1183" s="444">
        <f t="shared" ca="1" si="106"/>
        <v>-38111591.227796309</v>
      </c>
      <c r="M1183" s="460">
        <f t="shared" si="109"/>
        <v>0.05</v>
      </c>
      <c r="N1183" s="464">
        <f t="shared" si="110"/>
        <v>87050</v>
      </c>
    </row>
    <row r="1184" spans="7:14" ht="11.25" customHeight="1" x14ac:dyDescent="0.3">
      <c r="G1184" s="459">
        <f>G1183+1</f>
        <v>99</v>
      </c>
      <c r="H1184" s="459">
        <v>1177</v>
      </c>
      <c r="I1184" s="444">
        <f t="shared" ca="1" si="108"/>
        <v>-38111591.227796309</v>
      </c>
      <c r="J1184" s="444">
        <f t="array" ref="J1184">IFERROR(INDEX('Retirement Calculator'!J:J,MATCH('Isaac 401k'!N1184,'Retirement Calculator'!A:A,0),0),0)</f>
        <v>0</v>
      </c>
      <c r="K1184" s="444">
        <f t="shared" ca="1" si="105"/>
        <v>-158798.29678248463</v>
      </c>
      <c r="L1184" s="444">
        <f t="shared" ca="1" si="106"/>
        <v>-38270389.524578795</v>
      </c>
      <c r="M1184" s="460">
        <f t="shared" si="109"/>
        <v>0.05</v>
      </c>
      <c r="N1184" s="464">
        <f t="shared" si="110"/>
        <v>87081</v>
      </c>
    </row>
    <row r="1185" spans="7:14" ht="11.25" customHeight="1" x14ac:dyDescent="0.3">
      <c r="G1185" s="459">
        <f t="shared" ref="G1185:G1195" si="123">G1184</f>
        <v>99</v>
      </c>
      <c r="H1185" s="459">
        <v>1178</v>
      </c>
      <c r="I1185" s="444">
        <f t="shared" ca="1" si="108"/>
        <v>-38270389.524578795</v>
      </c>
      <c r="J1185" s="444">
        <f t="array" ref="J1185">IFERROR(INDEX('Retirement Calculator'!J:J,MATCH('Isaac 401k'!N1185,'Retirement Calculator'!A:A,0),0),0)</f>
        <v>0</v>
      </c>
      <c r="K1185" s="444">
        <f t="shared" ca="1" si="105"/>
        <v>-159459.95635241165</v>
      </c>
      <c r="L1185" s="444">
        <f t="shared" ca="1" si="106"/>
        <v>-38429849.480931208</v>
      </c>
      <c r="M1185" s="460">
        <f t="shared" si="109"/>
        <v>0.05</v>
      </c>
      <c r="N1185" s="464">
        <f t="shared" si="110"/>
        <v>87111</v>
      </c>
    </row>
    <row r="1186" spans="7:14" ht="11.25" customHeight="1" x14ac:dyDescent="0.3">
      <c r="G1186" s="459">
        <f t="shared" si="123"/>
        <v>99</v>
      </c>
      <c r="H1186" s="459">
        <v>1179</v>
      </c>
      <c r="I1186" s="444">
        <f t="shared" ca="1" si="108"/>
        <v>-38429849.480931208</v>
      </c>
      <c r="J1186" s="444">
        <f t="array" ref="J1186">IFERROR(INDEX('Retirement Calculator'!J:J,MATCH('Isaac 401k'!N1186,'Retirement Calculator'!A:A,0),0),0)</f>
        <v>0</v>
      </c>
      <c r="K1186" s="444">
        <f t="shared" ca="1" si="105"/>
        <v>-160124.37283721336</v>
      </c>
      <c r="L1186" s="444">
        <f t="shared" ca="1" si="106"/>
        <v>-38589973.853768423</v>
      </c>
      <c r="M1186" s="460">
        <f t="shared" si="109"/>
        <v>0.05</v>
      </c>
      <c r="N1186" s="464">
        <f t="shared" si="110"/>
        <v>87142</v>
      </c>
    </row>
    <row r="1187" spans="7:14" ht="11.25" customHeight="1" x14ac:dyDescent="0.3">
      <c r="G1187" s="459">
        <f t="shared" si="123"/>
        <v>99</v>
      </c>
      <c r="H1187" s="459">
        <v>1180</v>
      </c>
      <c r="I1187" s="444">
        <f t="shared" ca="1" si="108"/>
        <v>-38589973.853768423</v>
      </c>
      <c r="J1187" s="444">
        <f t="array" ref="J1187">IFERROR(INDEX('Retirement Calculator'!J:J,MATCH('Isaac 401k'!N1187,'Retirement Calculator'!A:A,0),0),0)</f>
        <v>0</v>
      </c>
      <c r="K1187" s="444">
        <f t="shared" ca="1" si="105"/>
        <v>-160791.55772403508</v>
      </c>
      <c r="L1187" s="444">
        <f t="shared" ca="1" si="106"/>
        <v>-38750765.411492459</v>
      </c>
      <c r="M1187" s="460">
        <f t="shared" si="109"/>
        <v>0.05</v>
      </c>
      <c r="N1187" s="464">
        <f t="shared" si="110"/>
        <v>87173</v>
      </c>
    </row>
    <row r="1188" spans="7:14" ht="11.25" customHeight="1" x14ac:dyDescent="0.3">
      <c r="G1188" s="459">
        <f t="shared" si="123"/>
        <v>99</v>
      </c>
      <c r="H1188" s="459">
        <v>1181</v>
      </c>
      <c r="I1188" s="444">
        <f t="shared" ca="1" si="108"/>
        <v>-38750765.411492459</v>
      </c>
      <c r="J1188" s="444">
        <f t="array" ref="J1188">IFERROR(INDEX('Retirement Calculator'!J:J,MATCH('Isaac 401k'!N1188,'Retirement Calculator'!A:A,0),0),0)</f>
        <v>0</v>
      </c>
      <c r="K1188" s="444">
        <f t="shared" ca="1" si="105"/>
        <v>-161461.52254788525</v>
      </c>
      <c r="L1188" s="444">
        <f t="shared" ca="1" si="106"/>
        <v>-38912226.934040345</v>
      </c>
      <c r="M1188" s="460">
        <f t="shared" si="109"/>
        <v>0.05</v>
      </c>
      <c r="N1188" s="464">
        <f t="shared" si="110"/>
        <v>87203</v>
      </c>
    </row>
    <row r="1189" spans="7:14" ht="11.25" customHeight="1" x14ac:dyDescent="0.3">
      <c r="G1189" s="459">
        <f t="shared" si="123"/>
        <v>99</v>
      </c>
      <c r="H1189" s="459">
        <v>1182</v>
      </c>
      <c r="I1189" s="444">
        <f t="shared" ca="1" si="108"/>
        <v>-38912226.934040345</v>
      </c>
      <c r="J1189" s="444">
        <f t="array" ref="J1189">IFERROR(INDEX('Retirement Calculator'!J:J,MATCH('Isaac 401k'!N1189,'Retirement Calculator'!A:A,0),0),0)</f>
        <v>0</v>
      </c>
      <c r="K1189" s="444">
        <f t="shared" ca="1" si="105"/>
        <v>-162134.27889183478</v>
      </c>
      <c r="L1189" s="444">
        <f t="shared" ca="1" si="106"/>
        <v>-39074361.212932177</v>
      </c>
      <c r="M1189" s="460">
        <f t="shared" si="109"/>
        <v>0.05</v>
      </c>
      <c r="N1189" s="464">
        <f t="shared" si="110"/>
        <v>87234</v>
      </c>
    </row>
    <row r="1190" spans="7:14" ht="11.25" customHeight="1" x14ac:dyDescent="0.3">
      <c r="G1190" s="459">
        <f t="shared" si="123"/>
        <v>99</v>
      </c>
      <c r="H1190" s="459">
        <v>1183</v>
      </c>
      <c r="I1190" s="444">
        <f t="shared" ca="1" si="108"/>
        <v>-39074361.212932177</v>
      </c>
      <c r="J1190" s="444">
        <f t="array" ref="J1190">IFERROR(INDEX('Retirement Calculator'!J:J,MATCH('Isaac 401k'!N1190,'Retirement Calculator'!A:A,0),0),0)</f>
        <v>0</v>
      </c>
      <c r="K1190" s="444">
        <f t="shared" ca="1" si="105"/>
        <v>-162809.8383872174</v>
      </c>
      <c r="L1190" s="444">
        <f t="shared" ca="1" si="106"/>
        <v>-39237171.051319398</v>
      </c>
      <c r="M1190" s="460">
        <f t="shared" si="109"/>
        <v>0.05</v>
      </c>
      <c r="N1190" s="464">
        <f t="shared" si="110"/>
        <v>87264</v>
      </c>
    </row>
    <row r="1191" spans="7:14" ht="11.25" customHeight="1" x14ac:dyDescent="0.3">
      <c r="G1191" s="459">
        <f t="shared" si="123"/>
        <v>99</v>
      </c>
      <c r="H1191" s="459">
        <v>1184</v>
      </c>
      <c r="I1191" s="444">
        <f t="shared" ca="1" si="108"/>
        <v>-39237171.051319398</v>
      </c>
      <c r="J1191" s="444">
        <f t="array" ref="J1191">IFERROR(INDEX('Retirement Calculator'!J:J,MATCH('Isaac 401k'!N1191,'Retirement Calculator'!A:A,0),0),0)</f>
        <v>0</v>
      </c>
      <c r="K1191" s="444">
        <f t="shared" ca="1" si="105"/>
        <v>-163488.21271383081</v>
      </c>
      <c r="L1191" s="444">
        <f t="shared" ca="1" si="106"/>
        <v>-39400659.264033228</v>
      </c>
      <c r="M1191" s="460">
        <f t="shared" si="109"/>
        <v>0.05</v>
      </c>
      <c r="N1191" s="464">
        <f t="shared" si="110"/>
        <v>87295</v>
      </c>
    </row>
    <row r="1192" spans="7:14" ht="11.25" customHeight="1" x14ac:dyDescent="0.3">
      <c r="G1192" s="459">
        <f t="shared" si="123"/>
        <v>99</v>
      </c>
      <c r="H1192" s="459">
        <v>1185</v>
      </c>
      <c r="I1192" s="444">
        <f t="shared" ca="1" si="108"/>
        <v>-39400659.264033228</v>
      </c>
      <c r="J1192" s="444">
        <f t="array" ref="J1192">IFERROR(INDEX('Retirement Calculator'!J:J,MATCH('Isaac 401k'!N1192,'Retirement Calculator'!A:A,0),0),0)</f>
        <v>0</v>
      </c>
      <c r="K1192" s="444">
        <f t="shared" ca="1" si="105"/>
        <v>-164169.41360013845</v>
      </c>
      <c r="L1192" s="444">
        <f t="shared" ca="1" si="106"/>
        <v>-39564828.677633367</v>
      </c>
      <c r="M1192" s="460">
        <f t="shared" si="109"/>
        <v>0.05</v>
      </c>
      <c r="N1192" s="464">
        <f t="shared" si="110"/>
        <v>87326</v>
      </c>
    </row>
    <row r="1193" spans="7:14" ht="11.25" customHeight="1" x14ac:dyDescent="0.3">
      <c r="G1193" s="459">
        <f t="shared" si="123"/>
        <v>99</v>
      </c>
      <c r="H1193" s="459">
        <v>1186</v>
      </c>
      <c r="I1193" s="444">
        <f t="shared" ca="1" si="108"/>
        <v>-39564828.677633367</v>
      </c>
      <c r="J1193" s="444">
        <f t="array" ref="J1193">IFERROR(INDEX('Retirement Calculator'!J:J,MATCH('Isaac 401k'!N1193,'Retirement Calculator'!A:A,0),0),0)</f>
        <v>0</v>
      </c>
      <c r="K1193" s="444">
        <f t="shared" ca="1" si="105"/>
        <v>-164853.45282347235</v>
      </c>
      <c r="L1193" s="444">
        <f t="shared" ca="1" si="106"/>
        <v>-39729682.130456842</v>
      </c>
      <c r="M1193" s="460">
        <f t="shared" si="109"/>
        <v>0.05</v>
      </c>
      <c r="N1193" s="464">
        <f t="shared" si="110"/>
        <v>87354</v>
      </c>
    </row>
    <row r="1194" spans="7:14" ht="11.25" customHeight="1" x14ac:dyDescent="0.3">
      <c r="G1194" s="459">
        <f t="shared" si="123"/>
        <v>99</v>
      </c>
      <c r="H1194" s="459">
        <v>1187</v>
      </c>
      <c r="I1194" s="444">
        <f t="shared" ca="1" si="108"/>
        <v>-39729682.130456842</v>
      </c>
      <c r="J1194" s="444">
        <f t="array" ref="J1194">IFERROR(INDEX('Retirement Calculator'!J:J,MATCH('Isaac 401k'!N1194,'Retirement Calculator'!A:A,0),0),0)</f>
        <v>0</v>
      </c>
      <c r="K1194" s="444">
        <f t="shared" ca="1" si="105"/>
        <v>-165540.34221023685</v>
      </c>
      <c r="L1194" s="444">
        <f t="shared" ca="1" si="106"/>
        <v>-39895222.472667076</v>
      </c>
      <c r="M1194" s="460">
        <f t="shared" si="109"/>
        <v>0.05</v>
      </c>
      <c r="N1194" s="464">
        <f t="shared" si="110"/>
        <v>87385</v>
      </c>
    </row>
    <row r="1195" spans="7:14" ht="11.25" customHeight="1" x14ac:dyDescent="0.3">
      <c r="G1195" s="459">
        <f t="shared" si="123"/>
        <v>99</v>
      </c>
      <c r="H1195" s="459">
        <v>1188</v>
      </c>
      <c r="I1195" s="444">
        <f t="shared" ca="1" si="108"/>
        <v>-39895222.472667076</v>
      </c>
      <c r="J1195" s="444">
        <f t="array" ref="J1195">IFERROR(INDEX('Retirement Calculator'!J:J,MATCH('Isaac 401k'!N1195,'Retirement Calculator'!A:A,0),0),0)</f>
        <v>0</v>
      </c>
      <c r="K1195" s="444">
        <f t="shared" ca="1" si="105"/>
        <v>-166230.09363611281</v>
      </c>
      <c r="L1195" s="444">
        <f t="shared" ca="1" si="106"/>
        <v>-40061452.566303186</v>
      </c>
      <c r="M1195" s="460">
        <f t="shared" si="109"/>
        <v>0.05</v>
      </c>
      <c r="N1195" s="464">
        <f t="shared" si="110"/>
        <v>87415</v>
      </c>
    </row>
    <row r="1196" spans="7:14" ht="11.25" customHeight="1" x14ac:dyDescent="0.3">
      <c r="G1196" s="459">
        <f>G1195+1</f>
        <v>100</v>
      </c>
      <c r="H1196" s="459">
        <v>1189</v>
      </c>
      <c r="I1196" s="444">
        <f t="shared" ca="1" si="108"/>
        <v>-40061452.566303186</v>
      </c>
      <c r="J1196" s="444">
        <f t="array" ref="J1196">IFERROR(INDEX('Retirement Calculator'!J:J,MATCH('Isaac 401k'!N1196,'Retirement Calculator'!A:A,0),0),0)</f>
        <v>0</v>
      </c>
      <c r="K1196" s="444">
        <f t="shared" ca="1" si="105"/>
        <v>-166922.71902626328</v>
      </c>
      <c r="L1196" s="444">
        <f t="shared" ca="1" si="106"/>
        <v>-40228375.285329446</v>
      </c>
      <c r="M1196" s="460">
        <f t="shared" si="109"/>
        <v>0.05</v>
      </c>
      <c r="N1196" s="464">
        <f t="shared" si="110"/>
        <v>87446</v>
      </c>
    </row>
    <row r="1197" spans="7:14" ht="11.25" customHeight="1" x14ac:dyDescent="0.3">
      <c r="G1197" s="459">
        <f t="shared" ref="G1197:G1207" si="124">G1196</f>
        <v>100</v>
      </c>
      <c r="H1197" s="459">
        <v>1190</v>
      </c>
      <c r="I1197" s="444">
        <f t="shared" ca="1" si="108"/>
        <v>-40228375.285329446</v>
      </c>
      <c r="J1197" s="444">
        <f t="array" ref="J1197">IFERROR(INDEX('Retirement Calculator'!J:J,MATCH('Isaac 401k'!N1197,'Retirement Calculator'!A:A,0),0),0)</f>
        <v>0</v>
      </c>
      <c r="K1197" s="444">
        <f t="shared" ca="1" si="105"/>
        <v>-167618.23035553936</v>
      </c>
      <c r="L1197" s="444">
        <f t="shared" ca="1" si="106"/>
        <v>-40395993.515684985</v>
      </c>
      <c r="M1197" s="460">
        <f t="shared" si="109"/>
        <v>0.05</v>
      </c>
      <c r="N1197" s="464">
        <f t="shared" si="110"/>
        <v>87476</v>
      </c>
    </row>
    <row r="1198" spans="7:14" ht="11.25" customHeight="1" x14ac:dyDescent="0.3">
      <c r="G1198" s="459">
        <f t="shared" si="124"/>
        <v>100</v>
      </c>
      <c r="H1198" s="459">
        <v>1191</v>
      </c>
      <c r="I1198" s="444">
        <f t="shared" ca="1" si="108"/>
        <v>-40395993.515684985</v>
      </c>
      <c r="J1198" s="444">
        <f t="array" ref="J1198">IFERROR(INDEX('Retirement Calculator'!J:J,MATCH('Isaac 401k'!N1198,'Retirement Calculator'!A:A,0),0),0)</f>
        <v>0</v>
      </c>
      <c r="K1198" s="444">
        <f t="shared" ca="1" si="105"/>
        <v>-168316.63964868744</v>
      </c>
      <c r="L1198" s="444">
        <f t="shared" ca="1" si="106"/>
        <v>-40564310.155333675</v>
      </c>
      <c r="M1198" s="460">
        <f t="shared" si="109"/>
        <v>0.05</v>
      </c>
      <c r="N1198" s="464">
        <f t="shared" si="110"/>
        <v>87507</v>
      </c>
    </row>
    <row r="1199" spans="7:14" ht="11.25" customHeight="1" x14ac:dyDescent="0.3">
      <c r="G1199" s="459">
        <f t="shared" si="124"/>
        <v>100</v>
      </c>
      <c r="H1199" s="459">
        <v>1192</v>
      </c>
      <c r="I1199" s="444">
        <f t="shared" ca="1" si="108"/>
        <v>-40564310.155333675</v>
      </c>
      <c r="J1199" s="444">
        <f t="array" ref="J1199">IFERROR(INDEX('Retirement Calculator'!J:J,MATCH('Isaac 401k'!N1199,'Retirement Calculator'!A:A,0),0),0)</f>
        <v>0</v>
      </c>
      <c r="K1199" s="444">
        <f t="shared" ca="1" si="105"/>
        <v>-169017.95898055698</v>
      </c>
      <c r="L1199" s="444">
        <f t="shared" ca="1" si="106"/>
        <v>-40733328.114314236</v>
      </c>
      <c r="M1199" s="460">
        <f t="shared" si="109"/>
        <v>0.05</v>
      </c>
      <c r="N1199" s="464">
        <f t="shared" si="110"/>
        <v>87538</v>
      </c>
    </row>
    <row r="1200" spans="7:14" ht="11.25" customHeight="1" x14ac:dyDescent="0.3">
      <c r="G1200" s="459">
        <f t="shared" si="124"/>
        <v>100</v>
      </c>
      <c r="H1200" s="459">
        <v>1193</v>
      </c>
      <c r="I1200" s="444">
        <f t="shared" ca="1" si="108"/>
        <v>-40733328.114314236</v>
      </c>
      <c r="J1200" s="444">
        <f t="array" ref="J1200">IFERROR(INDEX('Retirement Calculator'!J:J,MATCH('Isaac 401k'!N1200,'Retirement Calculator'!A:A,0),0),0)</f>
        <v>0</v>
      </c>
      <c r="K1200" s="444">
        <f t="shared" ca="1" si="105"/>
        <v>-169722.20047630931</v>
      </c>
      <c r="L1200" s="444">
        <f t="shared" ca="1" si="106"/>
        <v>-40903050.314790547</v>
      </c>
      <c r="M1200" s="460">
        <f t="shared" si="109"/>
        <v>0.05</v>
      </c>
      <c r="N1200" s="464">
        <f t="shared" si="110"/>
        <v>87568</v>
      </c>
    </row>
    <row r="1201" spans="7:14" ht="11.25" customHeight="1" x14ac:dyDescent="0.3">
      <c r="G1201" s="459">
        <f t="shared" si="124"/>
        <v>100</v>
      </c>
      <c r="H1201" s="459">
        <v>1194</v>
      </c>
      <c r="I1201" s="444">
        <f t="shared" ca="1" si="108"/>
        <v>-40903050.314790547</v>
      </c>
      <c r="J1201" s="444">
        <f t="array" ref="J1201">IFERROR(INDEX('Retirement Calculator'!J:J,MATCH('Isaac 401k'!N1201,'Retirement Calculator'!A:A,0),0),0)</f>
        <v>0</v>
      </c>
      <c r="K1201" s="444">
        <f t="shared" ca="1" si="105"/>
        <v>-170429.37631162727</v>
      </c>
      <c r="L1201" s="444">
        <f t="shared" ca="1" si="106"/>
        <v>-41073479.691102177</v>
      </c>
      <c r="M1201" s="460">
        <f t="shared" si="109"/>
        <v>0.05</v>
      </c>
      <c r="N1201" s="464">
        <f t="shared" si="110"/>
        <v>87599</v>
      </c>
    </row>
    <row r="1202" spans="7:14" ht="11.25" customHeight="1" x14ac:dyDescent="0.3">
      <c r="G1202" s="459">
        <f t="shared" si="124"/>
        <v>100</v>
      </c>
      <c r="H1202" s="459">
        <v>1195</v>
      </c>
      <c r="I1202" s="444">
        <f t="shared" ca="1" si="108"/>
        <v>-41073479.691102177</v>
      </c>
      <c r="J1202" s="444">
        <f t="array" ref="J1202">IFERROR(INDEX('Retirement Calculator'!J:J,MATCH('Isaac 401k'!N1202,'Retirement Calculator'!A:A,0),0),0)</f>
        <v>0</v>
      </c>
      <c r="K1202" s="444">
        <f t="shared" ca="1" si="105"/>
        <v>-171139.49871292574</v>
      </c>
      <c r="L1202" s="444">
        <f t="shared" ca="1" si="106"/>
        <v>-41244619.189815104</v>
      </c>
      <c r="M1202" s="460">
        <f t="shared" si="109"/>
        <v>0.05</v>
      </c>
      <c r="N1202" s="464">
        <f t="shared" si="110"/>
        <v>87629</v>
      </c>
    </row>
    <row r="1203" spans="7:14" ht="11.25" customHeight="1" x14ac:dyDescent="0.3">
      <c r="G1203" s="459">
        <f t="shared" si="124"/>
        <v>100</v>
      </c>
      <c r="H1203" s="459">
        <v>1196</v>
      </c>
      <c r="I1203" s="444">
        <f t="shared" ca="1" si="108"/>
        <v>-41244619.189815104</v>
      </c>
      <c r="J1203" s="444">
        <f t="array" ref="J1203">IFERROR(INDEX('Retirement Calculator'!J:J,MATCH('Isaac 401k'!N1203,'Retirement Calculator'!A:A,0),0),0)</f>
        <v>0</v>
      </c>
      <c r="K1203" s="444">
        <f t="shared" ca="1" si="105"/>
        <v>-171852.57995756294</v>
      </c>
      <c r="L1203" s="444">
        <f t="shared" ca="1" si="106"/>
        <v>-41416471.769772664</v>
      </c>
      <c r="M1203" s="460">
        <f t="shared" si="109"/>
        <v>0.05</v>
      </c>
      <c r="N1203" s="464">
        <f t="shared" si="110"/>
        <v>87660</v>
      </c>
    </row>
    <row r="1204" spans="7:14" ht="11.25" customHeight="1" x14ac:dyDescent="0.3">
      <c r="G1204" s="459">
        <f t="shared" si="124"/>
        <v>100</v>
      </c>
      <c r="H1204" s="459">
        <v>1197</v>
      </c>
      <c r="I1204" s="444">
        <f t="shared" ca="1" si="108"/>
        <v>-41416471.769772664</v>
      </c>
      <c r="J1204" s="444">
        <f t="array" ref="J1204">IFERROR(INDEX('Retirement Calculator'!J:J,MATCH('Isaac 401k'!N1204,'Retirement Calculator'!A:A,0),0),0)</f>
        <v>0</v>
      </c>
      <c r="K1204" s="444">
        <f t="shared" ca="1" si="105"/>
        <v>-172568.63237405277</v>
      </c>
      <c r="L1204" s="444">
        <f t="shared" ca="1" si="106"/>
        <v>-41589040.402146719</v>
      </c>
      <c r="M1204" s="460">
        <f t="shared" si="109"/>
        <v>0.05</v>
      </c>
      <c r="N1204" s="464">
        <f t="shared" si="110"/>
        <v>87691</v>
      </c>
    </row>
    <row r="1205" spans="7:14" ht="11.25" customHeight="1" x14ac:dyDescent="0.3">
      <c r="G1205" s="459">
        <f t="shared" si="124"/>
        <v>100</v>
      </c>
      <c r="H1205" s="459">
        <v>1198</v>
      </c>
      <c r="I1205" s="444">
        <f t="shared" ca="1" si="108"/>
        <v>-41589040.402146719</v>
      </c>
      <c r="J1205" s="444">
        <f t="array" ref="J1205">IFERROR(INDEX('Retirement Calculator'!J:J,MATCH('Isaac 401k'!N1205,'Retirement Calculator'!A:A,0),0),0)</f>
        <v>0</v>
      </c>
      <c r="K1205" s="444">
        <f t="shared" ca="1" si="105"/>
        <v>-173287.66834227799</v>
      </c>
      <c r="L1205" s="444">
        <f t="shared" ca="1" si="106"/>
        <v>-41762328.070488997</v>
      </c>
      <c r="M1205" s="460">
        <f t="shared" si="109"/>
        <v>0.05</v>
      </c>
      <c r="N1205" s="464">
        <f t="shared" si="110"/>
        <v>87720</v>
      </c>
    </row>
    <row r="1206" spans="7:14" ht="11.25" customHeight="1" x14ac:dyDescent="0.3">
      <c r="G1206" s="459">
        <f t="shared" si="124"/>
        <v>100</v>
      </c>
      <c r="H1206" s="459">
        <v>1199</v>
      </c>
      <c r="I1206" s="444">
        <f t="shared" ca="1" si="108"/>
        <v>-41762328.070488997</v>
      </c>
      <c r="J1206" s="444">
        <f t="array" ref="J1206">IFERROR(INDEX('Retirement Calculator'!J:J,MATCH('Isaac 401k'!N1206,'Retirement Calculator'!A:A,0),0),0)</f>
        <v>0</v>
      </c>
      <c r="K1206" s="444">
        <f t="shared" ca="1" si="105"/>
        <v>-174009.70029370414</v>
      </c>
      <c r="L1206" s="444">
        <f t="shared" ca="1" si="106"/>
        <v>-41936337.770782702</v>
      </c>
      <c r="M1206" s="460">
        <f t="shared" si="109"/>
        <v>0.05</v>
      </c>
      <c r="N1206" s="464">
        <f t="shared" si="110"/>
        <v>87751</v>
      </c>
    </row>
    <row r="1207" spans="7:14" ht="11.25" customHeight="1" x14ac:dyDescent="0.3">
      <c r="G1207" s="459">
        <f t="shared" si="124"/>
        <v>100</v>
      </c>
      <c r="H1207" s="459">
        <v>1200</v>
      </c>
      <c r="I1207" s="444">
        <f t="shared" ca="1" si="108"/>
        <v>-41936337.770782702</v>
      </c>
      <c r="J1207" s="444">
        <f t="array" ref="J1207">IFERROR(INDEX('Retirement Calculator'!J:J,MATCH('Isaac 401k'!N1207,'Retirement Calculator'!A:A,0),0),0)</f>
        <v>0</v>
      </c>
      <c r="K1207" s="444">
        <f t="shared" ca="1" si="105"/>
        <v>-174734.74071159458</v>
      </c>
      <c r="L1207" s="444">
        <f t="shared" ca="1" si="106"/>
        <v>-42111072.511494294</v>
      </c>
      <c r="M1207" s="460">
        <f t="shared" si="109"/>
        <v>0.05</v>
      </c>
      <c r="N1207" s="464">
        <f t="shared" si="110"/>
        <v>87781</v>
      </c>
    </row>
    <row r="1208" spans="7:14" ht="11.25" customHeight="1" x14ac:dyDescent="0.3">
      <c r="G1208" s="459">
        <f>G1207+1</f>
        <v>101</v>
      </c>
      <c r="H1208" s="459">
        <v>1201</v>
      </c>
      <c r="I1208" s="444">
        <f t="shared" ca="1" si="108"/>
        <v>-42111072.511494294</v>
      </c>
      <c r="J1208" s="444">
        <f t="array" ref="J1208">IFERROR(INDEX('Retirement Calculator'!J:J,MATCH('Isaac 401k'!N1208,'Retirement Calculator'!A:A,0),0),0)</f>
        <v>0</v>
      </c>
      <c r="K1208" s="444">
        <f t="shared" ca="1" si="105"/>
        <v>-175462.80213122623</v>
      </c>
      <c r="L1208" s="444">
        <f t="shared" ca="1" si="106"/>
        <v>-42286535.313625522</v>
      </c>
      <c r="M1208" s="460">
        <f t="shared" si="109"/>
        <v>0.05</v>
      </c>
      <c r="N1208" s="464">
        <f t="shared" si="110"/>
        <v>87812</v>
      </c>
    </row>
    <row r="1209" spans="7:14" ht="11.25" customHeight="1" x14ac:dyDescent="0.3">
      <c r="G1209" s="459">
        <f t="shared" ref="G1209:G1219" si="125">G1208</f>
        <v>101</v>
      </c>
      <c r="H1209" s="459">
        <v>1202</v>
      </c>
      <c r="I1209" s="444">
        <f t="shared" ca="1" si="108"/>
        <v>-42286535.313625522</v>
      </c>
      <c r="J1209" s="444">
        <f t="array" ref="J1209">IFERROR(INDEX('Retirement Calculator'!J:J,MATCH('Isaac 401k'!N1209,'Retirement Calculator'!A:A,0),0),0)</f>
        <v>0</v>
      </c>
      <c r="K1209" s="444">
        <f t="shared" ca="1" si="105"/>
        <v>-176193.89714010633</v>
      </c>
      <c r="L1209" s="444">
        <f t="shared" ca="1" si="106"/>
        <v>-42462729.21076563</v>
      </c>
      <c r="M1209" s="460">
        <f t="shared" si="109"/>
        <v>0.05</v>
      </c>
      <c r="N1209" s="464">
        <f t="shared" si="110"/>
        <v>87842</v>
      </c>
    </row>
    <row r="1210" spans="7:14" ht="11.25" customHeight="1" x14ac:dyDescent="0.3">
      <c r="G1210" s="459">
        <f t="shared" si="125"/>
        <v>101</v>
      </c>
      <c r="H1210" s="459">
        <v>1203</v>
      </c>
      <c r="I1210" s="444">
        <f t="shared" ca="1" si="108"/>
        <v>-42462729.21076563</v>
      </c>
      <c r="J1210" s="444">
        <f t="array" ref="J1210">IFERROR(INDEX('Retirement Calculator'!J:J,MATCH('Isaac 401k'!N1210,'Retirement Calculator'!A:A,0),0),0)</f>
        <v>0</v>
      </c>
      <c r="K1210" s="444">
        <f t="shared" ca="1" si="105"/>
        <v>-176928.03837819013</v>
      </c>
      <c r="L1210" s="444">
        <f t="shared" ca="1" si="106"/>
        <v>-42639657.249143817</v>
      </c>
      <c r="M1210" s="460">
        <f t="shared" si="109"/>
        <v>0.05</v>
      </c>
      <c r="N1210" s="464">
        <f t="shared" si="110"/>
        <v>87873</v>
      </c>
    </row>
    <row r="1211" spans="7:14" ht="11.25" customHeight="1" x14ac:dyDescent="0.3">
      <c r="G1211" s="459">
        <f t="shared" si="125"/>
        <v>101</v>
      </c>
      <c r="H1211" s="459">
        <v>1204</v>
      </c>
      <c r="I1211" s="444">
        <f t="shared" ca="1" si="108"/>
        <v>-42639657.249143817</v>
      </c>
      <c r="J1211" s="444">
        <f t="array" ref="J1211">IFERROR(INDEX('Retirement Calculator'!J:J,MATCH('Isaac 401k'!N1211,'Retirement Calculator'!A:A,0),0),0)</f>
        <v>0</v>
      </c>
      <c r="K1211" s="444">
        <f t="shared" ca="1" si="105"/>
        <v>-177665.23853809922</v>
      </c>
      <c r="L1211" s="444">
        <f t="shared" ca="1" si="106"/>
        <v>-42817322.487681918</v>
      </c>
      <c r="M1211" s="460">
        <f t="shared" si="109"/>
        <v>0.05</v>
      </c>
      <c r="N1211" s="464">
        <f t="shared" si="110"/>
        <v>87904</v>
      </c>
    </row>
    <row r="1212" spans="7:14" ht="11.25" customHeight="1" x14ac:dyDescent="0.3">
      <c r="G1212" s="459">
        <f t="shared" si="125"/>
        <v>101</v>
      </c>
      <c r="H1212" s="459">
        <v>1205</v>
      </c>
      <c r="I1212" s="444">
        <f t="shared" ca="1" si="108"/>
        <v>-42817322.487681918</v>
      </c>
      <c r="J1212" s="444">
        <f t="array" ref="J1212">IFERROR(INDEX('Retirement Calculator'!J:J,MATCH('Isaac 401k'!N1212,'Retirement Calculator'!A:A,0),0),0)</f>
        <v>0</v>
      </c>
      <c r="K1212" s="444">
        <f t="shared" ca="1" si="105"/>
        <v>-178405.51036534132</v>
      </c>
      <c r="L1212" s="444">
        <f t="shared" ca="1" si="106"/>
        <v>-42995727.998047262</v>
      </c>
      <c r="M1212" s="460">
        <f t="shared" si="109"/>
        <v>0.05</v>
      </c>
      <c r="N1212" s="464">
        <f t="shared" si="110"/>
        <v>87934</v>
      </c>
    </row>
    <row r="1213" spans="7:14" ht="11.25" customHeight="1" x14ac:dyDescent="0.3">
      <c r="G1213" s="459">
        <f t="shared" si="125"/>
        <v>101</v>
      </c>
      <c r="H1213" s="459">
        <v>1206</v>
      </c>
      <c r="I1213" s="444">
        <f t="shared" ca="1" si="108"/>
        <v>-42995727.998047262</v>
      </c>
      <c r="J1213" s="444">
        <f t="array" ref="J1213">IFERROR(INDEX('Retirement Calculator'!J:J,MATCH('Isaac 401k'!N1213,'Retirement Calculator'!A:A,0),0),0)</f>
        <v>0</v>
      </c>
      <c r="K1213" s="444">
        <f t="shared" ca="1" si="105"/>
        <v>-179148.86665853026</v>
      </c>
      <c r="L1213" s="444">
        <f t="shared" ca="1" si="106"/>
        <v>-43174876.864705794</v>
      </c>
      <c r="M1213" s="460">
        <f t="shared" si="109"/>
        <v>0.05</v>
      </c>
      <c r="N1213" s="464">
        <f t="shared" si="110"/>
        <v>87965</v>
      </c>
    </row>
    <row r="1214" spans="7:14" ht="11.25" customHeight="1" x14ac:dyDescent="0.3">
      <c r="G1214" s="459">
        <f t="shared" si="125"/>
        <v>101</v>
      </c>
      <c r="H1214" s="459">
        <v>1207</v>
      </c>
      <c r="I1214" s="444">
        <f t="shared" ca="1" si="108"/>
        <v>-43174876.864705794</v>
      </c>
      <c r="J1214" s="444">
        <f t="array" ref="J1214">IFERROR(INDEX('Retirement Calculator'!J:J,MATCH('Isaac 401k'!N1214,'Retirement Calculator'!A:A,0),0),0)</f>
        <v>0</v>
      </c>
      <c r="K1214" s="444">
        <f t="shared" ca="1" si="105"/>
        <v>-179895.32026960747</v>
      </c>
      <c r="L1214" s="444">
        <f t="shared" ca="1" si="106"/>
        <v>-43354772.184975401</v>
      </c>
      <c r="M1214" s="460">
        <f t="shared" si="109"/>
        <v>0.05</v>
      </c>
      <c r="N1214" s="464">
        <f t="shared" si="110"/>
        <v>87995</v>
      </c>
    </row>
    <row r="1215" spans="7:14" ht="11.25" customHeight="1" x14ac:dyDescent="0.3">
      <c r="G1215" s="459">
        <f t="shared" si="125"/>
        <v>101</v>
      </c>
      <c r="H1215" s="459">
        <v>1208</v>
      </c>
      <c r="I1215" s="444">
        <f t="shared" ca="1" si="108"/>
        <v>-43354772.184975401</v>
      </c>
      <c r="J1215" s="444">
        <f t="array" ref="J1215">IFERROR(INDEX('Retirement Calculator'!J:J,MATCH('Isaac 401k'!N1215,'Retirement Calculator'!A:A,0),0),0)</f>
        <v>0</v>
      </c>
      <c r="K1215" s="444">
        <f t="shared" ca="1" si="105"/>
        <v>-180644.88410406417</v>
      </c>
      <c r="L1215" s="444">
        <f t="shared" ca="1" si="106"/>
        <v>-43535417.069079466</v>
      </c>
      <c r="M1215" s="460">
        <f t="shared" si="109"/>
        <v>0.05</v>
      </c>
      <c r="N1215" s="464">
        <f t="shared" si="110"/>
        <v>88026</v>
      </c>
    </row>
    <row r="1216" spans="7:14" ht="11.25" customHeight="1" x14ac:dyDescent="0.3">
      <c r="G1216" s="459">
        <f t="shared" si="125"/>
        <v>101</v>
      </c>
      <c r="H1216" s="459">
        <v>1209</v>
      </c>
      <c r="I1216" s="444">
        <f t="shared" ca="1" si="108"/>
        <v>-43535417.069079466</v>
      </c>
      <c r="J1216" s="444">
        <f t="array" ref="J1216">IFERROR(INDEX('Retirement Calculator'!J:J,MATCH('Isaac 401k'!N1216,'Retirement Calculator'!A:A,0),0),0)</f>
        <v>0</v>
      </c>
      <c r="K1216" s="444">
        <f t="shared" ca="1" si="105"/>
        <v>-181397.57112116445</v>
      </c>
      <c r="L1216" s="444">
        <f t="shared" ca="1" si="106"/>
        <v>-43716814.64020063</v>
      </c>
      <c r="M1216" s="460">
        <f t="shared" si="109"/>
        <v>0.05</v>
      </c>
      <c r="N1216" s="464">
        <f t="shared" si="110"/>
        <v>88057</v>
      </c>
    </row>
    <row r="1217" spans="7:14" ht="11.25" customHeight="1" x14ac:dyDescent="0.3">
      <c r="G1217" s="459">
        <f t="shared" si="125"/>
        <v>101</v>
      </c>
      <c r="H1217" s="459">
        <v>1210</v>
      </c>
      <c r="I1217" s="444">
        <f t="shared" ca="1" si="108"/>
        <v>-43716814.64020063</v>
      </c>
      <c r="J1217" s="444">
        <f t="array" ref="J1217">IFERROR(INDEX('Retirement Calculator'!J:J,MATCH('Isaac 401k'!N1217,'Retirement Calculator'!A:A,0),0),0)</f>
        <v>0</v>
      </c>
      <c r="K1217" s="444">
        <f t="shared" ca="1" si="105"/>
        <v>-182153.39433416928</v>
      </c>
      <c r="L1217" s="444">
        <f t="shared" ca="1" si="106"/>
        <v>-43898968.034534797</v>
      </c>
      <c r="M1217" s="460">
        <f t="shared" si="109"/>
        <v>0.05</v>
      </c>
      <c r="N1217" s="464">
        <f t="shared" si="110"/>
        <v>88085</v>
      </c>
    </row>
    <row r="1218" spans="7:14" ht="11.25" customHeight="1" x14ac:dyDescent="0.3">
      <c r="G1218" s="459">
        <f t="shared" si="125"/>
        <v>101</v>
      </c>
      <c r="H1218" s="459">
        <v>1211</v>
      </c>
      <c r="I1218" s="444">
        <f t="shared" ca="1" si="108"/>
        <v>-43898968.034534797</v>
      </c>
      <c r="J1218" s="444">
        <f t="array" ref="J1218">IFERROR(INDEX('Retirement Calculator'!J:J,MATCH('Isaac 401k'!N1218,'Retirement Calculator'!A:A,0),0),0)</f>
        <v>0</v>
      </c>
      <c r="K1218" s="444">
        <f t="shared" ca="1" si="105"/>
        <v>-182912.36681056165</v>
      </c>
      <c r="L1218" s="444">
        <f t="shared" ca="1" si="106"/>
        <v>-44081880.401345357</v>
      </c>
      <c r="M1218" s="460">
        <f t="shared" si="109"/>
        <v>0.05</v>
      </c>
      <c r="N1218" s="464">
        <f t="shared" si="110"/>
        <v>88116</v>
      </c>
    </row>
    <row r="1219" spans="7:14" ht="11.25" customHeight="1" x14ac:dyDescent="0.3">
      <c r="G1219" s="459">
        <f t="shared" si="125"/>
        <v>101</v>
      </c>
      <c r="H1219" s="459">
        <v>1212</v>
      </c>
      <c r="I1219" s="444">
        <f t="shared" ca="1" si="108"/>
        <v>-44081880.401345357</v>
      </c>
      <c r="J1219" s="444">
        <f t="array" ref="J1219">IFERROR(INDEX('Retirement Calculator'!J:J,MATCH('Isaac 401k'!N1219,'Retirement Calculator'!A:A,0),0),0)</f>
        <v>0</v>
      </c>
      <c r="K1219" s="444">
        <f t="shared" ca="1" si="105"/>
        <v>-183674.50167227231</v>
      </c>
      <c r="L1219" s="444">
        <f t="shared" ca="1" si="106"/>
        <v>-44265554.903017633</v>
      </c>
      <c r="M1219" s="460">
        <f t="shared" si="109"/>
        <v>0.05</v>
      </c>
      <c r="N1219" s="464">
        <f t="shared" si="110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8"/>
        <v>-44265554.903017633</v>
      </c>
      <c r="J1220" s="444">
        <f t="array" ref="J1220">IFERROR(INDEX('Retirement Calculator'!J:J,MATCH('Isaac 401k'!N1220,'Retirement Calculator'!A:A,0),0),0)</f>
        <v>0</v>
      </c>
      <c r="K1220" s="444">
        <f t="shared" ca="1" si="105"/>
        <v>-184439.81209590679</v>
      </c>
      <c r="L1220" s="444">
        <f t="shared" ca="1" si="106"/>
        <v>-44449994.715113543</v>
      </c>
      <c r="M1220" s="460">
        <f t="shared" si="109"/>
        <v>0.05</v>
      </c>
      <c r="N1220" s="464">
        <f t="shared" si="110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8"/>
        <v>-44449994.715113543</v>
      </c>
      <c r="J1221" s="444">
        <f t="array" ref="J1221">IFERROR(INDEX('Retirement Calculator'!J:J,MATCH('Isaac 401k'!N1221,'Retirement Calculator'!A:A,0),0),0)</f>
        <v>0</v>
      </c>
      <c r="K1221" s="444">
        <f t="shared" ca="1" si="105"/>
        <v>-185208.31131297309</v>
      </c>
      <c r="L1221" s="444">
        <f t="shared" ca="1" si="106"/>
        <v>-44635203.026426516</v>
      </c>
      <c r="M1221" s="460">
        <f t="shared" si="109"/>
        <v>0.05</v>
      </c>
      <c r="N1221" s="464">
        <f t="shared" si="110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8"/>
        <v>-44635203.026426516</v>
      </c>
      <c r="J1222" s="444">
        <f t="array" ref="J1222">IFERROR(INDEX('Retirement Calculator'!J:J,MATCH('Isaac 401k'!N1222,'Retirement Calculator'!A:A,0),0),0)</f>
        <v>0</v>
      </c>
      <c r="K1222" s="444">
        <f t="shared" ca="1" si="105"/>
        <v>-185980.01261011048</v>
      </c>
      <c r="L1222" s="444">
        <f t="shared" ca="1" si="106"/>
        <v>-44821183.039036624</v>
      </c>
      <c r="M1222" s="460">
        <f t="shared" si="109"/>
        <v>0.05</v>
      </c>
      <c r="N1222" s="464">
        <f t="shared" si="110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8"/>
        <v>-44821183.039036624</v>
      </c>
      <c r="J1223" s="444">
        <f t="array" ref="J1223">IFERROR(INDEX('Retirement Calculator'!J:J,MATCH('Isaac 401k'!N1223,'Retirement Calculator'!A:A,0),0),0)</f>
        <v>0</v>
      </c>
      <c r="K1223" s="444">
        <f t="shared" ca="1" si="105"/>
        <v>-186754.92932931927</v>
      </c>
      <c r="L1223" s="444">
        <f t="shared" ca="1" si="106"/>
        <v>-45007937.968365945</v>
      </c>
      <c r="M1223" s="460">
        <f t="shared" si="109"/>
        <v>0.05</v>
      </c>
      <c r="N1223" s="464">
        <f t="shared" si="110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8"/>
        <v>-45007937.968365945</v>
      </c>
      <c r="J1224" s="444">
        <f t="array" ref="J1224">IFERROR(INDEX('Retirement Calculator'!J:J,MATCH('Isaac 401k'!N1224,'Retirement Calculator'!A:A,0),0),0)</f>
        <v>0</v>
      </c>
      <c r="K1224" s="444">
        <f t="shared" ca="1" si="105"/>
        <v>-187533.07486819144</v>
      </c>
      <c r="L1224" s="444">
        <f t="shared" ca="1" si="106"/>
        <v>-45195471.04323414</v>
      </c>
      <c r="M1224" s="460">
        <f t="shared" si="109"/>
        <v>0.05</v>
      </c>
      <c r="N1224" s="464">
        <f t="shared" si="110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8"/>
        <v>-45195471.04323414</v>
      </c>
      <c r="J1225" s="444">
        <f t="array" ref="J1225">IFERROR(INDEX('Retirement Calculator'!J:J,MATCH('Isaac 401k'!N1225,'Retirement Calculator'!A:A,0),0),0)</f>
        <v>0</v>
      </c>
      <c r="K1225" s="444">
        <f t="shared" ca="1" si="105"/>
        <v>-188314.46268014226</v>
      </c>
      <c r="L1225" s="444">
        <f t="shared" ca="1" si="106"/>
        <v>-45383785.505914278</v>
      </c>
      <c r="M1225" s="460">
        <f t="shared" si="109"/>
        <v>0.05</v>
      </c>
      <c r="N1225" s="464">
        <f t="shared" si="110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8"/>
        <v>-45383785.505914278</v>
      </c>
      <c r="J1226" s="444">
        <f t="array" ref="J1226">IFERROR(INDEX('Retirement Calculator'!J:J,MATCH('Isaac 401k'!N1226,'Retirement Calculator'!A:A,0),0),0)</f>
        <v>0</v>
      </c>
      <c r="K1226" s="444">
        <f t="shared" ca="1" si="105"/>
        <v>-189099.10627464284</v>
      </c>
      <c r="L1226" s="444">
        <f t="shared" ca="1" si="106"/>
        <v>-45572884.61218892</v>
      </c>
      <c r="M1226" s="460">
        <f t="shared" si="109"/>
        <v>0.05</v>
      </c>
      <c r="N1226" s="464">
        <f t="shared" si="110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8"/>
        <v>-45572884.61218892</v>
      </c>
      <c r="J1227" s="444">
        <f t="array" ref="J1227">IFERROR(INDEX('Retirement Calculator'!J:J,MATCH('Isaac 401k'!N1227,'Retirement Calculator'!A:A,0),0),0)</f>
        <v>0</v>
      </c>
      <c r="K1227" s="444">
        <f t="shared" ca="1" si="105"/>
        <v>-189887.01921745384</v>
      </c>
      <c r="L1227" s="444">
        <f t="shared" ca="1" si="106"/>
        <v>-45762771.631406374</v>
      </c>
      <c r="M1227" s="460">
        <f t="shared" si="109"/>
        <v>0.05</v>
      </c>
      <c r="N1227" s="464">
        <f t="shared" si="110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8"/>
        <v>-45762771.631406374</v>
      </c>
      <c r="J1228" s="444">
        <f t="array" ref="J1228">IFERROR(INDEX('Retirement Calculator'!J:J,MATCH('Isaac 401k'!N1228,'Retirement Calculator'!A:A,0),0),0)</f>
        <v>0</v>
      </c>
      <c r="K1228" s="444">
        <f t="shared" ca="1" si="105"/>
        <v>-190678.2151308599</v>
      </c>
      <c r="L1228" s="444">
        <f t="shared" ca="1" si="106"/>
        <v>-45953449.846537232</v>
      </c>
      <c r="M1228" s="460">
        <f t="shared" si="109"/>
        <v>0.05</v>
      </c>
      <c r="N1228" s="464">
        <f t="shared" si="110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8"/>
        <v>-45953449.846537232</v>
      </c>
      <c r="J1229" s="444">
        <f t="array" ref="J1229">IFERROR(INDEX('Retirement Calculator'!J:J,MATCH('Isaac 401k'!N1229,'Retirement Calculator'!A:A,0),0),0)</f>
        <v>0</v>
      </c>
      <c r="K1229" s="444">
        <f t="shared" ca="1" si="105"/>
        <v>-191472.70769390513</v>
      </c>
      <c r="L1229" s="444">
        <f t="shared" ca="1" si="106"/>
        <v>-46144922.554231137</v>
      </c>
      <c r="M1229" s="460">
        <f t="shared" si="109"/>
        <v>0.05</v>
      </c>
      <c r="N1229" s="464">
        <f t="shared" si="110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8"/>
        <v>-46144922.554231137</v>
      </c>
      <c r="J1230" s="444">
        <f t="array" ref="J1230">IFERROR(INDEX('Retirement Calculator'!J:J,MATCH('Isaac 401k'!N1230,'Retirement Calculator'!A:A,0),0),0)</f>
        <v>0</v>
      </c>
      <c r="K1230" s="444">
        <f t="shared" ca="1" si="105"/>
        <v>-192270.51064262973</v>
      </c>
      <c r="L1230" s="444">
        <f t="shared" ca="1" si="106"/>
        <v>-46337193.06487377</v>
      </c>
      <c r="M1230" s="460">
        <f t="shared" si="109"/>
        <v>0.05</v>
      </c>
      <c r="N1230" s="464">
        <f t="shared" si="110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8"/>
        <v>-46337193.06487377</v>
      </c>
      <c r="J1231" s="444">
        <f t="array" ref="J1231">IFERROR(INDEX('Retirement Calculator'!J:J,MATCH('Isaac 401k'!N1231,'Retirement Calculator'!A:A,0),0),0)</f>
        <v>0</v>
      </c>
      <c r="K1231" s="444">
        <f t="shared" ca="1" si="105"/>
        <v>-193071.63777030737</v>
      </c>
      <c r="L1231" s="444">
        <f t="shared" ca="1" si="106"/>
        <v>-46530264.70264408</v>
      </c>
      <c r="M1231" s="460">
        <f t="shared" si="109"/>
        <v>0.05</v>
      </c>
      <c r="N1231" s="464">
        <f t="shared" si="110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8"/>
        <v>-46530264.70264408</v>
      </c>
      <c r="J1232" s="444">
        <f t="array" ref="J1232">IFERROR(INDEX('Retirement Calculator'!J:J,MATCH('Isaac 401k'!N1232,'Retirement Calculator'!A:A,0),0),0)</f>
        <v>0</v>
      </c>
      <c r="K1232" s="444">
        <f t="shared" ca="1" si="105"/>
        <v>-193876.10292768368</v>
      </c>
      <c r="L1232" s="444">
        <f t="shared" ca="1" si="106"/>
        <v>-46724140.805571765</v>
      </c>
      <c r="M1232" s="460">
        <f t="shared" si="109"/>
        <v>0.05</v>
      </c>
      <c r="N1232" s="464">
        <f t="shared" si="110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8"/>
        <v>-46724140.805571765</v>
      </c>
      <c r="J1233" s="444">
        <f t="array" ref="J1233">IFERROR(INDEX('Retirement Calculator'!J:J,MATCH('Isaac 401k'!N1233,'Retirement Calculator'!A:A,0),0),0)</f>
        <v>0</v>
      </c>
      <c r="K1233" s="444">
        <f t="shared" ca="1" si="105"/>
        <v>-194683.92002321567</v>
      </c>
      <c r="L1233" s="444">
        <f t="shared" ca="1" si="106"/>
        <v>-46918824.725594983</v>
      </c>
      <c r="M1233" s="460">
        <f t="shared" si="109"/>
        <v>0.05</v>
      </c>
      <c r="N1233" s="464">
        <f t="shared" si="110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8"/>
        <v>-46918824.725594983</v>
      </c>
      <c r="J1234" s="444">
        <f t="array" ref="J1234">IFERROR(INDEX('Retirement Calculator'!J:J,MATCH('Isaac 401k'!N1234,'Retirement Calculator'!A:A,0),0),0)</f>
        <v>0</v>
      </c>
      <c r="K1234" s="444">
        <f t="shared" ca="1" si="105"/>
        <v>-195495.10302331243</v>
      </c>
      <c r="L1234" s="444">
        <f t="shared" ca="1" si="106"/>
        <v>-47114319.828618295</v>
      </c>
      <c r="M1234" s="460">
        <f t="shared" si="109"/>
        <v>0.05</v>
      </c>
      <c r="N1234" s="464">
        <f t="shared" si="110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8"/>
        <v>-47114319.828618295</v>
      </c>
      <c r="J1235" s="444">
        <f t="array" ref="J1235">IFERROR(INDEX('Retirement Calculator'!J:J,MATCH('Isaac 401k'!N1235,'Retirement Calculator'!A:A,0),0),0)</f>
        <v>0</v>
      </c>
      <c r="K1235" s="444">
        <f t="shared" ca="1" si="105"/>
        <v>-196309.66595257624</v>
      </c>
      <c r="L1235" s="444">
        <f t="shared" ca="1" si="106"/>
        <v>-47310629.494570874</v>
      </c>
      <c r="M1235" s="460">
        <f t="shared" si="109"/>
        <v>0.05</v>
      </c>
      <c r="N1235" s="464">
        <f t="shared" si="110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8"/>
        <v>-47310629.494570874</v>
      </c>
      <c r="J1236" s="444">
        <f t="array" ref="J1236">IFERROR(INDEX('Retirement Calculator'!J:J,MATCH('Isaac 401k'!N1236,'Retirement Calculator'!A:A,0),0),0)</f>
        <v>0</v>
      </c>
      <c r="K1236" s="444">
        <f t="shared" ca="1" si="105"/>
        <v>-197127.62289404531</v>
      </c>
      <c r="L1236" s="444">
        <f t="shared" ca="1" si="106"/>
        <v>-47507757.117464922</v>
      </c>
      <c r="M1236" s="460">
        <f t="shared" si="109"/>
        <v>0.05</v>
      </c>
      <c r="N1236" s="464">
        <f t="shared" si="110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8"/>
        <v>-47507757.117464922</v>
      </c>
      <c r="J1237" s="444">
        <f t="array" ref="J1237">IFERROR(INDEX('Retirement Calculator'!J:J,MATCH('Isaac 401k'!N1237,'Retirement Calculator'!A:A,0),0),0)</f>
        <v>0</v>
      </c>
      <c r="K1237" s="444">
        <f t="shared" ca="1" si="105"/>
        <v>-197948.98798943718</v>
      </c>
      <c r="L1237" s="444">
        <f t="shared" ca="1" si="106"/>
        <v>-47705706.105454363</v>
      </c>
      <c r="M1237" s="460">
        <f t="shared" si="109"/>
        <v>0.05</v>
      </c>
      <c r="N1237" s="464">
        <f t="shared" si="110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8"/>
        <v>-47705706.105454363</v>
      </c>
      <c r="J1238" s="444">
        <f t="array" ref="J1238">IFERROR(INDEX('Retirement Calculator'!J:J,MATCH('Isaac 401k'!N1238,'Retirement Calculator'!A:A,0),0),0)</f>
        <v>0</v>
      </c>
      <c r="K1238" s="444">
        <f t="shared" ca="1" si="105"/>
        <v>-198773.77543939318</v>
      </c>
      <c r="L1238" s="444">
        <f t="shared" ca="1" si="106"/>
        <v>-47904479.880893759</v>
      </c>
      <c r="M1238" s="460">
        <f t="shared" si="109"/>
        <v>0.05</v>
      </c>
      <c r="N1238" s="464">
        <f t="shared" si="110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8"/>
        <v>-47904479.880893759</v>
      </c>
      <c r="J1239" s="444">
        <f t="array" ref="J1239">IFERROR(INDEX('Retirement Calculator'!J:J,MATCH('Isaac 401k'!N1239,'Retirement Calculator'!A:A,0),0),0)</f>
        <v>0</v>
      </c>
      <c r="K1239" s="444">
        <f t="shared" ca="1" si="105"/>
        <v>-199601.99950372399</v>
      </c>
      <c r="L1239" s="444">
        <f t="shared" ca="1" si="106"/>
        <v>-48104081.880397484</v>
      </c>
      <c r="M1239" s="460">
        <f t="shared" si="109"/>
        <v>0.05</v>
      </c>
      <c r="N1239" s="464">
        <f t="shared" si="110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8"/>
        <v>-48104081.880397484</v>
      </c>
      <c r="J1240" s="444">
        <f t="array" ref="J1240">IFERROR(INDEX('Retirement Calculator'!J:J,MATCH('Isaac 401k'!N1240,'Retirement Calculator'!A:A,0),0),0)</f>
        <v>0</v>
      </c>
      <c r="K1240" s="444">
        <f t="shared" ca="1" si="105"/>
        <v>-200433.67450165618</v>
      </c>
      <c r="L1240" s="444">
        <f t="shared" ca="1" si="106"/>
        <v>-48304515.554899141</v>
      </c>
      <c r="M1240" s="460">
        <f t="shared" si="109"/>
        <v>0.05</v>
      </c>
      <c r="N1240" s="464">
        <f t="shared" si="110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8"/>
        <v>-48304515.554899141</v>
      </c>
      <c r="J1241" s="444">
        <f t="array" ref="J1241">IFERROR(INDEX('Retirement Calculator'!J:J,MATCH('Isaac 401k'!N1241,'Retirement Calculator'!A:A,0),0),0)</f>
        <v>0</v>
      </c>
      <c r="K1241" s="444">
        <f t="shared" ca="1" si="105"/>
        <v>-201268.81481207974</v>
      </c>
      <c r="L1241" s="444">
        <f t="shared" ca="1" si="106"/>
        <v>-48505784.36971122</v>
      </c>
      <c r="M1241" s="460">
        <f t="shared" si="109"/>
        <v>0.05</v>
      </c>
      <c r="N1241" s="464">
        <f t="shared" si="110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8"/>
        <v>-48505784.36971122</v>
      </c>
      <c r="J1242" s="444">
        <f t="array" ref="J1242">IFERROR(INDEX('Retirement Calculator'!J:J,MATCH('Isaac 401k'!N1242,'Retirement Calculator'!A:A,0),0),0)</f>
        <v>0</v>
      </c>
      <c r="K1242" s="444">
        <f t="shared" ca="1" si="105"/>
        <v>-202107.43487379674</v>
      </c>
      <c r="L1242" s="444">
        <f t="shared" ca="1" si="106"/>
        <v>-48707891.804585017</v>
      </c>
      <c r="M1242" s="460">
        <f t="shared" si="109"/>
        <v>0.05</v>
      </c>
      <c r="N1242" s="464">
        <f t="shared" si="110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8"/>
        <v>-48707891.804585017</v>
      </c>
      <c r="J1243" s="444">
        <f t="array" ref="J1243">IFERROR(INDEX('Retirement Calculator'!J:J,MATCH('Isaac 401k'!N1243,'Retirement Calculator'!A:A,0),0),0)</f>
        <v>0</v>
      </c>
      <c r="K1243" s="444">
        <f t="shared" ca="1" si="105"/>
        <v>-202949.54918577091</v>
      </c>
      <c r="L1243" s="444">
        <f t="shared" ca="1" si="106"/>
        <v>-48910841.353770785</v>
      </c>
      <c r="M1243" s="460">
        <f t="shared" si="109"/>
        <v>0.05</v>
      </c>
      <c r="N1243" s="464">
        <f t="shared" si="110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8"/>
        <v>-48910841.353770785</v>
      </c>
      <c r="J1244" s="444">
        <f t="array" ref="J1244">IFERROR(INDEX('Retirement Calculator'!J:J,MATCH('Isaac 401k'!N1244,'Retirement Calculator'!A:A,0),0),0)</f>
        <v>0</v>
      </c>
      <c r="K1244" s="444">
        <f t="shared" ca="1" si="105"/>
        <v>-203795.17230737826</v>
      </c>
      <c r="L1244" s="444">
        <f t="shared" ca="1" si="106"/>
        <v>-49114636.526078165</v>
      </c>
      <c r="M1244" s="460">
        <f t="shared" si="109"/>
        <v>0.05</v>
      </c>
      <c r="N1244" s="464">
        <f t="shared" si="110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8"/>
        <v>-49114636.526078165</v>
      </c>
      <c r="J1245" s="444">
        <f t="array" ref="J1245">IFERROR(INDEX('Retirement Calculator'!J:J,MATCH('Isaac 401k'!N1245,'Retirement Calculator'!A:A,0),0),0)</f>
        <v>0</v>
      </c>
      <c r="K1245" s="444">
        <f t="shared" ca="1" si="105"/>
        <v>-204644.31885865901</v>
      </c>
      <c r="L1245" s="444">
        <f t="shared" ca="1" si="106"/>
        <v>-49319280.844936825</v>
      </c>
      <c r="M1245" s="460">
        <f t="shared" si="109"/>
        <v>0.05</v>
      </c>
      <c r="N1245" s="464">
        <f t="shared" si="110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8"/>
        <v>-49319280.844936825</v>
      </c>
      <c r="J1246" s="444">
        <f t="array" ref="J1246">IFERROR(INDEX('Retirement Calculator'!J:J,MATCH('Isaac 401k'!N1246,'Retirement Calculator'!A:A,0),0),0)</f>
        <v>0</v>
      </c>
      <c r="K1246" s="444">
        <f t="shared" ca="1" si="105"/>
        <v>-205497.00352057011</v>
      </c>
      <c r="L1246" s="444">
        <f t="shared" ca="1" si="106"/>
        <v>-49524777.848457396</v>
      </c>
      <c r="M1246" s="460">
        <f t="shared" si="109"/>
        <v>0.05</v>
      </c>
      <c r="N1246" s="464">
        <f t="shared" si="110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8"/>
        <v>-49524777.848457396</v>
      </c>
      <c r="J1247" s="444">
        <f t="array" ref="J1247">IFERROR(INDEX('Retirement Calculator'!J:J,MATCH('Isaac 401k'!N1247,'Retirement Calculator'!A:A,0),0),0)</f>
        <v>0</v>
      </c>
      <c r="K1247" s="444">
        <f t="shared" ca="1" si="105"/>
        <v>-206353.24103523916</v>
      </c>
      <c r="L1247" s="444">
        <f t="shared" ca="1" si="106"/>
        <v>-49731131.089492634</v>
      </c>
      <c r="M1247" s="460">
        <f t="shared" si="109"/>
        <v>0.05</v>
      </c>
      <c r="N1247" s="464">
        <f t="shared" si="110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8"/>
        <v>-49731131.089492634</v>
      </c>
      <c r="J1248" s="444">
        <f t="array" ref="J1248">IFERROR(INDEX('Retirement Calculator'!J:J,MATCH('Isaac 401k'!N1248,'Retirement Calculator'!A:A,0),0),0)</f>
        <v>0</v>
      </c>
      <c r="K1248" s="444">
        <f t="shared" ca="1" si="105"/>
        <v>-207213.0462062193</v>
      </c>
      <c r="L1248" s="444">
        <f t="shared" ca="1" si="106"/>
        <v>-49938344.135698855</v>
      </c>
      <c r="M1248" s="460">
        <f t="shared" si="109"/>
        <v>0.05</v>
      </c>
      <c r="N1248" s="464">
        <f t="shared" si="110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8"/>
        <v>-49938344.135698855</v>
      </c>
      <c r="J1249" s="444">
        <f t="array" ref="J1249">IFERROR(INDEX('Retirement Calculator'!J:J,MATCH('Isaac 401k'!N1249,'Retirement Calculator'!A:A,0),0),0)</f>
        <v>0</v>
      </c>
      <c r="K1249" s="444">
        <f t="shared" ca="1" si="105"/>
        <v>-208076.43389874522</v>
      </c>
      <c r="L1249" s="444">
        <f t="shared" ca="1" si="106"/>
        <v>-50146420.569597602</v>
      </c>
      <c r="M1249" s="460">
        <f t="shared" si="109"/>
        <v>0.05</v>
      </c>
      <c r="N1249" s="464">
        <f t="shared" si="110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8"/>
        <v>-50146420.569597602</v>
      </c>
      <c r="J1250" s="444">
        <f t="array" ref="J1250">IFERROR(INDEX('Retirement Calculator'!J:J,MATCH('Isaac 401k'!N1250,'Retirement Calculator'!A:A,0),0),0)</f>
        <v>0</v>
      </c>
      <c r="K1250" s="444">
        <f t="shared" ca="1" si="105"/>
        <v>-208943.41903999</v>
      </c>
      <c r="L1250" s="444">
        <f t="shared" ca="1" si="106"/>
        <v>-50355363.988637589</v>
      </c>
      <c r="M1250" s="460">
        <f t="shared" si="109"/>
        <v>0.05</v>
      </c>
      <c r="N1250" s="464">
        <f t="shared" si="110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8"/>
        <v>-50355363.988637589</v>
      </c>
      <c r="J1251" s="444">
        <f t="array" ref="J1251">IFERROR(INDEX('Retirement Calculator'!J:J,MATCH('Isaac 401k'!N1251,'Retirement Calculator'!A:A,0),0),0)</f>
        <v>0</v>
      </c>
      <c r="K1251" s="444">
        <f t="shared" ca="1" si="105"/>
        <v>-209814.01661932329</v>
      </c>
      <c r="L1251" s="444">
        <f t="shared" ca="1" si="106"/>
        <v>-50565178.005256914</v>
      </c>
      <c r="M1251" s="460">
        <f t="shared" si="109"/>
        <v>0.05</v>
      </c>
      <c r="N1251" s="464">
        <f t="shared" si="110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8"/>
        <v>-50565178.005256914</v>
      </c>
      <c r="J1252" s="444">
        <f t="array" ref="J1252">IFERROR(INDEX('Retirement Calculator'!J:J,MATCH('Isaac 401k'!N1252,'Retirement Calculator'!A:A,0),0),0)</f>
        <v>0</v>
      </c>
      <c r="K1252" s="444">
        <f t="shared" ca="1" si="105"/>
        <v>-210688.24168857047</v>
      </c>
      <c r="L1252" s="444">
        <f t="shared" ca="1" si="106"/>
        <v>-50775866.246945485</v>
      </c>
      <c r="M1252" s="460">
        <f t="shared" si="109"/>
        <v>0.05</v>
      </c>
      <c r="N1252" s="464">
        <f t="shared" si="110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8"/>
        <v>-50775866.246945485</v>
      </c>
      <c r="J1253" s="444">
        <f t="array" ref="J1253">IFERROR(INDEX('Retirement Calculator'!J:J,MATCH('Isaac 401k'!N1253,'Retirement Calculator'!A:A,0),0),0)</f>
        <v>0</v>
      </c>
      <c r="K1253" s="444">
        <f t="shared" ca="1" si="105"/>
        <v>-211566.10936227287</v>
      </c>
      <c r="L1253" s="444">
        <f t="shared" ca="1" si="106"/>
        <v>-50987432.35630776</v>
      </c>
      <c r="M1253" s="460">
        <f t="shared" si="109"/>
        <v>0.05</v>
      </c>
      <c r="N1253" s="464">
        <f t="shared" si="110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8"/>
        <v>-50987432.35630776</v>
      </c>
      <c r="J1254" s="444">
        <f t="array" ref="J1254">IFERROR(INDEX('Retirement Calculator'!J:J,MATCH('Isaac 401k'!N1254,'Retirement Calculator'!A:A,0),0),0)</f>
        <v>0</v>
      </c>
      <c r="K1254" s="444">
        <f t="shared" ca="1" si="105"/>
        <v>-212447.634817949</v>
      </c>
      <c r="L1254" s="444">
        <f t="shared" ca="1" si="106"/>
        <v>-51199879.99112571</v>
      </c>
      <c r="M1254" s="460">
        <f t="shared" si="109"/>
        <v>0.05</v>
      </c>
      <c r="N1254" s="464">
        <f t="shared" si="110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8"/>
        <v>-51199879.99112571</v>
      </c>
      <c r="J1255" s="444">
        <f t="array" ref="J1255">IFERROR(INDEX('Retirement Calculator'!J:J,MATCH('Isaac 401k'!N1255,'Retirement Calculator'!A:A,0),0),0)</f>
        <v>0</v>
      </c>
      <c r="K1255" s="444">
        <f t="shared" ca="1" si="105"/>
        <v>-213332.83329635713</v>
      </c>
      <c r="L1255" s="444">
        <f t="shared" ca="1" si="106"/>
        <v>-51413212.824422069</v>
      </c>
      <c r="M1255" s="460">
        <f t="shared" si="109"/>
        <v>0.05</v>
      </c>
      <c r="N1255" s="464">
        <f t="shared" si="110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8"/>
        <v>-51413212.824422069</v>
      </c>
      <c r="J1256" s="444">
        <f t="array" ref="J1256">IFERROR(INDEX('Retirement Calculator'!J:J,MATCH('Isaac 401k'!N1256,'Retirement Calculator'!A:A,0),0),0)</f>
        <v>0</v>
      </c>
      <c r="K1256" s="444">
        <f t="shared" ca="1" si="105"/>
        <v>-214221.7201017586</v>
      </c>
      <c r="L1256" s="444">
        <f t="shared" ca="1" si="106"/>
        <v>-51627434.544523828</v>
      </c>
      <c r="M1256" s="460">
        <f t="shared" si="109"/>
        <v>0.05</v>
      </c>
      <c r="N1256" s="464">
        <f t="shared" si="110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8"/>
        <v>-51627434.544523828</v>
      </c>
      <c r="J1257" s="444">
        <f t="array" ref="J1257">IFERROR(INDEX('Retirement Calculator'!J:J,MATCH('Isaac 401k'!N1257,'Retirement Calculator'!A:A,0),0),0)</f>
        <v>0</v>
      </c>
      <c r="K1257" s="444">
        <f t="shared" ca="1" si="105"/>
        <v>-215114.31060218261</v>
      </c>
      <c r="L1257" s="444">
        <f t="shared" ca="1" si="106"/>
        <v>-51842548.855126008</v>
      </c>
      <c r="M1257" s="460">
        <f t="shared" si="109"/>
        <v>0.05</v>
      </c>
      <c r="N1257" s="464">
        <f t="shared" si="110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8"/>
        <v>-51842548.855126008</v>
      </c>
      <c r="J1258" s="444">
        <f t="array" ref="J1258">IFERROR(INDEX('Retirement Calculator'!J:J,MATCH('Isaac 401k'!N1258,'Retirement Calculator'!A:A,0),0),0)</f>
        <v>0</v>
      </c>
      <c r="K1258" s="444">
        <f t="shared" ca="1" si="105"/>
        <v>-216010.6202296917</v>
      </c>
      <c r="L1258" s="444">
        <f t="shared" ca="1" si="106"/>
        <v>-52058559.4753557</v>
      </c>
      <c r="M1258" s="460">
        <f t="shared" si="109"/>
        <v>0.05</v>
      </c>
      <c r="N1258" s="464">
        <f t="shared" si="110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8"/>
        <v>-52058559.4753557</v>
      </c>
      <c r="J1259" s="444">
        <f t="array" ref="J1259">IFERROR(INDEX('Retirement Calculator'!J:J,MATCH('Isaac 401k'!N1259,'Retirement Calculator'!A:A,0),0),0)</f>
        <v>0</v>
      </c>
      <c r="K1259" s="444">
        <f t="shared" ca="1" si="105"/>
        <v>-216910.66448064873</v>
      </c>
      <c r="L1259" s="444">
        <f t="shared" ca="1" si="106"/>
        <v>-52275470.139836349</v>
      </c>
      <c r="M1259" s="460">
        <f t="shared" si="109"/>
        <v>0.05</v>
      </c>
      <c r="N1259" s="464">
        <f t="shared" si="110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8"/>
        <v>-52275470.139836349</v>
      </c>
      <c r="J1260" s="444">
        <f t="array" ref="J1260">IFERROR(INDEX('Retirement Calculator'!J:J,MATCH('Isaac 401k'!N1260,'Retirement Calculator'!A:A,0),0),0)</f>
        <v>0</v>
      </c>
      <c r="K1260" s="444">
        <f t="shared" ca="1" si="105"/>
        <v>-217814.45891598478</v>
      </c>
      <c r="L1260" s="444">
        <f t="shared" ca="1" si="106"/>
        <v>-52493284.598752335</v>
      </c>
      <c r="M1260" s="460">
        <f t="shared" si="109"/>
        <v>0.05</v>
      </c>
      <c r="N1260" s="464">
        <f t="shared" si="110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8"/>
        <v>-52493284.598752335</v>
      </c>
      <c r="J1261" s="444">
        <f t="array" ref="J1261">IFERROR(INDEX('Retirement Calculator'!J:J,MATCH('Isaac 401k'!N1261,'Retirement Calculator'!A:A,0),0),0)</f>
        <v>0</v>
      </c>
      <c r="K1261" s="444">
        <f t="shared" ca="1" si="105"/>
        <v>-218722.01916146805</v>
      </c>
      <c r="L1261" s="444">
        <f t="shared" ca="1" si="106"/>
        <v>-52712006.617913805</v>
      </c>
      <c r="M1261" s="460">
        <f t="shared" si="109"/>
        <v>0.05</v>
      </c>
      <c r="N1261" s="464">
        <f t="shared" si="110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8"/>
        <v>-52712006.617913805</v>
      </c>
      <c r="J1262" s="444">
        <f t="array" ref="J1262">IFERROR(INDEX('Retirement Calculator'!J:J,MATCH('Isaac 401k'!N1262,'Retirement Calculator'!A:A,0),0),0)</f>
        <v>0</v>
      </c>
      <c r="K1262" s="444">
        <f t="shared" ca="1" si="105"/>
        <v>-219633.36090797419</v>
      </c>
      <c r="L1262" s="444">
        <f t="shared" ca="1" si="106"/>
        <v>-52931639.978821777</v>
      </c>
      <c r="M1262" s="460">
        <f t="shared" si="109"/>
        <v>0.05</v>
      </c>
      <c r="N1262" s="464">
        <f t="shared" si="110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8"/>
        <v>-52931639.978821777</v>
      </c>
      <c r="J1263" s="444">
        <f t="array" ref="J1263">IFERROR(INDEX('Retirement Calculator'!J:J,MATCH('Isaac 401k'!N1263,'Retirement Calculator'!A:A,0),0),0)</f>
        <v>0</v>
      </c>
      <c r="K1263" s="444">
        <f t="shared" ca="1" si="105"/>
        <v>-220548.49991175736</v>
      </c>
      <c r="L1263" s="444">
        <f t="shared" ca="1" si="106"/>
        <v>-53152188.478733532</v>
      </c>
      <c r="M1263" s="460">
        <f t="shared" si="109"/>
        <v>0.05</v>
      </c>
      <c r="N1263" s="464">
        <f t="shared" si="110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8"/>
        <v>-53152188.478733532</v>
      </c>
      <c r="J1264" s="444">
        <f t="array" ref="J1264">IFERROR(INDEX('Retirement Calculator'!J:J,MATCH('Isaac 401k'!N1264,'Retirement Calculator'!A:A,0),0),0)</f>
        <v>0</v>
      </c>
      <c r="K1264" s="444">
        <f t="shared" ca="1" si="105"/>
        <v>-221467.45199472306</v>
      </c>
      <c r="L1264" s="444">
        <f t="shared" ca="1" si="106"/>
        <v>-53373655.930728257</v>
      </c>
      <c r="M1264" s="460">
        <f t="shared" si="109"/>
        <v>0.05</v>
      </c>
      <c r="N1264" s="464">
        <f t="shared" si="110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8"/>
        <v>-53373655.930728257</v>
      </c>
      <c r="J1265" s="444">
        <f t="array" ref="J1265">IFERROR(INDEX('Retirement Calculator'!J:J,MATCH('Isaac 401k'!N1265,'Retirement Calculator'!A:A,0),0),0)</f>
        <v>0</v>
      </c>
      <c r="K1265" s="444">
        <f t="shared" ca="1" si="105"/>
        <v>-222390.23304470108</v>
      </c>
      <c r="L1265" s="444">
        <f t="shared" ca="1" si="106"/>
        <v>-53596046.163772956</v>
      </c>
      <c r="M1265" s="460">
        <f t="shared" si="109"/>
        <v>0.05</v>
      </c>
      <c r="N1265" s="464">
        <f t="shared" si="110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8"/>
        <v>-53596046.163772956</v>
      </c>
      <c r="J1266" s="444">
        <f t="array" ref="J1266">IFERROR(INDEX('Retirement Calculator'!J:J,MATCH('Isaac 401k'!N1266,'Retirement Calculator'!A:A,0),0),0)</f>
        <v>0</v>
      </c>
      <c r="K1266" s="444">
        <f t="shared" ca="1" si="105"/>
        <v>-223316.85901572061</v>
      </c>
      <c r="L1266" s="444">
        <f t="shared" ca="1" si="106"/>
        <v>-53819363.022788674</v>
      </c>
      <c r="M1266" s="460">
        <f t="shared" si="109"/>
        <v>0.05</v>
      </c>
      <c r="N1266" s="464">
        <f t="shared" si="110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8"/>
        <v>-53819363.022788674</v>
      </c>
      <c r="J1267" s="444">
        <f t="array" ref="J1267">IFERROR(INDEX('Retirement Calculator'!J:J,MATCH('Isaac 401k'!N1267,'Retirement Calculator'!A:A,0),0),0)</f>
        <v>0</v>
      </c>
      <c r="K1267" s="444">
        <f t="shared" ca="1" si="105"/>
        <v>-224247.34592828617</v>
      </c>
      <c r="L1267" s="444">
        <f t="shared" ca="1" si="106"/>
        <v>-54043610.368716963</v>
      </c>
      <c r="M1267" s="460">
        <f t="shared" si="109"/>
        <v>0.05</v>
      </c>
      <c r="N1267" s="464">
        <f t="shared" si="110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8"/>
        <v>-54043610.368716963</v>
      </c>
      <c r="J1268" s="444">
        <f t="array" ref="J1268">IFERROR(INDEX('Retirement Calculator'!J:J,MATCH('Isaac 401k'!N1268,'Retirement Calculator'!A:A,0),0),0)</f>
        <v>0</v>
      </c>
      <c r="K1268" s="444">
        <f t="shared" ca="1" si="105"/>
        <v>-225181.70986965403</v>
      </c>
      <c r="L1268" s="444">
        <f t="shared" ca="1" si="106"/>
        <v>-54268792.078586616</v>
      </c>
      <c r="M1268" s="460">
        <f t="shared" si="109"/>
        <v>0.05</v>
      </c>
      <c r="N1268" s="464">
        <f t="shared" si="110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8"/>
        <v>-54268792.078586616</v>
      </c>
      <c r="J1269" s="444">
        <f t="array" ref="J1269">IFERROR(INDEX('Retirement Calculator'!J:J,MATCH('Isaac 401k'!N1269,'Retirement Calculator'!A:A,0),0),0)</f>
        <v>0</v>
      </c>
      <c r="K1269" s="444">
        <f t="shared" ca="1" si="105"/>
        <v>-226119.9669941109</v>
      </c>
      <c r="L1269" s="444">
        <f t="shared" ca="1" si="106"/>
        <v>-54494912.04558073</v>
      </c>
      <c r="M1269" s="460">
        <f t="shared" si="109"/>
        <v>0.05</v>
      </c>
      <c r="N1269" s="464">
        <f t="shared" si="110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8"/>
        <v>-54494912.04558073</v>
      </c>
      <c r="J1270" s="444">
        <f t="array" ref="J1270">IFERROR(INDEX('Retirement Calculator'!J:J,MATCH('Isaac 401k'!N1270,'Retirement Calculator'!A:A,0),0),0)</f>
        <v>0</v>
      </c>
      <c r="K1270" s="444">
        <f t="shared" ca="1" si="105"/>
        <v>-227062.13352325303</v>
      </c>
      <c r="L1270" s="444">
        <f t="shared" ca="1" si="106"/>
        <v>-54721974.179103985</v>
      </c>
      <c r="M1270" s="460">
        <f t="shared" si="109"/>
        <v>0.05</v>
      </c>
      <c r="N1270" s="464">
        <f t="shared" si="110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8"/>
        <v>-54721974.179103985</v>
      </c>
      <c r="J1271" s="444">
        <f t="array" ref="J1271">IFERROR(INDEX('Retirement Calculator'!J:J,MATCH('Isaac 401k'!N1271,'Retirement Calculator'!A:A,0),0),0)</f>
        <v>0</v>
      </c>
      <c r="K1271" s="444">
        <f t="shared" ca="1" si="105"/>
        <v>-228008.2257462666</v>
      </c>
      <c r="L1271" s="444">
        <f t="shared" ca="1" si="106"/>
        <v>-54949982.404850252</v>
      </c>
      <c r="M1271" s="460">
        <f t="shared" si="109"/>
        <v>0.05</v>
      </c>
      <c r="N1271" s="464">
        <f t="shared" si="110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8"/>
        <v>-54949982.404850252</v>
      </c>
      <c r="J1272" s="444">
        <f t="array" ref="J1272">IFERROR(INDEX('Retirement Calculator'!J:J,MATCH('Isaac 401k'!N1272,'Retirement Calculator'!A:A,0),0),0)</f>
        <v>0</v>
      </c>
      <c r="K1272" s="444">
        <f t="shared" ca="1" si="105"/>
        <v>-228958.26002020939</v>
      </c>
      <c r="L1272" s="444">
        <f t="shared" ca="1" si="106"/>
        <v>-55178940.664870463</v>
      </c>
      <c r="M1272" s="460">
        <f t="shared" si="109"/>
        <v>0.05</v>
      </c>
      <c r="N1272" s="464">
        <f t="shared" si="110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8"/>
        <v>-55178940.664870463</v>
      </c>
      <c r="J1273" s="444">
        <f t="array" ref="J1273">IFERROR(INDEX('Retirement Calculator'!J:J,MATCH('Isaac 401k'!N1273,'Retirement Calculator'!A:A,0),0),0)</f>
        <v>0</v>
      </c>
      <c r="K1273" s="444">
        <f t="shared" ca="1" si="105"/>
        <v>-229912.25277029356</v>
      </c>
      <c r="L1273" s="444">
        <f t="shared" ca="1" si="106"/>
        <v>-55408852.917640761</v>
      </c>
      <c r="M1273" s="460">
        <f t="shared" si="109"/>
        <v>0.05</v>
      </c>
      <c r="N1273" s="464">
        <f t="shared" si="110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8"/>
        <v>-55408852.917640761</v>
      </c>
      <c r="J1274" s="444">
        <f t="array" ref="J1274">IFERROR(INDEX('Retirement Calculator'!J:J,MATCH('Isaac 401k'!N1274,'Retirement Calculator'!A:A,0),0),0)</f>
        <v>0</v>
      </c>
      <c r="K1274" s="444">
        <f t="shared" ca="1" si="105"/>
        <v>-230870.2204901698</v>
      </c>
      <c r="L1274" s="444">
        <f t="shared" ca="1" si="106"/>
        <v>-55639723.138130933</v>
      </c>
      <c r="M1274" s="460">
        <f t="shared" si="109"/>
        <v>0.05</v>
      </c>
      <c r="N1274" s="464">
        <f t="shared" si="110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8"/>
        <v>-55639723.138130933</v>
      </c>
      <c r="J1275" s="444">
        <f t="array" ref="J1275">IFERROR(INDEX('Retirement Calculator'!J:J,MATCH('Isaac 401k'!N1275,'Retirement Calculator'!A:A,0),0),0)</f>
        <v>0</v>
      </c>
      <c r="K1275" s="444">
        <f t="shared" ca="1" si="105"/>
        <v>-231832.17974221217</v>
      </c>
      <c r="L1275" s="444">
        <f t="shared" ca="1" si="106"/>
        <v>-55871555.317873143</v>
      </c>
      <c r="M1275" s="460">
        <f t="shared" si="109"/>
        <v>0.05</v>
      </c>
      <c r="N1275" s="464">
        <f t="shared" si="110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8"/>
        <v>-55871555.317873143</v>
      </c>
      <c r="J1276" s="444">
        <f t="array" ref="J1276">IFERROR(INDEX('Retirement Calculator'!J:J,MATCH('Isaac 401k'!N1276,'Retirement Calculator'!A:A,0),0),0)</f>
        <v>0</v>
      </c>
      <c r="K1276" s="444">
        <f t="shared" ca="1" si="105"/>
        <v>-232798.14715780475</v>
      </c>
      <c r="L1276" s="444">
        <f t="shared" ca="1" si="106"/>
        <v>-56104353.465030946</v>
      </c>
      <c r="M1276" s="460">
        <f t="shared" si="109"/>
        <v>0.05</v>
      </c>
      <c r="N1276" s="464">
        <f t="shared" si="110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8"/>
        <v>-56104353.465030946</v>
      </c>
      <c r="J1277" s="444">
        <f t="array" ref="J1277">IFERROR(INDEX('Retirement Calculator'!J:J,MATCH('Isaac 401k'!N1277,'Retirement Calculator'!A:A,0),0),0)</f>
        <v>0</v>
      </c>
      <c r="K1277" s="444">
        <f t="shared" ca="1" si="105"/>
        <v>-233768.13943762897</v>
      </c>
      <c r="L1277" s="444">
        <f t="shared" ca="1" si="106"/>
        <v>-56338121.604468577</v>
      </c>
      <c r="M1277" s="460">
        <f t="shared" si="109"/>
        <v>0.05</v>
      </c>
      <c r="N1277" s="464">
        <f t="shared" si="110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8"/>
        <v>-56338121.604468577</v>
      </c>
      <c r="J1278" s="444">
        <f t="array" ref="J1278">IFERROR(INDEX('Retirement Calculator'!J:J,MATCH('Isaac 401k'!N1278,'Retirement Calculator'!A:A,0),0),0)</f>
        <v>0</v>
      </c>
      <c r="K1278" s="444">
        <f t="shared" ca="1" si="105"/>
        <v>-234742.1733519524</v>
      </c>
      <c r="L1278" s="444">
        <f t="shared" ca="1" si="106"/>
        <v>-56572863.777820528</v>
      </c>
      <c r="M1278" s="460">
        <f t="shared" si="109"/>
        <v>0.05</v>
      </c>
      <c r="N1278" s="464">
        <f t="shared" si="110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8"/>
        <v>-56572863.777820528</v>
      </c>
      <c r="J1279" s="444">
        <f t="array" ref="J1279">IFERROR(INDEX('Retirement Calculator'!J:J,MATCH('Isaac 401k'!N1279,'Retirement Calculator'!A:A,0),0),0)</f>
        <v>0</v>
      </c>
      <c r="K1279" s="444">
        <f t="shared" ca="1" si="105"/>
        <v>-235720.26574091884</v>
      </c>
      <c r="L1279" s="444">
        <f t="shared" ca="1" si="106"/>
        <v>-56808584.043561444</v>
      </c>
      <c r="M1279" s="460">
        <f t="shared" si="109"/>
        <v>0.05</v>
      </c>
      <c r="N1279" s="464">
        <f t="shared" si="110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8"/>
        <v>-56808584.043561444</v>
      </c>
      <c r="J1280" s="444">
        <f t="array" ref="J1280">IFERROR(INDEX('Retirement Calculator'!J:J,MATCH('Isaac 401k'!N1280,'Retirement Calculator'!A:A,0),0),0)</f>
        <v>0</v>
      </c>
      <c r="K1280" s="444">
        <f t="shared" ca="1" si="105"/>
        <v>-236702.43351483936</v>
      </c>
      <c r="L1280" s="444">
        <f t="shared" ca="1" si="106"/>
        <v>-57045286.477076285</v>
      </c>
      <c r="M1280" s="460">
        <f t="shared" si="109"/>
        <v>0.05</v>
      </c>
      <c r="N1280" s="464">
        <f t="shared" si="110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8"/>
        <v>-57045286.477076285</v>
      </c>
      <c r="J1281" s="444">
        <f t="array" ref="J1281">IFERROR(INDEX('Retirement Calculator'!J:J,MATCH('Isaac 401k'!N1281,'Retirement Calculator'!A:A,0),0),0)</f>
        <v>0</v>
      </c>
      <c r="K1281" s="444">
        <f t="shared" ca="1" si="105"/>
        <v>-237688.69365448452</v>
      </c>
      <c r="L1281" s="444">
        <f t="shared" ca="1" si="106"/>
        <v>-57282975.17073077</v>
      </c>
      <c r="M1281" s="460">
        <f t="shared" si="109"/>
        <v>0.05</v>
      </c>
      <c r="N1281" s="464">
        <f t="shared" si="110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8"/>
        <v>-57282975.17073077</v>
      </c>
      <c r="J1282" s="444">
        <f t="array" ref="J1282">IFERROR(INDEX('Retirement Calculator'!J:J,MATCH('Isaac 401k'!N1282,'Retirement Calculator'!A:A,0),0),0)</f>
        <v>0</v>
      </c>
      <c r="K1282" s="444">
        <f t="shared" ca="1" si="105"/>
        <v>-238679.06321137818</v>
      </c>
      <c r="L1282" s="444">
        <f t="shared" ca="1" si="106"/>
        <v>-57521654.233942151</v>
      </c>
      <c r="M1282" s="460">
        <f t="shared" si="109"/>
        <v>0.05</v>
      </c>
      <c r="N1282" s="464">
        <f t="shared" si="110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8"/>
        <v>-57521654.233942151</v>
      </c>
      <c r="J1283" s="444">
        <f t="array" ref="J1283">IFERROR(INDEX('Retirement Calculator'!J:J,MATCH('Isaac 401k'!N1283,'Retirement Calculator'!A:A,0),0),0)</f>
        <v>0</v>
      </c>
      <c r="K1283" s="444">
        <f t="shared" ref="K1283:K1537" ca="1" si="126">IPMT(M1283/12,1,12,-I1283+J1283,,0)</f>
        <v>-239673.55930809228</v>
      </c>
      <c r="L1283" s="444">
        <f t="shared" ref="L1283:L1537" ca="1" si="127">I1283-J1283+K1283</f>
        <v>-57761327.79325024</v>
      </c>
      <c r="M1283" s="460">
        <f t="shared" si="109"/>
        <v>0.05</v>
      </c>
      <c r="N1283" s="464">
        <f t="shared" si="110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28">L1283</f>
        <v>-57761327.79325024</v>
      </c>
      <c r="J1284" s="444">
        <f t="array" ref="J1284">IFERROR(INDEX('Retirement Calculator'!J:J,MATCH('Isaac 401k'!N1284,'Retirement Calculator'!A:A,0),0),0)</f>
        <v>0</v>
      </c>
      <c r="K1284" s="444">
        <f t="shared" ca="1" si="126"/>
        <v>-240672.19913854267</v>
      </c>
      <c r="L1284" s="444">
        <f t="shared" ca="1" si="127"/>
        <v>-58001999.992388785</v>
      </c>
      <c r="M1284" s="460">
        <f t="shared" ref="M1284:M1538" si="129">M1283</f>
        <v>0.05</v>
      </c>
      <c r="N1284" s="464">
        <f t="shared" ref="N1284:N1538" si="130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28"/>
        <v>-58001999.992388785</v>
      </c>
      <c r="J1285" s="444">
        <f t="array" ref="J1285">IFERROR(INDEX('Retirement Calculator'!J:J,MATCH('Isaac 401k'!N1285,'Retirement Calculator'!A:A,0),0),0)</f>
        <v>0</v>
      </c>
      <c r="K1285" s="444">
        <f t="shared" ca="1" si="126"/>
        <v>-241674.9999682866</v>
      </c>
      <c r="L1285" s="444">
        <f t="shared" ca="1" si="127"/>
        <v>-58243674.992357075</v>
      </c>
      <c r="M1285" s="460">
        <f t="shared" si="129"/>
        <v>0.05</v>
      </c>
      <c r="N1285" s="464">
        <f t="shared" si="130"/>
        <v>90156</v>
      </c>
    </row>
    <row r="1286" spans="7:14" ht="11.25" customHeight="1" x14ac:dyDescent="0.3">
      <c r="G1286" s="459"/>
      <c r="H1286" s="459">
        <v>1279</v>
      </c>
      <c r="I1286" s="444">
        <f t="shared" ca="1" si="128"/>
        <v>-58243674.992357075</v>
      </c>
      <c r="J1286" s="444">
        <f t="array" ref="J1286">IFERROR(INDEX('Retirement Calculator'!J:J,MATCH('Isaac 401k'!N1286,'Retirement Calculator'!A:A,0),0),0)</f>
        <v>0</v>
      </c>
      <c r="K1286" s="444">
        <f t="shared" ca="1" si="126"/>
        <v>-242681.97913482113</v>
      </c>
      <c r="L1286" s="444">
        <f t="shared" ca="1" si="127"/>
        <v>-58486356.971491896</v>
      </c>
      <c r="M1286" s="460">
        <f t="shared" si="129"/>
        <v>0.05</v>
      </c>
      <c r="N1286" s="464">
        <f t="shared" si="130"/>
        <v>90186</v>
      </c>
    </row>
    <row r="1287" spans="7:14" ht="11.25" customHeight="1" x14ac:dyDescent="0.3">
      <c r="G1287" s="459"/>
      <c r="H1287" s="459">
        <v>1280</v>
      </c>
      <c r="I1287" s="444">
        <f t="shared" ca="1" si="128"/>
        <v>-58486356.971491896</v>
      </c>
      <c r="J1287" s="444">
        <f t="array" ref="J1287">IFERROR(INDEX('Retirement Calculator'!J:J,MATCH('Isaac 401k'!N1287,'Retirement Calculator'!A:A,0),0),0)</f>
        <v>0</v>
      </c>
      <c r="K1287" s="444">
        <f t="shared" ca="1" si="126"/>
        <v>-243693.15404788288</v>
      </c>
      <c r="L1287" s="444">
        <f t="shared" ca="1" si="127"/>
        <v>-58730050.12553978</v>
      </c>
      <c r="M1287" s="460">
        <f t="shared" si="129"/>
        <v>0.05</v>
      </c>
      <c r="N1287" s="464">
        <f t="shared" si="130"/>
        <v>90217</v>
      </c>
    </row>
    <row r="1288" spans="7:14" ht="11.25" customHeight="1" x14ac:dyDescent="0.3">
      <c r="G1288" s="459"/>
      <c r="H1288" s="459">
        <v>1281</v>
      </c>
      <c r="I1288" s="444">
        <f t="shared" ca="1" si="128"/>
        <v>-58730050.12553978</v>
      </c>
      <c r="J1288" s="444">
        <f t="array" ref="J1288">IFERROR(INDEX('Retirement Calculator'!J:J,MATCH('Isaac 401k'!N1288,'Retirement Calculator'!A:A,0),0),0)</f>
        <v>0</v>
      </c>
      <c r="K1288" s="444">
        <f t="shared" ca="1" si="126"/>
        <v>-244708.54218974907</v>
      </c>
      <c r="L1288" s="444">
        <f t="shared" ca="1" si="127"/>
        <v>-58974758.667729527</v>
      </c>
      <c r="M1288" s="460">
        <f t="shared" si="129"/>
        <v>0.05</v>
      </c>
      <c r="N1288" s="464">
        <f t="shared" si="130"/>
        <v>90248</v>
      </c>
    </row>
    <row r="1289" spans="7:14" ht="11.25" customHeight="1" x14ac:dyDescent="0.3">
      <c r="G1289" s="459"/>
      <c r="H1289" s="459">
        <v>1282</v>
      </c>
      <c r="I1289" s="444">
        <f t="shared" ca="1" si="128"/>
        <v>-58974758.667729527</v>
      </c>
      <c r="J1289" s="444">
        <f t="array" ref="J1289">IFERROR(INDEX('Retirement Calculator'!J:J,MATCH('Isaac 401k'!N1289,'Retirement Calculator'!A:A,0),0),0)</f>
        <v>0</v>
      </c>
      <c r="K1289" s="444">
        <f t="shared" ca="1" si="126"/>
        <v>-245728.16111553973</v>
      </c>
      <c r="L1289" s="444">
        <f t="shared" ca="1" si="127"/>
        <v>-59220486.828845069</v>
      </c>
      <c r="M1289" s="460">
        <f t="shared" si="129"/>
        <v>0.05</v>
      </c>
      <c r="N1289" s="464">
        <f t="shared" si="130"/>
        <v>90276</v>
      </c>
    </row>
    <row r="1290" spans="7:14" ht="11.25" customHeight="1" x14ac:dyDescent="0.3">
      <c r="G1290" s="459"/>
      <c r="H1290" s="459">
        <v>1283</v>
      </c>
      <c r="I1290" s="444">
        <f t="shared" ca="1" si="128"/>
        <v>-59220486.828845069</v>
      </c>
      <c r="J1290" s="444">
        <f t="array" ref="J1290">IFERROR(INDEX('Retirement Calculator'!J:J,MATCH('Isaac 401k'!N1290,'Retirement Calculator'!A:A,0),0),0)</f>
        <v>0</v>
      </c>
      <c r="K1290" s="444">
        <f t="shared" ca="1" si="126"/>
        <v>-246752.02845352111</v>
      </c>
      <c r="L1290" s="444">
        <f t="shared" ca="1" si="127"/>
        <v>-59467238.85729859</v>
      </c>
      <c r="M1290" s="460">
        <f t="shared" si="129"/>
        <v>0.05</v>
      </c>
      <c r="N1290" s="464">
        <f t="shared" si="130"/>
        <v>90307</v>
      </c>
    </row>
    <row r="1291" spans="7:14" ht="11.25" customHeight="1" x14ac:dyDescent="0.3">
      <c r="G1291" s="459"/>
      <c r="H1291" s="459">
        <v>1284</v>
      </c>
      <c r="I1291" s="444">
        <f t="shared" ca="1" si="128"/>
        <v>-59467238.85729859</v>
      </c>
      <c r="J1291" s="444">
        <f t="array" ref="J1291">IFERROR(INDEX('Retirement Calculator'!J:J,MATCH('Isaac 401k'!N1291,'Retirement Calculator'!A:A,0),0),0)</f>
        <v>0</v>
      </c>
      <c r="K1291" s="444">
        <f t="shared" ca="1" si="126"/>
        <v>-247780.16190541079</v>
      </c>
      <c r="L1291" s="444">
        <f t="shared" ca="1" si="127"/>
        <v>-59715019.019203998</v>
      </c>
      <c r="M1291" s="460">
        <f t="shared" si="129"/>
        <v>0.05</v>
      </c>
      <c r="N1291" s="464">
        <f t="shared" si="130"/>
        <v>90337</v>
      </c>
    </row>
    <row r="1292" spans="7:14" ht="11.25" customHeight="1" x14ac:dyDescent="0.3">
      <c r="G1292" s="459"/>
      <c r="H1292" s="459">
        <v>1285</v>
      </c>
      <c r="I1292" s="444">
        <f t="shared" ca="1" si="128"/>
        <v>-59715019.019203998</v>
      </c>
      <c r="J1292" s="444">
        <f t="array" ref="J1292">IFERROR(INDEX('Retirement Calculator'!J:J,MATCH('Isaac 401k'!N1292,'Retirement Calculator'!A:A,0),0),0)</f>
        <v>0</v>
      </c>
      <c r="K1292" s="444">
        <f t="shared" ca="1" si="126"/>
        <v>-248812.57924668331</v>
      </c>
      <c r="L1292" s="444">
        <f t="shared" ca="1" si="127"/>
        <v>-59963831.598450683</v>
      </c>
      <c r="M1292" s="460">
        <f t="shared" si="129"/>
        <v>0.05</v>
      </c>
      <c r="N1292" s="464">
        <f t="shared" si="130"/>
        <v>90368</v>
      </c>
    </row>
    <row r="1293" spans="7:14" ht="11.25" customHeight="1" x14ac:dyDescent="0.3">
      <c r="G1293" s="459"/>
      <c r="H1293" s="459">
        <v>1286</v>
      </c>
      <c r="I1293" s="444">
        <f t="shared" ca="1" si="128"/>
        <v>-59963831.598450683</v>
      </c>
      <c r="J1293" s="444">
        <f t="array" ref="J1293">IFERROR(INDEX('Retirement Calculator'!J:J,MATCH('Isaac 401k'!N1293,'Retirement Calculator'!A:A,0),0),0)</f>
        <v>0</v>
      </c>
      <c r="K1293" s="444">
        <f t="shared" ca="1" si="126"/>
        <v>-249849.29832687782</v>
      </c>
      <c r="L1293" s="444">
        <f t="shared" ca="1" si="127"/>
        <v>-60213680.896777563</v>
      </c>
      <c r="M1293" s="460">
        <f t="shared" si="129"/>
        <v>0.05</v>
      </c>
      <c r="N1293" s="464">
        <f t="shared" si="130"/>
        <v>90398</v>
      </c>
    </row>
    <row r="1294" spans="7:14" ht="11.25" customHeight="1" x14ac:dyDescent="0.3">
      <c r="G1294" s="459"/>
      <c r="H1294" s="459">
        <v>1287</v>
      </c>
      <c r="I1294" s="444">
        <f t="shared" ca="1" si="128"/>
        <v>-60213680.896777563</v>
      </c>
      <c r="J1294" s="444">
        <f t="array" ref="J1294">IFERROR(INDEX('Retirement Calculator'!J:J,MATCH('Isaac 401k'!N1294,'Retirement Calculator'!A:A,0),0),0)</f>
        <v>0</v>
      </c>
      <c r="K1294" s="444">
        <f t="shared" ca="1" si="126"/>
        <v>-250890.3370699065</v>
      </c>
      <c r="L1294" s="444">
        <f t="shared" ca="1" si="127"/>
        <v>-60464571.233847469</v>
      </c>
      <c r="M1294" s="460">
        <f t="shared" si="129"/>
        <v>0.05</v>
      </c>
      <c r="N1294" s="464">
        <f t="shared" si="130"/>
        <v>90429</v>
      </c>
    </row>
    <row r="1295" spans="7:14" ht="11.25" customHeight="1" x14ac:dyDescent="0.3">
      <c r="G1295" s="459"/>
      <c r="H1295" s="459">
        <v>1288</v>
      </c>
      <c r="I1295" s="444">
        <f t="shared" ca="1" si="128"/>
        <v>-60464571.233847469</v>
      </c>
      <c r="J1295" s="444">
        <f t="array" ref="J1295">IFERROR(INDEX('Retirement Calculator'!J:J,MATCH('Isaac 401k'!N1295,'Retirement Calculator'!A:A,0),0),0)</f>
        <v>0</v>
      </c>
      <c r="K1295" s="444">
        <f t="shared" ca="1" si="126"/>
        <v>-251935.71347436446</v>
      </c>
      <c r="L1295" s="444">
        <f t="shared" ca="1" si="127"/>
        <v>-60716506.947321832</v>
      </c>
      <c r="M1295" s="460">
        <f t="shared" si="129"/>
        <v>0.05</v>
      </c>
      <c r="N1295" s="464">
        <f t="shared" si="130"/>
        <v>90460</v>
      </c>
    </row>
    <row r="1296" spans="7:14" ht="11.25" customHeight="1" x14ac:dyDescent="0.3">
      <c r="G1296" s="459"/>
      <c r="H1296" s="459">
        <v>1289</v>
      </c>
      <c r="I1296" s="444">
        <f t="shared" ca="1" si="128"/>
        <v>-60716506.947321832</v>
      </c>
      <c r="J1296" s="444">
        <f t="array" ref="J1296">IFERROR(INDEX('Retirement Calculator'!J:J,MATCH('Isaac 401k'!N1296,'Retirement Calculator'!A:A,0),0),0)</f>
        <v>0</v>
      </c>
      <c r="K1296" s="444">
        <f t="shared" ca="1" si="126"/>
        <v>-252985.44561384094</v>
      </c>
      <c r="L1296" s="444">
        <f t="shared" ca="1" si="127"/>
        <v>-60969492.392935671</v>
      </c>
      <c r="M1296" s="460">
        <f t="shared" si="129"/>
        <v>0.05</v>
      </c>
      <c r="N1296" s="464">
        <f t="shared" si="130"/>
        <v>90490</v>
      </c>
    </row>
    <row r="1297" spans="7:14" ht="11.25" customHeight="1" x14ac:dyDescent="0.3">
      <c r="G1297" s="459"/>
      <c r="H1297" s="459">
        <v>1290</v>
      </c>
      <c r="I1297" s="444">
        <f t="shared" ca="1" si="128"/>
        <v>-60969492.392935671</v>
      </c>
      <c r="J1297" s="444">
        <f t="array" ref="J1297">IFERROR(INDEX('Retirement Calculator'!J:J,MATCH('Isaac 401k'!N1297,'Retirement Calculator'!A:A,0),0),0)</f>
        <v>0</v>
      </c>
      <c r="K1297" s="444">
        <f t="shared" ca="1" si="126"/>
        <v>-254039.55163723195</v>
      </c>
      <c r="L1297" s="444">
        <f t="shared" ca="1" si="127"/>
        <v>-61223531.944572903</v>
      </c>
      <c r="M1297" s="460">
        <f t="shared" si="129"/>
        <v>0.05</v>
      </c>
      <c r="N1297" s="464">
        <f t="shared" si="130"/>
        <v>90521</v>
      </c>
    </row>
    <row r="1298" spans="7:14" ht="11.25" customHeight="1" x14ac:dyDescent="0.3">
      <c r="G1298" s="459"/>
      <c r="H1298" s="459">
        <v>1291</v>
      </c>
      <c r="I1298" s="444">
        <f t="shared" ca="1" si="128"/>
        <v>-61223531.944572903</v>
      </c>
      <c r="J1298" s="444">
        <f t="array" ref="J1298">IFERROR(INDEX('Retirement Calculator'!J:J,MATCH('Isaac 401k'!N1298,'Retirement Calculator'!A:A,0),0),0)</f>
        <v>0</v>
      </c>
      <c r="K1298" s="444">
        <f t="shared" ca="1" si="126"/>
        <v>-255098.04976905376</v>
      </c>
      <c r="L1298" s="444">
        <f t="shared" ca="1" si="127"/>
        <v>-61478629.994341955</v>
      </c>
      <c r="M1298" s="460">
        <f t="shared" si="129"/>
        <v>0.05</v>
      </c>
      <c r="N1298" s="464">
        <f t="shared" si="130"/>
        <v>90551</v>
      </c>
    </row>
    <row r="1299" spans="7:14" ht="11.25" customHeight="1" x14ac:dyDescent="0.3">
      <c r="G1299" s="459"/>
      <c r="H1299" s="459">
        <v>1292</v>
      </c>
      <c r="I1299" s="444">
        <f t="shared" ca="1" si="128"/>
        <v>-61478629.994341955</v>
      </c>
      <c r="J1299" s="444">
        <f t="array" ref="J1299">IFERROR(INDEX('Retirement Calculator'!J:J,MATCH('Isaac 401k'!N1299,'Retirement Calculator'!A:A,0),0),0)</f>
        <v>0</v>
      </c>
      <c r="K1299" s="444">
        <f t="shared" ca="1" si="126"/>
        <v>-256160.95830975813</v>
      </c>
      <c r="L1299" s="444">
        <f t="shared" ca="1" si="127"/>
        <v>-61734790.952651709</v>
      </c>
      <c r="M1299" s="460">
        <f t="shared" si="129"/>
        <v>0.05</v>
      </c>
      <c r="N1299" s="464">
        <f t="shared" si="130"/>
        <v>90582</v>
      </c>
    </row>
    <row r="1300" spans="7:14" ht="11.25" customHeight="1" x14ac:dyDescent="0.3">
      <c r="G1300" s="459"/>
      <c r="H1300" s="459">
        <v>1293</v>
      </c>
      <c r="I1300" s="444">
        <f t="shared" ca="1" si="128"/>
        <v>-61734790.952651709</v>
      </c>
      <c r="J1300" s="444">
        <f t="array" ref="J1300">IFERROR(INDEX('Retirement Calculator'!J:J,MATCH('Isaac 401k'!N1300,'Retirement Calculator'!A:A,0),0),0)</f>
        <v>0</v>
      </c>
      <c r="K1300" s="444">
        <f t="shared" ca="1" si="126"/>
        <v>-257228.29563604874</v>
      </c>
      <c r="L1300" s="444">
        <f t="shared" ca="1" si="127"/>
        <v>-61992019.24828776</v>
      </c>
      <c r="M1300" s="460">
        <f t="shared" si="129"/>
        <v>0.05</v>
      </c>
      <c r="N1300" s="464">
        <f t="shared" si="130"/>
        <v>90613</v>
      </c>
    </row>
    <row r="1301" spans="7:14" ht="11.25" customHeight="1" x14ac:dyDescent="0.3">
      <c r="G1301" s="459"/>
      <c r="H1301" s="459">
        <v>1294</v>
      </c>
      <c r="I1301" s="444">
        <f t="shared" ca="1" si="128"/>
        <v>-61992019.24828776</v>
      </c>
      <c r="J1301" s="444">
        <f t="array" ref="J1301">IFERROR(INDEX('Retirement Calculator'!J:J,MATCH('Isaac 401k'!N1301,'Retirement Calculator'!A:A,0),0),0)</f>
        <v>0</v>
      </c>
      <c r="K1301" s="444">
        <f t="shared" ca="1" si="126"/>
        <v>-258300.08020119902</v>
      </c>
      <c r="L1301" s="444">
        <f t="shared" ca="1" si="127"/>
        <v>-62250319.328488961</v>
      </c>
      <c r="M1301" s="460">
        <f t="shared" si="129"/>
        <v>0.05</v>
      </c>
      <c r="N1301" s="464">
        <f t="shared" si="130"/>
        <v>90642</v>
      </c>
    </row>
    <row r="1302" spans="7:14" ht="11.25" customHeight="1" x14ac:dyDescent="0.3">
      <c r="G1302" s="459"/>
      <c r="H1302" s="459">
        <v>1295</v>
      </c>
      <c r="I1302" s="444">
        <f t="shared" ca="1" si="128"/>
        <v>-62250319.328488961</v>
      </c>
      <c r="J1302" s="444">
        <f t="array" ref="J1302">IFERROR(INDEX('Retirement Calculator'!J:J,MATCH('Isaac 401k'!N1302,'Retirement Calculator'!A:A,0),0),0)</f>
        <v>0</v>
      </c>
      <c r="K1302" s="444">
        <f t="shared" ca="1" si="126"/>
        <v>-259376.33053537065</v>
      </c>
      <c r="L1302" s="444">
        <f t="shared" ca="1" si="127"/>
        <v>-62509695.659024328</v>
      </c>
      <c r="M1302" s="460">
        <f t="shared" si="129"/>
        <v>0.05</v>
      </c>
      <c r="N1302" s="464">
        <f t="shared" si="130"/>
        <v>90673</v>
      </c>
    </row>
    <row r="1303" spans="7:14" ht="11.25" customHeight="1" x14ac:dyDescent="0.3">
      <c r="G1303" s="459"/>
      <c r="H1303" s="459">
        <v>1296</v>
      </c>
      <c r="I1303" s="444">
        <f t="shared" ca="1" si="128"/>
        <v>-62509695.659024328</v>
      </c>
      <c r="J1303" s="444">
        <f t="array" ref="J1303">IFERROR(INDEX('Retirement Calculator'!J:J,MATCH('Isaac 401k'!N1303,'Retirement Calculator'!A:A,0),0),0)</f>
        <v>0</v>
      </c>
      <c r="K1303" s="444">
        <f t="shared" ca="1" si="126"/>
        <v>-260457.06524593473</v>
      </c>
      <c r="L1303" s="444">
        <f t="shared" ca="1" si="127"/>
        <v>-62770152.724270262</v>
      </c>
      <c r="M1303" s="460">
        <f t="shared" si="129"/>
        <v>0.05</v>
      </c>
      <c r="N1303" s="464">
        <f t="shared" si="130"/>
        <v>90703</v>
      </c>
    </row>
    <row r="1304" spans="7:14" ht="11.25" customHeight="1" x14ac:dyDescent="0.3">
      <c r="G1304" s="459"/>
      <c r="H1304" s="459">
        <v>1297</v>
      </c>
      <c r="I1304" s="444">
        <f t="shared" ca="1" si="128"/>
        <v>-62770152.724270262</v>
      </c>
      <c r="J1304" s="444">
        <f t="array" ref="J1304">IFERROR(INDEX('Retirement Calculator'!J:J,MATCH('Isaac 401k'!N1304,'Retirement Calculator'!A:A,0),0),0)</f>
        <v>0</v>
      </c>
      <c r="K1304" s="444">
        <f t="shared" ca="1" si="126"/>
        <v>-261542.30301779276</v>
      </c>
      <c r="L1304" s="444">
        <f t="shared" ca="1" si="127"/>
        <v>-63031695.027288057</v>
      </c>
      <c r="M1304" s="460">
        <f t="shared" si="129"/>
        <v>0.05</v>
      </c>
      <c r="N1304" s="464">
        <f t="shared" si="130"/>
        <v>90734</v>
      </c>
    </row>
    <row r="1305" spans="7:14" ht="11.25" customHeight="1" x14ac:dyDescent="0.3">
      <c r="G1305" s="459"/>
      <c r="H1305" s="459">
        <v>1298</v>
      </c>
      <c r="I1305" s="444">
        <f t="shared" ca="1" si="128"/>
        <v>-63031695.027288057</v>
      </c>
      <c r="J1305" s="444">
        <f t="array" ref="J1305">IFERROR(INDEX('Retirement Calculator'!J:J,MATCH('Isaac 401k'!N1305,'Retirement Calculator'!A:A,0),0),0)</f>
        <v>0</v>
      </c>
      <c r="K1305" s="444">
        <f t="shared" ca="1" si="126"/>
        <v>-262632.06261370023</v>
      </c>
      <c r="L1305" s="444">
        <f t="shared" ca="1" si="127"/>
        <v>-63294327.08990176</v>
      </c>
      <c r="M1305" s="460">
        <f t="shared" si="129"/>
        <v>0.05</v>
      </c>
      <c r="N1305" s="464">
        <f t="shared" si="130"/>
        <v>90764</v>
      </c>
    </row>
    <row r="1306" spans="7:14" ht="11.25" customHeight="1" x14ac:dyDescent="0.3">
      <c r="G1306" s="459"/>
      <c r="H1306" s="459">
        <v>1299</v>
      </c>
      <c r="I1306" s="444">
        <f t="shared" ca="1" si="128"/>
        <v>-63294327.08990176</v>
      </c>
      <c r="J1306" s="444">
        <f t="array" ref="J1306">IFERROR(INDEX('Retirement Calculator'!J:J,MATCH('Isaac 401k'!N1306,'Retirement Calculator'!A:A,0),0),0)</f>
        <v>0</v>
      </c>
      <c r="K1306" s="444">
        <f t="shared" ca="1" si="126"/>
        <v>-263726.36287459068</v>
      </c>
      <c r="L1306" s="444">
        <f t="shared" ca="1" si="127"/>
        <v>-63558053.45277635</v>
      </c>
      <c r="M1306" s="460">
        <f t="shared" si="129"/>
        <v>0.05</v>
      </c>
      <c r="N1306" s="464">
        <f t="shared" si="130"/>
        <v>90795</v>
      </c>
    </row>
    <row r="1307" spans="7:14" ht="11.25" customHeight="1" x14ac:dyDescent="0.3">
      <c r="G1307" s="459"/>
      <c r="H1307" s="459">
        <v>1300</v>
      </c>
      <c r="I1307" s="444">
        <f t="shared" ca="1" si="128"/>
        <v>-63558053.45277635</v>
      </c>
      <c r="J1307" s="444">
        <f t="array" ref="J1307">IFERROR(INDEX('Retirement Calculator'!J:J,MATCH('Isaac 401k'!N1307,'Retirement Calculator'!A:A,0),0),0)</f>
        <v>0</v>
      </c>
      <c r="K1307" s="444">
        <f t="shared" ca="1" si="126"/>
        <v>-264825.22271990147</v>
      </c>
      <c r="L1307" s="444">
        <f t="shared" ca="1" si="127"/>
        <v>-63822878.67549625</v>
      </c>
      <c r="M1307" s="460">
        <f t="shared" si="129"/>
        <v>0.05</v>
      </c>
      <c r="N1307" s="464">
        <f t="shared" si="130"/>
        <v>90826</v>
      </c>
    </row>
    <row r="1308" spans="7:14" ht="11.25" customHeight="1" x14ac:dyDescent="0.3">
      <c r="G1308" s="459"/>
      <c r="H1308" s="459">
        <v>1301</v>
      </c>
      <c r="I1308" s="444">
        <f t="shared" ca="1" si="128"/>
        <v>-63822878.67549625</v>
      </c>
      <c r="J1308" s="444">
        <f t="array" ref="J1308">IFERROR(INDEX('Retirement Calculator'!J:J,MATCH('Isaac 401k'!N1308,'Retirement Calculator'!A:A,0),0),0)</f>
        <v>0</v>
      </c>
      <c r="K1308" s="444">
        <f t="shared" ca="1" si="126"/>
        <v>-265928.66114790103</v>
      </c>
      <c r="L1308" s="444">
        <f t="shared" ca="1" si="127"/>
        <v>-64088807.33664415</v>
      </c>
      <c r="M1308" s="460">
        <f t="shared" si="129"/>
        <v>0.05</v>
      </c>
      <c r="N1308" s="464">
        <f t="shared" si="130"/>
        <v>90856</v>
      </c>
    </row>
    <row r="1309" spans="7:14" ht="11.25" customHeight="1" x14ac:dyDescent="0.3">
      <c r="G1309" s="459"/>
      <c r="H1309" s="459">
        <v>1302</v>
      </c>
      <c r="I1309" s="444">
        <f t="shared" ca="1" si="128"/>
        <v>-64088807.33664415</v>
      </c>
      <c r="J1309" s="444">
        <f t="array" ref="J1309">IFERROR(INDEX('Retirement Calculator'!J:J,MATCH('Isaac 401k'!N1309,'Retirement Calculator'!A:A,0),0),0)</f>
        <v>0</v>
      </c>
      <c r="K1309" s="444">
        <f t="shared" ca="1" si="126"/>
        <v>-267036.69723601727</v>
      </c>
      <c r="L1309" s="444">
        <f t="shared" ca="1" si="127"/>
        <v>-64355844.033880167</v>
      </c>
      <c r="M1309" s="460">
        <f t="shared" si="129"/>
        <v>0.05</v>
      </c>
      <c r="N1309" s="464">
        <f t="shared" si="130"/>
        <v>90887</v>
      </c>
    </row>
    <row r="1310" spans="7:14" ht="11.25" customHeight="1" x14ac:dyDescent="0.3">
      <c r="G1310" s="459"/>
      <c r="H1310" s="459">
        <v>1303</v>
      </c>
      <c r="I1310" s="444">
        <f t="shared" ca="1" si="128"/>
        <v>-64355844.033880167</v>
      </c>
      <c r="J1310" s="444">
        <f t="array" ref="J1310">IFERROR(INDEX('Retirement Calculator'!J:J,MATCH('Isaac 401k'!N1310,'Retirement Calculator'!A:A,0),0),0)</f>
        <v>0</v>
      </c>
      <c r="K1310" s="444">
        <f t="shared" ca="1" si="126"/>
        <v>-268149.35014116735</v>
      </c>
      <c r="L1310" s="444">
        <f t="shared" ca="1" si="127"/>
        <v>-64623993.384021334</v>
      </c>
      <c r="M1310" s="460">
        <f t="shared" si="129"/>
        <v>0.05</v>
      </c>
      <c r="N1310" s="464">
        <f t="shared" si="130"/>
        <v>90917</v>
      </c>
    </row>
    <row r="1311" spans="7:14" ht="11.25" customHeight="1" x14ac:dyDescent="0.3">
      <c r="G1311" s="459"/>
      <c r="H1311" s="459">
        <v>1304</v>
      </c>
      <c r="I1311" s="444">
        <f t="shared" ca="1" si="128"/>
        <v>-64623993.384021334</v>
      </c>
      <c r="J1311" s="444">
        <f t="array" ref="J1311">IFERROR(INDEX('Retirement Calculator'!J:J,MATCH('Isaac 401k'!N1311,'Retirement Calculator'!A:A,0),0),0)</f>
        <v>0</v>
      </c>
      <c r="K1311" s="444">
        <f t="shared" ca="1" si="126"/>
        <v>-269266.63910008891</v>
      </c>
      <c r="L1311" s="444">
        <f t="shared" ca="1" si="127"/>
        <v>-64893260.023121424</v>
      </c>
      <c r="M1311" s="460">
        <f t="shared" si="129"/>
        <v>0.05</v>
      </c>
      <c r="N1311" s="464">
        <f t="shared" si="130"/>
        <v>90948</v>
      </c>
    </row>
    <row r="1312" spans="7:14" ht="11.25" customHeight="1" x14ac:dyDescent="0.3">
      <c r="G1312" s="459"/>
      <c r="H1312" s="459">
        <v>1305</v>
      </c>
      <c r="I1312" s="444">
        <f t="shared" ca="1" si="128"/>
        <v>-64893260.023121424</v>
      </c>
      <c r="J1312" s="444">
        <f t="array" ref="J1312">IFERROR(INDEX('Retirement Calculator'!J:J,MATCH('Isaac 401k'!N1312,'Retirement Calculator'!A:A,0),0),0)</f>
        <v>0</v>
      </c>
      <c r="K1312" s="444">
        <f t="shared" ca="1" si="126"/>
        <v>-270388.58342967258</v>
      </c>
      <c r="L1312" s="444">
        <f t="shared" ca="1" si="127"/>
        <v>-65163648.606551096</v>
      </c>
      <c r="M1312" s="460">
        <f t="shared" si="129"/>
        <v>0.05</v>
      </c>
      <c r="N1312" s="464">
        <f t="shared" si="130"/>
        <v>90979</v>
      </c>
    </row>
    <row r="1313" spans="7:14" ht="11.25" customHeight="1" x14ac:dyDescent="0.3">
      <c r="G1313" s="459"/>
      <c r="H1313" s="459">
        <v>1306</v>
      </c>
      <c r="I1313" s="444">
        <f t="shared" ca="1" si="128"/>
        <v>-65163648.606551096</v>
      </c>
      <c r="J1313" s="444">
        <f t="array" ref="J1313">IFERROR(INDEX('Retirement Calculator'!J:J,MATCH('Isaac 401k'!N1313,'Retirement Calculator'!A:A,0),0),0)</f>
        <v>0</v>
      </c>
      <c r="K1313" s="444">
        <f t="shared" ca="1" si="126"/>
        <v>-271515.20252729621</v>
      </c>
      <c r="L1313" s="444">
        <f t="shared" ca="1" si="127"/>
        <v>-65435163.809078395</v>
      </c>
      <c r="M1313" s="460">
        <f t="shared" si="129"/>
        <v>0.05</v>
      </c>
      <c r="N1313" s="464">
        <f t="shared" si="130"/>
        <v>91007</v>
      </c>
    </row>
    <row r="1314" spans="7:14" ht="11.25" customHeight="1" x14ac:dyDescent="0.3">
      <c r="G1314" s="459"/>
      <c r="H1314" s="459">
        <v>1307</v>
      </c>
      <c r="I1314" s="444">
        <f t="shared" ca="1" si="128"/>
        <v>-65435163.809078395</v>
      </c>
      <c r="J1314" s="444">
        <f t="array" ref="J1314">IFERROR(INDEX('Retirement Calculator'!J:J,MATCH('Isaac 401k'!N1314,'Retirement Calculator'!A:A,0),0),0)</f>
        <v>0</v>
      </c>
      <c r="K1314" s="444">
        <f t="shared" ca="1" si="126"/>
        <v>-272646.51587115997</v>
      </c>
      <c r="L1314" s="444">
        <f t="shared" ca="1" si="127"/>
        <v>-65707810.324949555</v>
      </c>
      <c r="M1314" s="460">
        <f t="shared" si="129"/>
        <v>0.05</v>
      </c>
      <c r="N1314" s="464">
        <f t="shared" si="130"/>
        <v>91038</v>
      </c>
    </row>
    <row r="1315" spans="7:14" ht="11.25" customHeight="1" x14ac:dyDescent="0.3">
      <c r="G1315" s="459"/>
      <c r="H1315" s="459">
        <v>1308</v>
      </c>
      <c r="I1315" s="444">
        <f t="shared" ca="1" si="128"/>
        <v>-65707810.324949555</v>
      </c>
      <c r="J1315" s="444">
        <f t="array" ref="J1315">IFERROR(INDEX('Retirement Calculator'!J:J,MATCH('Isaac 401k'!N1315,'Retirement Calculator'!A:A,0),0),0)</f>
        <v>0</v>
      </c>
      <c r="K1315" s="444">
        <f t="shared" ca="1" si="126"/>
        <v>-273782.54302062315</v>
      </c>
      <c r="L1315" s="444">
        <f t="shared" ca="1" si="127"/>
        <v>-65981592.867970176</v>
      </c>
      <c r="M1315" s="460">
        <f t="shared" si="129"/>
        <v>0.05</v>
      </c>
      <c r="N1315" s="464">
        <f t="shared" si="130"/>
        <v>91068</v>
      </c>
    </row>
    <row r="1316" spans="7:14" ht="11.25" customHeight="1" x14ac:dyDescent="0.3">
      <c r="G1316" s="459"/>
      <c r="H1316" s="459">
        <v>1309</v>
      </c>
      <c r="I1316" s="444">
        <f t="shared" ca="1" si="128"/>
        <v>-65981592.867970176</v>
      </c>
      <c r="J1316" s="444">
        <f t="array" ref="J1316">IFERROR(INDEX('Retirement Calculator'!J:J,MATCH('Isaac 401k'!N1316,'Retirement Calculator'!A:A,0),0),0)</f>
        <v>0</v>
      </c>
      <c r="K1316" s="444">
        <f t="shared" ca="1" si="126"/>
        <v>-274923.30361654237</v>
      </c>
      <c r="L1316" s="444">
        <f t="shared" ca="1" si="127"/>
        <v>-66256516.171586722</v>
      </c>
      <c r="M1316" s="460">
        <f t="shared" si="129"/>
        <v>0.05</v>
      </c>
      <c r="N1316" s="464">
        <f t="shared" si="130"/>
        <v>91099</v>
      </c>
    </row>
    <row r="1317" spans="7:14" ht="11.25" customHeight="1" x14ac:dyDescent="0.3">
      <c r="G1317" s="459"/>
      <c r="H1317" s="459">
        <v>1310</v>
      </c>
      <c r="I1317" s="444">
        <f t="shared" ca="1" si="128"/>
        <v>-66256516.171586722</v>
      </c>
      <c r="J1317" s="444">
        <f t="array" ref="J1317">IFERROR(INDEX('Retirement Calculator'!J:J,MATCH('Isaac 401k'!N1317,'Retirement Calculator'!A:A,0),0),0)</f>
        <v>0</v>
      </c>
      <c r="K1317" s="444">
        <f t="shared" ca="1" si="126"/>
        <v>-276068.81738161138</v>
      </c>
      <c r="L1317" s="444">
        <f t="shared" ca="1" si="127"/>
        <v>-66532584.988968335</v>
      </c>
      <c r="M1317" s="460">
        <f t="shared" si="129"/>
        <v>0.05</v>
      </c>
      <c r="N1317" s="464">
        <f t="shared" si="130"/>
        <v>91129</v>
      </c>
    </row>
    <row r="1318" spans="7:14" ht="11.25" customHeight="1" x14ac:dyDescent="0.3">
      <c r="G1318" s="459"/>
      <c r="H1318" s="459">
        <v>1311</v>
      </c>
      <c r="I1318" s="444">
        <f t="shared" ca="1" si="128"/>
        <v>-66532584.988968335</v>
      </c>
      <c r="J1318" s="444">
        <f t="array" ref="J1318">IFERROR(INDEX('Retirement Calculator'!J:J,MATCH('Isaac 401k'!N1318,'Retirement Calculator'!A:A,0),0),0)</f>
        <v>0</v>
      </c>
      <c r="K1318" s="444">
        <f t="shared" ca="1" si="126"/>
        <v>-277219.10412070138</v>
      </c>
      <c r="L1318" s="444">
        <f t="shared" ca="1" si="127"/>
        <v>-66809804.093089037</v>
      </c>
      <c r="M1318" s="460">
        <f t="shared" si="129"/>
        <v>0.05</v>
      </c>
      <c r="N1318" s="464">
        <f t="shared" si="130"/>
        <v>91160</v>
      </c>
    </row>
    <row r="1319" spans="7:14" ht="11.25" customHeight="1" x14ac:dyDescent="0.3">
      <c r="G1319" s="459"/>
      <c r="H1319" s="459">
        <v>1312</v>
      </c>
      <c r="I1319" s="444">
        <f t="shared" ca="1" si="128"/>
        <v>-66809804.093089037</v>
      </c>
      <c r="J1319" s="444">
        <f t="array" ref="J1319">IFERROR(INDEX('Retirement Calculator'!J:J,MATCH('Isaac 401k'!N1319,'Retirement Calculator'!A:A,0),0),0)</f>
        <v>0</v>
      </c>
      <c r="K1319" s="444">
        <f t="shared" ca="1" si="126"/>
        <v>-278374.18372120429</v>
      </c>
      <c r="L1319" s="444">
        <f t="shared" ca="1" si="127"/>
        <v>-67088178.276810244</v>
      </c>
      <c r="M1319" s="460">
        <f t="shared" si="129"/>
        <v>0.05</v>
      </c>
      <c r="N1319" s="464">
        <f t="shared" si="130"/>
        <v>91191</v>
      </c>
    </row>
    <row r="1320" spans="7:14" ht="11.25" customHeight="1" x14ac:dyDescent="0.3">
      <c r="G1320" s="459"/>
      <c r="H1320" s="459">
        <v>1313</v>
      </c>
      <c r="I1320" s="444">
        <f t="shared" ca="1" si="128"/>
        <v>-67088178.276810244</v>
      </c>
      <c r="J1320" s="444">
        <f t="array" ref="J1320">IFERROR(INDEX('Retirement Calculator'!J:J,MATCH('Isaac 401k'!N1320,'Retirement Calculator'!A:A,0),0),0)</f>
        <v>0</v>
      </c>
      <c r="K1320" s="444">
        <f t="shared" ca="1" si="126"/>
        <v>-279534.07615337602</v>
      </c>
      <c r="L1320" s="444">
        <f t="shared" ca="1" si="127"/>
        <v>-67367712.352963626</v>
      </c>
      <c r="M1320" s="460">
        <f t="shared" si="129"/>
        <v>0.05</v>
      </c>
      <c r="N1320" s="464">
        <f t="shared" si="130"/>
        <v>91221</v>
      </c>
    </row>
    <row r="1321" spans="7:14" ht="11.25" customHeight="1" x14ac:dyDescent="0.3">
      <c r="G1321" s="459"/>
      <c r="H1321" s="459">
        <v>1314</v>
      </c>
      <c r="I1321" s="444">
        <f t="shared" ca="1" si="128"/>
        <v>-67367712.352963626</v>
      </c>
      <c r="J1321" s="444">
        <f t="array" ref="J1321">IFERROR(INDEX('Retirement Calculator'!J:J,MATCH('Isaac 401k'!N1321,'Retirement Calculator'!A:A,0),0),0)</f>
        <v>0</v>
      </c>
      <c r="K1321" s="444">
        <f t="shared" ca="1" si="126"/>
        <v>-280698.80147068179</v>
      </c>
      <c r="L1321" s="444">
        <f t="shared" ca="1" si="127"/>
        <v>-67648411.154434308</v>
      </c>
      <c r="M1321" s="460">
        <f t="shared" si="129"/>
        <v>0.05</v>
      </c>
      <c r="N1321" s="464">
        <f t="shared" si="130"/>
        <v>91252</v>
      </c>
    </row>
    <row r="1322" spans="7:14" ht="11.25" customHeight="1" x14ac:dyDescent="0.3">
      <c r="G1322" s="459"/>
      <c r="H1322" s="459">
        <v>1315</v>
      </c>
      <c r="I1322" s="444">
        <f t="shared" ca="1" si="128"/>
        <v>-67648411.154434308</v>
      </c>
      <c r="J1322" s="444">
        <f t="array" ref="J1322">IFERROR(INDEX('Retirement Calculator'!J:J,MATCH('Isaac 401k'!N1322,'Retirement Calculator'!A:A,0),0),0)</f>
        <v>0</v>
      </c>
      <c r="K1322" s="444">
        <f t="shared" ca="1" si="126"/>
        <v>-281868.37981014297</v>
      </c>
      <c r="L1322" s="444">
        <f t="shared" ca="1" si="127"/>
        <v>-67930279.534244448</v>
      </c>
      <c r="M1322" s="460">
        <f t="shared" si="129"/>
        <v>0.05</v>
      </c>
      <c r="N1322" s="464">
        <f t="shared" si="130"/>
        <v>91282</v>
      </c>
    </row>
    <row r="1323" spans="7:14" ht="11.25" customHeight="1" x14ac:dyDescent="0.3">
      <c r="G1323" s="459"/>
      <c r="H1323" s="459">
        <v>1316</v>
      </c>
      <c r="I1323" s="444">
        <f t="shared" ca="1" si="128"/>
        <v>-67930279.534244448</v>
      </c>
      <c r="J1323" s="444">
        <f t="array" ref="J1323">IFERROR(INDEX('Retirement Calculator'!J:J,MATCH('Isaac 401k'!N1323,'Retirement Calculator'!A:A,0),0),0)</f>
        <v>0</v>
      </c>
      <c r="K1323" s="444">
        <f t="shared" ca="1" si="126"/>
        <v>-283042.83139268518</v>
      </c>
      <c r="L1323" s="444">
        <f t="shared" ca="1" si="127"/>
        <v>-68213322.365637138</v>
      </c>
      <c r="M1323" s="460">
        <f t="shared" si="129"/>
        <v>0.05</v>
      </c>
      <c r="N1323" s="464">
        <f t="shared" si="130"/>
        <v>91313</v>
      </c>
    </row>
    <row r="1324" spans="7:14" ht="11.25" customHeight="1" x14ac:dyDescent="0.3">
      <c r="G1324" s="459"/>
      <c r="H1324" s="459">
        <v>1317</v>
      </c>
      <c r="I1324" s="444">
        <f t="shared" ca="1" si="128"/>
        <v>-68213322.365637138</v>
      </c>
      <c r="J1324" s="444">
        <f t="array" ref="J1324">IFERROR(INDEX('Retirement Calculator'!J:J,MATCH('Isaac 401k'!N1324,'Retirement Calculator'!A:A,0),0),0)</f>
        <v>0</v>
      </c>
      <c r="K1324" s="444">
        <f t="shared" ca="1" si="126"/>
        <v>-284222.17652348807</v>
      </c>
      <c r="L1324" s="444">
        <f t="shared" ca="1" si="127"/>
        <v>-68497544.54216063</v>
      </c>
      <c r="M1324" s="460">
        <f t="shared" si="129"/>
        <v>0.05</v>
      </c>
      <c r="N1324" s="464">
        <f t="shared" si="130"/>
        <v>91344</v>
      </c>
    </row>
    <row r="1325" spans="7:14" ht="11.25" customHeight="1" x14ac:dyDescent="0.3">
      <c r="G1325" s="459"/>
      <c r="H1325" s="459">
        <v>1318</v>
      </c>
      <c r="I1325" s="444">
        <f t="shared" ca="1" si="128"/>
        <v>-68497544.54216063</v>
      </c>
      <c r="J1325" s="444">
        <f t="array" ref="J1325">IFERROR(INDEX('Retirement Calculator'!J:J,MATCH('Isaac 401k'!N1325,'Retirement Calculator'!A:A,0),0),0)</f>
        <v>0</v>
      </c>
      <c r="K1325" s="444">
        <f t="shared" ca="1" si="126"/>
        <v>-285406.43559233594</v>
      </c>
      <c r="L1325" s="444">
        <f t="shared" ca="1" si="127"/>
        <v>-68782950.977752969</v>
      </c>
      <c r="M1325" s="460">
        <f t="shared" si="129"/>
        <v>0.05</v>
      </c>
      <c r="N1325" s="464">
        <f t="shared" si="130"/>
        <v>91372</v>
      </c>
    </row>
    <row r="1326" spans="7:14" ht="11.25" customHeight="1" x14ac:dyDescent="0.3">
      <c r="G1326" s="459"/>
      <c r="H1326" s="459">
        <v>1319</v>
      </c>
      <c r="I1326" s="444">
        <f t="shared" ca="1" si="128"/>
        <v>-68782950.977752969</v>
      </c>
      <c r="J1326" s="444">
        <f t="array" ref="J1326">IFERROR(INDEX('Retirement Calculator'!J:J,MATCH('Isaac 401k'!N1326,'Retirement Calculator'!A:A,0),0),0)</f>
        <v>0</v>
      </c>
      <c r="K1326" s="444">
        <f t="shared" ca="1" si="126"/>
        <v>-286595.62907397072</v>
      </c>
      <c r="L1326" s="444">
        <f t="shared" ca="1" si="127"/>
        <v>-69069546.606826946</v>
      </c>
      <c r="M1326" s="460">
        <f t="shared" si="129"/>
        <v>0.05</v>
      </c>
      <c r="N1326" s="464">
        <f t="shared" si="130"/>
        <v>91403</v>
      </c>
    </row>
    <row r="1327" spans="7:14" ht="11.25" customHeight="1" x14ac:dyDescent="0.3">
      <c r="G1327" s="459"/>
      <c r="H1327" s="459">
        <v>1320</v>
      </c>
      <c r="I1327" s="444">
        <f t="shared" ca="1" si="128"/>
        <v>-69069546.606826946</v>
      </c>
      <c r="J1327" s="444">
        <f t="array" ref="J1327">IFERROR(INDEX('Retirement Calculator'!J:J,MATCH('Isaac 401k'!N1327,'Retirement Calculator'!A:A,0),0),0)</f>
        <v>0</v>
      </c>
      <c r="K1327" s="444">
        <f t="shared" ca="1" si="126"/>
        <v>-287789.77752844559</v>
      </c>
      <c r="L1327" s="444">
        <f t="shared" ca="1" si="127"/>
        <v>-69357336.384355396</v>
      </c>
      <c r="M1327" s="460">
        <f t="shared" si="129"/>
        <v>0.05</v>
      </c>
      <c r="N1327" s="464">
        <f t="shared" si="130"/>
        <v>91433</v>
      </c>
    </row>
    <row r="1328" spans="7:14" ht="11.25" customHeight="1" x14ac:dyDescent="0.3">
      <c r="G1328" s="459"/>
      <c r="H1328" s="459">
        <v>1321</v>
      </c>
      <c r="I1328" s="444">
        <f t="shared" ca="1" si="128"/>
        <v>-69357336.384355396</v>
      </c>
      <c r="J1328" s="444">
        <f t="array" ref="J1328">IFERROR(INDEX('Retirement Calculator'!J:J,MATCH('Isaac 401k'!N1328,'Retirement Calculator'!A:A,0),0),0)</f>
        <v>0</v>
      </c>
      <c r="K1328" s="444">
        <f t="shared" ca="1" si="126"/>
        <v>-288988.90160148079</v>
      </c>
      <c r="L1328" s="444">
        <f t="shared" ca="1" si="127"/>
        <v>-69646325.285956874</v>
      </c>
      <c r="M1328" s="460">
        <f t="shared" si="129"/>
        <v>0.05</v>
      </c>
      <c r="N1328" s="464">
        <f t="shared" si="130"/>
        <v>91464</v>
      </c>
    </row>
    <row r="1329" spans="7:14" ht="11.25" customHeight="1" x14ac:dyDescent="0.3">
      <c r="G1329" s="459"/>
      <c r="H1329" s="459">
        <v>1322</v>
      </c>
      <c r="I1329" s="444">
        <f t="shared" ca="1" si="128"/>
        <v>-69646325.285956874</v>
      </c>
      <c r="J1329" s="444">
        <f t="array" ref="J1329">IFERROR(INDEX('Retirement Calculator'!J:J,MATCH('Isaac 401k'!N1329,'Retirement Calculator'!A:A,0),0),0)</f>
        <v>0</v>
      </c>
      <c r="K1329" s="444">
        <f t="shared" ca="1" si="126"/>
        <v>-290193.02202482033</v>
      </c>
      <c r="L1329" s="444">
        <f t="shared" ca="1" si="127"/>
        <v>-69936518.3079817</v>
      </c>
      <c r="M1329" s="460">
        <f t="shared" si="129"/>
        <v>0.05</v>
      </c>
      <c r="N1329" s="464">
        <f t="shared" si="130"/>
        <v>91494</v>
      </c>
    </row>
    <row r="1330" spans="7:14" ht="11.25" customHeight="1" x14ac:dyDescent="0.3">
      <c r="G1330" s="459"/>
      <c r="H1330" s="459">
        <v>1323</v>
      </c>
      <c r="I1330" s="444">
        <f t="shared" ca="1" si="128"/>
        <v>-69936518.3079817</v>
      </c>
      <c r="J1330" s="444">
        <f t="array" ref="J1330">IFERROR(INDEX('Retirement Calculator'!J:J,MATCH('Isaac 401k'!N1330,'Retirement Calculator'!A:A,0),0),0)</f>
        <v>0</v>
      </c>
      <c r="K1330" s="444">
        <f t="shared" ca="1" si="126"/>
        <v>-291402.15961659042</v>
      </c>
      <c r="L1330" s="444">
        <f t="shared" ca="1" si="127"/>
        <v>-70227920.467598289</v>
      </c>
      <c r="M1330" s="460">
        <f t="shared" si="129"/>
        <v>0.05</v>
      </c>
      <c r="N1330" s="464">
        <f t="shared" si="130"/>
        <v>91525</v>
      </c>
    </row>
    <row r="1331" spans="7:14" ht="11.25" customHeight="1" x14ac:dyDescent="0.3">
      <c r="G1331" s="459"/>
      <c r="H1331" s="459">
        <v>1324</v>
      </c>
      <c r="I1331" s="444">
        <f t="shared" ca="1" si="128"/>
        <v>-70227920.467598289</v>
      </c>
      <c r="J1331" s="444">
        <f t="array" ref="J1331">IFERROR(INDEX('Retirement Calculator'!J:J,MATCH('Isaac 401k'!N1331,'Retirement Calculator'!A:A,0),0),0)</f>
        <v>0</v>
      </c>
      <c r="K1331" s="444">
        <f t="shared" ca="1" si="126"/>
        <v>-292616.33528165956</v>
      </c>
      <c r="L1331" s="444">
        <f t="shared" ca="1" si="127"/>
        <v>-70520536.802879944</v>
      </c>
      <c r="M1331" s="460">
        <f t="shared" si="129"/>
        <v>0.05</v>
      </c>
      <c r="N1331" s="464">
        <f t="shared" si="130"/>
        <v>91556</v>
      </c>
    </row>
    <row r="1332" spans="7:14" ht="11.25" customHeight="1" x14ac:dyDescent="0.3">
      <c r="G1332" s="459"/>
      <c r="H1332" s="459">
        <v>1325</v>
      </c>
      <c r="I1332" s="444">
        <f t="shared" ca="1" si="128"/>
        <v>-70520536.802879944</v>
      </c>
      <c r="J1332" s="444">
        <f t="array" ref="J1332">IFERROR(INDEX('Retirement Calculator'!J:J,MATCH('Isaac 401k'!N1332,'Retirement Calculator'!A:A,0),0),0)</f>
        <v>0</v>
      </c>
      <c r="K1332" s="444">
        <f t="shared" ca="1" si="126"/>
        <v>-293835.57001199975</v>
      </c>
      <c r="L1332" s="444">
        <f t="shared" ca="1" si="127"/>
        <v>-70814372.372891948</v>
      </c>
      <c r="M1332" s="460">
        <f t="shared" si="129"/>
        <v>0.05</v>
      </c>
      <c r="N1332" s="464">
        <f t="shared" si="130"/>
        <v>91586</v>
      </c>
    </row>
    <row r="1333" spans="7:14" ht="11.25" customHeight="1" x14ac:dyDescent="0.3">
      <c r="G1333" s="459"/>
      <c r="H1333" s="459">
        <v>1326</v>
      </c>
      <c r="I1333" s="444">
        <f t="shared" ca="1" si="128"/>
        <v>-70814372.372891948</v>
      </c>
      <c r="J1333" s="444">
        <f t="array" ref="J1333">IFERROR(INDEX('Retirement Calculator'!J:J,MATCH('Isaac 401k'!N1333,'Retirement Calculator'!A:A,0),0),0)</f>
        <v>0</v>
      </c>
      <c r="K1333" s="444">
        <f t="shared" ca="1" si="126"/>
        <v>-295059.88488704979</v>
      </c>
      <c r="L1333" s="444">
        <f t="shared" ca="1" si="127"/>
        <v>-71109432.257779002</v>
      </c>
      <c r="M1333" s="460">
        <f t="shared" si="129"/>
        <v>0.05</v>
      </c>
      <c r="N1333" s="464">
        <f t="shared" si="130"/>
        <v>91617</v>
      </c>
    </row>
    <row r="1334" spans="7:14" ht="11.25" customHeight="1" x14ac:dyDescent="0.3">
      <c r="G1334" s="459"/>
      <c r="H1334" s="459">
        <v>1327</v>
      </c>
      <c r="I1334" s="444">
        <f t="shared" ca="1" si="128"/>
        <v>-71109432.257779002</v>
      </c>
      <c r="J1334" s="444">
        <f t="array" ref="J1334">IFERROR(INDEX('Retirement Calculator'!J:J,MATCH('Isaac 401k'!N1334,'Retirement Calculator'!A:A,0),0),0)</f>
        <v>0</v>
      </c>
      <c r="K1334" s="444">
        <f t="shared" ca="1" si="126"/>
        <v>-296289.30107407918</v>
      </c>
      <c r="L1334" s="444">
        <f t="shared" ca="1" si="127"/>
        <v>-71405721.558853075</v>
      </c>
      <c r="M1334" s="460">
        <f t="shared" si="129"/>
        <v>0.05</v>
      </c>
      <c r="N1334" s="464">
        <f t="shared" si="130"/>
        <v>91647</v>
      </c>
    </row>
    <row r="1335" spans="7:14" ht="11.25" customHeight="1" x14ac:dyDescent="0.3">
      <c r="G1335" s="459"/>
      <c r="H1335" s="459">
        <v>1328</v>
      </c>
      <c r="I1335" s="444">
        <f t="shared" ca="1" si="128"/>
        <v>-71405721.558853075</v>
      </c>
      <c r="J1335" s="444">
        <f t="array" ref="J1335">IFERROR(INDEX('Retirement Calculator'!J:J,MATCH('Isaac 401k'!N1335,'Retirement Calculator'!A:A,0),0),0)</f>
        <v>0</v>
      </c>
      <c r="K1335" s="444">
        <f t="shared" ca="1" si="126"/>
        <v>-297523.83982855448</v>
      </c>
      <c r="L1335" s="444">
        <f t="shared" ca="1" si="127"/>
        <v>-71703245.398681626</v>
      </c>
      <c r="M1335" s="460">
        <f t="shared" si="129"/>
        <v>0.05</v>
      </c>
      <c r="N1335" s="464">
        <f t="shared" si="130"/>
        <v>91678</v>
      </c>
    </row>
    <row r="1336" spans="7:14" ht="11.25" customHeight="1" x14ac:dyDescent="0.3">
      <c r="G1336" s="459"/>
      <c r="H1336" s="459">
        <v>1329</v>
      </c>
      <c r="I1336" s="444">
        <f t="shared" ca="1" si="128"/>
        <v>-71703245.398681626</v>
      </c>
      <c r="J1336" s="444">
        <f t="array" ref="J1336">IFERROR(INDEX('Retirement Calculator'!J:J,MATCH('Isaac 401k'!N1336,'Retirement Calculator'!A:A,0),0),0)</f>
        <v>0</v>
      </c>
      <c r="K1336" s="444">
        <f t="shared" ca="1" si="126"/>
        <v>-298763.52249450679</v>
      </c>
      <c r="L1336" s="444">
        <f t="shared" ca="1" si="127"/>
        <v>-72002008.921176136</v>
      </c>
      <c r="M1336" s="460">
        <f t="shared" si="129"/>
        <v>0.05</v>
      </c>
      <c r="N1336" s="464">
        <f t="shared" si="130"/>
        <v>91709</v>
      </c>
    </row>
    <row r="1337" spans="7:14" ht="11.25" customHeight="1" x14ac:dyDescent="0.3">
      <c r="G1337" s="459"/>
      <c r="H1337" s="459">
        <v>1330</v>
      </c>
      <c r="I1337" s="444">
        <f t="shared" ca="1" si="128"/>
        <v>-72002008.921176136</v>
      </c>
      <c r="J1337" s="444">
        <f t="array" ref="J1337">IFERROR(INDEX('Retirement Calculator'!J:J,MATCH('Isaac 401k'!N1337,'Retirement Calculator'!A:A,0),0),0)</f>
        <v>0</v>
      </c>
      <c r="K1337" s="444">
        <f t="shared" ca="1" si="126"/>
        <v>-300008.37050490058</v>
      </c>
      <c r="L1337" s="444">
        <f t="shared" ca="1" si="127"/>
        <v>-72302017.291681036</v>
      </c>
      <c r="M1337" s="460">
        <f t="shared" si="129"/>
        <v>0.05</v>
      </c>
      <c r="N1337" s="464">
        <f t="shared" si="130"/>
        <v>91737</v>
      </c>
    </row>
    <row r="1338" spans="7:14" ht="11.25" customHeight="1" x14ac:dyDescent="0.3">
      <c r="G1338" s="459"/>
      <c r="H1338" s="459">
        <v>1331</v>
      </c>
      <c r="I1338" s="444">
        <f t="shared" ca="1" si="128"/>
        <v>-72302017.291681036</v>
      </c>
      <c r="J1338" s="444">
        <f t="array" ref="J1338">IFERROR(INDEX('Retirement Calculator'!J:J,MATCH('Isaac 401k'!N1338,'Retirement Calculator'!A:A,0),0),0)</f>
        <v>0</v>
      </c>
      <c r="K1338" s="444">
        <f t="shared" ca="1" si="126"/>
        <v>-301258.40538200433</v>
      </c>
      <c r="L1338" s="444">
        <f t="shared" ca="1" si="127"/>
        <v>-72603275.697063044</v>
      </c>
      <c r="M1338" s="460">
        <f t="shared" si="129"/>
        <v>0.05</v>
      </c>
      <c r="N1338" s="464">
        <f t="shared" si="130"/>
        <v>91768</v>
      </c>
    </row>
    <row r="1339" spans="7:14" ht="11.25" customHeight="1" x14ac:dyDescent="0.3">
      <c r="G1339" s="459"/>
      <c r="H1339" s="459">
        <v>1332</v>
      </c>
      <c r="I1339" s="444">
        <f t="shared" ca="1" si="128"/>
        <v>-72603275.697063044</v>
      </c>
      <c r="J1339" s="444">
        <f t="array" ref="J1339">IFERROR(INDEX('Retirement Calculator'!J:J,MATCH('Isaac 401k'!N1339,'Retirement Calculator'!A:A,0),0),0)</f>
        <v>0</v>
      </c>
      <c r="K1339" s="444">
        <f t="shared" ca="1" si="126"/>
        <v>-302513.64873776271</v>
      </c>
      <c r="L1339" s="444">
        <f t="shared" ca="1" si="127"/>
        <v>-72905789.345800802</v>
      </c>
      <c r="M1339" s="460">
        <f t="shared" si="129"/>
        <v>0.05</v>
      </c>
      <c r="N1339" s="464">
        <f t="shared" si="130"/>
        <v>91798</v>
      </c>
    </row>
    <row r="1340" spans="7:14" ht="11.25" customHeight="1" x14ac:dyDescent="0.3">
      <c r="G1340" s="459"/>
      <c r="H1340" s="459">
        <v>1333</v>
      </c>
      <c r="I1340" s="444">
        <f t="shared" ca="1" si="128"/>
        <v>-72905789.345800802</v>
      </c>
      <c r="J1340" s="444">
        <f t="array" ref="J1340">IFERROR(INDEX('Retirement Calculator'!J:J,MATCH('Isaac 401k'!N1340,'Retirement Calculator'!A:A,0),0),0)</f>
        <v>0</v>
      </c>
      <c r="K1340" s="444">
        <f t="shared" ca="1" si="126"/>
        <v>-303774.12227416999</v>
      </c>
      <c r="L1340" s="444">
        <f t="shared" ca="1" si="127"/>
        <v>-73209563.468074977</v>
      </c>
      <c r="M1340" s="460">
        <f t="shared" si="129"/>
        <v>0.05</v>
      </c>
      <c r="N1340" s="464">
        <f t="shared" si="130"/>
        <v>91829</v>
      </c>
    </row>
    <row r="1341" spans="7:14" ht="11.25" customHeight="1" x14ac:dyDescent="0.3">
      <c r="G1341" s="459"/>
      <c r="H1341" s="459">
        <v>1334</v>
      </c>
      <c r="I1341" s="444">
        <f t="shared" ca="1" si="128"/>
        <v>-73209563.468074977</v>
      </c>
      <c r="J1341" s="444">
        <f t="array" ref="J1341">IFERROR(INDEX('Retirement Calculator'!J:J,MATCH('Isaac 401k'!N1341,'Retirement Calculator'!A:A,0),0),0)</f>
        <v>0</v>
      </c>
      <c r="K1341" s="444">
        <f t="shared" ca="1" si="126"/>
        <v>-305039.84778364573</v>
      </c>
      <c r="L1341" s="444">
        <f t="shared" ca="1" si="127"/>
        <v>-73514603.315858617</v>
      </c>
      <c r="M1341" s="460">
        <f t="shared" si="129"/>
        <v>0.05</v>
      </c>
      <c r="N1341" s="464">
        <f t="shared" si="130"/>
        <v>91859</v>
      </c>
    </row>
    <row r="1342" spans="7:14" ht="11.25" customHeight="1" x14ac:dyDescent="0.3">
      <c r="G1342" s="459"/>
      <c r="H1342" s="459">
        <v>1335</v>
      </c>
      <c r="I1342" s="444">
        <f t="shared" ca="1" si="128"/>
        <v>-73514603.315858617</v>
      </c>
      <c r="J1342" s="444">
        <f t="array" ref="J1342">IFERROR(INDEX('Retirement Calculator'!J:J,MATCH('Isaac 401k'!N1342,'Retirement Calculator'!A:A,0),0),0)</f>
        <v>0</v>
      </c>
      <c r="K1342" s="444">
        <f t="shared" ca="1" si="126"/>
        <v>-306310.84714941093</v>
      </c>
      <c r="L1342" s="444">
        <f t="shared" ca="1" si="127"/>
        <v>-73820914.163008034</v>
      </c>
      <c r="M1342" s="460">
        <f t="shared" si="129"/>
        <v>0.05</v>
      </c>
      <c r="N1342" s="464">
        <f t="shared" si="130"/>
        <v>91890</v>
      </c>
    </row>
    <row r="1343" spans="7:14" ht="11.25" customHeight="1" x14ac:dyDescent="0.3">
      <c r="G1343" s="459"/>
      <c r="H1343" s="459">
        <v>1336</v>
      </c>
      <c r="I1343" s="444">
        <f t="shared" ca="1" si="128"/>
        <v>-73820914.163008034</v>
      </c>
      <c r="J1343" s="444">
        <f t="array" ref="J1343">IFERROR(INDEX('Retirement Calculator'!J:J,MATCH('Isaac 401k'!N1343,'Retirement Calculator'!A:A,0),0),0)</f>
        <v>0</v>
      </c>
      <c r="K1343" s="444">
        <f t="shared" ca="1" si="126"/>
        <v>-307587.14234586683</v>
      </c>
      <c r="L1343" s="444">
        <f t="shared" ca="1" si="127"/>
        <v>-74128501.305353895</v>
      </c>
      <c r="M1343" s="460">
        <f t="shared" si="129"/>
        <v>0.05</v>
      </c>
      <c r="N1343" s="464">
        <f t="shared" si="130"/>
        <v>91921</v>
      </c>
    </row>
    <row r="1344" spans="7:14" ht="11.25" customHeight="1" x14ac:dyDescent="0.3">
      <c r="G1344" s="459"/>
      <c r="H1344" s="459">
        <v>1337</v>
      </c>
      <c r="I1344" s="444">
        <f t="shared" ca="1" si="128"/>
        <v>-74128501.305353895</v>
      </c>
      <c r="J1344" s="444">
        <f t="array" ref="J1344">IFERROR(INDEX('Retirement Calculator'!J:J,MATCH('Isaac 401k'!N1344,'Retirement Calculator'!A:A,0),0),0)</f>
        <v>0</v>
      </c>
      <c r="K1344" s="444">
        <f t="shared" ca="1" si="126"/>
        <v>-308868.75543897453</v>
      </c>
      <c r="L1344" s="444">
        <f t="shared" ca="1" si="127"/>
        <v>-74437370.060792863</v>
      </c>
      <c r="M1344" s="460">
        <f t="shared" si="129"/>
        <v>0.05</v>
      </c>
      <c r="N1344" s="464">
        <f t="shared" si="130"/>
        <v>91951</v>
      </c>
    </row>
    <row r="1345" spans="7:14" ht="11.25" customHeight="1" x14ac:dyDescent="0.3">
      <c r="G1345" s="459"/>
      <c r="H1345" s="459">
        <v>1338</v>
      </c>
      <c r="I1345" s="444">
        <f t="shared" ca="1" si="128"/>
        <v>-74437370.060792863</v>
      </c>
      <c r="J1345" s="444">
        <f t="array" ref="J1345">IFERROR(INDEX('Retirement Calculator'!J:J,MATCH('Isaac 401k'!N1345,'Retirement Calculator'!A:A,0),0),0)</f>
        <v>0</v>
      </c>
      <c r="K1345" s="444">
        <f t="shared" ca="1" si="126"/>
        <v>-310155.70858663693</v>
      </c>
      <c r="L1345" s="444">
        <f t="shared" ca="1" si="127"/>
        <v>-74747525.769379497</v>
      </c>
      <c r="M1345" s="460">
        <f t="shared" si="129"/>
        <v>0.05</v>
      </c>
      <c r="N1345" s="464">
        <f t="shared" si="130"/>
        <v>91982</v>
      </c>
    </row>
    <row r="1346" spans="7:14" ht="11.25" customHeight="1" x14ac:dyDescent="0.3">
      <c r="G1346" s="459"/>
      <c r="H1346" s="459">
        <v>1339</v>
      </c>
      <c r="I1346" s="444">
        <f t="shared" ca="1" si="128"/>
        <v>-74747525.769379497</v>
      </c>
      <c r="J1346" s="444">
        <f t="array" ref="J1346">IFERROR(INDEX('Retirement Calculator'!J:J,MATCH('Isaac 401k'!N1346,'Retirement Calculator'!A:A,0),0),0)</f>
        <v>0</v>
      </c>
      <c r="K1346" s="444">
        <f t="shared" ca="1" si="126"/>
        <v>-311448.02403908124</v>
      </c>
      <c r="L1346" s="444">
        <f t="shared" ca="1" si="127"/>
        <v>-75058973.793418571</v>
      </c>
      <c r="M1346" s="460">
        <f t="shared" si="129"/>
        <v>0.05</v>
      </c>
      <c r="N1346" s="464">
        <f t="shared" si="130"/>
        <v>92012</v>
      </c>
    </row>
    <row r="1347" spans="7:14" ht="11.25" customHeight="1" x14ac:dyDescent="0.3">
      <c r="G1347" s="459"/>
      <c r="H1347" s="459">
        <v>1340</v>
      </c>
      <c r="I1347" s="444">
        <f t="shared" ca="1" si="128"/>
        <v>-75058973.793418571</v>
      </c>
      <c r="J1347" s="444">
        <f t="array" ref="J1347">IFERROR(INDEX('Retirement Calculator'!J:J,MATCH('Isaac 401k'!N1347,'Retirement Calculator'!A:A,0),0),0)</f>
        <v>0</v>
      </c>
      <c r="K1347" s="444">
        <f t="shared" ca="1" si="126"/>
        <v>-312745.72413924406</v>
      </c>
      <c r="L1347" s="444">
        <f t="shared" ca="1" si="127"/>
        <v>-75371719.517557815</v>
      </c>
      <c r="M1347" s="460">
        <f t="shared" si="129"/>
        <v>0.05</v>
      </c>
      <c r="N1347" s="464">
        <f t="shared" si="130"/>
        <v>92043</v>
      </c>
    </row>
    <row r="1348" spans="7:14" ht="11.25" customHeight="1" x14ac:dyDescent="0.3">
      <c r="G1348" s="459"/>
      <c r="H1348" s="459">
        <v>1341</v>
      </c>
      <c r="I1348" s="444">
        <f t="shared" ca="1" si="128"/>
        <v>-75371719.517557815</v>
      </c>
      <c r="J1348" s="444">
        <f t="array" ref="J1348">IFERROR(INDEX('Retirement Calculator'!J:J,MATCH('Isaac 401k'!N1348,'Retirement Calculator'!A:A,0),0),0)</f>
        <v>0</v>
      </c>
      <c r="K1348" s="444">
        <f t="shared" ca="1" si="126"/>
        <v>-314048.83132315753</v>
      </c>
      <c r="L1348" s="444">
        <f t="shared" ca="1" si="127"/>
        <v>-75685768.348880976</v>
      </c>
      <c r="M1348" s="460">
        <f t="shared" si="129"/>
        <v>0.05</v>
      </c>
      <c r="N1348" s="464">
        <f t="shared" si="130"/>
        <v>92074</v>
      </c>
    </row>
    <row r="1349" spans="7:14" ht="11.25" customHeight="1" x14ac:dyDescent="0.3">
      <c r="G1349" s="459"/>
      <c r="H1349" s="459">
        <v>1342</v>
      </c>
      <c r="I1349" s="444">
        <f t="shared" ca="1" si="128"/>
        <v>-75685768.348880976</v>
      </c>
      <c r="J1349" s="444">
        <f t="array" ref="J1349">IFERROR(INDEX('Retirement Calculator'!J:J,MATCH('Isaac 401k'!N1349,'Retirement Calculator'!A:A,0),0),0)</f>
        <v>0</v>
      </c>
      <c r="K1349" s="444">
        <f t="shared" ca="1" si="126"/>
        <v>-315357.36812033737</v>
      </c>
      <c r="L1349" s="444">
        <f t="shared" ca="1" si="127"/>
        <v>-76001125.717001319</v>
      </c>
      <c r="M1349" s="460">
        <f t="shared" si="129"/>
        <v>0.05</v>
      </c>
      <c r="N1349" s="464">
        <f t="shared" si="130"/>
        <v>92103</v>
      </c>
    </row>
    <row r="1350" spans="7:14" ht="11.25" customHeight="1" x14ac:dyDescent="0.3">
      <c r="G1350" s="459"/>
      <c r="H1350" s="459">
        <v>1343</v>
      </c>
      <c r="I1350" s="444">
        <f t="shared" ca="1" si="128"/>
        <v>-76001125.717001319</v>
      </c>
      <c r="J1350" s="444">
        <f t="array" ref="J1350">IFERROR(INDEX('Retirement Calculator'!J:J,MATCH('Isaac 401k'!N1350,'Retirement Calculator'!A:A,0),0),0)</f>
        <v>0</v>
      </c>
      <c r="K1350" s="444">
        <f t="shared" ca="1" si="126"/>
        <v>-316671.35715417215</v>
      </c>
      <c r="L1350" s="444">
        <f t="shared" ca="1" si="127"/>
        <v>-76317797.074155495</v>
      </c>
      <c r="M1350" s="460">
        <f t="shared" si="129"/>
        <v>0.05</v>
      </c>
      <c r="N1350" s="464">
        <f t="shared" si="130"/>
        <v>92134</v>
      </c>
    </row>
    <row r="1351" spans="7:14" ht="11.25" customHeight="1" x14ac:dyDescent="0.3">
      <c r="G1351" s="459"/>
      <c r="H1351" s="459">
        <v>1344</v>
      </c>
      <c r="I1351" s="444">
        <f t="shared" ca="1" si="128"/>
        <v>-76317797.074155495</v>
      </c>
      <c r="J1351" s="444">
        <f t="array" ref="J1351">IFERROR(INDEX('Retirement Calculator'!J:J,MATCH('Isaac 401k'!N1351,'Retirement Calculator'!A:A,0),0),0)</f>
        <v>0</v>
      </c>
      <c r="K1351" s="444">
        <f t="shared" ca="1" si="126"/>
        <v>-317990.82114231458</v>
      </c>
      <c r="L1351" s="444">
        <f t="shared" ca="1" si="127"/>
        <v>-76635787.89529781</v>
      </c>
      <c r="M1351" s="460">
        <f t="shared" si="129"/>
        <v>0.05</v>
      </c>
      <c r="N1351" s="464">
        <f t="shared" si="130"/>
        <v>92164</v>
      </c>
    </row>
    <row r="1352" spans="7:14" ht="11.25" customHeight="1" x14ac:dyDescent="0.3">
      <c r="G1352" s="459"/>
      <c r="H1352" s="459">
        <v>1345</v>
      </c>
      <c r="I1352" s="444">
        <f t="shared" ca="1" si="128"/>
        <v>-76635787.89529781</v>
      </c>
      <c r="J1352" s="444">
        <f t="array" ref="J1352">IFERROR(INDEX('Retirement Calculator'!J:J,MATCH('Isaac 401k'!N1352,'Retirement Calculator'!A:A,0),0),0)</f>
        <v>0</v>
      </c>
      <c r="K1352" s="444">
        <f t="shared" ca="1" si="126"/>
        <v>-319315.78289707418</v>
      </c>
      <c r="L1352" s="444">
        <f t="shared" ca="1" si="127"/>
        <v>-76955103.67819488</v>
      </c>
      <c r="M1352" s="460">
        <f t="shared" si="129"/>
        <v>0.05</v>
      </c>
      <c r="N1352" s="464">
        <f t="shared" si="130"/>
        <v>92195</v>
      </c>
    </row>
    <row r="1353" spans="7:14" ht="11.25" customHeight="1" x14ac:dyDescent="0.3">
      <c r="G1353" s="459"/>
      <c r="H1353" s="459">
        <v>1346</v>
      </c>
      <c r="I1353" s="444">
        <f t="shared" ca="1" si="128"/>
        <v>-76955103.67819488</v>
      </c>
      <c r="J1353" s="444">
        <f t="array" ref="J1353">IFERROR(INDEX('Retirement Calculator'!J:J,MATCH('Isaac 401k'!N1353,'Retirement Calculator'!A:A,0),0),0)</f>
        <v>0</v>
      </c>
      <c r="K1353" s="444">
        <f t="shared" ca="1" si="126"/>
        <v>-320646.26532581198</v>
      </c>
      <c r="L1353" s="444">
        <f t="shared" ca="1" si="127"/>
        <v>-77275749.943520695</v>
      </c>
      <c r="M1353" s="460">
        <f t="shared" si="129"/>
        <v>0.05</v>
      </c>
      <c r="N1353" s="464">
        <f t="shared" si="130"/>
        <v>92225</v>
      </c>
    </row>
    <row r="1354" spans="7:14" ht="11.25" customHeight="1" x14ac:dyDescent="0.3">
      <c r="G1354" s="459"/>
      <c r="H1354" s="459">
        <v>1347</v>
      </c>
      <c r="I1354" s="444">
        <f t="shared" ca="1" si="128"/>
        <v>-77275749.943520695</v>
      </c>
      <c r="J1354" s="444">
        <f t="array" ref="J1354">IFERROR(INDEX('Retirement Calculator'!J:J,MATCH('Isaac 401k'!N1354,'Retirement Calculator'!A:A,0),0),0)</f>
        <v>0</v>
      </c>
      <c r="K1354" s="444">
        <f t="shared" ca="1" si="126"/>
        <v>-321982.2914313362</v>
      </c>
      <c r="L1354" s="444">
        <f t="shared" ca="1" si="127"/>
        <v>-77597732.234952033</v>
      </c>
      <c r="M1354" s="460">
        <f t="shared" si="129"/>
        <v>0.05</v>
      </c>
      <c r="N1354" s="464">
        <f t="shared" si="130"/>
        <v>92256</v>
      </c>
    </row>
    <row r="1355" spans="7:14" ht="11.25" customHeight="1" x14ac:dyDescent="0.3">
      <c r="G1355" s="459"/>
      <c r="H1355" s="459">
        <v>1348</v>
      </c>
      <c r="I1355" s="444">
        <f t="shared" ca="1" si="128"/>
        <v>-77597732.234952033</v>
      </c>
      <c r="J1355" s="444">
        <f t="array" ref="J1355">IFERROR(INDEX('Retirement Calculator'!J:J,MATCH('Isaac 401k'!N1355,'Retirement Calculator'!A:A,0),0),0)</f>
        <v>0</v>
      </c>
      <c r="K1355" s="444">
        <f t="shared" ca="1" si="126"/>
        <v>-323323.88431230013</v>
      </c>
      <c r="L1355" s="444">
        <f t="shared" ca="1" si="127"/>
        <v>-77921056.119264334</v>
      </c>
      <c r="M1355" s="460">
        <f t="shared" si="129"/>
        <v>0.05</v>
      </c>
      <c r="N1355" s="464">
        <f t="shared" si="130"/>
        <v>92287</v>
      </c>
    </row>
    <row r="1356" spans="7:14" ht="11.25" customHeight="1" x14ac:dyDescent="0.3">
      <c r="G1356" s="459"/>
      <c r="H1356" s="459">
        <v>1349</v>
      </c>
      <c r="I1356" s="444">
        <f t="shared" ca="1" si="128"/>
        <v>-77921056.119264334</v>
      </c>
      <c r="J1356" s="444">
        <f t="array" ref="J1356">IFERROR(INDEX('Retirement Calculator'!J:J,MATCH('Isaac 401k'!N1356,'Retirement Calculator'!A:A,0),0),0)</f>
        <v>0</v>
      </c>
      <c r="K1356" s="444">
        <f t="shared" ca="1" si="126"/>
        <v>-324671.0671636014</v>
      </c>
      <c r="L1356" s="444">
        <f t="shared" ca="1" si="127"/>
        <v>-78245727.186427936</v>
      </c>
      <c r="M1356" s="460">
        <f t="shared" si="129"/>
        <v>0.05</v>
      </c>
      <c r="N1356" s="464">
        <f t="shared" si="130"/>
        <v>92317</v>
      </c>
    </row>
    <row r="1357" spans="7:14" ht="11.25" customHeight="1" x14ac:dyDescent="0.3">
      <c r="G1357" s="459"/>
      <c r="H1357" s="459">
        <v>1350</v>
      </c>
      <c r="I1357" s="444">
        <f t="shared" ca="1" si="128"/>
        <v>-78245727.186427936</v>
      </c>
      <c r="J1357" s="444">
        <f t="array" ref="J1357">IFERROR(INDEX('Retirement Calculator'!J:J,MATCH('Isaac 401k'!N1357,'Retirement Calculator'!A:A,0),0),0)</f>
        <v>0</v>
      </c>
      <c r="K1357" s="444">
        <f t="shared" ca="1" si="126"/>
        <v>-326023.86327678309</v>
      </c>
      <c r="L1357" s="444">
        <f t="shared" ca="1" si="127"/>
        <v>-78571751.049704716</v>
      </c>
      <c r="M1357" s="460">
        <f t="shared" si="129"/>
        <v>0.05</v>
      </c>
      <c r="N1357" s="464">
        <f t="shared" si="130"/>
        <v>92348</v>
      </c>
    </row>
    <row r="1358" spans="7:14" ht="11.25" customHeight="1" x14ac:dyDescent="0.3">
      <c r="G1358" s="459"/>
      <c r="H1358" s="459">
        <v>1351</v>
      </c>
      <c r="I1358" s="444">
        <f t="shared" ca="1" si="128"/>
        <v>-78571751.049704716</v>
      </c>
      <c r="J1358" s="444">
        <f t="array" ref="J1358">IFERROR(INDEX('Retirement Calculator'!J:J,MATCH('Isaac 401k'!N1358,'Retirement Calculator'!A:A,0),0),0)</f>
        <v>0</v>
      </c>
      <c r="K1358" s="444">
        <f t="shared" ca="1" si="126"/>
        <v>-327382.29604043631</v>
      </c>
      <c r="L1358" s="444">
        <f t="shared" ca="1" si="127"/>
        <v>-78899133.345745146</v>
      </c>
      <c r="M1358" s="460">
        <f t="shared" si="129"/>
        <v>0.05</v>
      </c>
      <c r="N1358" s="464">
        <f t="shared" si="130"/>
        <v>92378</v>
      </c>
    </row>
    <row r="1359" spans="7:14" ht="11.25" customHeight="1" x14ac:dyDescent="0.3">
      <c r="G1359" s="459"/>
      <c r="H1359" s="459">
        <v>1352</v>
      </c>
      <c r="I1359" s="444">
        <f t="shared" ca="1" si="128"/>
        <v>-78899133.345745146</v>
      </c>
      <c r="J1359" s="444">
        <f t="array" ref="J1359">IFERROR(INDEX('Retirement Calculator'!J:J,MATCH('Isaac 401k'!N1359,'Retirement Calculator'!A:A,0),0),0)</f>
        <v>0</v>
      </c>
      <c r="K1359" s="444">
        <f t="shared" ca="1" si="126"/>
        <v>-328746.38894060475</v>
      </c>
      <c r="L1359" s="444">
        <f t="shared" ca="1" si="127"/>
        <v>-79227879.734685749</v>
      </c>
      <c r="M1359" s="460">
        <f t="shared" si="129"/>
        <v>0.05</v>
      </c>
      <c r="N1359" s="464">
        <f t="shared" si="130"/>
        <v>92409</v>
      </c>
    </row>
    <row r="1360" spans="7:14" ht="11.25" customHeight="1" x14ac:dyDescent="0.3">
      <c r="G1360" s="459"/>
      <c r="H1360" s="459">
        <v>1353</v>
      </c>
      <c r="I1360" s="444">
        <f t="shared" ca="1" si="128"/>
        <v>-79227879.734685749</v>
      </c>
      <c r="J1360" s="444">
        <f t="array" ref="J1360">IFERROR(INDEX('Retirement Calculator'!J:J,MATCH('Isaac 401k'!N1360,'Retirement Calculator'!A:A,0),0),0)</f>
        <v>0</v>
      </c>
      <c r="K1360" s="444">
        <f t="shared" ca="1" si="126"/>
        <v>-330116.16556119063</v>
      </c>
      <c r="L1360" s="444">
        <f t="shared" ca="1" si="127"/>
        <v>-79557995.900246933</v>
      </c>
      <c r="M1360" s="460">
        <f t="shared" si="129"/>
        <v>0.05</v>
      </c>
      <c r="N1360" s="464">
        <f t="shared" si="130"/>
        <v>92440</v>
      </c>
    </row>
    <row r="1361" spans="7:14" ht="11.25" customHeight="1" x14ac:dyDescent="0.3">
      <c r="G1361" s="459"/>
      <c r="H1361" s="459">
        <v>1354</v>
      </c>
      <c r="I1361" s="444">
        <f t="shared" ca="1" si="128"/>
        <v>-79557995.900246933</v>
      </c>
      <c r="J1361" s="444">
        <f t="array" ref="J1361">IFERROR(INDEX('Retirement Calculator'!J:J,MATCH('Isaac 401k'!N1361,'Retirement Calculator'!A:A,0),0),0)</f>
        <v>0</v>
      </c>
      <c r="K1361" s="444">
        <f t="shared" ca="1" si="126"/>
        <v>-331491.64958436223</v>
      </c>
      <c r="L1361" s="444">
        <f t="shared" ca="1" si="127"/>
        <v>-79889487.549831301</v>
      </c>
      <c r="M1361" s="460">
        <f t="shared" si="129"/>
        <v>0.05</v>
      </c>
      <c r="N1361" s="464">
        <f t="shared" si="130"/>
        <v>92468</v>
      </c>
    </row>
    <row r="1362" spans="7:14" ht="11.25" customHeight="1" x14ac:dyDescent="0.3">
      <c r="G1362" s="459"/>
      <c r="H1362" s="459">
        <v>1355</v>
      </c>
      <c r="I1362" s="444">
        <f t="shared" ca="1" si="128"/>
        <v>-79889487.549831301</v>
      </c>
      <c r="J1362" s="444">
        <f t="array" ref="J1362">IFERROR(INDEX('Retirement Calculator'!J:J,MATCH('Isaac 401k'!N1362,'Retirement Calculator'!A:A,0),0),0)</f>
        <v>0</v>
      </c>
      <c r="K1362" s="444">
        <f t="shared" ca="1" si="126"/>
        <v>-332872.86479096377</v>
      </c>
      <c r="L1362" s="444">
        <f t="shared" ca="1" si="127"/>
        <v>-80222360.414622262</v>
      </c>
      <c r="M1362" s="460">
        <f t="shared" si="129"/>
        <v>0.05</v>
      </c>
      <c r="N1362" s="464">
        <f t="shared" si="130"/>
        <v>92499</v>
      </c>
    </row>
    <row r="1363" spans="7:14" ht="11.25" customHeight="1" x14ac:dyDescent="0.3">
      <c r="G1363" s="459"/>
      <c r="H1363" s="459">
        <v>1356</v>
      </c>
      <c r="I1363" s="444">
        <f t="shared" ca="1" si="128"/>
        <v>-80222360.414622262</v>
      </c>
      <c r="J1363" s="444">
        <f t="array" ref="J1363">IFERROR(INDEX('Retirement Calculator'!J:J,MATCH('Isaac 401k'!N1363,'Retirement Calculator'!A:A,0),0),0)</f>
        <v>0</v>
      </c>
      <c r="K1363" s="444">
        <f t="shared" ca="1" si="126"/>
        <v>-334259.8350609261</v>
      </c>
      <c r="L1363" s="444">
        <f t="shared" ca="1" si="127"/>
        <v>-80556620.249683186</v>
      </c>
      <c r="M1363" s="460">
        <f t="shared" si="129"/>
        <v>0.05</v>
      </c>
      <c r="N1363" s="464">
        <f t="shared" si="130"/>
        <v>92529</v>
      </c>
    </row>
    <row r="1364" spans="7:14" ht="11.25" customHeight="1" x14ac:dyDescent="0.3">
      <c r="G1364" s="459"/>
      <c r="H1364" s="459">
        <v>1357</v>
      </c>
      <c r="I1364" s="444">
        <f t="shared" ca="1" si="128"/>
        <v>-80556620.249683186</v>
      </c>
      <c r="J1364" s="444">
        <f t="array" ref="J1364">IFERROR(INDEX('Retirement Calculator'!J:J,MATCH('Isaac 401k'!N1364,'Retirement Calculator'!A:A,0),0),0)</f>
        <v>0</v>
      </c>
      <c r="K1364" s="444">
        <f t="shared" ca="1" si="126"/>
        <v>-335652.58437367994</v>
      </c>
      <c r="L1364" s="444">
        <f t="shared" ca="1" si="127"/>
        <v>-80892272.834056869</v>
      </c>
      <c r="M1364" s="460">
        <f t="shared" si="129"/>
        <v>0.05</v>
      </c>
      <c r="N1364" s="464">
        <f t="shared" si="130"/>
        <v>92560</v>
      </c>
    </row>
    <row r="1365" spans="7:14" ht="11.25" customHeight="1" x14ac:dyDescent="0.3">
      <c r="G1365" s="459"/>
      <c r="H1365" s="459">
        <v>1358</v>
      </c>
      <c r="I1365" s="444">
        <f t="shared" ca="1" si="128"/>
        <v>-80892272.834056869</v>
      </c>
      <c r="J1365" s="444">
        <f t="array" ref="J1365">IFERROR(INDEX('Retirement Calculator'!J:J,MATCH('Isaac 401k'!N1365,'Retirement Calculator'!A:A,0),0),0)</f>
        <v>0</v>
      </c>
      <c r="K1365" s="444">
        <f t="shared" ca="1" si="126"/>
        <v>-337051.1368085703</v>
      </c>
      <c r="L1365" s="444">
        <f t="shared" ca="1" si="127"/>
        <v>-81229323.970865443</v>
      </c>
      <c r="M1365" s="460">
        <f t="shared" si="129"/>
        <v>0.05</v>
      </c>
      <c r="N1365" s="464">
        <f t="shared" si="130"/>
        <v>92590</v>
      </c>
    </row>
    <row r="1366" spans="7:14" ht="11.25" customHeight="1" x14ac:dyDescent="0.3">
      <c r="G1366" s="459"/>
      <c r="H1366" s="459">
        <v>1359</v>
      </c>
      <c r="I1366" s="444">
        <f t="shared" ca="1" si="128"/>
        <v>-81229323.970865443</v>
      </c>
      <c r="J1366" s="444">
        <f t="array" ref="J1366">IFERROR(INDEX('Retirement Calculator'!J:J,MATCH('Isaac 401k'!N1366,'Retirement Calculator'!A:A,0),0),0)</f>
        <v>0</v>
      </c>
      <c r="K1366" s="444">
        <f t="shared" ca="1" si="126"/>
        <v>-338455.51654527267</v>
      </c>
      <c r="L1366" s="444">
        <f t="shared" ca="1" si="127"/>
        <v>-81567779.487410709</v>
      </c>
      <c r="M1366" s="460">
        <f t="shared" si="129"/>
        <v>0.05</v>
      </c>
      <c r="N1366" s="464">
        <f t="shared" si="130"/>
        <v>92621</v>
      </c>
    </row>
    <row r="1367" spans="7:14" ht="11.25" customHeight="1" x14ac:dyDescent="0.3">
      <c r="G1367" s="459"/>
      <c r="H1367" s="459">
        <v>1360</v>
      </c>
      <c r="I1367" s="444">
        <f t="shared" ca="1" si="128"/>
        <v>-81567779.487410709</v>
      </c>
      <c r="J1367" s="444">
        <f t="array" ref="J1367">IFERROR(INDEX('Retirement Calculator'!J:J,MATCH('Isaac 401k'!N1367,'Retirement Calculator'!A:A,0),0),0)</f>
        <v>0</v>
      </c>
      <c r="K1367" s="444">
        <f t="shared" ca="1" si="126"/>
        <v>-339865.74786421127</v>
      </c>
      <c r="L1367" s="444">
        <f t="shared" ca="1" si="127"/>
        <v>-81907645.235274926</v>
      </c>
      <c r="M1367" s="460">
        <f t="shared" si="129"/>
        <v>0.05</v>
      </c>
      <c r="N1367" s="464">
        <f t="shared" si="130"/>
        <v>92652</v>
      </c>
    </row>
    <row r="1368" spans="7:14" ht="11.25" customHeight="1" x14ac:dyDescent="0.3">
      <c r="G1368" s="459"/>
      <c r="H1368" s="459">
        <v>1361</v>
      </c>
      <c r="I1368" s="444">
        <f t="shared" ca="1" si="128"/>
        <v>-81907645.235274926</v>
      </c>
      <c r="J1368" s="444">
        <f t="array" ref="J1368">IFERROR(INDEX('Retirement Calculator'!J:J,MATCH('Isaac 401k'!N1368,'Retirement Calculator'!A:A,0),0),0)</f>
        <v>0</v>
      </c>
      <c r="K1368" s="444">
        <f t="shared" ca="1" si="126"/>
        <v>-341281.85514697887</v>
      </c>
      <c r="L1368" s="444">
        <f t="shared" ca="1" si="127"/>
        <v>-82248927.0904219</v>
      </c>
      <c r="M1368" s="460">
        <f t="shared" si="129"/>
        <v>0.05</v>
      </c>
      <c r="N1368" s="464">
        <f t="shared" si="130"/>
        <v>92682</v>
      </c>
    </row>
    <row r="1369" spans="7:14" ht="11.25" customHeight="1" x14ac:dyDescent="0.3">
      <c r="G1369" s="459"/>
      <c r="H1369" s="459">
        <v>1362</v>
      </c>
      <c r="I1369" s="444">
        <f t="shared" ca="1" si="128"/>
        <v>-82248927.0904219</v>
      </c>
      <c r="J1369" s="444">
        <f t="array" ref="J1369">IFERROR(INDEX('Retirement Calculator'!J:J,MATCH('Isaac 401k'!N1369,'Retirement Calculator'!A:A,0),0),0)</f>
        <v>0</v>
      </c>
      <c r="K1369" s="444">
        <f t="shared" ca="1" si="126"/>
        <v>-342703.86287675792</v>
      </c>
      <c r="L1369" s="444">
        <f t="shared" ca="1" si="127"/>
        <v>-82591630.953298658</v>
      </c>
      <c r="M1369" s="460">
        <f t="shared" si="129"/>
        <v>0.05</v>
      </c>
      <c r="N1369" s="464">
        <f t="shared" si="130"/>
        <v>92713</v>
      </c>
    </row>
    <row r="1370" spans="7:14" ht="11.25" customHeight="1" x14ac:dyDescent="0.3">
      <c r="G1370" s="459"/>
      <c r="H1370" s="459">
        <v>1363</v>
      </c>
      <c r="I1370" s="444">
        <f t="shared" ca="1" si="128"/>
        <v>-82591630.953298658</v>
      </c>
      <c r="J1370" s="444">
        <f t="array" ref="J1370">IFERROR(INDEX('Retirement Calculator'!J:J,MATCH('Isaac 401k'!N1370,'Retirement Calculator'!A:A,0),0),0)</f>
        <v>0</v>
      </c>
      <c r="K1370" s="444">
        <f t="shared" ca="1" si="126"/>
        <v>-344131.79563874443</v>
      </c>
      <c r="L1370" s="444">
        <f t="shared" ca="1" si="127"/>
        <v>-82935762.748937398</v>
      </c>
      <c r="M1370" s="460">
        <f t="shared" si="129"/>
        <v>0.05</v>
      </c>
      <c r="N1370" s="464">
        <f t="shared" si="130"/>
        <v>92743</v>
      </c>
    </row>
    <row r="1371" spans="7:14" ht="11.25" customHeight="1" x14ac:dyDescent="0.3">
      <c r="G1371" s="459"/>
      <c r="H1371" s="459">
        <v>1364</v>
      </c>
      <c r="I1371" s="444">
        <f t="shared" ca="1" si="128"/>
        <v>-82935762.748937398</v>
      </c>
      <c r="J1371" s="444">
        <f t="array" ref="J1371">IFERROR(INDEX('Retirement Calculator'!J:J,MATCH('Isaac 401k'!N1371,'Retirement Calculator'!A:A,0),0),0)</f>
        <v>0</v>
      </c>
      <c r="K1371" s="444">
        <f t="shared" ca="1" si="126"/>
        <v>-345565.67812057247</v>
      </c>
      <c r="L1371" s="444">
        <f t="shared" ca="1" si="127"/>
        <v>-83281328.427057967</v>
      </c>
      <c r="M1371" s="460">
        <f t="shared" si="129"/>
        <v>0.05</v>
      </c>
      <c r="N1371" s="464">
        <f t="shared" si="130"/>
        <v>92774</v>
      </c>
    </row>
    <row r="1372" spans="7:14" ht="11.25" customHeight="1" x14ac:dyDescent="0.3">
      <c r="G1372" s="459"/>
      <c r="H1372" s="459">
        <v>1365</v>
      </c>
      <c r="I1372" s="444">
        <f t="shared" ca="1" si="128"/>
        <v>-83281328.427057967</v>
      </c>
      <c r="J1372" s="444">
        <f t="array" ref="J1372">IFERROR(INDEX('Retirement Calculator'!J:J,MATCH('Isaac 401k'!N1372,'Retirement Calculator'!A:A,0),0),0)</f>
        <v>0</v>
      </c>
      <c r="K1372" s="444">
        <f t="shared" ca="1" si="126"/>
        <v>-347005.53511274152</v>
      </c>
      <c r="L1372" s="444">
        <f t="shared" ca="1" si="127"/>
        <v>-83628333.962170705</v>
      </c>
      <c r="M1372" s="460">
        <f t="shared" si="129"/>
        <v>0.05</v>
      </c>
      <c r="N1372" s="464">
        <f t="shared" si="130"/>
        <v>92805</v>
      </c>
    </row>
    <row r="1373" spans="7:14" ht="11.25" customHeight="1" x14ac:dyDescent="0.3">
      <c r="G1373" s="459"/>
      <c r="H1373" s="459">
        <v>1366</v>
      </c>
      <c r="I1373" s="444">
        <f t="shared" ca="1" si="128"/>
        <v>-83628333.962170705</v>
      </c>
      <c r="J1373" s="444">
        <f t="array" ref="J1373">IFERROR(INDEX('Retirement Calculator'!J:J,MATCH('Isaac 401k'!N1373,'Retirement Calculator'!A:A,0),0),0)</f>
        <v>0</v>
      </c>
      <c r="K1373" s="444">
        <f t="shared" ca="1" si="126"/>
        <v>-348451.39150904462</v>
      </c>
      <c r="L1373" s="444">
        <f t="shared" ca="1" si="127"/>
        <v>-83976785.353679746</v>
      </c>
      <c r="M1373" s="460">
        <f t="shared" si="129"/>
        <v>0.05</v>
      </c>
      <c r="N1373" s="464">
        <f t="shared" si="130"/>
        <v>92833</v>
      </c>
    </row>
    <row r="1374" spans="7:14" ht="11.25" customHeight="1" x14ac:dyDescent="0.3">
      <c r="G1374" s="459"/>
      <c r="H1374" s="459">
        <v>1367</v>
      </c>
      <c r="I1374" s="444">
        <f t="shared" ca="1" si="128"/>
        <v>-83976785.353679746</v>
      </c>
      <c r="J1374" s="444">
        <f t="array" ref="J1374">IFERROR(INDEX('Retirement Calculator'!J:J,MATCH('Isaac 401k'!N1374,'Retirement Calculator'!A:A,0),0),0)</f>
        <v>0</v>
      </c>
      <c r="K1374" s="444">
        <f t="shared" ca="1" si="126"/>
        <v>-349903.27230699896</v>
      </c>
      <c r="L1374" s="444">
        <f t="shared" ca="1" si="127"/>
        <v>-84326688.62598674</v>
      </c>
      <c r="M1374" s="460">
        <f t="shared" si="129"/>
        <v>0.05</v>
      </c>
      <c r="N1374" s="464">
        <f t="shared" si="130"/>
        <v>92864</v>
      </c>
    </row>
    <row r="1375" spans="7:14" ht="11.25" customHeight="1" x14ac:dyDescent="0.3">
      <c r="G1375" s="459"/>
      <c r="H1375" s="459">
        <v>1368</v>
      </c>
      <c r="I1375" s="444">
        <f t="shared" ca="1" si="128"/>
        <v>-84326688.62598674</v>
      </c>
      <c r="J1375" s="444">
        <f t="array" ref="J1375">IFERROR(INDEX('Retirement Calculator'!J:J,MATCH('Isaac 401k'!N1375,'Retirement Calculator'!A:A,0),0),0)</f>
        <v>0</v>
      </c>
      <c r="K1375" s="444">
        <f t="shared" ca="1" si="126"/>
        <v>-351361.20260827808</v>
      </c>
      <c r="L1375" s="444">
        <f t="shared" ca="1" si="127"/>
        <v>-84678049.828595012</v>
      </c>
      <c r="M1375" s="460">
        <f t="shared" si="129"/>
        <v>0.05</v>
      </c>
      <c r="N1375" s="464">
        <f t="shared" si="130"/>
        <v>92894</v>
      </c>
    </row>
    <row r="1376" spans="7:14" ht="11.25" customHeight="1" x14ac:dyDescent="0.3">
      <c r="G1376" s="459"/>
      <c r="H1376" s="459">
        <v>1369</v>
      </c>
      <c r="I1376" s="444">
        <f t="shared" ca="1" si="128"/>
        <v>-84678049.828595012</v>
      </c>
      <c r="J1376" s="444">
        <f t="array" ref="J1376">IFERROR(INDEX('Retirement Calculator'!J:J,MATCH('Isaac 401k'!N1376,'Retirement Calculator'!A:A,0),0),0)</f>
        <v>0</v>
      </c>
      <c r="K1376" s="444">
        <f t="shared" ca="1" si="126"/>
        <v>-352825.20761914586</v>
      </c>
      <c r="L1376" s="444">
        <f t="shared" ca="1" si="127"/>
        <v>-85030875.036214158</v>
      </c>
      <c r="M1376" s="460">
        <f t="shared" si="129"/>
        <v>0.05</v>
      </c>
      <c r="N1376" s="464">
        <f t="shared" si="130"/>
        <v>92925</v>
      </c>
    </row>
    <row r="1377" spans="7:14" ht="11.25" customHeight="1" x14ac:dyDescent="0.3">
      <c r="G1377" s="459"/>
      <c r="H1377" s="459">
        <v>1370</v>
      </c>
      <c r="I1377" s="444">
        <f t="shared" ca="1" si="128"/>
        <v>-85030875.036214158</v>
      </c>
      <c r="J1377" s="444">
        <f t="array" ref="J1377">IFERROR(INDEX('Retirement Calculator'!J:J,MATCH('Isaac 401k'!N1377,'Retirement Calculator'!A:A,0),0),0)</f>
        <v>0</v>
      </c>
      <c r="K1377" s="444">
        <f t="shared" ca="1" si="126"/>
        <v>-354295.3126508923</v>
      </c>
      <c r="L1377" s="444">
        <f t="shared" ca="1" si="127"/>
        <v>-85385170.348865047</v>
      </c>
      <c r="M1377" s="460">
        <f t="shared" si="129"/>
        <v>0.05</v>
      </c>
      <c r="N1377" s="464">
        <f t="shared" si="130"/>
        <v>92955</v>
      </c>
    </row>
    <row r="1378" spans="7:14" ht="11.25" customHeight="1" x14ac:dyDescent="0.3">
      <c r="G1378" s="459"/>
      <c r="H1378" s="459">
        <v>1371</v>
      </c>
      <c r="I1378" s="444">
        <f t="shared" ca="1" si="128"/>
        <v>-85385170.348865047</v>
      </c>
      <c r="J1378" s="444">
        <f t="array" ref="J1378">IFERROR(INDEX('Retirement Calculator'!J:J,MATCH('Isaac 401k'!N1378,'Retirement Calculator'!A:A,0),0),0)</f>
        <v>0</v>
      </c>
      <c r="K1378" s="444">
        <f t="shared" ca="1" si="126"/>
        <v>-355771.543120271</v>
      </c>
      <c r="L1378" s="444">
        <f t="shared" ca="1" si="127"/>
        <v>-85740941.891985312</v>
      </c>
      <c r="M1378" s="460">
        <f t="shared" si="129"/>
        <v>0.05</v>
      </c>
      <c r="N1378" s="464">
        <f t="shared" si="130"/>
        <v>92986</v>
      </c>
    </row>
    <row r="1379" spans="7:14" ht="11.25" customHeight="1" x14ac:dyDescent="0.3">
      <c r="G1379" s="459"/>
      <c r="H1379" s="459">
        <v>1372</v>
      </c>
      <c r="I1379" s="444">
        <f t="shared" ca="1" si="128"/>
        <v>-85740941.891985312</v>
      </c>
      <c r="J1379" s="444">
        <f t="array" ref="J1379">IFERROR(INDEX('Retirement Calculator'!J:J,MATCH('Isaac 401k'!N1379,'Retirement Calculator'!A:A,0),0),0)</f>
        <v>0</v>
      </c>
      <c r="K1379" s="444">
        <f t="shared" ca="1" si="126"/>
        <v>-357253.92454993882</v>
      </c>
      <c r="L1379" s="444">
        <f t="shared" ca="1" si="127"/>
        <v>-86098195.816535249</v>
      </c>
      <c r="M1379" s="460">
        <f t="shared" si="129"/>
        <v>0.05</v>
      </c>
      <c r="N1379" s="464">
        <f t="shared" si="130"/>
        <v>93017</v>
      </c>
    </row>
    <row r="1380" spans="7:14" ht="11.25" customHeight="1" x14ac:dyDescent="0.3">
      <c r="G1380" s="459"/>
      <c r="H1380" s="459">
        <v>1373</v>
      </c>
      <c r="I1380" s="444">
        <f t="shared" ca="1" si="128"/>
        <v>-86098195.816535249</v>
      </c>
      <c r="J1380" s="444">
        <f t="array" ref="J1380">IFERROR(INDEX('Retirement Calculator'!J:J,MATCH('Isaac 401k'!N1380,'Retirement Calculator'!A:A,0),0),0)</f>
        <v>0</v>
      </c>
      <c r="K1380" s="444">
        <f t="shared" ca="1" si="126"/>
        <v>-358742.48256889684</v>
      </c>
      <c r="L1380" s="444">
        <f t="shared" ca="1" si="127"/>
        <v>-86456938.299104139</v>
      </c>
      <c r="M1380" s="460">
        <f t="shared" si="129"/>
        <v>0.05</v>
      </c>
      <c r="N1380" s="464">
        <f t="shared" si="130"/>
        <v>93047</v>
      </c>
    </row>
    <row r="1381" spans="7:14" ht="11.25" customHeight="1" x14ac:dyDescent="0.3">
      <c r="G1381" s="459"/>
      <c r="H1381" s="459">
        <v>1374</v>
      </c>
      <c r="I1381" s="444">
        <f t="shared" ca="1" si="128"/>
        <v>-86456938.299104139</v>
      </c>
      <c r="J1381" s="444">
        <f t="array" ref="J1381">IFERROR(INDEX('Retirement Calculator'!J:J,MATCH('Isaac 401k'!N1381,'Retirement Calculator'!A:A,0),0),0)</f>
        <v>0</v>
      </c>
      <c r="K1381" s="444">
        <f t="shared" ca="1" si="126"/>
        <v>-360237.24291293393</v>
      </c>
      <c r="L1381" s="444">
        <f t="shared" ca="1" si="127"/>
        <v>-86817175.542017072</v>
      </c>
      <c r="M1381" s="460">
        <f t="shared" si="129"/>
        <v>0.05</v>
      </c>
      <c r="N1381" s="464">
        <f t="shared" si="130"/>
        <v>93078</v>
      </c>
    </row>
    <row r="1382" spans="7:14" ht="11.25" customHeight="1" x14ac:dyDescent="0.3">
      <c r="G1382" s="459"/>
      <c r="H1382" s="459">
        <v>1375</v>
      </c>
      <c r="I1382" s="444">
        <f t="shared" ca="1" si="128"/>
        <v>-86817175.542017072</v>
      </c>
      <c r="J1382" s="444">
        <f t="array" ref="J1382">IFERROR(INDEX('Retirement Calculator'!J:J,MATCH('Isaac 401k'!N1382,'Retirement Calculator'!A:A,0),0),0)</f>
        <v>0</v>
      </c>
      <c r="K1382" s="444">
        <f t="shared" ca="1" si="126"/>
        <v>-361738.23142507114</v>
      </c>
      <c r="L1382" s="444">
        <f t="shared" ca="1" si="127"/>
        <v>-87178913.773442149</v>
      </c>
      <c r="M1382" s="460">
        <f t="shared" si="129"/>
        <v>0.05</v>
      </c>
      <c r="N1382" s="464">
        <f t="shared" si="130"/>
        <v>93108</v>
      </c>
    </row>
    <row r="1383" spans="7:14" ht="11.25" customHeight="1" x14ac:dyDescent="0.3">
      <c r="G1383" s="459"/>
      <c r="H1383" s="459">
        <v>1376</v>
      </c>
      <c r="I1383" s="444">
        <f t="shared" ca="1" si="128"/>
        <v>-87178913.773442149</v>
      </c>
      <c r="J1383" s="444">
        <f t="array" ref="J1383">IFERROR(INDEX('Retirement Calculator'!J:J,MATCH('Isaac 401k'!N1383,'Retirement Calculator'!A:A,0),0),0)</f>
        <v>0</v>
      </c>
      <c r="K1383" s="444">
        <f t="shared" ca="1" si="126"/>
        <v>-363245.47405600897</v>
      </c>
      <c r="L1383" s="444">
        <f t="shared" ca="1" si="127"/>
        <v>-87542159.247498155</v>
      </c>
      <c r="M1383" s="460">
        <f t="shared" si="129"/>
        <v>0.05</v>
      </c>
      <c r="N1383" s="464">
        <f t="shared" si="130"/>
        <v>93139</v>
      </c>
    </row>
    <row r="1384" spans="7:14" ht="11.25" customHeight="1" x14ac:dyDescent="0.3">
      <c r="G1384" s="459"/>
      <c r="H1384" s="459">
        <v>1377</v>
      </c>
      <c r="I1384" s="444">
        <f t="shared" ca="1" si="128"/>
        <v>-87542159.247498155</v>
      </c>
      <c r="J1384" s="444">
        <f t="array" ref="J1384">IFERROR(INDEX('Retirement Calculator'!J:J,MATCH('Isaac 401k'!N1384,'Retirement Calculator'!A:A,0),0),0)</f>
        <v>0</v>
      </c>
      <c r="K1384" s="444">
        <f t="shared" ca="1" si="126"/>
        <v>-364758.99686457566</v>
      </c>
      <c r="L1384" s="444">
        <f t="shared" ca="1" si="127"/>
        <v>-87906918.244362727</v>
      </c>
      <c r="M1384" s="460">
        <f t="shared" si="129"/>
        <v>0.05</v>
      </c>
      <c r="N1384" s="464">
        <f t="shared" si="130"/>
        <v>93170</v>
      </c>
    </row>
    <row r="1385" spans="7:14" ht="11.25" customHeight="1" x14ac:dyDescent="0.3">
      <c r="G1385" s="459"/>
      <c r="H1385" s="459">
        <v>1378</v>
      </c>
      <c r="I1385" s="444">
        <f t="shared" ca="1" si="128"/>
        <v>-87906918.244362727</v>
      </c>
      <c r="J1385" s="444">
        <f t="array" ref="J1385">IFERROR(INDEX('Retirement Calculator'!J:J,MATCH('Isaac 401k'!N1385,'Retirement Calculator'!A:A,0),0),0)</f>
        <v>0</v>
      </c>
      <c r="K1385" s="444">
        <f t="shared" ca="1" si="126"/>
        <v>-366278.82601817802</v>
      </c>
      <c r="L1385" s="444">
        <f t="shared" ca="1" si="127"/>
        <v>-88273197.070380911</v>
      </c>
      <c r="M1385" s="460">
        <f t="shared" si="129"/>
        <v>0.05</v>
      </c>
      <c r="N1385" s="464">
        <f t="shared" si="130"/>
        <v>93198</v>
      </c>
    </row>
    <row r="1386" spans="7:14" ht="11.25" customHeight="1" x14ac:dyDescent="0.3">
      <c r="G1386" s="459"/>
      <c r="H1386" s="459">
        <v>1379</v>
      </c>
      <c r="I1386" s="444">
        <f t="shared" ca="1" si="128"/>
        <v>-88273197.070380911</v>
      </c>
      <c r="J1386" s="444">
        <f t="array" ref="J1386">IFERROR(INDEX('Retirement Calculator'!J:J,MATCH('Isaac 401k'!N1386,'Retirement Calculator'!A:A,0),0),0)</f>
        <v>0</v>
      </c>
      <c r="K1386" s="444">
        <f t="shared" ca="1" si="126"/>
        <v>-367804.98779325379</v>
      </c>
      <c r="L1386" s="444">
        <f t="shared" ca="1" si="127"/>
        <v>-88641002.058174163</v>
      </c>
      <c r="M1386" s="460">
        <f t="shared" si="129"/>
        <v>0.05</v>
      </c>
      <c r="N1386" s="464">
        <f t="shared" si="130"/>
        <v>93229</v>
      </c>
    </row>
    <row r="1387" spans="7:14" ht="11.25" customHeight="1" x14ac:dyDescent="0.3">
      <c r="G1387" s="459"/>
      <c r="H1387" s="459">
        <v>1380</v>
      </c>
      <c r="I1387" s="444">
        <f t="shared" ca="1" si="128"/>
        <v>-88641002.058174163</v>
      </c>
      <c r="J1387" s="444">
        <f t="array" ref="J1387">IFERROR(INDEX('Retirement Calculator'!J:J,MATCH('Isaac 401k'!N1387,'Retirement Calculator'!A:A,0),0),0)</f>
        <v>0</v>
      </c>
      <c r="K1387" s="444">
        <f t="shared" ca="1" si="126"/>
        <v>-369337.50857572566</v>
      </c>
      <c r="L1387" s="444">
        <f t="shared" ca="1" si="127"/>
        <v>-89010339.566749886</v>
      </c>
      <c r="M1387" s="460">
        <f t="shared" si="129"/>
        <v>0.05</v>
      </c>
      <c r="N1387" s="464">
        <f t="shared" si="130"/>
        <v>93259</v>
      </c>
    </row>
    <row r="1388" spans="7:14" ht="11.25" customHeight="1" x14ac:dyDescent="0.3">
      <c r="G1388" s="459"/>
      <c r="H1388" s="459">
        <v>1381</v>
      </c>
      <c r="I1388" s="444">
        <f t="shared" ca="1" si="128"/>
        <v>-89010339.566749886</v>
      </c>
      <c r="J1388" s="444">
        <f t="array" ref="J1388">IFERROR(INDEX('Retirement Calculator'!J:J,MATCH('Isaac 401k'!N1388,'Retirement Calculator'!A:A,0),0),0)</f>
        <v>0</v>
      </c>
      <c r="K1388" s="444">
        <f t="shared" ca="1" si="126"/>
        <v>-370876.41486145783</v>
      </c>
      <c r="L1388" s="444">
        <f t="shared" ca="1" si="127"/>
        <v>-89381215.981611341</v>
      </c>
      <c r="M1388" s="460">
        <f t="shared" si="129"/>
        <v>0.05</v>
      </c>
      <c r="N1388" s="464">
        <f t="shared" si="130"/>
        <v>93290</v>
      </c>
    </row>
    <row r="1389" spans="7:14" ht="11.25" customHeight="1" x14ac:dyDescent="0.3">
      <c r="G1389" s="459"/>
      <c r="H1389" s="459">
        <v>1382</v>
      </c>
      <c r="I1389" s="444">
        <f t="shared" ca="1" si="128"/>
        <v>-89381215.981611341</v>
      </c>
      <c r="J1389" s="444">
        <f t="array" ref="J1389">IFERROR(INDEX('Retirement Calculator'!J:J,MATCH('Isaac 401k'!N1389,'Retirement Calculator'!A:A,0),0),0)</f>
        <v>0</v>
      </c>
      <c r="K1389" s="444">
        <f t="shared" ca="1" si="126"/>
        <v>-372421.73325671389</v>
      </c>
      <c r="L1389" s="444">
        <f t="shared" ca="1" si="127"/>
        <v>-89753637.714868054</v>
      </c>
      <c r="M1389" s="460">
        <f t="shared" si="129"/>
        <v>0.05</v>
      </c>
      <c r="N1389" s="464">
        <f t="shared" si="130"/>
        <v>93320</v>
      </c>
    </row>
    <row r="1390" spans="7:14" ht="11.25" customHeight="1" x14ac:dyDescent="0.3">
      <c r="G1390" s="459"/>
      <c r="H1390" s="459">
        <v>1383</v>
      </c>
      <c r="I1390" s="444">
        <f t="shared" ca="1" si="128"/>
        <v>-89753637.714868054</v>
      </c>
      <c r="J1390" s="444">
        <f t="array" ref="J1390">IFERROR(INDEX('Retirement Calculator'!J:J,MATCH('Isaac 401k'!N1390,'Retirement Calculator'!A:A,0),0),0)</f>
        <v>0</v>
      </c>
      <c r="K1390" s="444">
        <f t="shared" ca="1" si="126"/>
        <v>-373973.49047861691</v>
      </c>
      <c r="L1390" s="444">
        <f t="shared" ca="1" si="127"/>
        <v>-90127611.205346674</v>
      </c>
      <c r="M1390" s="460">
        <f t="shared" si="129"/>
        <v>0.05</v>
      </c>
      <c r="N1390" s="464">
        <f t="shared" si="130"/>
        <v>93351</v>
      </c>
    </row>
    <row r="1391" spans="7:14" ht="11.25" customHeight="1" x14ac:dyDescent="0.3">
      <c r="G1391" s="459"/>
      <c r="H1391" s="459">
        <v>1384</v>
      </c>
      <c r="I1391" s="444">
        <f t="shared" ca="1" si="128"/>
        <v>-90127611.205346674</v>
      </c>
      <c r="J1391" s="444">
        <f t="array" ref="J1391">IFERROR(INDEX('Retirement Calculator'!J:J,MATCH('Isaac 401k'!N1391,'Retirement Calculator'!A:A,0),0),0)</f>
        <v>0</v>
      </c>
      <c r="K1391" s="444">
        <f t="shared" ca="1" si="126"/>
        <v>-375531.71335561114</v>
      </c>
      <c r="L1391" s="444">
        <f t="shared" ca="1" si="127"/>
        <v>-90503142.918702289</v>
      </c>
      <c r="M1391" s="460">
        <f t="shared" si="129"/>
        <v>0.05</v>
      </c>
      <c r="N1391" s="464">
        <f t="shared" si="130"/>
        <v>93382</v>
      </c>
    </row>
    <row r="1392" spans="7:14" ht="11.25" customHeight="1" x14ac:dyDescent="0.3">
      <c r="G1392" s="459"/>
      <c r="H1392" s="459">
        <v>1385</v>
      </c>
      <c r="I1392" s="444">
        <f t="shared" ca="1" si="128"/>
        <v>-90503142.918702289</v>
      </c>
      <c r="J1392" s="444">
        <f t="array" ref="J1392">IFERROR(INDEX('Retirement Calculator'!J:J,MATCH('Isaac 401k'!N1392,'Retirement Calculator'!A:A,0),0),0)</f>
        <v>0</v>
      </c>
      <c r="K1392" s="444">
        <f t="shared" ca="1" si="126"/>
        <v>-377096.42882792623</v>
      </c>
      <c r="L1392" s="444">
        <f t="shared" ca="1" si="127"/>
        <v>-90880239.347530216</v>
      </c>
      <c r="M1392" s="460">
        <f t="shared" si="129"/>
        <v>0.05</v>
      </c>
      <c r="N1392" s="464">
        <f t="shared" si="130"/>
        <v>93412</v>
      </c>
    </row>
    <row r="1393" spans="7:14" ht="11.25" customHeight="1" x14ac:dyDescent="0.3">
      <c r="G1393" s="459"/>
      <c r="H1393" s="459">
        <v>1386</v>
      </c>
      <c r="I1393" s="444">
        <f t="shared" ca="1" si="128"/>
        <v>-90880239.347530216</v>
      </c>
      <c r="J1393" s="444">
        <f t="array" ref="J1393">IFERROR(INDEX('Retirement Calculator'!J:J,MATCH('Isaac 401k'!N1393,'Retirement Calculator'!A:A,0),0),0)</f>
        <v>0</v>
      </c>
      <c r="K1393" s="444">
        <f t="shared" ca="1" si="126"/>
        <v>-378667.66394804255</v>
      </c>
      <c r="L1393" s="444">
        <f t="shared" ca="1" si="127"/>
        <v>-91258907.01147826</v>
      </c>
      <c r="M1393" s="460">
        <f t="shared" si="129"/>
        <v>0.05</v>
      </c>
      <c r="N1393" s="464">
        <f t="shared" si="130"/>
        <v>93443</v>
      </c>
    </row>
    <row r="1394" spans="7:14" ht="11.25" customHeight="1" x14ac:dyDescent="0.3">
      <c r="G1394" s="459"/>
      <c r="H1394" s="459">
        <v>1387</v>
      </c>
      <c r="I1394" s="444">
        <f t="shared" ca="1" si="128"/>
        <v>-91258907.01147826</v>
      </c>
      <c r="J1394" s="444">
        <f t="array" ref="J1394">IFERROR(INDEX('Retirement Calculator'!J:J,MATCH('Isaac 401k'!N1394,'Retirement Calculator'!A:A,0),0),0)</f>
        <v>0</v>
      </c>
      <c r="K1394" s="444">
        <f t="shared" ca="1" si="126"/>
        <v>-380245.44588115939</v>
      </c>
      <c r="L1394" s="444">
        <f t="shared" ca="1" si="127"/>
        <v>-91639152.457359418</v>
      </c>
      <c r="M1394" s="460">
        <f t="shared" si="129"/>
        <v>0.05</v>
      </c>
      <c r="N1394" s="464">
        <f t="shared" si="130"/>
        <v>93473</v>
      </c>
    </row>
    <row r="1395" spans="7:14" ht="11.25" customHeight="1" x14ac:dyDescent="0.3">
      <c r="G1395" s="459"/>
      <c r="H1395" s="459">
        <v>1388</v>
      </c>
      <c r="I1395" s="444">
        <f t="shared" ca="1" si="128"/>
        <v>-91639152.457359418</v>
      </c>
      <c r="J1395" s="444">
        <f t="array" ref="J1395">IFERROR(INDEX('Retirement Calculator'!J:J,MATCH('Isaac 401k'!N1395,'Retirement Calculator'!A:A,0),0),0)</f>
        <v>0</v>
      </c>
      <c r="K1395" s="444">
        <f t="shared" ca="1" si="126"/>
        <v>-381829.80190566427</v>
      </c>
      <c r="L1395" s="444">
        <f t="shared" ca="1" si="127"/>
        <v>-92020982.25926508</v>
      </c>
      <c r="M1395" s="460">
        <f t="shared" si="129"/>
        <v>0.05</v>
      </c>
      <c r="N1395" s="464">
        <f t="shared" si="130"/>
        <v>93504</v>
      </c>
    </row>
    <row r="1396" spans="7:14" ht="11.25" customHeight="1" x14ac:dyDescent="0.3">
      <c r="G1396" s="459"/>
      <c r="H1396" s="459">
        <v>1389</v>
      </c>
      <c r="I1396" s="444">
        <f t="shared" ca="1" si="128"/>
        <v>-92020982.25926508</v>
      </c>
      <c r="J1396" s="444">
        <f t="array" ref="J1396">IFERROR(INDEX('Retirement Calculator'!J:J,MATCH('Isaac 401k'!N1396,'Retirement Calculator'!A:A,0),0),0)</f>
        <v>0</v>
      </c>
      <c r="K1396" s="444">
        <f t="shared" ca="1" si="126"/>
        <v>-383420.75941360451</v>
      </c>
      <c r="L1396" s="444">
        <f t="shared" ca="1" si="127"/>
        <v>-92404403.01867868</v>
      </c>
      <c r="M1396" s="460">
        <f t="shared" si="129"/>
        <v>0.05</v>
      </c>
      <c r="N1396" s="464">
        <f t="shared" si="130"/>
        <v>93535</v>
      </c>
    </row>
    <row r="1397" spans="7:14" ht="11.25" customHeight="1" x14ac:dyDescent="0.3">
      <c r="G1397" s="459"/>
      <c r="H1397" s="459">
        <v>1390</v>
      </c>
      <c r="I1397" s="444">
        <f t="shared" ca="1" si="128"/>
        <v>-92404403.01867868</v>
      </c>
      <c r="J1397" s="444">
        <f t="array" ref="J1397">IFERROR(INDEX('Retirement Calculator'!J:J,MATCH('Isaac 401k'!N1397,'Retirement Calculator'!A:A,0),0),0)</f>
        <v>0</v>
      </c>
      <c r="K1397" s="444">
        <f t="shared" ca="1" si="126"/>
        <v>-385018.34591116116</v>
      </c>
      <c r="L1397" s="444">
        <f t="shared" ca="1" si="127"/>
        <v>-92789421.36458984</v>
      </c>
      <c r="M1397" s="460">
        <f t="shared" si="129"/>
        <v>0.05</v>
      </c>
      <c r="N1397" s="464">
        <f t="shared" si="130"/>
        <v>93564</v>
      </c>
    </row>
    <row r="1398" spans="7:14" ht="11.25" customHeight="1" x14ac:dyDescent="0.3">
      <c r="G1398" s="459"/>
      <c r="H1398" s="459">
        <v>1391</v>
      </c>
      <c r="I1398" s="444">
        <f t="shared" ca="1" si="128"/>
        <v>-92789421.36458984</v>
      </c>
      <c r="J1398" s="444">
        <f t="array" ref="J1398">IFERROR(INDEX('Retirement Calculator'!J:J,MATCH('Isaac 401k'!N1398,'Retirement Calculator'!A:A,0),0),0)</f>
        <v>0</v>
      </c>
      <c r="K1398" s="444">
        <f t="shared" ca="1" si="126"/>
        <v>-386622.58901912434</v>
      </c>
      <c r="L1398" s="444">
        <f t="shared" ca="1" si="127"/>
        <v>-93176043.95360896</v>
      </c>
      <c r="M1398" s="460">
        <f t="shared" si="129"/>
        <v>0.05</v>
      </c>
      <c r="N1398" s="464">
        <f t="shared" si="130"/>
        <v>93595</v>
      </c>
    </row>
    <row r="1399" spans="7:14" ht="11.25" customHeight="1" x14ac:dyDescent="0.3">
      <c r="G1399" s="459"/>
      <c r="H1399" s="459">
        <v>1392</v>
      </c>
      <c r="I1399" s="444">
        <f t="shared" ca="1" si="128"/>
        <v>-93176043.95360896</v>
      </c>
      <c r="J1399" s="444">
        <f t="array" ref="J1399">IFERROR(INDEX('Retirement Calculator'!J:J,MATCH('Isaac 401k'!N1399,'Retirement Calculator'!A:A,0),0),0)</f>
        <v>0</v>
      </c>
      <c r="K1399" s="444">
        <f t="shared" ca="1" si="126"/>
        <v>-388233.51647337066</v>
      </c>
      <c r="L1399" s="444">
        <f t="shared" ca="1" si="127"/>
        <v>-93564277.470082328</v>
      </c>
      <c r="M1399" s="460">
        <f t="shared" si="129"/>
        <v>0.05</v>
      </c>
      <c r="N1399" s="464">
        <f t="shared" si="130"/>
        <v>93625</v>
      </c>
    </row>
    <row r="1400" spans="7:14" ht="11.25" customHeight="1" x14ac:dyDescent="0.3">
      <c r="G1400" s="459"/>
      <c r="H1400" s="459">
        <v>1393</v>
      </c>
      <c r="I1400" s="444">
        <f t="shared" ca="1" si="128"/>
        <v>-93564277.470082328</v>
      </c>
      <c r="J1400" s="444">
        <f t="array" ref="J1400">IFERROR(INDEX('Retirement Calculator'!J:J,MATCH('Isaac 401k'!N1400,'Retirement Calculator'!A:A,0),0),0)</f>
        <v>0</v>
      </c>
      <c r="K1400" s="444">
        <f t="shared" ca="1" si="126"/>
        <v>-389851.15612534306</v>
      </c>
      <c r="L1400" s="444">
        <f t="shared" ca="1" si="127"/>
        <v>-93954128.626207665</v>
      </c>
      <c r="M1400" s="460">
        <f t="shared" si="129"/>
        <v>0.05</v>
      </c>
      <c r="N1400" s="464">
        <f t="shared" si="130"/>
        <v>93656</v>
      </c>
    </row>
    <row r="1401" spans="7:14" ht="11.25" customHeight="1" x14ac:dyDescent="0.3">
      <c r="G1401" s="459"/>
      <c r="H1401" s="459">
        <v>1394</v>
      </c>
      <c r="I1401" s="444">
        <f t="shared" ca="1" si="128"/>
        <v>-93954128.626207665</v>
      </c>
      <c r="J1401" s="444">
        <f t="array" ref="J1401">IFERROR(INDEX('Retirement Calculator'!J:J,MATCH('Isaac 401k'!N1401,'Retirement Calculator'!A:A,0),0),0)</f>
        <v>0</v>
      </c>
      <c r="K1401" s="444">
        <f t="shared" ca="1" si="126"/>
        <v>-391475.53594253195</v>
      </c>
      <c r="L1401" s="444">
        <f t="shared" ca="1" si="127"/>
        <v>-94345604.162150189</v>
      </c>
      <c r="M1401" s="460">
        <f t="shared" si="129"/>
        <v>0.05</v>
      </c>
      <c r="N1401" s="464">
        <f t="shared" si="130"/>
        <v>93686</v>
      </c>
    </row>
    <row r="1402" spans="7:14" ht="11.25" customHeight="1" x14ac:dyDescent="0.3">
      <c r="G1402" s="459"/>
      <c r="H1402" s="459">
        <v>1395</v>
      </c>
      <c r="I1402" s="444">
        <f t="shared" ca="1" si="128"/>
        <v>-94345604.162150189</v>
      </c>
      <c r="J1402" s="444">
        <f t="array" ref="J1402">IFERROR(INDEX('Retirement Calculator'!J:J,MATCH('Isaac 401k'!N1402,'Retirement Calculator'!A:A,0),0),0)</f>
        <v>0</v>
      </c>
      <c r="K1402" s="444">
        <f t="shared" ca="1" si="126"/>
        <v>-393106.6840089591</v>
      </c>
      <c r="L1402" s="444">
        <f t="shared" ca="1" si="127"/>
        <v>-94738710.846159145</v>
      </c>
      <c r="M1402" s="460">
        <f t="shared" si="129"/>
        <v>0.05</v>
      </c>
      <c r="N1402" s="464">
        <f t="shared" si="130"/>
        <v>93717</v>
      </c>
    </row>
    <row r="1403" spans="7:14" ht="11.25" customHeight="1" x14ac:dyDescent="0.3">
      <c r="G1403" s="459"/>
      <c r="H1403" s="459">
        <v>1396</v>
      </c>
      <c r="I1403" s="444">
        <f t="shared" ca="1" si="128"/>
        <v>-94738710.846159145</v>
      </c>
      <c r="J1403" s="444">
        <f t="array" ref="J1403">IFERROR(INDEX('Retirement Calculator'!J:J,MATCH('Isaac 401k'!N1403,'Retirement Calculator'!A:A,0),0),0)</f>
        <v>0</v>
      </c>
      <c r="K1403" s="444">
        <f t="shared" ca="1" si="126"/>
        <v>-394744.62852566311</v>
      </c>
      <c r="L1403" s="444">
        <f t="shared" ca="1" si="127"/>
        <v>-95133455.474684805</v>
      </c>
      <c r="M1403" s="460">
        <f t="shared" si="129"/>
        <v>0.05</v>
      </c>
      <c r="N1403" s="464">
        <f t="shared" si="130"/>
        <v>93748</v>
      </c>
    </row>
    <row r="1404" spans="7:14" ht="11.25" customHeight="1" x14ac:dyDescent="0.3">
      <c r="G1404" s="459"/>
      <c r="H1404" s="459">
        <v>1397</v>
      </c>
      <c r="I1404" s="444">
        <f t="shared" ca="1" si="128"/>
        <v>-95133455.474684805</v>
      </c>
      <c r="J1404" s="444">
        <f t="array" ref="J1404">IFERROR(INDEX('Retirement Calculator'!J:J,MATCH('Isaac 401k'!N1404,'Retirement Calculator'!A:A,0),0),0)</f>
        <v>0</v>
      </c>
      <c r="K1404" s="444">
        <f t="shared" ca="1" si="126"/>
        <v>-396389.39781118667</v>
      </c>
      <c r="L1404" s="444">
        <f t="shared" ca="1" si="127"/>
        <v>-95529844.872495994</v>
      </c>
      <c r="M1404" s="460">
        <f t="shared" si="129"/>
        <v>0.05</v>
      </c>
      <c r="N1404" s="464">
        <f t="shared" si="130"/>
        <v>93778</v>
      </c>
    </row>
    <row r="1405" spans="7:14" ht="11.25" customHeight="1" x14ac:dyDescent="0.3">
      <c r="G1405" s="459"/>
      <c r="H1405" s="459">
        <v>1398</v>
      </c>
      <c r="I1405" s="444">
        <f t="shared" ca="1" si="128"/>
        <v>-95529844.872495994</v>
      </c>
      <c r="J1405" s="444">
        <f t="array" ref="J1405">IFERROR(INDEX('Retirement Calculator'!J:J,MATCH('Isaac 401k'!N1405,'Retirement Calculator'!A:A,0),0),0)</f>
        <v>0</v>
      </c>
      <c r="K1405" s="444">
        <f t="shared" ca="1" si="126"/>
        <v>-398041.02030206664</v>
      </c>
      <c r="L1405" s="444">
        <f t="shared" ca="1" si="127"/>
        <v>-95927885.892798066</v>
      </c>
      <c r="M1405" s="460">
        <f t="shared" si="129"/>
        <v>0.05</v>
      </c>
      <c r="N1405" s="464">
        <f t="shared" si="130"/>
        <v>93809</v>
      </c>
    </row>
    <row r="1406" spans="7:14" ht="11.25" customHeight="1" x14ac:dyDescent="0.3">
      <c r="G1406" s="459"/>
      <c r="H1406" s="459">
        <v>1399</v>
      </c>
      <c r="I1406" s="444">
        <f t="shared" ca="1" si="128"/>
        <v>-95927885.892798066</v>
      </c>
      <c r="J1406" s="444">
        <f t="array" ref="J1406">IFERROR(INDEX('Retirement Calculator'!J:J,MATCH('Isaac 401k'!N1406,'Retirement Calculator'!A:A,0),0),0)</f>
        <v>0</v>
      </c>
      <c r="K1406" s="444">
        <f t="shared" ca="1" si="126"/>
        <v>-399699.52455332526</v>
      </c>
      <c r="L1406" s="444">
        <f t="shared" ca="1" si="127"/>
        <v>-96327585.417351395</v>
      </c>
      <c r="M1406" s="460">
        <f t="shared" si="129"/>
        <v>0.05</v>
      </c>
      <c r="N1406" s="464">
        <f t="shared" si="130"/>
        <v>93839</v>
      </c>
    </row>
    <row r="1407" spans="7:14" ht="11.25" customHeight="1" x14ac:dyDescent="0.3">
      <c r="G1407" s="459"/>
      <c r="H1407" s="459">
        <v>1400</v>
      </c>
      <c r="I1407" s="444">
        <f t="shared" ca="1" si="128"/>
        <v>-96327585.417351395</v>
      </c>
      <c r="J1407" s="444">
        <f t="array" ref="J1407">IFERROR(INDEX('Retirement Calculator'!J:J,MATCH('Isaac 401k'!N1407,'Retirement Calculator'!A:A,0),0),0)</f>
        <v>0</v>
      </c>
      <c r="K1407" s="444">
        <f t="shared" ca="1" si="126"/>
        <v>-401364.93923896411</v>
      </c>
      <c r="L1407" s="444">
        <f t="shared" ca="1" si="127"/>
        <v>-96728950.35659036</v>
      </c>
      <c r="M1407" s="460">
        <f t="shared" si="129"/>
        <v>0.05</v>
      </c>
      <c r="N1407" s="464">
        <f t="shared" si="130"/>
        <v>93870</v>
      </c>
    </row>
    <row r="1408" spans="7:14" ht="11.25" customHeight="1" x14ac:dyDescent="0.3">
      <c r="G1408" s="459"/>
      <c r="H1408" s="459">
        <v>1401</v>
      </c>
      <c r="I1408" s="444">
        <f t="shared" ca="1" si="128"/>
        <v>-96728950.35659036</v>
      </c>
      <c r="J1408" s="444">
        <f t="array" ref="J1408">IFERROR(INDEX('Retirement Calculator'!J:J,MATCH('Isaac 401k'!N1408,'Retirement Calculator'!A:A,0),0),0)</f>
        <v>0</v>
      </c>
      <c r="K1408" s="444">
        <f t="shared" ca="1" si="126"/>
        <v>-403037.29315245984</v>
      </c>
      <c r="L1408" s="444">
        <f t="shared" ca="1" si="127"/>
        <v>-97131987.649742827</v>
      </c>
      <c r="M1408" s="460">
        <f t="shared" si="129"/>
        <v>0.05</v>
      </c>
      <c r="N1408" s="464">
        <f t="shared" si="130"/>
        <v>93901</v>
      </c>
    </row>
    <row r="1409" spans="7:14" ht="11.25" customHeight="1" x14ac:dyDescent="0.3">
      <c r="G1409" s="459"/>
      <c r="H1409" s="459">
        <v>1402</v>
      </c>
      <c r="I1409" s="444">
        <f t="shared" ca="1" si="128"/>
        <v>-97131987.649742827</v>
      </c>
      <c r="J1409" s="444">
        <f t="array" ref="J1409">IFERROR(INDEX('Retirement Calculator'!J:J,MATCH('Isaac 401k'!N1409,'Retirement Calculator'!A:A,0),0),0)</f>
        <v>0</v>
      </c>
      <c r="K1409" s="444">
        <f t="shared" ca="1" si="126"/>
        <v>-404716.61520726176</v>
      </c>
      <c r="L1409" s="444">
        <f t="shared" ca="1" si="127"/>
        <v>-97536704.264950082</v>
      </c>
      <c r="M1409" s="460">
        <f t="shared" si="129"/>
        <v>0.05</v>
      </c>
      <c r="N1409" s="464">
        <f t="shared" si="130"/>
        <v>93929</v>
      </c>
    </row>
    <row r="1410" spans="7:14" ht="11.25" customHeight="1" x14ac:dyDescent="0.3">
      <c r="G1410" s="459"/>
      <c r="H1410" s="459">
        <v>1403</v>
      </c>
      <c r="I1410" s="444">
        <f t="shared" ca="1" si="128"/>
        <v>-97536704.264950082</v>
      </c>
      <c r="J1410" s="444">
        <f t="array" ref="J1410">IFERROR(INDEX('Retirement Calculator'!J:J,MATCH('Isaac 401k'!N1410,'Retirement Calculator'!A:A,0),0),0)</f>
        <v>0</v>
      </c>
      <c r="K1410" s="444">
        <f t="shared" ca="1" si="126"/>
        <v>-406402.93443729199</v>
      </c>
      <c r="L1410" s="444">
        <f t="shared" ca="1" si="127"/>
        <v>-97943107.199387372</v>
      </c>
      <c r="M1410" s="460">
        <f t="shared" si="129"/>
        <v>0.05</v>
      </c>
      <c r="N1410" s="464">
        <f t="shared" si="130"/>
        <v>93960</v>
      </c>
    </row>
    <row r="1411" spans="7:14" ht="11.25" customHeight="1" x14ac:dyDescent="0.3">
      <c r="G1411" s="459"/>
      <c r="H1411" s="459">
        <v>1404</v>
      </c>
      <c r="I1411" s="444">
        <f t="shared" ca="1" si="128"/>
        <v>-97943107.199387372</v>
      </c>
      <c r="J1411" s="444">
        <f t="array" ref="J1411">IFERROR(INDEX('Retirement Calculator'!J:J,MATCH('Isaac 401k'!N1411,'Retirement Calculator'!A:A,0),0),0)</f>
        <v>0</v>
      </c>
      <c r="K1411" s="444">
        <f t="shared" ca="1" si="126"/>
        <v>-408096.27999744739</v>
      </c>
      <c r="L1411" s="444">
        <f t="shared" ca="1" si="127"/>
        <v>-98351203.479384825</v>
      </c>
      <c r="M1411" s="460">
        <f t="shared" si="129"/>
        <v>0.05</v>
      </c>
      <c r="N1411" s="464">
        <f t="shared" si="130"/>
        <v>93990</v>
      </c>
    </row>
    <row r="1412" spans="7:14" ht="11.25" customHeight="1" x14ac:dyDescent="0.3">
      <c r="G1412" s="459"/>
      <c r="H1412" s="459">
        <v>1405</v>
      </c>
      <c r="I1412" s="444">
        <f t="shared" ca="1" si="128"/>
        <v>-98351203.479384825</v>
      </c>
      <c r="J1412" s="444">
        <f t="array" ref="J1412">IFERROR(INDEX('Retirement Calculator'!J:J,MATCH('Isaac 401k'!N1412,'Retirement Calculator'!A:A,0),0),0)</f>
        <v>0</v>
      </c>
      <c r="K1412" s="444">
        <f t="shared" ca="1" si="126"/>
        <v>-409796.68116410344</v>
      </c>
      <c r="L1412" s="444">
        <f t="shared" ca="1" si="127"/>
        <v>-98761000.160548925</v>
      </c>
      <c r="M1412" s="460">
        <f t="shared" si="129"/>
        <v>0.05</v>
      </c>
      <c r="N1412" s="464">
        <f t="shared" si="130"/>
        <v>94021</v>
      </c>
    </row>
    <row r="1413" spans="7:14" ht="11.25" customHeight="1" x14ac:dyDescent="0.3">
      <c r="G1413" s="459"/>
      <c r="H1413" s="459">
        <v>1406</v>
      </c>
      <c r="I1413" s="444">
        <f t="shared" ca="1" si="128"/>
        <v>-98761000.160548925</v>
      </c>
      <c r="J1413" s="444">
        <f t="array" ref="J1413">IFERROR(INDEX('Retirement Calculator'!J:J,MATCH('Isaac 401k'!N1413,'Retirement Calculator'!A:A,0),0),0)</f>
        <v>0</v>
      </c>
      <c r="K1413" s="444">
        <f t="shared" ca="1" si="126"/>
        <v>-411504.1673356205</v>
      </c>
      <c r="L1413" s="444">
        <f t="shared" ca="1" si="127"/>
        <v>-99172504.32788454</v>
      </c>
      <c r="M1413" s="460">
        <f t="shared" si="129"/>
        <v>0.05</v>
      </c>
      <c r="N1413" s="464">
        <f t="shared" si="130"/>
        <v>94051</v>
      </c>
    </row>
    <row r="1414" spans="7:14" ht="11.25" customHeight="1" x14ac:dyDescent="0.3">
      <c r="G1414" s="459"/>
      <c r="H1414" s="459">
        <v>1407</v>
      </c>
      <c r="I1414" s="444">
        <f t="shared" ca="1" si="128"/>
        <v>-99172504.32788454</v>
      </c>
      <c r="J1414" s="444">
        <f t="array" ref="J1414">IFERROR(INDEX('Retirement Calculator'!J:J,MATCH('Isaac 401k'!N1414,'Retirement Calculator'!A:A,0),0),0)</f>
        <v>0</v>
      </c>
      <c r="K1414" s="444">
        <f t="shared" ca="1" si="126"/>
        <v>-413218.76803285227</v>
      </c>
      <c r="L1414" s="444">
        <f t="shared" ca="1" si="127"/>
        <v>-99585723.095917389</v>
      </c>
      <c r="M1414" s="460">
        <f t="shared" si="129"/>
        <v>0.05</v>
      </c>
      <c r="N1414" s="464">
        <f t="shared" si="130"/>
        <v>94082</v>
      </c>
    </row>
    <row r="1415" spans="7:14" ht="11.25" customHeight="1" x14ac:dyDescent="0.3">
      <c r="G1415" s="459"/>
      <c r="H1415" s="459">
        <v>1408</v>
      </c>
      <c r="I1415" s="444">
        <f t="shared" ca="1" si="128"/>
        <v>-99585723.095917389</v>
      </c>
      <c r="J1415" s="444">
        <f t="array" ref="J1415">IFERROR(INDEX('Retirement Calculator'!J:J,MATCH('Isaac 401k'!N1415,'Retirement Calculator'!A:A,0),0),0)</f>
        <v>0</v>
      </c>
      <c r="K1415" s="444">
        <f t="shared" ca="1" si="126"/>
        <v>-414940.51289965579</v>
      </c>
      <c r="L1415" s="444">
        <f t="shared" ca="1" si="127"/>
        <v>-100000663.60881704</v>
      </c>
      <c r="M1415" s="460">
        <f t="shared" si="129"/>
        <v>0.05</v>
      </c>
      <c r="N1415" s="464">
        <f t="shared" si="130"/>
        <v>94113</v>
      </c>
    </row>
    <row r="1416" spans="7:14" ht="11.25" customHeight="1" x14ac:dyDescent="0.3">
      <c r="G1416" s="459"/>
      <c r="H1416" s="459">
        <v>1409</v>
      </c>
      <c r="I1416" s="444">
        <f t="shared" ca="1" si="128"/>
        <v>-100000663.60881704</v>
      </c>
      <c r="J1416" s="444">
        <f t="array" ref="J1416">IFERROR(INDEX('Retirement Calculator'!J:J,MATCH('Isaac 401k'!N1416,'Retirement Calculator'!A:A,0),0),0)</f>
        <v>0</v>
      </c>
      <c r="K1416" s="444">
        <f t="shared" ca="1" si="126"/>
        <v>-416669.43170340435</v>
      </c>
      <c r="L1416" s="444">
        <f t="shared" ca="1" si="127"/>
        <v>-100417333.04052044</v>
      </c>
      <c r="M1416" s="460">
        <f t="shared" si="129"/>
        <v>0.05</v>
      </c>
      <c r="N1416" s="464">
        <f t="shared" si="130"/>
        <v>94143</v>
      </c>
    </row>
    <row r="1417" spans="7:14" ht="11.25" customHeight="1" x14ac:dyDescent="0.3">
      <c r="G1417" s="459"/>
      <c r="H1417" s="459">
        <v>1410</v>
      </c>
      <c r="I1417" s="444">
        <f t="shared" ca="1" si="128"/>
        <v>-100417333.04052044</v>
      </c>
      <c r="J1417" s="444">
        <f t="array" ref="J1417">IFERROR(INDEX('Retirement Calculator'!J:J,MATCH('Isaac 401k'!N1417,'Retirement Calculator'!A:A,0),0),0)</f>
        <v>0</v>
      </c>
      <c r="K1417" s="444">
        <f t="shared" ca="1" si="126"/>
        <v>-418405.55433550186</v>
      </c>
      <c r="L1417" s="444">
        <f t="shared" ca="1" si="127"/>
        <v>-100835738.59485595</v>
      </c>
      <c r="M1417" s="460">
        <f t="shared" si="129"/>
        <v>0.05</v>
      </c>
      <c r="N1417" s="464">
        <f t="shared" si="130"/>
        <v>94174</v>
      </c>
    </row>
    <row r="1418" spans="7:14" ht="11.25" customHeight="1" x14ac:dyDescent="0.3">
      <c r="G1418" s="459"/>
      <c r="H1418" s="459">
        <v>1411</v>
      </c>
      <c r="I1418" s="444">
        <f t="shared" ca="1" si="128"/>
        <v>-100835738.59485595</v>
      </c>
      <c r="J1418" s="444">
        <f t="array" ref="J1418">IFERROR(INDEX('Retirement Calculator'!J:J,MATCH('Isaac 401k'!N1418,'Retirement Calculator'!A:A,0),0),0)</f>
        <v>0</v>
      </c>
      <c r="K1418" s="444">
        <f t="shared" ca="1" si="126"/>
        <v>-420148.91081189981</v>
      </c>
      <c r="L1418" s="444">
        <f t="shared" ca="1" si="127"/>
        <v>-101255887.50566785</v>
      </c>
      <c r="M1418" s="460">
        <f t="shared" si="129"/>
        <v>0.05</v>
      </c>
      <c r="N1418" s="464">
        <f t="shared" si="130"/>
        <v>94204</v>
      </c>
    </row>
    <row r="1419" spans="7:14" ht="11.25" customHeight="1" x14ac:dyDescent="0.3">
      <c r="G1419" s="459"/>
      <c r="H1419" s="459">
        <v>1412</v>
      </c>
      <c r="I1419" s="444">
        <f t="shared" ca="1" si="128"/>
        <v>-101255887.50566785</v>
      </c>
      <c r="J1419" s="444">
        <f t="array" ref="J1419">IFERROR(INDEX('Retirement Calculator'!J:J,MATCH('Isaac 401k'!N1419,'Retirement Calculator'!A:A,0),0),0)</f>
        <v>0</v>
      </c>
      <c r="K1419" s="444">
        <f t="shared" ca="1" si="126"/>
        <v>-421899.53127361601</v>
      </c>
      <c r="L1419" s="444">
        <f t="shared" ca="1" si="127"/>
        <v>-101677787.03694147</v>
      </c>
      <c r="M1419" s="460">
        <f t="shared" si="129"/>
        <v>0.05</v>
      </c>
      <c r="N1419" s="464">
        <f t="shared" si="130"/>
        <v>94235</v>
      </c>
    </row>
    <row r="1420" spans="7:14" ht="11.25" customHeight="1" x14ac:dyDescent="0.3">
      <c r="G1420" s="459"/>
      <c r="H1420" s="459">
        <v>1413</v>
      </c>
      <c r="I1420" s="444">
        <f t="shared" ca="1" si="128"/>
        <v>-101677787.03694147</v>
      </c>
      <c r="J1420" s="444">
        <f t="array" ref="J1420">IFERROR(INDEX('Retirement Calculator'!J:J,MATCH('Isaac 401k'!N1420,'Retirement Calculator'!A:A,0),0),0)</f>
        <v>0</v>
      </c>
      <c r="K1420" s="444">
        <f t="shared" ca="1" si="126"/>
        <v>-423657.44598725613</v>
      </c>
      <c r="L1420" s="444">
        <f t="shared" ca="1" si="127"/>
        <v>-102101444.48292872</v>
      </c>
      <c r="M1420" s="460">
        <f t="shared" si="129"/>
        <v>0.05</v>
      </c>
      <c r="N1420" s="464">
        <f t="shared" si="130"/>
        <v>94266</v>
      </c>
    </row>
    <row r="1421" spans="7:14" ht="11.25" customHeight="1" x14ac:dyDescent="0.3">
      <c r="G1421" s="459"/>
      <c r="H1421" s="459">
        <v>1414</v>
      </c>
      <c r="I1421" s="444">
        <f t="shared" ca="1" si="128"/>
        <v>-102101444.48292872</v>
      </c>
      <c r="J1421" s="444">
        <f t="array" ref="J1421">IFERROR(INDEX('Retirement Calculator'!J:J,MATCH('Isaac 401k'!N1421,'Retirement Calculator'!A:A,0),0),0)</f>
        <v>0</v>
      </c>
      <c r="K1421" s="444">
        <f t="shared" ca="1" si="126"/>
        <v>-425422.68534553633</v>
      </c>
      <c r="L1421" s="444">
        <f t="shared" ca="1" si="127"/>
        <v>-102526867.16827425</v>
      </c>
      <c r="M1421" s="460">
        <f t="shared" si="129"/>
        <v>0.05</v>
      </c>
      <c r="N1421" s="464">
        <f t="shared" si="130"/>
        <v>94294</v>
      </c>
    </row>
    <row r="1422" spans="7:14" ht="11.25" customHeight="1" x14ac:dyDescent="0.3">
      <c r="G1422" s="459"/>
      <c r="H1422" s="459">
        <v>1415</v>
      </c>
      <c r="I1422" s="444">
        <f t="shared" ca="1" si="128"/>
        <v>-102526867.16827425</v>
      </c>
      <c r="J1422" s="444">
        <f t="array" ref="J1422">IFERROR(INDEX('Retirement Calculator'!J:J,MATCH('Isaac 401k'!N1422,'Retirement Calculator'!A:A,0),0),0)</f>
        <v>0</v>
      </c>
      <c r="K1422" s="444">
        <f t="shared" ca="1" si="126"/>
        <v>-427195.27986780938</v>
      </c>
      <c r="L1422" s="444">
        <f t="shared" ca="1" si="127"/>
        <v>-102954062.44814207</v>
      </c>
      <c r="M1422" s="460">
        <f t="shared" si="129"/>
        <v>0.05</v>
      </c>
      <c r="N1422" s="464">
        <f t="shared" si="130"/>
        <v>94325</v>
      </c>
    </row>
    <row r="1423" spans="7:14" ht="11.25" customHeight="1" x14ac:dyDescent="0.3">
      <c r="G1423" s="459"/>
      <c r="H1423" s="459">
        <v>1416</v>
      </c>
      <c r="I1423" s="444">
        <f t="shared" ca="1" si="128"/>
        <v>-102954062.44814207</v>
      </c>
      <c r="J1423" s="444">
        <f t="array" ref="J1423">IFERROR(INDEX('Retirement Calculator'!J:J,MATCH('Isaac 401k'!N1423,'Retirement Calculator'!A:A,0),0),0)</f>
        <v>0</v>
      </c>
      <c r="K1423" s="444">
        <f t="shared" ca="1" si="126"/>
        <v>-428975.26020059193</v>
      </c>
      <c r="L1423" s="444">
        <f t="shared" ca="1" si="127"/>
        <v>-103383037.70834266</v>
      </c>
      <c r="M1423" s="460">
        <f t="shared" si="129"/>
        <v>0.05</v>
      </c>
      <c r="N1423" s="464">
        <f t="shared" si="130"/>
        <v>94355</v>
      </c>
    </row>
    <row r="1424" spans="7:14" ht="11.25" customHeight="1" x14ac:dyDescent="0.3">
      <c r="G1424" s="459"/>
      <c r="H1424" s="459">
        <v>1417</v>
      </c>
      <c r="I1424" s="444">
        <f t="shared" ca="1" si="128"/>
        <v>-103383037.70834266</v>
      </c>
      <c r="J1424" s="444">
        <f t="array" ref="J1424">IFERROR(INDEX('Retirement Calculator'!J:J,MATCH('Isaac 401k'!N1424,'Retirement Calculator'!A:A,0),0),0)</f>
        <v>0</v>
      </c>
      <c r="K1424" s="444">
        <f t="shared" ca="1" si="126"/>
        <v>-430762.65711809439</v>
      </c>
      <c r="L1424" s="444">
        <f t="shared" ca="1" si="127"/>
        <v>-103813800.36546075</v>
      </c>
      <c r="M1424" s="460">
        <f t="shared" si="129"/>
        <v>0.05</v>
      </c>
      <c r="N1424" s="464">
        <f t="shared" si="130"/>
        <v>94386</v>
      </c>
    </row>
    <row r="1425" spans="7:14" ht="11.25" customHeight="1" x14ac:dyDescent="0.3">
      <c r="G1425" s="459"/>
      <c r="H1425" s="459">
        <v>1418</v>
      </c>
      <c r="I1425" s="444">
        <f t="shared" ca="1" si="128"/>
        <v>-103813800.36546075</v>
      </c>
      <c r="J1425" s="444">
        <f t="array" ref="J1425">IFERROR(INDEX('Retirement Calculator'!J:J,MATCH('Isaac 401k'!N1425,'Retirement Calculator'!A:A,0),0),0)</f>
        <v>0</v>
      </c>
      <c r="K1425" s="444">
        <f t="shared" ca="1" si="126"/>
        <v>-432557.50152275315</v>
      </c>
      <c r="L1425" s="444">
        <f t="shared" ca="1" si="127"/>
        <v>-104246357.8669835</v>
      </c>
      <c r="M1425" s="460">
        <f t="shared" si="129"/>
        <v>0.05</v>
      </c>
      <c r="N1425" s="464">
        <f t="shared" si="130"/>
        <v>94416</v>
      </c>
    </row>
    <row r="1426" spans="7:14" ht="11.25" customHeight="1" x14ac:dyDescent="0.3">
      <c r="G1426" s="459"/>
      <c r="H1426" s="459">
        <v>1419</v>
      </c>
      <c r="I1426" s="444">
        <f t="shared" ca="1" si="128"/>
        <v>-104246357.8669835</v>
      </c>
      <c r="J1426" s="444">
        <f t="array" ref="J1426">IFERROR(INDEX('Retirement Calculator'!J:J,MATCH('Isaac 401k'!N1426,'Retirement Calculator'!A:A,0),0),0)</f>
        <v>0</v>
      </c>
      <c r="K1426" s="444">
        <f t="shared" ca="1" si="126"/>
        <v>-434359.82444576459</v>
      </c>
      <c r="L1426" s="444">
        <f t="shared" ca="1" si="127"/>
        <v>-104680717.69142927</v>
      </c>
      <c r="M1426" s="460">
        <f t="shared" si="129"/>
        <v>0.05</v>
      </c>
      <c r="N1426" s="464">
        <f t="shared" si="130"/>
        <v>94447</v>
      </c>
    </row>
    <row r="1427" spans="7:14" ht="11.25" customHeight="1" x14ac:dyDescent="0.3">
      <c r="G1427" s="459"/>
      <c r="H1427" s="459">
        <v>1420</v>
      </c>
      <c r="I1427" s="444">
        <f t="shared" ca="1" si="128"/>
        <v>-104680717.69142927</v>
      </c>
      <c r="J1427" s="444">
        <f t="array" ref="J1427">IFERROR(INDEX('Retirement Calculator'!J:J,MATCH('Isaac 401k'!N1427,'Retirement Calculator'!A:A,0),0),0)</f>
        <v>0</v>
      </c>
      <c r="K1427" s="444">
        <f t="shared" ca="1" si="126"/>
        <v>-436169.65704762196</v>
      </c>
      <c r="L1427" s="444">
        <f t="shared" ca="1" si="127"/>
        <v>-105116887.3484769</v>
      </c>
      <c r="M1427" s="460">
        <f t="shared" si="129"/>
        <v>0.05</v>
      </c>
      <c r="N1427" s="464">
        <f t="shared" si="130"/>
        <v>94478</v>
      </c>
    </row>
    <row r="1428" spans="7:14" ht="11.25" customHeight="1" x14ac:dyDescent="0.3">
      <c r="G1428" s="459"/>
      <c r="H1428" s="459">
        <v>1421</v>
      </c>
      <c r="I1428" s="444">
        <f t="shared" ca="1" si="128"/>
        <v>-105116887.3484769</v>
      </c>
      <c r="J1428" s="444">
        <f t="array" ref="J1428">IFERROR(INDEX('Retirement Calculator'!J:J,MATCH('Isaac 401k'!N1428,'Retirement Calculator'!A:A,0),0),0)</f>
        <v>0</v>
      </c>
      <c r="K1428" s="444">
        <f t="shared" ca="1" si="126"/>
        <v>-437987.03061865375</v>
      </c>
      <c r="L1428" s="444">
        <f t="shared" ca="1" si="127"/>
        <v>-105554874.37909555</v>
      </c>
      <c r="M1428" s="460">
        <f t="shared" si="129"/>
        <v>0.05</v>
      </c>
      <c r="N1428" s="464">
        <f t="shared" si="130"/>
        <v>94508</v>
      </c>
    </row>
    <row r="1429" spans="7:14" ht="11.25" customHeight="1" x14ac:dyDescent="0.3">
      <c r="G1429" s="459"/>
      <c r="H1429" s="459">
        <v>1422</v>
      </c>
      <c r="I1429" s="444">
        <f t="shared" ca="1" si="128"/>
        <v>-105554874.37909555</v>
      </c>
      <c r="J1429" s="444">
        <f t="array" ref="J1429">IFERROR(INDEX('Retirement Calculator'!J:J,MATCH('Isaac 401k'!N1429,'Retirement Calculator'!A:A,0),0),0)</f>
        <v>0</v>
      </c>
      <c r="K1429" s="444">
        <f t="shared" ca="1" si="126"/>
        <v>-439811.9765795648</v>
      </c>
      <c r="L1429" s="444">
        <f t="shared" ca="1" si="127"/>
        <v>-105994686.35567512</v>
      </c>
      <c r="M1429" s="460">
        <f t="shared" si="129"/>
        <v>0.05</v>
      </c>
      <c r="N1429" s="464">
        <f t="shared" si="130"/>
        <v>94539</v>
      </c>
    </row>
    <row r="1430" spans="7:14" ht="11.25" customHeight="1" x14ac:dyDescent="0.3">
      <c r="G1430" s="459"/>
      <c r="H1430" s="459">
        <v>1423</v>
      </c>
      <c r="I1430" s="444">
        <f t="shared" ca="1" si="128"/>
        <v>-105994686.35567512</v>
      </c>
      <c r="J1430" s="444">
        <f t="array" ref="J1430">IFERROR(INDEX('Retirement Calculator'!J:J,MATCH('Isaac 401k'!N1430,'Retirement Calculator'!A:A,0),0),0)</f>
        <v>0</v>
      </c>
      <c r="K1430" s="444">
        <f t="shared" ca="1" si="126"/>
        <v>-441644.52648197964</v>
      </c>
      <c r="L1430" s="444">
        <f t="shared" ca="1" si="127"/>
        <v>-106436330.8821571</v>
      </c>
      <c r="M1430" s="460">
        <f t="shared" si="129"/>
        <v>0.05</v>
      </c>
      <c r="N1430" s="464">
        <f t="shared" si="130"/>
        <v>94569</v>
      </c>
    </row>
    <row r="1431" spans="7:14" ht="11.25" customHeight="1" x14ac:dyDescent="0.3">
      <c r="G1431" s="459"/>
      <c r="H1431" s="459">
        <v>1424</v>
      </c>
      <c r="I1431" s="444">
        <f t="shared" ca="1" si="128"/>
        <v>-106436330.8821571</v>
      </c>
      <c r="J1431" s="444">
        <f t="array" ref="J1431">IFERROR(INDEX('Retirement Calculator'!J:J,MATCH('Isaac 401k'!N1431,'Retirement Calculator'!A:A,0),0),0)</f>
        <v>0</v>
      </c>
      <c r="K1431" s="444">
        <f t="shared" ca="1" si="126"/>
        <v>-443484.7120089879</v>
      </c>
      <c r="L1431" s="444">
        <f t="shared" ca="1" si="127"/>
        <v>-106879815.59416609</v>
      </c>
      <c r="M1431" s="460">
        <f t="shared" si="129"/>
        <v>0.05</v>
      </c>
      <c r="N1431" s="464">
        <f t="shared" si="130"/>
        <v>94600</v>
      </c>
    </row>
    <row r="1432" spans="7:14" ht="11.25" customHeight="1" x14ac:dyDescent="0.3">
      <c r="G1432" s="459"/>
      <c r="H1432" s="459">
        <v>1425</v>
      </c>
      <c r="I1432" s="444">
        <f t="shared" ca="1" si="128"/>
        <v>-106879815.59416609</v>
      </c>
      <c r="J1432" s="444">
        <f t="array" ref="J1432">IFERROR(INDEX('Retirement Calculator'!J:J,MATCH('Isaac 401k'!N1432,'Retirement Calculator'!A:A,0),0),0)</f>
        <v>0</v>
      </c>
      <c r="K1432" s="444">
        <f t="shared" ca="1" si="126"/>
        <v>-445332.56497569196</v>
      </c>
      <c r="L1432" s="444">
        <f t="shared" ca="1" si="127"/>
        <v>-107325148.15914178</v>
      </c>
      <c r="M1432" s="460">
        <f t="shared" si="129"/>
        <v>0.05</v>
      </c>
      <c r="N1432" s="464">
        <f t="shared" si="130"/>
        <v>94631</v>
      </c>
    </row>
    <row r="1433" spans="7:14" ht="11.25" customHeight="1" x14ac:dyDescent="0.3">
      <c r="G1433" s="459"/>
      <c r="H1433" s="459">
        <v>1426</v>
      </c>
      <c r="I1433" s="444">
        <f t="shared" ca="1" si="128"/>
        <v>-107325148.15914178</v>
      </c>
      <c r="J1433" s="444">
        <f t="array" ref="J1433">IFERROR(INDEX('Retirement Calculator'!J:J,MATCH('Isaac 401k'!N1433,'Retirement Calculator'!A:A,0),0),0)</f>
        <v>0</v>
      </c>
      <c r="K1433" s="444">
        <f t="shared" ca="1" si="126"/>
        <v>-447188.11732975743</v>
      </c>
      <c r="L1433" s="444">
        <f t="shared" ca="1" si="127"/>
        <v>-107772336.27647154</v>
      </c>
      <c r="M1433" s="460">
        <f t="shared" si="129"/>
        <v>0.05</v>
      </c>
      <c r="N1433" s="464">
        <f t="shared" si="130"/>
        <v>94659</v>
      </c>
    </row>
    <row r="1434" spans="7:14" ht="11.25" customHeight="1" x14ac:dyDescent="0.3">
      <c r="G1434" s="459"/>
      <c r="H1434" s="459">
        <v>1427</v>
      </c>
      <c r="I1434" s="444">
        <f t="shared" ca="1" si="128"/>
        <v>-107772336.27647154</v>
      </c>
      <c r="J1434" s="444">
        <f t="array" ref="J1434">IFERROR(INDEX('Retirement Calculator'!J:J,MATCH('Isaac 401k'!N1434,'Retirement Calculator'!A:A,0),0),0)</f>
        <v>0</v>
      </c>
      <c r="K1434" s="444">
        <f t="shared" ca="1" si="126"/>
        <v>-449051.40115196467</v>
      </c>
      <c r="L1434" s="444">
        <f t="shared" ca="1" si="127"/>
        <v>-108221387.67762351</v>
      </c>
      <c r="M1434" s="460">
        <f t="shared" si="129"/>
        <v>0.05</v>
      </c>
      <c r="N1434" s="464">
        <f t="shared" si="130"/>
        <v>94690</v>
      </c>
    </row>
    <row r="1435" spans="7:14" ht="11.25" customHeight="1" x14ac:dyDescent="0.3">
      <c r="G1435" s="459"/>
      <c r="H1435" s="459">
        <v>1428</v>
      </c>
      <c r="I1435" s="444">
        <f t="shared" ca="1" si="128"/>
        <v>-108221387.67762351</v>
      </c>
      <c r="J1435" s="444">
        <f t="array" ref="J1435">IFERROR(INDEX('Retirement Calculator'!J:J,MATCH('Isaac 401k'!N1435,'Retirement Calculator'!A:A,0),0),0)</f>
        <v>0</v>
      </c>
      <c r="K1435" s="444">
        <f t="shared" ca="1" si="126"/>
        <v>-450922.44865676464</v>
      </c>
      <c r="L1435" s="444">
        <f t="shared" ca="1" si="127"/>
        <v>-108672310.12628028</v>
      </c>
      <c r="M1435" s="460">
        <f t="shared" si="129"/>
        <v>0.05</v>
      </c>
      <c r="N1435" s="464">
        <f t="shared" si="130"/>
        <v>94720</v>
      </c>
    </row>
    <row r="1436" spans="7:14" ht="11.25" customHeight="1" x14ac:dyDescent="0.3">
      <c r="G1436" s="459"/>
      <c r="H1436" s="459">
        <v>1429</v>
      </c>
      <c r="I1436" s="444">
        <f t="shared" ca="1" si="128"/>
        <v>-108672310.12628028</v>
      </c>
      <c r="J1436" s="444">
        <f t="array" ref="J1436">IFERROR(INDEX('Retirement Calculator'!J:J,MATCH('Isaac 401k'!N1436,'Retirement Calculator'!A:A,0),0),0)</f>
        <v>0</v>
      </c>
      <c r="K1436" s="444">
        <f t="shared" ca="1" si="126"/>
        <v>-452801.29219283443</v>
      </c>
      <c r="L1436" s="444">
        <f t="shared" ca="1" si="127"/>
        <v>-109125111.41847311</v>
      </c>
      <c r="M1436" s="460">
        <f t="shared" si="129"/>
        <v>0.05</v>
      </c>
      <c r="N1436" s="464">
        <f t="shared" si="130"/>
        <v>94751</v>
      </c>
    </row>
    <row r="1437" spans="7:14" ht="11.25" customHeight="1" x14ac:dyDescent="0.3">
      <c r="G1437" s="459"/>
      <c r="H1437" s="459">
        <v>1430</v>
      </c>
      <c r="I1437" s="444">
        <f t="shared" ca="1" si="128"/>
        <v>-109125111.41847311</v>
      </c>
      <c r="J1437" s="444">
        <f t="array" ref="J1437">IFERROR(INDEX('Retirement Calculator'!J:J,MATCH('Isaac 401k'!N1437,'Retirement Calculator'!A:A,0),0),0)</f>
        <v>0</v>
      </c>
      <c r="K1437" s="444">
        <f t="shared" ca="1" si="126"/>
        <v>-454687.96424363792</v>
      </c>
      <c r="L1437" s="444">
        <f t="shared" ca="1" si="127"/>
        <v>-109579799.38271675</v>
      </c>
      <c r="M1437" s="460">
        <f t="shared" si="129"/>
        <v>0.05</v>
      </c>
      <c r="N1437" s="464">
        <f t="shared" si="130"/>
        <v>94781</v>
      </c>
    </row>
    <row r="1438" spans="7:14" ht="11.25" customHeight="1" x14ac:dyDescent="0.3">
      <c r="G1438" s="459"/>
      <c r="H1438" s="459">
        <v>1431</v>
      </c>
      <c r="I1438" s="444">
        <f t="shared" ca="1" si="128"/>
        <v>-109579799.38271675</v>
      </c>
      <c r="J1438" s="444">
        <f t="array" ref="J1438">IFERROR(INDEX('Retirement Calculator'!J:J,MATCH('Isaac 401k'!N1438,'Retirement Calculator'!A:A,0),0),0)</f>
        <v>0</v>
      </c>
      <c r="K1438" s="444">
        <f t="shared" ca="1" si="126"/>
        <v>-456582.49742798641</v>
      </c>
      <c r="L1438" s="444">
        <f t="shared" ca="1" si="127"/>
        <v>-110036381.88014473</v>
      </c>
      <c r="M1438" s="460">
        <f t="shared" si="129"/>
        <v>0.05</v>
      </c>
      <c r="N1438" s="464">
        <f t="shared" si="130"/>
        <v>94812</v>
      </c>
    </row>
    <row r="1439" spans="7:14" ht="11.25" customHeight="1" x14ac:dyDescent="0.3">
      <c r="G1439" s="459"/>
      <c r="H1439" s="459">
        <v>1432</v>
      </c>
      <c r="I1439" s="444">
        <f t="shared" ca="1" si="128"/>
        <v>-110036381.88014473</v>
      </c>
      <c r="J1439" s="444">
        <f t="array" ref="J1439">IFERROR(INDEX('Retirement Calculator'!J:J,MATCH('Isaac 401k'!N1439,'Retirement Calculator'!A:A,0),0),0)</f>
        <v>0</v>
      </c>
      <c r="K1439" s="444">
        <f t="shared" ca="1" si="126"/>
        <v>-458484.92450060305</v>
      </c>
      <c r="L1439" s="444">
        <f t="shared" ca="1" si="127"/>
        <v>-110494866.80464533</v>
      </c>
      <c r="M1439" s="460">
        <f t="shared" si="129"/>
        <v>0.05</v>
      </c>
      <c r="N1439" s="464">
        <f t="shared" si="130"/>
        <v>94843</v>
      </c>
    </row>
    <row r="1440" spans="7:14" ht="11.25" customHeight="1" x14ac:dyDescent="0.3">
      <c r="G1440" s="459"/>
      <c r="H1440" s="459">
        <v>1433</v>
      </c>
      <c r="I1440" s="444">
        <f t="shared" ca="1" si="128"/>
        <v>-110494866.80464533</v>
      </c>
      <c r="J1440" s="444">
        <f t="array" ref="J1440">IFERROR(INDEX('Retirement Calculator'!J:J,MATCH('Isaac 401k'!N1440,'Retirement Calculator'!A:A,0),0),0)</f>
        <v>0</v>
      </c>
      <c r="K1440" s="444">
        <f t="shared" ca="1" si="126"/>
        <v>-460395.27835268888</v>
      </c>
      <c r="L1440" s="444">
        <f t="shared" ca="1" si="127"/>
        <v>-110955262.08299802</v>
      </c>
      <c r="M1440" s="460">
        <f t="shared" si="129"/>
        <v>0.05</v>
      </c>
      <c r="N1440" s="464">
        <f t="shared" si="130"/>
        <v>94873</v>
      </c>
    </row>
    <row r="1441" spans="7:14" ht="11.25" customHeight="1" x14ac:dyDescent="0.3">
      <c r="G1441" s="459"/>
      <c r="H1441" s="459">
        <v>1434</v>
      </c>
      <c r="I1441" s="444">
        <f t="shared" ca="1" si="128"/>
        <v>-110955262.08299802</v>
      </c>
      <c r="J1441" s="444">
        <f t="array" ref="J1441">IFERROR(INDEX('Retirement Calculator'!J:J,MATCH('Isaac 401k'!N1441,'Retirement Calculator'!A:A,0),0),0)</f>
        <v>0</v>
      </c>
      <c r="K1441" s="444">
        <f t="shared" ca="1" si="126"/>
        <v>-462313.59201249172</v>
      </c>
      <c r="L1441" s="444">
        <f t="shared" ca="1" si="127"/>
        <v>-111417575.67501052</v>
      </c>
      <c r="M1441" s="460">
        <f t="shared" si="129"/>
        <v>0.05</v>
      </c>
      <c r="N1441" s="464">
        <f t="shared" si="130"/>
        <v>94904</v>
      </c>
    </row>
    <row r="1442" spans="7:14" ht="11.25" customHeight="1" x14ac:dyDescent="0.3">
      <c r="G1442" s="459"/>
      <c r="H1442" s="459">
        <v>1435</v>
      </c>
      <c r="I1442" s="444">
        <f t="shared" ca="1" si="128"/>
        <v>-111417575.67501052</v>
      </c>
      <c r="J1442" s="444">
        <f t="array" ref="J1442">IFERROR(INDEX('Retirement Calculator'!J:J,MATCH('Isaac 401k'!N1442,'Retirement Calculator'!A:A,0),0),0)</f>
        <v>0</v>
      </c>
      <c r="K1442" s="444">
        <f t="shared" ca="1" si="126"/>
        <v>-464239.89864587708</v>
      </c>
      <c r="L1442" s="444">
        <f t="shared" ca="1" si="127"/>
        <v>-111881815.5736564</v>
      </c>
      <c r="M1442" s="460">
        <f t="shared" si="129"/>
        <v>0.05</v>
      </c>
      <c r="N1442" s="464">
        <f t="shared" si="130"/>
        <v>94934</v>
      </c>
    </row>
    <row r="1443" spans="7:14" ht="11.25" customHeight="1" x14ac:dyDescent="0.3">
      <c r="G1443" s="459"/>
      <c r="H1443" s="459">
        <v>1436</v>
      </c>
      <c r="I1443" s="444">
        <f t="shared" ca="1" si="128"/>
        <v>-111881815.5736564</v>
      </c>
      <c r="J1443" s="444">
        <f t="array" ref="J1443">IFERROR(INDEX('Retirement Calculator'!J:J,MATCH('Isaac 401k'!N1443,'Retirement Calculator'!A:A,0),0),0)</f>
        <v>0</v>
      </c>
      <c r="K1443" s="444">
        <f t="shared" ca="1" si="126"/>
        <v>-466174.23155690165</v>
      </c>
      <c r="L1443" s="444">
        <f t="shared" ca="1" si="127"/>
        <v>-112347989.8052133</v>
      </c>
      <c r="M1443" s="460">
        <f t="shared" si="129"/>
        <v>0.05</v>
      </c>
      <c r="N1443" s="464">
        <f t="shared" si="130"/>
        <v>94965</v>
      </c>
    </row>
    <row r="1444" spans="7:14" ht="11.25" customHeight="1" x14ac:dyDescent="0.3">
      <c r="G1444" s="459"/>
      <c r="H1444" s="459">
        <v>1437</v>
      </c>
      <c r="I1444" s="444">
        <f t="shared" ca="1" si="128"/>
        <v>-112347989.8052133</v>
      </c>
      <c r="J1444" s="444">
        <f t="array" ref="J1444">IFERROR(INDEX('Retirement Calculator'!J:J,MATCH('Isaac 401k'!N1444,'Retirement Calculator'!A:A,0),0),0)</f>
        <v>0</v>
      </c>
      <c r="K1444" s="444">
        <f t="shared" ca="1" si="126"/>
        <v>-468116.62418838876</v>
      </c>
      <c r="L1444" s="444">
        <f t="shared" ca="1" si="127"/>
        <v>-112816106.4294017</v>
      </c>
      <c r="M1444" s="460">
        <f t="shared" si="129"/>
        <v>0.05</v>
      </c>
      <c r="N1444" s="464">
        <f t="shared" si="130"/>
        <v>94996</v>
      </c>
    </row>
    <row r="1445" spans="7:14" ht="11.25" customHeight="1" x14ac:dyDescent="0.3">
      <c r="G1445" s="459"/>
      <c r="H1445" s="459">
        <v>1438</v>
      </c>
      <c r="I1445" s="444">
        <f t="shared" ca="1" si="128"/>
        <v>-112816106.4294017</v>
      </c>
      <c r="J1445" s="444">
        <f t="array" ref="J1445">IFERROR(INDEX('Retirement Calculator'!J:J,MATCH('Isaac 401k'!N1445,'Retirement Calculator'!A:A,0),0),0)</f>
        <v>0</v>
      </c>
      <c r="K1445" s="444">
        <f t="shared" ca="1" si="126"/>
        <v>-470067.11012250697</v>
      </c>
      <c r="L1445" s="444">
        <f t="shared" ca="1" si="127"/>
        <v>-113286173.5395242</v>
      </c>
      <c r="M1445" s="460">
        <f t="shared" si="129"/>
        <v>0.05</v>
      </c>
      <c r="N1445" s="464">
        <f t="shared" si="130"/>
        <v>95025</v>
      </c>
    </row>
    <row r="1446" spans="7:14" ht="11.25" customHeight="1" x14ac:dyDescent="0.3">
      <c r="G1446" s="459"/>
      <c r="H1446" s="459">
        <v>1439</v>
      </c>
      <c r="I1446" s="444">
        <f t="shared" ca="1" si="128"/>
        <v>-113286173.5395242</v>
      </c>
      <c r="J1446" s="444">
        <f t="array" ref="J1446">IFERROR(INDEX('Retirement Calculator'!J:J,MATCH('Isaac 401k'!N1446,'Retirement Calculator'!A:A,0),0),0)</f>
        <v>0</v>
      </c>
      <c r="K1446" s="444">
        <f t="shared" ca="1" si="126"/>
        <v>-472025.72308135079</v>
      </c>
      <c r="L1446" s="444">
        <f t="shared" ca="1" si="127"/>
        <v>-113758199.26260555</v>
      </c>
      <c r="M1446" s="460">
        <f t="shared" si="129"/>
        <v>0.05</v>
      </c>
      <c r="N1446" s="464">
        <f t="shared" si="130"/>
        <v>95056</v>
      </c>
    </row>
    <row r="1447" spans="7:14" ht="11.25" customHeight="1" x14ac:dyDescent="0.3">
      <c r="G1447" s="459"/>
      <c r="H1447" s="459">
        <v>1440</v>
      </c>
      <c r="I1447" s="444">
        <f t="shared" ca="1" si="128"/>
        <v>-113758199.26260555</v>
      </c>
      <c r="J1447" s="444">
        <f t="array" ref="J1447">IFERROR(INDEX('Retirement Calculator'!J:J,MATCH('Isaac 401k'!N1447,'Retirement Calculator'!A:A,0),0),0)</f>
        <v>0</v>
      </c>
      <c r="K1447" s="444">
        <f t="shared" ca="1" si="126"/>
        <v>-473992.49692752311</v>
      </c>
      <c r="L1447" s="444">
        <f t="shared" ca="1" si="127"/>
        <v>-114232191.75953308</v>
      </c>
      <c r="M1447" s="460">
        <f t="shared" si="129"/>
        <v>0.05</v>
      </c>
      <c r="N1447" s="464">
        <f t="shared" si="130"/>
        <v>95086</v>
      </c>
    </row>
    <row r="1448" spans="7:14" ht="11.25" customHeight="1" x14ac:dyDescent="0.3">
      <c r="G1448" s="459"/>
      <c r="H1448" s="459">
        <v>1441</v>
      </c>
      <c r="I1448" s="444">
        <f t="shared" ca="1" si="128"/>
        <v>-114232191.75953308</v>
      </c>
      <c r="J1448" s="444">
        <f t="array" ref="J1448">IFERROR(INDEX('Retirement Calculator'!J:J,MATCH('Isaac 401k'!N1448,'Retirement Calculator'!A:A,0),0),0)</f>
        <v>0</v>
      </c>
      <c r="K1448" s="444">
        <f t="shared" ca="1" si="126"/>
        <v>-475967.46566472115</v>
      </c>
      <c r="L1448" s="444">
        <f t="shared" ca="1" si="127"/>
        <v>-114708159.22519779</v>
      </c>
      <c r="M1448" s="460">
        <f t="shared" si="129"/>
        <v>0.05</v>
      </c>
      <c r="N1448" s="464">
        <f t="shared" si="130"/>
        <v>95117</v>
      </c>
    </row>
    <row r="1449" spans="7:14" ht="11.25" customHeight="1" x14ac:dyDescent="0.3">
      <c r="G1449" s="459"/>
      <c r="H1449" s="459">
        <v>1442</v>
      </c>
      <c r="I1449" s="444">
        <f t="shared" ca="1" si="128"/>
        <v>-114708159.22519779</v>
      </c>
      <c r="J1449" s="444">
        <f t="array" ref="J1449">IFERROR(INDEX('Retirement Calculator'!J:J,MATCH('Isaac 401k'!N1449,'Retirement Calculator'!A:A,0),0),0)</f>
        <v>0</v>
      </c>
      <c r="K1449" s="444">
        <f t="shared" ca="1" si="126"/>
        <v>-477950.66343832418</v>
      </c>
      <c r="L1449" s="444">
        <f t="shared" ca="1" si="127"/>
        <v>-115186109.88863611</v>
      </c>
      <c r="M1449" s="460">
        <f t="shared" si="129"/>
        <v>0.05</v>
      </c>
      <c r="N1449" s="464">
        <f t="shared" si="130"/>
        <v>95147</v>
      </c>
    </row>
    <row r="1450" spans="7:14" ht="11.25" customHeight="1" x14ac:dyDescent="0.3">
      <c r="G1450" s="459"/>
      <c r="H1450" s="459">
        <v>1443</v>
      </c>
      <c r="I1450" s="444">
        <f t="shared" ca="1" si="128"/>
        <v>-115186109.88863611</v>
      </c>
      <c r="J1450" s="444">
        <f t="array" ref="J1450">IFERROR(INDEX('Retirement Calculator'!J:J,MATCH('Isaac 401k'!N1450,'Retirement Calculator'!A:A,0),0),0)</f>
        <v>0</v>
      </c>
      <c r="K1450" s="444">
        <f t="shared" ca="1" si="126"/>
        <v>-479942.12453598378</v>
      </c>
      <c r="L1450" s="444">
        <f t="shared" ca="1" si="127"/>
        <v>-115666052.01317209</v>
      </c>
      <c r="M1450" s="460">
        <f t="shared" si="129"/>
        <v>0.05</v>
      </c>
      <c r="N1450" s="464">
        <f t="shared" si="130"/>
        <v>95178</v>
      </c>
    </row>
    <row r="1451" spans="7:14" ht="11.25" customHeight="1" x14ac:dyDescent="0.3">
      <c r="G1451" s="459"/>
      <c r="H1451" s="459">
        <v>1444</v>
      </c>
      <c r="I1451" s="444">
        <f t="shared" ca="1" si="128"/>
        <v>-115666052.01317209</v>
      </c>
      <c r="J1451" s="444">
        <f t="array" ref="J1451">IFERROR(INDEX('Retirement Calculator'!J:J,MATCH('Isaac 401k'!N1451,'Retirement Calculator'!A:A,0),0),0)</f>
        <v>0</v>
      </c>
      <c r="K1451" s="444">
        <f t="shared" ca="1" si="126"/>
        <v>-481941.88338821701</v>
      </c>
      <c r="L1451" s="444">
        <f t="shared" ca="1" si="127"/>
        <v>-116147993.89656031</v>
      </c>
      <c r="M1451" s="460">
        <f t="shared" si="129"/>
        <v>0.05</v>
      </c>
      <c r="N1451" s="464">
        <f t="shared" si="130"/>
        <v>95209</v>
      </c>
    </row>
    <row r="1452" spans="7:14" ht="11.25" customHeight="1" x14ac:dyDescent="0.3">
      <c r="G1452" s="459"/>
      <c r="H1452" s="459">
        <v>1445</v>
      </c>
      <c r="I1452" s="444">
        <f t="shared" ca="1" si="128"/>
        <v>-116147993.89656031</v>
      </c>
      <c r="J1452" s="444">
        <f t="array" ref="J1452">IFERROR(INDEX('Retirement Calculator'!J:J,MATCH('Isaac 401k'!N1452,'Retirement Calculator'!A:A,0),0),0)</f>
        <v>0</v>
      </c>
      <c r="K1452" s="444">
        <f t="shared" ca="1" si="126"/>
        <v>-483949.97456900124</v>
      </c>
      <c r="L1452" s="444">
        <f t="shared" ca="1" si="127"/>
        <v>-116631943.87112932</v>
      </c>
      <c r="M1452" s="460">
        <f t="shared" si="129"/>
        <v>0.05</v>
      </c>
      <c r="N1452" s="464">
        <f t="shared" si="130"/>
        <v>95239</v>
      </c>
    </row>
    <row r="1453" spans="7:14" ht="11.25" customHeight="1" x14ac:dyDescent="0.3">
      <c r="G1453" s="459"/>
      <c r="H1453" s="459">
        <v>1446</v>
      </c>
      <c r="I1453" s="444">
        <f t="shared" ca="1" si="128"/>
        <v>-116631943.87112932</v>
      </c>
      <c r="J1453" s="444">
        <f t="array" ref="J1453">IFERROR(INDEX('Retirement Calculator'!J:J,MATCH('Isaac 401k'!N1453,'Retirement Calculator'!A:A,0),0),0)</f>
        <v>0</v>
      </c>
      <c r="K1453" s="444">
        <f t="shared" ca="1" si="126"/>
        <v>-485966.4327963721</v>
      </c>
      <c r="L1453" s="444">
        <f t="shared" ca="1" si="127"/>
        <v>-117117910.30392569</v>
      </c>
      <c r="M1453" s="460">
        <f t="shared" si="129"/>
        <v>0.05</v>
      </c>
      <c r="N1453" s="464">
        <f t="shared" si="130"/>
        <v>95270</v>
      </c>
    </row>
    <row r="1454" spans="7:14" ht="11.25" customHeight="1" x14ac:dyDescent="0.3">
      <c r="G1454" s="459"/>
      <c r="H1454" s="459">
        <v>1447</v>
      </c>
      <c r="I1454" s="444">
        <f t="shared" ca="1" si="128"/>
        <v>-117117910.30392569</v>
      </c>
      <c r="J1454" s="444">
        <f t="array" ref="J1454">IFERROR(INDEX('Retirement Calculator'!J:J,MATCH('Isaac 401k'!N1454,'Retirement Calculator'!A:A,0),0),0)</f>
        <v>0</v>
      </c>
      <c r="K1454" s="444">
        <f t="shared" ca="1" si="126"/>
        <v>-487991.29293302371</v>
      </c>
      <c r="L1454" s="444">
        <f t="shared" ca="1" si="127"/>
        <v>-117605901.59685871</v>
      </c>
      <c r="M1454" s="460">
        <f t="shared" si="129"/>
        <v>0.05</v>
      </c>
      <c r="N1454" s="464">
        <f t="shared" si="130"/>
        <v>95300</v>
      </c>
    </row>
    <row r="1455" spans="7:14" ht="11.25" customHeight="1" x14ac:dyDescent="0.3">
      <c r="G1455" s="459"/>
      <c r="H1455" s="459">
        <v>1448</v>
      </c>
      <c r="I1455" s="444">
        <f t="shared" ca="1" si="128"/>
        <v>-117605901.59685871</v>
      </c>
      <c r="J1455" s="444">
        <f t="array" ref="J1455">IFERROR(INDEX('Retirement Calculator'!J:J,MATCH('Isaac 401k'!N1455,'Retirement Calculator'!A:A,0),0),0)</f>
        <v>0</v>
      </c>
      <c r="K1455" s="444">
        <f t="shared" ca="1" si="126"/>
        <v>-490024.58998691128</v>
      </c>
      <c r="L1455" s="444">
        <f t="shared" ca="1" si="127"/>
        <v>-118095926.18684562</v>
      </c>
      <c r="M1455" s="460">
        <f t="shared" si="129"/>
        <v>0.05</v>
      </c>
      <c r="N1455" s="464">
        <f t="shared" si="130"/>
        <v>95331</v>
      </c>
    </row>
    <row r="1456" spans="7:14" ht="11.25" customHeight="1" x14ac:dyDescent="0.3">
      <c r="G1456" s="459"/>
      <c r="H1456" s="459">
        <v>1449</v>
      </c>
      <c r="I1456" s="444">
        <f t="shared" ca="1" si="128"/>
        <v>-118095926.18684562</v>
      </c>
      <c r="J1456" s="444">
        <f t="array" ref="J1456">IFERROR(INDEX('Retirement Calculator'!J:J,MATCH('Isaac 401k'!N1456,'Retirement Calculator'!A:A,0),0),0)</f>
        <v>0</v>
      </c>
      <c r="K1456" s="444">
        <f t="shared" ca="1" si="126"/>
        <v>-492066.35911185673</v>
      </c>
      <c r="L1456" s="444">
        <f t="shared" ca="1" si="127"/>
        <v>-118587992.54595748</v>
      </c>
      <c r="M1456" s="460">
        <f t="shared" si="129"/>
        <v>0.05</v>
      </c>
      <c r="N1456" s="464">
        <f t="shared" si="130"/>
        <v>95362</v>
      </c>
    </row>
    <row r="1457" spans="7:14" ht="11.25" customHeight="1" x14ac:dyDescent="0.3">
      <c r="G1457" s="459"/>
      <c r="H1457" s="459">
        <v>1450</v>
      </c>
      <c r="I1457" s="444">
        <f t="shared" ca="1" si="128"/>
        <v>-118587992.54595748</v>
      </c>
      <c r="J1457" s="444">
        <f t="array" ref="J1457">IFERROR(INDEX('Retirement Calculator'!J:J,MATCH('Isaac 401k'!N1457,'Retirement Calculator'!A:A,0),0),0)</f>
        <v>0</v>
      </c>
      <c r="K1457" s="444">
        <f t="shared" ca="1" si="126"/>
        <v>-494116.63560815615</v>
      </c>
      <c r="L1457" s="444">
        <f t="shared" ca="1" si="127"/>
        <v>-119082109.18156563</v>
      </c>
      <c r="M1457" s="460">
        <f t="shared" si="129"/>
        <v>0.05</v>
      </c>
      <c r="N1457" s="464">
        <f t="shared" si="130"/>
        <v>95390</v>
      </c>
    </row>
    <row r="1458" spans="7:14" ht="11.25" customHeight="1" x14ac:dyDescent="0.3">
      <c r="G1458" s="459"/>
      <c r="H1458" s="459">
        <v>1451</v>
      </c>
      <c r="I1458" s="444">
        <f t="shared" ca="1" si="128"/>
        <v>-119082109.18156563</v>
      </c>
      <c r="J1458" s="444">
        <f t="array" ref="J1458">IFERROR(INDEX('Retirement Calculator'!J:J,MATCH('Isaac 401k'!N1458,'Retirement Calculator'!A:A,0),0),0)</f>
        <v>0</v>
      </c>
      <c r="K1458" s="444">
        <f t="shared" ca="1" si="126"/>
        <v>-496175.45492319006</v>
      </c>
      <c r="L1458" s="444">
        <f t="shared" ca="1" si="127"/>
        <v>-119578284.63648881</v>
      </c>
      <c r="M1458" s="460">
        <f t="shared" si="129"/>
        <v>0.05</v>
      </c>
      <c r="N1458" s="464">
        <f t="shared" si="130"/>
        <v>95421</v>
      </c>
    </row>
    <row r="1459" spans="7:14" ht="11.25" customHeight="1" x14ac:dyDescent="0.3">
      <c r="G1459" s="459"/>
      <c r="H1459" s="459">
        <v>1452</v>
      </c>
      <c r="I1459" s="444">
        <f t="shared" ca="1" si="128"/>
        <v>-119578284.63648881</v>
      </c>
      <c r="J1459" s="444">
        <f t="array" ref="J1459">IFERROR(INDEX('Retirement Calculator'!J:J,MATCH('Isaac 401k'!N1459,'Retirement Calculator'!A:A,0),0),0)</f>
        <v>0</v>
      </c>
      <c r="K1459" s="444">
        <f t="shared" ca="1" si="126"/>
        <v>-498242.85265203664</v>
      </c>
      <c r="L1459" s="444">
        <f t="shared" ca="1" si="127"/>
        <v>-120076527.48914085</v>
      </c>
      <c r="M1459" s="460">
        <f t="shared" si="129"/>
        <v>0.05</v>
      </c>
      <c r="N1459" s="464">
        <f t="shared" si="130"/>
        <v>95451</v>
      </c>
    </row>
    <row r="1460" spans="7:14" ht="11.25" customHeight="1" x14ac:dyDescent="0.3">
      <c r="G1460" s="459"/>
      <c r="H1460" s="459">
        <v>1453</v>
      </c>
      <c r="I1460" s="444">
        <f t="shared" ca="1" si="128"/>
        <v>-120076527.48914085</v>
      </c>
      <c r="J1460" s="444">
        <f t="array" ref="J1460">IFERROR(INDEX('Retirement Calculator'!J:J,MATCH('Isaac 401k'!N1460,'Retirement Calculator'!A:A,0),0),0)</f>
        <v>0</v>
      </c>
      <c r="K1460" s="444">
        <f t="shared" ca="1" si="126"/>
        <v>-500318.86453808687</v>
      </c>
      <c r="L1460" s="444">
        <f t="shared" ca="1" si="127"/>
        <v>-120576846.35367894</v>
      </c>
      <c r="M1460" s="460">
        <f t="shared" si="129"/>
        <v>0.05</v>
      </c>
      <c r="N1460" s="464">
        <f t="shared" si="130"/>
        <v>95482</v>
      </c>
    </row>
    <row r="1461" spans="7:14" ht="11.25" customHeight="1" x14ac:dyDescent="0.3">
      <c r="G1461" s="459"/>
      <c r="H1461" s="459">
        <v>1454</v>
      </c>
      <c r="I1461" s="444">
        <f t="shared" ca="1" si="128"/>
        <v>-120576846.35367894</v>
      </c>
      <c r="J1461" s="444">
        <f t="array" ref="J1461">IFERROR(INDEX('Retirement Calculator'!J:J,MATCH('Isaac 401k'!N1461,'Retirement Calculator'!A:A,0),0),0)</f>
        <v>0</v>
      </c>
      <c r="K1461" s="444">
        <f t="shared" ca="1" si="126"/>
        <v>-502403.52647366229</v>
      </c>
      <c r="L1461" s="444">
        <f t="shared" ca="1" si="127"/>
        <v>-121079249.8801526</v>
      </c>
      <c r="M1461" s="460">
        <f t="shared" si="129"/>
        <v>0.05</v>
      </c>
      <c r="N1461" s="464">
        <f t="shared" si="130"/>
        <v>95512</v>
      </c>
    </row>
    <row r="1462" spans="7:14" ht="11.25" customHeight="1" x14ac:dyDescent="0.3">
      <c r="G1462" s="459"/>
      <c r="H1462" s="459">
        <v>1455</v>
      </c>
      <c r="I1462" s="444">
        <f t="shared" ca="1" si="128"/>
        <v>-121079249.8801526</v>
      </c>
      <c r="J1462" s="444">
        <f t="array" ref="J1462">IFERROR(INDEX('Retirement Calculator'!J:J,MATCH('Isaac 401k'!N1462,'Retirement Calculator'!A:A,0),0),0)</f>
        <v>0</v>
      </c>
      <c r="K1462" s="444">
        <f t="shared" ca="1" si="126"/>
        <v>-504496.87450063589</v>
      </c>
      <c r="L1462" s="444">
        <f t="shared" ca="1" si="127"/>
        <v>-121583746.75465323</v>
      </c>
      <c r="M1462" s="460">
        <f t="shared" si="129"/>
        <v>0.05</v>
      </c>
      <c r="N1462" s="464">
        <f t="shared" si="130"/>
        <v>95543</v>
      </c>
    </row>
    <row r="1463" spans="7:14" ht="11.25" customHeight="1" x14ac:dyDescent="0.3">
      <c r="G1463" s="459"/>
      <c r="H1463" s="459">
        <v>1456</v>
      </c>
      <c r="I1463" s="444">
        <f t="shared" ca="1" si="128"/>
        <v>-121583746.75465323</v>
      </c>
      <c r="J1463" s="444">
        <f t="array" ref="J1463">IFERROR(INDEX('Retirement Calculator'!J:J,MATCH('Isaac 401k'!N1463,'Retirement Calculator'!A:A,0),0),0)</f>
        <v>0</v>
      </c>
      <c r="K1463" s="444">
        <f t="shared" ca="1" si="126"/>
        <v>-506598.94481105515</v>
      </c>
      <c r="L1463" s="444">
        <f t="shared" ca="1" si="127"/>
        <v>-122090345.69946429</v>
      </c>
      <c r="M1463" s="460">
        <f t="shared" si="129"/>
        <v>0.05</v>
      </c>
      <c r="N1463" s="464">
        <f t="shared" si="130"/>
        <v>95574</v>
      </c>
    </row>
    <row r="1464" spans="7:14" ht="11.25" customHeight="1" x14ac:dyDescent="0.3">
      <c r="G1464" s="459"/>
      <c r="H1464" s="459">
        <v>1457</v>
      </c>
      <c r="I1464" s="444">
        <f t="shared" ca="1" si="128"/>
        <v>-122090345.69946429</v>
      </c>
      <c r="J1464" s="444">
        <f t="array" ref="J1464">IFERROR(INDEX('Retirement Calculator'!J:J,MATCH('Isaac 401k'!N1464,'Retirement Calculator'!A:A,0),0),0)</f>
        <v>0</v>
      </c>
      <c r="K1464" s="444">
        <f t="shared" ca="1" si="126"/>
        <v>-508709.77374776785</v>
      </c>
      <c r="L1464" s="444">
        <f t="shared" ca="1" si="127"/>
        <v>-122599055.47321206</v>
      </c>
      <c r="M1464" s="460">
        <f t="shared" si="129"/>
        <v>0.05</v>
      </c>
      <c r="N1464" s="464">
        <f t="shared" si="130"/>
        <v>95604</v>
      </c>
    </row>
    <row r="1465" spans="7:14" ht="11.25" customHeight="1" x14ac:dyDescent="0.3">
      <c r="G1465" s="459"/>
      <c r="H1465" s="459">
        <v>1458</v>
      </c>
      <c r="I1465" s="444">
        <f t="shared" ca="1" si="128"/>
        <v>-122599055.47321206</v>
      </c>
      <c r="J1465" s="444">
        <f t="array" ref="J1465">IFERROR(INDEX('Retirement Calculator'!J:J,MATCH('Isaac 401k'!N1465,'Retirement Calculator'!A:A,0),0),0)</f>
        <v>0</v>
      </c>
      <c r="K1465" s="444">
        <f t="shared" ca="1" si="126"/>
        <v>-510829.39780505025</v>
      </c>
      <c r="L1465" s="444">
        <f t="shared" ca="1" si="127"/>
        <v>-123109884.87101711</v>
      </c>
      <c r="M1465" s="460">
        <f t="shared" si="129"/>
        <v>0.05</v>
      </c>
      <c r="N1465" s="464">
        <f t="shared" si="130"/>
        <v>95635</v>
      </c>
    </row>
    <row r="1466" spans="7:14" ht="11.25" customHeight="1" x14ac:dyDescent="0.3">
      <c r="G1466" s="459"/>
      <c r="H1466" s="459">
        <v>1459</v>
      </c>
      <c r="I1466" s="444">
        <f t="shared" ca="1" si="128"/>
        <v>-123109884.87101711</v>
      </c>
      <c r="J1466" s="444">
        <f t="array" ref="J1466">IFERROR(INDEX('Retirement Calculator'!J:J,MATCH('Isaac 401k'!N1466,'Retirement Calculator'!A:A,0),0),0)</f>
        <v>0</v>
      </c>
      <c r="K1466" s="444">
        <f t="shared" ca="1" si="126"/>
        <v>-512957.85362923797</v>
      </c>
      <c r="L1466" s="444">
        <f t="shared" ca="1" si="127"/>
        <v>-123622842.72464634</v>
      </c>
      <c r="M1466" s="460">
        <f t="shared" si="129"/>
        <v>0.05</v>
      </c>
      <c r="N1466" s="464">
        <f t="shared" si="130"/>
        <v>95665</v>
      </c>
    </row>
    <row r="1467" spans="7:14" ht="11.25" customHeight="1" x14ac:dyDescent="0.3">
      <c r="G1467" s="459"/>
      <c r="H1467" s="459">
        <v>1460</v>
      </c>
      <c r="I1467" s="444">
        <f t="shared" ca="1" si="128"/>
        <v>-123622842.72464634</v>
      </c>
      <c r="J1467" s="444">
        <f t="array" ref="J1467">IFERROR(INDEX('Retirement Calculator'!J:J,MATCH('Isaac 401k'!N1467,'Retirement Calculator'!A:A,0),0),0)</f>
        <v>0</v>
      </c>
      <c r="K1467" s="444">
        <f t="shared" ca="1" si="126"/>
        <v>-515095.17801935977</v>
      </c>
      <c r="L1467" s="444">
        <f t="shared" ca="1" si="127"/>
        <v>-124137937.9026657</v>
      </c>
      <c r="M1467" s="460">
        <f t="shared" si="129"/>
        <v>0.05</v>
      </c>
      <c r="N1467" s="464">
        <f t="shared" si="130"/>
        <v>95696</v>
      </c>
    </row>
    <row r="1468" spans="7:14" ht="11.25" customHeight="1" x14ac:dyDescent="0.3">
      <c r="G1468" s="459"/>
      <c r="H1468" s="459">
        <v>1461</v>
      </c>
      <c r="I1468" s="444">
        <f t="shared" ca="1" si="128"/>
        <v>-124137937.9026657</v>
      </c>
      <c r="J1468" s="444">
        <f t="array" ref="J1468">IFERROR(INDEX('Retirement Calculator'!J:J,MATCH('Isaac 401k'!N1468,'Retirement Calculator'!A:A,0),0),0)</f>
        <v>0</v>
      </c>
      <c r="K1468" s="444">
        <f t="shared" ca="1" si="126"/>
        <v>-517241.40792777378</v>
      </c>
      <c r="L1468" s="444">
        <f t="shared" ca="1" si="127"/>
        <v>-124655179.31059347</v>
      </c>
      <c r="M1468" s="460">
        <f t="shared" si="129"/>
        <v>0.05</v>
      </c>
      <c r="N1468" s="464">
        <f t="shared" si="130"/>
        <v>95727</v>
      </c>
    </row>
    <row r="1469" spans="7:14" ht="11.25" customHeight="1" x14ac:dyDescent="0.3">
      <c r="G1469" s="459"/>
      <c r="H1469" s="459">
        <v>1462</v>
      </c>
      <c r="I1469" s="444">
        <f t="shared" ca="1" si="128"/>
        <v>-124655179.31059347</v>
      </c>
      <c r="J1469" s="444">
        <f t="array" ref="J1469">IFERROR(INDEX('Retirement Calculator'!J:J,MATCH('Isaac 401k'!N1469,'Retirement Calculator'!A:A,0),0),0)</f>
        <v>0</v>
      </c>
      <c r="K1469" s="444">
        <f t="shared" ca="1" si="126"/>
        <v>-519396.58046080614</v>
      </c>
      <c r="L1469" s="444">
        <f t="shared" ca="1" si="127"/>
        <v>-125174575.89105427</v>
      </c>
      <c r="M1469" s="460">
        <f t="shared" si="129"/>
        <v>0.05</v>
      </c>
      <c r="N1469" s="464">
        <f t="shared" si="130"/>
        <v>95755</v>
      </c>
    </row>
    <row r="1470" spans="7:14" ht="11.25" customHeight="1" x14ac:dyDescent="0.3">
      <c r="G1470" s="459"/>
      <c r="H1470" s="459">
        <v>1463</v>
      </c>
      <c r="I1470" s="444">
        <f t="shared" ca="1" si="128"/>
        <v>-125174575.89105427</v>
      </c>
      <c r="J1470" s="444">
        <f t="array" ref="J1470">IFERROR(INDEX('Retirement Calculator'!J:J,MATCH('Isaac 401k'!N1470,'Retirement Calculator'!A:A,0),0),0)</f>
        <v>0</v>
      </c>
      <c r="K1470" s="444">
        <f t="shared" ca="1" si="126"/>
        <v>-521560.7328793928</v>
      </c>
      <c r="L1470" s="444">
        <f t="shared" ca="1" si="127"/>
        <v>-125696136.62393367</v>
      </c>
      <c r="M1470" s="460">
        <f t="shared" si="129"/>
        <v>0.05</v>
      </c>
      <c r="N1470" s="464">
        <f t="shared" si="130"/>
        <v>95786</v>
      </c>
    </row>
    <row r="1471" spans="7:14" ht="11.25" customHeight="1" x14ac:dyDescent="0.3">
      <c r="G1471" s="459"/>
      <c r="H1471" s="459">
        <v>1464</v>
      </c>
      <c r="I1471" s="444">
        <f t="shared" ca="1" si="128"/>
        <v>-125696136.62393367</v>
      </c>
      <c r="J1471" s="444">
        <f t="array" ref="J1471">IFERROR(INDEX('Retirement Calculator'!J:J,MATCH('Isaac 401k'!N1471,'Retirement Calculator'!A:A,0),0),0)</f>
        <v>0</v>
      </c>
      <c r="K1471" s="444">
        <f t="shared" ca="1" si="126"/>
        <v>-523733.9025997236</v>
      </c>
      <c r="L1471" s="444">
        <f t="shared" ca="1" si="127"/>
        <v>-126219870.5265334</v>
      </c>
      <c r="M1471" s="460">
        <f t="shared" si="129"/>
        <v>0.05</v>
      </c>
      <c r="N1471" s="464">
        <f t="shared" si="130"/>
        <v>95816</v>
      </c>
    </row>
    <row r="1472" spans="7:14" ht="11.25" customHeight="1" x14ac:dyDescent="0.3">
      <c r="G1472" s="459"/>
      <c r="H1472" s="459">
        <v>1465</v>
      </c>
      <c r="I1472" s="444">
        <f t="shared" ca="1" si="128"/>
        <v>-126219870.5265334</v>
      </c>
      <c r="J1472" s="444">
        <f t="array" ref="J1472">IFERROR(INDEX('Retirement Calculator'!J:J,MATCH('Isaac 401k'!N1472,'Retirement Calculator'!A:A,0),0),0)</f>
        <v>0</v>
      </c>
      <c r="K1472" s="444">
        <f t="shared" ca="1" si="126"/>
        <v>-525916.12719388912</v>
      </c>
      <c r="L1472" s="444">
        <f t="shared" ca="1" si="127"/>
        <v>-126745786.65372728</v>
      </c>
      <c r="M1472" s="460">
        <f t="shared" si="129"/>
        <v>0.05</v>
      </c>
      <c r="N1472" s="464">
        <f t="shared" si="130"/>
        <v>95847</v>
      </c>
    </row>
    <row r="1473" spans="7:14" ht="11.25" customHeight="1" x14ac:dyDescent="0.3">
      <c r="G1473" s="459"/>
      <c r="H1473" s="459">
        <v>1466</v>
      </c>
      <c r="I1473" s="444">
        <f t="shared" ca="1" si="128"/>
        <v>-126745786.65372728</v>
      </c>
      <c r="J1473" s="444">
        <f t="array" ref="J1473">IFERROR(INDEX('Retirement Calculator'!J:J,MATCH('Isaac 401k'!N1473,'Retirement Calculator'!A:A,0),0),0)</f>
        <v>0</v>
      </c>
      <c r="K1473" s="444">
        <f t="shared" ca="1" si="126"/>
        <v>-528107.44439053023</v>
      </c>
      <c r="L1473" s="444">
        <f t="shared" ca="1" si="127"/>
        <v>-127273894.09811781</v>
      </c>
      <c r="M1473" s="460">
        <f t="shared" si="129"/>
        <v>0.05</v>
      </c>
      <c r="N1473" s="464">
        <f t="shared" si="130"/>
        <v>95877</v>
      </c>
    </row>
    <row r="1474" spans="7:14" ht="11.25" customHeight="1" x14ac:dyDescent="0.3">
      <c r="G1474" s="459"/>
      <c r="H1474" s="459">
        <v>1467</v>
      </c>
      <c r="I1474" s="444">
        <f t="shared" ca="1" si="128"/>
        <v>-127273894.09811781</v>
      </c>
      <c r="J1474" s="444">
        <f t="array" ref="J1474">IFERROR(INDEX('Retirement Calculator'!J:J,MATCH('Isaac 401k'!N1474,'Retirement Calculator'!A:A,0),0),0)</f>
        <v>0</v>
      </c>
      <c r="K1474" s="444">
        <f t="shared" ca="1" si="126"/>
        <v>-530307.8920754909</v>
      </c>
      <c r="L1474" s="444">
        <f t="shared" ca="1" si="127"/>
        <v>-127804201.99019331</v>
      </c>
      <c r="M1474" s="460">
        <f t="shared" si="129"/>
        <v>0.05</v>
      </c>
      <c r="N1474" s="464">
        <f t="shared" si="130"/>
        <v>95908</v>
      </c>
    </row>
    <row r="1475" spans="7:14" ht="11.25" customHeight="1" x14ac:dyDescent="0.3">
      <c r="G1475" s="459"/>
      <c r="H1475" s="459">
        <v>1468</v>
      </c>
      <c r="I1475" s="444">
        <f t="shared" ca="1" si="128"/>
        <v>-127804201.99019331</v>
      </c>
      <c r="J1475" s="444">
        <f t="array" ref="J1475">IFERROR(INDEX('Retirement Calculator'!J:J,MATCH('Isaac 401k'!N1475,'Retirement Calculator'!A:A,0),0),0)</f>
        <v>0</v>
      </c>
      <c r="K1475" s="444">
        <f t="shared" ca="1" si="126"/>
        <v>-532517.50829247211</v>
      </c>
      <c r="L1475" s="444">
        <f t="shared" ca="1" si="127"/>
        <v>-128336719.49848577</v>
      </c>
      <c r="M1475" s="460">
        <f t="shared" si="129"/>
        <v>0.05</v>
      </c>
      <c r="N1475" s="464">
        <f t="shared" si="130"/>
        <v>95939</v>
      </c>
    </row>
    <row r="1476" spans="7:14" ht="11.25" customHeight="1" x14ac:dyDescent="0.3">
      <c r="G1476" s="459"/>
      <c r="H1476" s="459">
        <v>1469</v>
      </c>
      <c r="I1476" s="444">
        <f t="shared" ca="1" si="128"/>
        <v>-128336719.49848577</v>
      </c>
      <c r="J1476" s="444">
        <f t="array" ref="J1476">IFERROR(INDEX('Retirement Calculator'!J:J,MATCH('Isaac 401k'!N1476,'Retirement Calculator'!A:A,0),0),0)</f>
        <v>0</v>
      </c>
      <c r="K1476" s="444">
        <f t="shared" ca="1" si="126"/>
        <v>-534736.33124369069</v>
      </c>
      <c r="L1476" s="444">
        <f t="shared" ca="1" si="127"/>
        <v>-128871455.82972947</v>
      </c>
      <c r="M1476" s="460">
        <f t="shared" si="129"/>
        <v>0.05</v>
      </c>
      <c r="N1476" s="464">
        <f t="shared" si="130"/>
        <v>95969</v>
      </c>
    </row>
    <row r="1477" spans="7:14" ht="11.25" customHeight="1" x14ac:dyDescent="0.3">
      <c r="G1477" s="459"/>
      <c r="H1477" s="459">
        <v>1470</v>
      </c>
      <c r="I1477" s="444">
        <f t="shared" ca="1" si="128"/>
        <v>-128871455.82972947</v>
      </c>
      <c r="J1477" s="444">
        <f t="array" ref="J1477">IFERROR(INDEX('Retirement Calculator'!J:J,MATCH('Isaac 401k'!N1477,'Retirement Calculator'!A:A,0),0),0)</f>
        <v>0</v>
      </c>
      <c r="K1477" s="444">
        <f t="shared" ca="1" si="126"/>
        <v>-536964.39929053944</v>
      </c>
      <c r="L1477" s="444">
        <f t="shared" ca="1" si="127"/>
        <v>-129408420.22902001</v>
      </c>
      <c r="M1477" s="460">
        <f t="shared" si="129"/>
        <v>0.05</v>
      </c>
      <c r="N1477" s="464">
        <f t="shared" si="130"/>
        <v>96000</v>
      </c>
    </row>
    <row r="1478" spans="7:14" ht="11.25" customHeight="1" x14ac:dyDescent="0.3">
      <c r="G1478" s="459"/>
      <c r="H1478" s="459">
        <v>1471</v>
      </c>
      <c r="I1478" s="444">
        <f t="shared" ca="1" si="128"/>
        <v>-129408420.22902001</v>
      </c>
      <c r="J1478" s="444">
        <f t="array" ref="J1478">IFERROR(INDEX('Retirement Calculator'!J:J,MATCH('Isaac 401k'!N1478,'Retirement Calculator'!A:A,0),0),0)</f>
        <v>0</v>
      </c>
      <c r="K1478" s="444">
        <f t="shared" ca="1" si="126"/>
        <v>-539201.75095424999</v>
      </c>
      <c r="L1478" s="444">
        <f t="shared" ca="1" si="127"/>
        <v>-129947621.97997427</v>
      </c>
      <c r="M1478" s="460">
        <f t="shared" si="129"/>
        <v>0.05</v>
      </c>
      <c r="N1478" s="464">
        <f t="shared" si="130"/>
        <v>96030</v>
      </c>
    </row>
    <row r="1479" spans="7:14" ht="11.25" customHeight="1" x14ac:dyDescent="0.3">
      <c r="G1479" s="459"/>
      <c r="H1479" s="459">
        <v>1472</v>
      </c>
      <c r="I1479" s="444">
        <f t="shared" ca="1" si="128"/>
        <v>-129947621.97997427</v>
      </c>
      <c r="J1479" s="444">
        <f t="array" ref="J1479">IFERROR(INDEX('Retirement Calculator'!J:J,MATCH('Isaac 401k'!N1479,'Retirement Calculator'!A:A,0),0),0)</f>
        <v>0</v>
      </c>
      <c r="K1479" s="444">
        <f t="shared" ca="1" si="126"/>
        <v>-541448.42491655948</v>
      </c>
      <c r="L1479" s="444">
        <f t="shared" ca="1" si="127"/>
        <v>-130489070.40489084</v>
      </c>
      <c r="M1479" s="460">
        <f t="shared" si="129"/>
        <v>0.05</v>
      </c>
      <c r="N1479" s="464">
        <f t="shared" si="130"/>
        <v>96061</v>
      </c>
    </row>
    <row r="1480" spans="7:14" ht="11.25" customHeight="1" x14ac:dyDescent="0.3">
      <c r="G1480" s="459"/>
      <c r="H1480" s="459">
        <v>1473</v>
      </c>
      <c r="I1480" s="444">
        <f t="shared" ca="1" si="128"/>
        <v>-130489070.40489084</v>
      </c>
      <c r="J1480" s="444">
        <f t="array" ref="J1480">IFERROR(INDEX('Retirement Calculator'!J:J,MATCH('Isaac 401k'!N1480,'Retirement Calculator'!A:A,0),0),0)</f>
        <v>0</v>
      </c>
      <c r="K1480" s="444">
        <f t="shared" ca="1" si="126"/>
        <v>-543704.46002037846</v>
      </c>
      <c r="L1480" s="444">
        <f t="shared" ca="1" si="127"/>
        <v>-131032774.86491121</v>
      </c>
      <c r="M1480" s="460">
        <f t="shared" si="129"/>
        <v>0.05</v>
      </c>
      <c r="N1480" s="464">
        <f t="shared" si="130"/>
        <v>96092</v>
      </c>
    </row>
    <row r="1481" spans="7:14" ht="11.25" customHeight="1" x14ac:dyDescent="0.3">
      <c r="G1481" s="459"/>
      <c r="H1481" s="459">
        <v>1474</v>
      </c>
      <c r="I1481" s="444">
        <f t="shared" ca="1" si="128"/>
        <v>-131032774.86491121</v>
      </c>
      <c r="J1481" s="444">
        <f t="array" ref="J1481">IFERROR(INDEX('Retirement Calculator'!J:J,MATCH('Isaac 401k'!N1481,'Retirement Calculator'!A:A,0),0),0)</f>
        <v>0</v>
      </c>
      <c r="K1481" s="444">
        <f t="shared" ca="1" si="126"/>
        <v>-545969.89527046343</v>
      </c>
      <c r="L1481" s="444">
        <f t="shared" ca="1" si="127"/>
        <v>-131578744.76018168</v>
      </c>
      <c r="M1481" s="460">
        <f t="shared" si="129"/>
        <v>0.05</v>
      </c>
      <c r="N1481" s="464">
        <f t="shared" si="130"/>
        <v>96120</v>
      </c>
    </row>
    <row r="1482" spans="7:14" ht="11.25" customHeight="1" x14ac:dyDescent="0.3">
      <c r="G1482" s="459"/>
      <c r="H1482" s="459">
        <v>1475</v>
      </c>
      <c r="I1482" s="444">
        <f t="shared" ca="1" si="128"/>
        <v>-131578744.76018168</v>
      </c>
      <c r="J1482" s="444">
        <f t="array" ref="J1482">IFERROR(INDEX('Retirement Calculator'!J:J,MATCH('Isaac 401k'!N1482,'Retirement Calculator'!A:A,0),0),0)</f>
        <v>0</v>
      </c>
      <c r="K1482" s="444">
        <f t="shared" ca="1" si="126"/>
        <v>-548244.76983409037</v>
      </c>
      <c r="L1482" s="444">
        <f t="shared" ca="1" si="127"/>
        <v>-132126989.53001577</v>
      </c>
      <c r="M1482" s="460">
        <f t="shared" si="129"/>
        <v>0.05</v>
      </c>
      <c r="N1482" s="464">
        <f t="shared" si="130"/>
        <v>96151</v>
      </c>
    </row>
    <row r="1483" spans="7:14" ht="11.25" customHeight="1" x14ac:dyDescent="0.3">
      <c r="G1483" s="459"/>
      <c r="H1483" s="459">
        <v>1476</v>
      </c>
      <c r="I1483" s="444">
        <f t="shared" ca="1" si="128"/>
        <v>-132126989.53001577</v>
      </c>
      <c r="J1483" s="444">
        <f t="array" ref="J1483">IFERROR(INDEX('Retirement Calculator'!J:J,MATCH('Isaac 401k'!N1483,'Retirement Calculator'!A:A,0),0),0)</f>
        <v>0</v>
      </c>
      <c r="K1483" s="444">
        <f t="shared" ca="1" si="126"/>
        <v>-550529.12304173224</v>
      </c>
      <c r="L1483" s="444">
        <f t="shared" ca="1" si="127"/>
        <v>-132677518.6530575</v>
      </c>
      <c r="M1483" s="460">
        <f t="shared" si="129"/>
        <v>0.05</v>
      </c>
      <c r="N1483" s="464">
        <f t="shared" si="130"/>
        <v>96181</v>
      </c>
    </row>
    <row r="1484" spans="7:14" ht="11.25" customHeight="1" x14ac:dyDescent="0.3">
      <c r="G1484" s="459"/>
      <c r="H1484" s="459">
        <v>1477</v>
      </c>
      <c r="I1484" s="444">
        <f t="shared" ca="1" si="128"/>
        <v>-132677518.6530575</v>
      </c>
      <c r="J1484" s="444">
        <f t="array" ref="J1484">IFERROR(INDEX('Retirement Calculator'!J:J,MATCH('Isaac 401k'!N1484,'Retirement Calculator'!A:A,0),0),0)</f>
        <v>0</v>
      </c>
      <c r="K1484" s="444">
        <f t="shared" ca="1" si="126"/>
        <v>-552822.99438773957</v>
      </c>
      <c r="L1484" s="444">
        <f t="shared" ca="1" si="127"/>
        <v>-133230341.64744525</v>
      </c>
      <c r="M1484" s="460">
        <f t="shared" si="129"/>
        <v>0.05</v>
      </c>
      <c r="N1484" s="464">
        <f t="shared" si="130"/>
        <v>96212</v>
      </c>
    </row>
    <row r="1485" spans="7:14" ht="11.25" customHeight="1" x14ac:dyDescent="0.3">
      <c r="G1485" s="459"/>
      <c r="H1485" s="459">
        <v>1478</v>
      </c>
      <c r="I1485" s="444">
        <f t="shared" ca="1" si="128"/>
        <v>-133230341.64744525</v>
      </c>
      <c r="J1485" s="444">
        <f t="array" ref="J1485">IFERROR(INDEX('Retirement Calculator'!J:J,MATCH('Isaac 401k'!N1485,'Retirement Calculator'!A:A,0),0),0)</f>
        <v>0</v>
      </c>
      <c r="K1485" s="444">
        <f t="shared" ca="1" si="126"/>
        <v>-555126.42353102181</v>
      </c>
      <c r="L1485" s="444">
        <f t="shared" ca="1" si="127"/>
        <v>-133785468.07097627</v>
      </c>
      <c r="M1485" s="460">
        <f t="shared" si="129"/>
        <v>0.05</v>
      </c>
      <c r="N1485" s="464">
        <f t="shared" si="130"/>
        <v>96242</v>
      </c>
    </row>
    <row r="1486" spans="7:14" ht="11.25" customHeight="1" x14ac:dyDescent="0.3">
      <c r="G1486" s="459"/>
      <c r="H1486" s="459">
        <v>1479</v>
      </c>
      <c r="I1486" s="444">
        <f t="shared" ca="1" si="128"/>
        <v>-133785468.07097627</v>
      </c>
      <c r="J1486" s="444">
        <f t="array" ref="J1486">IFERROR(INDEX('Retirement Calculator'!J:J,MATCH('Isaac 401k'!N1486,'Retirement Calculator'!A:A,0),0),0)</f>
        <v>0</v>
      </c>
      <c r="K1486" s="444">
        <f t="shared" ca="1" si="126"/>
        <v>-557439.45029573457</v>
      </c>
      <c r="L1486" s="444">
        <f t="shared" ca="1" si="127"/>
        <v>-134342907.521272</v>
      </c>
      <c r="M1486" s="460">
        <f t="shared" si="129"/>
        <v>0.05</v>
      </c>
      <c r="N1486" s="464">
        <f t="shared" si="130"/>
        <v>96273</v>
      </c>
    </row>
    <row r="1487" spans="7:14" ht="11.25" customHeight="1" x14ac:dyDescent="0.3">
      <c r="G1487" s="459"/>
      <c r="H1487" s="459">
        <v>1480</v>
      </c>
      <c r="I1487" s="444">
        <f t="shared" ca="1" si="128"/>
        <v>-134342907.521272</v>
      </c>
      <c r="J1487" s="444">
        <f t="array" ref="J1487">IFERROR(INDEX('Retirement Calculator'!J:J,MATCH('Isaac 401k'!N1487,'Retirement Calculator'!A:A,0),0),0)</f>
        <v>0</v>
      </c>
      <c r="K1487" s="444">
        <f t="shared" ca="1" si="126"/>
        <v>-559762.11467196664</v>
      </c>
      <c r="L1487" s="444">
        <f t="shared" ca="1" si="127"/>
        <v>-134902669.63594398</v>
      </c>
      <c r="M1487" s="460">
        <f t="shared" si="129"/>
        <v>0.05</v>
      </c>
      <c r="N1487" s="464">
        <f t="shared" si="130"/>
        <v>96304</v>
      </c>
    </row>
    <row r="1488" spans="7:14" ht="11.25" customHeight="1" x14ac:dyDescent="0.3">
      <c r="G1488" s="459"/>
      <c r="H1488" s="459">
        <v>1481</v>
      </c>
      <c r="I1488" s="444">
        <f t="shared" ca="1" si="128"/>
        <v>-134902669.63594398</v>
      </c>
      <c r="J1488" s="444">
        <f t="array" ref="J1488">IFERROR(INDEX('Retirement Calculator'!J:J,MATCH('Isaac 401k'!N1488,'Retirement Calculator'!A:A,0),0),0)</f>
        <v>0</v>
      </c>
      <c r="K1488" s="444">
        <f t="shared" ca="1" si="126"/>
        <v>-562094.45681643323</v>
      </c>
      <c r="L1488" s="444">
        <f t="shared" ca="1" si="127"/>
        <v>-135464764.09276041</v>
      </c>
      <c r="M1488" s="460">
        <f t="shared" si="129"/>
        <v>0.05</v>
      </c>
      <c r="N1488" s="464">
        <f t="shared" si="130"/>
        <v>96334</v>
      </c>
    </row>
    <row r="1489" spans="7:14" ht="11.25" customHeight="1" x14ac:dyDescent="0.3">
      <c r="G1489" s="459"/>
      <c r="H1489" s="459">
        <v>1482</v>
      </c>
      <c r="I1489" s="444">
        <f t="shared" ca="1" si="128"/>
        <v>-135464764.09276041</v>
      </c>
      <c r="J1489" s="444">
        <f t="array" ref="J1489">IFERROR(INDEX('Retirement Calculator'!J:J,MATCH('Isaac 401k'!N1489,'Retirement Calculator'!A:A,0),0),0)</f>
        <v>0</v>
      </c>
      <c r="K1489" s="444">
        <f t="shared" ca="1" si="126"/>
        <v>-564436.51705316838</v>
      </c>
      <c r="L1489" s="444">
        <f t="shared" ca="1" si="127"/>
        <v>-136029200.60981357</v>
      </c>
      <c r="M1489" s="460">
        <f t="shared" si="129"/>
        <v>0.05</v>
      </c>
      <c r="N1489" s="464">
        <f t="shared" si="130"/>
        <v>96365</v>
      </c>
    </row>
    <row r="1490" spans="7:14" ht="11.25" customHeight="1" x14ac:dyDescent="0.3">
      <c r="G1490" s="459"/>
      <c r="H1490" s="459">
        <v>1483</v>
      </c>
      <c r="I1490" s="444">
        <f t="shared" ca="1" si="128"/>
        <v>-136029200.60981357</v>
      </c>
      <c r="J1490" s="444">
        <f t="array" ref="J1490">IFERROR(INDEX('Retirement Calculator'!J:J,MATCH('Isaac 401k'!N1490,'Retirement Calculator'!A:A,0),0),0)</f>
        <v>0</v>
      </c>
      <c r="K1490" s="444">
        <f t="shared" ca="1" si="126"/>
        <v>-566788.33587422315</v>
      </c>
      <c r="L1490" s="444">
        <f t="shared" ca="1" si="127"/>
        <v>-136595988.9456878</v>
      </c>
      <c r="M1490" s="460">
        <f t="shared" si="129"/>
        <v>0.05</v>
      </c>
      <c r="N1490" s="464">
        <f t="shared" si="130"/>
        <v>96395</v>
      </c>
    </row>
    <row r="1491" spans="7:14" ht="11.25" customHeight="1" x14ac:dyDescent="0.3">
      <c r="G1491" s="459"/>
      <c r="H1491" s="459">
        <v>1484</v>
      </c>
      <c r="I1491" s="444">
        <f t="shared" ca="1" si="128"/>
        <v>-136595988.9456878</v>
      </c>
      <c r="J1491" s="444">
        <f t="array" ref="J1491">IFERROR(INDEX('Retirement Calculator'!J:J,MATCH('Isaac 401k'!N1491,'Retirement Calculator'!A:A,0),0),0)</f>
        <v>0</v>
      </c>
      <c r="K1491" s="444">
        <f t="shared" ca="1" si="126"/>
        <v>-569149.95394036581</v>
      </c>
      <c r="L1491" s="444">
        <f t="shared" ca="1" si="127"/>
        <v>-137165138.89962816</v>
      </c>
      <c r="M1491" s="460">
        <f t="shared" si="129"/>
        <v>0.05</v>
      </c>
      <c r="N1491" s="464">
        <f t="shared" si="130"/>
        <v>96426</v>
      </c>
    </row>
    <row r="1492" spans="7:14" ht="11.25" customHeight="1" x14ac:dyDescent="0.3">
      <c r="G1492" s="459"/>
      <c r="H1492" s="459">
        <v>1485</v>
      </c>
      <c r="I1492" s="444">
        <f t="shared" ca="1" si="128"/>
        <v>-137165138.89962816</v>
      </c>
      <c r="J1492" s="444">
        <f t="array" ref="J1492">IFERROR(INDEX('Retirement Calculator'!J:J,MATCH('Isaac 401k'!N1492,'Retirement Calculator'!A:A,0),0),0)</f>
        <v>0</v>
      </c>
      <c r="K1492" s="444">
        <f t="shared" ca="1" si="126"/>
        <v>-571521.41208178399</v>
      </c>
      <c r="L1492" s="444">
        <f t="shared" ca="1" si="127"/>
        <v>-137736660.31170994</v>
      </c>
      <c r="M1492" s="460">
        <f t="shared" si="129"/>
        <v>0.05</v>
      </c>
      <c r="N1492" s="464">
        <f t="shared" si="130"/>
        <v>96457</v>
      </c>
    </row>
    <row r="1493" spans="7:14" ht="11.25" customHeight="1" x14ac:dyDescent="0.3">
      <c r="G1493" s="459"/>
      <c r="H1493" s="459">
        <v>1486</v>
      </c>
      <c r="I1493" s="444">
        <f t="shared" ca="1" si="128"/>
        <v>-137736660.31170994</v>
      </c>
      <c r="J1493" s="444">
        <f t="array" ref="J1493">IFERROR(INDEX('Retirement Calculator'!J:J,MATCH('Isaac 401k'!N1493,'Retirement Calculator'!A:A,0),0),0)</f>
        <v>0</v>
      </c>
      <c r="K1493" s="444">
        <f t="shared" ca="1" si="126"/>
        <v>-573902.75129879138</v>
      </c>
      <c r="L1493" s="444">
        <f t="shared" ca="1" si="127"/>
        <v>-138310563.06300873</v>
      </c>
      <c r="M1493" s="460">
        <f t="shared" si="129"/>
        <v>0.05</v>
      </c>
      <c r="N1493" s="464">
        <f t="shared" si="130"/>
        <v>96486</v>
      </c>
    </row>
    <row r="1494" spans="7:14" ht="11.25" customHeight="1" x14ac:dyDescent="0.3">
      <c r="G1494" s="459"/>
      <c r="H1494" s="459">
        <v>1487</v>
      </c>
      <c r="I1494" s="444">
        <f t="shared" ca="1" si="128"/>
        <v>-138310563.06300873</v>
      </c>
      <c r="J1494" s="444">
        <f t="array" ref="J1494">IFERROR(INDEX('Retirement Calculator'!J:J,MATCH('Isaac 401k'!N1494,'Retirement Calculator'!A:A,0),0),0)</f>
        <v>0</v>
      </c>
      <c r="K1494" s="444">
        <f t="shared" ca="1" si="126"/>
        <v>-576294.01276253629</v>
      </c>
      <c r="L1494" s="444">
        <f t="shared" ca="1" si="127"/>
        <v>-138886857.07577127</v>
      </c>
      <c r="M1494" s="460">
        <f t="shared" si="129"/>
        <v>0.05</v>
      </c>
      <c r="N1494" s="464">
        <f t="shared" si="130"/>
        <v>96517</v>
      </c>
    </row>
    <row r="1495" spans="7:14" ht="11.25" customHeight="1" x14ac:dyDescent="0.3">
      <c r="G1495" s="459"/>
      <c r="H1495" s="459">
        <v>1488</v>
      </c>
      <c r="I1495" s="444">
        <f t="shared" ca="1" si="128"/>
        <v>-138886857.07577127</v>
      </c>
      <c r="J1495" s="444">
        <f t="array" ref="J1495">IFERROR(INDEX('Retirement Calculator'!J:J,MATCH('Isaac 401k'!N1495,'Retirement Calculator'!A:A,0),0),0)</f>
        <v>0</v>
      </c>
      <c r="K1495" s="444">
        <f t="shared" ca="1" si="126"/>
        <v>-578695.23781571363</v>
      </c>
      <c r="L1495" s="444">
        <f t="shared" ca="1" si="127"/>
        <v>-139465552.31358698</v>
      </c>
      <c r="M1495" s="460">
        <f t="shared" si="129"/>
        <v>0.05</v>
      </c>
      <c r="N1495" s="464">
        <f t="shared" si="130"/>
        <v>96547</v>
      </c>
    </row>
    <row r="1496" spans="7:14" ht="11.25" customHeight="1" x14ac:dyDescent="0.3">
      <c r="G1496" s="459"/>
      <c r="H1496" s="459">
        <v>1489</v>
      </c>
      <c r="I1496" s="444">
        <f t="shared" ca="1" si="128"/>
        <v>-139465552.31358698</v>
      </c>
      <c r="J1496" s="444">
        <f t="array" ref="J1496">IFERROR(INDEX('Retirement Calculator'!J:J,MATCH('Isaac 401k'!N1496,'Retirement Calculator'!A:A,0),0),0)</f>
        <v>0</v>
      </c>
      <c r="K1496" s="444">
        <f t="shared" ca="1" si="126"/>
        <v>-581106.46797327907</v>
      </c>
      <c r="L1496" s="444">
        <f t="shared" ca="1" si="127"/>
        <v>-140046658.78156027</v>
      </c>
      <c r="M1496" s="460">
        <f t="shared" si="129"/>
        <v>0.05</v>
      </c>
      <c r="N1496" s="464">
        <f t="shared" si="130"/>
        <v>96578</v>
      </c>
    </row>
    <row r="1497" spans="7:14" ht="11.25" customHeight="1" x14ac:dyDescent="0.3">
      <c r="G1497" s="459"/>
      <c r="H1497" s="459">
        <v>1490</v>
      </c>
      <c r="I1497" s="444">
        <f t="shared" ca="1" si="128"/>
        <v>-140046658.78156027</v>
      </c>
      <c r="J1497" s="444">
        <f t="array" ref="J1497">IFERROR(INDEX('Retirement Calculator'!J:J,MATCH('Isaac 401k'!N1497,'Retirement Calculator'!A:A,0),0),0)</f>
        <v>0</v>
      </c>
      <c r="K1497" s="444">
        <f t="shared" ca="1" si="126"/>
        <v>-583527.74492316775</v>
      </c>
      <c r="L1497" s="444">
        <f t="shared" ca="1" si="127"/>
        <v>-140630186.52648345</v>
      </c>
      <c r="M1497" s="460">
        <f t="shared" si="129"/>
        <v>0.05</v>
      </c>
      <c r="N1497" s="464">
        <f t="shared" si="130"/>
        <v>96608</v>
      </c>
    </row>
    <row r="1498" spans="7:14" ht="11.25" customHeight="1" x14ac:dyDescent="0.3">
      <c r="G1498" s="459"/>
      <c r="H1498" s="459">
        <v>1491</v>
      </c>
      <c r="I1498" s="444">
        <f t="shared" ca="1" si="128"/>
        <v>-140630186.52648345</v>
      </c>
      <c r="J1498" s="444">
        <f t="array" ref="J1498">IFERROR(INDEX('Retirement Calculator'!J:J,MATCH('Isaac 401k'!N1498,'Retirement Calculator'!A:A,0),0),0)</f>
        <v>0</v>
      </c>
      <c r="K1498" s="444">
        <f t="shared" ca="1" si="126"/>
        <v>-585959.11052701436</v>
      </c>
      <c r="L1498" s="444">
        <f t="shared" ca="1" si="127"/>
        <v>-141216145.63701046</v>
      </c>
      <c r="M1498" s="460">
        <f t="shared" si="129"/>
        <v>0.05</v>
      </c>
      <c r="N1498" s="464">
        <f t="shared" si="130"/>
        <v>96639</v>
      </c>
    </row>
    <row r="1499" spans="7:14" ht="11.25" customHeight="1" x14ac:dyDescent="0.3">
      <c r="G1499" s="459"/>
      <c r="H1499" s="459">
        <v>1492</v>
      </c>
      <c r="I1499" s="444">
        <f t="shared" ca="1" si="128"/>
        <v>-141216145.63701046</v>
      </c>
      <c r="J1499" s="444">
        <f t="array" ref="J1499">IFERROR(INDEX('Retirement Calculator'!J:J,MATCH('Isaac 401k'!N1499,'Retirement Calculator'!A:A,0),0),0)</f>
        <v>0</v>
      </c>
      <c r="K1499" s="444">
        <f t="shared" ca="1" si="126"/>
        <v>-588400.60682087694</v>
      </c>
      <c r="L1499" s="444">
        <f t="shared" ca="1" si="127"/>
        <v>-141804546.24383134</v>
      </c>
      <c r="M1499" s="460">
        <f t="shared" si="129"/>
        <v>0.05</v>
      </c>
      <c r="N1499" s="464">
        <f t="shared" si="130"/>
        <v>96670</v>
      </c>
    </row>
    <row r="1500" spans="7:14" ht="11.25" customHeight="1" x14ac:dyDescent="0.3">
      <c r="G1500" s="459"/>
      <c r="H1500" s="459">
        <v>1493</v>
      </c>
      <c r="I1500" s="444">
        <f t="shared" ca="1" si="128"/>
        <v>-141804546.24383134</v>
      </c>
      <c r="J1500" s="444">
        <f t="array" ref="J1500">IFERROR(INDEX('Retirement Calculator'!J:J,MATCH('Isaac 401k'!N1500,'Retirement Calculator'!A:A,0),0),0)</f>
        <v>0</v>
      </c>
      <c r="K1500" s="444">
        <f t="shared" ca="1" si="126"/>
        <v>-590852.27601596387</v>
      </c>
      <c r="L1500" s="444">
        <f t="shared" ca="1" si="127"/>
        <v>-142395398.5198473</v>
      </c>
      <c r="M1500" s="460">
        <f t="shared" si="129"/>
        <v>0.05</v>
      </c>
      <c r="N1500" s="464">
        <f t="shared" si="130"/>
        <v>96700</v>
      </c>
    </row>
    <row r="1501" spans="7:14" ht="11.25" customHeight="1" x14ac:dyDescent="0.3">
      <c r="G1501" s="459"/>
      <c r="H1501" s="459">
        <v>1494</v>
      </c>
      <c r="I1501" s="444">
        <f t="shared" ca="1" si="128"/>
        <v>-142395398.5198473</v>
      </c>
      <c r="J1501" s="444">
        <f t="array" ref="J1501">IFERROR(INDEX('Retirement Calculator'!J:J,MATCH('Isaac 401k'!N1501,'Retirement Calculator'!A:A,0),0),0)</f>
        <v>0</v>
      </c>
      <c r="K1501" s="444">
        <f t="shared" ca="1" si="126"/>
        <v>-593314.16049936379</v>
      </c>
      <c r="L1501" s="444">
        <f t="shared" ca="1" si="127"/>
        <v>-142988712.68034667</v>
      </c>
      <c r="M1501" s="460">
        <f t="shared" si="129"/>
        <v>0.05</v>
      </c>
      <c r="N1501" s="464">
        <f t="shared" si="130"/>
        <v>96731</v>
      </c>
    </row>
    <row r="1502" spans="7:14" ht="11.25" customHeight="1" x14ac:dyDescent="0.3">
      <c r="G1502" s="459"/>
      <c r="H1502" s="459">
        <v>1495</v>
      </c>
      <c r="I1502" s="444">
        <f t="shared" ca="1" si="128"/>
        <v>-142988712.68034667</v>
      </c>
      <c r="J1502" s="444">
        <f t="array" ref="J1502">IFERROR(INDEX('Retirement Calculator'!J:J,MATCH('Isaac 401k'!N1502,'Retirement Calculator'!A:A,0),0),0)</f>
        <v>0</v>
      </c>
      <c r="K1502" s="444">
        <f t="shared" ca="1" si="126"/>
        <v>-595786.30283477774</v>
      </c>
      <c r="L1502" s="444">
        <f t="shared" ca="1" si="127"/>
        <v>-143584498.98318145</v>
      </c>
      <c r="M1502" s="460">
        <f t="shared" si="129"/>
        <v>0.05</v>
      </c>
      <c r="N1502" s="464">
        <f t="shared" si="130"/>
        <v>96761</v>
      </c>
    </row>
    <row r="1503" spans="7:14" ht="11.25" customHeight="1" x14ac:dyDescent="0.3">
      <c r="G1503" s="459"/>
      <c r="H1503" s="459">
        <v>1496</v>
      </c>
      <c r="I1503" s="444">
        <f t="shared" ca="1" si="128"/>
        <v>-143584498.98318145</v>
      </c>
      <c r="J1503" s="444">
        <f t="array" ref="J1503">IFERROR(INDEX('Retirement Calculator'!J:J,MATCH('Isaac 401k'!N1503,'Retirement Calculator'!A:A,0),0),0)</f>
        <v>0</v>
      </c>
      <c r="K1503" s="444">
        <f t="shared" ca="1" si="126"/>
        <v>-598268.74576325598</v>
      </c>
      <c r="L1503" s="444">
        <f t="shared" ca="1" si="127"/>
        <v>-144182767.72894469</v>
      </c>
      <c r="M1503" s="460">
        <f t="shared" si="129"/>
        <v>0.05</v>
      </c>
      <c r="N1503" s="464">
        <f t="shared" si="130"/>
        <v>96792</v>
      </c>
    </row>
    <row r="1504" spans="7:14" ht="11.25" customHeight="1" x14ac:dyDescent="0.3">
      <c r="G1504" s="459"/>
      <c r="H1504" s="459">
        <v>1497</v>
      </c>
      <c r="I1504" s="444">
        <f t="shared" ca="1" si="128"/>
        <v>-144182767.72894469</v>
      </c>
      <c r="J1504" s="444">
        <f t="array" ref="J1504">IFERROR(INDEX('Retirement Calculator'!J:J,MATCH('Isaac 401k'!N1504,'Retirement Calculator'!A:A,0),0),0)</f>
        <v>0</v>
      </c>
      <c r="K1504" s="444">
        <f t="shared" ca="1" si="126"/>
        <v>-600761.53220393625</v>
      </c>
      <c r="L1504" s="444">
        <f t="shared" ca="1" si="127"/>
        <v>-144783529.26114863</v>
      </c>
      <c r="M1504" s="460">
        <f t="shared" si="129"/>
        <v>0.05</v>
      </c>
      <c r="N1504" s="464">
        <f t="shared" si="130"/>
        <v>96823</v>
      </c>
    </row>
    <row r="1505" spans="7:14" ht="11.25" customHeight="1" x14ac:dyDescent="0.3">
      <c r="G1505" s="459"/>
      <c r="H1505" s="459">
        <v>1498</v>
      </c>
      <c r="I1505" s="444">
        <f t="shared" ca="1" si="128"/>
        <v>-144783529.26114863</v>
      </c>
      <c r="J1505" s="444">
        <f t="array" ref="J1505">IFERROR(INDEX('Retirement Calculator'!J:J,MATCH('Isaac 401k'!N1505,'Retirement Calculator'!A:A,0),0),0)</f>
        <v>0</v>
      </c>
      <c r="K1505" s="444">
        <f t="shared" ca="1" si="126"/>
        <v>-603264.70525478595</v>
      </c>
      <c r="L1505" s="444">
        <f t="shared" ca="1" si="127"/>
        <v>-145386793.96640342</v>
      </c>
      <c r="M1505" s="460">
        <f t="shared" si="129"/>
        <v>0.05</v>
      </c>
      <c r="N1505" s="464">
        <f t="shared" si="130"/>
        <v>96851</v>
      </c>
    </row>
    <row r="1506" spans="7:14" ht="11.25" customHeight="1" x14ac:dyDescent="0.3">
      <c r="G1506" s="459"/>
      <c r="H1506" s="459">
        <v>1499</v>
      </c>
      <c r="I1506" s="444">
        <f t="shared" ca="1" si="128"/>
        <v>-145386793.96640342</v>
      </c>
      <c r="J1506" s="444">
        <f t="array" ref="J1506">IFERROR(INDEX('Retirement Calculator'!J:J,MATCH('Isaac 401k'!N1506,'Retirement Calculator'!A:A,0),0),0)</f>
        <v>0</v>
      </c>
      <c r="K1506" s="444">
        <f t="shared" ca="1" si="126"/>
        <v>-605778.30819334765</v>
      </c>
      <c r="L1506" s="444">
        <f t="shared" ca="1" si="127"/>
        <v>-145992572.27459678</v>
      </c>
      <c r="M1506" s="460">
        <f t="shared" si="129"/>
        <v>0.05</v>
      </c>
      <c r="N1506" s="464">
        <f t="shared" si="130"/>
        <v>96882</v>
      </c>
    </row>
    <row r="1507" spans="7:14" ht="11.25" customHeight="1" x14ac:dyDescent="0.3">
      <c r="G1507" s="459"/>
      <c r="H1507" s="459">
        <v>1500</v>
      </c>
      <c r="I1507" s="444">
        <f t="shared" ca="1" si="128"/>
        <v>-145992572.27459678</v>
      </c>
      <c r="J1507" s="444">
        <f t="array" ref="J1507">IFERROR(INDEX('Retirement Calculator'!J:J,MATCH('Isaac 401k'!N1507,'Retirement Calculator'!A:A,0),0),0)</f>
        <v>0</v>
      </c>
      <c r="K1507" s="444">
        <f t="shared" ca="1" si="126"/>
        <v>-608302.3844774866</v>
      </c>
      <c r="L1507" s="444">
        <f t="shared" ca="1" si="127"/>
        <v>-146600874.65907428</v>
      </c>
      <c r="M1507" s="460">
        <f t="shared" si="129"/>
        <v>0.05</v>
      </c>
      <c r="N1507" s="464">
        <f t="shared" si="130"/>
        <v>96912</v>
      </c>
    </row>
    <row r="1508" spans="7:14" ht="11.25" customHeight="1" x14ac:dyDescent="0.3">
      <c r="G1508" s="459"/>
      <c r="H1508" s="459">
        <v>1501</v>
      </c>
      <c r="I1508" s="444">
        <f t="shared" ca="1" si="128"/>
        <v>-146600874.65907428</v>
      </c>
      <c r="J1508" s="444">
        <f t="array" ref="J1508">IFERROR(INDEX('Retirement Calculator'!J:J,MATCH('Isaac 401k'!N1508,'Retirement Calculator'!A:A,0),0),0)</f>
        <v>0</v>
      </c>
      <c r="K1508" s="444">
        <f t="shared" ca="1" si="126"/>
        <v>-610836.97774614277</v>
      </c>
      <c r="L1508" s="444">
        <f t="shared" ca="1" si="127"/>
        <v>-147211711.63682041</v>
      </c>
      <c r="M1508" s="460">
        <f t="shared" si="129"/>
        <v>0.05</v>
      </c>
      <c r="N1508" s="464">
        <f t="shared" si="130"/>
        <v>96943</v>
      </c>
    </row>
    <row r="1509" spans="7:14" ht="11.25" customHeight="1" x14ac:dyDescent="0.3">
      <c r="G1509" s="459"/>
      <c r="H1509" s="459">
        <v>1502</v>
      </c>
      <c r="I1509" s="444">
        <f t="shared" ca="1" si="128"/>
        <v>-147211711.63682041</v>
      </c>
      <c r="J1509" s="444">
        <f t="array" ref="J1509">IFERROR(INDEX('Retirement Calculator'!J:J,MATCH('Isaac 401k'!N1509,'Retirement Calculator'!A:A,0),0),0)</f>
        <v>0</v>
      </c>
      <c r="K1509" s="444">
        <f t="shared" ca="1" si="126"/>
        <v>-613382.13182008499</v>
      </c>
      <c r="L1509" s="444">
        <f t="shared" ca="1" si="127"/>
        <v>-147825093.76864049</v>
      </c>
      <c r="M1509" s="460">
        <f t="shared" si="129"/>
        <v>0.05</v>
      </c>
      <c r="N1509" s="464">
        <f t="shared" si="130"/>
        <v>96973</v>
      </c>
    </row>
    <row r="1510" spans="7:14" ht="11.25" customHeight="1" x14ac:dyDescent="0.3">
      <c r="G1510" s="459"/>
      <c r="H1510" s="459">
        <v>1503</v>
      </c>
      <c r="I1510" s="444">
        <f t="shared" ca="1" si="128"/>
        <v>-147825093.76864049</v>
      </c>
      <c r="J1510" s="444">
        <f t="array" ref="J1510">IFERROR(INDEX('Retirement Calculator'!J:J,MATCH('Isaac 401k'!N1510,'Retirement Calculator'!A:A,0),0),0)</f>
        <v>0</v>
      </c>
      <c r="K1510" s="444">
        <f t="shared" ca="1" si="126"/>
        <v>-615937.89070266869</v>
      </c>
      <c r="L1510" s="444">
        <f t="shared" ca="1" si="127"/>
        <v>-148441031.65934315</v>
      </c>
      <c r="M1510" s="460">
        <f t="shared" si="129"/>
        <v>0.05</v>
      </c>
      <c r="N1510" s="464">
        <f t="shared" si="130"/>
        <v>97004</v>
      </c>
    </row>
    <row r="1511" spans="7:14" ht="11.25" customHeight="1" x14ac:dyDescent="0.3">
      <c r="G1511" s="459"/>
      <c r="H1511" s="459">
        <v>1504</v>
      </c>
      <c r="I1511" s="444">
        <f t="shared" ca="1" si="128"/>
        <v>-148441031.65934315</v>
      </c>
      <c r="J1511" s="444">
        <f t="array" ref="J1511">IFERROR(INDEX('Retirement Calculator'!J:J,MATCH('Isaac 401k'!N1511,'Retirement Calculator'!A:A,0),0),0)</f>
        <v>0</v>
      </c>
      <c r="K1511" s="444">
        <f t="shared" ca="1" si="126"/>
        <v>-618504.29858059646</v>
      </c>
      <c r="L1511" s="444">
        <f t="shared" ca="1" si="127"/>
        <v>-149059535.95792374</v>
      </c>
      <c r="M1511" s="460">
        <f t="shared" si="129"/>
        <v>0.05</v>
      </c>
      <c r="N1511" s="464">
        <f t="shared" si="130"/>
        <v>97035</v>
      </c>
    </row>
    <row r="1512" spans="7:14" ht="11.25" customHeight="1" x14ac:dyDescent="0.3">
      <c r="G1512" s="459"/>
      <c r="H1512" s="459">
        <v>1505</v>
      </c>
      <c r="I1512" s="444">
        <f t="shared" ca="1" si="128"/>
        <v>-149059535.95792374</v>
      </c>
      <c r="J1512" s="444">
        <f t="array" ref="J1512">IFERROR(INDEX('Retirement Calculator'!J:J,MATCH('Isaac 401k'!N1512,'Retirement Calculator'!A:A,0),0),0)</f>
        <v>0</v>
      </c>
      <c r="K1512" s="444">
        <f t="shared" ca="1" si="126"/>
        <v>-621081.39982468227</v>
      </c>
      <c r="L1512" s="444">
        <f t="shared" ca="1" si="127"/>
        <v>-149680617.35774842</v>
      </c>
      <c r="M1512" s="460">
        <f t="shared" si="129"/>
        <v>0.05</v>
      </c>
      <c r="N1512" s="464">
        <f t="shared" si="130"/>
        <v>97065</v>
      </c>
    </row>
    <row r="1513" spans="7:14" ht="11.25" customHeight="1" x14ac:dyDescent="0.3">
      <c r="G1513" s="459"/>
      <c r="H1513" s="459">
        <v>1506</v>
      </c>
      <c r="I1513" s="444">
        <f t="shared" ca="1" si="128"/>
        <v>-149680617.35774842</v>
      </c>
      <c r="J1513" s="444">
        <f t="array" ref="J1513">IFERROR(INDEX('Retirement Calculator'!J:J,MATCH('Isaac 401k'!N1513,'Retirement Calculator'!A:A,0),0),0)</f>
        <v>0</v>
      </c>
      <c r="K1513" s="444">
        <f t="shared" ca="1" si="126"/>
        <v>-623669.23899061838</v>
      </c>
      <c r="L1513" s="444">
        <f t="shared" ca="1" si="127"/>
        <v>-150304286.59673902</v>
      </c>
      <c r="M1513" s="460">
        <f t="shared" si="129"/>
        <v>0.05</v>
      </c>
      <c r="N1513" s="464">
        <f t="shared" si="130"/>
        <v>97096</v>
      </c>
    </row>
    <row r="1514" spans="7:14" ht="11.25" customHeight="1" x14ac:dyDescent="0.3">
      <c r="G1514" s="459"/>
      <c r="H1514" s="459">
        <v>1507</v>
      </c>
      <c r="I1514" s="444">
        <f t="shared" ca="1" si="128"/>
        <v>-150304286.59673902</v>
      </c>
      <c r="J1514" s="444">
        <f t="array" ref="J1514">IFERROR(INDEX('Retirement Calculator'!J:J,MATCH('Isaac 401k'!N1514,'Retirement Calculator'!A:A,0),0),0)</f>
        <v>0</v>
      </c>
      <c r="K1514" s="444">
        <f t="shared" ca="1" si="126"/>
        <v>-626267.86081974593</v>
      </c>
      <c r="L1514" s="444">
        <f t="shared" ca="1" si="127"/>
        <v>-150930554.45755878</v>
      </c>
      <c r="M1514" s="460">
        <f t="shared" si="129"/>
        <v>0.05</v>
      </c>
      <c r="N1514" s="464">
        <f t="shared" si="130"/>
        <v>97126</v>
      </c>
    </row>
    <row r="1515" spans="7:14" ht="11.25" customHeight="1" x14ac:dyDescent="0.3">
      <c r="G1515" s="459"/>
      <c r="H1515" s="459">
        <v>1508</v>
      </c>
      <c r="I1515" s="444">
        <f t="shared" ca="1" si="128"/>
        <v>-150930554.45755878</v>
      </c>
      <c r="J1515" s="444">
        <f t="array" ref="J1515">IFERROR(INDEX('Retirement Calculator'!J:J,MATCH('Isaac 401k'!N1515,'Retirement Calculator'!A:A,0),0),0)</f>
        <v>0</v>
      </c>
      <c r="K1515" s="444">
        <f t="shared" ca="1" si="126"/>
        <v>-628877.31023982819</v>
      </c>
      <c r="L1515" s="444">
        <f t="shared" ca="1" si="127"/>
        <v>-151559431.7677986</v>
      </c>
      <c r="M1515" s="460">
        <f t="shared" si="129"/>
        <v>0.05</v>
      </c>
      <c r="N1515" s="464">
        <f t="shared" si="130"/>
        <v>97157</v>
      </c>
    </row>
    <row r="1516" spans="7:14" ht="11.25" customHeight="1" x14ac:dyDescent="0.3">
      <c r="G1516" s="459"/>
      <c r="H1516" s="459">
        <v>1509</v>
      </c>
      <c r="I1516" s="444">
        <f t="shared" ca="1" si="128"/>
        <v>-151559431.7677986</v>
      </c>
      <c r="J1516" s="444">
        <f t="array" ref="J1516">IFERROR(INDEX('Retirement Calculator'!J:J,MATCH('Isaac 401k'!N1516,'Retirement Calculator'!A:A,0),0),0)</f>
        <v>0</v>
      </c>
      <c r="K1516" s="444">
        <f t="shared" ca="1" si="126"/>
        <v>-631497.63236582745</v>
      </c>
      <c r="L1516" s="444">
        <f t="shared" ca="1" si="127"/>
        <v>-152190929.40016443</v>
      </c>
      <c r="M1516" s="460">
        <f t="shared" si="129"/>
        <v>0.05</v>
      </c>
      <c r="N1516" s="464">
        <f t="shared" si="130"/>
        <v>97188</v>
      </c>
    </row>
    <row r="1517" spans="7:14" ht="11.25" customHeight="1" x14ac:dyDescent="0.3">
      <c r="G1517" s="459"/>
      <c r="H1517" s="459">
        <v>1510</v>
      </c>
      <c r="I1517" s="444">
        <f t="shared" ca="1" si="128"/>
        <v>-152190929.40016443</v>
      </c>
      <c r="J1517" s="444">
        <f t="array" ref="J1517">IFERROR(INDEX('Retirement Calculator'!J:J,MATCH('Isaac 401k'!N1517,'Retirement Calculator'!A:A,0),0),0)</f>
        <v>0</v>
      </c>
      <c r="K1517" s="444">
        <f t="shared" ca="1" si="126"/>
        <v>-634128.87250068504</v>
      </c>
      <c r="L1517" s="444">
        <f t="shared" ca="1" si="127"/>
        <v>-152825058.27266511</v>
      </c>
      <c r="M1517" s="460">
        <f t="shared" si="129"/>
        <v>0.05</v>
      </c>
      <c r="N1517" s="464">
        <f t="shared" si="130"/>
        <v>97216</v>
      </c>
    </row>
    <row r="1518" spans="7:14" ht="11.25" customHeight="1" x14ac:dyDescent="0.3">
      <c r="G1518" s="459"/>
      <c r="H1518" s="459">
        <v>1511</v>
      </c>
      <c r="I1518" s="444">
        <f t="shared" ca="1" si="128"/>
        <v>-152825058.27266511</v>
      </c>
      <c r="J1518" s="444">
        <f t="array" ref="J1518">IFERROR(INDEX('Retirement Calculator'!J:J,MATCH('Isaac 401k'!N1518,'Retirement Calculator'!A:A,0),0),0)</f>
        <v>0</v>
      </c>
      <c r="K1518" s="444">
        <f t="shared" ca="1" si="126"/>
        <v>-636771.07613610465</v>
      </c>
      <c r="L1518" s="444">
        <f t="shared" ca="1" si="127"/>
        <v>-153461829.34880123</v>
      </c>
      <c r="M1518" s="460">
        <f t="shared" si="129"/>
        <v>0.05</v>
      </c>
      <c r="N1518" s="464">
        <f t="shared" si="130"/>
        <v>97247</v>
      </c>
    </row>
    <row r="1519" spans="7:14" ht="11.25" customHeight="1" x14ac:dyDescent="0.3">
      <c r="G1519" s="459"/>
      <c r="H1519" s="459">
        <v>1512</v>
      </c>
      <c r="I1519" s="444">
        <f t="shared" ca="1" si="128"/>
        <v>-153461829.34880123</v>
      </c>
      <c r="J1519" s="444">
        <f t="array" ref="J1519">IFERROR(INDEX('Retirement Calculator'!J:J,MATCH('Isaac 401k'!N1519,'Retirement Calculator'!A:A,0),0),0)</f>
        <v>0</v>
      </c>
      <c r="K1519" s="444">
        <f t="shared" ca="1" si="126"/>
        <v>-639424.2889533384</v>
      </c>
      <c r="L1519" s="444">
        <f t="shared" ca="1" si="127"/>
        <v>-154101253.63775456</v>
      </c>
      <c r="M1519" s="460">
        <f t="shared" si="129"/>
        <v>0.05</v>
      </c>
      <c r="N1519" s="464">
        <f t="shared" si="130"/>
        <v>97277</v>
      </c>
    </row>
    <row r="1520" spans="7:14" ht="11.25" customHeight="1" x14ac:dyDescent="0.3">
      <c r="G1520" s="459"/>
      <c r="H1520" s="459">
        <v>1513</v>
      </c>
      <c r="I1520" s="444">
        <f t="shared" ca="1" si="128"/>
        <v>-154101253.63775456</v>
      </c>
      <c r="J1520" s="444">
        <f t="array" ref="J1520">IFERROR(INDEX('Retirement Calculator'!J:J,MATCH('Isaac 401k'!N1520,'Retirement Calculator'!A:A,0),0),0)</f>
        <v>0</v>
      </c>
      <c r="K1520" s="444">
        <f t="shared" ca="1" si="126"/>
        <v>-642088.55682397727</v>
      </c>
      <c r="L1520" s="444">
        <f t="shared" ca="1" si="127"/>
        <v>-154743342.19457853</v>
      </c>
      <c r="M1520" s="460">
        <f t="shared" si="129"/>
        <v>0.05</v>
      </c>
      <c r="N1520" s="464">
        <f t="shared" si="130"/>
        <v>97308</v>
      </c>
    </row>
    <row r="1521" spans="7:14" ht="11.25" customHeight="1" x14ac:dyDescent="0.3">
      <c r="G1521" s="459"/>
      <c r="H1521" s="459">
        <v>1514</v>
      </c>
      <c r="I1521" s="444">
        <f t="shared" ca="1" si="128"/>
        <v>-154743342.19457853</v>
      </c>
      <c r="J1521" s="444">
        <f t="array" ref="J1521">IFERROR(INDEX('Retirement Calculator'!J:J,MATCH('Isaac 401k'!N1521,'Retirement Calculator'!A:A,0),0),0)</f>
        <v>0</v>
      </c>
      <c r="K1521" s="444">
        <f t="shared" ca="1" si="126"/>
        <v>-644763.92581074382</v>
      </c>
      <c r="L1521" s="444">
        <f t="shared" ca="1" si="127"/>
        <v>-155388106.12038928</v>
      </c>
      <c r="M1521" s="460">
        <f t="shared" si="129"/>
        <v>0.05</v>
      </c>
      <c r="N1521" s="464">
        <f t="shared" si="130"/>
        <v>97338</v>
      </c>
    </row>
    <row r="1522" spans="7:14" ht="11.25" customHeight="1" x14ac:dyDescent="0.3">
      <c r="G1522" s="459"/>
      <c r="H1522" s="459">
        <v>1515</v>
      </c>
      <c r="I1522" s="444">
        <f t="shared" ca="1" si="128"/>
        <v>-155388106.12038928</v>
      </c>
      <c r="J1522" s="444">
        <f t="array" ref="J1522">IFERROR(INDEX('Retirement Calculator'!J:J,MATCH('Isaac 401k'!N1522,'Retirement Calculator'!A:A,0),0),0)</f>
        <v>0</v>
      </c>
      <c r="K1522" s="444">
        <f t="shared" ca="1" si="126"/>
        <v>-647450.44216828863</v>
      </c>
      <c r="L1522" s="444">
        <f t="shared" ca="1" si="127"/>
        <v>-156035556.56255758</v>
      </c>
      <c r="M1522" s="460">
        <f t="shared" si="129"/>
        <v>0.05</v>
      </c>
      <c r="N1522" s="464">
        <f t="shared" si="130"/>
        <v>97369</v>
      </c>
    </row>
    <row r="1523" spans="7:14" ht="11.25" customHeight="1" x14ac:dyDescent="0.3">
      <c r="G1523" s="459"/>
      <c r="H1523" s="459">
        <v>1516</v>
      </c>
      <c r="I1523" s="444">
        <f t="shared" ca="1" si="128"/>
        <v>-156035556.56255758</v>
      </c>
      <c r="J1523" s="444">
        <f t="array" ref="J1523">IFERROR(INDEX('Retirement Calculator'!J:J,MATCH('Isaac 401k'!N1523,'Retirement Calculator'!A:A,0),0),0)</f>
        <v>0</v>
      </c>
      <c r="K1523" s="444">
        <f t="shared" ca="1" si="126"/>
        <v>-650148.15234398993</v>
      </c>
      <c r="L1523" s="444">
        <f t="shared" ca="1" si="127"/>
        <v>-156685704.71490157</v>
      </c>
      <c r="M1523" s="460">
        <f t="shared" si="129"/>
        <v>0.05</v>
      </c>
      <c r="N1523" s="464">
        <f t="shared" si="130"/>
        <v>97400</v>
      </c>
    </row>
    <row r="1524" spans="7:14" ht="11.25" customHeight="1" x14ac:dyDescent="0.3">
      <c r="G1524" s="459"/>
      <c r="H1524" s="459">
        <v>1517</v>
      </c>
      <c r="I1524" s="444">
        <f t="shared" ca="1" si="128"/>
        <v>-156685704.71490157</v>
      </c>
      <c r="J1524" s="444">
        <f t="array" ref="J1524">IFERROR(INDEX('Retirement Calculator'!J:J,MATCH('Isaac 401k'!N1524,'Retirement Calculator'!A:A,0),0),0)</f>
        <v>0</v>
      </c>
      <c r="K1524" s="444">
        <f t="shared" ca="1" si="126"/>
        <v>-652857.10297875653</v>
      </c>
      <c r="L1524" s="444">
        <f t="shared" ca="1" si="127"/>
        <v>-157338561.81788033</v>
      </c>
      <c r="M1524" s="460">
        <f t="shared" si="129"/>
        <v>0.05</v>
      </c>
      <c r="N1524" s="464">
        <f t="shared" si="130"/>
        <v>97430</v>
      </c>
    </row>
    <row r="1525" spans="7:14" ht="11.25" customHeight="1" x14ac:dyDescent="0.3">
      <c r="G1525" s="459"/>
      <c r="H1525" s="459">
        <v>1518</v>
      </c>
      <c r="I1525" s="444">
        <f t="shared" ca="1" si="128"/>
        <v>-157338561.81788033</v>
      </c>
      <c r="J1525" s="444">
        <f t="array" ref="J1525">IFERROR(INDEX('Retirement Calculator'!J:J,MATCH('Isaac 401k'!N1525,'Retirement Calculator'!A:A,0),0),0)</f>
        <v>0</v>
      </c>
      <c r="K1525" s="444">
        <f t="shared" ca="1" si="126"/>
        <v>-655577.3409078347</v>
      </c>
      <c r="L1525" s="444">
        <f t="shared" ca="1" si="127"/>
        <v>-157994139.15878817</v>
      </c>
      <c r="M1525" s="460">
        <f t="shared" si="129"/>
        <v>0.05</v>
      </c>
      <c r="N1525" s="464">
        <f t="shared" si="130"/>
        <v>97461</v>
      </c>
    </row>
    <row r="1526" spans="7:14" ht="11.25" customHeight="1" x14ac:dyDescent="0.3">
      <c r="G1526" s="459"/>
      <c r="H1526" s="459">
        <v>1519</v>
      </c>
      <c r="I1526" s="444">
        <f t="shared" ca="1" si="128"/>
        <v>-157994139.15878817</v>
      </c>
      <c r="J1526" s="444">
        <f t="array" ref="J1526">IFERROR(INDEX('Retirement Calculator'!J:J,MATCH('Isaac 401k'!N1526,'Retirement Calculator'!A:A,0),0),0)</f>
        <v>0</v>
      </c>
      <c r="K1526" s="444">
        <f t="shared" ca="1" si="126"/>
        <v>-658308.91316161735</v>
      </c>
      <c r="L1526" s="444">
        <f t="shared" ca="1" si="127"/>
        <v>-158652448.07194978</v>
      </c>
      <c r="M1526" s="460">
        <f t="shared" si="129"/>
        <v>0.05</v>
      </c>
      <c r="N1526" s="464">
        <f t="shared" si="130"/>
        <v>97491</v>
      </c>
    </row>
    <row r="1527" spans="7:14" ht="11.25" customHeight="1" x14ac:dyDescent="0.3">
      <c r="G1527" s="459"/>
      <c r="H1527" s="459">
        <v>1520</v>
      </c>
      <c r="I1527" s="444">
        <f t="shared" ca="1" si="128"/>
        <v>-158652448.07194978</v>
      </c>
      <c r="J1527" s="444">
        <f t="array" ref="J1527">IFERROR(INDEX('Retirement Calculator'!J:J,MATCH('Isaac 401k'!N1527,'Retirement Calculator'!A:A,0),0),0)</f>
        <v>0</v>
      </c>
      <c r="K1527" s="444">
        <f t="shared" ca="1" si="126"/>
        <v>-661051.86696645746</v>
      </c>
      <c r="L1527" s="444">
        <f t="shared" ca="1" si="127"/>
        <v>-159313499.93891624</v>
      </c>
      <c r="M1527" s="460">
        <f t="shared" si="129"/>
        <v>0.05</v>
      </c>
      <c r="N1527" s="464">
        <f t="shared" si="130"/>
        <v>97522</v>
      </c>
    </row>
    <row r="1528" spans="7:14" ht="11.25" customHeight="1" x14ac:dyDescent="0.3">
      <c r="G1528" s="459"/>
      <c r="H1528" s="459">
        <v>1521</v>
      </c>
      <c r="I1528" s="444">
        <f t="shared" ca="1" si="128"/>
        <v>-159313499.93891624</v>
      </c>
      <c r="J1528" s="444">
        <f t="array" ref="J1528">IFERROR(INDEX('Retirement Calculator'!J:J,MATCH('Isaac 401k'!N1528,'Retirement Calculator'!A:A,0),0),0)</f>
        <v>0</v>
      </c>
      <c r="K1528" s="444">
        <f t="shared" ca="1" si="126"/>
        <v>-663806.24974548433</v>
      </c>
      <c r="L1528" s="444">
        <f t="shared" ca="1" si="127"/>
        <v>-159977306.18866172</v>
      </c>
      <c r="M1528" s="460">
        <f t="shared" si="129"/>
        <v>0.05</v>
      </c>
      <c r="N1528" s="464">
        <f t="shared" si="130"/>
        <v>97553</v>
      </c>
    </row>
    <row r="1529" spans="7:14" ht="11.25" customHeight="1" x14ac:dyDescent="0.3">
      <c r="G1529" s="459"/>
      <c r="H1529" s="459">
        <v>1522</v>
      </c>
      <c r="I1529" s="444">
        <f t="shared" ca="1" si="128"/>
        <v>-159977306.18866172</v>
      </c>
      <c r="J1529" s="444">
        <f t="array" ref="J1529">IFERROR(INDEX('Retirement Calculator'!J:J,MATCH('Isaac 401k'!N1529,'Retirement Calculator'!A:A,0),0),0)</f>
        <v>0</v>
      </c>
      <c r="K1529" s="444">
        <f t="shared" ca="1" si="126"/>
        <v>-666572.1091194239</v>
      </c>
      <c r="L1529" s="444">
        <f t="shared" ca="1" si="127"/>
        <v>-160643878.29778114</v>
      </c>
      <c r="M1529" s="460">
        <f t="shared" si="129"/>
        <v>0.05</v>
      </c>
      <c r="N1529" s="464">
        <f t="shared" si="130"/>
        <v>97581</v>
      </c>
    </row>
    <row r="1530" spans="7:14" ht="11.25" customHeight="1" x14ac:dyDescent="0.3">
      <c r="G1530" s="459"/>
      <c r="H1530" s="459">
        <v>1523</v>
      </c>
      <c r="I1530" s="444">
        <f t="shared" ca="1" si="128"/>
        <v>-160643878.29778114</v>
      </c>
      <c r="J1530" s="444">
        <f t="array" ref="J1530">IFERROR(INDEX('Retirement Calculator'!J:J,MATCH('Isaac 401k'!N1530,'Retirement Calculator'!A:A,0),0),0)</f>
        <v>0</v>
      </c>
      <c r="K1530" s="444">
        <f t="shared" ca="1" si="126"/>
        <v>-669349.49290742143</v>
      </c>
      <c r="L1530" s="444">
        <f t="shared" ca="1" si="127"/>
        <v>-161313227.79068857</v>
      </c>
      <c r="M1530" s="460">
        <f t="shared" si="129"/>
        <v>0.05</v>
      </c>
      <c r="N1530" s="464">
        <f t="shared" si="130"/>
        <v>97612</v>
      </c>
    </row>
    <row r="1531" spans="7:14" ht="11.25" customHeight="1" x14ac:dyDescent="0.3">
      <c r="G1531" s="459"/>
      <c r="H1531" s="459">
        <v>1524</v>
      </c>
      <c r="I1531" s="444">
        <f t="shared" ca="1" si="128"/>
        <v>-161313227.79068857</v>
      </c>
      <c r="J1531" s="444">
        <f t="array" ref="J1531">IFERROR(INDEX('Retirement Calculator'!J:J,MATCH('Isaac 401k'!N1531,'Retirement Calculator'!A:A,0),0),0)</f>
        <v>0</v>
      </c>
      <c r="K1531" s="444">
        <f t="shared" ca="1" si="126"/>
        <v>-672138.4491278691</v>
      </c>
      <c r="L1531" s="444">
        <f t="shared" ca="1" si="127"/>
        <v>-161985366.23981646</v>
      </c>
      <c r="M1531" s="460">
        <f t="shared" si="129"/>
        <v>0.05</v>
      </c>
      <c r="N1531" s="464">
        <f t="shared" si="130"/>
        <v>97642</v>
      </c>
    </row>
    <row r="1532" spans="7:14" ht="11.25" customHeight="1" x14ac:dyDescent="0.3">
      <c r="G1532" s="459"/>
      <c r="H1532" s="459">
        <v>1525</v>
      </c>
      <c r="I1532" s="444">
        <f t="shared" ca="1" si="128"/>
        <v>-161985366.23981646</v>
      </c>
      <c r="J1532" s="444">
        <f t="array" ref="J1532">IFERROR(INDEX('Retirement Calculator'!J:J,MATCH('Isaac 401k'!N1532,'Retirement Calculator'!A:A,0),0),0)</f>
        <v>0</v>
      </c>
      <c r="K1532" s="444">
        <f t="shared" ca="1" si="126"/>
        <v>-674939.02599923522</v>
      </c>
      <c r="L1532" s="444">
        <f t="shared" ca="1" si="127"/>
        <v>-162660305.26581571</v>
      </c>
      <c r="M1532" s="460">
        <f t="shared" si="129"/>
        <v>0.05</v>
      </c>
      <c r="N1532" s="464">
        <f t="shared" si="130"/>
        <v>97673</v>
      </c>
    </row>
    <row r="1533" spans="7:14" ht="11.25" customHeight="1" x14ac:dyDescent="0.3">
      <c r="G1533" s="459"/>
      <c r="H1533" s="459">
        <v>1526</v>
      </c>
      <c r="I1533" s="444">
        <f t="shared" ca="1" si="128"/>
        <v>-162660305.26581571</v>
      </c>
      <c r="J1533" s="444">
        <f t="array" ref="J1533">IFERROR(INDEX('Retirement Calculator'!J:J,MATCH('Isaac 401k'!N1533,'Retirement Calculator'!A:A,0),0),0)</f>
        <v>0</v>
      </c>
      <c r="K1533" s="444">
        <f t="shared" ca="1" si="126"/>
        <v>-677751.27194089873</v>
      </c>
      <c r="L1533" s="444">
        <f t="shared" ca="1" si="127"/>
        <v>-163338056.53775659</v>
      </c>
      <c r="M1533" s="460">
        <f t="shared" si="129"/>
        <v>0.05</v>
      </c>
      <c r="N1533" s="464">
        <f t="shared" si="130"/>
        <v>97703</v>
      </c>
    </row>
    <row r="1534" spans="7:14" ht="11.25" customHeight="1" x14ac:dyDescent="0.3">
      <c r="G1534" s="459"/>
      <c r="H1534" s="459">
        <v>1527</v>
      </c>
      <c r="I1534" s="444">
        <f t="shared" ca="1" si="128"/>
        <v>-163338056.53775659</v>
      </c>
      <c r="J1534" s="444">
        <f t="array" ref="J1534">IFERROR(INDEX('Retirement Calculator'!J:J,MATCH('Isaac 401k'!N1534,'Retirement Calculator'!A:A,0),0),0)</f>
        <v>0</v>
      </c>
      <c r="K1534" s="444">
        <f t="shared" ca="1" si="126"/>
        <v>-680575.23557398585</v>
      </c>
      <c r="L1534" s="444">
        <f t="shared" ca="1" si="127"/>
        <v>-164018631.77333057</v>
      </c>
      <c r="M1534" s="460">
        <f t="shared" si="129"/>
        <v>0.05</v>
      </c>
      <c r="N1534" s="464">
        <f t="shared" si="130"/>
        <v>97734</v>
      </c>
    </row>
    <row r="1535" spans="7:14" ht="11.25" customHeight="1" x14ac:dyDescent="0.3">
      <c r="G1535" s="459"/>
      <c r="H1535" s="459">
        <v>1528</v>
      </c>
      <c r="I1535" s="444">
        <f t="shared" ca="1" si="128"/>
        <v>-164018631.77333057</v>
      </c>
      <c r="J1535" s="444">
        <f t="array" ref="J1535">IFERROR(INDEX('Retirement Calculator'!J:J,MATCH('Isaac 401k'!N1535,'Retirement Calculator'!A:A,0),0),0)</f>
        <v>0</v>
      </c>
      <c r="K1535" s="444">
        <f t="shared" ca="1" si="126"/>
        <v>-683410.96572221071</v>
      </c>
      <c r="L1535" s="444">
        <f t="shared" ca="1" si="127"/>
        <v>-164702042.73905277</v>
      </c>
      <c r="M1535" s="460">
        <f t="shared" si="129"/>
        <v>0.05</v>
      </c>
      <c r="N1535" s="464">
        <f t="shared" si="130"/>
        <v>97765</v>
      </c>
    </row>
    <row r="1536" spans="7:14" ht="11.25" customHeight="1" x14ac:dyDescent="0.3">
      <c r="G1536" s="459"/>
      <c r="H1536" s="459">
        <v>1529</v>
      </c>
      <c r="I1536" s="444">
        <f t="shared" ca="1" si="128"/>
        <v>-164702042.73905277</v>
      </c>
      <c r="J1536" s="444">
        <f t="array" ref="J1536">IFERROR(INDEX('Retirement Calculator'!J:J,MATCH('Isaac 401k'!N1536,'Retirement Calculator'!A:A,0),0),0)</f>
        <v>0</v>
      </c>
      <c r="K1536" s="444">
        <f t="shared" ca="1" si="126"/>
        <v>-686258.51141271985</v>
      </c>
      <c r="L1536" s="444">
        <f t="shared" ca="1" si="127"/>
        <v>-165388301.25046548</v>
      </c>
      <c r="M1536" s="460">
        <f t="shared" si="129"/>
        <v>0.05</v>
      </c>
      <c r="N1536" s="464">
        <f t="shared" si="130"/>
        <v>97795</v>
      </c>
    </row>
    <row r="1537" spans="7:14" ht="11.25" customHeight="1" x14ac:dyDescent="0.3">
      <c r="G1537" s="459"/>
      <c r="H1537" s="459">
        <v>1530</v>
      </c>
      <c r="I1537" s="444">
        <f t="shared" ca="1" si="128"/>
        <v>-165388301.25046548</v>
      </c>
      <c r="J1537" s="444">
        <f t="array" ref="J1537">IFERROR(INDEX('Retirement Calculator'!J:J,MATCH('Isaac 401k'!N1537,'Retirement Calculator'!A:A,0),0),0)</f>
        <v>0</v>
      </c>
      <c r="K1537" s="444">
        <f t="shared" ca="1" si="126"/>
        <v>-689117.92187693948</v>
      </c>
      <c r="L1537" s="444">
        <f t="shared" ca="1" si="127"/>
        <v>-166077419.17234242</v>
      </c>
      <c r="M1537" s="460">
        <f t="shared" si="129"/>
        <v>0.05</v>
      </c>
      <c r="N1537" s="464">
        <f t="shared" si="130"/>
        <v>97826</v>
      </c>
    </row>
    <row r="1538" spans="7:14" ht="11.25" customHeight="1" x14ac:dyDescent="0.3">
      <c r="G1538" s="459"/>
      <c r="H1538" s="459">
        <v>1531</v>
      </c>
      <c r="I1538" s="444">
        <f t="shared" ca="1" si="128"/>
        <v>-166077419.17234242</v>
      </c>
      <c r="J1538" s="444">
        <f t="array" ref="J1538">IFERROR(INDEX('Retirement Calculator'!J:J,MATCH('Isaac 401k'!N1538,'Retirement Calculator'!A:A,0),0),0)</f>
        <v>0</v>
      </c>
      <c r="K1538" s="444">
        <f t="shared" ref="K1538:K1792" ca="1" si="131">IPMT(M1538/12,1,12,-I1538+J1538,,0)</f>
        <v>-691989.24655142671</v>
      </c>
      <c r="L1538" s="444">
        <f t="shared" ref="L1538:L1792" ca="1" si="132">I1538-J1538+K1538</f>
        <v>-166769408.41889384</v>
      </c>
      <c r="M1538" s="460">
        <f t="shared" si="129"/>
        <v>0.05</v>
      </c>
      <c r="N1538" s="464">
        <f t="shared" si="130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33">L1538</f>
        <v>-166769408.41889384</v>
      </c>
      <c r="J1539" s="444">
        <f t="array" ref="J1539">IFERROR(INDEX('Retirement Calculator'!J:J,MATCH('Isaac 401k'!N1539,'Retirement Calculator'!A:A,0),0),0)</f>
        <v>0</v>
      </c>
      <c r="K1539" s="444">
        <f t="shared" ca="1" si="131"/>
        <v>-694872.53507872438</v>
      </c>
      <c r="L1539" s="444">
        <f t="shared" ca="1" si="132"/>
        <v>-167464280.95397258</v>
      </c>
      <c r="M1539" s="460">
        <f t="shared" ref="M1539:M1793" si="134">M1538</f>
        <v>0.05</v>
      </c>
      <c r="N1539" s="464">
        <f t="shared" ref="N1539:N1793" si="135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33"/>
        <v>-167464280.95397258</v>
      </c>
      <c r="J1540" s="444">
        <f t="array" ref="J1540">IFERROR(INDEX('Retirement Calculator'!J:J,MATCH('Isaac 401k'!N1540,'Retirement Calculator'!A:A,0),0),0)</f>
        <v>0</v>
      </c>
      <c r="K1540" s="444">
        <f t="shared" ca="1" si="131"/>
        <v>-697767.83730821905</v>
      </c>
      <c r="L1540" s="444">
        <f t="shared" ca="1" si="132"/>
        <v>-168162048.79128081</v>
      </c>
      <c r="M1540" s="460">
        <f t="shared" si="134"/>
        <v>0.05</v>
      </c>
      <c r="N1540" s="464">
        <f t="shared" si="135"/>
        <v>97918</v>
      </c>
    </row>
    <row r="1541" spans="7:14" ht="11.25" customHeight="1" x14ac:dyDescent="0.3">
      <c r="G1541" s="459"/>
      <c r="H1541" s="459">
        <v>1534</v>
      </c>
      <c r="I1541" s="444">
        <f t="shared" ca="1" si="133"/>
        <v>-168162048.79128081</v>
      </c>
      <c r="J1541" s="444">
        <f t="array" ref="J1541">IFERROR(INDEX('Retirement Calculator'!J:J,MATCH('Isaac 401k'!N1541,'Retirement Calculator'!A:A,0),0),0)</f>
        <v>0</v>
      </c>
      <c r="K1541" s="444">
        <f t="shared" ca="1" si="131"/>
        <v>-700675.20329700341</v>
      </c>
      <c r="L1541" s="444">
        <f t="shared" ca="1" si="132"/>
        <v>-168862723.9945778</v>
      </c>
      <c r="M1541" s="460">
        <f t="shared" si="134"/>
        <v>0.05</v>
      </c>
      <c r="N1541" s="464">
        <f t="shared" si="135"/>
        <v>97947</v>
      </c>
    </row>
    <row r="1542" spans="7:14" ht="11.25" customHeight="1" x14ac:dyDescent="0.3">
      <c r="G1542" s="459"/>
      <c r="H1542" s="459">
        <v>1535</v>
      </c>
      <c r="I1542" s="444">
        <f t="shared" ca="1" si="133"/>
        <v>-168862723.9945778</v>
      </c>
      <c r="J1542" s="444">
        <f t="array" ref="J1542">IFERROR(INDEX('Retirement Calculator'!J:J,MATCH('Isaac 401k'!N1542,'Retirement Calculator'!A:A,0),0),0)</f>
        <v>0</v>
      </c>
      <c r="K1542" s="444">
        <f t="shared" ca="1" si="131"/>
        <v>-703594.68331074086</v>
      </c>
      <c r="L1542" s="444">
        <f t="shared" ca="1" si="132"/>
        <v>-169566318.67788854</v>
      </c>
      <c r="M1542" s="460">
        <f t="shared" si="134"/>
        <v>0.05</v>
      </c>
      <c r="N1542" s="464">
        <f t="shared" si="135"/>
        <v>97978</v>
      </c>
    </row>
    <row r="1543" spans="7:14" ht="11.25" customHeight="1" x14ac:dyDescent="0.3">
      <c r="G1543" s="459"/>
      <c r="H1543" s="459">
        <v>1536</v>
      </c>
      <c r="I1543" s="444">
        <f t="shared" ca="1" si="133"/>
        <v>-169566318.67788854</v>
      </c>
      <c r="J1543" s="444">
        <f t="array" ref="J1543">IFERROR(INDEX('Retirement Calculator'!J:J,MATCH('Isaac 401k'!N1543,'Retirement Calculator'!A:A,0),0),0)</f>
        <v>0</v>
      </c>
      <c r="K1543" s="444">
        <f t="shared" ca="1" si="131"/>
        <v>-706526.32782453555</v>
      </c>
      <c r="L1543" s="444">
        <f t="shared" ca="1" si="132"/>
        <v>-170272845.00571308</v>
      </c>
      <c r="M1543" s="460">
        <f t="shared" si="134"/>
        <v>0.05</v>
      </c>
      <c r="N1543" s="464">
        <f t="shared" si="135"/>
        <v>98008</v>
      </c>
    </row>
    <row r="1544" spans="7:14" ht="11.25" customHeight="1" x14ac:dyDescent="0.3">
      <c r="G1544" s="459"/>
      <c r="H1544" s="459">
        <v>1537</v>
      </c>
      <c r="I1544" s="444">
        <f t="shared" ca="1" si="133"/>
        <v>-170272845.00571308</v>
      </c>
      <c r="J1544" s="444">
        <f t="array" ref="J1544">IFERROR(INDEX('Retirement Calculator'!J:J,MATCH('Isaac 401k'!N1544,'Retirement Calculator'!A:A,0),0),0)</f>
        <v>0</v>
      </c>
      <c r="K1544" s="444">
        <f t="shared" ca="1" si="131"/>
        <v>-709470.18752380449</v>
      </c>
      <c r="L1544" s="444">
        <f t="shared" ca="1" si="132"/>
        <v>-170982315.19323689</v>
      </c>
      <c r="M1544" s="460">
        <f t="shared" si="134"/>
        <v>0.05</v>
      </c>
      <c r="N1544" s="464">
        <f t="shared" si="135"/>
        <v>98039</v>
      </c>
    </row>
    <row r="1545" spans="7:14" ht="11.25" customHeight="1" x14ac:dyDescent="0.3">
      <c r="G1545" s="459"/>
      <c r="H1545" s="459">
        <v>1538</v>
      </c>
      <c r="I1545" s="444">
        <f t="shared" ca="1" si="133"/>
        <v>-170982315.19323689</v>
      </c>
      <c r="J1545" s="444">
        <f t="array" ref="J1545">IFERROR(INDEX('Retirement Calculator'!J:J,MATCH('Isaac 401k'!N1545,'Retirement Calculator'!A:A,0),0),0)</f>
        <v>0</v>
      </c>
      <c r="K1545" s="444">
        <f t="shared" ca="1" si="131"/>
        <v>-712426.31330515374</v>
      </c>
      <c r="L1545" s="444">
        <f t="shared" ca="1" si="132"/>
        <v>-171694741.50654203</v>
      </c>
      <c r="M1545" s="460">
        <f t="shared" si="134"/>
        <v>0.05</v>
      </c>
      <c r="N1545" s="464">
        <f t="shared" si="135"/>
        <v>98069</v>
      </c>
    </row>
    <row r="1546" spans="7:14" ht="11.25" customHeight="1" x14ac:dyDescent="0.3">
      <c r="G1546" s="459"/>
      <c r="H1546" s="459">
        <v>1539</v>
      </c>
      <c r="I1546" s="444">
        <f t="shared" ca="1" si="133"/>
        <v>-171694741.50654203</v>
      </c>
      <c r="J1546" s="444">
        <f t="array" ref="J1546">IFERROR(INDEX('Retirement Calculator'!J:J,MATCH('Isaac 401k'!N1546,'Retirement Calculator'!A:A,0),0),0)</f>
        <v>0</v>
      </c>
      <c r="K1546" s="444">
        <f t="shared" ca="1" si="131"/>
        <v>-715394.75627725839</v>
      </c>
      <c r="L1546" s="444">
        <f t="shared" ca="1" si="132"/>
        <v>-172410136.26281929</v>
      </c>
      <c r="M1546" s="460">
        <f t="shared" si="134"/>
        <v>0.05</v>
      </c>
      <c r="N1546" s="464">
        <f t="shared" si="135"/>
        <v>98100</v>
      </c>
    </row>
    <row r="1547" spans="7:14" ht="11.25" customHeight="1" x14ac:dyDescent="0.3">
      <c r="G1547" s="459"/>
      <c r="H1547" s="459">
        <v>1540</v>
      </c>
      <c r="I1547" s="444">
        <f t="shared" ca="1" si="133"/>
        <v>-172410136.26281929</v>
      </c>
      <c r="J1547" s="444">
        <f t="array" ref="J1547">IFERROR(INDEX('Retirement Calculator'!J:J,MATCH('Isaac 401k'!N1547,'Retirement Calculator'!A:A,0),0),0)</f>
        <v>0</v>
      </c>
      <c r="K1547" s="444">
        <f t="shared" ca="1" si="131"/>
        <v>-718375.56776174705</v>
      </c>
      <c r="L1547" s="444">
        <f t="shared" ca="1" si="132"/>
        <v>-173128511.83058104</v>
      </c>
      <c r="M1547" s="460">
        <f t="shared" si="134"/>
        <v>0.05</v>
      </c>
      <c r="N1547" s="464">
        <f t="shared" si="135"/>
        <v>98131</v>
      </c>
    </row>
    <row r="1548" spans="7:14" ht="11.25" customHeight="1" x14ac:dyDescent="0.3">
      <c r="G1548" s="459"/>
      <c r="H1548" s="459">
        <v>1541</v>
      </c>
      <c r="I1548" s="444">
        <f t="shared" ca="1" si="133"/>
        <v>-173128511.83058104</v>
      </c>
      <c r="J1548" s="444">
        <f t="array" ref="J1548">IFERROR(INDEX('Retirement Calculator'!J:J,MATCH('Isaac 401k'!N1548,'Retirement Calculator'!A:A,0),0),0)</f>
        <v>0</v>
      </c>
      <c r="K1548" s="444">
        <f t="shared" ca="1" si="131"/>
        <v>-721368.79929408769</v>
      </c>
      <c r="L1548" s="444">
        <f t="shared" ca="1" si="132"/>
        <v>-173849880.62987512</v>
      </c>
      <c r="M1548" s="460">
        <f t="shared" si="134"/>
        <v>0.05</v>
      </c>
      <c r="N1548" s="464">
        <f t="shared" si="135"/>
        <v>98161</v>
      </c>
    </row>
    <row r="1549" spans="7:14" ht="11.25" customHeight="1" x14ac:dyDescent="0.3">
      <c r="G1549" s="459"/>
      <c r="H1549" s="459">
        <v>1542</v>
      </c>
      <c r="I1549" s="444">
        <f t="shared" ca="1" si="133"/>
        <v>-173849880.62987512</v>
      </c>
      <c r="J1549" s="444">
        <f t="array" ref="J1549">IFERROR(INDEX('Retirement Calculator'!J:J,MATCH('Isaac 401k'!N1549,'Retirement Calculator'!A:A,0),0),0)</f>
        <v>0</v>
      </c>
      <c r="K1549" s="444">
        <f t="shared" ca="1" si="131"/>
        <v>-724374.5026244797</v>
      </c>
      <c r="L1549" s="444">
        <f t="shared" ca="1" si="132"/>
        <v>-174574255.13249961</v>
      </c>
      <c r="M1549" s="460">
        <f t="shared" si="134"/>
        <v>0.05</v>
      </c>
      <c r="N1549" s="464">
        <f t="shared" si="135"/>
        <v>98192</v>
      </c>
    </row>
    <row r="1550" spans="7:14" ht="11.25" customHeight="1" x14ac:dyDescent="0.3">
      <c r="G1550" s="459"/>
      <c r="H1550" s="459">
        <v>1543</v>
      </c>
      <c r="I1550" s="444">
        <f t="shared" ca="1" si="133"/>
        <v>-174574255.13249961</v>
      </c>
      <c r="J1550" s="444">
        <f t="array" ref="J1550">IFERROR(INDEX('Retirement Calculator'!J:J,MATCH('Isaac 401k'!N1550,'Retirement Calculator'!A:A,0),0),0)</f>
        <v>0</v>
      </c>
      <c r="K1550" s="444">
        <f t="shared" ca="1" si="131"/>
        <v>-727392.72971874836</v>
      </c>
      <c r="L1550" s="444">
        <f t="shared" ca="1" si="132"/>
        <v>-175301647.86221835</v>
      </c>
      <c r="M1550" s="460">
        <f t="shared" si="134"/>
        <v>0.05</v>
      </c>
      <c r="N1550" s="464">
        <f t="shared" si="135"/>
        <v>98222</v>
      </c>
    </row>
    <row r="1551" spans="7:14" ht="11.25" customHeight="1" x14ac:dyDescent="0.3">
      <c r="G1551" s="459"/>
      <c r="H1551" s="459">
        <v>1544</v>
      </c>
      <c r="I1551" s="444">
        <f t="shared" ca="1" si="133"/>
        <v>-175301647.86221835</v>
      </c>
      <c r="J1551" s="444">
        <f t="array" ref="J1551">IFERROR(INDEX('Retirement Calculator'!J:J,MATCH('Isaac 401k'!N1551,'Retirement Calculator'!A:A,0),0),0)</f>
        <v>0</v>
      </c>
      <c r="K1551" s="444">
        <f t="shared" ca="1" si="131"/>
        <v>-730423.53275924316</v>
      </c>
      <c r="L1551" s="444">
        <f t="shared" ca="1" si="132"/>
        <v>-176032071.3949776</v>
      </c>
      <c r="M1551" s="460">
        <f t="shared" si="134"/>
        <v>0.05</v>
      </c>
      <c r="N1551" s="464">
        <f t="shared" si="135"/>
        <v>98253</v>
      </c>
    </row>
    <row r="1552" spans="7:14" ht="11.25" customHeight="1" x14ac:dyDescent="0.3">
      <c r="G1552" s="459"/>
      <c r="H1552" s="459">
        <v>1545</v>
      </c>
      <c r="I1552" s="444">
        <f t="shared" ca="1" si="133"/>
        <v>-176032071.3949776</v>
      </c>
      <c r="J1552" s="444">
        <f t="array" ref="J1552">IFERROR(INDEX('Retirement Calculator'!J:J,MATCH('Isaac 401k'!N1552,'Retirement Calculator'!A:A,0),0),0)</f>
        <v>0</v>
      </c>
      <c r="K1552" s="444">
        <f t="shared" ca="1" si="131"/>
        <v>-733466.96414574003</v>
      </c>
      <c r="L1552" s="444">
        <f t="shared" ca="1" si="132"/>
        <v>-176765538.35912335</v>
      </c>
      <c r="M1552" s="460">
        <f t="shared" si="134"/>
        <v>0.05</v>
      </c>
      <c r="N1552" s="464">
        <f t="shared" si="135"/>
        <v>98284</v>
      </c>
    </row>
    <row r="1553" spans="7:14" ht="11.25" customHeight="1" x14ac:dyDescent="0.3">
      <c r="G1553" s="459"/>
      <c r="H1553" s="459">
        <v>1546</v>
      </c>
      <c r="I1553" s="444">
        <f t="shared" ca="1" si="133"/>
        <v>-176765538.35912335</v>
      </c>
      <c r="J1553" s="444">
        <f t="array" ref="J1553">IFERROR(INDEX('Retirement Calculator'!J:J,MATCH('Isaac 401k'!N1553,'Retirement Calculator'!A:A,0),0),0)</f>
        <v>0</v>
      </c>
      <c r="K1553" s="444">
        <f t="shared" ca="1" si="131"/>
        <v>-736523.07649634732</v>
      </c>
      <c r="L1553" s="444">
        <f t="shared" ca="1" si="132"/>
        <v>-177502061.43561968</v>
      </c>
      <c r="M1553" s="460">
        <f t="shared" si="134"/>
        <v>0.05</v>
      </c>
      <c r="N1553" s="464">
        <f t="shared" si="135"/>
        <v>98312</v>
      </c>
    </row>
    <row r="1554" spans="7:14" ht="11.25" customHeight="1" x14ac:dyDescent="0.3">
      <c r="G1554" s="459"/>
      <c r="H1554" s="459">
        <v>1547</v>
      </c>
      <c r="I1554" s="444">
        <f t="shared" ca="1" si="133"/>
        <v>-177502061.43561968</v>
      </c>
      <c r="J1554" s="444">
        <f t="array" ref="J1554">IFERROR(INDEX('Retirement Calculator'!J:J,MATCH('Isaac 401k'!N1554,'Retirement Calculator'!A:A,0),0),0)</f>
        <v>0</v>
      </c>
      <c r="K1554" s="444">
        <f t="shared" ca="1" si="131"/>
        <v>-739591.92264841532</v>
      </c>
      <c r="L1554" s="444">
        <f t="shared" ca="1" si="132"/>
        <v>-178241653.35826811</v>
      </c>
      <c r="M1554" s="460">
        <f t="shared" si="134"/>
        <v>0.05</v>
      </c>
      <c r="N1554" s="464">
        <f t="shared" si="135"/>
        <v>98343</v>
      </c>
    </row>
    <row r="1555" spans="7:14" ht="11.25" customHeight="1" x14ac:dyDescent="0.3">
      <c r="G1555" s="459"/>
      <c r="H1555" s="459">
        <v>1548</v>
      </c>
      <c r="I1555" s="444">
        <f t="shared" ca="1" si="133"/>
        <v>-178241653.35826811</v>
      </c>
      <c r="J1555" s="444">
        <f t="array" ref="J1555">IFERROR(INDEX('Retirement Calculator'!J:J,MATCH('Isaac 401k'!N1555,'Retirement Calculator'!A:A,0),0),0)</f>
        <v>0</v>
      </c>
      <c r="K1555" s="444">
        <f t="shared" ca="1" si="131"/>
        <v>-742673.55565945047</v>
      </c>
      <c r="L1555" s="444">
        <f t="shared" ca="1" si="132"/>
        <v>-178984326.91392756</v>
      </c>
      <c r="M1555" s="460">
        <f t="shared" si="134"/>
        <v>0.05</v>
      </c>
      <c r="N1555" s="464">
        <f t="shared" si="135"/>
        <v>98373</v>
      </c>
    </row>
    <row r="1556" spans="7:14" ht="11.25" customHeight="1" x14ac:dyDescent="0.3">
      <c r="G1556" s="459"/>
      <c r="H1556" s="459">
        <v>1549</v>
      </c>
      <c r="I1556" s="444">
        <f t="shared" ca="1" si="133"/>
        <v>-178984326.91392756</v>
      </c>
      <c r="J1556" s="444">
        <f t="array" ref="J1556">IFERROR(INDEX('Retirement Calculator'!J:J,MATCH('Isaac 401k'!N1556,'Retirement Calculator'!A:A,0),0),0)</f>
        <v>0</v>
      </c>
      <c r="K1556" s="444">
        <f t="shared" ca="1" si="131"/>
        <v>-745768.02880803146</v>
      </c>
      <c r="L1556" s="444">
        <f t="shared" ca="1" si="132"/>
        <v>-179730094.94273558</v>
      </c>
      <c r="M1556" s="460">
        <f t="shared" si="134"/>
        <v>0.05</v>
      </c>
      <c r="N1556" s="464">
        <f t="shared" si="135"/>
        <v>98404</v>
      </c>
    </row>
    <row r="1557" spans="7:14" ht="11.25" customHeight="1" x14ac:dyDescent="0.3">
      <c r="G1557" s="459"/>
      <c r="H1557" s="459">
        <v>1550</v>
      </c>
      <c r="I1557" s="444">
        <f t="shared" ca="1" si="133"/>
        <v>-179730094.94273558</v>
      </c>
      <c r="J1557" s="444">
        <f t="array" ref="J1557">IFERROR(INDEX('Retirement Calculator'!J:J,MATCH('Isaac 401k'!N1557,'Retirement Calculator'!A:A,0),0),0)</f>
        <v>0</v>
      </c>
      <c r="K1557" s="444">
        <f t="shared" ca="1" si="131"/>
        <v>-748875.39559473156</v>
      </c>
      <c r="L1557" s="444">
        <f t="shared" ca="1" si="132"/>
        <v>-180478970.33833033</v>
      </c>
      <c r="M1557" s="460">
        <f t="shared" si="134"/>
        <v>0.05</v>
      </c>
      <c r="N1557" s="464">
        <f t="shared" si="135"/>
        <v>98434</v>
      </c>
    </row>
    <row r="1558" spans="7:14" ht="11.25" customHeight="1" x14ac:dyDescent="0.3">
      <c r="G1558" s="459"/>
      <c r="H1558" s="459">
        <v>1551</v>
      </c>
      <c r="I1558" s="444">
        <f t="shared" ca="1" si="133"/>
        <v>-180478970.33833033</v>
      </c>
      <c r="J1558" s="444">
        <f t="array" ref="J1558">IFERROR(INDEX('Retirement Calculator'!J:J,MATCH('Isaac 401k'!N1558,'Retirement Calculator'!A:A,0),0),0)</f>
        <v>0</v>
      </c>
      <c r="K1558" s="444">
        <f t="shared" ca="1" si="131"/>
        <v>-751995.70974304306</v>
      </c>
      <c r="L1558" s="444">
        <f t="shared" ca="1" si="132"/>
        <v>-181230966.04807338</v>
      </c>
      <c r="M1558" s="460">
        <f t="shared" si="134"/>
        <v>0.05</v>
      </c>
      <c r="N1558" s="464">
        <f t="shared" si="135"/>
        <v>98465</v>
      </c>
    </row>
    <row r="1559" spans="7:14" ht="11.25" customHeight="1" x14ac:dyDescent="0.3">
      <c r="G1559" s="459"/>
      <c r="H1559" s="459">
        <v>1552</v>
      </c>
      <c r="I1559" s="444">
        <f t="shared" ca="1" si="133"/>
        <v>-181230966.04807338</v>
      </c>
      <c r="J1559" s="444">
        <f t="array" ref="J1559">IFERROR(INDEX('Retirement Calculator'!J:J,MATCH('Isaac 401k'!N1559,'Retirement Calculator'!A:A,0),0),0)</f>
        <v>0</v>
      </c>
      <c r="K1559" s="444">
        <f t="shared" ca="1" si="131"/>
        <v>-755129.02520030574</v>
      </c>
      <c r="L1559" s="444">
        <f t="shared" ca="1" si="132"/>
        <v>-181986095.07327369</v>
      </c>
      <c r="M1559" s="460">
        <f t="shared" si="134"/>
        <v>0.05</v>
      </c>
      <c r="N1559" s="464">
        <f t="shared" si="135"/>
        <v>98496</v>
      </c>
    </row>
    <row r="1560" spans="7:14" ht="11.25" customHeight="1" x14ac:dyDescent="0.3">
      <c r="G1560" s="459"/>
      <c r="H1560" s="459">
        <v>1553</v>
      </c>
      <c r="I1560" s="444">
        <f t="shared" ca="1" si="133"/>
        <v>-181986095.07327369</v>
      </c>
      <c r="J1560" s="444">
        <f t="array" ref="J1560">IFERROR(INDEX('Retirement Calculator'!J:J,MATCH('Isaac 401k'!N1560,'Retirement Calculator'!A:A,0),0),0)</f>
        <v>0</v>
      </c>
      <c r="K1560" s="444">
        <f t="shared" ca="1" si="131"/>
        <v>-758275.39613864035</v>
      </c>
      <c r="L1560" s="444">
        <f t="shared" ca="1" si="132"/>
        <v>-182744370.46941233</v>
      </c>
      <c r="M1560" s="460">
        <f t="shared" si="134"/>
        <v>0.05</v>
      </c>
      <c r="N1560" s="464">
        <f t="shared" si="135"/>
        <v>98526</v>
      </c>
    </row>
    <row r="1561" spans="7:14" ht="11.25" customHeight="1" x14ac:dyDescent="0.3">
      <c r="G1561" s="459"/>
      <c r="H1561" s="459">
        <v>1554</v>
      </c>
      <c r="I1561" s="444">
        <f t="shared" ca="1" si="133"/>
        <v>-182744370.46941233</v>
      </c>
      <c r="J1561" s="444">
        <f t="array" ref="J1561">IFERROR(INDEX('Retirement Calculator'!J:J,MATCH('Isaac 401k'!N1561,'Retirement Calculator'!A:A,0),0),0)</f>
        <v>0</v>
      </c>
      <c r="K1561" s="444">
        <f t="shared" ca="1" si="131"/>
        <v>-761434.87695588474</v>
      </c>
      <c r="L1561" s="444">
        <f t="shared" ca="1" si="132"/>
        <v>-183505805.34636822</v>
      </c>
      <c r="M1561" s="460">
        <f t="shared" si="134"/>
        <v>0.05</v>
      </c>
      <c r="N1561" s="464">
        <f t="shared" si="135"/>
        <v>98557</v>
      </c>
    </row>
    <row r="1562" spans="7:14" ht="11.25" customHeight="1" x14ac:dyDescent="0.3">
      <c r="G1562" s="459"/>
      <c r="H1562" s="459">
        <v>1555</v>
      </c>
      <c r="I1562" s="444">
        <f t="shared" ca="1" si="133"/>
        <v>-183505805.34636822</v>
      </c>
      <c r="J1562" s="444">
        <f t="array" ref="J1562">IFERROR(INDEX('Retirement Calculator'!J:J,MATCH('Isaac 401k'!N1562,'Retirement Calculator'!A:A,0),0),0)</f>
        <v>0</v>
      </c>
      <c r="K1562" s="444">
        <f t="shared" ca="1" si="131"/>
        <v>-764607.52227653423</v>
      </c>
      <c r="L1562" s="444">
        <f t="shared" ca="1" si="132"/>
        <v>-184270412.86864474</v>
      </c>
      <c r="M1562" s="460">
        <f t="shared" si="134"/>
        <v>0.05</v>
      </c>
      <c r="N1562" s="464">
        <f t="shared" si="135"/>
        <v>98587</v>
      </c>
    </row>
    <row r="1563" spans="7:14" ht="11.25" customHeight="1" x14ac:dyDescent="0.3">
      <c r="G1563" s="459"/>
      <c r="H1563" s="459">
        <v>1556</v>
      </c>
      <c r="I1563" s="444">
        <f t="shared" ca="1" si="133"/>
        <v>-184270412.86864474</v>
      </c>
      <c r="J1563" s="444">
        <f t="array" ref="J1563">IFERROR(INDEX('Retirement Calculator'!J:J,MATCH('Isaac 401k'!N1563,'Retirement Calculator'!A:A,0),0),0)</f>
        <v>0</v>
      </c>
      <c r="K1563" s="444">
        <f t="shared" ca="1" si="131"/>
        <v>-767793.38695268647</v>
      </c>
      <c r="L1563" s="444">
        <f t="shared" ca="1" si="132"/>
        <v>-185038206.25559744</v>
      </c>
      <c r="M1563" s="460">
        <f t="shared" si="134"/>
        <v>0.05</v>
      </c>
      <c r="N1563" s="464">
        <f t="shared" si="135"/>
        <v>98618</v>
      </c>
    </row>
    <row r="1564" spans="7:14" ht="11.25" customHeight="1" x14ac:dyDescent="0.3">
      <c r="G1564" s="459"/>
      <c r="H1564" s="459">
        <v>1557</v>
      </c>
      <c r="I1564" s="444">
        <f t="shared" ca="1" si="133"/>
        <v>-185038206.25559744</v>
      </c>
      <c r="J1564" s="444">
        <f t="array" ref="J1564">IFERROR(INDEX('Retirement Calculator'!J:J,MATCH('Isaac 401k'!N1564,'Retirement Calculator'!A:A,0),0),0)</f>
        <v>0</v>
      </c>
      <c r="K1564" s="444">
        <f t="shared" ca="1" si="131"/>
        <v>-770992.52606498939</v>
      </c>
      <c r="L1564" s="444">
        <f t="shared" ca="1" si="132"/>
        <v>-185809198.78166243</v>
      </c>
      <c r="M1564" s="460">
        <f t="shared" si="134"/>
        <v>0.05</v>
      </c>
      <c r="N1564" s="464">
        <f t="shared" si="135"/>
        <v>98649</v>
      </c>
    </row>
    <row r="1565" spans="7:14" ht="11.25" customHeight="1" x14ac:dyDescent="0.3">
      <c r="G1565" s="459"/>
      <c r="H1565" s="459">
        <v>1558</v>
      </c>
      <c r="I1565" s="444">
        <f t="shared" ca="1" si="133"/>
        <v>-185809198.78166243</v>
      </c>
      <c r="J1565" s="444">
        <f t="array" ref="J1565">IFERROR(INDEX('Retirement Calculator'!J:J,MATCH('Isaac 401k'!N1565,'Retirement Calculator'!A:A,0),0),0)</f>
        <v>0</v>
      </c>
      <c r="K1565" s="444">
        <f t="shared" ca="1" si="131"/>
        <v>-774204.99492359348</v>
      </c>
      <c r="L1565" s="444">
        <f t="shared" ca="1" si="132"/>
        <v>-186583403.77658603</v>
      </c>
      <c r="M1565" s="460">
        <f t="shared" si="134"/>
        <v>0.05</v>
      </c>
      <c r="N1565" s="464">
        <f t="shared" si="135"/>
        <v>98677</v>
      </c>
    </row>
    <row r="1566" spans="7:14" ht="11.25" customHeight="1" x14ac:dyDescent="0.3">
      <c r="G1566" s="459"/>
      <c r="H1566" s="459">
        <v>1559</v>
      </c>
      <c r="I1566" s="444">
        <f t="shared" ca="1" si="133"/>
        <v>-186583403.77658603</v>
      </c>
      <c r="J1566" s="444">
        <f t="array" ref="J1566">IFERROR(INDEX('Retirement Calculator'!J:J,MATCH('Isaac 401k'!N1566,'Retirement Calculator'!A:A,0),0),0)</f>
        <v>0</v>
      </c>
      <c r="K1566" s="444">
        <f t="shared" ca="1" si="131"/>
        <v>-777430.84906910849</v>
      </c>
      <c r="L1566" s="444">
        <f t="shared" ca="1" si="132"/>
        <v>-187360834.62565514</v>
      </c>
      <c r="M1566" s="460">
        <f t="shared" si="134"/>
        <v>0.05</v>
      </c>
      <c r="N1566" s="464">
        <f t="shared" si="135"/>
        <v>98708</v>
      </c>
    </row>
    <row r="1567" spans="7:14" ht="11.25" customHeight="1" x14ac:dyDescent="0.3">
      <c r="G1567" s="459"/>
      <c r="H1567" s="459">
        <v>1560</v>
      </c>
      <c r="I1567" s="444">
        <f t="shared" ca="1" si="133"/>
        <v>-187360834.62565514</v>
      </c>
      <c r="J1567" s="444">
        <f t="array" ref="J1567">IFERROR(INDEX('Retirement Calculator'!J:J,MATCH('Isaac 401k'!N1567,'Retirement Calculator'!A:A,0),0),0)</f>
        <v>0</v>
      </c>
      <c r="K1567" s="444">
        <f t="shared" ca="1" si="131"/>
        <v>-780670.14427356306</v>
      </c>
      <c r="L1567" s="444">
        <f t="shared" ca="1" si="132"/>
        <v>-188141504.76992869</v>
      </c>
      <c r="M1567" s="460">
        <f t="shared" si="134"/>
        <v>0.05</v>
      </c>
      <c r="N1567" s="464">
        <f t="shared" si="135"/>
        <v>98738</v>
      </c>
    </row>
    <row r="1568" spans="7:14" ht="11.25" customHeight="1" x14ac:dyDescent="0.3">
      <c r="G1568" s="459"/>
      <c r="H1568" s="459">
        <v>1561</v>
      </c>
      <c r="I1568" s="444">
        <f t="shared" ca="1" si="133"/>
        <v>-188141504.76992869</v>
      </c>
      <c r="J1568" s="444">
        <f t="array" ref="J1568">IFERROR(INDEX('Retirement Calculator'!J:J,MATCH('Isaac 401k'!N1568,'Retirement Calculator'!A:A,0),0),0)</f>
        <v>0</v>
      </c>
      <c r="K1568" s="444">
        <f t="shared" ca="1" si="131"/>
        <v>-783922.93654136953</v>
      </c>
      <c r="L1568" s="444">
        <f t="shared" ca="1" si="132"/>
        <v>-188925427.70647007</v>
      </c>
      <c r="M1568" s="460">
        <f t="shared" si="134"/>
        <v>0.05</v>
      </c>
      <c r="N1568" s="464">
        <f t="shared" si="135"/>
        <v>98769</v>
      </c>
    </row>
    <row r="1569" spans="7:14" ht="11.25" customHeight="1" x14ac:dyDescent="0.3">
      <c r="G1569" s="459"/>
      <c r="H1569" s="459">
        <v>1562</v>
      </c>
      <c r="I1569" s="444">
        <f t="shared" ca="1" si="133"/>
        <v>-188925427.70647007</v>
      </c>
      <c r="J1569" s="444">
        <f t="array" ref="J1569">IFERROR(INDEX('Retirement Calculator'!J:J,MATCH('Isaac 401k'!N1569,'Retirement Calculator'!A:A,0),0),0)</f>
        <v>0</v>
      </c>
      <c r="K1569" s="444">
        <f t="shared" ca="1" si="131"/>
        <v>-787189.282110292</v>
      </c>
      <c r="L1569" s="444">
        <f t="shared" ca="1" si="132"/>
        <v>-189712616.98858038</v>
      </c>
      <c r="M1569" s="460">
        <f t="shared" si="134"/>
        <v>0.05</v>
      </c>
      <c r="N1569" s="464">
        <f t="shared" si="135"/>
        <v>98799</v>
      </c>
    </row>
    <row r="1570" spans="7:14" ht="11.25" customHeight="1" x14ac:dyDescent="0.3">
      <c r="G1570" s="459"/>
      <c r="H1570" s="459">
        <v>1563</v>
      </c>
      <c r="I1570" s="444">
        <f t="shared" ca="1" si="133"/>
        <v>-189712616.98858038</v>
      </c>
      <c r="J1570" s="444">
        <f t="array" ref="J1570">IFERROR(INDEX('Retirement Calculator'!J:J,MATCH('Isaac 401k'!N1570,'Retirement Calculator'!A:A,0),0),0)</f>
        <v>0</v>
      </c>
      <c r="K1570" s="444">
        <f t="shared" ca="1" si="131"/>
        <v>-790469.23745241819</v>
      </c>
      <c r="L1570" s="444">
        <f t="shared" ca="1" si="132"/>
        <v>-190503086.22603279</v>
      </c>
      <c r="M1570" s="460">
        <f t="shared" si="134"/>
        <v>0.05</v>
      </c>
      <c r="N1570" s="464">
        <f t="shared" si="135"/>
        <v>98830</v>
      </c>
    </row>
    <row r="1571" spans="7:14" ht="11.25" customHeight="1" x14ac:dyDescent="0.3">
      <c r="G1571" s="459"/>
      <c r="H1571" s="459">
        <v>1564</v>
      </c>
      <c r="I1571" s="444">
        <f t="shared" ca="1" si="133"/>
        <v>-190503086.22603279</v>
      </c>
      <c r="J1571" s="444">
        <f t="array" ref="J1571">IFERROR(INDEX('Retirement Calculator'!J:J,MATCH('Isaac 401k'!N1571,'Retirement Calculator'!A:A,0),0),0)</f>
        <v>0</v>
      </c>
      <c r="K1571" s="444">
        <f t="shared" ca="1" si="131"/>
        <v>-793762.85927513661</v>
      </c>
      <c r="L1571" s="444">
        <f t="shared" ca="1" si="132"/>
        <v>-191296849.08530793</v>
      </c>
      <c r="M1571" s="460">
        <f t="shared" si="134"/>
        <v>0.05</v>
      </c>
      <c r="N1571" s="464">
        <f t="shared" si="135"/>
        <v>98861</v>
      </c>
    </row>
    <row r="1572" spans="7:14" ht="11.25" customHeight="1" x14ac:dyDescent="0.3">
      <c r="G1572" s="459"/>
      <c r="H1572" s="459">
        <v>1565</v>
      </c>
      <c r="I1572" s="444">
        <f t="shared" ca="1" si="133"/>
        <v>-191296849.08530793</v>
      </c>
      <c r="J1572" s="444">
        <f t="array" ref="J1572">IFERROR(INDEX('Retirement Calculator'!J:J,MATCH('Isaac 401k'!N1572,'Retirement Calculator'!A:A,0),0),0)</f>
        <v>0</v>
      </c>
      <c r="K1572" s="444">
        <f t="shared" ca="1" si="131"/>
        <v>-797070.20452211634</v>
      </c>
      <c r="L1572" s="444">
        <f t="shared" ca="1" si="132"/>
        <v>-192093919.28983003</v>
      </c>
      <c r="M1572" s="460">
        <f t="shared" si="134"/>
        <v>0.05</v>
      </c>
      <c r="N1572" s="464">
        <f t="shared" si="135"/>
        <v>98891</v>
      </c>
    </row>
    <row r="1573" spans="7:14" ht="11.25" customHeight="1" x14ac:dyDescent="0.3">
      <c r="G1573" s="459"/>
      <c r="H1573" s="459">
        <v>1566</v>
      </c>
      <c r="I1573" s="444">
        <f t="shared" ca="1" si="133"/>
        <v>-192093919.28983003</v>
      </c>
      <c r="J1573" s="444">
        <f t="array" ref="J1573">IFERROR(INDEX('Retirement Calculator'!J:J,MATCH('Isaac 401k'!N1573,'Retirement Calculator'!A:A,0),0),0)</f>
        <v>0</v>
      </c>
      <c r="K1573" s="444">
        <f t="shared" ca="1" si="131"/>
        <v>-800391.33037429175</v>
      </c>
      <c r="L1573" s="444">
        <f t="shared" ca="1" si="132"/>
        <v>-192894310.62020433</v>
      </c>
      <c r="M1573" s="460">
        <f t="shared" si="134"/>
        <v>0.05</v>
      </c>
      <c r="N1573" s="464">
        <f t="shared" si="135"/>
        <v>98922</v>
      </c>
    </row>
    <row r="1574" spans="7:14" ht="11.25" customHeight="1" x14ac:dyDescent="0.3">
      <c r="G1574" s="459"/>
      <c r="H1574" s="459">
        <v>1567</v>
      </c>
      <c r="I1574" s="444">
        <f t="shared" ca="1" si="133"/>
        <v>-192894310.62020433</v>
      </c>
      <c r="J1574" s="444">
        <f t="array" ref="J1574">IFERROR(INDEX('Retirement Calculator'!J:J,MATCH('Isaac 401k'!N1574,'Retirement Calculator'!A:A,0),0),0)</f>
        <v>0</v>
      </c>
      <c r="K1574" s="444">
        <f t="shared" ca="1" si="131"/>
        <v>-803726.29425085138</v>
      </c>
      <c r="L1574" s="444">
        <f t="shared" ca="1" si="132"/>
        <v>-193698036.91445518</v>
      </c>
      <c r="M1574" s="460">
        <f t="shared" si="134"/>
        <v>0.05</v>
      </c>
      <c r="N1574" s="464">
        <f t="shared" si="135"/>
        <v>98952</v>
      </c>
    </row>
    <row r="1575" spans="7:14" ht="11.25" customHeight="1" x14ac:dyDescent="0.3">
      <c r="G1575" s="459"/>
      <c r="H1575" s="459">
        <v>1568</v>
      </c>
      <c r="I1575" s="444">
        <f t="shared" ca="1" si="133"/>
        <v>-193698036.91445518</v>
      </c>
      <c r="J1575" s="444">
        <f t="array" ref="J1575">IFERROR(INDEX('Retirement Calculator'!J:J,MATCH('Isaac 401k'!N1575,'Retirement Calculator'!A:A,0),0),0)</f>
        <v>0</v>
      </c>
      <c r="K1575" s="444">
        <f t="shared" ca="1" si="131"/>
        <v>-807075.15381022985</v>
      </c>
      <c r="L1575" s="444">
        <f t="shared" ca="1" si="132"/>
        <v>-194505112.06826541</v>
      </c>
      <c r="M1575" s="460">
        <f t="shared" si="134"/>
        <v>0.05</v>
      </c>
      <c r="N1575" s="464">
        <f t="shared" si="135"/>
        <v>98983</v>
      </c>
    </row>
    <row r="1576" spans="7:14" ht="11.25" customHeight="1" x14ac:dyDescent="0.3">
      <c r="G1576" s="459"/>
      <c r="H1576" s="459">
        <v>1569</v>
      </c>
      <c r="I1576" s="444">
        <f t="shared" ca="1" si="133"/>
        <v>-194505112.06826541</v>
      </c>
      <c r="J1576" s="444">
        <f t="array" ref="J1576">IFERROR(INDEX('Retirement Calculator'!J:J,MATCH('Isaac 401k'!N1576,'Retirement Calculator'!A:A,0),0),0)</f>
        <v>0</v>
      </c>
      <c r="K1576" s="444">
        <f t="shared" ca="1" si="131"/>
        <v>-810437.96695110586</v>
      </c>
      <c r="L1576" s="444">
        <f t="shared" ca="1" si="132"/>
        <v>-195315550.03521651</v>
      </c>
      <c r="M1576" s="460">
        <f t="shared" si="134"/>
        <v>0.05</v>
      </c>
      <c r="N1576" s="464">
        <f t="shared" si="135"/>
        <v>99014</v>
      </c>
    </row>
    <row r="1577" spans="7:14" ht="11.25" customHeight="1" x14ac:dyDescent="0.3">
      <c r="G1577" s="459"/>
      <c r="H1577" s="459">
        <v>1570</v>
      </c>
      <c r="I1577" s="444">
        <f t="shared" ca="1" si="133"/>
        <v>-195315550.03521651</v>
      </c>
      <c r="J1577" s="444">
        <f t="array" ref="J1577">IFERROR(INDEX('Retirement Calculator'!J:J,MATCH('Isaac 401k'!N1577,'Retirement Calculator'!A:A,0),0),0)</f>
        <v>0</v>
      </c>
      <c r="K1577" s="444">
        <f t="shared" ca="1" si="131"/>
        <v>-813814.79181340209</v>
      </c>
      <c r="L1577" s="444">
        <f t="shared" ca="1" si="132"/>
        <v>-196129364.82702991</v>
      </c>
      <c r="M1577" s="460">
        <f t="shared" si="134"/>
        <v>0.05</v>
      </c>
      <c r="N1577" s="464">
        <f t="shared" si="135"/>
        <v>99042</v>
      </c>
    </row>
    <row r="1578" spans="7:14" ht="11.25" customHeight="1" x14ac:dyDescent="0.3">
      <c r="G1578" s="459"/>
      <c r="H1578" s="459">
        <v>1571</v>
      </c>
      <c r="I1578" s="444">
        <f t="shared" ca="1" si="133"/>
        <v>-196129364.82702991</v>
      </c>
      <c r="J1578" s="444">
        <f t="array" ref="J1578">IFERROR(INDEX('Retirement Calculator'!J:J,MATCH('Isaac 401k'!N1578,'Retirement Calculator'!A:A,0),0),0)</f>
        <v>0</v>
      </c>
      <c r="K1578" s="444">
        <f t="shared" ca="1" si="131"/>
        <v>-817205.68677929125</v>
      </c>
      <c r="L1578" s="444">
        <f t="shared" ca="1" si="132"/>
        <v>-196946570.5138092</v>
      </c>
      <c r="M1578" s="460">
        <f t="shared" si="134"/>
        <v>0.05</v>
      </c>
      <c r="N1578" s="464">
        <f t="shared" si="135"/>
        <v>99073</v>
      </c>
    </row>
    <row r="1579" spans="7:14" ht="11.25" customHeight="1" x14ac:dyDescent="0.3">
      <c r="G1579" s="459"/>
      <c r="H1579" s="459">
        <v>1572</v>
      </c>
      <c r="I1579" s="444">
        <f t="shared" ca="1" si="133"/>
        <v>-196946570.5138092</v>
      </c>
      <c r="J1579" s="444">
        <f t="array" ref="J1579">IFERROR(INDEX('Retirement Calculator'!J:J,MATCH('Isaac 401k'!N1579,'Retirement Calculator'!A:A,0),0),0)</f>
        <v>0</v>
      </c>
      <c r="K1579" s="444">
        <f t="shared" ca="1" si="131"/>
        <v>-820610.71047420497</v>
      </c>
      <c r="L1579" s="444">
        <f t="shared" ca="1" si="132"/>
        <v>-197767181.2242834</v>
      </c>
      <c r="M1579" s="460">
        <f t="shared" si="134"/>
        <v>0.05</v>
      </c>
      <c r="N1579" s="464">
        <f t="shared" si="135"/>
        <v>99103</v>
      </c>
    </row>
    <row r="1580" spans="7:14" ht="11.25" customHeight="1" x14ac:dyDescent="0.3">
      <c r="G1580" s="459"/>
      <c r="H1580" s="459">
        <v>1573</v>
      </c>
      <c r="I1580" s="444">
        <f t="shared" ca="1" si="133"/>
        <v>-197767181.2242834</v>
      </c>
      <c r="J1580" s="444">
        <f t="array" ref="J1580">IFERROR(INDEX('Retirement Calculator'!J:J,MATCH('Isaac 401k'!N1580,'Retirement Calculator'!A:A,0),0),0)</f>
        <v>0</v>
      </c>
      <c r="K1580" s="444">
        <f t="shared" ca="1" si="131"/>
        <v>-824029.9217678475</v>
      </c>
      <c r="L1580" s="444">
        <f t="shared" ca="1" si="132"/>
        <v>-198591211.14605126</v>
      </c>
      <c r="M1580" s="460">
        <f t="shared" si="134"/>
        <v>0.05</v>
      </c>
      <c r="N1580" s="464">
        <f t="shared" si="135"/>
        <v>99134</v>
      </c>
    </row>
    <row r="1581" spans="7:14" ht="11.25" customHeight="1" x14ac:dyDescent="0.3">
      <c r="G1581" s="459"/>
      <c r="H1581" s="459">
        <v>1574</v>
      </c>
      <c r="I1581" s="444">
        <f t="shared" ca="1" si="133"/>
        <v>-198591211.14605126</v>
      </c>
      <c r="J1581" s="444">
        <f t="array" ref="J1581">IFERROR(INDEX('Retirement Calculator'!J:J,MATCH('Isaac 401k'!N1581,'Retirement Calculator'!A:A,0),0),0)</f>
        <v>0</v>
      </c>
      <c r="K1581" s="444">
        <f t="shared" ca="1" si="131"/>
        <v>-827463.37977521354</v>
      </c>
      <c r="L1581" s="444">
        <f t="shared" ca="1" si="132"/>
        <v>-199418674.52582648</v>
      </c>
      <c r="M1581" s="460">
        <f t="shared" si="134"/>
        <v>0.05</v>
      </c>
      <c r="N1581" s="464">
        <f t="shared" si="135"/>
        <v>99164</v>
      </c>
    </row>
    <row r="1582" spans="7:14" ht="11.25" customHeight="1" x14ac:dyDescent="0.3">
      <c r="G1582" s="459"/>
      <c r="H1582" s="459">
        <v>1575</v>
      </c>
      <c r="I1582" s="444">
        <f t="shared" ca="1" si="133"/>
        <v>-199418674.52582648</v>
      </c>
      <c r="J1582" s="444">
        <f t="array" ref="J1582">IFERROR(INDEX('Retirement Calculator'!J:J,MATCH('Isaac 401k'!N1582,'Retirement Calculator'!A:A,0),0),0)</f>
        <v>0</v>
      </c>
      <c r="K1582" s="444">
        <f t="shared" ca="1" si="131"/>
        <v>-830911.1438576103</v>
      </c>
      <c r="L1582" s="444">
        <f t="shared" ca="1" si="132"/>
        <v>-200249585.66968408</v>
      </c>
      <c r="M1582" s="460">
        <f t="shared" si="134"/>
        <v>0.05</v>
      </c>
      <c r="N1582" s="464">
        <f t="shared" si="135"/>
        <v>99195</v>
      </c>
    </row>
    <row r="1583" spans="7:14" ht="11.25" customHeight="1" x14ac:dyDescent="0.3">
      <c r="G1583" s="459"/>
      <c r="H1583" s="459">
        <v>1576</v>
      </c>
      <c r="I1583" s="444">
        <f t="shared" ca="1" si="133"/>
        <v>-200249585.66968408</v>
      </c>
      <c r="J1583" s="444">
        <f t="array" ref="J1583">IFERROR(INDEX('Retirement Calculator'!J:J,MATCH('Isaac 401k'!N1583,'Retirement Calculator'!A:A,0),0),0)</f>
        <v>0</v>
      </c>
      <c r="K1583" s="444">
        <f t="shared" ca="1" si="131"/>
        <v>-834373.27362368372</v>
      </c>
      <c r="L1583" s="444">
        <f t="shared" ca="1" si="132"/>
        <v>-201083958.94330776</v>
      </c>
      <c r="M1583" s="460">
        <f t="shared" si="134"/>
        <v>0.05</v>
      </c>
      <c r="N1583" s="464">
        <f t="shared" si="135"/>
        <v>99226</v>
      </c>
    </row>
    <row r="1584" spans="7:14" ht="11.25" customHeight="1" x14ac:dyDescent="0.3">
      <c r="G1584" s="459"/>
      <c r="H1584" s="459">
        <v>1577</v>
      </c>
      <c r="I1584" s="444">
        <f t="shared" ca="1" si="133"/>
        <v>-201083958.94330776</v>
      </c>
      <c r="J1584" s="444">
        <f t="array" ref="J1584">IFERROR(INDEX('Retirement Calculator'!J:J,MATCH('Isaac 401k'!N1584,'Retirement Calculator'!A:A,0),0),0)</f>
        <v>0</v>
      </c>
      <c r="K1584" s="444">
        <f t="shared" ca="1" si="131"/>
        <v>-837849.82893044897</v>
      </c>
      <c r="L1584" s="444">
        <f t="shared" ca="1" si="132"/>
        <v>-201921808.77223819</v>
      </c>
      <c r="M1584" s="460">
        <f t="shared" si="134"/>
        <v>0.05</v>
      </c>
      <c r="N1584" s="464">
        <f t="shared" si="135"/>
        <v>99256</v>
      </c>
    </row>
    <row r="1585" spans="7:14" ht="11.25" customHeight="1" x14ac:dyDescent="0.3">
      <c r="G1585" s="459"/>
      <c r="H1585" s="459">
        <v>1578</v>
      </c>
      <c r="I1585" s="444">
        <f t="shared" ca="1" si="133"/>
        <v>-201921808.77223819</v>
      </c>
      <c r="J1585" s="444">
        <f t="array" ref="J1585">IFERROR(INDEX('Retirement Calculator'!J:J,MATCH('Isaac 401k'!N1585,'Retirement Calculator'!A:A,0),0),0)</f>
        <v>0</v>
      </c>
      <c r="K1585" s="444">
        <f t="shared" ca="1" si="131"/>
        <v>-841340.86988432577</v>
      </c>
      <c r="L1585" s="444">
        <f t="shared" ca="1" si="132"/>
        <v>-202763149.64212251</v>
      </c>
      <c r="M1585" s="460">
        <f t="shared" si="134"/>
        <v>0.05</v>
      </c>
      <c r="N1585" s="464">
        <f t="shared" si="135"/>
        <v>99287</v>
      </c>
    </row>
    <row r="1586" spans="7:14" ht="11.25" customHeight="1" x14ac:dyDescent="0.3">
      <c r="G1586" s="459"/>
      <c r="H1586" s="459">
        <v>1579</v>
      </c>
      <c r="I1586" s="444">
        <f t="shared" ca="1" si="133"/>
        <v>-202763149.64212251</v>
      </c>
      <c r="J1586" s="444">
        <f t="array" ref="J1586">IFERROR(INDEX('Retirement Calculator'!J:J,MATCH('Isaac 401k'!N1586,'Retirement Calculator'!A:A,0),0),0)</f>
        <v>0</v>
      </c>
      <c r="K1586" s="444">
        <f t="shared" ca="1" si="131"/>
        <v>-844846.45684217708</v>
      </c>
      <c r="L1586" s="444">
        <f t="shared" ca="1" si="132"/>
        <v>-203607996.09896469</v>
      </c>
      <c r="M1586" s="460">
        <f t="shared" si="134"/>
        <v>0.05</v>
      </c>
      <c r="N1586" s="464">
        <f t="shared" si="135"/>
        <v>99317</v>
      </c>
    </row>
    <row r="1587" spans="7:14" ht="11.25" customHeight="1" x14ac:dyDescent="0.3">
      <c r="G1587" s="459"/>
      <c r="H1587" s="459">
        <v>1580</v>
      </c>
      <c r="I1587" s="444">
        <f t="shared" ca="1" si="133"/>
        <v>-203607996.09896469</v>
      </c>
      <c r="J1587" s="444">
        <f t="array" ref="J1587">IFERROR(INDEX('Retirement Calculator'!J:J,MATCH('Isaac 401k'!N1587,'Retirement Calculator'!A:A,0),0),0)</f>
        <v>0</v>
      </c>
      <c r="K1587" s="444">
        <f t="shared" ca="1" si="131"/>
        <v>-848366.65041235287</v>
      </c>
      <c r="L1587" s="444">
        <f t="shared" ca="1" si="132"/>
        <v>-204456362.74937704</v>
      </c>
      <c r="M1587" s="460">
        <f t="shared" si="134"/>
        <v>0.05</v>
      </c>
      <c r="N1587" s="464">
        <f t="shared" si="135"/>
        <v>99348</v>
      </c>
    </row>
    <row r="1588" spans="7:14" ht="11.25" customHeight="1" x14ac:dyDescent="0.3">
      <c r="G1588" s="459"/>
      <c r="H1588" s="459">
        <v>1581</v>
      </c>
      <c r="I1588" s="444">
        <f t="shared" ca="1" si="133"/>
        <v>-204456362.74937704</v>
      </c>
      <c r="J1588" s="444">
        <f t="array" ref="J1588">IFERROR(INDEX('Retirement Calculator'!J:J,MATCH('Isaac 401k'!N1588,'Retirement Calculator'!A:A,0),0),0)</f>
        <v>0</v>
      </c>
      <c r="K1588" s="444">
        <f t="shared" ca="1" si="131"/>
        <v>-851901.51145573764</v>
      </c>
      <c r="L1588" s="444">
        <f t="shared" ca="1" si="132"/>
        <v>-205308264.26083279</v>
      </c>
      <c r="M1588" s="460">
        <f t="shared" si="134"/>
        <v>0.05</v>
      </c>
      <c r="N1588" s="464">
        <f t="shared" si="135"/>
        <v>99379</v>
      </c>
    </row>
    <row r="1589" spans="7:14" ht="11.25" customHeight="1" x14ac:dyDescent="0.3">
      <c r="G1589" s="459"/>
      <c r="H1589" s="459">
        <v>1582</v>
      </c>
      <c r="I1589" s="444">
        <f t="shared" ca="1" si="133"/>
        <v>-205308264.26083279</v>
      </c>
      <c r="J1589" s="444">
        <f t="array" ref="J1589">IFERROR(INDEX('Retirement Calculator'!J:J,MATCH('Isaac 401k'!N1589,'Retirement Calculator'!A:A,0),0),0)</f>
        <v>0</v>
      </c>
      <c r="K1589" s="444">
        <f t="shared" ca="1" si="131"/>
        <v>-855451.10108680325</v>
      </c>
      <c r="L1589" s="444">
        <f t="shared" ca="1" si="132"/>
        <v>-206163715.36191958</v>
      </c>
      <c r="M1589" s="460">
        <f t="shared" si="134"/>
        <v>0.05</v>
      </c>
      <c r="N1589" s="464">
        <f t="shared" si="135"/>
        <v>99408</v>
      </c>
    </row>
    <row r="1590" spans="7:14" ht="11.25" customHeight="1" x14ac:dyDescent="0.3">
      <c r="G1590" s="459"/>
      <c r="H1590" s="459">
        <v>1583</v>
      </c>
      <c r="I1590" s="444">
        <f t="shared" ca="1" si="133"/>
        <v>-206163715.36191958</v>
      </c>
      <c r="J1590" s="444">
        <f t="array" ref="J1590">IFERROR(INDEX('Retirement Calculator'!J:J,MATCH('Isaac 401k'!N1590,'Retirement Calculator'!A:A,0),0),0)</f>
        <v>0</v>
      </c>
      <c r="K1590" s="444">
        <f t="shared" ca="1" si="131"/>
        <v>-859015.48067466496</v>
      </c>
      <c r="L1590" s="444">
        <f t="shared" ca="1" si="132"/>
        <v>-207022730.84259424</v>
      </c>
      <c r="M1590" s="460">
        <f t="shared" si="134"/>
        <v>0.05</v>
      </c>
      <c r="N1590" s="464">
        <f t="shared" si="135"/>
        <v>99439</v>
      </c>
    </row>
    <row r="1591" spans="7:14" ht="11.25" customHeight="1" x14ac:dyDescent="0.3">
      <c r="G1591" s="459"/>
      <c r="H1591" s="459">
        <v>1584</v>
      </c>
      <c r="I1591" s="444">
        <f t="shared" ca="1" si="133"/>
        <v>-207022730.84259424</v>
      </c>
      <c r="J1591" s="444">
        <f t="array" ref="J1591">IFERROR(INDEX('Retirement Calculator'!J:J,MATCH('Isaac 401k'!N1591,'Retirement Calculator'!A:A,0),0),0)</f>
        <v>0</v>
      </c>
      <c r="K1591" s="444">
        <f t="shared" ca="1" si="131"/>
        <v>-862594.71184414264</v>
      </c>
      <c r="L1591" s="444">
        <f t="shared" ca="1" si="132"/>
        <v>-207885325.55443838</v>
      </c>
      <c r="M1591" s="460">
        <f t="shared" si="134"/>
        <v>0.05</v>
      </c>
      <c r="N1591" s="464">
        <f t="shared" si="135"/>
        <v>99469</v>
      </c>
    </row>
    <row r="1592" spans="7:14" ht="11.25" customHeight="1" x14ac:dyDescent="0.3">
      <c r="G1592" s="459"/>
      <c r="H1592" s="459">
        <v>1585</v>
      </c>
      <c r="I1592" s="444">
        <f t="shared" ca="1" si="133"/>
        <v>-207885325.55443838</v>
      </c>
      <c r="J1592" s="444">
        <f t="array" ref="J1592">IFERROR(INDEX('Retirement Calculator'!J:J,MATCH('Isaac 401k'!N1592,'Retirement Calculator'!A:A,0),0),0)</f>
        <v>0</v>
      </c>
      <c r="K1592" s="444">
        <f t="shared" ca="1" si="131"/>
        <v>-866188.85647682659</v>
      </c>
      <c r="L1592" s="444">
        <f t="shared" ca="1" si="132"/>
        <v>-208751514.4109152</v>
      </c>
      <c r="M1592" s="460">
        <f t="shared" si="134"/>
        <v>0.05</v>
      </c>
      <c r="N1592" s="464">
        <f t="shared" si="135"/>
        <v>99500</v>
      </c>
    </row>
    <row r="1593" spans="7:14" ht="11.25" customHeight="1" x14ac:dyDescent="0.3">
      <c r="G1593" s="459"/>
      <c r="H1593" s="459">
        <v>1586</v>
      </c>
      <c r="I1593" s="444">
        <f t="shared" ca="1" si="133"/>
        <v>-208751514.4109152</v>
      </c>
      <c r="J1593" s="444">
        <f t="array" ref="J1593">IFERROR(INDEX('Retirement Calculator'!J:J,MATCH('Isaac 401k'!N1593,'Retirement Calculator'!A:A,0),0),0)</f>
        <v>0</v>
      </c>
      <c r="K1593" s="444">
        <f t="shared" ca="1" si="131"/>
        <v>-869797.97671214666</v>
      </c>
      <c r="L1593" s="444">
        <f t="shared" ca="1" si="132"/>
        <v>-209621312.38762733</v>
      </c>
      <c r="M1593" s="460">
        <f t="shared" si="134"/>
        <v>0.05</v>
      </c>
      <c r="N1593" s="464">
        <f t="shared" si="135"/>
        <v>99530</v>
      </c>
    </row>
    <row r="1594" spans="7:14" ht="11.25" customHeight="1" x14ac:dyDescent="0.3">
      <c r="G1594" s="459"/>
      <c r="H1594" s="459">
        <v>1587</v>
      </c>
      <c r="I1594" s="444">
        <f t="shared" ca="1" si="133"/>
        <v>-209621312.38762733</v>
      </c>
      <c r="J1594" s="444">
        <f t="array" ref="J1594">IFERROR(INDEX('Retirement Calculator'!J:J,MATCH('Isaac 401k'!N1594,'Retirement Calculator'!A:A,0),0),0)</f>
        <v>0</v>
      </c>
      <c r="K1594" s="444">
        <f t="shared" ca="1" si="131"/>
        <v>-873422.13494844723</v>
      </c>
      <c r="L1594" s="444">
        <f t="shared" ca="1" si="132"/>
        <v>-210494734.52257577</v>
      </c>
      <c r="M1594" s="460">
        <f t="shared" si="134"/>
        <v>0.05</v>
      </c>
      <c r="N1594" s="464">
        <f t="shared" si="135"/>
        <v>99561</v>
      </c>
    </row>
    <row r="1595" spans="7:14" ht="11.25" customHeight="1" x14ac:dyDescent="0.3">
      <c r="G1595" s="459"/>
      <c r="H1595" s="459">
        <v>1588</v>
      </c>
      <c r="I1595" s="444">
        <f t="shared" ca="1" si="133"/>
        <v>-210494734.52257577</v>
      </c>
      <c r="J1595" s="444">
        <f t="array" ref="J1595">IFERROR(INDEX('Retirement Calculator'!J:J,MATCH('Isaac 401k'!N1595,'Retirement Calculator'!A:A,0),0),0)</f>
        <v>0</v>
      </c>
      <c r="K1595" s="444">
        <f t="shared" ca="1" si="131"/>
        <v>-877061.39384406572</v>
      </c>
      <c r="L1595" s="444">
        <f t="shared" ca="1" si="132"/>
        <v>-211371795.91641983</v>
      </c>
      <c r="M1595" s="460">
        <f t="shared" si="134"/>
        <v>0.05</v>
      </c>
      <c r="N1595" s="464">
        <f t="shared" si="135"/>
        <v>99592</v>
      </c>
    </row>
    <row r="1596" spans="7:14" ht="11.25" customHeight="1" x14ac:dyDescent="0.3">
      <c r="G1596" s="459"/>
      <c r="H1596" s="459">
        <v>1589</v>
      </c>
      <c r="I1596" s="444">
        <f t="shared" ca="1" si="133"/>
        <v>-211371795.91641983</v>
      </c>
      <c r="J1596" s="444">
        <f t="array" ref="J1596">IFERROR(INDEX('Retirement Calculator'!J:J,MATCH('Isaac 401k'!N1596,'Retirement Calculator'!A:A,0),0),0)</f>
        <v>0</v>
      </c>
      <c r="K1596" s="444">
        <f t="shared" ca="1" si="131"/>
        <v>-880715.81631841604</v>
      </c>
      <c r="L1596" s="444">
        <f t="shared" ca="1" si="132"/>
        <v>-212252511.73273826</v>
      </c>
      <c r="M1596" s="460">
        <f t="shared" si="134"/>
        <v>0.05</v>
      </c>
      <c r="N1596" s="464">
        <f t="shared" si="135"/>
        <v>99622</v>
      </c>
    </row>
    <row r="1597" spans="7:14" ht="11.25" customHeight="1" x14ac:dyDescent="0.3">
      <c r="G1597" s="459"/>
      <c r="H1597" s="459">
        <v>1590</v>
      </c>
      <c r="I1597" s="444">
        <f t="shared" ca="1" si="133"/>
        <v>-212252511.73273826</v>
      </c>
      <c r="J1597" s="444">
        <f t="array" ref="J1597">IFERROR(INDEX('Retirement Calculator'!J:J,MATCH('Isaac 401k'!N1597,'Retirement Calculator'!A:A,0),0),0)</f>
        <v>0</v>
      </c>
      <c r="K1597" s="444">
        <f t="shared" ca="1" si="131"/>
        <v>-884385.46555307601</v>
      </c>
      <c r="L1597" s="444">
        <f t="shared" ca="1" si="132"/>
        <v>-213136897.19829133</v>
      </c>
      <c r="M1597" s="460">
        <f t="shared" si="134"/>
        <v>0.05</v>
      </c>
      <c r="N1597" s="464">
        <f t="shared" si="135"/>
        <v>99653</v>
      </c>
    </row>
    <row r="1598" spans="7:14" ht="11.25" customHeight="1" x14ac:dyDescent="0.3">
      <c r="G1598" s="459"/>
      <c r="H1598" s="459">
        <v>1591</v>
      </c>
      <c r="I1598" s="444">
        <f t="shared" ca="1" si="133"/>
        <v>-213136897.19829133</v>
      </c>
      <c r="J1598" s="444">
        <f t="array" ref="J1598">IFERROR(INDEX('Retirement Calculator'!J:J,MATCH('Isaac 401k'!N1598,'Retirement Calculator'!A:A,0),0),0)</f>
        <v>0</v>
      </c>
      <c r="K1598" s="444">
        <f t="shared" ca="1" si="131"/>
        <v>-888070.40499288042</v>
      </c>
      <c r="L1598" s="444">
        <f t="shared" ca="1" si="132"/>
        <v>-214024967.60328421</v>
      </c>
      <c r="M1598" s="460">
        <f t="shared" si="134"/>
        <v>0.05</v>
      </c>
      <c r="N1598" s="464">
        <f t="shared" si="135"/>
        <v>99683</v>
      </c>
    </row>
    <row r="1599" spans="7:14" ht="11.25" customHeight="1" x14ac:dyDescent="0.3">
      <c r="G1599" s="459"/>
      <c r="H1599" s="459">
        <v>1592</v>
      </c>
      <c r="I1599" s="444">
        <f t="shared" ca="1" si="133"/>
        <v>-214024967.60328421</v>
      </c>
      <c r="J1599" s="444">
        <f t="array" ref="J1599">IFERROR(INDEX('Retirement Calculator'!J:J,MATCH('Isaac 401k'!N1599,'Retirement Calculator'!A:A,0),0),0)</f>
        <v>0</v>
      </c>
      <c r="K1599" s="444">
        <f t="shared" ca="1" si="131"/>
        <v>-891770.6983470174</v>
      </c>
      <c r="L1599" s="444">
        <f t="shared" ca="1" si="132"/>
        <v>-214916738.30163124</v>
      </c>
      <c r="M1599" s="460">
        <f t="shared" si="134"/>
        <v>0.05</v>
      </c>
      <c r="N1599" s="464">
        <f t="shared" si="135"/>
        <v>99714</v>
      </c>
    </row>
    <row r="1600" spans="7:14" ht="11.25" customHeight="1" x14ac:dyDescent="0.3">
      <c r="G1600" s="459"/>
      <c r="H1600" s="459">
        <v>1593</v>
      </c>
      <c r="I1600" s="444">
        <f t="shared" ca="1" si="133"/>
        <v>-214916738.30163124</v>
      </c>
      <c r="J1600" s="444">
        <f t="array" ref="J1600">IFERROR(INDEX('Retirement Calculator'!J:J,MATCH('Isaac 401k'!N1600,'Retirement Calculator'!A:A,0),0),0)</f>
        <v>0</v>
      </c>
      <c r="K1600" s="444">
        <f t="shared" ca="1" si="131"/>
        <v>-895486.40959013032</v>
      </c>
      <c r="L1600" s="444">
        <f t="shared" ca="1" si="132"/>
        <v>-215812224.71122137</v>
      </c>
      <c r="M1600" s="460">
        <f t="shared" si="134"/>
        <v>0.05</v>
      </c>
      <c r="N1600" s="464">
        <f t="shared" si="135"/>
        <v>99745</v>
      </c>
    </row>
    <row r="1601" spans="7:14" ht="11.25" customHeight="1" x14ac:dyDescent="0.3">
      <c r="G1601" s="459"/>
      <c r="H1601" s="459">
        <v>1594</v>
      </c>
      <c r="I1601" s="444">
        <f t="shared" ca="1" si="133"/>
        <v>-215812224.71122137</v>
      </c>
      <c r="J1601" s="444">
        <f t="array" ref="J1601">IFERROR(INDEX('Retirement Calculator'!J:J,MATCH('Isaac 401k'!N1601,'Retirement Calculator'!A:A,0),0),0)</f>
        <v>0</v>
      </c>
      <c r="K1601" s="444">
        <f t="shared" ca="1" si="131"/>
        <v>-899217.60296342219</v>
      </c>
      <c r="L1601" s="444">
        <f t="shared" ca="1" si="132"/>
        <v>-216711442.31418478</v>
      </c>
      <c r="M1601" s="460">
        <f t="shared" si="134"/>
        <v>0.05</v>
      </c>
      <c r="N1601" s="464">
        <f t="shared" si="135"/>
        <v>99773</v>
      </c>
    </row>
    <row r="1602" spans="7:14" ht="11.25" customHeight="1" x14ac:dyDescent="0.3">
      <c r="G1602" s="459"/>
      <c r="H1602" s="459">
        <v>1595</v>
      </c>
      <c r="I1602" s="444">
        <f t="shared" ca="1" si="133"/>
        <v>-216711442.31418478</v>
      </c>
      <c r="J1602" s="444">
        <f t="array" ref="J1602">IFERROR(INDEX('Retirement Calculator'!J:J,MATCH('Isaac 401k'!N1602,'Retirement Calculator'!A:A,0),0),0)</f>
        <v>0</v>
      </c>
      <c r="K1602" s="444">
        <f t="shared" ca="1" si="131"/>
        <v>-902964.34297576989</v>
      </c>
      <c r="L1602" s="444">
        <f t="shared" ca="1" si="132"/>
        <v>-217614406.65716055</v>
      </c>
      <c r="M1602" s="460">
        <f t="shared" si="134"/>
        <v>0.05</v>
      </c>
      <c r="N1602" s="464">
        <f t="shared" si="135"/>
        <v>99804</v>
      </c>
    </row>
    <row r="1603" spans="7:14" ht="11.25" customHeight="1" x14ac:dyDescent="0.3">
      <c r="G1603" s="459"/>
      <c r="H1603" s="459">
        <v>1596</v>
      </c>
      <c r="I1603" s="444">
        <f t="shared" ca="1" si="133"/>
        <v>-217614406.65716055</v>
      </c>
      <c r="J1603" s="444">
        <f t="array" ref="J1603">IFERROR(INDEX('Retirement Calculator'!J:J,MATCH('Isaac 401k'!N1603,'Retirement Calculator'!A:A,0),0),0)</f>
        <v>0</v>
      </c>
      <c r="K1603" s="444">
        <f t="shared" ca="1" si="131"/>
        <v>-906726.69440483558</v>
      </c>
      <c r="L1603" s="444">
        <f t="shared" ca="1" si="132"/>
        <v>-218521133.35156539</v>
      </c>
      <c r="M1603" s="460">
        <f t="shared" si="134"/>
        <v>0.05</v>
      </c>
      <c r="N1603" s="464">
        <f t="shared" si="135"/>
        <v>99834</v>
      </c>
    </row>
    <row r="1604" spans="7:14" ht="11.25" customHeight="1" x14ac:dyDescent="0.3">
      <c r="G1604" s="459"/>
      <c r="H1604" s="459">
        <v>1597</v>
      </c>
      <c r="I1604" s="444">
        <f t="shared" ca="1" si="133"/>
        <v>-218521133.35156539</v>
      </c>
      <c r="J1604" s="444">
        <f t="array" ref="J1604">IFERROR(INDEX('Retirement Calculator'!J:J,MATCH('Isaac 401k'!N1604,'Retirement Calculator'!A:A,0),0),0)</f>
        <v>0</v>
      </c>
      <c r="K1604" s="444">
        <f t="shared" ca="1" si="131"/>
        <v>-910504.72229818907</v>
      </c>
      <c r="L1604" s="444">
        <f t="shared" ca="1" si="132"/>
        <v>-219431638.07386357</v>
      </c>
      <c r="M1604" s="460">
        <f t="shared" si="134"/>
        <v>0.05</v>
      </c>
      <c r="N1604" s="464">
        <f t="shared" si="135"/>
        <v>99865</v>
      </c>
    </row>
    <row r="1605" spans="7:14" ht="11.25" customHeight="1" x14ac:dyDescent="0.3">
      <c r="G1605" s="459"/>
      <c r="H1605" s="459">
        <v>1598</v>
      </c>
      <c r="I1605" s="444">
        <f t="shared" ca="1" si="133"/>
        <v>-219431638.07386357</v>
      </c>
      <c r="J1605" s="444">
        <f t="array" ref="J1605">IFERROR(INDEX('Retirement Calculator'!J:J,MATCH('Isaac 401k'!N1605,'Retirement Calculator'!A:A,0),0),0)</f>
        <v>0</v>
      </c>
      <c r="K1605" s="444">
        <f t="shared" ca="1" si="131"/>
        <v>-914298.49197443167</v>
      </c>
      <c r="L1605" s="444">
        <f t="shared" ca="1" si="132"/>
        <v>-220345936.56583801</v>
      </c>
      <c r="M1605" s="460">
        <f t="shared" si="134"/>
        <v>0.05</v>
      </c>
      <c r="N1605" s="464">
        <f t="shared" si="135"/>
        <v>99895</v>
      </c>
    </row>
    <row r="1606" spans="7:14" ht="11.25" customHeight="1" x14ac:dyDescent="0.3">
      <c r="G1606" s="459"/>
      <c r="H1606" s="459">
        <v>1599</v>
      </c>
      <c r="I1606" s="444">
        <f t="shared" ca="1" si="133"/>
        <v>-220345936.56583801</v>
      </c>
      <c r="J1606" s="444">
        <f t="array" ref="J1606">IFERROR(INDEX('Retirement Calculator'!J:J,MATCH('Isaac 401k'!N1606,'Retirement Calculator'!A:A,0),0),0)</f>
        <v>0</v>
      </c>
      <c r="K1606" s="444">
        <f t="shared" ca="1" si="131"/>
        <v>-918108.06902432488</v>
      </c>
      <c r="L1606" s="444">
        <f t="shared" ca="1" si="132"/>
        <v>-221264044.63486233</v>
      </c>
      <c r="M1606" s="460">
        <f t="shared" si="134"/>
        <v>0.05</v>
      </c>
      <c r="N1606" s="464">
        <f t="shared" si="135"/>
        <v>99926</v>
      </c>
    </row>
    <row r="1607" spans="7:14" ht="11.25" customHeight="1" x14ac:dyDescent="0.3">
      <c r="G1607" s="459"/>
      <c r="H1607" s="459">
        <v>1600</v>
      </c>
      <c r="I1607" s="444">
        <f t="shared" ca="1" si="133"/>
        <v>-221264044.63486233</v>
      </c>
      <c r="J1607" s="444">
        <f t="array" ref="J1607">IFERROR(INDEX('Retirement Calculator'!J:J,MATCH('Isaac 401k'!N1607,'Retirement Calculator'!A:A,0),0),0)</f>
        <v>0</v>
      </c>
      <c r="K1607" s="444">
        <f t="shared" ca="1" si="131"/>
        <v>-921933.51931192633</v>
      </c>
      <c r="L1607" s="444">
        <f t="shared" ca="1" si="132"/>
        <v>-222185978.15417427</v>
      </c>
      <c r="M1607" s="460">
        <f t="shared" si="134"/>
        <v>0.05</v>
      </c>
      <c r="N1607" s="464">
        <f t="shared" si="135"/>
        <v>99957</v>
      </c>
    </row>
    <row r="1608" spans="7:14" ht="11.25" customHeight="1" x14ac:dyDescent="0.3">
      <c r="G1608" s="459"/>
      <c r="H1608" s="459">
        <v>1601</v>
      </c>
      <c r="I1608" s="444">
        <f t="shared" ca="1" si="133"/>
        <v>-222185978.15417427</v>
      </c>
      <c r="J1608" s="444">
        <f t="array" ref="J1608">IFERROR(INDEX('Retirement Calculator'!J:J,MATCH('Isaac 401k'!N1608,'Retirement Calculator'!A:A,0),0),0)</f>
        <v>0</v>
      </c>
      <c r="K1608" s="444">
        <f t="shared" ca="1" si="131"/>
        <v>-925774.90897572611</v>
      </c>
      <c r="L1608" s="444">
        <f t="shared" ca="1" si="132"/>
        <v>-223111753.06314999</v>
      </c>
      <c r="M1608" s="460">
        <f t="shared" si="134"/>
        <v>0.05</v>
      </c>
      <c r="N1608" s="464">
        <f t="shared" si="135"/>
        <v>99987</v>
      </c>
    </row>
    <row r="1609" spans="7:14" ht="11.25" customHeight="1" x14ac:dyDescent="0.3">
      <c r="G1609" s="459"/>
      <c r="H1609" s="459">
        <v>1602</v>
      </c>
      <c r="I1609" s="444">
        <f t="shared" ca="1" si="133"/>
        <v>-223111753.06314999</v>
      </c>
      <c r="J1609" s="444">
        <f t="array" ref="J1609">IFERROR(INDEX('Retirement Calculator'!J:J,MATCH('Isaac 401k'!N1609,'Retirement Calculator'!A:A,0),0),0)</f>
        <v>0</v>
      </c>
      <c r="K1609" s="444">
        <f t="shared" ca="1" si="131"/>
        <v>-929632.30442979163</v>
      </c>
      <c r="L1609" s="444">
        <f t="shared" ca="1" si="132"/>
        <v>-224041385.36757979</v>
      </c>
      <c r="M1609" s="460">
        <f t="shared" si="134"/>
        <v>0.05</v>
      </c>
      <c r="N1609" s="464">
        <f t="shared" si="135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33"/>
        <v>-224041385.36757979</v>
      </c>
      <c r="J1610" s="444">
        <f t="array" ref="J1610">IFERROR(INDEX('Retirement Calculator'!J:J,MATCH('Isaac 401k'!N1610,'Retirement Calculator'!A:A,0),0),0)</f>
        <v>0</v>
      </c>
      <c r="K1610" s="444">
        <f t="shared" ca="1" si="131"/>
        <v>-933505.77236491581</v>
      </c>
      <c r="L1610" s="444">
        <f t="shared" ca="1" si="132"/>
        <v>-224974891.1399447</v>
      </c>
      <c r="M1610" s="460">
        <f t="shared" si="134"/>
        <v>0.05</v>
      </c>
      <c r="N1610" s="464">
        <f t="shared" si="135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33"/>
        <v>-224974891.1399447</v>
      </c>
      <c r="J1611" s="444">
        <f t="array" ref="J1611">IFERROR(INDEX('Retirement Calculator'!J:J,MATCH('Isaac 401k'!N1611,'Retirement Calculator'!A:A,0),0),0)</f>
        <v>0</v>
      </c>
      <c r="K1611" s="444">
        <f t="shared" ca="1" si="131"/>
        <v>-937395.37974976946</v>
      </c>
      <c r="L1611" s="444">
        <f t="shared" ca="1" si="132"/>
        <v>-225912286.51969448</v>
      </c>
      <c r="M1611" s="460">
        <f t="shared" si="134"/>
        <v>0.05</v>
      </c>
      <c r="N1611" s="464">
        <f t="shared" si="135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33"/>
        <v>-225912286.51969448</v>
      </c>
      <c r="J1612" s="444">
        <f t="array" ref="J1612">IFERROR(INDEX('Retirement Calculator'!J:J,MATCH('Isaac 401k'!N1612,'Retirement Calculator'!A:A,0),0),0)</f>
        <v>0</v>
      </c>
      <c r="K1612" s="444">
        <f t="shared" ca="1" si="131"/>
        <v>-941301.19383206032</v>
      </c>
      <c r="L1612" s="444">
        <f t="shared" ca="1" si="132"/>
        <v>-226853587.71352655</v>
      </c>
      <c r="M1612" s="460">
        <f t="shared" si="134"/>
        <v>0.05</v>
      </c>
      <c r="N1612" s="464">
        <f t="shared" si="135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33"/>
        <v>-226853587.71352655</v>
      </c>
      <c r="J1613" s="444">
        <f t="array" ref="J1613">IFERROR(INDEX('Retirement Calculator'!J:J,MATCH('Isaac 401k'!N1613,'Retirement Calculator'!A:A,0),0),0)</f>
        <v>0</v>
      </c>
      <c r="K1613" s="444">
        <f t="shared" ca="1" si="131"/>
        <v>-945223.28213969409</v>
      </c>
      <c r="L1613" s="444">
        <f t="shared" ca="1" si="132"/>
        <v>-227798810.99566624</v>
      </c>
      <c r="M1613" s="460">
        <f t="shared" si="134"/>
        <v>0.05</v>
      </c>
      <c r="N1613" s="464">
        <f t="shared" si="135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33"/>
        <v>-227798810.99566624</v>
      </c>
      <c r="J1614" s="444">
        <f t="array" ref="J1614">IFERROR(INDEX('Retirement Calculator'!J:J,MATCH('Isaac 401k'!N1614,'Retirement Calculator'!A:A,0),0),0)</f>
        <v>0</v>
      </c>
      <c r="K1614" s="444">
        <f t="shared" ca="1" si="131"/>
        <v>-949161.71248194261</v>
      </c>
      <c r="L1614" s="444">
        <f t="shared" ca="1" si="132"/>
        <v>-228747972.70814818</v>
      </c>
      <c r="M1614" s="460">
        <f t="shared" si="134"/>
        <v>0.05</v>
      </c>
      <c r="N1614" s="464">
        <f t="shared" si="135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33"/>
        <v>-228747972.70814818</v>
      </c>
      <c r="J1615" s="444">
        <f t="array" ref="J1615">IFERROR(INDEX('Retirement Calculator'!J:J,MATCH('Isaac 401k'!N1615,'Retirement Calculator'!A:A,0),0),0)</f>
        <v>0</v>
      </c>
      <c r="K1615" s="444">
        <f t="shared" ca="1" si="131"/>
        <v>-953116.55295061728</v>
      </c>
      <c r="L1615" s="444">
        <f t="shared" ca="1" si="132"/>
        <v>-229701089.2610988</v>
      </c>
      <c r="M1615" s="460">
        <f t="shared" si="134"/>
        <v>0.05</v>
      </c>
      <c r="N1615" s="464">
        <f t="shared" si="135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33"/>
        <v>-229701089.2610988</v>
      </c>
      <c r="J1616" s="444">
        <f t="array" ref="J1616">IFERROR(INDEX('Retirement Calculator'!J:J,MATCH('Isaac 401k'!N1616,'Retirement Calculator'!A:A,0),0),0)</f>
        <v>0</v>
      </c>
      <c r="K1616" s="444">
        <f t="shared" ca="1" si="131"/>
        <v>-957087.87192124489</v>
      </c>
      <c r="L1616" s="444">
        <f t="shared" ca="1" si="132"/>
        <v>-230658177.13302004</v>
      </c>
      <c r="M1616" s="460">
        <f t="shared" si="134"/>
        <v>0.05</v>
      </c>
      <c r="N1616" s="464">
        <f t="shared" si="135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33"/>
        <v>-230658177.13302004</v>
      </c>
      <c r="J1617" s="444">
        <f t="array" ref="J1617">IFERROR(INDEX('Retirement Calculator'!J:J,MATCH('Isaac 401k'!N1617,'Retirement Calculator'!A:A,0),0),0)</f>
        <v>0</v>
      </c>
      <c r="K1617" s="444">
        <f t="shared" ca="1" si="131"/>
        <v>-961075.73805425013</v>
      </c>
      <c r="L1617" s="444">
        <f t="shared" ca="1" si="132"/>
        <v>-231619252.87107429</v>
      </c>
      <c r="M1617" s="460">
        <f t="shared" si="134"/>
        <v>0.05</v>
      </c>
      <c r="N1617" s="464">
        <f t="shared" si="135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33"/>
        <v>-231619252.87107429</v>
      </c>
      <c r="J1618" s="444">
        <f t="array" ref="J1618">IFERROR(INDEX('Retirement Calculator'!J:J,MATCH('Isaac 401k'!N1618,'Retirement Calculator'!A:A,0),0),0)</f>
        <v>0</v>
      </c>
      <c r="K1618" s="444">
        <f t="shared" ca="1" si="131"/>
        <v>-965080.22029614286</v>
      </c>
      <c r="L1618" s="444">
        <f t="shared" ca="1" si="132"/>
        <v>-232584333.09137043</v>
      </c>
      <c r="M1618" s="460">
        <f t="shared" si="134"/>
        <v>0.05</v>
      </c>
      <c r="N1618" s="464">
        <f t="shared" si="135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33"/>
        <v>-232584333.09137043</v>
      </c>
      <c r="J1619" s="444">
        <f t="array" ref="J1619">IFERROR(INDEX('Retirement Calculator'!J:J,MATCH('Isaac 401k'!N1619,'Retirement Calculator'!A:A,0),0),0)</f>
        <v>0</v>
      </c>
      <c r="K1619" s="444">
        <f t="shared" ca="1" si="131"/>
        <v>-969101.38788071007</v>
      </c>
      <c r="L1619" s="444">
        <f t="shared" ca="1" si="132"/>
        <v>-233553434.47925115</v>
      </c>
      <c r="M1619" s="460">
        <f t="shared" si="134"/>
        <v>0.05</v>
      </c>
      <c r="N1619" s="464">
        <f t="shared" si="135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33"/>
        <v>-233553434.47925115</v>
      </c>
      <c r="J1620" s="444">
        <f t="array" ref="J1620">IFERROR(INDEX('Retirement Calculator'!J:J,MATCH('Isaac 401k'!N1620,'Retirement Calculator'!A:A,0),0),0)</f>
        <v>0</v>
      </c>
      <c r="K1620" s="444">
        <f t="shared" ca="1" si="131"/>
        <v>-973139.31033021305</v>
      </c>
      <c r="L1620" s="444">
        <f t="shared" ca="1" si="132"/>
        <v>-234526573.78958136</v>
      </c>
      <c r="M1620" s="460">
        <f t="shared" si="134"/>
        <v>0.05</v>
      </c>
      <c r="N1620" s="464">
        <f t="shared" si="135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33"/>
        <v>-234526573.78958136</v>
      </c>
      <c r="J1621" s="444">
        <f t="array" ref="J1621">IFERROR(INDEX('Retirement Calculator'!J:J,MATCH('Isaac 401k'!N1621,'Retirement Calculator'!A:A,0),0),0)</f>
        <v>0</v>
      </c>
      <c r="K1621" s="444">
        <f t="shared" ca="1" si="131"/>
        <v>-977194.05745658884</v>
      </c>
      <c r="L1621" s="444">
        <f t="shared" ca="1" si="132"/>
        <v>-235503767.84703794</v>
      </c>
      <c r="M1621" s="460">
        <f t="shared" si="134"/>
        <v>0.05</v>
      </c>
      <c r="N1621" s="464">
        <f t="shared" si="135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33"/>
        <v>-235503767.84703794</v>
      </c>
      <c r="J1622" s="444">
        <f t="array" ref="J1622">IFERROR(INDEX('Retirement Calculator'!J:J,MATCH('Isaac 401k'!N1622,'Retirement Calculator'!A:A,0),0),0)</f>
        <v>0</v>
      </c>
      <c r="K1622" s="444">
        <f t="shared" ca="1" si="131"/>
        <v>-981265.69936265808</v>
      </c>
      <c r="L1622" s="444">
        <f t="shared" ca="1" si="132"/>
        <v>-236485033.54640061</v>
      </c>
      <c r="M1622" s="460">
        <f t="shared" si="134"/>
        <v>0.05</v>
      </c>
      <c r="N1622" s="464">
        <f t="shared" si="135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33"/>
        <v>-236485033.54640061</v>
      </c>
      <c r="J1623" s="444">
        <f t="array" ref="J1623">IFERROR(INDEX('Retirement Calculator'!J:J,MATCH('Isaac 401k'!N1623,'Retirement Calculator'!A:A,0),0),0)</f>
        <v>0</v>
      </c>
      <c r="K1623" s="444">
        <f t="shared" ca="1" si="131"/>
        <v>-985354.30644333584</v>
      </c>
      <c r="L1623" s="444">
        <f t="shared" ca="1" si="132"/>
        <v>-237470387.85284394</v>
      </c>
      <c r="M1623" s="460">
        <f t="shared" si="134"/>
        <v>0.05</v>
      </c>
      <c r="N1623" s="464">
        <f t="shared" si="135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33"/>
        <v>-237470387.85284394</v>
      </c>
      <c r="J1624" s="444">
        <f t="array" ref="J1624">IFERROR(INDEX('Retirement Calculator'!J:J,MATCH('Isaac 401k'!N1624,'Retirement Calculator'!A:A,0),0),0)</f>
        <v>0</v>
      </c>
      <c r="K1624" s="444">
        <f t="shared" ca="1" si="131"/>
        <v>-989459.94938684977</v>
      </c>
      <c r="L1624" s="444">
        <f t="shared" ca="1" si="132"/>
        <v>-238459847.80223078</v>
      </c>
      <c r="M1624" s="460">
        <f t="shared" si="134"/>
        <v>0.05</v>
      </c>
      <c r="N1624" s="464">
        <f t="shared" si="135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33"/>
        <v>-238459847.80223078</v>
      </c>
      <c r="J1625" s="444">
        <f t="array" ref="J1625">IFERROR(INDEX('Retirement Calculator'!J:J,MATCH('Isaac 401k'!N1625,'Retirement Calculator'!A:A,0),0),0)</f>
        <v>0</v>
      </c>
      <c r="K1625" s="444">
        <f t="shared" ca="1" si="131"/>
        <v>-993582.69917596155</v>
      </c>
      <c r="L1625" s="444">
        <f t="shared" ca="1" si="132"/>
        <v>-239453430.50140673</v>
      </c>
      <c r="M1625" s="460">
        <f t="shared" si="134"/>
        <v>0.05</v>
      </c>
      <c r="N1625" s="464">
        <f t="shared" si="135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33"/>
        <v>-239453430.50140673</v>
      </c>
      <c r="J1626" s="444">
        <f t="array" ref="J1626">IFERROR(INDEX('Retirement Calculator'!J:J,MATCH('Isaac 401k'!N1626,'Retirement Calculator'!A:A,0),0),0)</f>
        <v>0</v>
      </c>
      <c r="K1626" s="444">
        <f t="shared" ca="1" si="131"/>
        <v>-997722.6270891946</v>
      </c>
      <c r="L1626" s="444">
        <f t="shared" ca="1" si="132"/>
        <v>-240451153.12849593</v>
      </c>
      <c r="M1626" s="460">
        <f t="shared" si="134"/>
        <v>0.05</v>
      </c>
      <c r="N1626" s="464">
        <f t="shared" si="135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33"/>
        <v>-240451153.12849593</v>
      </c>
      <c r="J1627" s="444">
        <f t="array" ref="J1627">IFERROR(INDEX('Retirement Calculator'!J:J,MATCH('Isaac 401k'!N1627,'Retirement Calculator'!A:A,0),0),0)</f>
        <v>0</v>
      </c>
      <c r="K1627" s="444">
        <f t="shared" ca="1" si="131"/>
        <v>-1001879.8047020664</v>
      </c>
      <c r="L1627" s="444">
        <f t="shared" ca="1" si="132"/>
        <v>-241453032.933198</v>
      </c>
      <c r="M1627" s="460">
        <f t="shared" si="134"/>
        <v>0.05</v>
      </c>
      <c r="N1627" s="464">
        <f t="shared" si="135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33"/>
        <v>-241453032.933198</v>
      </c>
      <c r="J1628" s="444">
        <f t="array" ref="J1628">IFERROR(INDEX('Retirement Calculator'!J:J,MATCH('Isaac 401k'!N1628,'Retirement Calculator'!A:A,0),0),0)</f>
        <v>0</v>
      </c>
      <c r="K1628" s="444">
        <f t="shared" ca="1" si="131"/>
        <v>-1006054.303888325</v>
      </c>
      <c r="L1628" s="444">
        <f t="shared" ca="1" si="132"/>
        <v>-242459087.23708633</v>
      </c>
      <c r="M1628" s="460">
        <f t="shared" si="134"/>
        <v>0.05</v>
      </c>
      <c r="N1628" s="464">
        <f t="shared" si="135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33"/>
        <v>-242459087.23708633</v>
      </c>
      <c r="J1629" s="444">
        <f t="array" ref="J1629">IFERROR(INDEX('Retirement Calculator'!J:J,MATCH('Isaac 401k'!N1629,'Retirement Calculator'!A:A,0),0),0)</f>
        <v>0</v>
      </c>
      <c r="K1629" s="444">
        <f t="shared" ca="1" si="131"/>
        <v>-1010246.196821193</v>
      </c>
      <c r="L1629" s="444">
        <f t="shared" ca="1" si="132"/>
        <v>-243469333.43390751</v>
      </c>
      <c r="M1629" s="460">
        <f t="shared" si="134"/>
        <v>0.05</v>
      </c>
      <c r="N1629" s="464">
        <f t="shared" si="135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33"/>
        <v>-243469333.43390751</v>
      </c>
      <c r="J1630" s="444">
        <f t="array" ref="J1630">IFERROR(INDEX('Retirement Calculator'!J:J,MATCH('Isaac 401k'!N1630,'Retirement Calculator'!A:A,0),0),0)</f>
        <v>0</v>
      </c>
      <c r="K1630" s="444">
        <f t="shared" ca="1" si="131"/>
        <v>-1014455.5559746146</v>
      </c>
      <c r="L1630" s="444">
        <f t="shared" ca="1" si="132"/>
        <v>-244483788.98988211</v>
      </c>
      <c r="M1630" s="460">
        <f t="shared" si="134"/>
        <v>0.05</v>
      </c>
      <c r="N1630" s="464">
        <f t="shared" si="135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33"/>
        <v>-244483788.98988211</v>
      </c>
      <c r="J1631" s="444">
        <f t="array" ref="J1631">IFERROR(INDEX('Retirement Calculator'!J:J,MATCH('Isaac 401k'!N1631,'Retirement Calculator'!A:A,0),0),0)</f>
        <v>0</v>
      </c>
      <c r="K1631" s="444">
        <f t="shared" ca="1" si="131"/>
        <v>-1018682.4541245088</v>
      </c>
      <c r="L1631" s="444">
        <f t="shared" ca="1" si="132"/>
        <v>-245502471.44400662</v>
      </c>
      <c r="M1631" s="460">
        <f t="shared" si="134"/>
        <v>0.05</v>
      </c>
      <c r="N1631" s="464">
        <f t="shared" si="135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33"/>
        <v>-245502471.44400662</v>
      </c>
      <c r="J1632" s="444">
        <f t="array" ref="J1632">IFERROR(INDEX('Retirement Calculator'!J:J,MATCH('Isaac 401k'!N1632,'Retirement Calculator'!A:A,0),0),0)</f>
        <v>0</v>
      </c>
      <c r="K1632" s="444">
        <f t="shared" ca="1" si="131"/>
        <v>-1022926.9643500276</v>
      </c>
      <c r="L1632" s="444">
        <f t="shared" ca="1" si="132"/>
        <v>-246525398.40835664</v>
      </c>
      <c r="M1632" s="460">
        <f t="shared" si="134"/>
        <v>0.05</v>
      </c>
      <c r="N1632" s="464">
        <f t="shared" si="135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33"/>
        <v>-246525398.40835664</v>
      </c>
      <c r="J1633" s="444">
        <f t="array" ref="J1633">IFERROR(INDEX('Retirement Calculator'!J:J,MATCH('Isaac 401k'!N1633,'Retirement Calculator'!A:A,0),0),0)</f>
        <v>0</v>
      </c>
      <c r="K1633" s="444">
        <f t="shared" ca="1" si="131"/>
        <v>-1027189.1600348192</v>
      </c>
      <c r="L1633" s="444">
        <f t="shared" ca="1" si="132"/>
        <v>-247552587.56839144</v>
      </c>
      <c r="M1633" s="460">
        <f t="shared" si="134"/>
        <v>0.05</v>
      </c>
      <c r="N1633" s="464">
        <f t="shared" si="135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33"/>
        <v>-247552587.56839144</v>
      </c>
      <c r="J1634" s="444">
        <f t="array" ref="J1634">IFERROR(INDEX('Retirement Calculator'!J:J,MATCH('Isaac 401k'!N1634,'Retirement Calculator'!A:A,0),0),0)</f>
        <v>0</v>
      </c>
      <c r="K1634" s="444">
        <f t="shared" ca="1" si="131"/>
        <v>-1031469.1148682977</v>
      </c>
      <c r="L1634" s="444">
        <f t="shared" ca="1" si="132"/>
        <v>-248584056.68325973</v>
      </c>
      <c r="M1634" s="460">
        <f t="shared" si="134"/>
        <v>0.05</v>
      </c>
      <c r="N1634" s="464">
        <f t="shared" si="135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33"/>
        <v>-248584056.68325973</v>
      </c>
      <c r="J1635" s="444">
        <f t="array" ref="J1635">IFERROR(INDEX('Retirement Calculator'!J:J,MATCH('Isaac 401k'!N1635,'Retirement Calculator'!A:A,0),0),0)</f>
        <v>0</v>
      </c>
      <c r="K1635" s="444">
        <f t="shared" ca="1" si="131"/>
        <v>-1035766.9028469154</v>
      </c>
      <c r="L1635" s="444">
        <f t="shared" ca="1" si="132"/>
        <v>-249619823.58610663</v>
      </c>
      <c r="M1635" s="460">
        <f t="shared" si="134"/>
        <v>0.05</v>
      </c>
      <c r="N1635" s="464">
        <f t="shared" si="135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33"/>
        <v>-249619823.58610663</v>
      </c>
      <c r="J1636" s="444">
        <f t="array" ref="J1636">IFERROR(INDEX('Retirement Calculator'!J:J,MATCH('Isaac 401k'!N1636,'Retirement Calculator'!A:A,0),0),0)</f>
        <v>0</v>
      </c>
      <c r="K1636" s="444">
        <f t="shared" ca="1" si="131"/>
        <v>-1040082.5982754442</v>
      </c>
      <c r="L1636" s="444">
        <f t="shared" ca="1" si="132"/>
        <v>-250659906.18438208</v>
      </c>
      <c r="M1636" s="460">
        <f t="shared" si="134"/>
        <v>0.05</v>
      </c>
      <c r="N1636" s="464">
        <f t="shared" si="135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33"/>
        <v>-250659906.18438208</v>
      </c>
      <c r="J1637" s="444">
        <f t="array" ref="J1637">IFERROR(INDEX('Retirement Calculator'!J:J,MATCH('Isaac 401k'!N1637,'Retirement Calculator'!A:A,0),0),0)</f>
        <v>0</v>
      </c>
      <c r="K1637" s="444">
        <f t="shared" ca="1" si="131"/>
        <v>-1044416.2757682585</v>
      </c>
      <c r="L1637" s="444">
        <f t="shared" ca="1" si="132"/>
        <v>-251704322.46015033</v>
      </c>
      <c r="M1637" s="460">
        <f t="shared" si="134"/>
        <v>0.05</v>
      </c>
      <c r="N1637" s="464">
        <f t="shared" si="135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33"/>
        <v>-251704322.46015033</v>
      </c>
      <c r="J1638" s="444">
        <f t="array" ref="J1638">IFERROR(INDEX('Retirement Calculator'!J:J,MATCH('Isaac 401k'!N1638,'Retirement Calculator'!A:A,0),0),0)</f>
        <v>0</v>
      </c>
      <c r="K1638" s="444">
        <f t="shared" ca="1" si="131"/>
        <v>-1048768.0102506264</v>
      </c>
      <c r="L1638" s="444">
        <f t="shared" ca="1" si="132"/>
        <v>-252753090.47040096</v>
      </c>
      <c r="M1638" s="460">
        <f t="shared" si="134"/>
        <v>0.05</v>
      </c>
      <c r="N1638" s="464">
        <f t="shared" si="135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33"/>
        <v>-252753090.47040096</v>
      </c>
      <c r="J1639" s="444">
        <f t="array" ref="J1639">IFERROR(INDEX('Retirement Calculator'!J:J,MATCH('Isaac 401k'!N1639,'Retirement Calculator'!A:A,0),0),0)</f>
        <v>0</v>
      </c>
      <c r="K1639" s="444">
        <f t="shared" ca="1" si="131"/>
        <v>-1053137.8769600042</v>
      </c>
      <c r="L1639" s="444">
        <f t="shared" ca="1" si="132"/>
        <v>-253806228.34736097</v>
      </c>
      <c r="M1639" s="460">
        <f t="shared" si="134"/>
        <v>0.05</v>
      </c>
      <c r="N1639" s="464">
        <f t="shared" si="135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33"/>
        <v>-253806228.34736097</v>
      </c>
      <c r="J1640" s="444">
        <f t="array" ref="J1640">IFERROR(INDEX('Retirement Calculator'!J:J,MATCH('Isaac 401k'!N1640,'Retirement Calculator'!A:A,0),0),0)</f>
        <v>0</v>
      </c>
      <c r="K1640" s="444">
        <f t="shared" ca="1" si="131"/>
        <v>-1057525.9514473374</v>
      </c>
      <c r="L1640" s="444">
        <f t="shared" ca="1" si="132"/>
        <v>-254863754.29880831</v>
      </c>
      <c r="M1640" s="460">
        <f t="shared" si="134"/>
        <v>0.05</v>
      </c>
      <c r="N1640" s="464">
        <f t="shared" si="135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33"/>
        <v>-254863754.29880831</v>
      </c>
      <c r="J1641" s="444">
        <f t="array" ref="J1641">IFERROR(INDEX('Retirement Calculator'!J:J,MATCH('Isaac 401k'!N1641,'Retirement Calculator'!A:A,0),0),0)</f>
        <v>0</v>
      </c>
      <c r="K1641" s="444">
        <f t="shared" ca="1" si="131"/>
        <v>-1061932.309578368</v>
      </c>
      <c r="L1641" s="444">
        <f t="shared" ca="1" si="132"/>
        <v>-255925686.60838667</v>
      </c>
      <c r="M1641" s="460">
        <f t="shared" si="134"/>
        <v>0.05</v>
      </c>
      <c r="N1641" s="464">
        <f t="shared" si="135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33"/>
        <v>-255925686.60838667</v>
      </c>
      <c r="J1642" s="444">
        <f t="array" ref="J1642">IFERROR(INDEX('Retirement Calculator'!J:J,MATCH('Isaac 401k'!N1642,'Retirement Calculator'!A:A,0),0),0)</f>
        <v>0</v>
      </c>
      <c r="K1642" s="444">
        <f t="shared" ca="1" si="131"/>
        <v>-1066357.0275349445</v>
      </c>
      <c r="L1642" s="444">
        <f t="shared" ca="1" si="132"/>
        <v>-256992043.6359216</v>
      </c>
      <c r="M1642" s="460">
        <f t="shared" si="134"/>
        <v>0.05</v>
      </c>
      <c r="N1642" s="464">
        <f t="shared" si="135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33"/>
        <v>-256992043.6359216</v>
      </c>
      <c r="J1643" s="444">
        <f t="array" ref="J1643">IFERROR(INDEX('Retirement Calculator'!J:J,MATCH('Isaac 401k'!N1643,'Retirement Calculator'!A:A,0),0),0)</f>
        <v>0</v>
      </c>
      <c r="K1643" s="444">
        <f t="shared" ca="1" si="131"/>
        <v>-1070800.18181634</v>
      </c>
      <c r="L1643" s="444">
        <f t="shared" ca="1" si="132"/>
        <v>-258062843.81773794</v>
      </c>
      <c r="M1643" s="460">
        <f t="shared" si="134"/>
        <v>0.05</v>
      </c>
      <c r="N1643" s="464">
        <f t="shared" si="135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33"/>
        <v>-258062843.81773794</v>
      </c>
      <c r="J1644" s="444">
        <f t="array" ref="J1644">IFERROR(INDEX('Retirement Calculator'!J:J,MATCH('Isaac 401k'!N1644,'Retirement Calculator'!A:A,0),0),0)</f>
        <v>0</v>
      </c>
      <c r="K1644" s="444">
        <f t="shared" ca="1" si="131"/>
        <v>-1075261.8492405748</v>
      </c>
      <c r="L1644" s="444">
        <f t="shared" ca="1" si="132"/>
        <v>-259138105.66697851</v>
      </c>
      <c r="M1644" s="460">
        <f t="shared" si="134"/>
        <v>0.05</v>
      </c>
      <c r="N1644" s="464">
        <f t="shared" si="135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33"/>
        <v>-259138105.66697851</v>
      </c>
      <c r="J1645" s="444">
        <f t="array" ref="J1645">IFERROR(INDEX('Retirement Calculator'!J:J,MATCH('Isaac 401k'!N1645,'Retirement Calculator'!A:A,0),0),0)</f>
        <v>0</v>
      </c>
      <c r="K1645" s="444">
        <f t="shared" ca="1" si="131"/>
        <v>-1079742.1069457438</v>
      </c>
      <c r="L1645" s="444">
        <f t="shared" ca="1" si="132"/>
        <v>-260217847.77392426</v>
      </c>
      <c r="M1645" s="460">
        <f t="shared" si="134"/>
        <v>0.05</v>
      </c>
      <c r="N1645" s="464">
        <f t="shared" si="135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33"/>
        <v>-260217847.77392426</v>
      </c>
      <c r="J1646" s="444">
        <f t="array" ref="J1646">IFERROR(INDEX('Retirement Calculator'!J:J,MATCH('Isaac 401k'!N1646,'Retirement Calculator'!A:A,0),0),0)</f>
        <v>0</v>
      </c>
      <c r="K1646" s="444">
        <f t="shared" ca="1" si="131"/>
        <v>-1084241.0323913512</v>
      </c>
      <c r="L1646" s="444">
        <f t="shared" ca="1" si="132"/>
        <v>-261302088.8063156</v>
      </c>
      <c r="M1646" s="460">
        <f t="shared" si="134"/>
        <v>0.05</v>
      </c>
      <c r="N1646" s="464">
        <f t="shared" si="135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33"/>
        <v>-261302088.8063156</v>
      </c>
      <c r="J1647" s="444">
        <f t="array" ref="J1647">IFERROR(INDEX('Retirement Calculator'!J:J,MATCH('Isaac 401k'!N1647,'Retirement Calculator'!A:A,0),0),0)</f>
        <v>0</v>
      </c>
      <c r="K1647" s="444">
        <f t="shared" ca="1" si="131"/>
        <v>-1088758.7033596484</v>
      </c>
      <c r="L1647" s="444">
        <f t="shared" ca="1" si="132"/>
        <v>-262390847.50967523</v>
      </c>
      <c r="M1647" s="460">
        <f t="shared" si="134"/>
        <v>0.05</v>
      </c>
      <c r="N1647" s="464">
        <f t="shared" si="135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33"/>
        <v>-262390847.50967523</v>
      </c>
      <c r="J1648" s="444">
        <f t="array" ref="J1648">IFERROR(INDEX('Retirement Calculator'!J:J,MATCH('Isaac 401k'!N1648,'Retirement Calculator'!A:A,0),0),0)</f>
        <v>0</v>
      </c>
      <c r="K1648" s="444">
        <f t="shared" ca="1" si="131"/>
        <v>-1093295.1979569802</v>
      </c>
      <c r="L1648" s="444">
        <f t="shared" ca="1" si="132"/>
        <v>-263484142.70763221</v>
      </c>
      <c r="M1648" s="460">
        <f t="shared" si="134"/>
        <v>0.05</v>
      </c>
      <c r="N1648" s="464">
        <f t="shared" si="135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33"/>
        <v>-263484142.70763221</v>
      </c>
      <c r="J1649" s="444">
        <f t="array" ref="J1649">IFERROR(INDEX('Retirement Calculator'!J:J,MATCH('Isaac 401k'!N1649,'Retirement Calculator'!A:A,0),0),0)</f>
        <v>0</v>
      </c>
      <c r="K1649" s="444">
        <f t="shared" ca="1" si="131"/>
        <v>-1097850.5946151342</v>
      </c>
      <c r="L1649" s="444">
        <f t="shared" ca="1" si="132"/>
        <v>-264581993.30224735</v>
      </c>
      <c r="M1649" s="460">
        <f t="shared" si="134"/>
        <v>0.05</v>
      </c>
      <c r="N1649" s="464">
        <f t="shared" si="135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33"/>
        <v>-264581993.30224735</v>
      </c>
      <c r="J1650" s="444">
        <f t="array" ref="J1650">IFERROR(INDEX('Retirement Calculator'!J:J,MATCH('Isaac 401k'!N1650,'Retirement Calculator'!A:A,0),0),0)</f>
        <v>0</v>
      </c>
      <c r="K1650" s="444">
        <f t="shared" ca="1" si="131"/>
        <v>-1102424.9720926972</v>
      </c>
      <c r="L1650" s="444">
        <f t="shared" ca="1" si="132"/>
        <v>-265684418.27434003</v>
      </c>
      <c r="M1650" s="460">
        <f t="shared" si="134"/>
        <v>0.05</v>
      </c>
      <c r="N1650" s="464">
        <f t="shared" si="135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33"/>
        <v>-265684418.27434003</v>
      </c>
      <c r="J1651" s="444">
        <f t="array" ref="J1651">IFERROR(INDEX('Retirement Calculator'!J:J,MATCH('Isaac 401k'!N1651,'Retirement Calculator'!A:A,0),0),0)</f>
        <v>0</v>
      </c>
      <c r="K1651" s="444">
        <f t="shared" ca="1" si="131"/>
        <v>-1107018.4094764169</v>
      </c>
      <c r="L1651" s="444">
        <f t="shared" ca="1" si="132"/>
        <v>-266791436.68381646</v>
      </c>
      <c r="M1651" s="460">
        <f t="shared" si="134"/>
        <v>0.05</v>
      </c>
      <c r="N1651" s="464">
        <f t="shared" si="135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33"/>
        <v>-266791436.68381646</v>
      </c>
      <c r="J1652" s="444">
        <f t="array" ref="J1652">IFERROR(INDEX('Retirement Calculator'!J:J,MATCH('Isaac 401k'!N1652,'Retirement Calculator'!A:A,0),0),0)</f>
        <v>0</v>
      </c>
      <c r="K1652" s="444">
        <f t="shared" ca="1" si="131"/>
        <v>-1111630.9861825686</v>
      </c>
      <c r="L1652" s="444">
        <f t="shared" ca="1" si="132"/>
        <v>-267903067.66999903</v>
      </c>
      <c r="M1652" s="460">
        <f t="shared" si="134"/>
        <v>0.05</v>
      </c>
      <c r="N1652" s="464">
        <f t="shared" si="135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33"/>
        <v>-267903067.66999903</v>
      </c>
      <c r="J1653" s="444">
        <f t="array" ref="J1653">IFERROR(INDEX('Retirement Calculator'!J:J,MATCH('Isaac 401k'!N1653,'Retirement Calculator'!A:A,0),0),0)</f>
        <v>0</v>
      </c>
      <c r="K1653" s="444">
        <f t="shared" ca="1" si="131"/>
        <v>-1116262.7819583295</v>
      </c>
      <c r="L1653" s="444">
        <f t="shared" ca="1" si="132"/>
        <v>-269019330.45195735</v>
      </c>
      <c r="M1653" s="460">
        <f t="shared" si="134"/>
        <v>0.05</v>
      </c>
      <c r="N1653" s="464">
        <f t="shared" si="135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33"/>
        <v>-269019330.45195735</v>
      </c>
      <c r="J1654" s="444">
        <f t="array" ref="J1654">IFERROR(INDEX('Retirement Calculator'!J:J,MATCH('Isaac 401k'!N1654,'Retirement Calculator'!A:A,0),0),0)</f>
        <v>0</v>
      </c>
      <c r="K1654" s="444">
        <f t="shared" ca="1" si="131"/>
        <v>-1120913.8768831557</v>
      </c>
      <c r="L1654" s="444">
        <f t="shared" ca="1" si="132"/>
        <v>-270140244.32884049</v>
      </c>
      <c r="M1654" s="460">
        <f t="shared" si="134"/>
        <v>0.05</v>
      </c>
      <c r="N1654" s="464">
        <f t="shared" si="135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33"/>
        <v>-270140244.32884049</v>
      </c>
      <c r="J1655" s="444">
        <f t="array" ref="J1655">IFERROR(INDEX('Retirement Calculator'!J:J,MATCH('Isaac 401k'!N1655,'Retirement Calculator'!A:A,0),0),0)</f>
        <v>0</v>
      </c>
      <c r="K1655" s="444">
        <f t="shared" ca="1" si="131"/>
        <v>-1125584.3513701686</v>
      </c>
      <c r="L1655" s="444">
        <f t="shared" ca="1" si="132"/>
        <v>-271265828.68021065</v>
      </c>
      <c r="M1655" s="460">
        <f t="shared" si="134"/>
        <v>0.05</v>
      </c>
      <c r="N1655" s="464">
        <f t="shared" si="135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33"/>
        <v>-271265828.68021065</v>
      </c>
      <c r="J1656" s="444">
        <f t="array" ref="J1656">IFERROR(INDEX('Retirement Calculator'!J:J,MATCH('Isaac 401k'!N1656,'Retirement Calculator'!A:A,0),0),0)</f>
        <v>0</v>
      </c>
      <c r="K1656" s="444">
        <f t="shared" ca="1" si="131"/>
        <v>-1130274.2861675443</v>
      </c>
      <c r="L1656" s="444">
        <f t="shared" ca="1" si="132"/>
        <v>-272396102.96637821</v>
      </c>
      <c r="M1656" s="460">
        <f t="shared" si="134"/>
        <v>0.05</v>
      </c>
      <c r="N1656" s="464">
        <f t="shared" si="135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33"/>
        <v>-272396102.96637821</v>
      </c>
      <c r="J1657" s="444">
        <f t="array" ref="J1657">IFERROR(INDEX('Retirement Calculator'!J:J,MATCH('Isaac 401k'!N1657,'Retirement Calculator'!A:A,0),0),0)</f>
        <v>0</v>
      </c>
      <c r="K1657" s="444">
        <f t="shared" ca="1" si="131"/>
        <v>-1134983.7623599092</v>
      </c>
      <c r="L1657" s="444">
        <f t="shared" ca="1" si="132"/>
        <v>-273531086.72873813</v>
      </c>
      <c r="M1657" s="460">
        <f t="shared" si="134"/>
        <v>0.05</v>
      </c>
      <c r="N1657" s="464">
        <f t="shared" si="135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33"/>
        <v>-273531086.72873813</v>
      </c>
      <c r="J1658" s="444">
        <f t="array" ref="J1658">IFERROR(INDEX('Retirement Calculator'!J:J,MATCH('Isaac 401k'!N1658,'Retirement Calculator'!A:A,0),0),0)</f>
        <v>0</v>
      </c>
      <c r="K1658" s="444">
        <f t="shared" ca="1" si="131"/>
        <v>-1139712.8613697421</v>
      </c>
      <c r="L1658" s="444">
        <f t="shared" ca="1" si="132"/>
        <v>-274670799.59010786</v>
      </c>
      <c r="M1658" s="460">
        <f t="shared" si="134"/>
        <v>0.05</v>
      </c>
      <c r="N1658" s="464">
        <f t="shared" si="135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33"/>
        <v>-274670799.59010786</v>
      </c>
      <c r="J1659" s="444">
        <f t="array" ref="J1659">IFERROR(INDEX('Retirement Calculator'!J:J,MATCH('Isaac 401k'!N1659,'Retirement Calculator'!A:A,0),0),0)</f>
        <v>0</v>
      </c>
      <c r="K1659" s="444">
        <f t="shared" ca="1" si="131"/>
        <v>-1144461.6649587827</v>
      </c>
      <c r="L1659" s="444">
        <f t="shared" ca="1" si="132"/>
        <v>-275815261.25506663</v>
      </c>
      <c r="M1659" s="460">
        <f t="shared" si="134"/>
        <v>0.05</v>
      </c>
      <c r="N1659" s="464">
        <f t="shared" si="135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33"/>
        <v>-275815261.25506663</v>
      </c>
      <c r="J1660" s="444">
        <f t="array" ref="J1660">IFERROR(INDEX('Retirement Calculator'!J:J,MATCH('Isaac 401k'!N1660,'Retirement Calculator'!A:A,0),0),0)</f>
        <v>0</v>
      </c>
      <c r="K1660" s="444">
        <f t="shared" ca="1" si="131"/>
        <v>-1149230.2552294442</v>
      </c>
      <c r="L1660" s="444">
        <f t="shared" ca="1" si="132"/>
        <v>-276964491.51029611</v>
      </c>
      <c r="M1660" s="460">
        <f t="shared" si="134"/>
        <v>0.05</v>
      </c>
      <c r="N1660" s="464">
        <f t="shared" si="135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33"/>
        <v>-276964491.51029611</v>
      </c>
      <c r="J1661" s="444">
        <f t="array" ref="J1661">IFERROR(INDEX('Retirement Calculator'!J:J,MATCH('Isaac 401k'!N1661,'Retirement Calculator'!A:A,0),0),0)</f>
        <v>0</v>
      </c>
      <c r="K1661" s="444">
        <f t="shared" ca="1" si="131"/>
        <v>-1154018.7146262338</v>
      </c>
      <c r="L1661" s="444">
        <f t="shared" ca="1" si="132"/>
        <v>-278118510.22492236</v>
      </c>
      <c r="M1661" s="460">
        <f t="shared" si="134"/>
        <v>0.05</v>
      </c>
      <c r="N1661" s="464">
        <f t="shared" si="135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33"/>
        <v>-278118510.22492236</v>
      </c>
      <c r="J1662" s="444">
        <f t="array" ref="J1662">IFERROR(INDEX('Retirement Calculator'!J:J,MATCH('Isaac 401k'!N1662,'Retirement Calculator'!A:A,0),0),0)</f>
        <v>0</v>
      </c>
      <c r="K1662" s="444">
        <f t="shared" ca="1" si="131"/>
        <v>-1158827.1259371764</v>
      </c>
      <c r="L1662" s="444">
        <f t="shared" ca="1" si="132"/>
        <v>-279277337.35085952</v>
      </c>
      <c r="M1662" s="460">
        <f t="shared" si="134"/>
        <v>0.05</v>
      </c>
      <c r="N1662" s="464">
        <f t="shared" si="135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33"/>
        <v>-279277337.35085952</v>
      </c>
      <c r="J1663" s="444">
        <f t="array" ref="J1663">IFERROR(INDEX('Retirement Calculator'!J:J,MATCH('Isaac 401k'!N1663,'Retirement Calculator'!A:A,0),0),0)</f>
        <v>0</v>
      </c>
      <c r="K1663" s="444">
        <f t="shared" ca="1" si="131"/>
        <v>-1163655.572295248</v>
      </c>
      <c r="L1663" s="444">
        <f t="shared" ca="1" si="132"/>
        <v>-280440992.92315477</v>
      </c>
      <c r="M1663" s="460">
        <f t="shared" si="134"/>
        <v>0.05</v>
      </c>
      <c r="N1663" s="464">
        <f t="shared" si="135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33"/>
        <v>-280440992.92315477</v>
      </c>
      <c r="J1664" s="444">
        <f t="array" ref="J1664">IFERROR(INDEX('Retirement Calculator'!J:J,MATCH('Isaac 401k'!N1664,'Retirement Calculator'!A:A,0),0),0)</f>
        <v>0</v>
      </c>
      <c r="K1664" s="444">
        <f t="shared" ca="1" si="131"/>
        <v>-1168504.1371798115</v>
      </c>
      <c r="L1664" s="444">
        <f t="shared" ca="1" si="132"/>
        <v>-281609497.06033456</v>
      </c>
      <c r="M1664" s="460">
        <f t="shared" si="134"/>
        <v>0.05</v>
      </c>
      <c r="N1664" s="464">
        <f t="shared" si="135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33"/>
        <v>-281609497.06033456</v>
      </c>
      <c r="J1665" s="444">
        <f t="array" ref="J1665">IFERROR(INDEX('Retirement Calculator'!J:J,MATCH('Isaac 401k'!N1665,'Retirement Calculator'!A:A,0),0),0)</f>
        <v>0</v>
      </c>
      <c r="K1665" s="444">
        <f t="shared" ca="1" si="131"/>
        <v>-1173372.9044180606</v>
      </c>
      <c r="L1665" s="444">
        <f t="shared" ca="1" si="132"/>
        <v>-282782869.96475261</v>
      </c>
      <c r="M1665" s="460">
        <f t="shared" si="134"/>
        <v>0.05</v>
      </c>
      <c r="N1665" s="464">
        <f t="shared" si="135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33"/>
        <v>-282782869.96475261</v>
      </c>
      <c r="J1666" s="444">
        <f t="array" ref="J1666">IFERROR(INDEX('Retirement Calculator'!J:J,MATCH('Isaac 401k'!N1666,'Retirement Calculator'!A:A,0),0),0)</f>
        <v>0</v>
      </c>
      <c r="K1666" s="444">
        <f t="shared" ca="1" si="131"/>
        <v>-1178261.9581864693</v>
      </c>
      <c r="L1666" s="444">
        <f t="shared" ca="1" si="132"/>
        <v>-283961131.92293906</v>
      </c>
      <c r="M1666" s="460">
        <f t="shared" si="134"/>
        <v>0.05</v>
      </c>
      <c r="N1666" s="464">
        <f t="shared" si="135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33"/>
        <v>-283961131.92293906</v>
      </c>
      <c r="J1667" s="444">
        <f t="array" ref="J1667">IFERROR(INDEX('Retirement Calculator'!J:J,MATCH('Isaac 401k'!N1667,'Retirement Calculator'!A:A,0),0),0)</f>
        <v>0</v>
      </c>
      <c r="K1667" s="444">
        <f t="shared" ca="1" si="131"/>
        <v>-1183171.3830122461</v>
      </c>
      <c r="L1667" s="444">
        <f t="shared" ca="1" si="132"/>
        <v>-285144303.3059513</v>
      </c>
      <c r="M1667" s="460">
        <f t="shared" si="134"/>
        <v>0.05</v>
      </c>
      <c r="N1667" s="464">
        <f t="shared" si="135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33"/>
        <v>-285144303.3059513</v>
      </c>
      <c r="J1668" s="444">
        <f t="array" ref="J1668">IFERROR(INDEX('Retirement Calculator'!J:J,MATCH('Isaac 401k'!N1668,'Retirement Calculator'!A:A,0),0),0)</f>
        <v>0</v>
      </c>
      <c r="K1668" s="444">
        <f t="shared" ca="1" si="131"/>
        <v>-1188101.2637747971</v>
      </c>
      <c r="L1668" s="444">
        <f t="shared" ca="1" si="132"/>
        <v>-286332404.56972611</v>
      </c>
      <c r="M1668" s="460">
        <f t="shared" si="134"/>
        <v>0.05</v>
      </c>
      <c r="N1668" s="464">
        <f t="shared" si="135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33"/>
        <v>-286332404.56972611</v>
      </c>
      <c r="J1669" s="444">
        <f t="array" ref="J1669">IFERROR(INDEX('Retirement Calculator'!J:J,MATCH('Isaac 401k'!N1669,'Retirement Calculator'!A:A,0),0),0)</f>
        <v>0</v>
      </c>
      <c r="K1669" s="444">
        <f t="shared" ca="1" si="131"/>
        <v>-1193051.6857071922</v>
      </c>
      <c r="L1669" s="444">
        <f t="shared" ca="1" si="132"/>
        <v>-287525456.25543332</v>
      </c>
      <c r="M1669" s="460">
        <f t="shared" si="134"/>
        <v>0.05</v>
      </c>
      <c r="N1669" s="464">
        <f t="shared" si="135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33"/>
        <v>-287525456.25543332</v>
      </c>
      <c r="J1670" s="444">
        <f t="array" ref="J1670">IFERROR(INDEX('Retirement Calculator'!J:J,MATCH('Isaac 401k'!N1670,'Retirement Calculator'!A:A,0),0),0)</f>
        <v>0</v>
      </c>
      <c r="K1670" s="444">
        <f t="shared" ca="1" si="131"/>
        <v>-1198022.7343976388</v>
      </c>
      <c r="L1670" s="444">
        <f t="shared" ca="1" si="132"/>
        <v>-288723478.98983097</v>
      </c>
      <c r="M1670" s="460">
        <f t="shared" si="134"/>
        <v>0.05</v>
      </c>
      <c r="N1670" s="464">
        <f t="shared" si="135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33"/>
        <v>-288723478.98983097</v>
      </c>
      <c r="J1671" s="444">
        <f t="array" ref="J1671">IFERROR(INDEX('Retirement Calculator'!J:J,MATCH('Isaac 401k'!N1671,'Retirement Calculator'!A:A,0),0),0)</f>
        <v>0</v>
      </c>
      <c r="K1671" s="444">
        <f t="shared" ca="1" si="131"/>
        <v>-1203014.4957909624</v>
      </c>
      <c r="L1671" s="444">
        <f t="shared" ca="1" si="132"/>
        <v>-289926493.48562193</v>
      </c>
      <c r="M1671" s="460">
        <f t="shared" si="134"/>
        <v>0.05</v>
      </c>
      <c r="N1671" s="464">
        <f t="shared" si="135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33"/>
        <v>-289926493.48562193</v>
      </c>
      <c r="J1672" s="444">
        <f t="array" ref="J1672">IFERROR(INDEX('Retirement Calculator'!J:J,MATCH('Isaac 401k'!N1672,'Retirement Calculator'!A:A,0),0),0)</f>
        <v>0</v>
      </c>
      <c r="K1672" s="444">
        <f t="shared" ca="1" si="131"/>
        <v>-1208027.0561900914</v>
      </c>
      <c r="L1672" s="444">
        <f t="shared" ca="1" si="132"/>
        <v>-291134520.541812</v>
      </c>
      <c r="M1672" s="460">
        <f t="shared" si="134"/>
        <v>0.05</v>
      </c>
      <c r="N1672" s="464">
        <f t="shared" si="135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33"/>
        <v>-291134520.541812</v>
      </c>
      <c r="J1673" s="444">
        <f t="array" ref="J1673">IFERROR(INDEX('Retirement Calculator'!J:J,MATCH('Isaac 401k'!N1673,'Retirement Calculator'!A:A,0),0),0)</f>
        <v>0</v>
      </c>
      <c r="K1673" s="444">
        <f t="shared" ca="1" si="131"/>
        <v>-1213060.5022575499</v>
      </c>
      <c r="L1673" s="444">
        <f t="shared" ca="1" si="132"/>
        <v>-292347581.04406953</v>
      </c>
      <c r="M1673" s="460">
        <f t="shared" si="134"/>
        <v>0.05</v>
      </c>
      <c r="N1673" s="464">
        <f t="shared" si="135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33"/>
        <v>-292347581.04406953</v>
      </c>
      <c r="J1674" s="444">
        <f t="array" ref="J1674">IFERROR(INDEX('Retirement Calculator'!J:J,MATCH('Isaac 401k'!N1674,'Retirement Calculator'!A:A,0),0),0)</f>
        <v>0</v>
      </c>
      <c r="K1674" s="444">
        <f t="shared" ca="1" si="131"/>
        <v>-1218114.9210169564</v>
      </c>
      <c r="L1674" s="444">
        <f t="shared" ca="1" si="132"/>
        <v>-293565695.96508646</v>
      </c>
      <c r="M1674" s="460">
        <f t="shared" si="134"/>
        <v>0.05</v>
      </c>
      <c r="N1674" s="464">
        <f t="shared" si="135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33"/>
        <v>-293565695.96508646</v>
      </c>
      <c r="J1675" s="444">
        <f t="array" ref="J1675">IFERROR(INDEX('Retirement Calculator'!J:J,MATCH('Isaac 401k'!N1675,'Retirement Calculator'!A:A,0),0),0)</f>
        <v>0</v>
      </c>
      <c r="K1675" s="444">
        <f t="shared" ca="1" si="131"/>
        <v>-1223190.3998545269</v>
      </c>
      <c r="L1675" s="444">
        <f t="shared" ca="1" si="132"/>
        <v>-294788886.364941</v>
      </c>
      <c r="M1675" s="460">
        <f t="shared" si="134"/>
        <v>0.05</v>
      </c>
      <c r="N1675" s="464">
        <f t="shared" si="135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33"/>
        <v>-294788886.364941</v>
      </c>
      <c r="J1676" s="444">
        <f t="array" ref="J1676">IFERROR(INDEX('Retirement Calculator'!J:J,MATCH('Isaac 401k'!N1676,'Retirement Calculator'!A:A,0),0),0)</f>
        <v>0</v>
      </c>
      <c r="K1676" s="444">
        <f t="shared" ca="1" si="131"/>
        <v>-1228287.0265205875</v>
      </c>
      <c r="L1676" s="444">
        <f t="shared" ca="1" si="132"/>
        <v>-296017173.39146161</v>
      </c>
      <c r="M1676" s="460">
        <f t="shared" si="134"/>
        <v>0.05</v>
      </c>
      <c r="N1676" s="464">
        <f t="shared" si="135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33"/>
        <v>-296017173.39146161</v>
      </c>
      <c r="J1677" s="444">
        <f t="array" ref="J1677">IFERROR(INDEX('Retirement Calculator'!J:J,MATCH('Isaac 401k'!N1677,'Retirement Calculator'!A:A,0),0),0)</f>
        <v>0</v>
      </c>
      <c r="K1677" s="444">
        <f t="shared" ca="1" si="131"/>
        <v>-1233404.8891310901</v>
      </c>
      <c r="L1677" s="444">
        <f t="shared" ca="1" si="132"/>
        <v>-297250578.28059268</v>
      </c>
      <c r="M1677" s="460">
        <f t="shared" si="134"/>
        <v>0.05</v>
      </c>
      <c r="N1677" s="464">
        <f t="shared" si="135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33"/>
        <v>-297250578.28059268</v>
      </c>
      <c r="J1678" s="444">
        <f t="array" ref="J1678">IFERROR(INDEX('Retirement Calculator'!J:J,MATCH('Isaac 401k'!N1678,'Retirement Calculator'!A:A,0),0),0)</f>
        <v>0</v>
      </c>
      <c r="K1678" s="444">
        <f t="shared" ca="1" si="131"/>
        <v>-1238544.0761691362</v>
      </c>
      <c r="L1678" s="444">
        <f t="shared" ca="1" si="132"/>
        <v>-298489122.35676181</v>
      </c>
      <c r="M1678" s="460">
        <f t="shared" si="134"/>
        <v>0.05</v>
      </c>
      <c r="N1678" s="464">
        <f t="shared" si="135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33"/>
        <v>-298489122.35676181</v>
      </c>
      <c r="J1679" s="444">
        <f t="array" ref="J1679">IFERROR(INDEX('Retirement Calculator'!J:J,MATCH('Isaac 401k'!N1679,'Retirement Calculator'!A:A,0),0),0)</f>
        <v>0</v>
      </c>
      <c r="K1679" s="444">
        <f t="shared" ca="1" si="131"/>
        <v>-1243704.6764865075</v>
      </c>
      <c r="L1679" s="444">
        <f t="shared" ca="1" si="132"/>
        <v>-299732827.03324831</v>
      </c>
      <c r="M1679" s="460">
        <f t="shared" si="134"/>
        <v>0.05</v>
      </c>
      <c r="N1679" s="464">
        <f t="shared" si="135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33"/>
        <v>-299732827.03324831</v>
      </c>
      <c r="J1680" s="444">
        <f t="array" ref="J1680">IFERROR(INDEX('Retirement Calculator'!J:J,MATCH('Isaac 401k'!N1680,'Retirement Calculator'!A:A,0),0),0)</f>
        <v>0</v>
      </c>
      <c r="K1680" s="444">
        <f t="shared" ca="1" si="131"/>
        <v>-1248886.7793052013</v>
      </c>
      <c r="L1680" s="444">
        <f t="shared" ca="1" si="132"/>
        <v>-300981713.81255352</v>
      </c>
      <c r="M1680" s="460">
        <f t="shared" si="134"/>
        <v>0.05</v>
      </c>
      <c r="N1680" s="464">
        <f t="shared" si="135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33"/>
        <v>-300981713.81255352</v>
      </c>
      <c r="J1681" s="444">
        <f t="array" ref="J1681">IFERROR(INDEX('Retirement Calculator'!J:J,MATCH('Isaac 401k'!N1681,'Retirement Calculator'!A:A,0),0),0)</f>
        <v>0</v>
      </c>
      <c r="K1681" s="444">
        <f t="shared" ca="1" si="131"/>
        <v>-1254090.474218973</v>
      </c>
      <c r="L1681" s="444">
        <f t="shared" ca="1" si="132"/>
        <v>-302235804.28677249</v>
      </c>
      <c r="M1681" s="460">
        <f t="shared" si="134"/>
        <v>0.05</v>
      </c>
      <c r="N1681" s="464">
        <f t="shared" si="135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33"/>
        <v>-302235804.28677249</v>
      </c>
      <c r="J1682" s="444">
        <f t="array" ref="J1682">IFERROR(INDEX('Retirement Calculator'!J:J,MATCH('Isaac 401k'!N1682,'Retirement Calculator'!A:A,0),0),0)</f>
        <v>0</v>
      </c>
      <c r="K1682" s="444">
        <f t="shared" ca="1" si="131"/>
        <v>-1259315.8511948853</v>
      </c>
      <c r="L1682" s="444">
        <f t="shared" ca="1" si="132"/>
        <v>-303495120.13796735</v>
      </c>
      <c r="M1682" s="460">
        <f t="shared" si="134"/>
        <v>0.05</v>
      </c>
      <c r="N1682" s="464">
        <f t="shared" si="135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33"/>
        <v>-303495120.13796735</v>
      </c>
      <c r="J1683" s="444">
        <f t="array" ref="J1683">IFERROR(INDEX('Retirement Calculator'!J:J,MATCH('Isaac 401k'!N1683,'Retirement Calculator'!A:A,0),0),0)</f>
        <v>0</v>
      </c>
      <c r="K1683" s="444">
        <f t="shared" ca="1" si="131"/>
        <v>-1264563.000574864</v>
      </c>
      <c r="L1683" s="444">
        <f t="shared" ca="1" si="132"/>
        <v>-304759683.13854223</v>
      </c>
      <c r="M1683" s="460">
        <f t="shared" si="134"/>
        <v>0.05</v>
      </c>
      <c r="N1683" s="464">
        <f t="shared" si="135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33"/>
        <v>-304759683.13854223</v>
      </c>
      <c r="J1684" s="444">
        <f t="array" ref="J1684">IFERROR(INDEX('Retirement Calculator'!J:J,MATCH('Isaac 401k'!N1684,'Retirement Calculator'!A:A,0),0),0)</f>
        <v>0</v>
      </c>
      <c r="K1684" s="444">
        <f t="shared" ca="1" si="131"/>
        <v>-1269832.0130772593</v>
      </c>
      <c r="L1684" s="444">
        <f t="shared" ca="1" si="132"/>
        <v>-306029515.15161949</v>
      </c>
      <c r="M1684" s="460">
        <f t="shared" si="134"/>
        <v>0.05</v>
      </c>
      <c r="N1684" s="464">
        <f t="shared" si="135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33"/>
        <v>-306029515.15161949</v>
      </c>
      <c r="J1685" s="444">
        <f t="array" ref="J1685">IFERROR(INDEX('Retirement Calculator'!J:J,MATCH('Isaac 401k'!N1685,'Retirement Calculator'!A:A,0),0),0)</f>
        <v>0</v>
      </c>
      <c r="K1685" s="444">
        <f t="shared" ca="1" si="131"/>
        <v>-1275122.9797984145</v>
      </c>
      <c r="L1685" s="444">
        <f t="shared" ca="1" si="132"/>
        <v>-307304638.13141793</v>
      </c>
      <c r="M1685" s="460">
        <f t="shared" si="134"/>
        <v>0.05</v>
      </c>
      <c r="N1685" s="464">
        <f t="shared" si="135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33"/>
        <v>-307304638.13141793</v>
      </c>
      <c r="J1686" s="444">
        <f t="array" ref="J1686">IFERROR(INDEX('Retirement Calculator'!J:J,MATCH('Isaac 401k'!N1686,'Retirement Calculator'!A:A,0),0),0)</f>
        <v>0</v>
      </c>
      <c r="K1686" s="444">
        <f t="shared" ca="1" si="131"/>
        <v>-1280435.9922142413</v>
      </c>
      <c r="L1686" s="444">
        <f t="shared" ca="1" si="132"/>
        <v>-308585074.12363219</v>
      </c>
      <c r="M1686" s="460">
        <f t="shared" si="134"/>
        <v>0.05</v>
      </c>
      <c r="N1686" s="464">
        <f t="shared" si="135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33"/>
        <v>-308585074.12363219</v>
      </c>
      <c r="J1687" s="444">
        <f t="array" ref="J1687">IFERROR(INDEX('Retirement Calculator'!J:J,MATCH('Isaac 401k'!N1687,'Retirement Calculator'!A:A,0),0),0)</f>
        <v>0</v>
      </c>
      <c r="K1687" s="444">
        <f t="shared" ca="1" si="131"/>
        <v>-1285771.1421818007</v>
      </c>
      <c r="L1687" s="444">
        <f t="shared" ca="1" si="132"/>
        <v>-309870845.26581401</v>
      </c>
      <c r="M1687" s="460">
        <f t="shared" si="134"/>
        <v>0.05</v>
      </c>
      <c r="N1687" s="464">
        <f t="shared" si="135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33"/>
        <v>-309870845.26581401</v>
      </c>
      <c r="J1688" s="444">
        <f t="array" ref="J1688">IFERROR(INDEX('Retirement Calculator'!J:J,MATCH('Isaac 401k'!N1688,'Retirement Calculator'!A:A,0),0),0)</f>
        <v>0</v>
      </c>
      <c r="K1688" s="444">
        <f t="shared" ca="1" si="131"/>
        <v>-1291128.5219408916</v>
      </c>
      <c r="L1688" s="444">
        <f t="shared" ca="1" si="132"/>
        <v>-311161973.78775489</v>
      </c>
      <c r="M1688" s="460">
        <f t="shared" si="134"/>
        <v>0.05</v>
      </c>
      <c r="N1688" s="464">
        <f t="shared" si="135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33"/>
        <v>-311161973.78775489</v>
      </c>
      <c r="J1689" s="444">
        <f t="array" ref="J1689">IFERROR(INDEX('Retirement Calculator'!J:J,MATCH('Isaac 401k'!N1689,'Retirement Calculator'!A:A,0),0),0)</f>
        <v>0</v>
      </c>
      <c r="K1689" s="444">
        <f t="shared" ca="1" si="131"/>
        <v>-1296508.2241156453</v>
      </c>
      <c r="L1689" s="444">
        <f t="shared" ca="1" si="132"/>
        <v>-312458482.01187056</v>
      </c>
      <c r="M1689" s="460">
        <f t="shared" si="134"/>
        <v>0.05</v>
      </c>
      <c r="N1689" s="464">
        <f t="shared" si="135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33"/>
        <v>-312458482.01187056</v>
      </c>
      <c r="J1690" s="444">
        <f t="array" ref="J1690">IFERROR(INDEX('Retirement Calculator'!J:J,MATCH('Isaac 401k'!N1690,'Retirement Calculator'!A:A,0),0),0)</f>
        <v>0</v>
      </c>
      <c r="K1690" s="444">
        <f t="shared" ca="1" si="131"/>
        <v>-1301910.3417161272</v>
      </c>
      <c r="L1690" s="444">
        <f t="shared" ca="1" si="132"/>
        <v>-313760392.35358667</v>
      </c>
      <c r="M1690" s="460">
        <f t="shared" si="134"/>
        <v>0.05</v>
      </c>
      <c r="N1690" s="464">
        <f t="shared" si="135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33"/>
        <v>-313760392.35358667</v>
      </c>
      <c r="J1691" s="444">
        <f t="array" ref="J1691">IFERROR(INDEX('Retirement Calculator'!J:J,MATCH('Isaac 401k'!N1691,'Retirement Calculator'!A:A,0),0),0)</f>
        <v>0</v>
      </c>
      <c r="K1691" s="444">
        <f t="shared" ca="1" si="131"/>
        <v>-1307334.9681399444</v>
      </c>
      <c r="L1691" s="444">
        <f t="shared" ca="1" si="132"/>
        <v>-315067727.32172662</v>
      </c>
      <c r="M1691" s="460">
        <f t="shared" si="134"/>
        <v>0.05</v>
      </c>
      <c r="N1691" s="464">
        <f t="shared" si="135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33"/>
        <v>-315067727.32172662</v>
      </c>
      <c r="J1692" s="444">
        <f t="array" ref="J1692">IFERROR(INDEX('Retirement Calculator'!J:J,MATCH('Isaac 401k'!N1692,'Retirement Calculator'!A:A,0),0),0)</f>
        <v>0</v>
      </c>
      <c r="K1692" s="444">
        <f t="shared" ca="1" si="131"/>
        <v>-1312782.1971738609</v>
      </c>
      <c r="L1692" s="444">
        <f t="shared" ca="1" si="132"/>
        <v>-316380509.51890045</v>
      </c>
      <c r="M1692" s="460">
        <f t="shared" si="134"/>
        <v>0.05</v>
      </c>
      <c r="N1692" s="464">
        <f t="shared" si="135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33"/>
        <v>-316380509.51890045</v>
      </c>
      <c r="J1693" s="444">
        <f t="array" ref="J1693">IFERROR(INDEX('Retirement Calculator'!J:J,MATCH('Isaac 401k'!N1693,'Retirement Calculator'!A:A,0),0),0)</f>
        <v>0</v>
      </c>
      <c r="K1693" s="444">
        <f t="shared" ca="1" si="131"/>
        <v>-1318252.1229954185</v>
      </c>
      <c r="L1693" s="444">
        <f t="shared" ca="1" si="132"/>
        <v>-317698761.64189589</v>
      </c>
      <c r="M1693" s="460">
        <f t="shared" si="134"/>
        <v>0.05</v>
      </c>
      <c r="N1693" s="464">
        <f t="shared" si="135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33"/>
        <v>-317698761.64189589</v>
      </c>
      <c r="J1694" s="444">
        <f t="array" ref="J1694">IFERROR(INDEX('Retirement Calculator'!J:J,MATCH('Isaac 401k'!N1694,'Retirement Calculator'!A:A,0),0),0)</f>
        <v>0</v>
      </c>
      <c r="K1694" s="444">
        <f t="shared" ca="1" si="131"/>
        <v>-1323744.8401745663</v>
      </c>
      <c r="L1694" s="444">
        <f t="shared" ca="1" si="132"/>
        <v>-319022506.48207045</v>
      </c>
      <c r="M1694" s="460">
        <f t="shared" si="134"/>
        <v>0.05</v>
      </c>
      <c r="N1694" s="464">
        <f t="shared" si="135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33"/>
        <v>-319022506.48207045</v>
      </c>
      <c r="J1695" s="444">
        <f t="array" ref="J1695">IFERROR(INDEX('Retirement Calculator'!J:J,MATCH('Isaac 401k'!N1695,'Retirement Calculator'!A:A,0),0),0)</f>
        <v>0</v>
      </c>
      <c r="K1695" s="444">
        <f t="shared" ca="1" si="131"/>
        <v>-1329260.4436752936</v>
      </c>
      <c r="L1695" s="444">
        <f t="shared" ca="1" si="132"/>
        <v>-320351766.92574573</v>
      </c>
      <c r="M1695" s="460">
        <f t="shared" si="134"/>
        <v>0.05</v>
      </c>
      <c r="N1695" s="464">
        <f t="shared" si="135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33"/>
        <v>-320351766.92574573</v>
      </c>
      <c r="J1696" s="444">
        <f t="array" ref="J1696">IFERROR(INDEX('Retirement Calculator'!J:J,MATCH('Isaac 401k'!N1696,'Retirement Calculator'!A:A,0),0),0)</f>
        <v>0</v>
      </c>
      <c r="K1696" s="444">
        <f t="shared" ca="1" si="131"/>
        <v>-1334799.0288572737</v>
      </c>
      <c r="L1696" s="444">
        <f t="shared" ca="1" si="132"/>
        <v>-321686565.95460302</v>
      </c>
      <c r="M1696" s="460">
        <f t="shared" si="134"/>
        <v>0.05</v>
      </c>
      <c r="N1696" s="464">
        <f t="shared" si="135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33"/>
        <v>-321686565.95460302</v>
      </c>
      <c r="J1697" s="444">
        <f t="array" ref="J1697">IFERROR(INDEX('Retirement Calculator'!J:J,MATCH('Isaac 401k'!N1697,'Retirement Calculator'!A:A,0),0),0)</f>
        <v>0</v>
      </c>
      <c r="K1697" s="444">
        <f t="shared" ca="1" si="131"/>
        <v>-1340360.6914775125</v>
      </c>
      <c r="L1697" s="444">
        <f t="shared" ca="1" si="132"/>
        <v>-323026926.64608055</v>
      </c>
      <c r="M1697" s="460">
        <f t="shared" si="134"/>
        <v>0.05</v>
      </c>
      <c r="N1697" s="464">
        <f t="shared" si="135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33"/>
        <v>-323026926.64608055</v>
      </c>
      <c r="J1698" s="444">
        <f t="array" ref="J1698">IFERROR(INDEX('Retirement Calculator'!J:J,MATCH('Isaac 401k'!N1698,'Retirement Calculator'!A:A,0),0),0)</f>
        <v>0</v>
      </c>
      <c r="K1698" s="444">
        <f t="shared" ca="1" si="131"/>
        <v>-1345945.5276920022</v>
      </c>
      <c r="L1698" s="444">
        <f t="shared" ca="1" si="132"/>
        <v>-324372872.17377257</v>
      </c>
      <c r="M1698" s="460">
        <f t="shared" si="134"/>
        <v>0.05</v>
      </c>
      <c r="N1698" s="464">
        <f t="shared" si="135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33"/>
        <v>-324372872.17377257</v>
      </c>
      <c r="J1699" s="444">
        <f t="array" ref="J1699">IFERROR(INDEX('Retirement Calculator'!J:J,MATCH('Isaac 401k'!N1699,'Retirement Calculator'!A:A,0),0),0)</f>
        <v>0</v>
      </c>
      <c r="K1699" s="444">
        <f t="shared" ca="1" si="131"/>
        <v>-1351553.6340573856</v>
      </c>
      <c r="L1699" s="444">
        <f t="shared" ca="1" si="132"/>
        <v>-325724425.80782998</v>
      </c>
      <c r="M1699" s="460">
        <f t="shared" si="134"/>
        <v>0.05</v>
      </c>
      <c r="N1699" s="464">
        <f t="shared" si="135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33"/>
        <v>-325724425.80782998</v>
      </c>
      <c r="J1700" s="444">
        <f t="array" ref="J1700">IFERROR(INDEX('Retirement Calculator'!J:J,MATCH('Isaac 401k'!N1700,'Retirement Calculator'!A:A,0),0),0)</f>
        <v>0</v>
      </c>
      <c r="K1700" s="444">
        <f t="shared" ca="1" si="131"/>
        <v>-1357185.1075326249</v>
      </c>
      <c r="L1700" s="444">
        <f t="shared" ca="1" si="132"/>
        <v>-327081610.9153626</v>
      </c>
      <c r="M1700" s="460">
        <f t="shared" si="134"/>
        <v>0.05</v>
      </c>
      <c r="N1700" s="464">
        <f t="shared" si="135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33"/>
        <v>-327081610.9153626</v>
      </c>
      <c r="J1701" s="444">
        <f t="array" ref="J1701">IFERROR(INDEX('Retirement Calculator'!J:J,MATCH('Isaac 401k'!N1701,'Retirement Calculator'!A:A,0),0),0)</f>
        <v>0</v>
      </c>
      <c r="K1701" s="444">
        <f t="shared" ca="1" si="131"/>
        <v>-1362840.0454806774</v>
      </c>
      <c r="L1701" s="444">
        <f t="shared" ca="1" si="132"/>
        <v>-328444450.96084327</v>
      </c>
      <c r="M1701" s="460">
        <f t="shared" si="134"/>
        <v>0.05</v>
      </c>
      <c r="N1701" s="464">
        <f t="shared" si="135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33"/>
        <v>-328444450.96084327</v>
      </c>
      <c r="J1702" s="444">
        <f t="array" ref="J1702">IFERROR(INDEX('Retirement Calculator'!J:J,MATCH('Isaac 401k'!N1702,'Retirement Calculator'!A:A,0),0),0)</f>
        <v>0</v>
      </c>
      <c r="K1702" s="444">
        <f t="shared" ca="1" si="131"/>
        <v>-1368518.5456701803</v>
      </c>
      <c r="L1702" s="444">
        <f t="shared" ca="1" si="132"/>
        <v>-329812969.50651342</v>
      </c>
      <c r="M1702" s="460">
        <f t="shared" si="134"/>
        <v>0.05</v>
      </c>
      <c r="N1702" s="464">
        <f t="shared" si="135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33"/>
        <v>-329812969.50651342</v>
      </c>
      <c r="J1703" s="444">
        <f t="array" ref="J1703">IFERROR(INDEX('Retirement Calculator'!J:J,MATCH('Isaac 401k'!N1703,'Retirement Calculator'!A:A,0),0),0)</f>
        <v>0</v>
      </c>
      <c r="K1703" s="444">
        <f t="shared" ca="1" si="131"/>
        <v>-1374220.7062771393</v>
      </c>
      <c r="L1703" s="444">
        <f t="shared" ca="1" si="132"/>
        <v>-331187190.21279055</v>
      </c>
      <c r="M1703" s="460">
        <f t="shared" si="134"/>
        <v>0.05</v>
      </c>
      <c r="N1703" s="464">
        <f t="shared" si="135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33"/>
        <v>-331187190.21279055</v>
      </c>
      <c r="J1704" s="444">
        <f t="array" ref="J1704">IFERROR(INDEX('Retirement Calculator'!J:J,MATCH('Isaac 401k'!N1704,'Retirement Calculator'!A:A,0),0),0)</f>
        <v>0</v>
      </c>
      <c r="K1704" s="444">
        <f t="shared" ca="1" si="131"/>
        <v>-1379946.6258866272</v>
      </c>
      <c r="L1704" s="444">
        <f t="shared" ca="1" si="132"/>
        <v>-332567136.83867717</v>
      </c>
      <c r="M1704" s="460">
        <f t="shared" si="134"/>
        <v>0.05</v>
      </c>
      <c r="N1704" s="464">
        <f t="shared" si="135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33"/>
        <v>-332567136.83867717</v>
      </c>
      <c r="J1705" s="444">
        <f t="array" ref="J1705">IFERROR(INDEX('Retirement Calculator'!J:J,MATCH('Isaac 401k'!N1705,'Retirement Calculator'!A:A,0),0),0)</f>
        <v>0</v>
      </c>
      <c r="K1705" s="444">
        <f t="shared" ca="1" si="131"/>
        <v>-1385696.4034944882</v>
      </c>
      <c r="L1705" s="444">
        <f t="shared" ca="1" si="132"/>
        <v>-333952833.24217165</v>
      </c>
      <c r="M1705" s="460">
        <f t="shared" si="134"/>
        <v>0.05</v>
      </c>
      <c r="N1705" s="464">
        <f t="shared" si="135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33"/>
        <v>-333952833.24217165</v>
      </c>
      <c r="J1706" s="444">
        <f t="array" ref="J1706">IFERROR(INDEX('Retirement Calculator'!J:J,MATCH('Isaac 401k'!N1706,'Retirement Calculator'!A:A,0),0),0)</f>
        <v>0</v>
      </c>
      <c r="K1706" s="444">
        <f t="shared" ca="1" si="131"/>
        <v>-1391470.1385090486</v>
      </c>
      <c r="L1706" s="444">
        <f t="shared" ca="1" si="132"/>
        <v>-335344303.38068068</v>
      </c>
      <c r="M1706" s="460">
        <f t="shared" si="134"/>
        <v>0.05</v>
      </c>
      <c r="N1706" s="464">
        <f t="shared" si="135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33"/>
        <v>-335344303.38068068</v>
      </c>
      <c r="J1707" s="444">
        <f t="array" ref="J1707">IFERROR(INDEX('Retirement Calculator'!J:J,MATCH('Isaac 401k'!N1707,'Retirement Calculator'!A:A,0),0),0)</f>
        <v>0</v>
      </c>
      <c r="K1707" s="444">
        <f t="shared" ca="1" si="131"/>
        <v>-1397267.9307528362</v>
      </c>
      <c r="L1707" s="444">
        <f t="shared" ca="1" si="132"/>
        <v>-336741571.31143349</v>
      </c>
      <c r="M1707" s="460">
        <f t="shared" si="134"/>
        <v>0.05</v>
      </c>
      <c r="N1707" s="464">
        <f t="shared" si="135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33"/>
        <v>-336741571.31143349</v>
      </c>
      <c r="J1708" s="444">
        <f t="array" ref="J1708">IFERROR(INDEX('Retirement Calculator'!J:J,MATCH('Isaac 401k'!N1708,'Retirement Calculator'!A:A,0),0),0)</f>
        <v>0</v>
      </c>
      <c r="K1708" s="444">
        <f t="shared" ca="1" si="131"/>
        <v>-1403089.8804643061</v>
      </c>
      <c r="L1708" s="444">
        <f t="shared" ca="1" si="132"/>
        <v>-338144661.19189781</v>
      </c>
      <c r="M1708" s="460">
        <f t="shared" si="134"/>
        <v>0.05</v>
      </c>
      <c r="N1708" s="464">
        <f t="shared" si="135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33"/>
        <v>-338144661.19189781</v>
      </c>
      <c r="J1709" s="444">
        <f t="array" ref="J1709">IFERROR(INDEX('Retirement Calculator'!J:J,MATCH('Isaac 401k'!N1709,'Retirement Calculator'!A:A,0),0),0)</f>
        <v>0</v>
      </c>
      <c r="K1709" s="444">
        <f t="shared" ca="1" si="131"/>
        <v>-1408936.0882995741</v>
      </c>
      <c r="L1709" s="444">
        <f t="shared" ca="1" si="132"/>
        <v>-339553597.28019738</v>
      </c>
      <c r="M1709" s="460">
        <f t="shared" si="134"/>
        <v>0.05</v>
      </c>
      <c r="N1709" s="464">
        <f t="shared" si="135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33"/>
        <v>-339553597.28019738</v>
      </c>
      <c r="J1710" s="444">
        <f t="array" ref="J1710">IFERROR(INDEX('Retirement Calculator'!J:J,MATCH('Isaac 401k'!N1710,'Retirement Calculator'!A:A,0),0),0)</f>
        <v>0</v>
      </c>
      <c r="K1710" s="444">
        <f t="shared" ca="1" si="131"/>
        <v>-1414806.6553341558</v>
      </c>
      <c r="L1710" s="444">
        <f t="shared" ca="1" si="132"/>
        <v>-340968403.93553156</v>
      </c>
      <c r="M1710" s="460">
        <f t="shared" si="134"/>
        <v>0.05</v>
      </c>
      <c r="N1710" s="464">
        <f t="shared" si="135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33"/>
        <v>-340968403.93553156</v>
      </c>
      <c r="J1711" s="444">
        <f t="array" ref="J1711">IFERROR(INDEX('Retirement Calculator'!J:J,MATCH('Isaac 401k'!N1711,'Retirement Calculator'!A:A,0),0),0)</f>
        <v>0</v>
      </c>
      <c r="K1711" s="444">
        <f t="shared" ca="1" si="131"/>
        <v>-1420701.6830647148</v>
      </c>
      <c r="L1711" s="444">
        <f t="shared" ca="1" si="132"/>
        <v>-342389105.61859626</v>
      </c>
      <c r="M1711" s="460">
        <f t="shared" si="134"/>
        <v>0.05</v>
      </c>
      <c r="N1711" s="464">
        <f t="shared" si="135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33"/>
        <v>-342389105.61859626</v>
      </c>
      <c r="J1712" s="444">
        <f t="array" ref="J1712">IFERROR(INDEX('Retirement Calculator'!J:J,MATCH('Isaac 401k'!N1712,'Retirement Calculator'!A:A,0),0),0)</f>
        <v>0</v>
      </c>
      <c r="K1712" s="444">
        <f t="shared" ca="1" si="131"/>
        <v>-1426621.2734108176</v>
      </c>
      <c r="L1712" s="444">
        <f t="shared" ca="1" si="132"/>
        <v>-343815726.89200705</v>
      </c>
      <c r="M1712" s="460">
        <f t="shared" si="134"/>
        <v>0.05</v>
      </c>
      <c r="N1712" s="464">
        <f t="shared" si="135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33"/>
        <v>-343815726.89200705</v>
      </c>
      <c r="J1713" s="444">
        <f t="array" ref="J1713">IFERROR(INDEX('Retirement Calculator'!J:J,MATCH('Isaac 401k'!N1713,'Retirement Calculator'!A:A,0),0),0)</f>
        <v>0</v>
      </c>
      <c r="K1713" s="444">
        <f t="shared" ca="1" si="131"/>
        <v>-1432565.528716696</v>
      </c>
      <c r="L1713" s="444">
        <f t="shared" ca="1" si="132"/>
        <v>-345248292.42072374</v>
      </c>
      <c r="M1713" s="460">
        <f t="shared" si="134"/>
        <v>0.05</v>
      </c>
      <c r="N1713" s="464">
        <f t="shared" si="135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33"/>
        <v>-345248292.42072374</v>
      </c>
      <c r="J1714" s="444">
        <f t="array" ref="J1714">IFERROR(INDEX('Retirement Calculator'!J:J,MATCH('Isaac 401k'!N1714,'Retirement Calculator'!A:A,0),0),0)</f>
        <v>0</v>
      </c>
      <c r="K1714" s="444">
        <f t="shared" ca="1" si="131"/>
        <v>-1438534.5517530155</v>
      </c>
      <c r="L1714" s="444">
        <f t="shared" ca="1" si="132"/>
        <v>-346686826.97247678</v>
      </c>
      <c r="M1714" s="460">
        <f t="shared" si="134"/>
        <v>0.05</v>
      </c>
      <c r="N1714" s="464">
        <f t="shared" si="135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33"/>
        <v>-346686826.97247678</v>
      </c>
      <c r="J1715" s="444">
        <f t="array" ref="J1715">IFERROR(INDEX('Retirement Calculator'!J:J,MATCH('Isaac 401k'!N1715,'Retirement Calculator'!A:A,0),0),0)</f>
        <v>0</v>
      </c>
      <c r="K1715" s="444">
        <f t="shared" ca="1" si="131"/>
        <v>-1444528.4457186533</v>
      </c>
      <c r="L1715" s="444">
        <f t="shared" ca="1" si="132"/>
        <v>-348131355.41819543</v>
      </c>
      <c r="M1715" s="460">
        <f t="shared" si="134"/>
        <v>0.05</v>
      </c>
      <c r="N1715" s="464">
        <f t="shared" si="135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33"/>
        <v>-348131355.41819543</v>
      </c>
      <c r="J1716" s="444">
        <f t="array" ref="J1716">IFERROR(INDEX('Retirement Calculator'!J:J,MATCH('Isaac 401k'!N1716,'Retirement Calculator'!A:A,0),0),0)</f>
        <v>0</v>
      </c>
      <c r="K1716" s="444">
        <f t="shared" ca="1" si="131"/>
        <v>-1450547.314242481</v>
      </c>
      <c r="L1716" s="444">
        <f t="shared" ca="1" si="132"/>
        <v>-349581902.73243791</v>
      </c>
      <c r="M1716" s="460">
        <f t="shared" si="134"/>
        <v>0.05</v>
      </c>
      <c r="N1716" s="464">
        <f t="shared" si="135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33"/>
        <v>-349581902.73243791</v>
      </c>
      <c r="J1717" s="444">
        <f t="array" ref="J1717">IFERROR(INDEX('Retirement Calculator'!J:J,MATCH('Isaac 401k'!N1717,'Retirement Calculator'!A:A,0),0),0)</f>
        <v>0</v>
      </c>
      <c r="K1717" s="444">
        <f t="shared" ca="1" si="131"/>
        <v>-1456591.2613851579</v>
      </c>
      <c r="L1717" s="444">
        <f t="shared" ca="1" si="132"/>
        <v>-351038493.99382305</v>
      </c>
      <c r="M1717" s="460">
        <f t="shared" si="134"/>
        <v>0.05</v>
      </c>
      <c r="N1717" s="464">
        <f t="shared" si="135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33"/>
        <v>-351038493.99382305</v>
      </c>
      <c r="J1718" s="444">
        <f t="array" ref="J1718">IFERROR(INDEX('Retirement Calculator'!J:J,MATCH('Isaac 401k'!N1718,'Retirement Calculator'!A:A,0),0),0)</f>
        <v>0</v>
      </c>
      <c r="K1718" s="444">
        <f t="shared" ca="1" si="131"/>
        <v>-1462660.3916409293</v>
      </c>
      <c r="L1718" s="444">
        <f t="shared" ca="1" si="132"/>
        <v>-352501154.38546395</v>
      </c>
      <c r="M1718" s="460">
        <f t="shared" si="134"/>
        <v>0.05</v>
      </c>
      <c r="N1718" s="464">
        <f t="shared" si="135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33"/>
        <v>-352501154.38546395</v>
      </c>
      <c r="J1719" s="444">
        <f t="array" ref="J1719">IFERROR(INDEX('Retirement Calculator'!J:J,MATCH('Isaac 401k'!N1719,'Retirement Calculator'!A:A,0),0),0)</f>
        <v>0</v>
      </c>
      <c r="K1719" s="444">
        <f t="shared" ca="1" si="131"/>
        <v>-1468754.8099394331</v>
      </c>
      <c r="L1719" s="444">
        <f t="shared" ca="1" si="132"/>
        <v>-353969909.1954034</v>
      </c>
      <c r="M1719" s="460">
        <f t="shared" si="134"/>
        <v>0.05</v>
      </c>
      <c r="N1719" s="464">
        <f t="shared" si="135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33"/>
        <v>-353969909.1954034</v>
      </c>
      <c r="J1720" s="444">
        <f t="array" ref="J1720">IFERROR(INDEX('Retirement Calculator'!J:J,MATCH('Isaac 401k'!N1720,'Retirement Calculator'!A:A,0),0),0)</f>
        <v>0</v>
      </c>
      <c r="K1720" s="444">
        <f t="shared" ca="1" si="131"/>
        <v>-1474874.6216475142</v>
      </c>
      <c r="L1720" s="444">
        <f t="shared" ca="1" si="132"/>
        <v>-355444783.81705093</v>
      </c>
      <c r="M1720" s="460">
        <f t="shared" si="134"/>
        <v>0.05</v>
      </c>
      <c r="N1720" s="464">
        <f t="shared" si="135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33"/>
        <v>-355444783.81705093</v>
      </c>
      <c r="J1721" s="444">
        <f t="array" ref="J1721">IFERROR(INDEX('Retirement Calculator'!J:J,MATCH('Isaac 401k'!N1721,'Retirement Calculator'!A:A,0),0),0)</f>
        <v>0</v>
      </c>
      <c r="K1721" s="444">
        <f t="shared" ca="1" si="131"/>
        <v>-1481019.9325710456</v>
      </c>
      <c r="L1721" s="444">
        <f t="shared" ca="1" si="132"/>
        <v>-356925803.74962199</v>
      </c>
      <c r="M1721" s="460">
        <f t="shared" si="134"/>
        <v>0.05</v>
      </c>
      <c r="N1721" s="464">
        <f t="shared" si="135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33"/>
        <v>-356925803.74962199</v>
      </c>
      <c r="J1722" s="444">
        <f t="array" ref="J1722">IFERROR(INDEX('Retirement Calculator'!J:J,MATCH('Isaac 401k'!N1722,'Retirement Calculator'!A:A,0),0),0)</f>
        <v>0</v>
      </c>
      <c r="K1722" s="444">
        <f t="shared" ca="1" si="131"/>
        <v>-1487190.8489567582</v>
      </c>
      <c r="L1722" s="444">
        <f t="shared" ca="1" si="132"/>
        <v>-358412994.59857875</v>
      </c>
      <c r="M1722" s="460">
        <f t="shared" si="134"/>
        <v>0.05</v>
      </c>
      <c r="N1722" s="464">
        <f t="shared" si="135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33"/>
        <v>-358412994.59857875</v>
      </c>
      <c r="J1723" s="444">
        <f t="array" ref="J1723">IFERROR(INDEX('Retirement Calculator'!J:J,MATCH('Isaac 401k'!N1723,'Retirement Calculator'!A:A,0),0),0)</f>
        <v>0</v>
      </c>
      <c r="K1723" s="444">
        <f t="shared" ca="1" si="131"/>
        <v>-1493387.4774940782</v>
      </c>
      <c r="L1723" s="444">
        <f t="shared" ca="1" si="132"/>
        <v>-359906382.07607281</v>
      </c>
      <c r="M1723" s="460">
        <f t="shared" si="134"/>
        <v>0.05</v>
      </c>
      <c r="N1723" s="464">
        <f t="shared" si="135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33"/>
        <v>-359906382.07607281</v>
      </c>
      <c r="J1724" s="444">
        <f t="array" ref="J1724">IFERROR(INDEX('Retirement Calculator'!J:J,MATCH('Isaac 401k'!N1724,'Retirement Calculator'!A:A,0),0),0)</f>
        <v>0</v>
      </c>
      <c r="K1724" s="444">
        <f t="shared" ca="1" si="131"/>
        <v>-1499609.9253169701</v>
      </c>
      <c r="L1724" s="444">
        <f t="shared" ca="1" si="132"/>
        <v>-361405992.0013898</v>
      </c>
      <c r="M1724" s="460">
        <f t="shared" si="134"/>
        <v>0.05</v>
      </c>
      <c r="N1724" s="464">
        <f t="shared" si="135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33"/>
        <v>-361405992.0013898</v>
      </c>
      <c r="J1725" s="444">
        <f t="array" ref="J1725">IFERROR(INDEX('Retirement Calculator'!J:J,MATCH('Isaac 401k'!N1725,'Retirement Calculator'!A:A,0),0),0)</f>
        <v>0</v>
      </c>
      <c r="K1725" s="444">
        <f t="shared" ca="1" si="131"/>
        <v>-1505858.3000057908</v>
      </c>
      <c r="L1725" s="444">
        <f t="shared" ca="1" si="132"/>
        <v>-362911850.3013956</v>
      </c>
      <c r="M1725" s="460">
        <f t="shared" si="134"/>
        <v>0.05</v>
      </c>
      <c r="N1725" s="464">
        <f t="shared" si="135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33"/>
        <v>-362911850.3013956</v>
      </c>
      <c r="J1726" s="444">
        <f t="array" ref="J1726">IFERROR(INDEX('Retirement Calculator'!J:J,MATCH('Isaac 401k'!N1726,'Retirement Calculator'!A:A,0),0),0)</f>
        <v>0</v>
      </c>
      <c r="K1726" s="444">
        <f t="shared" ca="1" si="131"/>
        <v>-1512132.7095891484</v>
      </c>
      <c r="L1726" s="444">
        <f t="shared" ca="1" si="132"/>
        <v>-364423983.01098472</v>
      </c>
      <c r="M1726" s="460">
        <f t="shared" si="134"/>
        <v>0.05</v>
      </c>
      <c r="N1726" s="464">
        <f t="shared" si="135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33"/>
        <v>-364423983.01098472</v>
      </c>
      <c r="J1727" s="444">
        <f t="array" ref="J1727">IFERROR(INDEX('Retirement Calculator'!J:J,MATCH('Isaac 401k'!N1727,'Retirement Calculator'!A:A,0),0),0)</f>
        <v>0</v>
      </c>
      <c r="K1727" s="444">
        <f t="shared" ca="1" si="131"/>
        <v>-1518433.2625457696</v>
      </c>
      <c r="L1727" s="444">
        <f t="shared" ca="1" si="132"/>
        <v>-365942416.27353048</v>
      </c>
      <c r="M1727" s="460">
        <f t="shared" si="134"/>
        <v>0.05</v>
      </c>
      <c r="N1727" s="464">
        <f t="shared" si="135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33"/>
        <v>-365942416.27353048</v>
      </c>
      <c r="J1728" s="444">
        <f t="array" ref="J1728">IFERROR(INDEX('Retirement Calculator'!J:J,MATCH('Isaac 401k'!N1728,'Retirement Calculator'!A:A,0),0),0)</f>
        <v>0</v>
      </c>
      <c r="K1728" s="444">
        <f t="shared" ca="1" si="131"/>
        <v>-1524760.0678063771</v>
      </c>
      <c r="L1728" s="444">
        <f t="shared" ca="1" si="132"/>
        <v>-367467176.34133685</v>
      </c>
      <c r="M1728" s="460">
        <f t="shared" si="134"/>
        <v>0.05</v>
      </c>
      <c r="N1728" s="464">
        <f t="shared" si="135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33"/>
        <v>-367467176.34133685</v>
      </c>
      <c r="J1729" s="444">
        <f t="array" ref="J1729">IFERROR(INDEX('Retirement Calculator'!J:J,MATCH('Isaac 401k'!N1729,'Retirement Calculator'!A:A,0),0),0)</f>
        <v>0</v>
      </c>
      <c r="K1729" s="444">
        <f t="shared" ca="1" si="131"/>
        <v>-1531113.2347555701</v>
      </c>
      <c r="L1729" s="444">
        <f t="shared" ca="1" si="132"/>
        <v>-368998289.57609242</v>
      </c>
      <c r="M1729" s="460">
        <f t="shared" si="134"/>
        <v>0.05</v>
      </c>
      <c r="N1729" s="464">
        <f t="shared" si="135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33"/>
        <v>-368998289.57609242</v>
      </c>
      <c r="J1730" s="444">
        <f t="array" ref="J1730">IFERROR(INDEX('Retirement Calculator'!J:J,MATCH('Isaac 401k'!N1730,'Retirement Calculator'!A:A,0),0),0)</f>
        <v>0</v>
      </c>
      <c r="K1730" s="444">
        <f t="shared" ca="1" si="131"/>
        <v>-1537492.8732337183</v>
      </c>
      <c r="L1730" s="444">
        <f t="shared" ca="1" si="132"/>
        <v>-370535782.44932616</v>
      </c>
      <c r="M1730" s="460">
        <f t="shared" si="134"/>
        <v>0.05</v>
      </c>
      <c r="N1730" s="464">
        <f t="shared" si="135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33"/>
        <v>-370535782.44932616</v>
      </c>
      <c r="J1731" s="444">
        <f t="array" ref="J1731">IFERROR(INDEX('Retirement Calculator'!J:J,MATCH('Isaac 401k'!N1731,'Retirement Calculator'!A:A,0),0),0)</f>
        <v>0</v>
      </c>
      <c r="K1731" s="444">
        <f t="shared" ca="1" si="131"/>
        <v>-1543899.0935388589</v>
      </c>
      <c r="L1731" s="444">
        <f t="shared" ca="1" si="132"/>
        <v>-372079681.54286504</v>
      </c>
      <c r="M1731" s="460">
        <f t="shared" si="134"/>
        <v>0.05</v>
      </c>
      <c r="N1731" s="464">
        <f t="shared" si="135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33"/>
        <v>-372079681.54286504</v>
      </c>
      <c r="J1732" s="444">
        <f t="array" ref="J1732">IFERROR(INDEX('Retirement Calculator'!J:J,MATCH('Isaac 401k'!N1732,'Retirement Calculator'!A:A,0),0),0)</f>
        <v>0</v>
      </c>
      <c r="K1732" s="444">
        <f t="shared" ca="1" si="131"/>
        <v>-1550332.0064286042</v>
      </c>
      <c r="L1732" s="444">
        <f t="shared" ca="1" si="132"/>
        <v>-373630013.54929364</v>
      </c>
      <c r="M1732" s="460">
        <f t="shared" si="134"/>
        <v>0.05</v>
      </c>
      <c r="N1732" s="464">
        <f t="shared" si="135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33"/>
        <v>-373630013.54929364</v>
      </c>
      <c r="J1733" s="444">
        <f t="array" ref="J1733">IFERROR(INDEX('Retirement Calculator'!J:J,MATCH('Isaac 401k'!N1733,'Retirement Calculator'!A:A,0),0),0)</f>
        <v>0</v>
      </c>
      <c r="K1733" s="444">
        <f t="shared" ca="1" si="131"/>
        <v>-1556791.7231220568</v>
      </c>
      <c r="L1733" s="444">
        <f t="shared" ca="1" si="132"/>
        <v>-375186805.2724157</v>
      </c>
      <c r="M1733" s="460">
        <f t="shared" si="134"/>
        <v>0.05</v>
      </c>
      <c r="N1733" s="464">
        <f t="shared" si="135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33"/>
        <v>-375186805.2724157</v>
      </c>
      <c r="J1734" s="444">
        <f t="array" ref="J1734">IFERROR(INDEX('Retirement Calculator'!J:J,MATCH('Isaac 401k'!N1734,'Retirement Calculator'!A:A,0),0),0)</f>
        <v>0</v>
      </c>
      <c r="K1734" s="444">
        <f t="shared" ca="1" si="131"/>
        <v>-1563278.355301732</v>
      </c>
      <c r="L1734" s="444">
        <f t="shared" ca="1" si="132"/>
        <v>-376750083.62771744</v>
      </c>
      <c r="M1734" s="460">
        <f t="shared" si="134"/>
        <v>0.05</v>
      </c>
      <c r="N1734" s="464">
        <f t="shared" si="135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33"/>
        <v>-376750083.62771744</v>
      </c>
      <c r="J1735" s="444">
        <f t="array" ref="J1735">IFERROR(INDEX('Retirement Calculator'!J:J,MATCH('Isaac 401k'!N1735,'Retirement Calculator'!A:A,0),0),0)</f>
        <v>0</v>
      </c>
      <c r="K1735" s="444">
        <f t="shared" ca="1" si="131"/>
        <v>-1569792.0151154893</v>
      </c>
      <c r="L1735" s="444">
        <f t="shared" ca="1" si="132"/>
        <v>-378319875.64283293</v>
      </c>
      <c r="M1735" s="460">
        <f t="shared" si="134"/>
        <v>0.05</v>
      </c>
      <c r="N1735" s="464">
        <f t="shared" si="135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33"/>
        <v>-378319875.64283293</v>
      </c>
      <c r="J1736" s="444">
        <f t="array" ref="J1736">IFERROR(INDEX('Retirement Calculator'!J:J,MATCH('Isaac 401k'!N1736,'Retirement Calculator'!A:A,0),0),0)</f>
        <v>0</v>
      </c>
      <c r="K1736" s="444">
        <f t="shared" ca="1" si="131"/>
        <v>-1576332.8151784705</v>
      </c>
      <c r="L1736" s="444">
        <f t="shared" ca="1" si="132"/>
        <v>-379896208.45801139</v>
      </c>
      <c r="M1736" s="460">
        <f t="shared" si="134"/>
        <v>0.05</v>
      </c>
      <c r="N1736" s="464">
        <f t="shared" si="135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33"/>
        <v>-379896208.45801139</v>
      </c>
      <c r="J1737" s="444">
        <f t="array" ref="J1737">IFERROR(INDEX('Retirement Calculator'!J:J,MATCH('Isaac 401k'!N1737,'Retirement Calculator'!A:A,0),0),0)</f>
        <v>0</v>
      </c>
      <c r="K1737" s="444">
        <f t="shared" ca="1" si="131"/>
        <v>-1582900.8685750475</v>
      </c>
      <c r="L1737" s="444">
        <f t="shared" ca="1" si="132"/>
        <v>-381479109.32658643</v>
      </c>
      <c r="M1737" s="460">
        <f t="shared" si="134"/>
        <v>0.05</v>
      </c>
      <c r="N1737" s="464">
        <f t="shared" si="135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33"/>
        <v>-381479109.32658643</v>
      </c>
      <c r="J1738" s="444">
        <f t="array" ref="J1738">IFERROR(INDEX('Retirement Calculator'!J:J,MATCH('Isaac 401k'!N1738,'Retirement Calculator'!A:A,0),0),0)</f>
        <v>0</v>
      </c>
      <c r="K1738" s="444">
        <f t="shared" ca="1" si="131"/>
        <v>-1589496.2888607767</v>
      </c>
      <c r="L1738" s="444">
        <f t="shared" ca="1" si="132"/>
        <v>-383068605.61544722</v>
      </c>
      <c r="M1738" s="460">
        <f t="shared" si="134"/>
        <v>0.05</v>
      </c>
      <c r="N1738" s="464">
        <f t="shared" si="135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33"/>
        <v>-383068605.61544722</v>
      </c>
      <c r="J1739" s="444">
        <f t="array" ref="J1739">IFERROR(INDEX('Retirement Calculator'!J:J,MATCH('Isaac 401k'!N1739,'Retirement Calculator'!A:A,0),0),0)</f>
        <v>0</v>
      </c>
      <c r="K1739" s="444">
        <f t="shared" ca="1" si="131"/>
        <v>-1596119.1900643634</v>
      </c>
      <c r="L1739" s="444">
        <f t="shared" ca="1" si="132"/>
        <v>-384664724.80551159</v>
      </c>
      <c r="M1739" s="460">
        <f t="shared" si="134"/>
        <v>0.05</v>
      </c>
      <c r="N1739" s="464">
        <f t="shared" si="135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33"/>
        <v>-384664724.80551159</v>
      </c>
      <c r="J1740" s="444">
        <f t="array" ref="J1740">IFERROR(INDEX('Retirement Calculator'!J:J,MATCH('Isaac 401k'!N1740,'Retirement Calculator'!A:A,0),0),0)</f>
        <v>0</v>
      </c>
      <c r="K1740" s="444">
        <f t="shared" ca="1" si="131"/>
        <v>-1602769.6866896315</v>
      </c>
      <c r="L1740" s="444">
        <f t="shared" ca="1" si="132"/>
        <v>-386267494.49220121</v>
      </c>
      <c r="M1740" s="460">
        <f t="shared" si="134"/>
        <v>0.05</v>
      </c>
      <c r="N1740" s="464">
        <f t="shared" si="135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33"/>
        <v>-386267494.49220121</v>
      </c>
      <c r="J1741" s="444">
        <f t="array" ref="J1741">IFERROR(INDEX('Retirement Calculator'!J:J,MATCH('Isaac 401k'!N1741,'Retirement Calculator'!A:A,0),0),0)</f>
        <v>0</v>
      </c>
      <c r="K1741" s="444">
        <f t="shared" ca="1" si="131"/>
        <v>-1609447.893717505</v>
      </c>
      <c r="L1741" s="444">
        <f t="shared" ca="1" si="132"/>
        <v>-387876942.38591874</v>
      </c>
      <c r="M1741" s="460">
        <f t="shared" si="134"/>
        <v>0.05</v>
      </c>
      <c r="N1741" s="464">
        <f t="shared" si="135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33"/>
        <v>-387876942.38591874</v>
      </c>
      <c r="J1742" s="444">
        <f t="array" ref="J1742">IFERROR(INDEX('Retirement Calculator'!J:J,MATCH('Isaac 401k'!N1742,'Retirement Calculator'!A:A,0),0),0)</f>
        <v>0</v>
      </c>
      <c r="K1742" s="444">
        <f t="shared" ca="1" si="131"/>
        <v>-1616153.9266079948</v>
      </c>
      <c r="L1742" s="444">
        <f t="shared" ca="1" si="132"/>
        <v>-389493096.3125267</v>
      </c>
      <c r="M1742" s="460">
        <f t="shared" si="134"/>
        <v>0.05</v>
      </c>
      <c r="N1742" s="464">
        <f t="shared" si="135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33"/>
        <v>-389493096.3125267</v>
      </c>
      <c r="J1743" s="444">
        <f t="array" ref="J1743">IFERROR(INDEX('Retirement Calculator'!J:J,MATCH('Isaac 401k'!N1743,'Retirement Calculator'!A:A,0),0),0)</f>
        <v>0</v>
      </c>
      <c r="K1743" s="444">
        <f t="shared" ca="1" si="131"/>
        <v>-1622887.9013021947</v>
      </c>
      <c r="L1743" s="444">
        <f t="shared" ca="1" si="132"/>
        <v>-391115984.21382892</v>
      </c>
      <c r="M1743" s="460">
        <f t="shared" si="134"/>
        <v>0.05</v>
      </c>
      <c r="N1743" s="464">
        <f t="shared" si="135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33"/>
        <v>-391115984.21382892</v>
      </c>
      <c r="J1744" s="444">
        <f t="array" ref="J1744">IFERROR(INDEX('Retirement Calculator'!J:J,MATCH('Isaac 401k'!N1744,'Retirement Calculator'!A:A,0),0),0)</f>
        <v>0</v>
      </c>
      <c r="K1744" s="444">
        <f t="shared" ca="1" si="131"/>
        <v>-1629649.934224287</v>
      </c>
      <c r="L1744" s="444">
        <f t="shared" ca="1" si="132"/>
        <v>-392745634.14805323</v>
      </c>
      <c r="M1744" s="460">
        <f t="shared" si="134"/>
        <v>0.05</v>
      </c>
      <c r="N1744" s="464">
        <f t="shared" si="135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33"/>
        <v>-392745634.14805323</v>
      </c>
      <c r="J1745" s="444">
        <f t="array" ref="J1745">IFERROR(INDEX('Retirement Calculator'!J:J,MATCH('Isaac 401k'!N1745,'Retirement Calculator'!A:A,0),0),0)</f>
        <v>0</v>
      </c>
      <c r="K1745" s="444">
        <f t="shared" ca="1" si="131"/>
        <v>-1636440.1422835551</v>
      </c>
      <c r="L1745" s="444">
        <f t="shared" ca="1" si="132"/>
        <v>-394382074.29033679</v>
      </c>
      <c r="M1745" s="460">
        <f t="shared" si="134"/>
        <v>0.05</v>
      </c>
      <c r="N1745" s="464">
        <f t="shared" si="135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33"/>
        <v>-394382074.29033679</v>
      </c>
      <c r="J1746" s="444">
        <f t="array" ref="J1746">IFERROR(INDEX('Retirement Calculator'!J:J,MATCH('Isaac 401k'!N1746,'Retirement Calculator'!A:A,0),0),0)</f>
        <v>0</v>
      </c>
      <c r="K1746" s="444">
        <f t="shared" ca="1" si="131"/>
        <v>-1643258.6428764032</v>
      </c>
      <c r="L1746" s="444">
        <f t="shared" ca="1" si="132"/>
        <v>-396025332.93321317</v>
      </c>
      <c r="M1746" s="460">
        <f t="shared" si="134"/>
        <v>0.05</v>
      </c>
      <c r="N1746" s="464">
        <f t="shared" si="135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33"/>
        <v>-396025332.93321317</v>
      </c>
      <c r="J1747" s="444">
        <f t="array" ref="J1747">IFERROR(INDEX('Retirement Calculator'!J:J,MATCH('Isaac 401k'!N1747,'Retirement Calculator'!A:A,0),0),0)</f>
        <v>0</v>
      </c>
      <c r="K1747" s="444">
        <f t="shared" ca="1" si="131"/>
        <v>-1650105.5538883882</v>
      </c>
      <c r="L1747" s="444">
        <f t="shared" ca="1" si="132"/>
        <v>-397675438.48710155</v>
      </c>
      <c r="M1747" s="460">
        <f t="shared" si="134"/>
        <v>0.05</v>
      </c>
      <c r="N1747" s="464">
        <f t="shared" si="135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33"/>
        <v>-397675438.48710155</v>
      </c>
      <c r="J1748" s="444">
        <f t="array" ref="J1748">IFERROR(INDEX('Retirement Calculator'!J:J,MATCH('Isaac 401k'!N1748,'Retirement Calculator'!A:A,0),0),0)</f>
        <v>0</v>
      </c>
      <c r="K1748" s="444">
        <f t="shared" ca="1" si="131"/>
        <v>-1656980.9936962565</v>
      </c>
      <c r="L1748" s="444">
        <f t="shared" ca="1" si="132"/>
        <v>-399332419.48079783</v>
      </c>
      <c r="M1748" s="460">
        <f t="shared" si="134"/>
        <v>0.05</v>
      </c>
      <c r="N1748" s="464">
        <f t="shared" si="135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33"/>
        <v>-399332419.48079783</v>
      </c>
      <c r="J1749" s="444">
        <f t="array" ref="J1749">IFERROR(INDEX('Retirement Calculator'!J:J,MATCH('Isaac 401k'!N1749,'Retirement Calculator'!A:A,0),0),0)</f>
        <v>0</v>
      </c>
      <c r="K1749" s="444">
        <f t="shared" ca="1" si="131"/>
        <v>-1663885.0811699908</v>
      </c>
      <c r="L1749" s="444">
        <f t="shared" ca="1" si="132"/>
        <v>-400996304.56196779</v>
      </c>
      <c r="M1749" s="460">
        <f t="shared" si="134"/>
        <v>0.05</v>
      </c>
      <c r="N1749" s="464">
        <f t="shared" si="135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33"/>
        <v>-400996304.56196779</v>
      </c>
      <c r="J1750" s="444">
        <f t="array" ref="J1750">IFERROR(INDEX('Retirement Calculator'!J:J,MATCH('Isaac 401k'!N1750,'Retirement Calculator'!A:A,0),0),0)</f>
        <v>0</v>
      </c>
      <c r="K1750" s="444">
        <f t="shared" ca="1" si="131"/>
        <v>-1670817.9356748657</v>
      </c>
      <c r="L1750" s="444">
        <f t="shared" ca="1" si="132"/>
        <v>-402667122.49764264</v>
      </c>
      <c r="M1750" s="460">
        <f t="shared" si="134"/>
        <v>0.05</v>
      </c>
      <c r="N1750" s="464">
        <f t="shared" si="135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33"/>
        <v>-402667122.49764264</v>
      </c>
      <c r="J1751" s="444">
        <f t="array" ref="J1751">IFERROR(INDEX('Retirement Calculator'!J:J,MATCH('Isaac 401k'!N1751,'Retirement Calculator'!A:A,0),0),0)</f>
        <v>0</v>
      </c>
      <c r="K1751" s="444">
        <f t="shared" ca="1" si="131"/>
        <v>-1677779.6770735111</v>
      </c>
      <c r="L1751" s="444">
        <f t="shared" ca="1" si="132"/>
        <v>-404344902.17471617</v>
      </c>
      <c r="M1751" s="460">
        <f t="shared" si="134"/>
        <v>0.05</v>
      </c>
      <c r="N1751" s="464">
        <f t="shared" si="135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33"/>
        <v>-404344902.17471617</v>
      </c>
      <c r="J1752" s="444">
        <f t="array" ref="J1752">IFERROR(INDEX('Retirement Calculator'!J:J,MATCH('Isaac 401k'!N1752,'Retirement Calculator'!A:A,0),0),0)</f>
        <v>0</v>
      </c>
      <c r="K1752" s="444">
        <f t="shared" ca="1" si="131"/>
        <v>-1684770.4257279839</v>
      </c>
      <c r="L1752" s="444">
        <f t="shared" ca="1" si="132"/>
        <v>-406029672.60044414</v>
      </c>
      <c r="M1752" s="460">
        <f t="shared" si="134"/>
        <v>0.05</v>
      </c>
      <c r="N1752" s="464">
        <f t="shared" si="135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33"/>
        <v>-406029672.60044414</v>
      </c>
      <c r="J1753" s="444">
        <f t="array" ref="J1753">IFERROR(INDEX('Retirement Calculator'!J:J,MATCH('Isaac 401k'!N1753,'Retirement Calculator'!A:A,0),0),0)</f>
        <v>0</v>
      </c>
      <c r="K1753" s="444">
        <f t="shared" ca="1" si="131"/>
        <v>-1691790.3025018505</v>
      </c>
      <c r="L1753" s="444">
        <f t="shared" ca="1" si="132"/>
        <v>-407721462.902946</v>
      </c>
      <c r="M1753" s="460">
        <f t="shared" si="134"/>
        <v>0.05</v>
      </c>
      <c r="N1753" s="464">
        <f t="shared" si="135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33"/>
        <v>-407721462.902946</v>
      </c>
      <c r="J1754" s="444">
        <f t="array" ref="J1754">IFERROR(INDEX('Retirement Calculator'!J:J,MATCH('Isaac 401k'!N1754,'Retirement Calculator'!A:A,0),0),0)</f>
        <v>0</v>
      </c>
      <c r="K1754" s="444">
        <f t="shared" ca="1" si="131"/>
        <v>-1698839.428762275</v>
      </c>
      <c r="L1754" s="444">
        <f t="shared" ca="1" si="132"/>
        <v>-409420302.33170825</v>
      </c>
      <c r="M1754" s="460">
        <f t="shared" si="134"/>
        <v>0.05</v>
      </c>
      <c r="N1754" s="464">
        <f t="shared" si="135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33"/>
        <v>-409420302.33170825</v>
      </c>
      <c r="J1755" s="444">
        <f t="array" ref="J1755">IFERROR(INDEX('Retirement Calculator'!J:J,MATCH('Isaac 401k'!N1755,'Retirement Calculator'!A:A,0),0),0)</f>
        <v>0</v>
      </c>
      <c r="K1755" s="444">
        <f t="shared" ca="1" si="131"/>
        <v>-1705917.9263821177</v>
      </c>
      <c r="L1755" s="444">
        <f t="shared" ca="1" si="132"/>
        <v>-411126220.25809038</v>
      </c>
      <c r="M1755" s="460">
        <f t="shared" si="134"/>
        <v>0.05</v>
      </c>
      <c r="N1755" s="464">
        <f t="shared" si="135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33"/>
        <v>-411126220.25809038</v>
      </c>
      <c r="J1756" s="444">
        <f t="array" ref="J1756">IFERROR(INDEX('Retirement Calculator'!J:J,MATCH('Isaac 401k'!N1756,'Retirement Calculator'!A:A,0),0),0)</f>
        <v>0</v>
      </c>
      <c r="K1756" s="444">
        <f t="shared" ca="1" si="131"/>
        <v>-1713025.9177420433</v>
      </c>
      <c r="L1756" s="444">
        <f t="shared" ca="1" si="132"/>
        <v>-412839246.17583239</v>
      </c>
      <c r="M1756" s="460">
        <f t="shared" si="134"/>
        <v>0.05</v>
      </c>
      <c r="N1756" s="464">
        <f t="shared" si="135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33"/>
        <v>-412839246.17583239</v>
      </c>
      <c r="J1757" s="444">
        <f t="array" ref="J1757">IFERROR(INDEX('Retirement Calculator'!J:J,MATCH('Isaac 401k'!N1757,'Retirement Calculator'!A:A,0),0),0)</f>
        <v>0</v>
      </c>
      <c r="K1757" s="444">
        <f t="shared" ca="1" si="131"/>
        <v>-1720163.5257326348</v>
      </c>
      <c r="L1757" s="444">
        <f t="shared" ca="1" si="132"/>
        <v>-414559409.70156503</v>
      </c>
      <c r="M1757" s="460">
        <f t="shared" si="134"/>
        <v>0.05</v>
      </c>
      <c r="N1757" s="464">
        <f t="shared" si="135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33"/>
        <v>-414559409.70156503</v>
      </c>
      <c r="J1758" s="444">
        <f t="array" ref="J1758">IFERROR(INDEX('Retirement Calculator'!J:J,MATCH('Isaac 401k'!N1758,'Retirement Calculator'!A:A,0),0),0)</f>
        <v>0</v>
      </c>
      <c r="K1758" s="444">
        <f t="shared" ca="1" si="131"/>
        <v>-1727330.8737565209</v>
      </c>
      <c r="L1758" s="444">
        <f t="shared" ca="1" si="132"/>
        <v>-416286740.57532156</v>
      </c>
      <c r="M1758" s="460">
        <f t="shared" si="134"/>
        <v>0.05</v>
      </c>
      <c r="N1758" s="464">
        <f t="shared" si="135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33"/>
        <v>-416286740.57532156</v>
      </c>
      <c r="J1759" s="444">
        <f t="array" ref="J1759">IFERROR(INDEX('Retirement Calculator'!J:J,MATCH('Isaac 401k'!N1759,'Retirement Calculator'!A:A,0),0),0)</f>
        <v>0</v>
      </c>
      <c r="K1759" s="444">
        <f t="shared" ca="1" si="131"/>
        <v>-1734528.0857305063</v>
      </c>
      <c r="L1759" s="444">
        <f t="shared" ca="1" si="132"/>
        <v>-418021268.66105205</v>
      </c>
      <c r="M1759" s="460">
        <f t="shared" si="134"/>
        <v>0.05</v>
      </c>
      <c r="N1759" s="464">
        <f t="shared" si="135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33"/>
        <v>-418021268.66105205</v>
      </c>
      <c r="J1760" s="444">
        <f t="array" ref="J1760">IFERROR(INDEX('Retirement Calculator'!J:J,MATCH('Isaac 401k'!N1760,'Retirement Calculator'!A:A,0),0),0)</f>
        <v>0</v>
      </c>
      <c r="K1760" s="444">
        <f t="shared" ca="1" si="131"/>
        <v>-1741755.2860877169</v>
      </c>
      <c r="L1760" s="444">
        <f t="shared" ca="1" si="132"/>
        <v>-419763023.94713974</v>
      </c>
      <c r="M1760" s="460">
        <f t="shared" si="134"/>
        <v>0.05</v>
      </c>
      <c r="N1760" s="464">
        <f t="shared" si="135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33"/>
        <v>-419763023.94713974</v>
      </c>
      <c r="J1761" s="444">
        <f t="array" ref="J1761">IFERROR(INDEX('Retirement Calculator'!J:J,MATCH('Isaac 401k'!N1761,'Retirement Calculator'!A:A,0),0),0)</f>
        <v>0</v>
      </c>
      <c r="K1761" s="444">
        <f t="shared" ca="1" si="131"/>
        <v>-1749012.5997797491</v>
      </c>
      <c r="L1761" s="444">
        <f t="shared" ca="1" si="132"/>
        <v>-421512036.54691947</v>
      </c>
      <c r="M1761" s="460">
        <f t="shared" si="134"/>
        <v>0.05</v>
      </c>
      <c r="N1761" s="464">
        <f t="shared" si="135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33"/>
        <v>-421512036.54691947</v>
      </c>
      <c r="J1762" s="444">
        <f t="array" ref="J1762">IFERROR(INDEX('Retirement Calculator'!J:J,MATCH('Isaac 401k'!N1762,'Retirement Calculator'!A:A,0),0),0)</f>
        <v>0</v>
      </c>
      <c r="K1762" s="444">
        <f t="shared" ca="1" si="131"/>
        <v>-1756300.1522788312</v>
      </c>
      <c r="L1762" s="444">
        <f t="shared" ca="1" si="132"/>
        <v>-423268336.69919831</v>
      </c>
      <c r="M1762" s="460">
        <f t="shared" si="134"/>
        <v>0.05</v>
      </c>
      <c r="N1762" s="464">
        <f t="shared" si="135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33"/>
        <v>-423268336.69919831</v>
      </c>
      <c r="J1763" s="444">
        <f t="array" ref="J1763">IFERROR(INDEX('Retirement Calculator'!J:J,MATCH('Isaac 401k'!N1763,'Retirement Calculator'!A:A,0),0),0)</f>
        <v>0</v>
      </c>
      <c r="K1763" s="444">
        <f t="shared" ca="1" si="131"/>
        <v>-1763618.0695799929</v>
      </c>
      <c r="L1763" s="444">
        <f t="shared" ca="1" si="132"/>
        <v>-425031954.76877832</v>
      </c>
      <c r="M1763" s="460">
        <f t="shared" si="134"/>
        <v>0.05</v>
      </c>
      <c r="N1763" s="464">
        <f t="shared" si="135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33"/>
        <v>-425031954.76877832</v>
      </c>
      <c r="J1764" s="444">
        <f t="array" ref="J1764">IFERROR(INDEX('Retirement Calculator'!J:J,MATCH('Isaac 401k'!N1764,'Retirement Calculator'!A:A,0),0),0)</f>
        <v>0</v>
      </c>
      <c r="K1764" s="444">
        <f t="shared" ca="1" si="131"/>
        <v>-1770966.4782032429</v>
      </c>
      <c r="L1764" s="444">
        <f t="shared" ca="1" si="132"/>
        <v>-426802921.24698156</v>
      </c>
      <c r="M1764" s="460">
        <f t="shared" si="134"/>
        <v>0.05</v>
      </c>
      <c r="N1764" s="464">
        <f t="shared" si="135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33"/>
        <v>-426802921.24698156</v>
      </c>
      <c r="J1765" s="444">
        <f t="array" ref="J1765">IFERROR(INDEX('Retirement Calculator'!J:J,MATCH('Isaac 401k'!N1765,'Retirement Calculator'!A:A,0),0),0)</f>
        <v>0</v>
      </c>
      <c r="K1765" s="444">
        <f t="shared" ca="1" si="131"/>
        <v>-1778345.5051957564</v>
      </c>
      <c r="L1765" s="444">
        <f t="shared" ca="1" si="132"/>
        <v>-428581266.7521773</v>
      </c>
      <c r="M1765" s="460">
        <f t="shared" si="134"/>
        <v>0.05</v>
      </c>
      <c r="N1765" s="464">
        <f t="shared" si="135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33"/>
        <v>-428581266.7521773</v>
      </c>
      <c r="J1766" s="444">
        <f t="array" ref="J1766">IFERROR(INDEX('Retirement Calculator'!J:J,MATCH('Isaac 401k'!N1766,'Retirement Calculator'!A:A,0),0),0)</f>
        <v>0</v>
      </c>
      <c r="K1766" s="444">
        <f t="shared" ca="1" si="131"/>
        <v>-1785755.278134072</v>
      </c>
      <c r="L1766" s="444">
        <f t="shared" ca="1" si="132"/>
        <v>-430367022.03031135</v>
      </c>
      <c r="M1766" s="460">
        <f t="shared" si="134"/>
        <v>0.05</v>
      </c>
      <c r="N1766" s="464">
        <f t="shared" si="135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33"/>
        <v>-430367022.03031135</v>
      </c>
      <c r="J1767" s="444">
        <f t="array" ref="J1767">IFERROR(INDEX('Retirement Calculator'!J:J,MATCH('Isaac 401k'!N1767,'Retirement Calculator'!A:A,0),0),0)</f>
        <v>0</v>
      </c>
      <c r="K1767" s="444">
        <f t="shared" ca="1" si="131"/>
        <v>-1793195.9251262972</v>
      </c>
      <c r="L1767" s="444">
        <f t="shared" ca="1" si="132"/>
        <v>-432160217.95543766</v>
      </c>
      <c r="M1767" s="460">
        <f t="shared" si="134"/>
        <v>0.05</v>
      </c>
      <c r="N1767" s="464">
        <f t="shared" si="135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33"/>
        <v>-432160217.95543766</v>
      </c>
      <c r="J1768" s="444">
        <f t="array" ref="J1768">IFERROR(INDEX('Retirement Calculator'!J:J,MATCH('Isaac 401k'!N1768,'Retirement Calculator'!A:A,0),0),0)</f>
        <v>0</v>
      </c>
      <c r="K1768" s="444">
        <f t="shared" ca="1" si="131"/>
        <v>-1800667.5748143233</v>
      </c>
      <c r="L1768" s="444">
        <f t="shared" ca="1" si="132"/>
        <v>-433960885.53025198</v>
      </c>
      <c r="M1768" s="460">
        <f t="shared" si="134"/>
        <v>0.05</v>
      </c>
      <c r="N1768" s="464">
        <f t="shared" si="135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33"/>
        <v>-433960885.53025198</v>
      </c>
      <c r="J1769" s="444">
        <f t="array" ref="J1769">IFERROR(INDEX('Retirement Calculator'!J:J,MATCH('Isaac 401k'!N1769,'Retirement Calculator'!A:A,0),0),0)</f>
        <v>0</v>
      </c>
      <c r="K1769" s="444">
        <f t="shared" ca="1" si="131"/>
        <v>-1808170.35637605</v>
      </c>
      <c r="L1769" s="444">
        <f t="shared" ca="1" si="132"/>
        <v>-435769055.88662803</v>
      </c>
      <c r="M1769" s="460">
        <f t="shared" si="134"/>
        <v>0.05</v>
      </c>
      <c r="N1769" s="464">
        <f t="shared" si="135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33"/>
        <v>-435769055.88662803</v>
      </c>
      <c r="J1770" s="444">
        <f t="array" ref="J1770">IFERROR(INDEX('Retirement Calculator'!J:J,MATCH('Isaac 401k'!N1770,'Retirement Calculator'!A:A,0),0),0)</f>
        <v>0</v>
      </c>
      <c r="K1770" s="444">
        <f t="shared" ca="1" si="131"/>
        <v>-1815704.3995276166</v>
      </c>
      <c r="L1770" s="444">
        <f t="shared" ca="1" si="132"/>
        <v>-437584760.28615564</v>
      </c>
      <c r="M1770" s="460">
        <f t="shared" si="134"/>
        <v>0.05</v>
      </c>
      <c r="N1770" s="464">
        <f t="shared" si="135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33"/>
        <v>-437584760.28615564</v>
      </c>
      <c r="J1771" s="444">
        <f t="array" ref="J1771">IFERROR(INDEX('Retirement Calculator'!J:J,MATCH('Isaac 401k'!N1771,'Retirement Calculator'!A:A,0),0),0)</f>
        <v>0</v>
      </c>
      <c r="K1771" s="444">
        <f t="shared" ca="1" si="131"/>
        <v>-1823269.8345256485</v>
      </c>
      <c r="L1771" s="444">
        <f t="shared" ca="1" si="132"/>
        <v>-439408030.12068129</v>
      </c>
      <c r="M1771" s="460">
        <f t="shared" si="134"/>
        <v>0.05</v>
      </c>
      <c r="N1771" s="464">
        <f t="shared" si="135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33"/>
        <v>-439408030.12068129</v>
      </c>
      <c r="J1772" s="444">
        <f t="array" ref="J1772">IFERROR(INDEX('Retirement Calculator'!J:J,MATCH('Isaac 401k'!N1772,'Retirement Calculator'!A:A,0),0),0)</f>
        <v>0</v>
      </c>
      <c r="K1772" s="444">
        <f t="shared" ca="1" si="131"/>
        <v>-1830866.7921695053</v>
      </c>
      <c r="L1772" s="444">
        <f t="shared" ca="1" si="132"/>
        <v>-441238896.9128508</v>
      </c>
      <c r="M1772" s="460">
        <f t="shared" si="134"/>
        <v>0.05</v>
      </c>
      <c r="N1772" s="464">
        <f t="shared" si="135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33"/>
        <v>-441238896.9128508</v>
      </c>
      <c r="J1773" s="444">
        <f t="array" ref="J1773">IFERROR(INDEX('Retirement Calculator'!J:J,MATCH('Isaac 401k'!N1773,'Retirement Calculator'!A:A,0),0),0)</f>
        <v>0</v>
      </c>
      <c r="K1773" s="444">
        <f t="shared" ca="1" si="131"/>
        <v>-1838495.4038035451</v>
      </c>
      <c r="L1773" s="444">
        <f t="shared" ca="1" si="132"/>
        <v>-443077392.31665432</v>
      </c>
      <c r="M1773" s="460">
        <f t="shared" si="134"/>
        <v>0.05</v>
      </c>
      <c r="N1773" s="464">
        <f t="shared" si="135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33"/>
        <v>-443077392.31665432</v>
      </c>
      <c r="J1774" s="444">
        <f t="array" ref="J1774">IFERROR(INDEX('Retirement Calculator'!J:J,MATCH('Isaac 401k'!N1774,'Retirement Calculator'!A:A,0),0),0)</f>
        <v>0</v>
      </c>
      <c r="K1774" s="444">
        <f t="shared" ca="1" si="131"/>
        <v>-1846155.8013193926</v>
      </c>
      <c r="L1774" s="444">
        <f t="shared" ca="1" si="132"/>
        <v>-444923548.11797374</v>
      </c>
      <c r="M1774" s="460">
        <f t="shared" si="134"/>
        <v>0.05</v>
      </c>
      <c r="N1774" s="464">
        <f t="shared" si="135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33"/>
        <v>-444923548.11797374</v>
      </c>
      <c r="J1775" s="444">
        <f t="array" ref="J1775">IFERROR(INDEX('Retirement Calculator'!J:J,MATCH('Isaac 401k'!N1775,'Retirement Calculator'!A:A,0),0),0)</f>
        <v>0</v>
      </c>
      <c r="K1775" s="444">
        <f t="shared" ca="1" si="131"/>
        <v>-1853848.1171582239</v>
      </c>
      <c r="L1775" s="444">
        <f t="shared" ca="1" si="132"/>
        <v>-446777396.23513198</v>
      </c>
      <c r="M1775" s="460">
        <f t="shared" si="134"/>
        <v>0.05</v>
      </c>
      <c r="N1775" s="464">
        <f t="shared" si="135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33"/>
        <v>-446777396.23513198</v>
      </c>
      <c r="J1776" s="444">
        <f t="array" ref="J1776">IFERROR(INDEX('Retirement Calculator'!J:J,MATCH('Isaac 401k'!N1776,'Retirement Calculator'!A:A,0),0),0)</f>
        <v>0</v>
      </c>
      <c r="K1776" s="444">
        <f t="shared" ca="1" si="131"/>
        <v>-1861572.4843130498</v>
      </c>
      <c r="L1776" s="444">
        <f t="shared" ca="1" si="132"/>
        <v>-448638968.71944505</v>
      </c>
      <c r="M1776" s="460">
        <f t="shared" si="134"/>
        <v>0.05</v>
      </c>
      <c r="N1776" s="464">
        <f t="shared" si="135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33"/>
        <v>-448638968.71944505</v>
      </c>
      <c r="J1777" s="444">
        <f t="array" ref="J1777">IFERROR(INDEX('Retirement Calculator'!J:J,MATCH('Isaac 401k'!N1777,'Retirement Calculator'!A:A,0),0),0)</f>
        <v>0</v>
      </c>
      <c r="K1777" s="444">
        <f t="shared" ca="1" si="131"/>
        <v>-1869329.0363310208</v>
      </c>
      <c r="L1777" s="444">
        <f t="shared" ca="1" si="132"/>
        <v>-450508297.75577605</v>
      </c>
      <c r="M1777" s="460">
        <f t="shared" si="134"/>
        <v>0.05</v>
      </c>
      <c r="N1777" s="464">
        <f t="shared" si="135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33"/>
        <v>-450508297.75577605</v>
      </c>
      <c r="J1778" s="444">
        <f t="array" ref="J1778">IFERROR(INDEX('Retirement Calculator'!J:J,MATCH('Isaac 401k'!N1778,'Retirement Calculator'!A:A,0),0),0)</f>
        <v>0</v>
      </c>
      <c r="K1778" s="444">
        <f t="shared" ca="1" si="131"/>
        <v>-1877117.9073157338</v>
      </c>
      <c r="L1778" s="444">
        <f t="shared" ca="1" si="132"/>
        <v>-452385415.66309178</v>
      </c>
      <c r="M1778" s="460">
        <f t="shared" si="134"/>
        <v>0.05</v>
      </c>
      <c r="N1778" s="464">
        <f t="shared" si="135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33"/>
        <v>-452385415.66309178</v>
      </c>
      <c r="J1779" s="444">
        <f t="array" ref="J1779">IFERROR(INDEX('Retirement Calculator'!J:J,MATCH('Isaac 401k'!N1779,'Retirement Calculator'!A:A,0),0),0)</f>
        <v>0</v>
      </c>
      <c r="K1779" s="444">
        <f t="shared" ca="1" si="131"/>
        <v>-1884939.2319295488</v>
      </c>
      <c r="L1779" s="444">
        <f t="shared" ca="1" si="132"/>
        <v>-454270354.89502132</v>
      </c>
      <c r="M1779" s="460">
        <f t="shared" si="134"/>
        <v>0.05</v>
      </c>
      <c r="N1779" s="464">
        <f t="shared" si="135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33"/>
        <v>-454270354.89502132</v>
      </c>
      <c r="J1780" s="444">
        <f t="array" ref="J1780">IFERROR(INDEX('Retirement Calculator'!J:J,MATCH('Isaac 401k'!N1780,'Retirement Calculator'!A:A,0),0),0)</f>
        <v>0</v>
      </c>
      <c r="K1780" s="444">
        <f t="shared" ca="1" si="131"/>
        <v>-1892793.1453959222</v>
      </c>
      <c r="L1780" s="444">
        <f t="shared" ca="1" si="132"/>
        <v>-456163148.04041725</v>
      </c>
      <c r="M1780" s="460">
        <f t="shared" si="134"/>
        <v>0.05</v>
      </c>
      <c r="N1780" s="464">
        <f t="shared" si="135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33"/>
        <v>-456163148.04041725</v>
      </c>
      <c r="J1781" s="444">
        <f t="array" ref="J1781">IFERROR(INDEX('Retirement Calculator'!J:J,MATCH('Isaac 401k'!N1781,'Retirement Calculator'!A:A,0),0),0)</f>
        <v>0</v>
      </c>
      <c r="K1781" s="444">
        <f t="shared" ca="1" si="131"/>
        <v>-1900679.7835017384</v>
      </c>
      <c r="L1781" s="444">
        <f t="shared" ca="1" si="132"/>
        <v>-458063827.823919</v>
      </c>
      <c r="M1781" s="460">
        <f t="shared" si="134"/>
        <v>0.05</v>
      </c>
      <c r="N1781" s="464">
        <f t="shared" si="135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33"/>
        <v>-458063827.823919</v>
      </c>
      <c r="J1782" s="444">
        <f t="array" ref="J1782">IFERROR(INDEX('Retirement Calculator'!J:J,MATCH('Isaac 401k'!N1782,'Retirement Calculator'!A:A,0),0),0)</f>
        <v>0</v>
      </c>
      <c r="K1782" s="444">
        <f t="shared" ca="1" si="131"/>
        <v>-1908599.2825996627</v>
      </c>
      <c r="L1782" s="444">
        <f t="shared" ca="1" si="132"/>
        <v>-459972427.10651869</v>
      </c>
      <c r="M1782" s="460">
        <f t="shared" si="134"/>
        <v>0.05</v>
      </c>
      <c r="N1782" s="464">
        <f t="shared" si="135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33"/>
        <v>-459972427.10651869</v>
      </c>
      <c r="J1783" s="444">
        <f t="array" ref="J1783">IFERROR(INDEX('Retirement Calculator'!J:J,MATCH('Isaac 401k'!N1783,'Retirement Calculator'!A:A,0),0),0)</f>
        <v>0</v>
      </c>
      <c r="K1783" s="444">
        <f t="shared" ca="1" si="131"/>
        <v>-1916551.7796104944</v>
      </c>
      <c r="L1783" s="444">
        <f t="shared" ca="1" si="132"/>
        <v>-461888978.8861292</v>
      </c>
      <c r="M1783" s="460">
        <f t="shared" si="134"/>
        <v>0.05</v>
      </c>
      <c r="N1783" s="464">
        <f t="shared" si="135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33"/>
        <v>-461888978.8861292</v>
      </c>
      <c r="J1784" s="444">
        <f t="array" ref="J1784">IFERROR(INDEX('Retirement Calculator'!J:J,MATCH('Isaac 401k'!N1784,'Retirement Calculator'!A:A,0),0),0)</f>
        <v>0</v>
      </c>
      <c r="K1784" s="444">
        <f t="shared" ca="1" si="131"/>
        <v>-1924537.4120255385</v>
      </c>
      <c r="L1784" s="444">
        <f t="shared" ca="1" si="132"/>
        <v>-463813516.29815471</v>
      </c>
      <c r="M1784" s="460">
        <f t="shared" si="134"/>
        <v>0.05</v>
      </c>
      <c r="N1784" s="464">
        <f t="shared" si="135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33"/>
        <v>-463813516.29815471</v>
      </c>
      <c r="J1785" s="444">
        <f t="array" ref="J1785">IFERROR(INDEX('Retirement Calculator'!J:J,MATCH('Isaac 401k'!N1785,'Retirement Calculator'!A:A,0),0),0)</f>
        <v>0</v>
      </c>
      <c r="K1785" s="444">
        <f t="shared" ca="1" si="131"/>
        <v>-1932556.3179089776</v>
      </c>
      <c r="L1785" s="444">
        <f t="shared" ca="1" si="132"/>
        <v>-465746072.61606371</v>
      </c>
      <c r="M1785" s="460">
        <f t="shared" si="134"/>
        <v>0.05</v>
      </c>
      <c r="N1785" s="464">
        <f t="shared" si="135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33"/>
        <v>-465746072.61606371</v>
      </c>
      <c r="J1786" s="444">
        <f t="array" ref="J1786">IFERROR(INDEX('Retirement Calculator'!J:J,MATCH('Isaac 401k'!N1786,'Retirement Calculator'!A:A,0),0),0)</f>
        <v>0</v>
      </c>
      <c r="K1786" s="444">
        <f t="shared" ca="1" si="131"/>
        <v>-1940608.6359002655</v>
      </c>
      <c r="L1786" s="444">
        <f t="shared" ca="1" si="132"/>
        <v>-467686681.25196397</v>
      </c>
      <c r="M1786" s="460">
        <f t="shared" si="134"/>
        <v>0.05</v>
      </c>
      <c r="N1786" s="464">
        <f t="shared" si="135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33"/>
        <v>-467686681.25196397</v>
      </c>
      <c r="J1787" s="444">
        <f t="array" ref="J1787">IFERROR(INDEX('Retirement Calculator'!J:J,MATCH('Isaac 401k'!N1787,'Retirement Calculator'!A:A,0),0),0)</f>
        <v>0</v>
      </c>
      <c r="K1787" s="444">
        <f t="shared" ca="1" si="131"/>
        <v>-1948694.5052165163</v>
      </c>
      <c r="L1787" s="444">
        <f t="shared" ca="1" si="132"/>
        <v>-469635375.75718051</v>
      </c>
      <c r="M1787" s="460">
        <f t="shared" si="134"/>
        <v>0.05</v>
      </c>
      <c r="N1787" s="464">
        <f t="shared" si="135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33"/>
        <v>-469635375.75718051</v>
      </c>
      <c r="J1788" s="444">
        <f t="array" ref="J1788">IFERROR(INDEX('Retirement Calculator'!J:J,MATCH('Isaac 401k'!N1788,'Retirement Calculator'!A:A,0),0),0)</f>
        <v>0</v>
      </c>
      <c r="K1788" s="444">
        <f t="shared" ca="1" si="131"/>
        <v>-1956814.0656549188</v>
      </c>
      <c r="L1788" s="444">
        <f t="shared" ca="1" si="132"/>
        <v>-471592189.82283545</v>
      </c>
      <c r="M1788" s="460">
        <f t="shared" si="134"/>
        <v>0.05</v>
      </c>
      <c r="N1788" s="464">
        <f t="shared" si="135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33"/>
        <v>-471592189.82283545</v>
      </c>
      <c r="J1789" s="444">
        <f t="array" ref="J1789">IFERROR(INDEX('Retirement Calculator'!J:J,MATCH('Isaac 401k'!N1789,'Retirement Calculator'!A:A,0),0),0)</f>
        <v>0</v>
      </c>
      <c r="K1789" s="444">
        <f t="shared" ca="1" si="131"/>
        <v>-1964967.4575951477</v>
      </c>
      <c r="L1789" s="444">
        <f t="shared" ca="1" si="132"/>
        <v>-473557157.28043061</v>
      </c>
      <c r="M1789" s="460">
        <f t="shared" si="134"/>
        <v>0.05</v>
      </c>
      <c r="N1789" s="464">
        <f t="shared" si="135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33"/>
        <v>-473557157.28043061</v>
      </c>
      <c r="J1790" s="444">
        <f t="array" ref="J1790">IFERROR(INDEX('Retirement Calculator'!J:J,MATCH('Isaac 401k'!N1790,'Retirement Calculator'!A:A,0),0),0)</f>
        <v>0</v>
      </c>
      <c r="K1790" s="444">
        <f t="shared" ca="1" si="131"/>
        <v>-1973154.8220017941</v>
      </c>
      <c r="L1790" s="444">
        <f t="shared" ca="1" si="132"/>
        <v>-475530312.10243243</v>
      </c>
      <c r="M1790" s="460">
        <f t="shared" si="134"/>
        <v>0.05</v>
      </c>
      <c r="N1790" s="464">
        <f t="shared" si="135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33"/>
        <v>-475530312.10243243</v>
      </c>
      <c r="J1791" s="444">
        <f t="array" ref="J1791">IFERROR(INDEX('Retirement Calculator'!J:J,MATCH('Isaac 401k'!N1791,'Retirement Calculator'!A:A,0),0),0)</f>
        <v>0</v>
      </c>
      <c r="K1791" s="444">
        <f t="shared" ca="1" si="131"/>
        <v>-1981376.3004268017</v>
      </c>
      <c r="L1791" s="444">
        <f t="shared" ca="1" si="132"/>
        <v>-477511688.40285921</v>
      </c>
      <c r="M1791" s="460">
        <f t="shared" si="134"/>
        <v>0.05</v>
      </c>
      <c r="N1791" s="464">
        <f t="shared" si="135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33"/>
        <v>-477511688.40285921</v>
      </c>
      <c r="J1792" s="444">
        <f t="array" ref="J1792">IFERROR(INDEX('Retirement Calculator'!J:J,MATCH('Isaac 401k'!N1792,'Retirement Calculator'!A:A,0),0),0)</f>
        <v>0</v>
      </c>
      <c r="K1792" s="444">
        <f t="shared" ca="1" si="131"/>
        <v>-1989632.0350119134</v>
      </c>
      <c r="L1792" s="444">
        <f t="shared" ca="1" si="132"/>
        <v>-479501320.4378711</v>
      </c>
      <c r="M1792" s="460">
        <f t="shared" si="134"/>
        <v>0.05</v>
      </c>
      <c r="N1792" s="464">
        <f t="shared" si="135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33"/>
        <v>-479501320.4378711</v>
      </c>
      <c r="J1793" s="444">
        <f t="array" ref="J1793">IFERROR(INDEX('Retirement Calculator'!J:J,MATCH('Isaac 401k'!N1793,'Retirement Calculator'!A:A,0),0),0)</f>
        <v>0</v>
      </c>
      <c r="K1793" s="444">
        <f t="shared" ref="K1793:K2047" ca="1" si="136">IPMT(M1793/12,1,12,-I1793+J1793,,0)</f>
        <v>-1997922.1684911298</v>
      </c>
      <c r="L1793" s="444">
        <f t="shared" ref="L1793:L2047" ca="1" si="137">I1793-J1793+K1793</f>
        <v>-481499242.60636222</v>
      </c>
      <c r="M1793" s="460">
        <f t="shared" si="134"/>
        <v>0.05</v>
      </c>
      <c r="N1793" s="464">
        <f t="shared" si="135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38">L1793</f>
        <v>-481499242.60636222</v>
      </c>
      <c r="J1794" s="444">
        <f t="array" ref="J1794">IFERROR(INDEX('Retirement Calculator'!J:J,MATCH('Isaac 401k'!N1794,'Retirement Calculator'!A:A,0),0),0)</f>
        <v>0</v>
      </c>
      <c r="K1794" s="444">
        <f t="shared" ca="1" si="136"/>
        <v>-2006246.8441931759</v>
      </c>
      <c r="L1794" s="444">
        <f t="shared" ca="1" si="137"/>
        <v>-483505489.45055538</v>
      </c>
      <c r="M1794" s="460">
        <f t="shared" ref="M1794:M2048" si="139">M1793</f>
        <v>0.05</v>
      </c>
      <c r="N1794" s="464">
        <f t="shared" ref="N1794:N2048" si="140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38"/>
        <v>-483505489.45055538</v>
      </c>
      <c r="J1795" s="444">
        <f t="array" ref="J1795">IFERROR(INDEX('Retirement Calculator'!J:J,MATCH('Isaac 401k'!N1795,'Retirement Calculator'!A:A,0),0),0)</f>
        <v>0</v>
      </c>
      <c r="K1795" s="444">
        <f t="shared" ca="1" si="136"/>
        <v>-2014606.2060439808</v>
      </c>
      <c r="L1795" s="444">
        <f t="shared" ca="1" si="137"/>
        <v>-485520095.65659934</v>
      </c>
      <c r="M1795" s="460">
        <f t="shared" si="139"/>
        <v>0.05</v>
      </c>
      <c r="N1795" s="464">
        <f t="shared" si="140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38"/>
        <v>-485520095.65659934</v>
      </c>
      <c r="J1796" s="444">
        <f t="array" ref="J1796">IFERROR(INDEX('Retirement Calculator'!J:J,MATCH('Isaac 401k'!N1796,'Retirement Calculator'!A:A,0),0),0)</f>
        <v>0</v>
      </c>
      <c r="K1796" s="444">
        <f t="shared" ca="1" si="136"/>
        <v>-2023000.3985691641</v>
      </c>
      <c r="L1796" s="444">
        <f t="shared" ca="1" si="137"/>
        <v>-487543096.05516851</v>
      </c>
      <c r="M1796" s="460">
        <f t="shared" si="139"/>
        <v>0.05</v>
      </c>
      <c r="N1796" s="464">
        <f t="shared" si="140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38"/>
        <v>-487543096.05516851</v>
      </c>
      <c r="J1797" s="444">
        <f t="array" ref="J1797">IFERROR(INDEX('Retirement Calculator'!J:J,MATCH('Isaac 401k'!N1797,'Retirement Calculator'!A:A,0),0),0)</f>
        <v>0</v>
      </c>
      <c r="K1797" s="444">
        <f t="shared" ca="1" si="136"/>
        <v>-2031429.5668965355</v>
      </c>
      <c r="L1797" s="444">
        <f t="shared" ca="1" si="137"/>
        <v>-489574525.62206507</v>
      </c>
      <c r="M1797" s="460">
        <f t="shared" si="139"/>
        <v>0.05</v>
      </c>
      <c r="N1797" s="464">
        <f t="shared" si="140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38"/>
        <v>-489574525.62206507</v>
      </c>
      <c r="J1798" s="444">
        <f t="array" ref="J1798">IFERROR(INDEX('Retirement Calculator'!J:J,MATCH('Isaac 401k'!N1798,'Retirement Calculator'!A:A,0),0),0)</f>
        <v>0</v>
      </c>
      <c r="K1798" s="444">
        <f t="shared" ca="1" si="136"/>
        <v>-2039893.8567586048</v>
      </c>
      <c r="L1798" s="444">
        <f t="shared" ca="1" si="137"/>
        <v>-491614419.47882366</v>
      </c>
      <c r="M1798" s="460">
        <f t="shared" si="139"/>
        <v>0.05</v>
      </c>
      <c r="N1798" s="464">
        <f t="shared" si="140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38"/>
        <v>-491614419.47882366</v>
      </c>
      <c r="J1799" s="444">
        <f t="array" ref="J1799">IFERROR(INDEX('Retirement Calculator'!J:J,MATCH('Isaac 401k'!N1799,'Retirement Calculator'!A:A,0),0),0)</f>
        <v>0</v>
      </c>
      <c r="K1799" s="444">
        <f t="shared" ca="1" si="136"/>
        <v>-2048393.4144950986</v>
      </c>
      <c r="L1799" s="444">
        <f t="shared" ca="1" si="137"/>
        <v>-493662812.89331877</v>
      </c>
      <c r="M1799" s="460">
        <f t="shared" si="139"/>
        <v>0.05</v>
      </c>
      <c r="N1799" s="464">
        <f t="shared" si="140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38"/>
        <v>-493662812.89331877</v>
      </c>
      <c r="J1800" s="444">
        <f t="array" ref="J1800">IFERROR(INDEX('Retirement Calculator'!J:J,MATCH('Isaac 401k'!N1800,'Retirement Calculator'!A:A,0),0),0)</f>
        <v>0</v>
      </c>
      <c r="K1800" s="444">
        <f t="shared" ca="1" si="136"/>
        <v>-2056928.3870554951</v>
      </c>
      <c r="L1800" s="444">
        <f t="shared" ca="1" si="137"/>
        <v>-495719741.28037429</v>
      </c>
      <c r="M1800" s="460">
        <f t="shared" si="139"/>
        <v>0.05</v>
      </c>
      <c r="N1800" s="464">
        <f t="shared" si="140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38"/>
        <v>-495719741.28037429</v>
      </c>
      <c r="J1801" s="444">
        <f t="array" ref="J1801">IFERROR(INDEX('Retirement Calculator'!J:J,MATCH('Isaac 401k'!N1801,'Retirement Calculator'!A:A,0),0),0)</f>
        <v>0</v>
      </c>
      <c r="K1801" s="444">
        <f t="shared" ca="1" si="136"/>
        <v>-2065498.9220015595</v>
      </c>
      <c r="L1801" s="444">
        <f t="shared" ca="1" si="137"/>
        <v>-497785240.20237583</v>
      </c>
      <c r="M1801" s="460">
        <f t="shared" si="139"/>
        <v>0.05</v>
      </c>
      <c r="N1801" s="464">
        <f t="shared" si="140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38"/>
        <v>-497785240.20237583</v>
      </c>
      <c r="J1802" s="444">
        <f t="array" ref="J1802">IFERROR(INDEX('Retirement Calculator'!J:J,MATCH('Isaac 401k'!N1802,'Retirement Calculator'!A:A,0),0),0)</f>
        <v>0</v>
      </c>
      <c r="K1802" s="444">
        <f t="shared" ca="1" si="136"/>
        <v>-2074105.1675098992</v>
      </c>
      <c r="L1802" s="444">
        <f t="shared" ca="1" si="137"/>
        <v>-499859345.36988574</v>
      </c>
      <c r="M1802" s="460">
        <f t="shared" si="139"/>
        <v>0.05</v>
      </c>
      <c r="N1802" s="464">
        <f t="shared" si="140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38"/>
        <v>-499859345.36988574</v>
      </c>
      <c r="J1803" s="444">
        <f t="array" ref="J1803">IFERROR(INDEX('Retirement Calculator'!J:J,MATCH('Isaac 401k'!N1803,'Retirement Calculator'!A:A,0),0),0)</f>
        <v>0</v>
      </c>
      <c r="K1803" s="444">
        <f t="shared" ca="1" si="136"/>
        <v>-2082747.2723745238</v>
      </c>
      <c r="L1803" s="444">
        <f t="shared" ca="1" si="137"/>
        <v>-501942092.64226025</v>
      </c>
      <c r="M1803" s="460">
        <f t="shared" si="139"/>
        <v>0.05</v>
      </c>
      <c r="N1803" s="464">
        <f t="shared" si="140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38"/>
        <v>-501942092.64226025</v>
      </c>
      <c r="J1804" s="444">
        <f t="array" ref="J1804">IFERROR(INDEX('Retirement Calculator'!J:J,MATCH('Isaac 401k'!N1804,'Retirement Calculator'!A:A,0),0),0)</f>
        <v>0</v>
      </c>
      <c r="K1804" s="444">
        <f t="shared" ca="1" si="136"/>
        <v>-2091425.3860094177</v>
      </c>
      <c r="L1804" s="444">
        <f t="shared" ca="1" si="137"/>
        <v>-504033518.02826965</v>
      </c>
      <c r="M1804" s="460">
        <f t="shared" si="139"/>
        <v>0.05</v>
      </c>
      <c r="N1804" s="464">
        <f t="shared" si="140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38"/>
        <v>-504033518.02826965</v>
      </c>
      <c r="J1805" s="444">
        <f t="array" ref="J1805">IFERROR(INDEX('Retirement Calculator'!J:J,MATCH('Isaac 401k'!N1805,'Retirement Calculator'!A:A,0),0),0)</f>
        <v>0</v>
      </c>
      <c r="K1805" s="444">
        <f t="shared" ca="1" si="136"/>
        <v>-2100139.6584511236</v>
      </c>
      <c r="L1805" s="444">
        <f t="shared" ca="1" si="137"/>
        <v>-506133657.68672079</v>
      </c>
      <c r="M1805" s="460">
        <f t="shared" si="139"/>
        <v>0.05</v>
      </c>
      <c r="N1805" s="464">
        <f t="shared" si="140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38"/>
        <v>-506133657.68672079</v>
      </c>
      <c r="J1806" s="444">
        <f t="array" ref="J1806">IFERROR(INDEX('Retirement Calculator'!J:J,MATCH('Isaac 401k'!N1806,'Retirement Calculator'!A:A,0),0),0)</f>
        <v>0</v>
      </c>
      <c r="K1806" s="444">
        <f t="shared" ca="1" si="136"/>
        <v>-2108890.2403613366</v>
      </c>
      <c r="L1806" s="444">
        <f t="shared" ca="1" si="137"/>
        <v>-508242547.92708212</v>
      </c>
      <c r="M1806" s="460">
        <f t="shared" si="139"/>
        <v>0.05</v>
      </c>
      <c r="N1806" s="464">
        <f t="shared" si="140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38"/>
        <v>-508242547.92708212</v>
      </c>
      <c r="J1807" s="444">
        <f t="array" ref="J1807">IFERROR(INDEX('Retirement Calculator'!J:J,MATCH('Isaac 401k'!N1807,'Retirement Calculator'!A:A,0),0),0)</f>
        <v>0</v>
      </c>
      <c r="K1807" s="444">
        <f t="shared" ca="1" si="136"/>
        <v>-2117677.2830295088</v>
      </c>
      <c r="L1807" s="444">
        <f t="shared" ca="1" si="137"/>
        <v>-510360225.21011162</v>
      </c>
      <c r="M1807" s="460">
        <f t="shared" si="139"/>
        <v>0.05</v>
      </c>
      <c r="N1807" s="464">
        <f t="shared" si="140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38"/>
        <v>-510360225.21011162</v>
      </c>
      <c r="J1808" s="444">
        <f t="array" ref="J1808">IFERROR(INDEX('Retirement Calculator'!J:J,MATCH('Isaac 401k'!N1808,'Retirement Calculator'!A:A,0),0),0)</f>
        <v>0</v>
      </c>
      <c r="K1808" s="444">
        <f t="shared" ca="1" si="136"/>
        <v>-2126500.9383754651</v>
      </c>
      <c r="L1808" s="444">
        <f t="shared" ca="1" si="137"/>
        <v>-512486726.14848709</v>
      </c>
      <c r="M1808" s="460">
        <f t="shared" si="139"/>
        <v>0.05</v>
      </c>
      <c r="N1808" s="464">
        <f t="shared" si="140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38"/>
        <v>-512486726.14848709</v>
      </c>
      <c r="J1809" s="444">
        <f t="array" ref="J1809">IFERROR(INDEX('Retirement Calculator'!J:J,MATCH('Isaac 401k'!N1809,'Retirement Calculator'!A:A,0),0),0)</f>
        <v>0</v>
      </c>
      <c r="K1809" s="444">
        <f t="shared" ca="1" si="136"/>
        <v>-2135361.3589520296</v>
      </c>
      <c r="L1809" s="444">
        <f t="shared" ca="1" si="137"/>
        <v>-514622087.50743914</v>
      </c>
      <c r="M1809" s="460">
        <f t="shared" si="139"/>
        <v>0.05</v>
      </c>
      <c r="N1809" s="464">
        <f t="shared" si="140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38"/>
        <v>-514622087.50743914</v>
      </c>
      <c r="J1810" s="444">
        <f t="array" ref="J1810">IFERROR(INDEX('Retirement Calculator'!J:J,MATCH('Isaac 401k'!N1810,'Retirement Calculator'!A:A,0),0),0)</f>
        <v>0</v>
      </c>
      <c r="K1810" s="444">
        <f t="shared" ca="1" si="136"/>
        <v>-2144258.6979476633</v>
      </c>
      <c r="L1810" s="444">
        <f t="shared" ca="1" si="137"/>
        <v>-516766346.20538682</v>
      </c>
      <c r="M1810" s="460">
        <f t="shared" si="139"/>
        <v>0.05</v>
      </c>
      <c r="N1810" s="464">
        <f t="shared" si="140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38"/>
        <v>-516766346.20538682</v>
      </c>
      <c r="J1811" s="444">
        <f t="array" ref="J1811">IFERROR(INDEX('Retirement Calculator'!J:J,MATCH('Isaac 401k'!N1811,'Retirement Calculator'!A:A,0),0),0)</f>
        <v>0</v>
      </c>
      <c r="K1811" s="444">
        <f t="shared" ca="1" si="136"/>
        <v>-2153193.1091891117</v>
      </c>
      <c r="L1811" s="444">
        <f t="shared" ca="1" si="137"/>
        <v>-518919539.31457591</v>
      </c>
      <c r="M1811" s="460">
        <f t="shared" si="139"/>
        <v>0.05</v>
      </c>
      <c r="N1811" s="464">
        <f t="shared" si="140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38"/>
        <v>-518919539.31457591</v>
      </c>
      <c r="J1812" s="444">
        <f t="array" ref="J1812">IFERROR(INDEX('Retirement Calculator'!J:J,MATCH('Isaac 401k'!N1812,'Retirement Calculator'!A:A,0),0),0)</f>
        <v>0</v>
      </c>
      <c r="K1812" s="444">
        <f t="shared" ca="1" si="136"/>
        <v>-2162164.7471440663</v>
      </c>
      <c r="L1812" s="444">
        <f t="shared" ca="1" si="137"/>
        <v>-521081704.06171995</v>
      </c>
      <c r="M1812" s="460">
        <f t="shared" si="139"/>
        <v>0.05</v>
      </c>
      <c r="N1812" s="464">
        <f t="shared" si="140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38"/>
        <v>-521081704.06171995</v>
      </c>
      <c r="J1813" s="444">
        <f t="array" ref="J1813">IFERROR(INDEX('Retirement Calculator'!J:J,MATCH('Isaac 401k'!N1813,'Retirement Calculator'!A:A,0),0),0)</f>
        <v>0</v>
      </c>
      <c r="K1813" s="444">
        <f t="shared" ca="1" si="136"/>
        <v>-2171173.7669238327</v>
      </c>
      <c r="L1813" s="444">
        <f t="shared" ca="1" si="137"/>
        <v>-523252877.8286438</v>
      </c>
      <c r="M1813" s="460">
        <f t="shared" si="139"/>
        <v>0.05</v>
      </c>
      <c r="N1813" s="464">
        <f t="shared" si="140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38"/>
        <v>-523252877.8286438</v>
      </c>
      <c r="J1814" s="444">
        <f t="array" ref="J1814">IFERROR(INDEX('Retirement Calculator'!J:J,MATCH('Isaac 401k'!N1814,'Retirement Calculator'!A:A,0),0),0)</f>
        <v>0</v>
      </c>
      <c r="K1814" s="444">
        <f t="shared" ca="1" si="136"/>
        <v>-2180220.3242860157</v>
      </c>
      <c r="L1814" s="444">
        <f t="shared" ca="1" si="137"/>
        <v>-525433098.15292984</v>
      </c>
      <c r="M1814" s="460">
        <f t="shared" si="139"/>
        <v>0.05</v>
      </c>
      <c r="N1814" s="464">
        <f t="shared" si="140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38"/>
        <v>-525433098.15292984</v>
      </c>
      <c r="J1815" s="444">
        <f t="array" ref="J1815">IFERROR(INDEX('Retirement Calculator'!J:J,MATCH('Isaac 401k'!N1815,'Retirement Calculator'!A:A,0),0),0)</f>
        <v>0</v>
      </c>
      <c r="K1815" s="444">
        <f t="shared" ca="1" si="136"/>
        <v>-2189304.5756372074</v>
      </c>
      <c r="L1815" s="444">
        <f t="shared" ca="1" si="137"/>
        <v>-527622402.72856706</v>
      </c>
      <c r="M1815" s="460">
        <f t="shared" si="139"/>
        <v>0.05</v>
      </c>
      <c r="N1815" s="464">
        <f t="shared" si="140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38"/>
        <v>-527622402.72856706</v>
      </c>
      <c r="J1816" s="444">
        <f t="array" ref="J1816">IFERROR(INDEX('Retirement Calculator'!J:J,MATCH('Isaac 401k'!N1816,'Retirement Calculator'!A:A,0),0),0)</f>
        <v>0</v>
      </c>
      <c r="K1816" s="444">
        <f t="shared" ca="1" si="136"/>
        <v>-2198426.678035696</v>
      </c>
      <c r="L1816" s="444">
        <f t="shared" ca="1" si="137"/>
        <v>-529820829.40660274</v>
      </c>
      <c r="M1816" s="460">
        <f t="shared" si="139"/>
        <v>0.05</v>
      </c>
      <c r="N1816" s="464">
        <f t="shared" si="140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38"/>
        <v>-529820829.40660274</v>
      </c>
      <c r="J1817" s="444">
        <f t="array" ref="J1817">IFERROR(INDEX('Retirement Calculator'!J:J,MATCH('Isaac 401k'!N1817,'Retirement Calculator'!A:A,0),0),0)</f>
        <v>0</v>
      </c>
      <c r="K1817" s="444">
        <f t="shared" ca="1" si="136"/>
        <v>-2207586.7891941778</v>
      </c>
      <c r="L1817" s="444">
        <f t="shared" ca="1" si="137"/>
        <v>-532028416.19579691</v>
      </c>
      <c r="M1817" s="460">
        <f t="shared" si="139"/>
        <v>0.05</v>
      </c>
      <c r="N1817" s="464">
        <f t="shared" si="140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38"/>
        <v>-532028416.19579691</v>
      </c>
      <c r="J1818" s="444">
        <f t="array" ref="J1818">IFERROR(INDEX('Retirement Calculator'!J:J,MATCH('Isaac 401k'!N1818,'Retirement Calculator'!A:A,0),0),0)</f>
        <v>0</v>
      </c>
      <c r="K1818" s="444">
        <f t="shared" ca="1" si="136"/>
        <v>-2216785.0674824873</v>
      </c>
      <c r="L1818" s="444">
        <f t="shared" ca="1" si="137"/>
        <v>-534245201.26327938</v>
      </c>
      <c r="M1818" s="460">
        <f t="shared" si="139"/>
        <v>0.05</v>
      </c>
      <c r="N1818" s="464">
        <f t="shared" si="140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38"/>
        <v>-534245201.26327938</v>
      </c>
      <c r="J1819" s="444">
        <f t="array" ref="J1819">IFERROR(INDEX('Retirement Calculator'!J:J,MATCH('Isaac 401k'!N1819,'Retirement Calculator'!A:A,0),0),0)</f>
        <v>0</v>
      </c>
      <c r="K1819" s="444">
        <f t="shared" ca="1" si="136"/>
        <v>-2226021.6719303303</v>
      </c>
      <c r="L1819" s="444">
        <f t="shared" ca="1" si="137"/>
        <v>-536471222.93520969</v>
      </c>
      <c r="M1819" s="460">
        <f t="shared" si="139"/>
        <v>0.05</v>
      </c>
      <c r="N1819" s="464">
        <f t="shared" si="140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38"/>
        <v>-536471222.93520969</v>
      </c>
      <c r="J1820" s="444">
        <f t="array" ref="J1820">IFERROR(INDEX('Retirement Calculator'!J:J,MATCH('Isaac 401k'!N1820,'Retirement Calculator'!A:A,0),0),0)</f>
        <v>0</v>
      </c>
      <c r="K1820" s="444">
        <f t="shared" ca="1" si="136"/>
        <v>-2235296.7622300405</v>
      </c>
      <c r="L1820" s="444">
        <f t="shared" ca="1" si="137"/>
        <v>-538706519.69743979</v>
      </c>
      <c r="M1820" s="460">
        <f t="shared" si="139"/>
        <v>0.05</v>
      </c>
      <c r="N1820" s="464">
        <f t="shared" si="140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38"/>
        <v>-538706519.69743979</v>
      </c>
      <c r="J1821" s="444">
        <f t="array" ref="J1821">IFERROR(INDEX('Retirement Calculator'!J:J,MATCH('Isaac 401k'!N1821,'Retirement Calculator'!A:A,0),0),0)</f>
        <v>0</v>
      </c>
      <c r="K1821" s="444">
        <f t="shared" ca="1" si="136"/>
        <v>-2244610.4987393324</v>
      </c>
      <c r="L1821" s="444">
        <f t="shared" ca="1" si="137"/>
        <v>-540951130.19617915</v>
      </c>
      <c r="M1821" s="460">
        <f t="shared" si="139"/>
        <v>0.05</v>
      </c>
      <c r="N1821" s="464">
        <f t="shared" si="140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38"/>
        <v>-540951130.19617915</v>
      </c>
      <c r="J1822" s="444">
        <f t="array" ref="J1822">IFERROR(INDEX('Retirement Calculator'!J:J,MATCH('Isaac 401k'!N1822,'Retirement Calculator'!A:A,0),0),0)</f>
        <v>0</v>
      </c>
      <c r="K1822" s="444">
        <f t="shared" ca="1" si="136"/>
        <v>-2253963.04248408</v>
      </c>
      <c r="L1822" s="444">
        <f t="shared" ca="1" si="137"/>
        <v>-543205093.2386632</v>
      </c>
      <c r="M1822" s="460">
        <f t="shared" si="139"/>
        <v>0.05</v>
      </c>
      <c r="N1822" s="464">
        <f t="shared" si="140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38"/>
        <v>-543205093.2386632</v>
      </c>
      <c r="J1823" s="444">
        <f t="array" ref="J1823">IFERROR(INDEX('Retirement Calculator'!J:J,MATCH('Isaac 401k'!N1823,'Retirement Calculator'!A:A,0),0),0)</f>
        <v>0</v>
      </c>
      <c r="K1823" s="444">
        <f t="shared" ca="1" si="136"/>
        <v>-2263354.5551610966</v>
      </c>
      <c r="L1823" s="444">
        <f t="shared" ca="1" si="137"/>
        <v>-545468447.79382432</v>
      </c>
      <c r="M1823" s="460">
        <f t="shared" si="139"/>
        <v>0.05</v>
      </c>
      <c r="N1823" s="464">
        <f t="shared" si="140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38"/>
        <v>-545468447.79382432</v>
      </c>
      <c r="J1824" s="444">
        <f t="array" ref="J1824">IFERROR(INDEX('Retirement Calculator'!J:J,MATCH('Isaac 401k'!N1824,'Retirement Calculator'!A:A,0),0),0)</f>
        <v>0</v>
      </c>
      <c r="K1824" s="444">
        <f t="shared" ca="1" si="136"/>
        <v>-2272785.1991409347</v>
      </c>
      <c r="L1824" s="444">
        <f t="shared" ca="1" si="137"/>
        <v>-547741232.99296522</v>
      </c>
      <c r="M1824" s="460">
        <f t="shared" si="139"/>
        <v>0.05</v>
      </c>
      <c r="N1824" s="464">
        <f t="shared" si="140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38"/>
        <v>-547741232.99296522</v>
      </c>
      <c r="J1825" s="444">
        <f t="array" ref="J1825">IFERROR(INDEX('Retirement Calculator'!J:J,MATCH('Isaac 401k'!N1825,'Retirement Calculator'!A:A,0),0),0)</f>
        <v>0</v>
      </c>
      <c r="K1825" s="444">
        <f t="shared" ca="1" si="136"/>
        <v>-2282255.1374706882</v>
      </c>
      <c r="L1825" s="444">
        <f t="shared" ca="1" si="137"/>
        <v>-550023488.13043594</v>
      </c>
      <c r="M1825" s="460">
        <f t="shared" si="139"/>
        <v>0.05</v>
      </c>
      <c r="N1825" s="464">
        <f t="shared" si="140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38"/>
        <v>-550023488.13043594</v>
      </c>
      <c r="J1826" s="444">
        <f t="array" ref="J1826">IFERROR(INDEX('Retirement Calculator'!J:J,MATCH('Isaac 401k'!N1826,'Retirement Calculator'!A:A,0),0),0)</f>
        <v>0</v>
      </c>
      <c r="K1826" s="444">
        <f t="shared" ca="1" si="136"/>
        <v>-2291764.5338768163</v>
      </c>
      <c r="L1826" s="444">
        <f t="shared" ca="1" si="137"/>
        <v>-552315252.66431272</v>
      </c>
      <c r="M1826" s="460">
        <f t="shared" si="139"/>
        <v>0.05</v>
      </c>
      <c r="N1826" s="464">
        <f t="shared" si="140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38"/>
        <v>-552315252.66431272</v>
      </c>
      <c r="J1827" s="444">
        <f t="array" ref="J1827">IFERROR(INDEX('Retirement Calculator'!J:J,MATCH('Isaac 401k'!N1827,'Retirement Calculator'!A:A,0),0),0)</f>
        <v>0</v>
      </c>
      <c r="K1827" s="444">
        <f t="shared" ca="1" si="136"/>
        <v>-2301313.5527679697</v>
      </c>
      <c r="L1827" s="444">
        <f t="shared" ca="1" si="137"/>
        <v>-554616566.21708071</v>
      </c>
      <c r="M1827" s="460">
        <f t="shared" si="139"/>
        <v>0.05</v>
      </c>
      <c r="N1827" s="464">
        <f t="shared" si="140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38"/>
        <v>-554616566.21708071</v>
      </c>
      <c r="J1828" s="444">
        <f t="array" ref="J1828">IFERROR(INDEX('Retirement Calculator'!J:J,MATCH('Isaac 401k'!N1828,'Retirement Calculator'!A:A,0),0),0)</f>
        <v>0</v>
      </c>
      <c r="K1828" s="444">
        <f t="shared" ca="1" si="136"/>
        <v>-2310902.3592378362</v>
      </c>
      <c r="L1828" s="444">
        <f t="shared" ca="1" si="137"/>
        <v>-556927468.5763185</v>
      </c>
      <c r="M1828" s="460">
        <f t="shared" si="139"/>
        <v>0.05</v>
      </c>
      <c r="N1828" s="464">
        <f t="shared" si="140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38"/>
        <v>-556927468.5763185</v>
      </c>
      <c r="J1829" s="444">
        <f t="array" ref="J1829">IFERROR(INDEX('Retirement Calculator'!J:J,MATCH('Isaac 401k'!N1829,'Retirement Calculator'!A:A,0),0),0)</f>
        <v>0</v>
      </c>
      <c r="K1829" s="444">
        <f t="shared" ca="1" si="136"/>
        <v>-2320531.1190679939</v>
      </c>
      <c r="L1829" s="444">
        <f t="shared" ca="1" si="137"/>
        <v>-559247999.69538653</v>
      </c>
      <c r="M1829" s="460">
        <f t="shared" si="139"/>
        <v>0.05</v>
      </c>
      <c r="N1829" s="464">
        <f t="shared" si="140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38"/>
        <v>-559247999.69538653</v>
      </c>
      <c r="J1830" s="444">
        <f t="array" ref="J1830">IFERROR(INDEX('Retirement Calculator'!J:J,MATCH('Isaac 401k'!N1830,'Retirement Calculator'!A:A,0),0),0)</f>
        <v>0</v>
      </c>
      <c r="K1830" s="444">
        <f t="shared" ca="1" si="136"/>
        <v>-2330199.9987307773</v>
      </c>
      <c r="L1830" s="444">
        <f t="shared" ca="1" si="137"/>
        <v>-561578199.69411731</v>
      </c>
      <c r="M1830" s="460">
        <f t="shared" si="139"/>
        <v>0.05</v>
      </c>
      <c r="N1830" s="464">
        <f t="shared" si="140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38"/>
        <v>-561578199.69411731</v>
      </c>
      <c r="J1831" s="444">
        <f t="array" ref="J1831">IFERROR(INDEX('Retirement Calculator'!J:J,MATCH('Isaac 401k'!N1831,'Retirement Calculator'!A:A,0),0),0)</f>
        <v>0</v>
      </c>
      <c r="K1831" s="444">
        <f t="shared" ca="1" si="136"/>
        <v>-2339909.1653921553</v>
      </c>
      <c r="L1831" s="444">
        <f t="shared" ca="1" si="137"/>
        <v>-563918108.85950947</v>
      </c>
      <c r="M1831" s="460">
        <f t="shared" si="139"/>
        <v>0.05</v>
      </c>
      <c r="N1831" s="464">
        <f t="shared" si="140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38"/>
        <v>-563918108.85950947</v>
      </c>
      <c r="J1832" s="444">
        <f t="array" ref="J1832">IFERROR(INDEX('Retirement Calculator'!J:J,MATCH('Isaac 401k'!N1832,'Retirement Calculator'!A:A,0),0),0)</f>
        <v>0</v>
      </c>
      <c r="K1832" s="444">
        <f t="shared" ca="1" si="136"/>
        <v>-2349658.7869146229</v>
      </c>
      <c r="L1832" s="444">
        <f t="shared" ca="1" si="137"/>
        <v>-566267767.64642406</v>
      </c>
      <c r="M1832" s="460">
        <f t="shared" si="139"/>
        <v>0.05</v>
      </c>
      <c r="N1832" s="464">
        <f t="shared" si="140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38"/>
        <v>-566267767.64642406</v>
      </c>
      <c r="J1833" s="444">
        <f t="array" ref="J1833">IFERROR(INDEX('Retirement Calculator'!J:J,MATCH('Isaac 401k'!N1833,'Retirement Calculator'!A:A,0),0),0)</f>
        <v>0</v>
      </c>
      <c r="K1833" s="444">
        <f t="shared" ca="1" si="136"/>
        <v>-2359449.0318601001</v>
      </c>
      <c r="L1833" s="444">
        <f t="shared" ca="1" si="137"/>
        <v>-568627216.67828417</v>
      </c>
      <c r="M1833" s="460">
        <f t="shared" si="139"/>
        <v>0.05</v>
      </c>
      <c r="N1833" s="464">
        <f t="shared" si="140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38"/>
        <v>-568627216.67828417</v>
      </c>
      <c r="J1834" s="444">
        <f t="array" ref="J1834">IFERROR(INDEX('Retirement Calculator'!J:J,MATCH('Isaac 401k'!N1834,'Retirement Calculator'!A:A,0),0),0)</f>
        <v>0</v>
      </c>
      <c r="K1834" s="444">
        <f t="shared" ca="1" si="136"/>
        <v>-2369280.0694928505</v>
      </c>
      <c r="L1834" s="444">
        <f t="shared" ca="1" si="137"/>
        <v>-570996496.74777699</v>
      </c>
      <c r="M1834" s="460">
        <f t="shared" si="139"/>
        <v>0.05</v>
      </c>
      <c r="N1834" s="464">
        <f t="shared" si="140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38"/>
        <v>-570996496.74777699</v>
      </c>
      <c r="J1835" s="444">
        <f t="array" ref="J1835">IFERROR(INDEX('Retirement Calculator'!J:J,MATCH('Isaac 401k'!N1835,'Retirement Calculator'!A:A,0),0),0)</f>
        <v>0</v>
      </c>
      <c r="K1835" s="444">
        <f t="shared" ca="1" si="136"/>
        <v>-2379152.0697824042</v>
      </c>
      <c r="L1835" s="444">
        <f t="shared" ca="1" si="137"/>
        <v>-573375648.81755936</v>
      </c>
      <c r="M1835" s="460">
        <f t="shared" si="139"/>
        <v>0.05</v>
      </c>
      <c r="N1835" s="464">
        <f t="shared" si="140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38"/>
        <v>-573375648.81755936</v>
      </c>
      <c r="J1836" s="444">
        <f t="array" ref="J1836">IFERROR(INDEX('Retirement Calculator'!J:J,MATCH('Isaac 401k'!N1836,'Retirement Calculator'!A:A,0),0),0)</f>
        <v>0</v>
      </c>
      <c r="K1836" s="444">
        <f t="shared" ca="1" si="136"/>
        <v>-2389065.2034064974</v>
      </c>
      <c r="L1836" s="444">
        <f t="shared" ca="1" si="137"/>
        <v>-575764714.02096581</v>
      </c>
      <c r="M1836" s="460">
        <f t="shared" si="139"/>
        <v>0.05</v>
      </c>
      <c r="N1836" s="464">
        <f t="shared" si="140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38"/>
        <v>-575764714.02096581</v>
      </c>
      <c r="J1837" s="444">
        <f t="array" ref="J1837">IFERROR(INDEX('Retirement Calculator'!J:J,MATCH('Isaac 401k'!N1837,'Retirement Calculator'!A:A,0),0),0)</f>
        <v>0</v>
      </c>
      <c r="K1837" s="444">
        <f t="shared" ca="1" si="136"/>
        <v>-2399019.6417540242</v>
      </c>
      <c r="L1837" s="444">
        <f t="shared" ca="1" si="137"/>
        <v>-578163733.66271985</v>
      </c>
      <c r="M1837" s="460">
        <f t="shared" si="139"/>
        <v>0.05</v>
      </c>
      <c r="N1837" s="464">
        <f t="shared" si="140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38"/>
        <v>-578163733.66271985</v>
      </c>
      <c r="J1838" s="444">
        <f t="array" ref="J1838">IFERROR(INDEX('Retirement Calculator'!J:J,MATCH('Isaac 401k'!N1838,'Retirement Calculator'!A:A,0),0),0)</f>
        <v>0</v>
      </c>
      <c r="K1838" s="444">
        <f t="shared" ca="1" si="136"/>
        <v>-2409015.5569279995</v>
      </c>
      <c r="L1838" s="444">
        <f t="shared" ca="1" si="137"/>
        <v>-580572749.21964788</v>
      </c>
      <c r="M1838" s="460">
        <f t="shared" si="139"/>
        <v>0.05</v>
      </c>
      <c r="N1838" s="464">
        <f t="shared" si="140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38"/>
        <v>-580572749.21964788</v>
      </c>
      <c r="J1839" s="444">
        <f t="array" ref="J1839">IFERROR(INDEX('Retirement Calculator'!J:J,MATCH('Isaac 401k'!N1839,'Retirement Calculator'!A:A,0),0),0)</f>
        <v>0</v>
      </c>
      <c r="K1839" s="444">
        <f t="shared" ca="1" si="136"/>
        <v>-2419053.1217485326</v>
      </c>
      <c r="L1839" s="444">
        <f t="shared" ca="1" si="137"/>
        <v>-582991802.34139645</v>
      </c>
      <c r="M1839" s="460">
        <f t="shared" si="139"/>
        <v>0.05</v>
      </c>
      <c r="N1839" s="464">
        <f t="shared" si="140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38"/>
        <v>-582991802.34139645</v>
      </c>
      <c r="J1840" s="444">
        <f t="array" ref="J1840">IFERROR(INDEX('Retirement Calculator'!J:J,MATCH('Isaac 401k'!N1840,'Retirement Calculator'!A:A,0),0),0)</f>
        <v>0</v>
      </c>
      <c r="K1840" s="444">
        <f t="shared" ca="1" si="136"/>
        <v>-2429132.5097558186</v>
      </c>
      <c r="L1840" s="444">
        <f t="shared" ca="1" si="137"/>
        <v>-585420934.8511523</v>
      </c>
      <c r="M1840" s="460">
        <f t="shared" si="139"/>
        <v>0.05</v>
      </c>
      <c r="N1840" s="464">
        <f t="shared" si="140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38"/>
        <v>-585420934.8511523</v>
      </c>
      <c r="J1841" s="444">
        <f t="array" ref="J1841">IFERROR(INDEX('Retirement Calculator'!J:J,MATCH('Isaac 401k'!N1841,'Retirement Calculator'!A:A,0),0),0)</f>
        <v>0</v>
      </c>
      <c r="K1841" s="444">
        <f t="shared" ca="1" si="136"/>
        <v>-2439253.8952131346</v>
      </c>
      <c r="L1841" s="444">
        <f t="shared" ca="1" si="137"/>
        <v>-587860188.74636543</v>
      </c>
      <c r="M1841" s="460">
        <f t="shared" si="139"/>
        <v>0.05</v>
      </c>
      <c r="N1841" s="464">
        <f t="shared" si="140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38"/>
        <v>-587860188.74636543</v>
      </c>
      <c r="J1842" s="444">
        <f t="array" ref="J1842">IFERROR(INDEX('Retirement Calculator'!J:J,MATCH('Isaac 401k'!N1842,'Retirement Calculator'!A:A,0),0),0)</f>
        <v>0</v>
      </c>
      <c r="K1842" s="444">
        <f t="shared" ca="1" si="136"/>
        <v>-2449417.4531098558</v>
      </c>
      <c r="L1842" s="444">
        <f t="shared" ca="1" si="137"/>
        <v>-590309606.19947529</v>
      </c>
      <c r="M1842" s="460">
        <f t="shared" si="139"/>
        <v>0.05</v>
      </c>
      <c r="N1842" s="464">
        <f t="shared" si="140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38"/>
        <v>-590309606.19947529</v>
      </c>
      <c r="J1843" s="444">
        <f t="array" ref="J1843">IFERROR(INDEX('Retirement Calculator'!J:J,MATCH('Isaac 401k'!N1843,'Retirement Calculator'!A:A,0),0),0)</f>
        <v>0</v>
      </c>
      <c r="K1843" s="444">
        <f t="shared" ca="1" si="136"/>
        <v>-2459623.3591644801</v>
      </c>
      <c r="L1843" s="444">
        <f t="shared" ca="1" si="137"/>
        <v>-592769229.55863976</v>
      </c>
      <c r="M1843" s="460">
        <f t="shared" si="139"/>
        <v>0.05</v>
      </c>
      <c r="N1843" s="464">
        <f t="shared" si="140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38"/>
        <v>-592769229.55863976</v>
      </c>
      <c r="J1844" s="444">
        <f t="array" ref="J1844">IFERROR(INDEX('Retirement Calculator'!J:J,MATCH('Isaac 401k'!N1844,'Retirement Calculator'!A:A,0),0),0)</f>
        <v>0</v>
      </c>
      <c r="K1844" s="444">
        <f t="shared" ca="1" si="136"/>
        <v>-2469871.7898276658</v>
      </c>
      <c r="L1844" s="444">
        <f t="shared" ca="1" si="137"/>
        <v>-595239101.34846747</v>
      </c>
      <c r="M1844" s="460">
        <f t="shared" si="139"/>
        <v>0.05</v>
      </c>
      <c r="N1844" s="464">
        <f t="shared" si="140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38"/>
        <v>-595239101.34846747</v>
      </c>
      <c r="J1845" s="444">
        <f t="array" ref="J1845">IFERROR(INDEX('Retirement Calculator'!J:J,MATCH('Isaac 401k'!N1845,'Retirement Calculator'!A:A,0),0),0)</f>
        <v>0</v>
      </c>
      <c r="K1845" s="444">
        <f t="shared" ca="1" si="136"/>
        <v>-2480162.9222852811</v>
      </c>
      <c r="L1845" s="444">
        <f t="shared" ca="1" si="137"/>
        <v>-597719264.27075279</v>
      </c>
      <c r="M1845" s="460">
        <f t="shared" si="139"/>
        <v>0.05</v>
      </c>
      <c r="N1845" s="464">
        <f t="shared" si="140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38"/>
        <v>-597719264.27075279</v>
      </c>
      <c r="J1846" s="444">
        <f t="array" ref="J1846">IFERROR(INDEX('Retirement Calculator'!J:J,MATCH('Isaac 401k'!N1846,'Retirement Calculator'!A:A,0),0),0)</f>
        <v>0</v>
      </c>
      <c r="K1846" s="444">
        <f t="shared" ca="1" si="136"/>
        <v>-2490496.9344614698</v>
      </c>
      <c r="L1846" s="444">
        <f t="shared" ca="1" si="137"/>
        <v>-600209761.20521426</v>
      </c>
      <c r="M1846" s="460">
        <f t="shared" si="139"/>
        <v>0.05</v>
      </c>
      <c r="N1846" s="464">
        <f t="shared" si="140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38"/>
        <v>-600209761.20521426</v>
      </c>
      <c r="J1847" s="444">
        <f t="array" ref="J1847">IFERROR(INDEX('Retirement Calculator'!J:J,MATCH('Isaac 401k'!N1847,'Retirement Calculator'!A:A,0),0),0)</f>
        <v>0</v>
      </c>
      <c r="K1847" s="444">
        <f t="shared" ca="1" si="136"/>
        <v>-2500874.0050217262</v>
      </c>
      <c r="L1847" s="444">
        <f t="shared" ca="1" si="137"/>
        <v>-602710635.21023595</v>
      </c>
      <c r="M1847" s="460">
        <f t="shared" si="139"/>
        <v>0.05</v>
      </c>
      <c r="N1847" s="464">
        <f t="shared" si="140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38"/>
        <v>-602710635.21023595</v>
      </c>
      <c r="J1848" s="444">
        <f t="array" ref="J1848">IFERROR(INDEX('Retirement Calculator'!J:J,MATCH('Isaac 401k'!N1848,'Retirement Calculator'!A:A,0),0),0)</f>
        <v>0</v>
      </c>
      <c r="K1848" s="444">
        <f t="shared" ca="1" si="136"/>
        <v>-2511294.3133759829</v>
      </c>
      <c r="L1848" s="444">
        <f t="shared" ca="1" si="137"/>
        <v>-605221929.5236119</v>
      </c>
      <c r="M1848" s="460">
        <f t="shared" si="139"/>
        <v>0.05</v>
      </c>
      <c r="N1848" s="464">
        <f t="shared" si="140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38"/>
        <v>-605221929.5236119</v>
      </c>
      <c r="J1849" s="444">
        <f t="array" ref="J1849">IFERROR(INDEX('Retirement Calculator'!J:J,MATCH('Isaac 401k'!N1849,'Retirement Calculator'!A:A,0),0),0)</f>
        <v>0</v>
      </c>
      <c r="K1849" s="444">
        <f t="shared" ca="1" si="136"/>
        <v>-2521758.0396817164</v>
      </c>
      <c r="L1849" s="444">
        <f t="shared" ca="1" si="137"/>
        <v>-607743687.56329358</v>
      </c>
      <c r="M1849" s="460">
        <f t="shared" si="139"/>
        <v>0.05</v>
      </c>
      <c r="N1849" s="464">
        <f t="shared" si="140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38"/>
        <v>-607743687.56329358</v>
      </c>
      <c r="J1850" s="444">
        <f t="array" ref="J1850">IFERROR(INDEX('Retirement Calculator'!J:J,MATCH('Isaac 401k'!N1850,'Retirement Calculator'!A:A,0),0),0)</f>
        <v>0</v>
      </c>
      <c r="K1850" s="444">
        <f t="shared" ca="1" si="136"/>
        <v>-2532265.3648470566</v>
      </c>
      <c r="L1850" s="444">
        <f t="shared" ca="1" si="137"/>
        <v>-610275952.92814064</v>
      </c>
      <c r="M1850" s="460">
        <f t="shared" si="139"/>
        <v>0.05</v>
      </c>
      <c r="N1850" s="464">
        <f t="shared" si="140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38"/>
        <v>-610275952.92814064</v>
      </c>
      <c r="J1851" s="444">
        <f t="array" ref="J1851">IFERROR(INDEX('Retirement Calculator'!J:J,MATCH('Isaac 401k'!N1851,'Retirement Calculator'!A:A,0),0),0)</f>
        <v>0</v>
      </c>
      <c r="K1851" s="444">
        <f t="shared" ca="1" si="136"/>
        <v>-2542816.4705339195</v>
      </c>
      <c r="L1851" s="444">
        <f t="shared" ca="1" si="137"/>
        <v>-612818769.39867461</v>
      </c>
      <c r="M1851" s="460">
        <f t="shared" si="139"/>
        <v>0.05</v>
      </c>
      <c r="N1851" s="464">
        <f t="shared" si="140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38"/>
        <v>-612818769.39867461</v>
      </c>
      <c r="J1852" s="444">
        <f t="array" ref="J1852">IFERROR(INDEX('Retirement Calculator'!J:J,MATCH('Isaac 401k'!N1852,'Retirement Calculator'!A:A,0),0),0)</f>
        <v>0</v>
      </c>
      <c r="K1852" s="444">
        <f t="shared" ca="1" si="136"/>
        <v>-2553411.5391611443</v>
      </c>
      <c r="L1852" s="444">
        <f t="shared" ca="1" si="137"/>
        <v>-615372180.93783569</v>
      </c>
      <c r="M1852" s="460">
        <f t="shared" si="139"/>
        <v>0.05</v>
      </c>
      <c r="N1852" s="464">
        <f t="shared" si="140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38"/>
        <v>-615372180.93783569</v>
      </c>
      <c r="J1853" s="444">
        <f t="array" ref="J1853">IFERROR(INDEX('Retirement Calculator'!J:J,MATCH('Isaac 401k'!N1853,'Retirement Calculator'!A:A,0),0),0)</f>
        <v>0</v>
      </c>
      <c r="K1853" s="444">
        <f t="shared" ca="1" si="136"/>
        <v>-2564050.7539076488</v>
      </c>
      <c r="L1853" s="444">
        <f t="shared" ca="1" si="137"/>
        <v>-617936231.69174337</v>
      </c>
      <c r="M1853" s="460">
        <f t="shared" si="139"/>
        <v>0.05</v>
      </c>
      <c r="N1853" s="464">
        <f t="shared" si="140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38"/>
        <v>-617936231.69174337</v>
      </c>
      <c r="J1854" s="444">
        <f t="array" ref="J1854">IFERROR(INDEX('Retirement Calculator'!J:J,MATCH('Isaac 401k'!N1854,'Retirement Calculator'!A:A,0),0),0)</f>
        <v>0</v>
      </c>
      <c r="K1854" s="444">
        <f t="shared" ca="1" si="136"/>
        <v>-2574734.2987155975</v>
      </c>
      <c r="L1854" s="444">
        <f t="shared" ca="1" si="137"/>
        <v>-620510965.99045897</v>
      </c>
      <c r="M1854" s="460">
        <f t="shared" si="139"/>
        <v>0.05</v>
      </c>
      <c r="N1854" s="464">
        <f t="shared" si="140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38"/>
        <v>-620510965.99045897</v>
      </c>
      <c r="J1855" s="444">
        <f t="array" ref="J1855">IFERROR(INDEX('Retirement Calculator'!J:J,MATCH('Isaac 401k'!N1855,'Retirement Calculator'!A:A,0),0),0)</f>
        <v>0</v>
      </c>
      <c r="K1855" s="444">
        <f t="shared" ca="1" si="136"/>
        <v>-2585462.358293579</v>
      </c>
      <c r="L1855" s="444">
        <f t="shared" ca="1" si="137"/>
        <v>-623096428.3487525</v>
      </c>
      <c r="M1855" s="460">
        <f t="shared" si="139"/>
        <v>0.05</v>
      </c>
      <c r="N1855" s="464">
        <f t="shared" si="140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38"/>
        <v>-623096428.3487525</v>
      </c>
      <c r="J1856" s="444">
        <f t="array" ref="J1856">IFERROR(INDEX('Retirement Calculator'!J:J,MATCH('Isaac 401k'!N1856,'Retirement Calculator'!A:A,0),0),0)</f>
        <v>0</v>
      </c>
      <c r="K1856" s="444">
        <f t="shared" ca="1" si="136"/>
        <v>-2596235.1181198019</v>
      </c>
      <c r="L1856" s="444">
        <f t="shared" ca="1" si="137"/>
        <v>-625692663.46687233</v>
      </c>
      <c r="M1856" s="460">
        <f t="shared" si="139"/>
        <v>0.05</v>
      </c>
      <c r="N1856" s="464">
        <f t="shared" si="140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38"/>
        <v>-625692663.46687233</v>
      </c>
      <c r="J1857" s="444">
        <f t="array" ref="J1857">IFERROR(INDEX('Retirement Calculator'!J:J,MATCH('Isaac 401k'!N1857,'Retirement Calculator'!A:A,0),0),0)</f>
        <v>0</v>
      </c>
      <c r="K1857" s="444">
        <f t="shared" ca="1" si="136"/>
        <v>-2607052.7644453011</v>
      </c>
      <c r="L1857" s="444">
        <f t="shared" ca="1" si="137"/>
        <v>-628299716.23131764</v>
      </c>
      <c r="M1857" s="460">
        <f t="shared" si="139"/>
        <v>0.05</v>
      </c>
      <c r="N1857" s="464">
        <f t="shared" si="140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38"/>
        <v>-628299716.23131764</v>
      </c>
      <c r="J1858" s="444">
        <f t="array" ref="J1858">IFERROR(INDEX('Retirement Calculator'!J:J,MATCH('Isaac 401k'!N1858,'Retirement Calculator'!A:A,0),0),0)</f>
        <v>0</v>
      </c>
      <c r="K1858" s="444">
        <f t="shared" ca="1" si="136"/>
        <v>-2617915.4842971568</v>
      </c>
      <c r="L1858" s="444">
        <f t="shared" ca="1" si="137"/>
        <v>-630917631.7156148</v>
      </c>
      <c r="M1858" s="460">
        <f t="shared" si="139"/>
        <v>0.05</v>
      </c>
      <c r="N1858" s="464">
        <f t="shared" si="140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38"/>
        <v>-630917631.7156148</v>
      </c>
      <c r="J1859" s="444">
        <f t="array" ref="J1859">IFERROR(INDEX('Retirement Calculator'!J:J,MATCH('Isaac 401k'!N1859,'Retirement Calculator'!A:A,0),0),0)</f>
        <v>0</v>
      </c>
      <c r="K1859" s="444">
        <f t="shared" ca="1" si="136"/>
        <v>-2628823.4654817283</v>
      </c>
      <c r="L1859" s="444">
        <f t="shared" ca="1" si="137"/>
        <v>-633546455.18109655</v>
      </c>
      <c r="M1859" s="460">
        <f t="shared" si="139"/>
        <v>0.05</v>
      </c>
      <c r="N1859" s="464">
        <f t="shared" si="140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38"/>
        <v>-633546455.18109655</v>
      </c>
      <c r="J1860" s="444">
        <f t="array" ref="J1860">IFERROR(INDEX('Retirement Calculator'!J:J,MATCH('Isaac 401k'!N1860,'Retirement Calculator'!A:A,0),0),0)</f>
        <v>0</v>
      </c>
      <c r="K1860" s="444">
        <f t="shared" ca="1" si="136"/>
        <v>-2639776.8965879022</v>
      </c>
      <c r="L1860" s="444">
        <f t="shared" ca="1" si="137"/>
        <v>-636186232.0776844</v>
      </c>
      <c r="M1860" s="460">
        <f t="shared" si="139"/>
        <v>0.05</v>
      </c>
      <c r="N1860" s="464">
        <f t="shared" si="140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38"/>
        <v>-636186232.0776844</v>
      </c>
      <c r="J1861" s="444">
        <f t="array" ref="J1861">IFERROR(INDEX('Retirement Calculator'!J:J,MATCH('Isaac 401k'!N1861,'Retirement Calculator'!A:A,0),0),0)</f>
        <v>0</v>
      </c>
      <c r="K1861" s="444">
        <f t="shared" ca="1" si="136"/>
        <v>-2650775.9669903517</v>
      </c>
      <c r="L1861" s="444">
        <f t="shared" ca="1" si="137"/>
        <v>-638837008.04467475</v>
      </c>
      <c r="M1861" s="460">
        <f t="shared" si="139"/>
        <v>0.05</v>
      </c>
      <c r="N1861" s="464">
        <f t="shared" si="140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38"/>
        <v>-638837008.04467475</v>
      </c>
      <c r="J1862" s="444">
        <f t="array" ref="J1862">IFERROR(INDEX('Retirement Calculator'!J:J,MATCH('Isaac 401k'!N1862,'Retirement Calculator'!A:A,0),0),0)</f>
        <v>0</v>
      </c>
      <c r="K1862" s="444">
        <f t="shared" ca="1" si="136"/>
        <v>-2661820.8668528115</v>
      </c>
      <c r="L1862" s="444">
        <f t="shared" ca="1" si="137"/>
        <v>-641498828.91152751</v>
      </c>
      <c r="M1862" s="460">
        <f t="shared" si="139"/>
        <v>0.05</v>
      </c>
      <c r="N1862" s="464">
        <f t="shared" si="140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38"/>
        <v>-641498828.91152751</v>
      </c>
      <c r="J1863" s="444">
        <f t="array" ref="J1863">IFERROR(INDEX('Retirement Calculator'!J:J,MATCH('Isaac 401k'!N1863,'Retirement Calculator'!A:A,0),0),0)</f>
        <v>0</v>
      </c>
      <c r="K1863" s="444">
        <f t="shared" ca="1" si="136"/>
        <v>-2672911.7871313645</v>
      </c>
      <c r="L1863" s="444">
        <f t="shared" ca="1" si="137"/>
        <v>-644171740.69865882</v>
      </c>
      <c r="M1863" s="460">
        <f t="shared" si="139"/>
        <v>0.05</v>
      </c>
      <c r="N1863" s="464">
        <f t="shared" si="140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38"/>
        <v>-644171740.69865882</v>
      </c>
      <c r="J1864" s="444">
        <f t="array" ref="J1864">IFERROR(INDEX('Retirement Calculator'!J:J,MATCH('Isaac 401k'!N1864,'Retirement Calculator'!A:A,0),0),0)</f>
        <v>0</v>
      </c>
      <c r="K1864" s="444">
        <f t="shared" ca="1" si="136"/>
        <v>-2684048.9195777453</v>
      </c>
      <c r="L1864" s="444">
        <f t="shared" ca="1" si="137"/>
        <v>-646855789.61823654</v>
      </c>
      <c r="M1864" s="460">
        <f t="shared" si="139"/>
        <v>0.05</v>
      </c>
      <c r="N1864" s="464">
        <f t="shared" si="140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38"/>
        <v>-646855789.61823654</v>
      </c>
      <c r="J1865" s="444">
        <f t="array" ref="J1865">IFERROR(INDEX('Retirement Calculator'!J:J,MATCH('Isaac 401k'!N1865,'Retirement Calculator'!A:A,0),0),0)</f>
        <v>0</v>
      </c>
      <c r="K1865" s="444">
        <f t="shared" ca="1" si="136"/>
        <v>-2695232.4567426522</v>
      </c>
      <c r="L1865" s="444">
        <f t="shared" ca="1" si="137"/>
        <v>-649551022.07497919</v>
      </c>
      <c r="M1865" s="460">
        <f t="shared" si="139"/>
        <v>0.05</v>
      </c>
      <c r="N1865" s="464">
        <f t="shared" si="140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38"/>
        <v>-649551022.07497919</v>
      </c>
      <c r="J1866" s="444">
        <f t="array" ref="J1866">IFERROR(INDEX('Retirement Calculator'!J:J,MATCH('Isaac 401k'!N1866,'Retirement Calculator'!A:A,0),0),0)</f>
        <v>0</v>
      </c>
      <c r="K1866" s="444">
        <f t="shared" ca="1" si="136"/>
        <v>-2706462.5919790799</v>
      </c>
      <c r="L1866" s="444">
        <f t="shared" ca="1" si="137"/>
        <v>-652257484.66695821</v>
      </c>
      <c r="M1866" s="460">
        <f t="shared" si="139"/>
        <v>0.05</v>
      </c>
      <c r="N1866" s="464">
        <f t="shared" si="140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38"/>
        <v>-652257484.66695821</v>
      </c>
      <c r="J1867" s="444">
        <f t="array" ref="J1867">IFERROR(INDEX('Retirement Calculator'!J:J,MATCH('Isaac 401k'!N1867,'Retirement Calculator'!A:A,0),0),0)</f>
        <v>0</v>
      </c>
      <c r="K1867" s="444">
        <f t="shared" ca="1" si="136"/>
        <v>-2717739.5194456591</v>
      </c>
      <c r="L1867" s="444">
        <f t="shared" ca="1" si="137"/>
        <v>-654975224.18640387</v>
      </c>
      <c r="M1867" s="460">
        <f t="shared" si="139"/>
        <v>0.05</v>
      </c>
      <c r="N1867" s="464">
        <f t="shared" si="140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38"/>
        <v>-654975224.18640387</v>
      </c>
      <c r="J1868" s="444">
        <f t="array" ref="J1868">IFERROR(INDEX('Retirement Calculator'!J:J,MATCH('Isaac 401k'!N1868,'Retirement Calculator'!A:A,0),0),0)</f>
        <v>0</v>
      </c>
      <c r="K1868" s="444">
        <f t="shared" ca="1" si="136"/>
        <v>-2729063.4341100161</v>
      </c>
      <c r="L1868" s="444">
        <f t="shared" ca="1" si="137"/>
        <v>-657704287.62051392</v>
      </c>
      <c r="M1868" s="460">
        <f t="shared" si="139"/>
        <v>0.05</v>
      </c>
      <c r="N1868" s="464">
        <f t="shared" si="140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38"/>
        <v>-657704287.62051392</v>
      </c>
      <c r="J1869" s="444">
        <f t="array" ref="J1869">IFERROR(INDEX('Retirement Calculator'!J:J,MATCH('Isaac 401k'!N1869,'Retirement Calculator'!A:A,0),0),0)</f>
        <v>0</v>
      </c>
      <c r="K1869" s="444">
        <f t="shared" ca="1" si="136"/>
        <v>-2740434.5317521412</v>
      </c>
      <c r="L1869" s="444">
        <f t="shared" ca="1" si="137"/>
        <v>-660444722.15226603</v>
      </c>
      <c r="M1869" s="460">
        <f t="shared" si="139"/>
        <v>0.05</v>
      </c>
      <c r="N1869" s="464">
        <f t="shared" si="140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38"/>
        <v>-660444722.15226603</v>
      </c>
      <c r="J1870" s="444">
        <f t="array" ref="J1870">IFERROR(INDEX('Retirement Calculator'!J:J,MATCH('Isaac 401k'!N1870,'Retirement Calculator'!A:A,0),0),0)</f>
        <v>0</v>
      </c>
      <c r="K1870" s="444">
        <f t="shared" ca="1" si="136"/>
        <v>-2751853.0089677749</v>
      </c>
      <c r="L1870" s="444">
        <f t="shared" ca="1" si="137"/>
        <v>-663196575.16123378</v>
      </c>
      <c r="M1870" s="460">
        <f t="shared" si="139"/>
        <v>0.05</v>
      </c>
      <c r="N1870" s="464">
        <f t="shared" si="140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38"/>
        <v>-663196575.16123378</v>
      </c>
      <c r="J1871" s="444">
        <f t="array" ref="J1871">IFERROR(INDEX('Retirement Calculator'!J:J,MATCH('Isaac 401k'!N1871,'Retirement Calculator'!A:A,0),0),0)</f>
        <v>0</v>
      </c>
      <c r="K1871" s="444">
        <f t="shared" ca="1" si="136"/>
        <v>-2763319.0631718072</v>
      </c>
      <c r="L1871" s="444">
        <f t="shared" ca="1" si="137"/>
        <v>-665959894.22440565</v>
      </c>
      <c r="M1871" s="460">
        <f t="shared" si="139"/>
        <v>0.05</v>
      </c>
      <c r="N1871" s="464">
        <f t="shared" si="140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38"/>
        <v>-665959894.22440565</v>
      </c>
      <c r="J1872" s="444">
        <f t="array" ref="J1872">IFERROR(INDEX('Retirement Calculator'!J:J,MATCH('Isaac 401k'!N1872,'Retirement Calculator'!A:A,0),0),0)</f>
        <v>0</v>
      </c>
      <c r="K1872" s="444">
        <f t="shared" ca="1" si="136"/>
        <v>-2774832.8926016903</v>
      </c>
      <c r="L1872" s="444">
        <f t="shared" ca="1" si="137"/>
        <v>-668734727.11700737</v>
      </c>
      <c r="M1872" s="460">
        <f t="shared" si="139"/>
        <v>0.05</v>
      </c>
      <c r="N1872" s="464">
        <f t="shared" si="140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38"/>
        <v>-668734727.11700737</v>
      </c>
      <c r="J1873" s="444">
        <f t="array" ref="J1873">IFERROR(INDEX('Retirement Calculator'!J:J,MATCH('Isaac 401k'!N1873,'Retirement Calculator'!A:A,0),0),0)</f>
        <v>0</v>
      </c>
      <c r="K1873" s="444">
        <f t="shared" ca="1" si="136"/>
        <v>-2786394.6963208639</v>
      </c>
      <c r="L1873" s="444">
        <f t="shared" ca="1" si="137"/>
        <v>-671521121.81332827</v>
      </c>
      <c r="M1873" s="460">
        <f t="shared" si="139"/>
        <v>0.05</v>
      </c>
      <c r="N1873" s="464">
        <f t="shared" si="140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38"/>
        <v>-671521121.81332827</v>
      </c>
      <c r="J1874" s="444">
        <f t="array" ref="J1874">IFERROR(INDEX('Retirement Calculator'!J:J,MATCH('Isaac 401k'!N1874,'Retirement Calculator'!A:A,0),0),0)</f>
        <v>0</v>
      </c>
      <c r="K1874" s="444">
        <f t="shared" ca="1" si="136"/>
        <v>-2798004.6742222011</v>
      </c>
      <c r="L1874" s="444">
        <f t="shared" ca="1" si="137"/>
        <v>-674319126.4875505</v>
      </c>
      <c r="M1874" s="460">
        <f t="shared" si="139"/>
        <v>0.05</v>
      </c>
      <c r="N1874" s="464">
        <f t="shared" si="140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38"/>
        <v>-674319126.4875505</v>
      </c>
      <c r="J1875" s="444">
        <f t="array" ref="J1875">IFERROR(INDEX('Retirement Calculator'!J:J,MATCH('Isaac 401k'!N1875,'Retirement Calculator'!A:A,0),0),0)</f>
        <v>0</v>
      </c>
      <c r="K1875" s="444">
        <f t="shared" ca="1" si="136"/>
        <v>-2809663.0270314603</v>
      </c>
      <c r="L1875" s="444">
        <f t="shared" ca="1" si="137"/>
        <v>-677128789.51458192</v>
      </c>
      <c r="M1875" s="460">
        <f t="shared" si="139"/>
        <v>0.05</v>
      </c>
      <c r="N1875" s="464">
        <f t="shared" si="140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38"/>
        <v>-677128789.51458192</v>
      </c>
      <c r="J1876" s="444">
        <f t="array" ref="J1876">IFERROR(INDEX('Retirement Calculator'!J:J,MATCH('Isaac 401k'!N1876,'Retirement Calculator'!A:A,0),0),0)</f>
        <v>0</v>
      </c>
      <c r="K1876" s="444">
        <f t="shared" ca="1" si="136"/>
        <v>-2821369.9563107579</v>
      </c>
      <c r="L1876" s="444">
        <f t="shared" ca="1" si="137"/>
        <v>-679950159.47089267</v>
      </c>
      <c r="M1876" s="460">
        <f t="shared" si="139"/>
        <v>0.05</v>
      </c>
      <c r="N1876" s="464">
        <f t="shared" si="140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38"/>
        <v>-679950159.47089267</v>
      </c>
      <c r="J1877" s="444">
        <f t="array" ref="J1877">IFERROR(INDEX('Retirement Calculator'!J:J,MATCH('Isaac 401k'!N1877,'Retirement Calculator'!A:A,0),0),0)</f>
        <v>0</v>
      </c>
      <c r="K1877" s="444">
        <f t="shared" ca="1" si="136"/>
        <v>-2833125.6644620528</v>
      </c>
      <c r="L1877" s="444">
        <f t="shared" ca="1" si="137"/>
        <v>-682783285.13535476</v>
      </c>
      <c r="M1877" s="460">
        <f t="shared" si="139"/>
        <v>0.05</v>
      </c>
      <c r="N1877" s="464">
        <f t="shared" si="140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38"/>
        <v>-682783285.13535476</v>
      </c>
      <c r="J1878" s="444">
        <f t="array" ref="J1878">IFERROR(INDEX('Retirement Calculator'!J:J,MATCH('Isaac 401k'!N1878,'Retirement Calculator'!A:A,0),0),0)</f>
        <v>0</v>
      </c>
      <c r="K1878" s="444">
        <f t="shared" ca="1" si="136"/>
        <v>-2844930.3547306447</v>
      </c>
      <c r="L1878" s="444">
        <f t="shared" ca="1" si="137"/>
        <v>-685628215.49008536</v>
      </c>
      <c r="M1878" s="460">
        <f t="shared" si="139"/>
        <v>0.05</v>
      </c>
      <c r="N1878" s="464">
        <f t="shared" si="140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38"/>
        <v>-685628215.49008536</v>
      </c>
      <c r="J1879" s="444">
        <f t="array" ref="J1879">IFERROR(INDEX('Retirement Calculator'!J:J,MATCH('Isaac 401k'!N1879,'Retirement Calculator'!A:A,0),0),0)</f>
        <v>0</v>
      </c>
      <c r="K1879" s="444">
        <f t="shared" ca="1" si="136"/>
        <v>-2856784.231208689</v>
      </c>
      <c r="L1879" s="444">
        <f t="shared" ca="1" si="137"/>
        <v>-688484999.72129405</v>
      </c>
      <c r="M1879" s="460">
        <f t="shared" si="139"/>
        <v>0.05</v>
      </c>
      <c r="N1879" s="464">
        <f t="shared" si="140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38"/>
        <v>-688484999.72129405</v>
      </c>
      <c r="J1880" s="444">
        <f t="array" ref="J1880">IFERROR(INDEX('Retirement Calculator'!J:J,MATCH('Isaac 401k'!N1880,'Retirement Calculator'!A:A,0),0),0)</f>
        <v>0</v>
      </c>
      <c r="K1880" s="444">
        <f t="shared" ca="1" si="136"/>
        <v>-2868687.498838725</v>
      </c>
      <c r="L1880" s="444">
        <f t="shared" ca="1" si="137"/>
        <v>-691353687.22013283</v>
      </c>
      <c r="M1880" s="460">
        <f t="shared" si="139"/>
        <v>0.05</v>
      </c>
      <c r="N1880" s="464">
        <f t="shared" si="140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38"/>
        <v>-691353687.22013283</v>
      </c>
      <c r="J1881" s="444">
        <f t="array" ref="J1881">IFERROR(INDEX('Retirement Calculator'!J:J,MATCH('Isaac 401k'!N1881,'Retirement Calculator'!A:A,0),0),0)</f>
        <v>0</v>
      </c>
      <c r="K1881" s="444">
        <f t="shared" ca="1" si="136"/>
        <v>-2880640.3634172203</v>
      </c>
      <c r="L1881" s="444">
        <f t="shared" ca="1" si="137"/>
        <v>-694234327.5835501</v>
      </c>
      <c r="M1881" s="460">
        <f t="shared" si="139"/>
        <v>0.05</v>
      </c>
      <c r="N1881" s="464">
        <f t="shared" si="140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38"/>
        <v>-694234327.5835501</v>
      </c>
      <c r="J1882" s="444">
        <f t="array" ref="J1882">IFERROR(INDEX('Retirement Calculator'!J:J,MATCH('Isaac 401k'!N1882,'Retirement Calculator'!A:A,0),0),0)</f>
        <v>0</v>
      </c>
      <c r="K1882" s="444">
        <f t="shared" ca="1" si="136"/>
        <v>-2892643.0315981256</v>
      </c>
      <c r="L1882" s="444">
        <f t="shared" ca="1" si="137"/>
        <v>-697126970.61514819</v>
      </c>
      <c r="M1882" s="460">
        <f t="shared" si="139"/>
        <v>0.05</v>
      </c>
      <c r="N1882" s="464">
        <f t="shared" si="140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38"/>
        <v>-697126970.61514819</v>
      </c>
      <c r="J1883" s="444">
        <f t="array" ref="J1883">IFERROR(INDEX('Retirement Calculator'!J:J,MATCH('Isaac 401k'!N1883,'Retirement Calculator'!A:A,0),0),0)</f>
        <v>0</v>
      </c>
      <c r="K1883" s="444">
        <f t="shared" ca="1" si="136"/>
        <v>-2904695.7108964506</v>
      </c>
      <c r="L1883" s="444">
        <f t="shared" ca="1" si="137"/>
        <v>-700031666.32604468</v>
      </c>
      <c r="M1883" s="460">
        <f t="shared" si="139"/>
        <v>0.05</v>
      </c>
      <c r="N1883" s="464">
        <f t="shared" si="140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38"/>
        <v>-700031666.32604468</v>
      </c>
      <c r="J1884" s="444">
        <f t="array" ref="J1884">IFERROR(INDEX('Retirement Calculator'!J:J,MATCH('Isaac 401k'!N1884,'Retirement Calculator'!A:A,0),0),0)</f>
        <v>0</v>
      </c>
      <c r="K1884" s="444">
        <f t="shared" ca="1" si="136"/>
        <v>-2916798.6096918527</v>
      </c>
      <c r="L1884" s="444">
        <f t="shared" ca="1" si="137"/>
        <v>-702948464.93573654</v>
      </c>
      <c r="M1884" s="460">
        <f t="shared" si="139"/>
        <v>0.05</v>
      </c>
      <c r="N1884" s="464">
        <f t="shared" si="140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38"/>
        <v>-702948464.93573654</v>
      </c>
      <c r="J1885" s="444">
        <f t="array" ref="J1885">IFERROR(INDEX('Retirement Calculator'!J:J,MATCH('Isaac 401k'!N1885,'Retirement Calculator'!A:A,0),0),0)</f>
        <v>0</v>
      </c>
      <c r="K1885" s="444">
        <f t="shared" ca="1" si="136"/>
        <v>-2928951.9372322354</v>
      </c>
      <c r="L1885" s="444">
        <f t="shared" ca="1" si="137"/>
        <v>-705877416.87296879</v>
      </c>
      <c r="M1885" s="460">
        <f t="shared" si="139"/>
        <v>0.05</v>
      </c>
      <c r="N1885" s="464">
        <f t="shared" si="140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38"/>
        <v>-705877416.87296879</v>
      </c>
      <c r="J1886" s="444">
        <f t="array" ref="J1886">IFERROR(INDEX('Retirement Calculator'!J:J,MATCH('Isaac 401k'!N1886,'Retirement Calculator'!A:A,0),0),0)</f>
        <v>0</v>
      </c>
      <c r="K1886" s="444">
        <f t="shared" ca="1" si="136"/>
        <v>-2941155.9036373701</v>
      </c>
      <c r="L1886" s="444">
        <f t="shared" ca="1" si="137"/>
        <v>-708818572.7766062</v>
      </c>
      <c r="M1886" s="460">
        <f t="shared" si="139"/>
        <v>0.05</v>
      </c>
      <c r="N1886" s="464">
        <f t="shared" si="140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38"/>
        <v>-708818572.7766062</v>
      </c>
      <c r="J1887" s="444">
        <f t="array" ref="J1887">IFERROR(INDEX('Retirement Calculator'!J:J,MATCH('Isaac 401k'!N1887,'Retirement Calculator'!A:A,0),0),0)</f>
        <v>0</v>
      </c>
      <c r="K1887" s="444">
        <f t="shared" ca="1" si="136"/>
        <v>-2953410.7199025257</v>
      </c>
      <c r="L1887" s="444">
        <f t="shared" ca="1" si="137"/>
        <v>-711771983.49650872</v>
      </c>
      <c r="M1887" s="460">
        <f t="shared" si="139"/>
        <v>0.05</v>
      </c>
      <c r="N1887" s="464">
        <f t="shared" si="140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38"/>
        <v>-711771983.49650872</v>
      </c>
      <c r="J1888" s="444">
        <f t="array" ref="J1888">IFERROR(INDEX('Retirement Calculator'!J:J,MATCH('Isaac 401k'!N1888,'Retirement Calculator'!A:A,0),0),0)</f>
        <v>0</v>
      </c>
      <c r="K1888" s="444">
        <f t="shared" ca="1" si="136"/>
        <v>-2965716.5979021196</v>
      </c>
      <c r="L1888" s="444">
        <f t="shared" ca="1" si="137"/>
        <v>-714737700.0944109</v>
      </c>
      <c r="M1888" s="460">
        <f t="shared" si="139"/>
        <v>0.05</v>
      </c>
      <c r="N1888" s="464">
        <f t="shared" si="140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38"/>
        <v>-714737700.0944109</v>
      </c>
      <c r="J1889" s="444">
        <f t="array" ref="J1889">IFERROR(INDEX('Retirement Calculator'!J:J,MATCH('Isaac 401k'!N1889,'Retirement Calculator'!A:A,0),0),0)</f>
        <v>0</v>
      </c>
      <c r="K1889" s="444">
        <f t="shared" ca="1" si="136"/>
        <v>-2978073.7503933785</v>
      </c>
      <c r="L1889" s="444">
        <f t="shared" ca="1" si="137"/>
        <v>-717715773.84480429</v>
      </c>
      <c r="M1889" s="460">
        <f t="shared" si="139"/>
        <v>0.05</v>
      </c>
      <c r="N1889" s="464">
        <f t="shared" si="140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38"/>
        <v>-717715773.84480429</v>
      </c>
      <c r="J1890" s="444">
        <f t="array" ref="J1890">IFERROR(INDEX('Retirement Calculator'!J:J,MATCH('Isaac 401k'!N1890,'Retirement Calculator'!A:A,0),0),0)</f>
        <v>0</v>
      </c>
      <c r="K1890" s="444">
        <f t="shared" ca="1" si="136"/>
        <v>-2990482.3910200177</v>
      </c>
      <c r="L1890" s="444">
        <f t="shared" ca="1" si="137"/>
        <v>-720706256.23582435</v>
      </c>
      <c r="M1890" s="460">
        <f t="shared" si="139"/>
        <v>0.05</v>
      </c>
      <c r="N1890" s="464">
        <f t="shared" si="140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38"/>
        <v>-720706256.23582435</v>
      </c>
      <c r="J1891" s="444">
        <f t="array" ref="J1891">IFERROR(INDEX('Retirement Calculator'!J:J,MATCH('Isaac 401k'!N1891,'Retirement Calculator'!A:A,0),0),0)</f>
        <v>0</v>
      </c>
      <c r="K1891" s="444">
        <f t="shared" ca="1" si="136"/>
        <v>-3002942.7343159346</v>
      </c>
      <c r="L1891" s="444">
        <f t="shared" ca="1" si="137"/>
        <v>-723709198.97014034</v>
      </c>
      <c r="M1891" s="460">
        <f t="shared" si="139"/>
        <v>0.05</v>
      </c>
      <c r="N1891" s="464">
        <f t="shared" si="140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38"/>
        <v>-723709198.97014034</v>
      </c>
      <c r="J1892" s="444">
        <f t="array" ref="J1892">IFERROR(INDEX('Retirement Calculator'!J:J,MATCH('Isaac 401k'!N1892,'Retirement Calculator'!A:A,0),0),0)</f>
        <v>0</v>
      </c>
      <c r="K1892" s="444">
        <f t="shared" ca="1" si="136"/>
        <v>-3015454.9957089182</v>
      </c>
      <c r="L1892" s="444">
        <f t="shared" ca="1" si="137"/>
        <v>-726724653.96584928</v>
      </c>
      <c r="M1892" s="460">
        <f t="shared" si="139"/>
        <v>0.05</v>
      </c>
      <c r="N1892" s="464">
        <f t="shared" si="140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38"/>
        <v>-726724653.96584928</v>
      </c>
      <c r="J1893" s="444">
        <f t="array" ref="J1893">IFERROR(INDEX('Retirement Calculator'!J:J,MATCH('Isaac 401k'!N1893,'Retirement Calculator'!A:A,0),0),0)</f>
        <v>0</v>
      </c>
      <c r="K1893" s="444">
        <f t="shared" ca="1" si="136"/>
        <v>-3028019.3915243722</v>
      </c>
      <c r="L1893" s="444">
        <f t="shared" ca="1" si="137"/>
        <v>-729752673.3573736</v>
      </c>
      <c r="M1893" s="460">
        <f t="shared" si="139"/>
        <v>0.05</v>
      </c>
      <c r="N1893" s="464">
        <f t="shared" si="140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38"/>
        <v>-729752673.3573736</v>
      </c>
      <c r="J1894" s="444">
        <f t="array" ref="J1894">IFERROR(INDEX('Retirement Calculator'!J:J,MATCH('Isaac 401k'!N1894,'Retirement Calculator'!A:A,0),0),0)</f>
        <v>0</v>
      </c>
      <c r="K1894" s="444">
        <f t="shared" ca="1" si="136"/>
        <v>-3040636.1389890565</v>
      </c>
      <c r="L1894" s="444">
        <f t="shared" ca="1" si="137"/>
        <v>-732793309.49636269</v>
      </c>
      <c r="M1894" s="460">
        <f t="shared" si="139"/>
        <v>0.05</v>
      </c>
      <c r="N1894" s="464">
        <f t="shared" si="140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38"/>
        <v>-732793309.49636269</v>
      </c>
      <c r="J1895" s="444">
        <f t="array" ref="J1895">IFERROR(INDEX('Retirement Calculator'!J:J,MATCH('Isaac 401k'!N1895,'Retirement Calculator'!A:A,0),0),0)</f>
        <v>0</v>
      </c>
      <c r="K1895" s="444">
        <f t="shared" ca="1" si="136"/>
        <v>-3053305.4562348444</v>
      </c>
      <c r="L1895" s="444">
        <f t="shared" ca="1" si="137"/>
        <v>-735846614.9525975</v>
      </c>
      <c r="M1895" s="460">
        <f t="shared" si="139"/>
        <v>0.05</v>
      </c>
      <c r="N1895" s="464">
        <f t="shared" si="140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38"/>
        <v>-735846614.9525975</v>
      </c>
      <c r="J1896" s="444">
        <f t="array" ref="J1896">IFERROR(INDEX('Retirement Calculator'!J:J,MATCH('Isaac 401k'!N1896,'Retirement Calculator'!A:A,0),0),0)</f>
        <v>0</v>
      </c>
      <c r="K1896" s="444">
        <f t="shared" ca="1" si="136"/>
        <v>-3066027.5623024898</v>
      </c>
      <c r="L1896" s="444">
        <f t="shared" ca="1" si="137"/>
        <v>-738912642.51489997</v>
      </c>
      <c r="M1896" s="460">
        <f t="shared" si="139"/>
        <v>0.05</v>
      </c>
      <c r="N1896" s="464">
        <f t="shared" si="140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38"/>
        <v>-738912642.51489997</v>
      </c>
      <c r="J1897" s="444">
        <f t="array" ref="J1897">IFERROR(INDEX('Retirement Calculator'!J:J,MATCH('Isaac 401k'!N1897,'Retirement Calculator'!A:A,0),0),0)</f>
        <v>0</v>
      </c>
      <c r="K1897" s="444">
        <f t="shared" ca="1" si="136"/>
        <v>-3078802.6771454164</v>
      </c>
      <c r="L1897" s="444">
        <f t="shared" ca="1" si="137"/>
        <v>-741991445.19204533</v>
      </c>
      <c r="M1897" s="460">
        <f t="shared" si="139"/>
        <v>0.05</v>
      </c>
      <c r="N1897" s="464">
        <f t="shared" si="140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38"/>
        <v>-741991445.19204533</v>
      </c>
      <c r="J1898" s="444">
        <f t="array" ref="J1898">IFERROR(INDEX('Retirement Calculator'!J:J,MATCH('Isaac 401k'!N1898,'Retirement Calculator'!A:A,0),0),0)</f>
        <v>0</v>
      </c>
      <c r="K1898" s="444">
        <f t="shared" ca="1" si="136"/>
        <v>-3091631.0216335221</v>
      </c>
      <c r="L1898" s="444">
        <f t="shared" ca="1" si="137"/>
        <v>-745083076.21367884</v>
      </c>
      <c r="M1898" s="460">
        <f t="shared" si="139"/>
        <v>0.05</v>
      </c>
      <c r="N1898" s="464">
        <f t="shared" si="140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38"/>
        <v>-745083076.21367884</v>
      </c>
      <c r="J1899" s="444">
        <f t="array" ref="J1899">IFERROR(INDEX('Retirement Calculator'!J:J,MATCH('Isaac 401k'!N1899,'Retirement Calculator'!A:A,0),0),0)</f>
        <v>0</v>
      </c>
      <c r="K1899" s="444">
        <f t="shared" ca="1" si="136"/>
        <v>-3104512.817556995</v>
      </c>
      <c r="L1899" s="444">
        <f t="shared" ca="1" si="137"/>
        <v>-748187589.03123581</v>
      </c>
      <c r="M1899" s="460">
        <f t="shared" si="139"/>
        <v>0.05</v>
      </c>
      <c r="N1899" s="464">
        <f t="shared" si="140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38"/>
        <v>-748187589.03123581</v>
      </c>
      <c r="J1900" s="444">
        <f t="array" ref="J1900">IFERROR(INDEX('Retirement Calculator'!J:J,MATCH('Isaac 401k'!N1900,'Retirement Calculator'!A:A,0),0),0)</f>
        <v>0</v>
      </c>
      <c r="K1900" s="444">
        <f t="shared" ca="1" si="136"/>
        <v>-3117448.2876301492</v>
      </c>
      <c r="L1900" s="444">
        <f t="shared" ca="1" si="137"/>
        <v>-751305037.31886601</v>
      </c>
      <c r="M1900" s="460">
        <f t="shared" si="139"/>
        <v>0.05</v>
      </c>
      <c r="N1900" s="464">
        <f t="shared" si="140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38"/>
        <v>-751305037.31886601</v>
      </c>
      <c r="J1901" s="444">
        <f t="array" ref="J1901">IFERROR(INDEX('Retirement Calculator'!J:J,MATCH('Isaac 401k'!N1901,'Retirement Calculator'!A:A,0),0),0)</f>
        <v>0</v>
      </c>
      <c r="K1901" s="444">
        <f t="shared" ca="1" si="136"/>
        <v>-3130437.6554952748</v>
      </c>
      <c r="L1901" s="444">
        <f t="shared" ca="1" si="137"/>
        <v>-754435474.9743613</v>
      </c>
      <c r="M1901" s="460">
        <f t="shared" si="139"/>
        <v>0.05</v>
      </c>
      <c r="N1901" s="464">
        <f t="shared" si="140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38"/>
        <v>-754435474.9743613</v>
      </c>
      <c r="J1902" s="444">
        <f t="array" ref="J1902">IFERROR(INDEX('Retirement Calculator'!J:J,MATCH('Isaac 401k'!N1902,'Retirement Calculator'!A:A,0),0),0)</f>
        <v>0</v>
      </c>
      <c r="K1902" s="444">
        <f t="shared" ca="1" si="136"/>
        <v>-3143481.1457265052</v>
      </c>
      <c r="L1902" s="444">
        <f t="shared" ca="1" si="137"/>
        <v>-757578956.12008786</v>
      </c>
      <c r="M1902" s="460">
        <f t="shared" si="139"/>
        <v>0.05</v>
      </c>
      <c r="N1902" s="464">
        <f t="shared" si="140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38"/>
        <v>-757578956.12008786</v>
      </c>
      <c r="J1903" s="444">
        <f t="array" ref="J1903">IFERROR(INDEX('Retirement Calculator'!J:J,MATCH('Isaac 401k'!N1903,'Retirement Calculator'!A:A,0),0),0)</f>
        <v>0</v>
      </c>
      <c r="K1903" s="444">
        <f t="shared" ca="1" si="136"/>
        <v>-3156578.9838336995</v>
      </c>
      <c r="L1903" s="444">
        <f t="shared" ca="1" si="137"/>
        <v>-760735535.10392153</v>
      </c>
      <c r="M1903" s="460">
        <f t="shared" si="139"/>
        <v>0.05</v>
      </c>
      <c r="N1903" s="464">
        <f t="shared" si="140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38"/>
        <v>-760735535.10392153</v>
      </c>
      <c r="J1904" s="444">
        <f t="array" ref="J1904">IFERROR(INDEX('Retirement Calculator'!J:J,MATCH('Isaac 401k'!N1904,'Retirement Calculator'!A:A,0),0),0)</f>
        <v>0</v>
      </c>
      <c r="K1904" s="444">
        <f t="shared" ca="1" si="136"/>
        <v>-3169731.3962663398</v>
      </c>
      <c r="L1904" s="444">
        <f t="shared" ca="1" si="137"/>
        <v>-763905266.50018787</v>
      </c>
      <c r="M1904" s="460">
        <f t="shared" si="139"/>
        <v>0.05</v>
      </c>
      <c r="N1904" s="464">
        <f t="shared" si="140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38"/>
        <v>-763905266.50018787</v>
      </c>
      <c r="J1905" s="444">
        <f t="array" ref="J1905">IFERROR(INDEX('Retirement Calculator'!J:J,MATCH('Isaac 401k'!N1905,'Retirement Calculator'!A:A,0),0),0)</f>
        <v>0</v>
      </c>
      <c r="K1905" s="444">
        <f t="shared" ca="1" si="136"/>
        <v>-3182938.6104174494</v>
      </c>
      <c r="L1905" s="444">
        <f t="shared" ca="1" si="137"/>
        <v>-767088205.11060536</v>
      </c>
      <c r="M1905" s="460">
        <f t="shared" si="139"/>
        <v>0.05</v>
      </c>
      <c r="N1905" s="464">
        <f t="shared" si="140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38"/>
        <v>-767088205.11060536</v>
      </c>
      <c r="J1906" s="444">
        <f t="array" ref="J1906">IFERROR(INDEX('Retirement Calculator'!J:J,MATCH('Isaac 401k'!N1906,'Retirement Calculator'!A:A,0),0),0)</f>
        <v>0</v>
      </c>
      <c r="K1906" s="444">
        <f t="shared" ca="1" si="136"/>
        <v>-3196200.8546275222</v>
      </c>
      <c r="L1906" s="444">
        <f t="shared" ca="1" si="137"/>
        <v>-770284405.96523285</v>
      </c>
      <c r="M1906" s="460">
        <f t="shared" si="139"/>
        <v>0.05</v>
      </c>
      <c r="N1906" s="464">
        <f t="shared" si="140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38"/>
        <v>-770284405.96523285</v>
      </c>
      <c r="J1907" s="444">
        <f t="array" ref="J1907">IFERROR(INDEX('Retirement Calculator'!J:J,MATCH('Isaac 401k'!N1907,'Retirement Calculator'!A:A,0),0),0)</f>
        <v>0</v>
      </c>
      <c r="K1907" s="444">
        <f t="shared" ca="1" si="136"/>
        <v>-3209518.3581884704</v>
      </c>
      <c r="L1907" s="444">
        <f t="shared" ca="1" si="137"/>
        <v>-773493924.32342136</v>
      </c>
      <c r="M1907" s="460">
        <f t="shared" si="139"/>
        <v>0.05</v>
      </c>
      <c r="N1907" s="464">
        <f t="shared" si="140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38"/>
        <v>-773493924.32342136</v>
      </c>
      <c r="J1908" s="444">
        <f t="array" ref="J1908">IFERROR(INDEX('Retirement Calculator'!J:J,MATCH('Isaac 401k'!N1908,'Retirement Calculator'!A:A,0),0),0)</f>
        <v>0</v>
      </c>
      <c r="K1908" s="444">
        <f t="shared" ca="1" si="136"/>
        <v>-3222891.3513475889</v>
      </c>
      <c r="L1908" s="444">
        <f t="shared" ca="1" si="137"/>
        <v>-776716815.67476892</v>
      </c>
      <c r="M1908" s="460">
        <f t="shared" si="139"/>
        <v>0.05</v>
      </c>
      <c r="N1908" s="464">
        <f t="shared" si="140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38"/>
        <v>-776716815.67476892</v>
      </c>
      <c r="J1909" s="444">
        <f t="array" ref="J1909">IFERROR(INDEX('Retirement Calculator'!J:J,MATCH('Isaac 401k'!N1909,'Retirement Calculator'!A:A,0),0),0)</f>
        <v>0</v>
      </c>
      <c r="K1909" s="444">
        <f t="shared" ca="1" si="136"/>
        <v>-3236320.0653115371</v>
      </c>
      <c r="L1909" s="444">
        <f t="shared" ca="1" si="137"/>
        <v>-779953135.74008048</v>
      </c>
      <c r="M1909" s="460">
        <f t="shared" si="139"/>
        <v>0.05</v>
      </c>
      <c r="N1909" s="464">
        <f t="shared" si="140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38"/>
        <v>-779953135.74008048</v>
      </c>
      <c r="J1910" s="444">
        <f t="array" ref="J1910">IFERROR(INDEX('Retirement Calculator'!J:J,MATCH('Isaac 401k'!N1910,'Retirement Calculator'!A:A,0),0),0)</f>
        <v>0</v>
      </c>
      <c r="K1910" s="444">
        <f t="shared" ca="1" si="136"/>
        <v>-3249804.7322503352</v>
      </c>
      <c r="L1910" s="444">
        <f t="shared" ca="1" si="137"/>
        <v>-783202940.47233081</v>
      </c>
      <c r="M1910" s="460">
        <f t="shared" si="139"/>
        <v>0.05</v>
      </c>
      <c r="N1910" s="464">
        <f t="shared" si="140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38"/>
        <v>-783202940.47233081</v>
      </c>
      <c r="J1911" s="444">
        <f t="array" ref="J1911">IFERROR(INDEX('Retirement Calculator'!J:J,MATCH('Isaac 401k'!N1911,'Retirement Calculator'!A:A,0),0),0)</f>
        <v>0</v>
      </c>
      <c r="K1911" s="444">
        <f t="shared" ca="1" si="136"/>
        <v>-3263345.5853013783</v>
      </c>
      <c r="L1911" s="444">
        <f t="shared" ca="1" si="137"/>
        <v>-786466286.05763221</v>
      </c>
      <c r="M1911" s="460">
        <f t="shared" si="139"/>
        <v>0.05</v>
      </c>
      <c r="N1911" s="464">
        <f t="shared" si="140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38"/>
        <v>-786466286.05763221</v>
      </c>
      <c r="J1912" s="444">
        <f t="array" ref="J1912">IFERROR(INDEX('Retirement Calculator'!J:J,MATCH('Isaac 401k'!N1912,'Retirement Calculator'!A:A,0),0),0)</f>
        <v>0</v>
      </c>
      <c r="K1912" s="444">
        <f t="shared" ca="1" si="136"/>
        <v>-3276942.8585734675</v>
      </c>
      <c r="L1912" s="444">
        <f t="shared" ca="1" si="137"/>
        <v>-789743228.91620564</v>
      </c>
      <c r="M1912" s="460">
        <f t="shared" si="139"/>
        <v>0.05</v>
      </c>
      <c r="N1912" s="464">
        <f t="shared" si="140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38"/>
        <v>-789743228.91620564</v>
      </c>
      <c r="J1913" s="444">
        <f t="array" ref="J1913">IFERROR(INDEX('Retirement Calculator'!J:J,MATCH('Isaac 401k'!N1913,'Retirement Calculator'!A:A,0),0),0)</f>
        <v>0</v>
      </c>
      <c r="K1913" s="444">
        <f t="shared" ca="1" si="136"/>
        <v>-3290596.787150857</v>
      </c>
      <c r="L1913" s="444">
        <f t="shared" ca="1" si="137"/>
        <v>-793033825.7033565</v>
      </c>
      <c r="M1913" s="460">
        <f t="shared" si="139"/>
        <v>0.05</v>
      </c>
      <c r="N1913" s="464">
        <f t="shared" si="140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38"/>
        <v>-793033825.7033565</v>
      </c>
      <c r="J1914" s="444">
        <f t="array" ref="J1914">IFERROR(INDEX('Retirement Calculator'!J:J,MATCH('Isaac 401k'!N1914,'Retirement Calculator'!A:A,0),0),0)</f>
        <v>0</v>
      </c>
      <c r="K1914" s="444">
        <f t="shared" ca="1" si="136"/>
        <v>-3304307.6070973189</v>
      </c>
      <c r="L1914" s="444">
        <f t="shared" ca="1" si="137"/>
        <v>-796338133.31045377</v>
      </c>
      <c r="M1914" s="460">
        <f t="shared" si="139"/>
        <v>0.05</v>
      </c>
      <c r="N1914" s="464">
        <f t="shared" si="140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38"/>
        <v>-796338133.31045377</v>
      </c>
      <c r="J1915" s="444">
        <f t="array" ref="J1915">IFERROR(INDEX('Retirement Calculator'!J:J,MATCH('Isaac 401k'!N1915,'Retirement Calculator'!A:A,0),0),0)</f>
        <v>0</v>
      </c>
      <c r="K1915" s="444">
        <f t="shared" ca="1" si="136"/>
        <v>-3318075.5554602239</v>
      </c>
      <c r="L1915" s="444">
        <f t="shared" ca="1" si="137"/>
        <v>-799656208.86591399</v>
      </c>
      <c r="M1915" s="460">
        <f t="shared" si="139"/>
        <v>0.05</v>
      </c>
      <c r="N1915" s="464">
        <f t="shared" si="140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38"/>
        <v>-799656208.86591399</v>
      </c>
      <c r="J1916" s="444">
        <f t="array" ref="J1916">IFERROR(INDEX('Retirement Calculator'!J:J,MATCH('Isaac 401k'!N1916,'Retirement Calculator'!A:A,0),0),0)</f>
        <v>0</v>
      </c>
      <c r="K1916" s="444">
        <f t="shared" ca="1" si="136"/>
        <v>-3331900.8702746416</v>
      </c>
      <c r="L1916" s="444">
        <f t="shared" ca="1" si="137"/>
        <v>-802988109.73618865</v>
      </c>
      <c r="M1916" s="460">
        <f t="shared" si="139"/>
        <v>0.05</v>
      </c>
      <c r="N1916" s="464">
        <f t="shared" si="140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38"/>
        <v>-802988109.73618865</v>
      </c>
      <c r="J1917" s="444">
        <f t="array" ref="J1917">IFERROR(INDEX('Retirement Calculator'!J:J,MATCH('Isaac 401k'!N1917,'Retirement Calculator'!A:A,0),0),0)</f>
        <v>0</v>
      </c>
      <c r="K1917" s="444">
        <f t="shared" ca="1" si="136"/>
        <v>-3345783.7905674526</v>
      </c>
      <c r="L1917" s="444">
        <f t="shared" ca="1" si="137"/>
        <v>-806333893.52675605</v>
      </c>
      <c r="M1917" s="460">
        <f t="shared" si="139"/>
        <v>0.05</v>
      </c>
      <c r="N1917" s="464">
        <f t="shared" si="140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38"/>
        <v>-806333893.52675605</v>
      </c>
      <c r="J1918" s="444">
        <f t="array" ref="J1918">IFERROR(INDEX('Retirement Calculator'!J:J,MATCH('Isaac 401k'!N1918,'Retirement Calculator'!A:A,0),0),0)</f>
        <v>0</v>
      </c>
      <c r="K1918" s="444">
        <f t="shared" ca="1" si="136"/>
        <v>-3359724.5563614834</v>
      </c>
      <c r="L1918" s="444">
        <f t="shared" ca="1" si="137"/>
        <v>-809693618.08311749</v>
      </c>
      <c r="M1918" s="460">
        <f t="shared" si="139"/>
        <v>0.05</v>
      </c>
      <c r="N1918" s="464">
        <f t="shared" si="140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38"/>
        <v>-809693618.08311749</v>
      </c>
      <c r="J1919" s="444">
        <f t="array" ref="J1919">IFERROR(INDEX('Retirement Calculator'!J:J,MATCH('Isaac 401k'!N1919,'Retirement Calculator'!A:A,0),0),0)</f>
        <v>0</v>
      </c>
      <c r="K1919" s="444">
        <f t="shared" ca="1" si="136"/>
        <v>-3373723.4086796562</v>
      </c>
      <c r="L1919" s="444">
        <f t="shared" ca="1" si="137"/>
        <v>-813067341.49179709</v>
      </c>
      <c r="M1919" s="460">
        <f t="shared" si="139"/>
        <v>0.05</v>
      </c>
      <c r="N1919" s="464">
        <f t="shared" si="140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38"/>
        <v>-813067341.49179709</v>
      </c>
      <c r="J1920" s="444">
        <f t="array" ref="J1920">IFERROR(INDEX('Retirement Calculator'!J:J,MATCH('Isaac 401k'!N1920,'Retirement Calculator'!A:A,0),0),0)</f>
        <v>0</v>
      </c>
      <c r="K1920" s="444">
        <f t="shared" ca="1" si="136"/>
        <v>-3387780.5895491545</v>
      </c>
      <c r="L1920" s="444">
        <f t="shared" ca="1" si="137"/>
        <v>-816455122.08134627</v>
      </c>
      <c r="M1920" s="460">
        <f t="shared" si="139"/>
        <v>0.05</v>
      </c>
      <c r="N1920" s="464">
        <f t="shared" si="140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38"/>
        <v>-816455122.08134627</v>
      </c>
      <c r="J1921" s="444">
        <f t="array" ref="J1921">IFERROR(INDEX('Retirement Calculator'!J:J,MATCH('Isaac 401k'!N1921,'Retirement Calculator'!A:A,0),0),0)</f>
        <v>0</v>
      </c>
      <c r="K1921" s="444">
        <f t="shared" ca="1" si="136"/>
        <v>-3401896.3420056095</v>
      </c>
      <c r="L1921" s="444">
        <f t="shared" ca="1" si="137"/>
        <v>-819857018.42335188</v>
      </c>
      <c r="M1921" s="460">
        <f t="shared" si="139"/>
        <v>0.05</v>
      </c>
      <c r="N1921" s="464">
        <f t="shared" si="140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38"/>
        <v>-819857018.42335188</v>
      </c>
      <c r="J1922" s="444">
        <f t="array" ref="J1922">IFERROR(INDEX('Retirement Calculator'!J:J,MATCH('Isaac 401k'!N1922,'Retirement Calculator'!A:A,0),0),0)</f>
        <v>0</v>
      </c>
      <c r="K1922" s="444">
        <f t="shared" ca="1" si="136"/>
        <v>-3416070.9100972996</v>
      </c>
      <c r="L1922" s="444">
        <f t="shared" ca="1" si="137"/>
        <v>-823273089.33344913</v>
      </c>
      <c r="M1922" s="460">
        <f t="shared" si="139"/>
        <v>0.05</v>
      </c>
      <c r="N1922" s="464">
        <f t="shared" si="140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38"/>
        <v>-823273089.33344913</v>
      </c>
      <c r="J1923" s="444">
        <f t="array" ref="J1923">IFERROR(INDEX('Retirement Calculator'!J:J,MATCH('Isaac 401k'!N1923,'Retirement Calculator'!A:A,0),0),0)</f>
        <v>0</v>
      </c>
      <c r="K1923" s="444">
        <f t="shared" ca="1" si="136"/>
        <v>-3430304.5388893713</v>
      </c>
      <c r="L1923" s="444">
        <f t="shared" ca="1" si="137"/>
        <v>-826703393.87233853</v>
      </c>
      <c r="M1923" s="460">
        <f t="shared" si="139"/>
        <v>0.05</v>
      </c>
      <c r="N1923" s="464">
        <f t="shared" si="140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38"/>
        <v>-826703393.87233853</v>
      </c>
      <c r="J1924" s="444">
        <f t="array" ref="J1924">IFERROR(INDEX('Retirement Calculator'!J:J,MATCH('Isaac 401k'!N1924,'Retirement Calculator'!A:A,0),0),0)</f>
        <v>0</v>
      </c>
      <c r="K1924" s="444">
        <f t="shared" ca="1" si="136"/>
        <v>-3444597.4744680771</v>
      </c>
      <c r="L1924" s="444">
        <f t="shared" ca="1" si="137"/>
        <v>-830147991.34680665</v>
      </c>
      <c r="M1924" s="460">
        <f t="shared" si="139"/>
        <v>0.05</v>
      </c>
      <c r="N1924" s="464">
        <f t="shared" si="140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38"/>
        <v>-830147991.34680665</v>
      </c>
      <c r="J1925" s="444">
        <f t="array" ref="J1925">IFERROR(INDEX('Retirement Calculator'!J:J,MATCH('Isaac 401k'!N1925,'Retirement Calculator'!A:A,0),0),0)</f>
        <v>0</v>
      </c>
      <c r="K1925" s="444">
        <f t="shared" ca="1" si="136"/>
        <v>-3458949.9639450274</v>
      </c>
      <c r="L1925" s="444">
        <f t="shared" ca="1" si="137"/>
        <v>-833606941.31075168</v>
      </c>
      <c r="M1925" s="460">
        <f t="shared" si="139"/>
        <v>0.05</v>
      </c>
      <c r="N1925" s="464">
        <f t="shared" si="140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38"/>
        <v>-833606941.31075168</v>
      </c>
      <c r="J1926" s="444">
        <f t="array" ref="J1926">IFERROR(INDEX('Retirement Calculator'!J:J,MATCH('Isaac 401k'!N1926,'Retirement Calculator'!A:A,0),0),0)</f>
        <v>0</v>
      </c>
      <c r="K1926" s="444">
        <f t="shared" ca="1" si="136"/>
        <v>-3473362.2554614651</v>
      </c>
      <c r="L1926" s="444">
        <f t="shared" ca="1" si="137"/>
        <v>-837080303.56621313</v>
      </c>
      <c r="M1926" s="460">
        <f t="shared" si="139"/>
        <v>0.05</v>
      </c>
      <c r="N1926" s="464">
        <f t="shared" si="140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38"/>
        <v>-837080303.56621313</v>
      </c>
      <c r="J1927" s="444">
        <f t="array" ref="J1927">IFERROR(INDEX('Retirement Calculator'!J:J,MATCH('Isaac 401k'!N1927,'Retirement Calculator'!A:A,0),0),0)</f>
        <v>0</v>
      </c>
      <c r="K1927" s="444">
        <f t="shared" ca="1" si="136"/>
        <v>-3487834.5981925554</v>
      </c>
      <c r="L1927" s="444">
        <f t="shared" ca="1" si="137"/>
        <v>-840568138.1644057</v>
      </c>
      <c r="M1927" s="460">
        <f t="shared" si="139"/>
        <v>0.05</v>
      </c>
      <c r="N1927" s="464">
        <f t="shared" si="140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38"/>
        <v>-840568138.1644057</v>
      </c>
      <c r="J1928" s="444">
        <f t="array" ref="J1928">IFERROR(INDEX('Retirement Calculator'!J:J,MATCH('Isaac 401k'!N1928,'Retirement Calculator'!A:A,0),0),0)</f>
        <v>0</v>
      </c>
      <c r="K1928" s="444">
        <f t="shared" ca="1" si="136"/>
        <v>-3502367.2423516903</v>
      </c>
      <c r="L1928" s="444">
        <f t="shared" ca="1" si="137"/>
        <v>-844070505.40675735</v>
      </c>
      <c r="M1928" s="460">
        <f t="shared" si="139"/>
        <v>0.05</v>
      </c>
      <c r="N1928" s="464">
        <f t="shared" si="140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38"/>
        <v>-844070505.40675735</v>
      </c>
      <c r="J1929" s="444">
        <f t="array" ref="J1929">IFERROR(INDEX('Retirement Calculator'!J:J,MATCH('Isaac 401k'!N1929,'Retirement Calculator'!A:A,0),0),0)</f>
        <v>0</v>
      </c>
      <c r="K1929" s="444">
        <f t="shared" ca="1" si="136"/>
        <v>-3516960.4391948222</v>
      </c>
      <c r="L1929" s="444">
        <f t="shared" ca="1" si="137"/>
        <v>-847587465.84595215</v>
      </c>
      <c r="M1929" s="460">
        <f t="shared" si="139"/>
        <v>0.05</v>
      </c>
      <c r="N1929" s="464">
        <f t="shared" si="140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38"/>
        <v>-847587465.84595215</v>
      </c>
      <c r="J1930" s="444">
        <f t="array" ref="J1930">IFERROR(INDEX('Retirement Calculator'!J:J,MATCH('Isaac 401k'!N1930,'Retirement Calculator'!A:A,0),0),0)</f>
        <v>0</v>
      </c>
      <c r="K1930" s="444">
        <f t="shared" ca="1" si="136"/>
        <v>-3531614.4410248008</v>
      </c>
      <c r="L1930" s="444">
        <f t="shared" ca="1" si="137"/>
        <v>-851119080.28697693</v>
      </c>
      <c r="M1930" s="460">
        <f t="shared" si="139"/>
        <v>0.05</v>
      </c>
      <c r="N1930" s="464">
        <f t="shared" si="140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38"/>
        <v>-851119080.28697693</v>
      </c>
      <c r="J1931" s="444">
        <f t="array" ref="J1931">IFERROR(INDEX('Retirement Calculator'!J:J,MATCH('Isaac 401k'!N1931,'Retirement Calculator'!A:A,0),0),0)</f>
        <v>0</v>
      </c>
      <c r="K1931" s="444">
        <f t="shared" ca="1" si="136"/>
        <v>-3546329.5011957372</v>
      </c>
      <c r="L1931" s="444">
        <f t="shared" ca="1" si="137"/>
        <v>-854665409.78817272</v>
      </c>
      <c r="M1931" s="460">
        <f t="shared" si="139"/>
        <v>0.05</v>
      </c>
      <c r="N1931" s="464">
        <f t="shared" si="140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38"/>
        <v>-854665409.78817272</v>
      </c>
      <c r="J1932" s="444">
        <f t="array" ref="J1932">IFERROR(INDEX('Retirement Calculator'!J:J,MATCH('Isaac 401k'!N1932,'Retirement Calculator'!A:A,0),0),0)</f>
        <v>0</v>
      </c>
      <c r="K1932" s="444">
        <f t="shared" ca="1" si="136"/>
        <v>-3561105.8741173861</v>
      </c>
      <c r="L1932" s="444">
        <f t="shared" ca="1" si="137"/>
        <v>-858226515.6622901</v>
      </c>
      <c r="M1932" s="460">
        <f t="shared" si="139"/>
        <v>0.05</v>
      </c>
      <c r="N1932" s="464">
        <f t="shared" si="140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38"/>
        <v>-858226515.6622901</v>
      </c>
      <c r="J1933" s="444">
        <f t="array" ref="J1933">IFERROR(INDEX('Retirement Calculator'!J:J,MATCH('Isaac 401k'!N1933,'Retirement Calculator'!A:A,0),0),0)</f>
        <v>0</v>
      </c>
      <c r="K1933" s="444">
        <f t="shared" ca="1" si="136"/>
        <v>-3575943.8152595419</v>
      </c>
      <c r="L1933" s="444">
        <f t="shared" ca="1" si="137"/>
        <v>-861802459.47754967</v>
      </c>
      <c r="M1933" s="460">
        <f t="shared" si="139"/>
        <v>0.05</v>
      </c>
      <c r="N1933" s="464">
        <f t="shared" si="140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38"/>
        <v>-861802459.47754967</v>
      </c>
      <c r="J1934" s="444">
        <f t="array" ref="J1934">IFERROR(INDEX('Retirement Calculator'!J:J,MATCH('Isaac 401k'!N1934,'Retirement Calculator'!A:A,0),0),0)</f>
        <v>0</v>
      </c>
      <c r="K1934" s="444">
        <f t="shared" ca="1" si="136"/>
        <v>-3590843.5811564568</v>
      </c>
      <c r="L1934" s="444">
        <f t="shared" ca="1" si="137"/>
        <v>-865393303.05870616</v>
      </c>
      <c r="M1934" s="460">
        <f t="shared" si="139"/>
        <v>0.05</v>
      </c>
      <c r="N1934" s="464">
        <f t="shared" si="140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38"/>
        <v>-865393303.05870616</v>
      </c>
      <c r="J1935" s="444">
        <f t="array" ref="J1935">IFERROR(INDEX('Retirement Calculator'!J:J,MATCH('Isaac 401k'!N1935,'Retirement Calculator'!A:A,0),0),0)</f>
        <v>0</v>
      </c>
      <c r="K1935" s="444">
        <f t="shared" ca="1" si="136"/>
        <v>-3605805.4294112758</v>
      </c>
      <c r="L1935" s="444">
        <f t="shared" ca="1" si="137"/>
        <v>-868999108.48811746</v>
      </c>
      <c r="M1935" s="460">
        <f t="shared" si="139"/>
        <v>0.05</v>
      </c>
      <c r="N1935" s="464">
        <f t="shared" si="140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38"/>
        <v>-868999108.48811746</v>
      </c>
      <c r="J1936" s="444">
        <f t="array" ref="J1936">IFERROR(INDEX('Retirement Calculator'!J:J,MATCH('Isaac 401k'!N1936,'Retirement Calculator'!A:A,0),0),0)</f>
        <v>0</v>
      </c>
      <c r="K1936" s="444">
        <f t="shared" ca="1" si="136"/>
        <v>-3620829.6187004894</v>
      </c>
      <c r="L1936" s="444">
        <f t="shared" ca="1" si="137"/>
        <v>-872619938.10681796</v>
      </c>
      <c r="M1936" s="460">
        <f t="shared" si="139"/>
        <v>0.05</v>
      </c>
      <c r="N1936" s="464">
        <f t="shared" si="140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38"/>
        <v>-872619938.10681796</v>
      </c>
      <c r="J1937" s="444">
        <f t="array" ref="J1937">IFERROR(INDEX('Retirement Calculator'!J:J,MATCH('Isaac 401k'!N1937,'Retirement Calculator'!A:A,0),0),0)</f>
        <v>0</v>
      </c>
      <c r="K1937" s="444">
        <f t="shared" ca="1" si="136"/>
        <v>-3635916.4087784085</v>
      </c>
      <c r="L1937" s="444">
        <f t="shared" ca="1" si="137"/>
        <v>-876255854.51559639</v>
      </c>
      <c r="M1937" s="460">
        <f t="shared" si="139"/>
        <v>0.05</v>
      </c>
      <c r="N1937" s="464">
        <f t="shared" si="140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38"/>
        <v>-876255854.51559639</v>
      </c>
      <c r="J1938" s="444">
        <f t="array" ref="J1938">IFERROR(INDEX('Retirement Calculator'!J:J,MATCH('Isaac 401k'!N1938,'Retirement Calculator'!A:A,0),0),0)</f>
        <v>0</v>
      </c>
      <c r="K1938" s="444">
        <f t="shared" ca="1" si="136"/>
        <v>-3651066.0604816517</v>
      </c>
      <c r="L1938" s="444">
        <f t="shared" ca="1" si="137"/>
        <v>-879906920.57607806</v>
      </c>
      <c r="M1938" s="460">
        <f t="shared" si="139"/>
        <v>0.05</v>
      </c>
      <c r="N1938" s="464">
        <f t="shared" si="140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38"/>
        <v>-879906920.57607806</v>
      </c>
      <c r="J1939" s="444">
        <f t="array" ref="J1939">IFERROR(INDEX('Retirement Calculator'!J:J,MATCH('Isaac 401k'!N1939,'Retirement Calculator'!A:A,0),0),0)</f>
        <v>0</v>
      </c>
      <c r="K1939" s="444">
        <f t="shared" ca="1" si="136"/>
        <v>-3666278.8357336591</v>
      </c>
      <c r="L1939" s="444">
        <f t="shared" ca="1" si="137"/>
        <v>-883573199.41181171</v>
      </c>
      <c r="M1939" s="460">
        <f t="shared" si="139"/>
        <v>0.05</v>
      </c>
      <c r="N1939" s="464">
        <f t="shared" si="140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38"/>
        <v>-883573199.41181171</v>
      </c>
      <c r="J1940" s="444">
        <f t="array" ref="J1940">IFERROR(INDEX('Retirement Calculator'!J:J,MATCH('Isaac 401k'!N1940,'Retirement Calculator'!A:A,0),0),0)</f>
        <v>0</v>
      </c>
      <c r="K1940" s="444">
        <f t="shared" ca="1" si="136"/>
        <v>-3681554.9975492153</v>
      </c>
      <c r="L1940" s="444">
        <f t="shared" ca="1" si="137"/>
        <v>-887254754.40936089</v>
      </c>
      <c r="M1940" s="460">
        <f t="shared" si="139"/>
        <v>0.05</v>
      </c>
      <c r="N1940" s="464">
        <f t="shared" si="140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38"/>
        <v>-887254754.40936089</v>
      </c>
      <c r="J1941" s="444">
        <f t="array" ref="J1941">IFERROR(INDEX('Retirement Calculator'!J:J,MATCH('Isaac 401k'!N1941,'Retirement Calculator'!A:A,0),0),0)</f>
        <v>0</v>
      </c>
      <c r="K1941" s="444">
        <f t="shared" ca="1" si="136"/>
        <v>-3696894.8100390038</v>
      </c>
      <c r="L1941" s="444">
        <f t="shared" ca="1" si="137"/>
        <v>-890951649.21939993</v>
      </c>
      <c r="M1941" s="460">
        <f t="shared" si="139"/>
        <v>0.05</v>
      </c>
      <c r="N1941" s="464">
        <f t="shared" si="140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38"/>
        <v>-890951649.21939993</v>
      </c>
      <c r="J1942" s="444">
        <f t="array" ref="J1942">IFERROR(INDEX('Retirement Calculator'!J:J,MATCH('Isaac 401k'!N1942,'Retirement Calculator'!A:A,0),0),0)</f>
        <v>0</v>
      </c>
      <c r="K1942" s="444">
        <f t="shared" ca="1" si="136"/>
        <v>-3712298.5384141663</v>
      </c>
      <c r="L1942" s="444">
        <f t="shared" ca="1" si="137"/>
        <v>-894663947.75781405</v>
      </c>
      <c r="M1942" s="460">
        <f t="shared" si="139"/>
        <v>0.05</v>
      </c>
      <c r="N1942" s="464">
        <f t="shared" si="140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38"/>
        <v>-894663947.75781405</v>
      </c>
      <c r="J1943" s="444">
        <f t="array" ref="J1943">IFERROR(INDEX('Retirement Calculator'!J:J,MATCH('Isaac 401k'!N1943,'Retirement Calculator'!A:A,0),0),0)</f>
        <v>0</v>
      </c>
      <c r="K1943" s="444">
        <f t="shared" ca="1" si="136"/>
        <v>-3727766.4489908917</v>
      </c>
      <c r="L1943" s="444">
        <f t="shared" ca="1" si="137"/>
        <v>-898391714.20680499</v>
      </c>
      <c r="M1943" s="460">
        <f t="shared" si="139"/>
        <v>0.05</v>
      </c>
      <c r="N1943" s="464">
        <f t="shared" si="140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38"/>
        <v>-898391714.20680499</v>
      </c>
      <c r="J1944" s="444">
        <f t="array" ref="J1944">IFERROR(INDEX('Retirement Calculator'!J:J,MATCH('Isaac 401k'!N1944,'Retirement Calculator'!A:A,0),0),0)</f>
        <v>0</v>
      </c>
      <c r="K1944" s="444">
        <f t="shared" ca="1" si="136"/>
        <v>-3743298.8091950202</v>
      </c>
      <c r="L1944" s="444">
        <f t="shared" ca="1" si="137"/>
        <v>-902135013.01600003</v>
      </c>
      <c r="M1944" s="460">
        <f t="shared" si="139"/>
        <v>0.05</v>
      </c>
      <c r="N1944" s="464">
        <f t="shared" si="140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38"/>
        <v>-902135013.01600003</v>
      </c>
      <c r="J1945" s="444">
        <f t="array" ref="J1945">IFERROR(INDEX('Retirement Calculator'!J:J,MATCH('Isaac 401k'!N1945,'Retirement Calculator'!A:A,0),0),0)</f>
        <v>0</v>
      </c>
      <c r="K1945" s="444">
        <f t="shared" ca="1" si="136"/>
        <v>-3758895.8875666666</v>
      </c>
      <c r="L1945" s="444">
        <f t="shared" ca="1" si="137"/>
        <v>-905893908.90356672</v>
      </c>
      <c r="M1945" s="460">
        <f t="shared" si="139"/>
        <v>0.05</v>
      </c>
      <c r="N1945" s="464">
        <f t="shared" si="140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38"/>
        <v>-905893908.90356672</v>
      </c>
      <c r="J1946" s="444">
        <f t="array" ref="J1946">IFERROR(INDEX('Retirement Calculator'!J:J,MATCH('Isaac 401k'!N1946,'Retirement Calculator'!A:A,0),0),0)</f>
        <v>0</v>
      </c>
      <c r="K1946" s="444">
        <f t="shared" ca="1" si="136"/>
        <v>-3774557.9537648614</v>
      </c>
      <c r="L1946" s="444">
        <f t="shared" ca="1" si="137"/>
        <v>-909668466.85733163</v>
      </c>
      <c r="M1946" s="460">
        <f t="shared" si="139"/>
        <v>0.05</v>
      </c>
      <c r="N1946" s="464">
        <f t="shared" si="140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38"/>
        <v>-909668466.85733163</v>
      </c>
      <c r="J1947" s="444">
        <f t="array" ref="J1947">IFERROR(INDEX('Retirement Calculator'!J:J,MATCH('Isaac 401k'!N1947,'Retirement Calculator'!A:A,0),0),0)</f>
        <v>0</v>
      </c>
      <c r="K1947" s="444">
        <f t="shared" ca="1" si="136"/>
        <v>-3790285.2785722152</v>
      </c>
      <c r="L1947" s="444">
        <f t="shared" ca="1" si="137"/>
        <v>-913458752.13590384</v>
      </c>
      <c r="M1947" s="460">
        <f t="shared" si="139"/>
        <v>0.05</v>
      </c>
      <c r="N1947" s="464">
        <f t="shared" si="140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38"/>
        <v>-913458752.13590384</v>
      </c>
      <c r="J1948" s="444">
        <f t="array" ref="J1948">IFERROR(INDEX('Retirement Calculator'!J:J,MATCH('Isaac 401k'!N1948,'Retirement Calculator'!A:A,0),0),0)</f>
        <v>0</v>
      </c>
      <c r="K1948" s="444">
        <f t="shared" ca="1" si="136"/>
        <v>-3806078.1338995993</v>
      </c>
      <c r="L1948" s="444">
        <f t="shared" ca="1" si="137"/>
        <v>-917264830.2698034</v>
      </c>
      <c r="M1948" s="460">
        <f t="shared" si="139"/>
        <v>0.05</v>
      </c>
      <c r="N1948" s="464">
        <f t="shared" si="140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38"/>
        <v>-917264830.2698034</v>
      </c>
      <c r="J1949" s="444">
        <f t="array" ref="J1949">IFERROR(INDEX('Retirement Calculator'!J:J,MATCH('Isaac 401k'!N1949,'Retirement Calculator'!A:A,0),0),0)</f>
        <v>0</v>
      </c>
      <c r="K1949" s="444">
        <f t="shared" ca="1" si="136"/>
        <v>-3821936.7927908469</v>
      </c>
      <c r="L1949" s="444">
        <f t="shared" ca="1" si="137"/>
        <v>-921086767.06259429</v>
      </c>
      <c r="M1949" s="460">
        <f t="shared" si="139"/>
        <v>0.05</v>
      </c>
      <c r="N1949" s="464">
        <f t="shared" si="140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38"/>
        <v>-921086767.06259429</v>
      </c>
      <c r="J1950" s="444">
        <f t="array" ref="J1950">IFERROR(INDEX('Retirement Calculator'!J:J,MATCH('Isaac 401k'!N1950,'Retirement Calculator'!A:A,0),0),0)</f>
        <v>0</v>
      </c>
      <c r="K1950" s="444">
        <f t="shared" ca="1" si="136"/>
        <v>-3837861.5294274762</v>
      </c>
      <c r="L1950" s="444">
        <f t="shared" ca="1" si="137"/>
        <v>-924924628.59202182</v>
      </c>
      <c r="M1950" s="460">
        <f t="shared" si="139"/>
        <v>0.05</v>
      </c>
      <c r="N1950" s="464">
        <f t="shared" si="140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38"/>
        <v>-924924628.59202182</v>
      </c>
      <c r="J1951" s="444">
        <f t="array" ref="J1951">IFERROR(INDEX('Retirement Calculator'!J:J,MATCH('Isaac 401k'!N1951,'Retirement Calculator'!A:A,0),0),0)</f>
        <v>0</v>
      </c>
      <c r="K1951" s="444">
        <f t="shared" ca="1" si="136"/>
        <v>-3853852.6191334235</v>
      </c>
      <c r="L1951" s="444">
        <f t="shared" ca="1" si="137"/>
        <v>-928778481.2111553</v>
      </c>
      <c r="M1951" s="460">
        <f t="shared" si="139"/>
        <v>0.05</v>
      </c>
      <c r="N1951" s="464">
        <f t="shared" si="140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38"/>
        <v>-928778481.2111553</v>
      </c>
      <c r="J1952" s="444">
        <f t="array" ref="J1952">IFERROR(INDEX('Retirement Calculator'!J:J,MATCH('Isaac 401k'!N1952,'Retirement Calculator'!A:A,0),0),0)</f>
        <v>0</v>
      </c>
      <c r="K1952" s="444">
        <f t="shared" ca="1" si="136"/>
        <v>-3869910.3383798138</v>
      </c>
      <c r="L1952" s="444">
        <f t="shared" ca="1" si="137"/>
        <v>-932648391.54953516</v>
      </c>
      <c r="M1952" s="460">
        <f t="shared" si="139"/>
        <v>0.05</v>
      </c>
      <c r="N1952" s="464">
        <f t="shared" si="140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38"/>
        <v>-932648391.54953516</v>
      </c>
      <c r="J1953" s="444">
        <f t="array" ref="J1953">IFERROR(INDEX('Retirement Calculator'!J:J,MATCH('Isaac 401k'!N1953,'Retirement Calculator'!A:A,0),0),0)</f>
        <v>0</v>
      </c>
      <c r="K1953" s="444">
        <f t="shared" ca="1" si="136"/>
        <v>-3886034.9647897296</v>
      </c>
      <c r="L1953" s="444">
        <f t="shared" ca="1" si="137"/>
        <v>-936534426.5143249</v>
      </c>
      <c r="M1953" s="460">
        <f t="shared" si="139"/>
        <v>0.05</v>
      </c>
      <c r="N1953" s="464">
        <f t="shared" si="140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38"/>
        <v>-936534426.5143249</v>
      </c>
      <c r="J1954" s="444">
        <f t="array" ref="J1954">IFERROR(INDEX('Retirement Calculator'!J:J,MATCH('Isaac 401k'!N1954,'Retirement Calculator'!A:A,0),0),0)</f>
        <v>0</v>
      </c>
      <c r="K1954" s="444">
        <f t="shared" ca="1" si="136"/>
        <v>-3902226.7771430202</v>
      </c>
      <c r="L1954" s="444">
        <f t="shared" ca="1" si="137"/>
        <v>-940436653.29146791</v>
      </c>
      <c r="M1954" s="460">
        <f t="shared" si="139"/>
        <v>0.05</v>
      </c>
      <c r="N1954" s="464">
        <f t="shared" si="140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38"/>
        <v>-940436653.29146791</v>
      </c>
      <c r="J1955" s="444">
        <f t="array" ref="J1955">IFERROR(INDEX('Retirement Calculator'!J:J,MATCH('Isaac 401k'!N1955,'Retirement Calculator'!A:A,0),0),0)</f>
        <v>0</v>
      </c>
      <c r="K1955" s="444">
        <f t="shared" ca="1" si="136"/>
        <v>-3918486.055381116</v>
      </c>
      <c r="L1955" s="444">
        <f t="shared" ca="1" si="137"/>
        <v>-944355139.34684896</v>
      </c>
      <c r="M1955" s="460">
        <f t="shared" si="139"/>
        <v>0.05</v>
      </c>
      <c r="N1955" s="464">
        <f t="shared" si="140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38"/>
        <v>-944355139.34684896</v>
      </c>
      <c r="J1956" s="444">
        <f t="array" ref="J1956">IFERROR(INDEX('Retirement Calculator'!J:J,MATCH('Isaac 401k'!N1956,'Retirement Calculator'!A:A,0),0),0)</f>
        <v>0</v>
      </c>
      <c r="K1956" s="444">
        <f t="shared" ca="1" si="136"/>
        <v>-3934813.0806118706</v>
      </c>
      <c r="L1956" s="444">
        <f t="shared" ca="1" si="137"/>
        <v>-948289952.42746079</v>
      </c>
      <c r="M1956" s="460">
        <f t="shared" si="139"/>
        <v>0.05</v>
      </c>
      <c r="N1956" s="464">
        <f t="shared" si="140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38"/>
        <v>-948289952.42746079</v>
      </c>
      <c r="J1957" s="444">
        <f t="array" ref="J1957">IFERROR(INDEX('Retirement Calculator'!J:J,MATCH('Isaac 401k'!N1957,'Retirement Calculator'!A:A,0),0),0)</f>
        <v>0</v>
      </c>
      <c r="K1957" s="444">
        <f t="shared" ca="1" si="136"/>
        <v>-3951208.1351144197</v>
      </c>
      <c r="L1957" s="444">
        <f t="shared" ca="1" si="137"/>
        <v>-952241160.56257522</v>
      </c>
      <c r="M1957" s="460">
        <f t="shared" si="139"/>
        <v>0.05</v>
      </c>
      <c r="N1957" s="464">
        <f t="shared" si="140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38"/>
        <v>-952241160.56257522</v>
      </c>
      <c r="J1958" s="444">
        <f t="array" ref="J1958">IFERROR(INDEX('Retirement Calculator'!J:J,MATCH('Isaac 401k'!N1958,'Retirement Calculator'!A:A,0),0),0)</f>
        <v>0</v>
      </c>
      <c r="K1958" s="444">
        <f t="shared" ca="1" si="136"/>
        <v>-3967671.5023440639</v>
      </c>
      <c r="L1958" s="444">
        <f t="shared" ca="1" si="137"/>
        <v>-956208832.06491923</v>
      </c>
      <c r="M1958" s="460">
        <f t="shared" si="139"/>
        <v>0.05</v>
      </c>
      <c r="N1958" s="464">
        <f t="shared" si="140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38"/>
        <v>-956208832.06491923</v>
      </c>
      <c r="J1959" s="444">
        <f t="array" ref="J1959">IFERROR(INDEX('Retirement Calculator'!J:J,MATCH('Isaac 401k'!N1959,'Retirement Calculator'!A:A,0),0),0)</f>
        <v>0</v>
      </c>
      <c r="K1959" s="444">
        <f t="shared" ca="1" si="136"/>
        <v>-3984203.4669371638</v>
      </c>
      <c r="L1959" s="444">
        <f t="shared" ca="1" si="137"/>
        <v>-960193035.53185642</v>
      </c>
      <c r="M1959" s="460">
        <f t="shared" si="139"/>
        <v>0.05</v>
      </c>
      <c r="N1959" s="464">
        <f t="shared" si="140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38"/>
        <v>-960193035.53185642</v>
      </c>
      <c r="J1960" s="444">
        <f t="array" ref="J1960">IFERROR(INDEX('Retirement Calculator'!J:J,MATCH('Isaac 401k'!N1960,'Retirement Calculator'!A:A,0),0),0)</f>
        <v>0</v>
      </c>
      <c r="K1960" s="444">
        <f t="shared" ca="1" si="136"/>
        <v>-4000804.3147160686</v>
      </c>
      <c r="L1960" s="444">
        <f t="shared" ca="1" si="137"/>
        <v>-964193839.84657252</v>
      </c>
      <c r="M1960" s="460">
        <f t="shared" si="139"/>
        <v>0.05</v>
      </c>
      <c r="N1960" s="464">
        <f t="shared" si="140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38"/>
        <v>-964193839.84657252</v>
      </c>
      <c r="J1961" s="444">
        <f t="array" ref="J1961">IFERROR(INDEX('Retirement Calculator'!J:J,MATCH('Isaac 401k'!N1961,'Retirement Calculator'!A:A,0),0),0)</f>
        <v>0</v>
      </c>
      <c r="K1961" s="444">
        <f t="shared" ca="1" si="136"/>
        <v>-4017474.3326940523</v>
      </c>
      <c r="L1961" s="444">
        <f t="shared" ca="1" si="137"/>
        <v>-968211314.17926657</v>
      </c>
      <c r="M1961" s="460">
        <f t="shared" si="139"/>
        <v>0.05</v>
      </c>
      <c r="N1961" s="464">
        <f t="shared" si="140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38"/>
        <v>-968211314.17926657</v>
      </c>
      <c r="J1962" s="444">
        <f t="array" ref="J1962">IFERROR(INDEX('Retirement Calculator'!J:J,MATCH('Isaac 401k'!N1962,'Retirement Calculator'!A:A,0),0),0)</f>
        <v>0</v>
      </c>
      <c r="K1962" s="444">
        <f t="shared" ca="1" si="136"/>
        <v>-4034213.8090802771</v>
      </c>
      <c r="L1962" s="444">
        <f t="shared" ca="1" si="137"/>
        <v>-972245527.98834682</v>
      </c>
      <c r="M1962" s="460">
        <f t="shared" si="139"/>
        <v>0.05</v>
      </c>
      <c r="N1962" s="464">
        <f t="shared" si="140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38"/>
        <v>-972245527.98834682</v>
      </c>
      <c r="J1963" s="444">
        <f t="array" ref="J1963">IFERROR(INDEX('Retirement Calculator'!J:J,MATCH('Isaac 401k'!N1963,'Retirement Calculator'!A:A,0),0),0)</f>
        <v>0</v>
      </c>
      <c r="K1963" s="444">
        <f t="shared" ca="1" si="136"/>
        <v>-4051023.0332847778</v>
      </c>
      <c r="L1963" s="444">
        <f t="shared" ca="1" si="137"/>
        <v>-976296551.0216316</v>
      </c>
      <c r="M1963" s="460">
        <f t="shared" si="139"/>
        <v>0.05</v>
      </c>
      <c r="N1963" s="464">
        <f t="shared" si="140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38"/>
        <v>-976296551.0216316</v>
      </c>
      <c r="J1964" s="444">
        <f t="array" ref="J1964">IFERROR(INDEX('Retirement Calculator'!J:J,MATCH('Isaac 401k'!N1964,'Retirement Calculator'!A:A,0),0),0)</f>
        <v>0</v>
      </c>
      <c r="K1964" s="444">
        <f t="shared" ca="1" si="136"/>
        <v>-4067902.2959234654</v>
      </c>
      <c r="L1964" s="444">
        <f t="shared" ca="1" si="137"/>
        <v>-980364453.31755507</v>
      </c>
      <c r="M1964" s="460">
        <f t="shared" si="139"/>
        <v>0.05</v>
      </c>
      <c r="N1964" s="464">
        <f t="shared" si="140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38"/>
        <v>-980364453.31755507</v>
      </c>
      <c r="J1965" s="444">
        <f t="array" ref="J1965">IFERROR(INDEX('Retirement Calculator'!J:J,MATCH('Isaac 401k'!N1965,'Retirement Calculator'!A:A,0),0),0)</f>
        <v>0</v>
      </c>
      <c r="K1965" s="444">
        <f t="shared" ca="1" si="136"/>
        <v>-4084851.888823146</v>
      </c>
      <c r="L1965" s="444">
        <f t="shared" ca="1" si="137"/>
        <v>-984449305.20637822</v>
      </c>
      <c r="M1965" s="460">
        <f t="shared" si="139"/>
        <v>0.05</v>
      </c>
      <c r="N1965" s="464">
        <f t="shared" si="140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38"/>
        <v>-984449305.20637822</v>
      </c>
      <c r="J1966" s="444">
        <f t="array" ref="J1966">IFERROR(INDEX('Retirement Calculator'!J:J,MATCH('Isaac 401k'!N1966,'Retirement Calculator'!A:A,0),0),0)</f>
        <v>0</v>
      </c>
      <c r="K1966" s="444">
        <f t="shared" ca="1" si="136"/>
        <v>-4101872.1050265757</v>
      </c>
      <c r="L1966" s="444">
        <f t="shared" ca="1" si="137"/>
        <v>-988551177.31140482</v>
      </c>
      <c r="M1966" s="460">
        <f t="shared" si="139"/>
        <v>0.05</v>
      </c>
      <c r="N1966" s="464">
        <f t="shared" si="140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38"/>
        <v>-988551177.31140482</v>
      </c>
      <c r="J1967" s="444">
        <f t="array" ref="J1967">IFERROR(INDEX('Retirement Calculator'!J:J,MATCH('Isaac 401k'!N1967,'Retirement Calculator'!A:A,0),0),0)</f>
        <v>0</v>
      </c>
      <c r="K1967" s="444">
        <f t="shared" ca="1" si="136"/>
        <v>-4118963.2387975198</v>
      </c>
      <c r="L1967" s="444">
        <f t="shared" ca="1" si="137"/>
        <v>-992670140.55020237</v>
      </c>
      <c r="M1967" s="460">
        <f t="shared" si="139"/>
        <v>0.05</v>
      </c>
      <c r="N1967" s="464">
        <f t="shared" si="140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38"/>
        <v>-992670140.55020237</v>
      </c>
      <c r="J1968" s="444">
        <f t="array" ref="J1968">IFERROR(INDEX('Retirement Calculator'!J:J,MATCH('Isaac 401k'!N1968,'Retirement Calculator'!A:A,0),0),0)</f>
        <v>0</v>
      </c>
      <c r="K1968" s="444">
        <f t="shared" ca="1" si="136"/>
        <v>-4136125.5856258431</v>
      </c>
      <c r="L1968" s="444">
        <f t="shared" ca="1" si="137"/>
        <v>-996806266.13582826</v>
      </c>
      <c r="M1968" s="460">
        <f t="shared" si="139"/>
        <v>0.05</v>
      </c>
      <c r="N1968" s="464">
        <f t="shared" si="140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38"/>
        <v>-996806266.13582826</v>
      </c>
      <c r="J1969" s="444">
        <f t="array" ref="J1969">IFERROR(INDEX('Retirement Calculator'!J:J,MATCH('Isaac 401k'!N1969,'Retirement Calculator'!A:A,0),0),0)</f>
        <v>0</v>
      </c>
      <c r="K1969" s="444">
        <f t="shared" ca="1" si="136"/>
        <v>-4153359.4422326176</v>
      </c>
      <c r="L1969" s="444">
        <f t="shared" ca="1" si="137"/>
        <v>-1000959625.5780609</v>
      </c>
      <c r="M1969" s="460">
        <f t="shared" si="139"/>
        <v>0.05</v>
      </c>
      <c r="N1969" s="464">
        <f t="shared" si="140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38"/>
        <v>-1000959625.5780609</v>
      </c>
      <c r="J1970" s="444">
        <f t="array" ref="J1970">IFERROR(INDEX('Retirement Calculator'!J:J,MATCH('Isaac 401k'!N1970,'Retirement Calculator'!A:A,0),0),0)</f>
        <v>0</v>
      </c>
      <c r="K1970" s="444">
        <f t="shared" ca="1" si="136"/>
        <v>-4170665.1065752534</v>
      </c>
      <c r="L1970" s="444">
        <f t="shared" ca="1" si="137"/>
        <v>-1005130290.6846361</v>
      </c>
      <c r="M1970" s="460">
        <f t="shared" si="139"/>
        <v>0.05</v>
      </c>
      <c r="N1970" s="464">
        <f t="shared" si="140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38"/>
        <v>-1005130290.6846361</v>
      </c>
      <c r="J1971" s="444">
        <f t="array" ref="J1971">IFERROR(INDEX('Retirement Calculator'!J:J,MATCH('Isaac 401k'!N1971,'Retirement Calculator'!A:A,0),0),0)</f>
        <v>0</v>
      </c>
      <c r="K1971" s="444">
        <f t="shared" ca="1" si="136"/>
        <v>-4188042.8778526508</v>
      </c>
      <c r="L1971" s="444">
        <f t="shared" ca="1" si="137"/>
        <v>-1009318333.5624888</v>
      </c>
      <c r="M1971" s="460">
        <f t="shared" si="139"/>
        <v>0.05</v>
      </c>
      <c r="N1971" s="464">
        <f t="shared" si="140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38"/>
        <v>-1009318333.5624888</v>
      </c>
      <c r="J1972" s="444">
        <f t="array" ref="J1972">IFERROR(INDEX('Retirement Calculator'!J:J,MATCH('Isaac 401k'!N1972,'Retirement Calculator'!A:A,0),0),0)</f>
        <v>0</v>
      </c>
      <c r="K1972" s="444">
        <f t="shared" ca="1" si="136"/>
        <v>-4205493.0565103702</v>
      </c>
      <c r="L1972" s="444">
        <f t="shared" ca="1" si="137"/>
        <v>-1013523826.6189991</v>
      </c>
      <c r="M1972" s="460">
        <f t="shared" si="139"/>
        <v>0.05</v>
      </c>
      <c r="N1972" s="464">
        <f t="shared" si="140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38"/>
        <v>-1013523826.6189991</v>
      </c>
      <c r="J1973" s="444">
        <f t="array" ref="J1973">IFERROR(INDEX('Retirement Calculator'!J:J,MATCH('Isaac 401k'!N1973,'Retirement Calculator'!A:A,0),0),0)</f>
        <v>0</v>
      </c>
      <c r="K1973" s="444">
        <f t="shared" ca="1" si="136"/>
        <v>-4223015.9442458292</v>
      </c>
      <c r="L1973" s="444">
        <f t="shared" ca="1" si="137"/>
        <v>-1017746842.5632449</v>
      </c>
      <c r="M1973" s="460">
        <f t="shared" si="139"/>
        <v>0.05</v>
      </c>
      <c r="N1973" s="464">
        <f t="shared" si="140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38"/>
        <v>-1017746842.5632449</v>
      </c>
      <c r="J1974" s="444">
        <f t="array" ref="J1974">IFERROR(INDEX('Retirement Calculator'!J:J,MATCH('Isaac 401k'!N1974,'Retirement Calculator'!A:A,0),0),0)</f>
        <v>0</v>
      </c>
      <c r="K1974" s="444">
        <f t="shared" ca="1" si="136"/>
        <v>-4240611.8440135205</v>
      </c>
      <c r="L1974" s="444">
        <f t="shared" ca="1" si="137"/>
        <v>-1021987454.4072585</v>
      </c>
      <c r="M1974" s="460">
        <f t="shared" si="139"/>
        <v>0.05</v>
      </c>
      <c r="N1974" s="464">
        <f t="shared" si="140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38"/>
        <v>-1021987454.4072585</v>
      </c>
      <c r="J1975" s="444">
        <f t="array" ref="J1975">IFERROR(INDEX('Retirement Calculator'!J:J,MATCH('Isaac 401k'!N1975,'Retirement Calculator'!A:A,0),0),0)</f>
        <v>0</v>
      </c>
      <c r="K1975" s="444">
        <f t="shared" ca="1" si="136"/>
        <v>-4258281.0600302443</v>
      </c>
      <c r="L1975" s="444">
        <f t="shared" ca="1" si="137"/>
        <v>-1026245735.4672887</v>
      </c>
      <c r="M1975" s="460">
        <f t="shared" si="139"/>
        <v>0.05</v>
      </c>
      <c r="N1975" s="464">
        <f t="shared" si="140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38"/>
        <v>-1026245735.4672887</v>
      </c>
      <c r="J1976" s="444">
        <f t="array" ref="J1976">IFERROR(INDEX('Retirement Calculator'!J:J,MATCH('Isaac 401k'!N1976,'Retirement Calculator'!A:A,0),0),0)</f>
        <v>0</v>
      </c>
      <c r="K1976" s="444">
        <f t="shared" ca="1" si="136"/>
        <v>-4276023.89778037</v>
      </c>
      <c r="L1976" s="444">
        <f t="shared" ca="1" si="137"/>
        <v>-1030521759.3650692</v>
      </c>
      <c r="M1976" s="460">
        <f t="shared" si="139"/>
        <v>0.05</v>
      </c>
      <c r="N1976" s="464">
        <f t="shared" si="140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38"/>
        <v>-1030521759.3650692</v>
      </c>
      <c r="J1977" s="444">
        <f t="array" ref="J1977">IFERROR(INDEX('Retirement Calculator'!J:J,MATCH('Isaac 401k'!N1977,'Retirement Calculator'!A:A,0),0),0)</f>
        <v>0</v>
      </c>
      <c r="K1977" s="444">
        <f t="shared" ca="1" si="136"/>
        <v>-4293840.6640211213</v>
      </c>
      <c r="L1977" s="444">
        <f t="shared" ca="1" si="137"/>
        <v>-1034815600.0290903</v>
      </c>
      <c r="M1977" s="460">
        <f t="shared" si="139"/>
        <v>0.05</v>
      </c>
      <c r="N1977" s="464">
        <f t="shared" si="140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38"/>
        <v>-1034815600.0290903</v>
      </c>
      <c r="J1978" s="444">
        <f t="array" ref="J1978">IFERROR(INDEX('Retirement Calculator'!J:J,MATCH('Isaac 401k'!N1978,'Retirement Calculator'!A:A,0),0),0)</f>
        <v>0</v>
      </c>
      <c r="K1978" s="444">
        <f t="shared" ca="1" si="136"/>
        <v>-4311731.6667878767</v>
      </c>
      <c r="L1978" s="444">
        <f t="shared" ca="1" si="137"/>
        <v>-1039127331.6958781</v>
      </c>
      <c r="M1978" s="460">
        <f t="shared" si="139"/>
        <v>0.05</v>
      </c>
      <c r="N1978" s="464">
        <f t="shared" si="140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38"/>
        <v>-1039127331.6958781</v>
      </c>
      <c r="J1979" s="444">
        <f t="array" ref="J1979">IFERROR(INDEX('Retirement Calculator'!J:J,MATCH('Isaac 401k'!N1979,'Retirement Calculator'!A:A,0),0),0)</f>
        <v>0</v>
      </c>
      <c r="K1979" s="444">
        <f t="shared" ca="1" si="136"/>
        <v>-4329697.2153994925</v>
      </c>
      <c r="L1979" s="444">
        <f t="shared" ca="1" si="137"/>
        <v>-1043457028.9112777</v>
      </c>
      <c r="M1979" s="460">
        <f t="shared" si="139"/>
        <v>0.05</v>
      </c>
      <c r="N1979" s="464">
        <f t="shared" si="140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38"/>
        <v>-1043457028.9112777</v>
      </c>
      <c r="J1980" s="444">
        <f t="array" ref="J1980">IFERROR(INDEX('Retirement Calculator'!J:J,MATCH('Isaac 401k'!N1980,'Retirement Calculator'!A:A,0),0),0)</f>
        <v>0</v>
      </c>
      <c r="K1980" s="444">
        <f t="shared" ca="1" si="136"/>
        <v>-4347737.6204636572</v>
      </c>
      <c r="L1980" s="444">
        <f t="shared" ca="1" si="137"/>
        <v>-1047804766.5317413</v>
      </c>
      <c r="M1980" s="460">
        <f t="shared" si="139"/>
        <v>0.05</v>
      </c>
      <c r="N1980" s="464">
        <f t="shared" si="140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38"/>
        <v>-1047804766.5317413</v>
      </c>
      <c r="J1981" s="444">
        <f t="array" ref="J1981">IFERROR(INDEX('Retirement Calculator'!J:J,MATCH('Isaac 401k'!N1981,'Retirement Calculator'!A:A,0),0),0)</f>
        <v>0</v>
      </c>
      <c r="K1981" s="444">
        <f t="shared" ca="1" si="136"/>
        <v>-4365853.1938822549</v>
      </c>
      <c r="L1981" s="444">
        <f t="shared" ca="1" si="137"/>
        <v>-1052170619.7256235</v>
      </c>
      <c r="M1981" s="460">
        <f t="shared" si="139"/>
        <v>0.05</v>
      </c>
      <c r="N1981" s="464">
        <f t="shared" si="140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38"/>
        <v>-1052170619.7256235</v>
      </c>
      <c r="J1982" s="444">
        <f t="array" ref="J1982">IFERROR(INDEX('Retirement Calculator'!J:J,MATCH('Isaac 401k'!N1982,'Retirement Calculator'!A:A,0),0),0)</f>
        <v>0</v>
      </c>
      <c r="K1982" s="444">
        <f t="shared" ca="1" si="136"/>
        <v>-4384044.2488567643</v>
      </c>
      <c r="L1982" s="444">
        <f t="shared" ca="1" si="137"/>
        <v>-1056554663.9744803</v>
      </c>
      <c r="M1982" s="460">
        <f t="shared" si="139"/>
        <v>0.05</v>
      </c>
      <c r="N1982" s="464">
        <f t="shared" si="140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38"/>
        <v>-1056554663.9744803</v>
      </c>
      <c r="J1983" s="444">
        <f t="array" ref="J1983">IFERROR(INDEX('Retirement Calculator'!J:J,MATCH('Isaac 401k'!N1983,'Retirement Calculator'!A:A,0),0),0)</f>
        <v>0</v>
      </c>
      <c r="K1983" s="444">
        <f t="shared" ca="1" si="136"/>
        <v>-4402311.0998936677</v>
      </c>
      <c r="L1983" s="444">
        <f t="shared" ca="1" si="137"/>
        <v>-1060956975.074374</v>
      </c>
      <c r="M1983" s="460">
        <f t="shared" si="139"/>
        <v>0.05</v>
      </c>
      <c r="N1983" s="464">
        <f t="shared" si="140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38"/>
        <v>-1060956975.074374</v>
      </c>
      <c r="J1984" s="444">
        <f t="array" ref="J1984">IFERROR(INDEX('Retirement Calculator'!J:J,MATCH('Isaac 401k'!N1984,'Retirement Calculator'!A:A,0),0),0)</f>
        <v>0</v>
      </c>
      <c r="K1984" s="444">
        <f t="shared" ca="1" si="136"/>
        <v>-4420654.062809892</v>
      </c>
      <c r="L1984" s="444">
        <f t="shared" ca="1" si="137"/>
        <v>-1065377629.1371839</v>
      </c>
      <c r="M1984" s="460">
        <f t="shared" si="139"/>
        <v>0.05</v>
      </c>
      <c r="N1984" s="464">
        <f t="shared" si="140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38"/>
        <v>-1065377629.1371839</v>
      </c>
      <c r="J1985" s="444">
        <f t="array" ref="J1985">IFERROR(INDEX('Retirement Calculator'!J:J,MATCH('Isaac 401k'!N1985,'Retirement Calculator'!A:A,0),0),0)</f>
        <v>0</v>
      </c>
      <c r="K1985" s="444">
        <f t="shared" ca="1" si="136"/>
        <v>-4439073.4547382668</v>
      </c>
      <c r="L1985" s="444">
        <f t="shared" ca="1" si="137"/>
        <v>-1069816702.5919222</v>
      </c>
      <c r="M1985" s="460">
        <f t="shared" si="139"/>
        <v>0.05</v>
      </c>
      <c r="N1985" s="464">
        <f t="shared" si="140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38"/>
        <v>-1069816702.5919222</v>
      </c>
      <c r="J1986" s="444">
        <f t="array" ref="J1986">IFERROR(INDEX('Retirement Calculator'!J:J,MATCH('Isaac 401k'!N1986,'Retirement Calculator'!A:A,0),0),0)</f>
        <v>0</v>
      </c>
      <c r="K1986" s="444">
        <f t="shared" ca="1" si="136"/>
        <v>-4457569.5941330092</v>
      </c>
      <c r="L1986" s="444">
        <f t="shared" ca="1" si="137"/>
        <v>-1074274272.1860552</v>
      </c>
      <c r="M1986" s="460">
        <f t="shared" si="139"/>
        <v>0.05</v>
      </c>
      <c r="N1986" s="464">
        <f t="shared" si="140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38"/>
        <v>-1074274272.1860552</v>
      </c>
      <c r="J1987" s="444">
        <f t="array" ref="J1987">IFERROR(INDEX('Retirement Calculator'!J:J,MATCH('Isaac 401k'!N1987,'Retirement Calculator'!A:A,0),0),0)</f>
        <v>0</v>
      </c>
      <c r="K1987" s="444">
        <f t="shared" ca="1" si="136"/>
        <v>-4476142.8007752299</v>
      </c>
      <c r="L1987" s="444">
        <f t="shared" ca="1" si="137"/>
        <v>-1078750414.9868305</v>
      </c>
      <c r="M1987" s="460">
        <f t="shared" si="139"/>
        <v>0.05</v>
      </c>
      <c r="N1987" s="464">
        <f t="shared" si="140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38"/>
        <v>-1078750414.9868305</v>
      </c>
      <c r="J1988" s="444">
        <f t="array" ref="J1988">IFERROR(INDEX('Retirement Calculator'!J:J,MATCH('Isaac 401k'!N1988,'Retirement Calculator'!A:A,0),0),0)</f>
        <v>0</v>
      </c>
      <c r="K1988" s="444">
        <f t="shared" ca="1" si="136"/>
        <v>-4494793.3957784604</v>
      </c>
      <c r="L1988" s="444">
        <f t="shared" ca="1" si="137"/>
        <v>-1083245208.3826089</v>
      </c>
      <c r="M1988" s="460">
        <f t="shared" si="139"/>
        <v>0.05</v>
      </c>
      <c r="N1988" s="464">
        <f t="shared" si="140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38"/>
        <v>-1083245208.3826089</v>
      </c>
      <c r="J1989" s="444">
        <f t="array" ref="J1989">IFERROR(INDEX('Retirement Calculator'!J:J,MATCH('Isaac 401k'!N1989,'Retirement Calculator'!A:A,0),0),0)</f>
        <v>0</v>
      </c>
      <c r="K1989" s="444">
        <f t="shared" ca="1" si="136"/>
        <v>-4513521.7015942037</v>
      </c>
      <c r="L1989" s="444">
        <f t="shared" ca="1" si="137"/>
        <v>-1087758730.084203</v>
      </c>
      <c r="M1989" s="460">
        <f t="shared" si="139"/>
        <v>0.05</v>
      </c>
      <c r="N1989" s="464">
        <f t="shared" si="140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38"/>
        <v>-1087758730.084203</v>
      </c>
      <c r="J1990" s="444">
        <f t="array" ref="J1990">IFERROR(INDEX('Retirement Calculator'!J:J,MATCH('Isaac 401k'!N1990,'Retirement Calculator'!A:A,0),0),0)</f>
        <v>0</v>
      </c>
      <c r="K1990" s="444">
        <f t="shared" ca="1" si="136"/>
        <v>-4532328.042017512</v>
      </c>
      <c r="L1990" s="444">
        <f t="shared" ca="1" si="137"/>
        <v>-1092291058.1262205</v>
      </c>
      <c r="M1990" s="460">
        <f t="shared" si="139"/>
        <v>0.05</v>
      </c>
      <c r="N1990" s="464">
        <f t="shared" si="140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38"/>
        <v>-1092291058.1262205</v>
      </c>
      <c r="J1991" s="444">
        <f t="array" ref="J1991">IFERROR(INDEX('Retirement Calculator'!J:J,MATCH('Isaac 401k'!N1991,'Retirement Calculator'!A:A,0),0),0)</f>
        <v>0</v>
      </c>
      <c r="K1991" s="444">
        <f t="shared" ca="1" si="136"/>
        <v>-4551212.742192585</v>
      </c>
      <c r="L1991" s="444">
        <f t="shared" ca="1" si="137"/>
        <v>-1096842270.868413</v>
      </c>
      <c r="M1991" s="460">
        <f t="shared" si="139"/>
        <v>0.05</v>
      </c>
      <c r="N1991" s="464">
        <f t="shared" si="140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38"/>
        <v>-1096842270.868413</v>
      </c>
      <c r="J1992" s="444">
        <f t="array" ref="J1992">IFERROR(INDEX('Retirement Calculator'!J:J,MATCH('Isaac 401k'!N1992,'Retirement Calculator'!A:A,0),0),0)</f>
        <v>0</v>
      </c>
      <c r="K1992" s="444">
        <f t="shared" ca="1" si="136"/>
        <v>-4570176.1286183875</v>
      </c>
      <c r="L1992" s="444">
        <f t="shared" ca="1" si="137"/>
        <v>-1101412446.9970315</v>
      </c>
      <c r="M1992" s="460">
        <f t="shared" si="139"/>
        <v>0.05</v>
      </c>
      <c r="N1992" s="464">
        <f t="shared" si="140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38"/>
        <v>-1101412446.9970315</v>
      </c>
      <c r="J1993" s="444">
        <f t="array" ref="J1993">IFERROR(INDEX('Retirement Calculator'!J:J,MATCH('Isaac 401k'!N1993,'Retirement Calculator'!A:A,0),0),0)</f>
        <v>0</v>
      </c>
      <c r="K1993" s="444">
        <f t="shared" ca="1" si="136"/>
        <v>-4589218.5291542979</v>
      </c>
      <c r="L1993" s="444">
        <f t="shared" ca="1" si="137"/>
        <v>-1106001665.5261858</v>
      </c>
      <c r="M1993" s="460">
        <f t="shared" si="139"/>
        <v>0.05</v>
      </c>
      <c r="N1993" s="464">
        <f t="shared" si="140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38"/>
        <v>-1106001665.5261858</v>
      </c>
      <c r="J1994" s="444">
        <f t="array" ref="J1994">IFERROR(INDEX('Retirement Calculator'!J:J,MATCH('Isaac 401k'!N1994,'Retirement Calculator'!A:A,0),0),0)</f>
        <v>0</v>
      </c>
      <c r="K1994" s="444">
        <f t="shared" ca="1" si="136"/>
        <v>-4608340.2730257735</v>
      </c>
      <c r="L1994" s="444">
        <f t="shared" ca="1" si="137"/>
        <v>-1110610005.7992115</v>
      </c>
      <c r="M1994" s="460">
        <f t="shared" si="139"/>
        <v>0.05</v>
      </c>
      <c r="N1994" s="464">
        <f t="shared" si="140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38"/>
        <v>-1110610005.7992115</v>
      </c>
      <c r="J1995" s="444">
        <f t="array" ref="J1995">IFERROR(INDEX('Retirement Calculator'!J:J,MATCH('Isaac 401k'!N1995,'Retirement Calculator'!A:A,0),0),0)</f>
        <v>0</v>
      </c>
      <c r="K1995" s="444">
        <f t="shared" ca="1" si="136"/>
        <v>-4627541.6908300482</v>
      </c>
      <c r="L1995" s="444">
        <f t="shared" ca="1" si="137"/>
        <v>-1115237547.4900415</v>
      </c>
      <c r="M1995" s="460">
        <f t="shared" si="139"/>
        <v>0.05</v>
      </c>
      <c r="N1995" s="464">
        <f t="shared" si="140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38"/>
        <v>-1115237547.4900415</v>
      </c>
      <c r="J1996" s="444">
        <f t="array" ref="J1996">IFERROR(INDEX('Retirement Calculator'!J:J,MATCH('Isaac 401k'!N1996,'Retirement Calculator'!A:A,0),0),0)</f>
        <v>0</v>
      </c>
      <c r="K1996" s="444">
        <f t="shared" ca="1" si="136"/>
        <v>-4646823.1145418398</v>
      </c>
      <c r="L1996" s="444">
        <f t="shared" ca="1" si="137"/>
        <v>-1119884370.6045833</v>
      </c>
      <c r="M1996" s="460">
        <f t="shared" si="139"/>
        <v>0.05</v>
      </c>
      <c r="N1996" s="464">
        <f t="shared" si="140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38"/>
        <v>-1119884370.6045833</v>
      </c>
      <c r="J1997" s="444">
        <f t="array" ref="J1997">IFERROR(INDEX('Retirement Calculator'!J:J,MATCH('Isaac 401k'!N1997,'Retirement Calculator'!A:A,0),0),0)</f>
        <v>0</v>
      </c>
      <c r="K1997" s="444">
        <f t="shared" ca="1" si="136"/>
        <v>-4666184.8775190972</v>
      </c>
      <c r="L1997" s="444">
        <f t="shared" ca="1" si="137"/>
        <v>-1124550555.4821024</v>
      </c>
      <c r="M1997" s="460">
        <f t="shared" si="139"/>
        <v>0.05</v>
      </c>
      <c r="N1997" s="464">
        <f t="shared" si="140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38"/>
        <v>-1124550555.4821024</v>
      </c>
      <c r="J1998" s="444">
        <f t="array" ref="J1998">IFERROR(INDEX('Retirement Calculator'!J:J,MATCH('Isaac 401k'!N1998,'Retirement Calculator'!A:A,0),0),0)</f>
        <v>0</v>
      </c>
      <c r="K1998" s="444">
        <f t="shared" ca="1" si="136"/>
        <v>-4685627.3145087603</v>
      </c>
      <c r="L1998" s="444">
        <f t="shared" ca="1" si="137"/>
        <v>-1129236182.7966111</v>
      </c>
      <c r="M1998" s="460">
        <f t="shared" si="139"/>
        <v>0.05</v>
      </c>
      <c r="N1998" s="464">
        <f t="shared" si="140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38"/>
        <v>-1129236182.7966111</v>
      </c>
      <c r="J1999" s="444">
        <f t="array" ref="J1999">IFERROR(INDEX('Retirement Calculator'!J:J,MATCH('Isaac 401k'!N1999,'Retirement Calculator'!A:A,0),0),0)</f>
        <v>0</v>
      </c>
      <c r="K1999" s="444">
        <f t="shared" ca="1" si="136"/>
        <v>-4705150.761652546</v>
      </c>
      <c r="L1999" s="444">
        <f t="shared" ca="1" si="137"/>
        <v>-1133941333.5582635</v>
      </c>
      <c r="M1999" s="460">
        <f t="shared" si="139"/>
        <v>0.05</v>
      </c>
      <c r="N1999" s="464">
        <f t="shared" si="140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38"/>
        <v>-1133941333.5582635</v>
      </c>
      <c r="J2000" s="444">
        <f t="array" ref="J2000">IFERROR(INDEX('Retirement Calculator'!J:J,MATCH('Isaac 401k'!N2000,'Retirement Calculator'!A:A,0),0),0)</f>
        <v>0</v>
      </c>
      <c r="K2000" s="444">
        <f t="shared" ca="1" si="136"/>
        <v>-4724755.5564927645</v>
      </c>
      <c r="L2000" s="444">
        <f t="shared" ca="1" si="137"/>
        <v>-1138666089.1147563</v>
      </c>
      <c r="M2000" s="460">
        <f t="shared" si="139"/>
        <v>0.05</v>
      </c>
      <c r="N2000" s="464">
        <f t="shared" si="140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38"/>
        <v>-1138666089.1147563</v>
      </c>
      <c r="J2001" s="444">
        <f t="array" ref="J2001">IFERROR(INDEX('Retirement Calculator'!J:J,MATCH('Isaac 401k'!N2001,'Retirement Calculator'!A:A,0),0),0)</f>
        <v>0</v>
      </c>
      <c r="K2001" s="444">
        <f t="shared" ca="1" si="136"/>
        <v>-4744442.0379781518</v>
      </c>
      <c r="L2001" s="444">
        <f t="shared" ca="1" si="137"/>
        <v>-1143410531.1527345</v>
      </c>
      <c r="M2001" s="460">
        <f t="shared" si="139"/>
        <v>0.05</v>
      </c>
      <c r="N2001" s="464">
        <f t="shared" si="140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38"/>
        <v>-1143410531.1527345</v>
      </c>
      <c r="J2002" s="444">
        <f t="array" ref="J2002">IFERROR(INDEX('Retirement Calculator'!J:J,MATCH('Isaac 401k'!N2002,'Retirement Calculator'!A:A,0),0),0)</f>
        <v>0</v>
      </c>
      <c r="K2002" s="444">
        <f t="shared" ca="1" si="136"/>
        <v>-4764210.5464697275</v>
      </c>
      <c r="L2002" s="444">
        <f t="shared" ca="1" si="137"/>
        <v>-1148174741.6992042</v>
      </c>
      <c r="M2002" s="460">
        <f t="shared" si="139"/>
        <v>0.05</v>
      </c>
      <c r="N2002" s="464">
        <f t="shared" si="140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38"/>
        <v>-1148174741.6992042</v>
      </c>
      <c r="J2003" s="444">
        <f t="array" ref="J2003">IFERROR(INDEX('Retirement Calculator'!J:J,MATCH('Isaac 401k'!N2003,'Retirement Calculator'!A:A,0),0),0)</f>
        <v>0</v>
      </c>
      <c r="K2003" s="444">
        <f t="shared" ca="1" si="136"/>
        <v>-4784061.4237466846</v>
      </c>
      <c r="L2003" s="444">
        <f t="shared" ca="1" si="137"/>
        <v>-1152958803.1229508</v>
      </c>
      <c r="M2003" s="460">
        <f t="shared" si="139"/>
        <v>0.05</v>
      </c>
      <c r="N2003" s="464">
        <f t="shared" si="140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38"/>
        <v>-1152958803.1229508</v>
      </c>
      <c r="J2004" s="444">
        <f t="array" ref="J2004">IFERROR(INDEX('Retirement Calculator'!J:J,MATCH('Isaac 401k'!N2004,'Retirement Calculator'!A:A,0),0),0)</f>
        <v>0</v>
      </c>
      <c r="K2004" s="444">
        <f t="shared" ca="1" si="136"/>
        <v>-4803995.0130122947</v>
      </c>
      <c r="L2004" s="444">
        <f t="shared" ca="1" si="137"/>
        <v>-1157762798.1359632</v>
      </c>
      <c r="M2004" s="460">
        <f t="shared" si="139"/>
        <v>0.05</v>
      </c>
      <c r="N2004" s="464">
        <f t="shared" si="140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38"/>
        <v>-1157762798.1359632</v>
      </c>
      <c r="J2005" s="444">
        <f t="array" ref="J2005">IFERROR(INDEX('Retirement Calculator'!J:J,MATCH('Isaac 401k'!N2005,'Retirement Calculator'!A:A,0),0),0)</f>
        <v>0</v>
      </c>
      <c r="K2005" s="444">
        <f t="shared" ca="1" si="136"/>
        <v>-4824011.6588998465</v>
      </c>
      <c r="L2005" s="444">
        <f t="shared" ca="1" si="137"/>
        <v>-1162586809.794863</v>
      </c>
      <c r="M2005" s="460">
        <f t="shared" si="139"/>
        <v>0.05</v>
      </c>
      <c r="N2005" s="464">
        <f t="shared" si="140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38"/>
        <v>-1162586809.794863</v>
      </c>
      <c r="J2006" s="444">
        <f t="array" ref="J2006">IFERROR(INDEX('Retirement Calculator'!J:J,MATCH('Isaac 401k'!N2006,'Retirement Calculator'!A:A,0),0),0)</f>
        <v>0</v>
      </c>
      <c r="K2006" s="444">
        <f t="shared" ca="1" si="136"/>
        <v>-4844111.7074785959</v>
      </c>
      <c r="L2006" s="444">
        <f t="shared" ca="1" si="137"/>
        <v>-1167430921.5023415</v>
      </c>
      <c r="M2006" s="460">
        <f t="shared" si="139"/>
        <v>0.05</v>
      </c>
      <c r="N2006" s="464">
        <f t="shared" si="140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38"/>
        <v>-1167430921.5023415</v>
      </c>
      <c r="J2007" s="444">
        <f t="array" ref="J2007">IFERROR(INDEX('Retirement Calculator'!J:J,MATCH('Isaac 401k'!N2007,'Retirement Calculator'!A:A,0),0),0)</f>
        <v>0</v>
      </c>
      <c r="K2007" s="444">
        <f t="shared" ca="1" si="136"/>
        <v>-4864295.5062597562</v>
      </c>
      <c r="L2007" s="444">
        <f t="shared" ca="1" si="137"/>
        <v>-1172295217.0086012</v>
      </c>
      <c r="M2007" s="460">
        <f t="shared" si="139"/>
        <v>0.05</v>
      </c>
      <c r="N2007" s="464">
        <f t="shared" si="140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38"/>
        <v>-1172295217.0086012</v>
      </c>
      <c r="J2008" s="444">
        <f t="array" ref="J2008">IFERROR(INDEX('Retirement Calculator'!J:J,MATCH('Isaac 401k'!N2008,'Retirement Calculator'!A:A,0),0),0)</f>
        <v>0</v>
      </c>
      <c r="K2008" s="444">
        <f t="shared" ca="1" si="136"/>
        <v>-4884563.404202505</v>
      </c>
      <c r="L2008" s="444">
        <f t="shared" ca="1" si="137"/>
        <v>-1177179780.4128036</v>
      </c>
      <c r="M2008" s="460">
        <f t="shared" si="139"/>
        <v>0.05</v>
      </c>
      <c r="N2008" s="464">
        <f t="shared" si="140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38"/>
        <v>-1177179780.4128036</v>
      </c>
      <c r="J2009" s="444">
        <f t="array" ref="J2009">IFERROR(INDEX('Retirement Calculator'!J:J,MATCH('Isaac 401k'!N2009,'Retirement Calculator'!A:A,0),0),0)</f>
        <v>0</v>
      </c>
      <c r="K2009" s="444">
        <f t="shared" ca="1" si="136"/>
        <v>-4904915.751720015</v>
      </c>
      <c r="L2009" s="444">
        <f t="shared" ca="1" si="137"/>
        <v>-1182084696.1645236</v>
      </c>
      <c r="M2009" s="460">
        <f t="shared" si="139"/>
        <v>0.05</v>
      </c>
      <c r="N2009" s="464">
        <f t="shared" si="140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38"/>
        <v>-1182084696.1645236</v>
      </c>
      <c r="J2010" s="444">
        <f t="array" ref="J2010">IFERROR(INDEX('Retirement Calculator'!J:J,MATCH('Isaac 401k'!N2010,'Retirement Calculator'!A:A,0),0),0)</f>
        <v>0</v>
      </c>
      <c r="K2010" s="444">
        <f t="shared" ca="1" si="136"/>
        <v>-4925352.9006855153</v>
      </c>
      <c r="L2010" s="444">
        <f t="shared" ca="1" si="137"/>
        <v>-1187010049.0652092</v>
      </c>
      <c r="M2010" s="460">
        <f t="shared" si="139"/>
        <v>0.05</v>
      </c>
      <c r="N2010" s="464">
        <f t="shared" si="140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38"/>
        <v>-1187010049.0652092</v>
      </c>
      <c r="J2011" s="444">
        <f t="array" ref="J2011">IFERROR(INDEX('Retirement Calculator'!J:J,MATCH('Isaac 401k'!N2011,'Retirement Calculator'!A:A,0),0),0)</f>
        <v>0</v>
      </c>
      <c r="K2011" s="444">
        <f t="shared" ca="1" si="136"/>
        <v>-4945875.2044383716</v>
      </c>
      <c r="L2011" s="444">
        <f t="shared" ca="1" si="137"/>
        <v>-1191955924.2696476</v>
      </c>
      <c r="M2011" s="460">
        <f t="shared" si="139"/>
        <v>0.05</v>
      </c>
      <c r="N2011" s="464">
        <f t="shared" si="140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38"/>
        <v>-1191955924.2696476</v>
      </c>
      <c r="J2012" s="444">
        <f t="array" ref="J2012">IFERROR(INDEX('Retirement Calculator'!J:J,MATCH('Isaac 401k'!N2012,'Retirement Calculator'!A:A,0),0),0)</f>
        <v>0</v>
      </c>
      <c r="K2012" s="444">
        <f t="shared" ca="1" si="136"/>
        <v>-4966483.0177901983</v>
      </c>
      <c r="L2012" s="444">
        <f t="shared" ca="1" si="137"/>
        <v>-1196922407.2874379</v>
      </c>
      <c r="M2012" s="460">
        <f t="shared" si="139"/>
        <v>0.05</v>
      </c>
      <c r="N2012" s="464">
        <f t="shared" si="140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38"/>
        <v>-1196922407.2874379</v>
      </c>
      <c r="J2013" s="444">
        <f t="array" ref="J2013">IFERROR(INDEX('Retirement Calculator'!J:J,MATCH('Isaac 401k'!N2013,'Retirement Calculator'!A:A,0),0),0)</f>
        <v>0</v>
      </c>
      <c r="K2013" s="444">
        <f t="shared" ca="1" si="136"/>
        <v>-4987176.6970309913</v>
      </c>
      <c r="L2013" s="444">
        <f t="shared" ca="1" si="137"/>
        <v>-1201909583.9844689</v>
      </c>
      <c r="M2013" s="460">
        <f t="shared" si="139"/>
        <v>0.05</v>
      </c>
      <c r="N2013" s="464">
        <f t="shared" si="140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38"/>
        <v>-1201909583.9844689</v>
      </c>
      <c r="J2014" s="444">
        <f t="array" ref="J2014">IFERROR(INDEX('Retirement Calculator'!J:J,MATCH('Isaac 401k'!N2014,'Retirement Calculator'!A:A,0),0),0)</f>
        <v>0</v>
      </c>
      <c r="K2014" s="444">
        <f t="shared" ca="1" si="136"/>
        <v>-5007956.5999352876</v>
      </c>
      <c r="L2014" s="444">
        <f t="shared" ca="1" si="137"/>
        <v>-1206917540.5844042</v>
      </c>
      <c r="M2014" s="460">
        <f t="shared" si="139"/>
        <v>0.05</v>
      </c>
      <c r="N2014" s="464">
        <f t="shared" si="140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38"/>
        <v>-1206917540.5844042</v>
      </c>
      <c r="J2015" s="444">
        <f t="array" ref="J2015">IFERROR(INDEX('Retirement Calculator'!J:J,MATCH('Isaac 401k'!N2015,'Retirement Calculator'!A:A,0),0),0)</f>
        <v>0</v>
      </c>
      <c r="K2015" s="444">
        <f t="shared" ca="1" si="136"/>
        <v>-5028823.0857683513</v>
      </c>
      <c r="L2015" s="444">
        <f t="shared" ca="1" si="137"/>
        <v>-1211946363.6701727</v>
      </c>
      <c r="M2015" s="460">
        <f t="shared" si="139"/>
        <v>0.05</v>
      </c>
      <c r="N2015" s="464">
        <f t="shared" si="140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38"/>
        <v>-1211946363.6701727</v>
      </c>
      <c r="J2016" s="444">
        <f t="array" ref="J2016">IFERROR(INDEX('Retirement Calculator'!J:J,MATCH('Isaac 401k'!N2016,'Retirement Calculator'!A:A,0),0),0)</f>
        <v>0</v>
      </c>
      <c r="K2016" s="444">
        <f t="shared" ca="1" si="136"/>
        <v>-5049776.5152923865</v>
      </c>
      <c r="L2016" s="444">
        <f t="shared" ca="1" si="137"/>
        <v>-1216996140.1854651</v>
      </c>
      <c r="M2016" s="460">
        <f t="shared" si="139"/>
        <v>0.05</v>
      </c>
      <c r="N2016" s="464">
        <f t="shared" si="140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38"/>
        <v>-1216996140.1854651</v>
      </c>
      <c r="J2017" s="444">
        <f t="array" ref="J2017">IFERROR(INDEX('Retirement Calculator'!J:J,MATCH('Isaac 401k'!N2017,'Retirement Calculator'!A:A,0),0),0)</f>
        <v>0</v>
      </c>
      <c r="K2017" s="444">
        <f t="shared" ca="1" si="136"/>
        <v>-5070817.2507727714</v>
      </c>
      <c r="L2017" s="444">
        <f t="shared" ca="1" si="137"/>
        <v>-1222066957.4362378</v>
      </c>
      <c r="M2017" s="460">
        <f t="shared" si="139"/>
        <v>0.05</v>
      </c>
      <c r="N2017" s="464">
        <f t="shared" si="140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38"/>
        <v>-1222066957.4362378</v>
      </c>
      <c r="J2018" s="444">
        <f t="array" ref="J2018">IFERROR(INDEX('Retirement Calculator'!J:J,MATCH('Isaac 401k'!N2018,'Retirement Calculator'!A:A,0),0),0)</f>
        <v>0</v>
      </c>
      <c r="K2018" s="444">
        <f t="shared" ca="1" si="136"/>
        <v>-5091945.6559843244</v>
      </c>
      <c r="L2018" s="444">
        <f t="shared" ca="1" si="137"/>
        <v>-1227158903.0922222</v>
      </c>
      <c r="M2018" s="460">
        <f t="shared" si="139"/>
        <v>0.05</v>
      </c>
      <c r="N2018" s="464">
        <f t="shared" si="140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38"/>
        <v>-1227158903.0922222</v>
      </c>
      <c r="J2019" s="444">
        <f t="array" ref="J2019">IFERROR(INDEX('Retirement Calculator'!J:J,MATCH('Isaac 401k'!N2019,'Retirement Calculator'!A:A,0),0),0)</f>
        <v>0</v>
      </c>
      <c r="K2019" s="444">
        <f t="shared" ca="1" si="136"/>
        <v>-5113162.0962175922</v>
      </c>
      <c r="L2019" s="444">
        <f t="shared" ca="1" si="137"/>
        <v>-1232272065.1884398</v>
      </c>
      <c r="M2019" s="460">
        <f t="shared" si="139"/>
        <v>0.05</v>
      </c>
      <c r="N2019" s="464">
        <f t="shared" si="140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38"/>
        <v>-1232272065.1884398</v>
      </c>
      <c r="J2020" s="444">
        <f t="array" ref="J2020">IFERROR(INDEX('Retirement Calculator'!J:J,MATCH('Isaac 401k'!N2020,'Retirement Calculator'!A:A,0),0),0)</f>
        <v>0</v>
      </c>
      <c r="K2020" s="444">
        <f t="shared" ca="1" si="136"/>
        <v>-5134466.9382851664</v>
      </c>
      <c r="L2020" s="444">
        <f t="shared" ca="1" si="137"/>
        <v>-1237406532.126725</v>
      </c>
      <c r="M2020" s="460">
        <f t="shared" si="139"/>
        <v>0.05</v>
      </c>
      <c r="N2020" s="464">
        <f t="shared" si="140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38"/>
        <v>-1237406532.126725</v>
      </c>
      <c r="J2021" s="444">
        <f t="array" ref="J2021">IFERROR(INDEX('Retirement Calculator'!J:J,MATCH('Isaac 401k'!N2021,'Retirement Calculator'!A:A,0),0),0)</f>
        <v>0</v>
      </c>
      <c r="K2021" s="444">
        <f t="shared" ca="1" si="136"/>
        <v>-5155860.5505280206</v>
      </c>
      <c r="L2021" s="444">
        <f t="shared" ca="1" si="137"/>
        <v>-1242562392.677253</v>
      </c>
      <c r="M2021" s="460">
        <f t="shared" si="139"/>
        <v>0.05</v>
      </c>
      <c r="N2021" s="464">
        <f t="shared" si="140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38"/>
        <v>-1242562392.677253</v>
      </c>
      <c r="J2022" s="444">
        <f t="array" ref="J2022">IFERROR(INDEX('Retirement Calculator'!J:J,MATCH('Isaac 401k'!N2022,'Retirement Calculator'!A:A,0),0),0)</f>
        <v>0</v>
      </c>
      <c r="K2022" s="444">
        <f t="shared" ca="1" si="136"/>
        <v>-5177343.3028218877</v>
      </c>
      <c r="L2022" s="444">
        <f t="shared" ca="1" si="137"/>
        <v>-1247739735.9800749</v>
      </c>
      <c r="M2022" s="460">
        <f t="shared" si="139"/>
        <v>0.05</v>
      </c>
      <c r="N2022" s="464">
        <f t="shared" si="140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38"/>
        <v>-1247739735.9800749</v>
      </c>
      <c r="J2023" s="444">
        <f t="array" ref="J2023">IFERROR(INDEX('Retirement Calculator'!J:J,MATCH('Isaac 401k'!N2023,'Retirement Calculator'!A:A,0),0),0)</f>
        <v>0</v>
      </c>
      <c r="K2023" s="444">
        <f t="shared" ca="1" si="136"/>
        <v>-5198915.5665836455</v>
      </c>
      <c r="L2023" s="444">
        <f t="shared" ca="1" si="137"/>
        <v>-1252938651.5466585</v>
      </c>
      <c r="M2023" s="460">
        <f t="shared" si="139"/>
        <v>0.05</v>
      </c>
      <c r="N2023" s="464">
        <f t="shared" si="140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38"/>
        <v>-1252938651.5466585</v>
      </c>
      <c r="J2024" s="444">
        <f t="array" ref="J2024">IFERROR(INDEX('Retirement Calculator'!J:J,MATCH('Isaac 401k'!N2024,'Retirement Calculator'!A:A,0),0),0)</f>
        <v>0</v>
      </c>
      <c r="K2024" s="444">
        <f t="shared" ca="1" si="136"/>
        <v>-5220577.7147777434</v>
      </c>
      <c r="L2024" s="444">
        <f t="shared" ca="1" si="137"/>
        <v>-1258159229.2614362</v>
      </c>
      <c r="M2024" s="460">
        <f t="shared" si="139"/>
        <v>0.05</v>
      </c>
      <c r="N2024" s="464">
        <f t="shared" si="140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38"/>
        <v>-1258159229.2614362</v>
      </c>
      <c r="J2025" s="444">
        <f t="array" ref="J2025">IFERROR(INDEX('Retirement Calculator'!J:J,MATCH('Isaac 401k'!N2025,'Retirement Calculator'!A:A,0),0),0)</f>
        <v>0</v>
      </c>
      <c r="K2025" s="444">
        <f t="shared" ca="1" si="136"/>
        <v>-5242330.1219226513</v>
      </c>
      <c r="L2025" s="444">
        <f t="shared" ca="1" si="137"/>
        <v>-1263401559.383359</v>
      </c>
      <c r="M2025" s="460">
        <f t="shared" si="139"/>
        <v>0.05</v>
      </c>
      <c r="N2025" s="464">
        <f t="shared" si="140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38"/>
        <v>-1263401559.383359</v>
      </c>
      <c r="J2026" s="444">
        <f t="array" ref="J2026">IFERROR(INDEX('Retirement Calculator'!J:J,MATCH('Isaac 401k'!N2026,'Retirement Calculator'!A:A,0),0),0)</f>
        <v>0</v>
      </c>
      <c r="K2026" s="444">
        <f t="shared" ca="1" si="136"/>
        <v>-5264173.1640973287</v>
      </c>
      <c r="L2026" s="444">
        <f t="shared" ca="1" si="137"/>
        <v>-1268665732.5474563</v>
      </c>
      <c r="M2026" s="460">
        <f t="shared" si="139"/>
        <v>0.05</v>
      </c>
      <c r="N2026" s="464">
        <f t="shared" si="140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38"/>
        <v>-1268665732.5474563</v>
      </c>
      <c r="J2027" s="444">
        <f t="array" ref="J2027">IFERROR(INDEX('Retirement Calculator'!J:J,MATCH('Isaac 401k'!N2027,'Retirement Calculator'!A:A,0),0),0)</f>
        <v>0</v>
      </c>
      <c r="K2027" s="444">
        <f t="shared" ca="1" si="136"/>
        <v>-5286107.2189477347</v>
      </c>
      <c r="L2027" s="444">
        <f t="shared" ca="1" si="137"/>
        <v>-1273951839.7664039</v>
      </c>
      <c r="M2027" s="460">
        <f t="shared" si="139"/>
        <v>0.05</v>
      </c>
      <c r="N2027" s="464">
        <f t="shared" si="140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38"/>
        <v>-1273951839.7664039</v>
      </c>
      <c r="J2028" s="444">
        <f t="array" ref="J2028">IFERROR(INDEX('Retirement Calculator'!J:J,MATCH('Isaac 401k'!N2028,'Retirement Calculator'!A:A,0),0),0)</f>
        <v>0</v>
      </c>
      <c r="K2028" s="444">
        <f t="shared" ca="1" si="136"/>
        <v>-5308132.6656933492</v>
      </c>
      <c r="L2028" s="444">
        <f t="shared" ca="1" si="137"/>
        <v>-1279259972.4320972</v>
      </c>
      <c r="M2028" s="460">
        <f t="shared" si="139"/>
        <v>0.05</v>
      </c>
      <c r="N2028" s="464">
        <f t="shared" si="140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38"/>
        <v>-1279259972.4320972</v>
      </c>
      <c r="J2029" s="444">
        <f t="array" ref="J2029">IFERROR(INDEX('Retirement Calculator'!J:J,MATCH('Isaac 401k'!N2029,'Retirement Calculator'!A:A,0),0),0)</f>
        <v>0</v>
      </c>
      <c r="K2029" s="444">
        <f t="shared" ca="1" si="136"/>
        <v>-5330249.8851337386</v>
      </c>
      <c r="L2029" s="444">
        <f t="shared" ca="1" si="137"/>
        <v>-1284590222.3172309</v>
      </c>
      <c r="M2029" s="460">
        <f t="shared" si="139"/>
        <v>0.05</v>
      </c>
      <c r="N2029" s="464">
        <f t="shared" si="140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38"/>
        <v>-1284590222.3172309</v>
      </c>
      <c r="J2030" s="444">
        <f t="array" ref="J2030">IFERROR(INDEX('Retirement Calculator'!J:J,MATCH('Isaac 401k'!N2030,'Retirement Calculator'!A:A,0),0),0)</f>
        <v>0</v>
      </c>
      <c r="K2030" s="444">
        <f t="shared" ca="1" si="136"/>
        <v>-5352459.2596551292</v>
      </c>
      <c r="L2030" s="444">
        <f t="shared" ca="1" si="137"/>
        <v>-1289942681.5768862</v>
      </c>
      <c r="M2030" s="460">
        <f t="shared" si="139"/>
        <v>0.05</v>
      </c>
      <c r="N2030" s="464">
        <f t="shared" si="140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38"/>
        <v>-1289942681.5768862</v>
      </c>
      <c r="J2031" s="444">
        <f t="array" ref="J2031">IFERROR(INDEX('Retirement Calculator'!J:J,MATCH('Isaac 401k'!N2031,'Retirement Calculator'!A:A,0),0),0)</f>
        <v>0</v>
      </c>
      <c r="K2031" s="444">
        <f t="shared" ca="1" si="136"/>
        <v>-5374761.1732370257</v>
      </c>
      <c r="L2031" s="444">
        <f t="shared" ca="1" si="137"/>
        <v>-1295317442.7501233</v>
      </c>
      <c r="M2031" s="460">
        <f t="shared" si="139"/>
        <v>0.05</v>
      </c>
      <c r="N2031" s="464">
        <f t="shared" si="140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38"/>
        <v>-1295317442.7501233</v>
      </c>
      <c r="J2032" s="444">
        <f t="array" ref="J2032">IFERROR(INDEX('Retirement Calculator'!J:J,MATCH('Isaac 401k'!N2032,'Retirement Calculator'!A:A,0),0),0)</f>
        <v>0</v>
      </c>
      <c r="K2032" s="444">
        <f t="shared" ca="1" si="136"/>
        <v>-5397156.0114588467</v>
      </c>
      <c r="L2032" s="444">
        <f t="shared" ca="1" si="137"/>
        <v>-1300714598.7615821</v>
      </c>
      <c r="M2032" s="460">
        <f t="shared" si="139"/>
        <v>0.05</v>
      </c>
      <c r="N2032" s="464">
        <f t="shared" si="140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38"/>
        <v>-1300714598.7615821</v>
      </c>
      <c r="J2033" s="444">
        <f t="array" ref="J2033">IFERROR(INDEX('Retirement Calculator'!J:J,MATCH('Isaac 401k'!N2033,'Retirement Calculator'!A:A,0),0),0)</f>
        <v>0</v>
      </c>
      <c r="K2033" s="444">
        <f t="shared" ca="1" si="136"/>
        <v>-5419644.1615065923</v>
      </c>
      <c r="L2033" s="444">
        <f t="shared" ca="1" si="137"/>
        <v>-1306134242.9230888</v>
      </c>
      <c r="M2033" s="460">
        <f t="shared" si="139"/>
        <v>0.05</v>
      </c>
      <c r="N2033" s="464">
        <f t="shared" si="140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38"/>
        <v>-1306134242.9230888</v>
      </c>
      <c r="J2034" s="444">
        <f t="array" ref="J2034">IFERROR(INDEX('Retirement Calculator'!J:J,MATCH('Isaac 401k'!N2034,'Retirement Calculator'!A:A,0),0),0)</f>
        <v>0</v>
      </c>
      <c r="K2034" s="444">
        <f t="shared" ca="1" si="136"/>
        <v>-5442226.0121795367</v>
      </c>
      <c r="L2034" s="444">
        <f t="shared" ca="1" si="137"/>
        <v>-1311576468.9352684</v>
      </c>
      <c r="M2034" s="460">
        <f t="shared" si="139"/>
        <v>0.05</v>
      </c>
      <c r="N2034" s="464">
        <f t="shared" si="140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38"/>
        <v>-1311576468.9352684</v>
      </c>
      <c r="J2035" s="444">
        <f t="array" ref="J2035">IFERROR(INDEX('Retirement Calculator'!J:J,MATCH('Isaac 401k'!N2035,'Retirement Calculator'!A:A,0),0),0)</f>
        <v>0</v>
      </c>
      <c r="K2035" s="444">
        <f t="shared" ca="1" si="136"/>
        <v>-5464901.9538969519</v>
      </c>
      <c r="L2035" s="444">
        <f t="shared" ca="1" si="137"/>
        <v>-1317041370.8891654</v>
      </c>
      <c r="M2035" s="460">
        <f t="shared" si="139"/>
        <v>0.05</v>
      </c>
      <c r="N2035" s="464">
        <f t="shared" si="140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38"/>
        <v>-1317041370.8891654</v>
      </c>
      <c r="J2036" s="444">
        <f t="array" ref="J2036">IFERROR(INDEX('Retirement Calculator'!J:J,MATCH('Isaac 401k'!N2036,'Retirement Calculator'!A:A,0),0),0)</f>
        <v>0</v>
      </c>
      <c r="K2036" s="444">
        <f t="shared" ca="1" si="136"/>
        <v>-5487672.3787048561</v>
      </c>
      <c r="L2036" s="444">
        <f t="shared" ca="1" si="137"/>
        <v>-1322529043.2678702</v>
      </c>
      <c r="M2036" s="460">
        <f t="shared" si="139"/>
        <v>0.05</v>
      </c>
      <c r="N2036" s="464">
        <f t="shared" si="140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38"/>
        <v>-1322529043.2678702</v>
      </c>
      <c r="J2037" s="444">
        <f t="array" ref="J2037">IFERROR(INDEX('Retirement Calculator'!J:J,MATCH('Isaac 401k'!N2037,'Retirement Calculator'!A:A,0),0),0)</f>
        <v>0</v>
      </c>
      <c r="K2037" s="444">
        <f t="shared" ca="1" si="136"/>
        <v>-5510537.6802827921</v>
      </c>
      <c r="L2037" s="444">
        <f t="shared" ca="1" si="137"/>
        <v>-1328039580.948153</v>
      </c>
      <c r="M2037" s="460">
        <f t="shared" si="139"/>
        <v>0.05</v>
      </c>
      <c r="N2037" s="464">
        <f t="shared" si="140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38"/>
        <v>-1328039580.948153</v>
      </c>
      <c r="J2038" s="444">
        <f t="array" ref="J2038">IFERROR(INDEX('Retirement Calculator'!J:J,MATCH('Isaac 401k'!N2038,'Retirement Calculator'!A:A,0),0),0)</f>
        <v>0</v>
      </c>
      <c r="K2038" s="444">
        <f t="shared" ca="1" si="136"/>
        <v>-5533498.2539506378</v>
      </c>
      <c r="L2038" s="444">
        <f t="shared" ca="1" si="137"/>
        <v>-1333573079.2021036</v>
      </c>
      <c r="M2038" s="460">
        <f t="shared" si="139"/>
        <v>0.05</v>
      </c>
      <c r="N2038" s="464">
        <f t="shared" si="140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38"/>
        <v>-1333573079.2021036</v>
      </c>
      <c r="J2039" s="444">
        <f t="array" ref="J2039">IFERROR(INDEX('Retirement Calculator'!J:J,MATCH('Isaac 401k'!N2039,'Retirement Calculator'!A:A,0),0),0)</f>
        <v>0</v>
      </c>
      <c r="K2039" s="444">
        <f t="shared" ca="1" si="136"/>
        <v>-5556554.4966754317</v>
      </c>
      <c r="L2039" s="444">
        <f t="shared" ca="1" si="137"/>
        <v>-1339129633.6987791</v>
      </c>
      <c r="M2039" s="460">
        <f t="shared" si="139"/>
        <v>0.05</v>
      </c>
      <c r="N2039" s="464">
        <f t="shared" si="140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38"/>
        <v>-1339129633.6987791</v>
      </c>
      <c r="J2040" s="444">
        <f t="array" ref="J2040">IFERROR(INDEX('Retirement Calculator'!J:J,MATCH('Isaac 401k'!N2040,'Retirement Calculator'!A:A,0),0),0)</f>
        <v>0</v>
      </c>
      <c r="K2040" s="444">
        <f t="shared" ca="1" si="136"/>
        <v>-5579706.807078246</v>
      </c>
      <c r="L2040" s="444">
        <f t="shared" ca="1" si="137"/>
        <v>-1344709340.5058575</v>
      </c>
      <c r="M2040" s="460">
        <f t="shared" si="139"/>
        <v>0.05</v>
      </c>
      <c r="N2040" s="464">
        <f t="shared" si="140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38"/>
        <v>-1344709340.5058575</v>
      </c>
      <c r="J2041" s="444">
        <f t="array" ref="J2041">IFERROR(INDEX('Retirement Calculator'!J:J,MATCH('Isaac 401k'!N2041,'Retirement Calculator'!A:A,0),0),0)</f>
        <v>0</v>
      </c>
      <c r="K2041" s="444">
        <f t="shared" ca="1" si="136"/>
        <v>-5602955.5854410725</v>
      </c>
      <c r="L2041" s="444">
        <f t="shared" ca="1" si="137"/>
        <v>-1350312296.0912986</v>
      </c>
      <c r="M2041" s="460">
        <f t="shared" si="139"/>
        <v>0.05</v>
      </c>
      <c r="N2041" s="464">
        <f t="shared" si="140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38"/>
        <v>-1350312296.0912986</v>
      </c>
      <c r="J2042" s="444">
        <f t="array" ref="J2042">IFERROR(INDEX('Retirement Calculator'!J:J,MATCH('Isaac 401k'!N2042,'Retirement Calculator'!A:A,0),0),0)</f>
        <v>0</v>
      </c>
      <c r="K2042" s="444">
        <f t="shared" ca="1" si="136"/>
        <v>-5626301.2337137442</v>
      </c>
      <c r="L2042" s="444">
        <f t="shared" ca="1" si="137"/>
        <v>-1355938597.3250122</v>
      </c>
      <c r="M2042" s="460">
        <f t="shared" si="139"/>
        <v>0.05</v>
      </c>
      <c r="N2042" s="464">
        <f t="shared" si="140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38"/>
        <v>-1355938597.3250122</v>
      </c>
      <c r="J2043" s="444">
        <f t="array" ref="J2043">IFERROR(INDEX('Retirement Calculator'!J:J,MATCH('Isaac 401k'!N2043,'Retirement Calculator'!A:A,0),0),0)</f>
        <v>0</v>
      </c>
      <c r="K2043" s="444">
        <f t="shared" ca="1" si="136"/>
        <v>-5649744.1555208843</v>
      </c>
      <c r="L2043" s="444">
        <f t="shared" ca="1" si="137"/>
        <v>-1361588341.4805331</v>
      </c>
      <c r="M2043" s="460">
        <f t="shared" si="139"/>
        <v>0.05</v>
      </c>
      <c r="N2043" s="464">
        <f t="shared" si="140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38"/>
        <v>-1361588341.4805331</v>
      </c>
      <c r="J2044" s="444">
        <f t="array" ref="J2044">IFERROR(INDEX('Retirement Calculator'!J:J,MATCH('Isaac 401k'!N2044,'Retirement Calculator'!A:A,0),0),0)</f>
        <v>0</v>
      </c>
      <c r="K2044" s="444">
        <f t="shared" ca="1" si="136"/>
        <v>-5673284.756168888</v>
      </c>
      <c r="L2044" s="444">
        <f t="shared" ca="1" si="137"/>
        <v>-1367261626.236702</v>
      </c>
      <c r="M2044" s="460">
        <f t="shared" si="139"/>
        <v>0.05</v>
      </c>
      <c r="N2044" s="464">
        <f t="shared" si="140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38"/>
        <v>-1367261626.236702</v>
      </c>
      <c r="J2045" s="444">
        <f t="array" ref="J2045">IFERROR(INDEX('Retirement Calculator'!J:J,MATCH('Isaac 401k'!N2045,'Retirement Calculator'!A:A,0),0),0)</f>
        <v>0</v>
      </c>
      <c r="K2045" s="444">
        <f t="shared" ca="1" si="136"/>
        <v>-5696923.4426529249</v>
      </c>
      <c r="L2045" s="444">
        <f t="shared" ca="1" si="137"/>
        <v>-1372958549.6793549</v>
      </c>
      <c r="M2045" s="460">
        <f t="shared" si="139"/>
        <v>0.05</v>
      </c>
      <c r="N2045" s="464">
        <f t="shared" si="140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38"/>
        <v>-1372958549.6793549</v>
      </c>
      <c r="J2046" s="444">
        <f t="array" ref="J2046">IFERROR(INDEX('Retirement Calculator'!J:J,MATCH('Isaac 401k'!N2046,'Retirement Calculator'!A:A,0),0),0)</f>
        <v>0</v>
      </c>
      <c r="K2046" s="444">
        <f t="shared" ca="1" si="136"/>
        <v>-5720660.6236639787</v>
      </c>
      <c r="L2046" s="444">
        <f t="shared" ca="1" si="137"/>
        <v>-1378679210.3030188</v>
      </c>
      <c r="M2046" s="460">
        <f t="shared" si="139"/>
        <v>0.05</v>
      </c>
      <c r="N2046" s="464">
        <f t="shared" si="140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38"/>
        <v>-1378679210.3030188</v>
      </c>
      <c r="J2047" s="444">
        <f t="array" ref="J2047">IFERROR(INDEX('Retirement Calculator'!J:J,MATCH('Isaac 401k'!N2047,'Retirement Calculator'!A:A,0),0),0)</f>
        <v>0</v>
      </c>
      <c r="K2047" s="444">
        <f t="shared" ca="1" si="136"/>
        <v>-5744496.7095959112</v>
      </c>
      <c r="L2047" s="444">
        <f t="shared" ca="1" si="137"/>
        <v>-1384423707.0126147</v>
      </c>
      <c r="M2047" s="460">
        <f t="shared" si="139"/>
        <v>0.05</v>
      </c>
      <c r="N2047" s="464">
        <f t="shared" si="140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38"/>
        <v>-1384423707.0126147</v>
      </c>
      <c r="J2048" s="444">
        <f t="array" ref="J2048">IFERROR(INDEX('Retirement Calculator'!J:J,MATCH('Isaac 401k'!N2048,'Retirement Calculator'!A:A,0),0),0)</f>
        <v>0</v>
      </c>
      <c r="K2048" s="444">
        <f t="shared" ref="K2048:K2302" ca="1" si="141">IPMT(M2048/12,1,12,-I2048+J2048,,0)</f>
        <v>-5768432.1125525609</v>
      </c>
      <c r="L2048" s="444">
        <f t="shared" ref="L2048:L2302" ca="1" si="142">I2048-J2048+K2048</f>
        <v>-1390192139.1251674</v>
      </c>
      <c r="M2048" s="460">
        <f t="shared" si="139"/>
        <v>0.05</v>
      </c>
      <c r="N2048" s="464">
        <f t="shared" si="140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43">L2048</f>
        <v>-1390192139.1251674</v>
      </c>
      <c r="J2049" s="444">
        <f t="array" ref="J2049">IFERROR(INDEX('Retirement Calculator'!J:J,MATCH('Isaac 401k'!N2049,'Retirement Calculator'!A:A,0),0),0)</f>
        <v>0</v>
      </c>
      <c r="K2049" s="444">
        <f t="shared" ca="1" si="141"/>
        <v>-5792467.246354864</v>
      </c>
      <c r="L2049" s="444">
        <f t="shared" ca="1" si="142"/>
        <v>-1395984606.3715222</v>
      </c>
      <c r="M2049" s="460">
        <f t="shared" ref="M2049:M2303" si="144">M2048</f>
        <v>0.05</v>
      </c>
      <c r="N2049" s="464">
        <f t="shared" ref="N2049:N2303" si="145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43"/>
        <v>-1395984606.3715222</v>
      </c>
      <c r="J2050" s="444">
        <f t="array" ref="J2050">IFERROR(INDEX('Retirement Calculator'!J:J,MATCH('Isaac 401k'!N2050,'Retirement Calculator'!A:A,0),0),0)</f>
        <v>0</v>
      </c>
      <c r="K2050" s="444">
        <f t="shared" ca="1" si="141"/>
        <v>-5816602.5265480094</v>
      </c>
      <c r="L2050" s="444">
        <f t="shared" ca="1" si="142"/>
        <v>-1401801208.8980701</v>
      </c>
      <c r="M2050" s="460">
        <f t="shared" si="144"/>
        <v>0.05</v>
      </c>
      <c r="N2050" s="464">
        <f t="shared" si="145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43"/>
        <v>-1401801208.8980701</v>
      </c>
      <c r="J2051" s="444">
        <f t="array" ref="J2051">IFERROR(INDEX('Retirement Calculator'!J:J,MATCH('Isaac 401k'!N2051,'Retirement Calculator'!A:A,0),0),0)</f>
        <v>0</v>
      </c>
      <c r="K2051" s="444">
        <f t="shared" ca="1" si="141"/>
        <v>-5840838.3704086253</v>
      </c>
      <c r="L2051" s="444">
        <f t="shared" ca="1" si="142"/>
        <v>-1407642047.2684786</v>
      </c>
      <c r="M2051" s="460">
        <f t="shared" si="144"/>
        <v>0.05</v>
      </c>
      <c r="N2051" s="464">
        <f t="shared" si="145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43"/>
        <v>-1407642047.2684786</v>
      </c>
      <c r="J2052" s="444">
        <f t="array" ref="J2052">IFERROR(INDEX('Retirement Calculator'!J:J,MATCH('Isaac 401k'!N2052,'Retirement Calculator'!A:A,0),0),0)</f>
        <v>0</v>
      </c>
      <c r="K2052" s="444">
        <f t="shared" ca="1" si="141"/>
        <v>-5865175.1969519947</v>
      </c>
      <c r="L2052" s="444">
        <f t="shared" ca="1" si="142"/>
        <v>-1413507222.4654307</v>
      </c>
      <c r="M2052" s="460">
        <f t="shared" si="144"/>
        <v>0.05</v>
      </c>
      <c r="N2052" s="464">
        <f t="shared" si="145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43"/>
        <v>-1413507222.4654307</v>
      </c>
      <c r="J2053" s="444">
        <f t="array" ref="J2053">IFERROR(INDEX('Retirement Calculator'!J:J,MATCH('Isaac 401k'!N2053,'Retirement Calculator'!A:A,0),0),0)</f>
        <v>0</v>
      </c>
      <c r="K2053" s="444">
        <f t="shared" ca="1" si="141"/>
        <v>-5889613.4269392947</v>
      </c>
      <c r="L2053" s="444">
        <f t="shared" ca="1" si="142"/>
        <v>-1419396835.89237</v>
      </c>
      <c r="M2053" s="460">
        <f t="shared" si="144"/>
        <v>0.05</v>
      </c>
      <c r="N2053" s="464">
        <f t="shared" si="145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43"/>
        <v>-1419396835.89237</v>
      </c>
      <c r="J2054" s="444">
        <f t="array" ref="J2054">IFERROR(INDEX('Retirement Calculator'!J:J,MATCH('Isaac 401k'!N2054,'Retirement Calculator'!A:A,0),0),0)</f>
        <v>0</v>
      </c>
      <c r="K2054" s="444">
        <f t="shared" ca="1" si="141"/>
        <v>-5914153.4828848746</v>
      </c>
      <c r="L2054" s="444">
        <f t="shared" ca="1" si="142"/>
        <v>-1425310989.3752549</v>
      </c>
      <c r="M2054" s="460">
        <f t="shared" si="144"/>
        <v>0.05</v>
      </c>
      <c r="N2054" s="464">
        <f t="shared" si="145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43"/>
        <v>-1425310989.3752549</v>
      </c>
      <c r="J2055" s="444">
        <f t="array" ref="J2055">IFERROR(INDEX('Retirement Calculator'!J:J,MATCH('Isaac 401k'!N2055,'Retirement Calculator'!A:A,0),0),0)</f>
        <v>0</v>
      </c>
      <c r="K2055" s="444">
        <f t="shared" ca="1" si="141"/>
        <v>-5938795.7890635617</v>
      </c>
      <c r="L2055" s="444">
        <f t="shared" ca="1" si="142"/>
        <v>-1431249785.1643183</v>
      </c>
      <c r="M2055" s="460">
        <f t="shared" si="144"/>
        <v>0.05</v>
      </c>
      <c r="N2055" s="464">
        <f t="shared" si="145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43"/>
        <v>-1431249785.1643183</v>
      </c>
      <c r="J2056" s="444">
        <f t="array" ref="J2056">IFERROR(INDEX('Retirement Calculator'!J:J,MATCH('Isaac 401k'!N2056,'Retirement Calculator'!A:A,0),0),0)</f>
        <v>0</v>
      </c>
      <c r="K2056" s="444">
        <f t="shared" ca="1" si="141"/>
        <v>-5963540.771517993</v>
      </c>
      <c r="L2056" s="444">
        <f t="shared" ca="1" si="142"/>
        <v>-1437213325.9358363</v>
      </c>
      <c r="M2056" s="460">
        <f t="shared" si="144"/>
        <v>0.05</v>
      </c>
      <c r="N2056" s="464">
        <f t="shared" si="145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43"/>
        <v>-1437213325.9358363</v>
      </c>
      <c r="J2057" s="444">
        <f t="array" ref="J2057">IFERROR(INDEX('Retirement Calculator'!J:J,MATCH('Isaac 401k'!N2057,'Retirement Calculator'!A:A,0),0),0)</f>
        <v>0</v>
      </c>
      <c r="K2057" s="444">
        <f t="shared" ca="1" si="141"/>
        <v>-5988388.8580659842</v>
      </c>
      <c r="L2057" s="444">
        <f t="shared" ca="1" si="142"/>
        <v>-1443201714.7939024</v>
      </c>
      <c r="M2057" s="460">
        <f t="shared" si="144"/>
        <v>0.05</v>
      </c>
      <c r="N2057" s="464">
        <f t="shared" si="145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43"/>
        <v>-1443201714.7939024</v>
      </c>
      <c r="J2058" s="444">
        <f t="array" ref="J2058">IFERROR(INDEX('Retirement Calculator'!J:J,MATCH('Isaac 401k'!N2058,'Retirement Calculator'!A:A,0),0),0)</f>
        <v>0</v>
      </c>
      <c r="K2058" s="444">
        <f t="shared" ca="1" si="141"/>
        <v>-6013340.478307927</v>
      </c>
      <c r="L2058" s="444">
        <f t="shared" ca="1" si="142"/>
        <v>-1449215055.2722104</v>
      </c>
      <c r="M2058" s="460">
        <f t="shared" si="144"/>
        <v>0.05</v>
      </c>
      <c r="N2058" s="464">
        <f t="shared" si="145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43"/>
        <v>-1449215055.2722104</v>
      </c>
      <c r="J2059" s="444">
        <f t="array" ref="J2059">IFERROR(INDEX('Retirement Calculator'!J:J,MATCH('Isaac 401k'!N2059,'Retirement Calculator'!A:A,0),0),0)</f>
        <v>0</v>
      </c>
      <c r="K2059" s="444">
        <f t="shared" ca="1" si="141"/>
        <v>-6038396.0636342093</v>
      </c>
      <c r="L2059" s="444">
        <f t="shared" ca="1" si="142"/>
        <v>-1455253451.3358445</v>
      </c>
      <c r="M2059" s="460">
        <f t="shared" si="144"/>
        <v>0.05</v>
      </c>
      <c r="N2059" s="464">
        <f t="shared" si="145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43"/>
        <v>-1455253451.3358445</v>
      </c>
      <c r="J2060" s="444">
        <f t="array" ref="J2060">IFERROR(INDEX('Retirement Calculator'!J:J,MATCH('Isaac 401k'!N2060,'Retirement Calculator'!A:A,0),0),0)</f>
        <v>0</v>
      </c>
      <c r="K2060" s="444">
        <f t="shared" ca="1" si="141"/>
        <v>-6063556.0472326856</v>
      </c>
      <c r="L2060" s="444">
        <f t="shared" ca="1" si="142"/>
        <v>-1461317007.3830771</v>
      </c>
      <c r="M2060" s="460">
        <f t="shared" si="144"/>
        <v>0.05</v>
      </c>
      <c r="N2060" s="464">
        <f t="shared" si="145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43"/>
        <v>-1461317007.3830771</v>
      </c>
      <c r="J2061" s="444">
        <f t="array" ref="J2061">IFERROR(INDEX('Retirement Calculator'!J:J,MATCH('Isaac 401k'!N2061,'Retirement Calculator'!A:A,0),0),0)</f>
        <v>0</v>
      </c>
      <c r="K2061" s="444">
        <f t="shared" ca="1" si="141"/>
        <v>-6088820.8640961545</v>
      </c>
      <c r="L2061" s="444">
        <f t="shared" ca="1" si="142"/>
        <v>-1467405828.2471733</v>
      </c>
      <c r="M2061" s="460">
        <f t="shared" si="144"/>
        <v>0.05</v>
      </c>
      <c r="N2061" s="464">
        <f t="shared" si="145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43"/>
        <v>-1467405828.2471733</v>
      </c>
      <c r="J2062" s="444">
        <f t="array" ref="J2062">IFERROR(INDEX('Retirement Calculator'!J:J,MATCH('Isaac 401k'!N2062,'Retirement Calculator'!A:A,0),0),0)</f>
        <v>0</v>
      </c>
      <c r="K2062" s="444">
        <f t="shared" ca="1" si="141"/>
        <v>-6114190.9510298884</v>
      </c>
      <c r="L2062" s="444">
        <f t="shared" ca="1" si="142"/>
        <v>-1473520019.1982031</v>
      </c>
      <c r="M2062" s="460">
        <f t="shared" si="144"/>
        <v>0.05</v>
      </c>
      <c r="N2062" s="464">
        <f t="shared" si="145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43"/>
        <v>-1473520019.1982031</v>
      </c>
      <c r="J2063" s="444">
        <f t="array" ref="J2063">IFERROR(INDEX('Retirement Calculator'!J:J,MATCH('Isaac 401k'!N2063,'Retirement Calculator'!A:A,0),0),0)</f>
        <v>0</v>
      </c>
      <c r="K2063" s="444">
        <f t="shared" ca="1" si="141"/>
        <v>-6139666.7466591792</v>
      </c>
      <c r="L2063" s="444">
        <f t="shared" ca="1" si="142"/>
        <v>-1479659685.9448624</v>
      </c>
      <c r="M2063" s="460">
        <f t="shared" si="144"/>
        <v>0.05</v>
      </c>
      <c r="N2063" s="464">
        <f t="shared" si="145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43"/>
        <v>-1479659685.9448624</v>
      </c>
      <c r="J2064" s="444">
        <f t="array" ref="J2064">IFERROR(INDEX('Retirement Calculator'!J:J,MATCH('Isaac 401k'!N2064,'Retirement Calculator'!A:A,0),0),0)</f>
        <v>0</v>
      </c>
      <c r="K2064" s="444">
        <f t="shared" ca="1" si="141"/>
        <v>-6165248.6914369268</v>
      </c>
      <c r="L2064" s="444">
        <f t="shared" ca="1" si="142"/>
        <v>-1485824934.6362994</v>
      </c>
      <c r="M2064" s="460">
        <f t="shared" si="144"/>
        <v>0.05</v>
      </c>
      <c r="N2064" s="464">
        <f t="shared" si="145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43"/>
        <v>-1485824934.6362994</v>
      </c>
      <c r="J2065" s="444">
        <f t="array" ref="J2065">IFERROR(INDEX('Retirement Calculator'!J:J,MATCH('Isaac 401k'!N2065,'Retirement Calculator'!A:A,0),0),0)</f>
        <v>0</v>
      </c>
      <c r="K2065" s="444">
        <f t="shared" ca="1" si="141"/>
        <v>-6190937.2276512478</v>
      </c>
      <c r="L2065" s="444">
        <f t="shared" ca="1" si="142"/>
        <v>-1492015871.8639507</v>
      </c>
      <c r="M2065" s="460">
        <f t="shared" si="144"/>
        <v>0.05</v>
      </c>
      <c r="N2065" s="464">
        <f t="shared" si="145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43"/>
        <v>-1492015871.8639507</v>
      </c>
      <c r="J2066" s="444">
        <f t="array" ref="J2066">IFERROR(INDEX('Retirement Calculator'!J:J,MATCH('Isaac 401k'!N2066,'Retirement Calculator'!A:A,0),0),0)</f>
        <v>0</v>
      </c>
      <c r="K2066" s="444">
        <f t="shared" ca="1" si="141"/>
        <v>-6216732.799433128</v>
      </c>
      <c r="L2066" s="444">
        <f t="shared" ca="1" si="142"/>
        <v>-1498232604.663384</v>
      </c>
      <c r="M2066" s="460">
        <f t="shared" si="144"/>
        <v>0.05</v>
      </c>
      <c r="N2066" s="464">
        <f t="shared" si="145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43"/>
        <v>-1498232604.663384</v>
      </c>
      <c r="J2067" s="444">
        <f t="array" ref="J2067">IFERROR(INDEX('Retirement Calculator'!J:J,MATCH('Isaac 401k'!N2067,'Retirement Calculator'!A:A,0),0),0)</f>
        <v>0</v>
      </c>
      <c r="K2067" s="444">
        <f t="shared" ca="1" si="141"/>
        <v>-6242635.8527640998</v>
      </c>
      <c r="L2067" s="444">
        <f t="shared" ca="1" si="142"/>
        <v>-1504475240.5161481</v>
      </c>
      <c r="M2067" s="460">
        <f t="shared" si="144"/>
        <v>0.05</v>
      </c>
      <c r="N2067" s="464">
        <f t="shared" si="145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43"/>
        <v>-1504475240.5161481</v>
      </c>
      <c r="J2068" s="444">
        <f t="array" ref="J2068">IFERROR(INDEX('Retirement Calculator'!J:J,MATCH('Isaac 401k'!N2068,'Retirement Calculator'!A:A,0),0),0)</f>
        <v>0</v>
      </c>
      <c r="K2068" s="444">
        <f t="shared" ca="1" si="141"/>
        <v>-6268646.8354839506</v>
      </c>
      <c r="L2068" s="444">
        <f t="shared" ca="1" si="142"/>
        <v>-1510743887.3516321</v>
      </c>
      <c r="M2068" s="460">
        <f t="shared" si="144"/>
        <v>0.05</v>
      </c>
      <c r="N2068" s="464">
        <f t="shared" si="145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43"/>
        <v>-1510743887.3516321</v>
      </c>
      <c r="J2069" s="444">
        <f t="array" ref="J2069">IFERROR(INDEX('Retirement Calculator'!J:J,MATCH('Isaac 401k'!N2069,'Retirement Calculator'!A:A,0),0),0)</f>
        <v>0</v>
      </c>
      <c r="K2069" s="444">
        <f t="shared" ca="1" si="141"/>
        <v>-6294766.1972984672</v>
      </c>
      <c r="L2069" s="444">
        <f t="shared" ca="1" si="142"/>
        <v>-1517038653.5489306</v>
      </c>
      <c r="M2069" s="460">
        <f t="shared" si="144"/>
        <v>0.05</v>
      </c>
      <c r="N2069" s="464">
        <f t="shared" si="145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43"/>
        <v>-1517038653.5489306</v>
      </c>
      <c r="J2070" s="444">
        <f t="array" ref="J2070">IFERROR(INDEX('Retirement Calculator'!J:J,MATCH('Isaac 401k'!N2070,'Retirement Calculator'!A:A,0),0),0)</f>
        <v>0</v>
      </c>
      <c r="K2070" s="444">
        <f t="shared" ca="1" si="141"/>
        <v>-6320994.3897872111</v>
      </c>
      <c r="L2070" s="444">
        <f t="shared" ca="1" si="142"/>
        <v>-1523359647.9387178</v>
      </c>
      <c r="M2070" s="460">
        <f t="shared" si="144"/>
        <v>0.05</v>
      </c>
      <c r="N2070" s="464">
        <f t="shared" si="145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43"/>
        <v>-1523359647.9387178</v>
      </c>
      <c r="J2071" s="444">
        <f t="array" ref="J2071">IFERROR(INDEX('Retirement Calculator'!J:J,MATCH('Isaac 401k'!N2071,'Retirement Calculator'!A:A,0),0),0)</f>
        <v>0</v>
      </c>
      <c r="K2071" s="444">
        <f t="shared" ca="1" si="141"/>
        <v>-6347331.8664113246</v>
      </c>
      <c r="L2071" s="444">
        <f t="shared" ca="1" si="142"/>
        <v>-1529706979.8051291</v>
      </c>
      <c r="M2071" s="460">
        <f t="shared" si="144"/>
        <v>0.05</v>
      </c>
      <c r="N2071" s="464">
        <f t="shared" si="145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43"/>
        <v>-1529706979.8051291</v>
      </c>
      <c r="J2072" s="444">
        <f t="array" ref="J2072">IFERROR(INDEX('Retirement Calculator'!J:J,MATCH('Isaac 401k'!N2072,'Retirement Calculator'!A:A,0),0),0)</f>
        <v>0</v>
      </c>
      <c r="K2072" s="444">
        <f t="shared" ca="1" si="141"/>
        <v>-6373779.0825213706</v>
      </c>
      <c r="L2072" s="444">
        <f t="shared" ca="1" si="142"/>
        <v>-1536080758.8876505</v>
      </c>
      <c r="M2072" s="460">
        <f t="shared" si="144"/>
        <v>0.05</v>
      </c>
      <c r="N2072" s="464">
        <f t="shared" si="145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43"/>
        <v>-1536080758.8876505</v>
      </c>
      <c r="J2073" s="444">
        <f t="array" ref="J2073">IFERROR(INDEX('Retirement Calculator'!J:J,MATCH('Isaac 401k'!N2073,'Retirement Calculator'!A:A,0),0),0)</f>
        <v>0</v>
      </c>
      <c r="K2073" s="444">
        <f t="shared" ca="1" si="141"/>
        <v>-6400336.4953652099</v>
      </c>
      <c r="L2073" s="444">
        <f t="shared" ca="1" si="142"/>
        <v>-1542481095.3830156</v>
      </c>
      <c r="M2073" s="460">
        <f t="shared" si="144"/>
        <v>0.05</v>
      </c>
      <c r="N2073" s="464">
        <f t="shared" si="145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43"/>
        <v>-1542481095.3830156</v>
      </c>
      <c r="J2074" s="444">
        <f t="array" ref="J2074">IFERROR(INDEX('Retirement Calculator'!J:J,MATCH('Isaac 401k'!N2074,'Retirement Calculator'!A:A,0),0),0)</f>
        <v>0</v>
      </c>
      <c r="K2074" s="444">
        <f t="shared" ca="1" si="141"/>
        <v>-6427004.5640958985</v>
      </c>
      <c r="L2074" s="444">
        <f t="shared" ca="1" si="142"/>
        <v>-1548908099.9471116</v>
      </c>
      <c r="M2074" s="460">
        <f t="shared" si="144"/>
        <v>0.05</v>
      </c>
      <c r="N2074" s="464">
        <f t="shared" si="145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43"/>
        <v>-1548908099.9471116</v>
      </c>
      <c r="J2075" s="444">
        <f t="array" ref="J2075">IFERROR(INDEX('Retirement Calculator'!J:J,MATCH('Isaac 401k'!N2075,'Retirement Calculator'!A:A,0),0),0)</f>
        <v>0</v>
      </c>
      <c r="K2075" s="444">
        <f t="shared" ca="1" si="141"/>
        <v>-6453783.7497796314</v>
      </c>
      <c r="L2075" s="444">
        <f t="shared" ca="1" si="142"/>
        <v>-1555361883.6968913</v>
      </c>
      <c r="M2075" s="460">
        <f t="shared" si="144"/>
        <v>0.05</v>
      </c>
      <c r="N2075" s="464">
        <f t="shared" si="145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43"/>
        <v>-1555361883.6968913</v>
      </c>
      <c r="J2076" s="444">
        <f t="array" ref="J2076">IFERROR(INDEX('Retirement Calculator'!J:J,MATCH('Isaac 401k'!N2076,'Retirement Calculator'!A:A,0),0),0)</f>
        <v>0</v>
      </c>
      <c r="K2076" s="444">
        <f t="shared" ca="1" si="141"/>
        <v>-6480674.515403714</v>
      </c>
      <c r="L2076" s="444">
        <f t="shared" ca="1" si="142"/>
        <v>-1561842558.2122951</v>
      </c>
      <c r="M2076" s="460">
        <f t="shared" si="144"/>
        <v>0.05</v>
      </c>
      <c r="N2076" s="464">
        <f t="shared" si="145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43"/>
        <v>-1561842558.2122951</v>
      </c>
      <c r="J2077" s="444">
        <f t="array" ref="J2077">IFERROR(INDEX('Retirement Calculator'!J:J,MATCH('Isaac 401k'!N2077,'Retirement Calculator'!A:A,0),0),0)</f>
        <v>0</v>
      </c>
      <c r="K2077" s="444">
        <f t="shared" ca="1" si="141"/>
        <v>-6507677.3258845629</v>
      </c>
      <c r="L2077" s="444">
        <f t="shared" ca="1" si="142"/>
        <v>-1568350235.5381796</v>
      </c>
      <c r="M2077" s="460">
        <f t="shared" si="144"/>
        <v>0.05</v>
      </c>
      <c r="N2077" s="464">
        <f t="shared" si="145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43"/>
        <v>-1568350235.5381796</v>
      </c>
      <c r="J2078" s="444">
        <f t="array" ref="J2078">IFERROR(INDEX('Retirement Calculator'!J:J,MATCH('Isaac 401k'!N2078,'Retirement Calculator'!A:A,0),0),0)</f>
        <v>0</v>
      </c>
      <c r="K2078" s="444">
        <f t="shared" ca="1" si="141"/>
        <v>-6534792.6480757482</v>
      </c>
      <c r="L2078" s="444">
        <f t="shared" ca="1" si="142"/>
        <v>-1574885028.1862555</v>
      </c>
      <c r="M2078" s="460">
        <f t="shared" si="144"/>
        <v>0.05</v>
      </c>
      <c r="N2078" s="464">
        <f t="shared" si="145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43"/>
        <v>-1574885028.1862555</v>
      </c>
      <c r="J2079" s="444">
        <f t="array" ref="J2079">IFERROR(INDEX('Retirement Calculator'!J:J,MATCH('Isaac 401k'!N2079,'Retirement Calculator'!A:A,0),0),0)</f>
        <v>0</v>
      </c>
      <c r="K2079" s="444">
        <f t="shared" ca="1" si="141"/>
        <v>-6562020.9507760648</v>
      </c>
      <c r="L2079" s="444">
        <f t="shared" ca="1" si="142"/>
        <v>-1581447049.1370316</v>
      </c>
      <c r="M2079" s="460">
        <f t="shared" si="144"/>
        <v>0.05</v>
      </c>
      <c r="N2079" s="464">
        <f t="shared" si="145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43"/>
        <v>-1581447049.1370316</v>
      </c>
      <c r="J2080" s="444">
        <f t="array" ref="J2080">IFERROR(INDEX('Retirement Calculator'!J:J,MATCH('Isaac 401k'!N2080,'Retirement Calculator'!A:A,0),0),0)</f>
        <v>0</v>
      </c>
      <c r="K2080" s="444">
        <f t="shared" ca="1" si="141"/>
        <v>-6589362.7047376316</v>
      </c>
      <c r="L2080" s="444">
        <f t="shared" ca="1" si="142"/>
        <v>-1588036411.8417692</v>
      </c>
      <c r="M2080" s="460">
        <f t="shared" si="144"/>
        <v>0.05</v>
      </c>
      <c r="N2080" s="464">
        <f t="shared" si="145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43"/>
        <v>-1588036411.8417692</v>
      </c>
      <c r="J2081" s="444">
        <f t="array" ref="J2081">IFERROR(INDEX('Retirement Calculator'!J:J,MATCH('Isaac 401k'!N2081,'Retirement Calculator'!A:A,0),0),0)</f>
        <v>0</v>
      </c>
      <c r="K2081" s="444">
        <f t="shared" ca="1" si="141"/>
        <v>-6616818.3826740384</v>
      </c>
      <c r="L2081" s="444">
        <f t="shared" ca="1" si="142"/>
        <v>-1594653230.2244432</v>
      </c>
      <c r="M2081" s="460">
        <f t="shared" si="144"/>
        <v>0.05</v>
      </c>
      <c r="N2081" s="464">
        <f t="shared" si="145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43"/>
        <v>-1594653230.2244432</v>
      </c>
      <c r="J2082" s="444">
        <f t="array" ref="J2082">IFERROR(INDEX('Retirement Calculator'!J:J,MATCH('Isaac 401k'!N2082,'Retirement Calculator'!A:A,0),0),0)</f>
        <v>0</v>
      </c>
      <c r="K2082" s="444">
        <f t="shared" ca="1" si="141"/>
        <v>-6644388.4592685131</v>
      </c>
      <c r="L2082" s="444">
        <f t="shared" ca="1" si="142"/>
        <v>-1601297618.6837118</v>
      </c>
      <c r="M2082" s="460">
        <f t="shared" si="144"/>
        <v>0.05</v>
      </c>
      <c r="N2082" s="464">
        <f t="shared" si="145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43"/>
        <v>-1601297618.6837118</v>
      </c>
      <c r="J2083" s="444">
        <f t="array" ref="J2083">IFERROR(INDEX('Retirement Calculator'!J:J,MATCH('Isaac 401k'!N2083,'Retirement Calculator'!A:A,0),0),0)</f>
        <v>0</v>
      </c>
      <c r="K2083" s="444">
        <f t="shared" ca="1" si="141"/>
        <v>-6672073.4111821325</v>
      </c>
      <c r="L2083" s="444">
        <f t="shared" ca="1" si="142"/>
        <v>-1607969692.0948939</v>
      </c>
      <c r="M2083" s="460">
        <f t="shared" si="144"/>
        <v>0.05</v>
      </c>
      <c r="N2083" s="464">
        <f t="shared" si="145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43"/>
        <v>-1607969692.0948939</v>
      </c>
      <c r="J2084" s="444">
        <f t="array" ref="J2084">IFERROR(INDEX('Retirement Calculator'!J:J,MATCH('Isaac 401k'!N2084,'Retirement Calculator'!A:A,0),0),0)</f>
        <v>0</v>
      </c>
      <c r="K2084" s="444">
        <f t="shared" ca="1" si="141"/>
        <v>-6699873.7170620579</v>
      </c>
      <c r="L2084" s="444">
        <f t="shared" ca="1" si="142"/>
        <v>-1614669565.8119559</v>
      </c>
      <c r="M2084" s="460">
        <f t="shared" si="144"/>
        <v>0.05</v>
      </c>
      <c r="N2084" s="464">
        <f t="shared" si="145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43"/>
        <v>-1614669565.8119559</v>
      </c>
      <c r="J2085" s="444">
        <f t="array" ref="J2085">IFERROR(INDEX('Retirement Calculator'!J:J,MATCH('Isaac 401k'!N2085,'Retirement Calculator'!A:A,0),0),0)</f>
        <v>0</v>
      </c>
      <c r="K2085" s="444">
        <f t="shared" ca="1" si="141"/>
        <v>-6727789.8575498164</v>
      </c>
      <c r="L2085" s="444">
        <f t="shared" ca="1" si="142"/>
        <v>-1621397355.6695058</v>
      </c>
      <c r="M2085" s="460">
        <f t="shared" si="144"/>
        <v>0.05</v>
      </c>
      <c r="N2085" s="464">
        <f t="shared" si="145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43"/>
        <v>-1621397355.6695058</v>
      </c>
      <c r="J2086" s="444">
        <f t="array" ref="J2086">IFERROR(INDEX('Retirement Calculator'!J:J,MATCH('Isaac 401k'!N2086,'Retirement Calculator'!A:A,0),0),0)</f>
        <v>0</v>
      </c>
      <c r="K2086" s="444">
        <f t="shared" ca="1" si="141"/>
        <v>-6755822.3152896073</v>
      </c>
      <c r="L2086" s="444">
        <f t="shared" ca="1" si="142"/>
        <v>-1628153177.9847953</v>
      </c>
      <c r="M2086" s="460">
        <f t="shared" si="144"/>
        <v>0.05</v>
      </c>
      <c r="N2086" s="464">
        <f t="shared" si="145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43"/>
        <v>-1628153177.9847953</v>
      </c>
      <c r="J2087" s="444">
        <f t="array" ref="J2087">IFERROR(INDEX('Retirement Calculator'!J:J,MATCH('Isaac 401k'!N2087,'Retirement Calculator'!A:A,0),0),0)</f>
        <v>0</v>
      </c>
      <c r="K2087" s="444">
        <f t="shared" ca="1" si="141"/>
        <v>-6783971.574936647</v>
      </c>
      <c r="L2087" s="444">
        <f t="shared" ca="1" si="142"/>
        <v>-1634937149.559732</v>
      </c>
      <c r="M2087" s="460">
        <f t="shared" si="144"/>
        <v>0.05</v>
      </c>
      <c r="N2087" s="464">
        <f t="shared" si="145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43"/>
        <v>-1634937149.559732</v>
      </c>
      <c r="J2088" s="444">
        <f t="array" ref="J2088">IFERROR(INDEX('Retirement Calculator'!J:J,MATCH('Isaac 401k'!N2088,'Retirement Calculator'!A:A,0),0),0)</f>
        <v>0</v>
      </c>
      <c r="K2088" s="444">
        <f t="shared" ca="1" si="141"/>
        <v>-6812238.1231655497</v>
      </c>
      <c r="L2088" s="444">
        <f t="shared" ca="1" si="142"/>
        <v>-1641749387.6828976</v>
      </c>
      <c r="M2088" s="460">
        <f t="shared" si="144"/>
        <v>0.05</v>
      </c>
      <c r="N2088" s="464">
        <f t="shared" si="145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43"/>
        <v>-1641749387.6828976</v>
      </c>
      <c r="J2089" s="444">
        <f t="array" ref="J2089">IFERROR(INDEX('Retirement Calculator'!J:J,MATCH('Isaac 401k'!N2089,'Retirement Calculator'!A:A,0),0),0)</f>
        <v>0</v>
      </c>
      <c r="K2089" s="444">
        <f t="shared" ca="1" si="141"/>
        <v>-6840622.4486787394</v>
      </c>
      <c r="L2089" s="444">
        <f t="shared" ca="1" si="142"/>
        <v>-1648590010.1315763</v>
      </c>
      <c r="M2089" s="460">
        <f t="shared" si="144"/>
        <v>0.05</v>
      </c>
      <c r="N2089" s="464">
        <f t="shared" si="145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43"/>
        <v>-1648590010.1315763</v>
      </c>
      <c r="J2090" s="444">
        <f t="array" ref="J2090">IFERROR(INDEX('Retirement Calculator'!J:J,MATCH('Isaac 401k'!N2090,'Retirement Calculator'!A:A,0),0),0)</f>
        <v>0</v>
      </c>
      <c r="K2090" s="444">
        <f t="shared" ca="1" si="141"/>
        <v>-6869125.0422149012</v>
      </c>
      <c r="L2090" s="444">
        <f t="shared" ca="1" si="142"/>
        <v>-1655459135.1737912</v>
      </c>
      <c r="M2090" s="460">
        <f t="shared" si="144"/>
        <v>0.05</v>
      </c>
      <c r="N2090" s="464">
        <f t="shared" si="145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43"/>
        <v>-1655459135.1737912</v>
      </c>
      <c r="J2091" s="444">
        <f t="array" ref="J2091">IFERROR(INDEX('Retirement Calculator'!J:J,MATCH('Isaac 401k'!N2091,'Retirement Calculator'!A:A,0),0),0)</f>
        <v>0</v>
      </c>
      <c r="K2091" s="444">
        <f t="shared" ca="1" si="141"/>
        <v>-6897746.3965574633</v>
      </c>
      <c r="L2091" s="444">
        <f t="shared" ca="1" si="142"/>
        <v>-1662356881.5703487</v>
      </c>
      <c r="M2091" s="460">
        <f t="shared" si="144"/>
        <v>0.05</v>
      </c>
      <c r="N2091" s="464">
        <f t="shared" si="145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43"/>
        <v>-1662356881.5703487</v>
      </c>
      <c r="J2092" s="444">
        <f t="array" ref="J2092">IFERROR(INDEX('Retirement Calculator'!J:J,MATCH('Isaac 401k'!N2092,'Retirement Calculator'!A:A,0),0),0)</f>
        <v>0</v>
      </c>
      <c r="K2092" s="444">
        <f t="shared" ca="1" si="141"/>
        <v>-6926487.0065431194</v>
      </c>
      <c r="L2092" s="444">
        <f t="shared" ca="1" si="142"/>
        <v>-1669283368.5768919</v>
      </c>
      <c r="M2092" s="460">
        <f t="shared" si="144"/>
        <v>0.05</v>
      </c>
      <c r="N2092" s="464">
        <f t="shared" si="145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43"/>
        <v>-1669283368.5768919</v>
      </c>
      <c r="J2093" s="444">
        <f t="array" ref="J2093">IFERROR(INDEX('Retirement Calculator'!J:J,MATCH('Isaac 401k'!N2093,'Retirement Calculator'!A:A,0),0),0)</f>
        <v>0</v>
      </c>
      <c r="K2093" s="444">
        <f t="shared" ca="1" si="141"/>
        <v>-6955347.3690703828</v>
      </c>
      <c r="L2093" s="444">
        <f t="shared" ca="1" si="142"/>
        <v>-1676238715.9459622</v>
      </c>
      <c r="M2093" s="460">
        <f t="shared" si="144"/>
        <v>0.05</v>
      </c>
      <c r="N2093" s="464">
        <f t="shared" si="145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43"/>
        <v>-1676238715.9459622</v>
      </c>
      <c r="J2094" s="444">
        <f t="array" ref="J2094">IFERROR(INDEX('Retirement Calculator'!J:J,MATCH('Isaac 401k'!N2094,'Retirement Calculator'!A:A,0),0),0)</f>
        <v>0</v>
      </c>
      <c r="K2094" s="444">
        <f t="shared" ca="1" si="141"/>
        <v>-6984327.9831081759</v>
      </c>
      <c r="L2094" s="444">
        <f t="shared" ca="1" si="142"/>
        <v>-1683223043.9290705</v>
      </c>
      <c r="M2094" s="460">
        <f t="shared" si="144"/>
        <v>0.05</v>
      </c>
      <c r="N2094" s="464">
        <f t="shared" si="145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43"/>
        <v>-1683223043.9290705</v>
      </c>
      <c r="J2095" s="444">
        <f t="array" ref="J2095">IFERROR(INDEX('Retirement Calculator'!J:J,MATCH('Isaac 401k'!N2095,'Retirement Calculator'!A:A,0),0),0)</f>
        <v>0</v>
      </c>
      <c r="K2095" s="444">
        <f t="shared" ca="1" si="141"/>
        <v>-7013429.3497044602</v>
      </c>
      <c r="L2095" s="444">
        <f t="shared" ca="1" si="142"/>
        <v>-1690236473.278775</v>
      </c>
      <c r="M2095" s="460">
        <f t="shared" si="144"/>
        <v>0.05</v>
      </c>
      <c r="N2095" s="464">
        <f t="shared" si="145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43"/>
        <v>-1690236473.278775</v>
      </c>
      <c r="J2096" s="444">
        <f t="array" ref="J2096">IFERROR(INDEX('Retirement Calculator'!J:J,MATCH('Isaac 401k'!N2096,'Retirement Calculator'!A:A,0),0),0)</f>
        <v>0</v>
      </c>
      <c r="K2096" s="444">
        <f t="shared" ca="1" si="141"/>
        <v>-7042651.9719948955</v>
      </c>
      <c r="L2096" s="444">
        <f t="shared" ca="1" si="142"/>
        <v>-1697279125.2507699</v>
      </c>
      <c r="M2096" s="460">
        <f t="shared" si="144"/>
        <v>0.05</v>
      </c>
      <c r="N2096" s="464">
        <f t="shared" si="145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43"/>
        <v>-1697279125.2507699</v>
      </c>
      <c r="J2097" s="444">
        <f t="array" ref="J2097">IFERROR(INDEX('Retirement Calculator'!J:J,MATCH('Isaac 401k'!N2097,'Retirement Calculator'!A:A,0),0),0)</f>
        <v>0</v>
      </c>
      <c r="K2097" s="444">
        <f t="shared" ca="1" si="141"/>
        <v>-7071996.3552115411</v>
      </c>
      <c r="L2097" s="444">
        <f t="shared" ca="1" si="142"/>
        <v>-1704351121.6059813</v>
      </c>
      <c r="M2097" s="460">
        <f t="shared" si="144"/>
        <v>0.05</v>
      </c>
      <c r="N2097" s="464">
        <f t="shared" si="145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43"/>
        <v>-1704351121.6059813</v>
      </c>
      <c r="J2098" s="444">
        <f t="array" ref="J2098">IFERROR(INDEX('Retirement Calculator'!J:J,MATCH('Isaac 401k'!N2098,'Retirement Calculator'!A:A,0),0),0)</f>
        <v>0</v>
      </c>
      <c r="K2098" s="444">
        <f t="shared" ca="1" si="141"/>
        <v>-7101463.006691589</v>
      </c>
      <c r="L2098" s="444">
        <f t="shared" ca="1" si="142"/>
        <v>-1711452584.612673</v>
      </c>
      <c r="M2098" s="460">
        <f t="shared" si="144"/>
        <v>0.05</v>
      </c>
      <c r="N2098" s="464">
        <f t="shared" si="145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43"/>
        <v>-1711452584.612673</v>
      </c>
      <c r="J2099" s="444">
        <f t="array" ref="J2099">IFERROR(INDEX('Retirement Calculator'!J:J,MATCH('Isaac 401k'!N2099,'Retirement Calculator'!A:A,0),0),0)</f>
        <v>0</v>
      </c>
      <c r="K2099" s="444">
        <f t="shared" ca="1" si="141"/>
        <v>-7131052.4358861372</v>
      </c>
      <c r="L2099" s="444">
        <f t="shared" ca="1" si="142"/>
        <v>-1718583637.0485592</v>
      </c>
      <c r="M2099" s="460">
        <f t="shared" si="144"/>
        <v>0.05</v>
      </c>
      <c r="N2099" s="464">
        <f t="shared" si="145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43"/>
        <v>-1718583637.0485592</v>
      </c>
      <c r="J2100" s="444">
        <f t="array" ref="J2100">IFERROR(INDEX('Retirement Calculator'!J:J,MATCH('Isaac 401k'!N2100,'Retirement Calculator'!A:A,0),0),0)</f>
        <v>0</v>
      </c>
      <c r="K2100" s="444">
        <f t="shared" ca="1" si="141"/>
        <v>-7160765.1543689966</v>
      </c>
      <c r="L2100" s="444">
        <f t="shared" ca="1" si="142"/>
        <v>-1725744402.2029281</v>
      </c>
      <c r="M2100" s="460">
        <f t="shared" si="144"/>
        <v>0.05</v>
      </c>
      <c r="N2100" s="464">
        <f t="shared" si="145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43"/>
        <v>-1725744402.2029281</v>
      </c>
      <c r="J2101" s="444">
        <f t="array" ref="J2101">IFERROR(INDEX('Retirement Calculator'!J:J,MATCH('Isaac 401k'!N2101,'Retirement Calculator'!A:A,0),0),0)</f>
        <v>0</v>
      </c>
      <c r="K2101" s="444">
        <f t="shared" ca="1" si="141"/>
        <v>-7190601.6758455345</v>
      </c>
      <c r="L2101" s="444">
        <f t="shared" ca="1" si="142"/>
        <v>-1732935003.8787737</v>
      </c>
      <c r="M2101" s="460">
        <f t="shared" si="144"/>
        <v>0.05</v>
      </c>
      <c r="N2101" s="464">
        <f t="shared" si="145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43"/>
        <v>-1732935003.8787737</v>
      </c>
      <c r="J2102" s="444">
        <f t="array" ref="J2102">IFERROR(INDEX('Retirement Calculator'!J:J,MATCH('Isaac 401k'!N2102,'Retirement Calculator'!A:A,0),0),0)</f>
        <v>0</v>
      </c>
      <c r="K2102" s="444">
        <f t="shared" ca="1" si="141"/>
        <v>-7220562.5161615564</v>
      </c>
      <c r="L2102" s="444">
        <f t="shared" ca="1" si="142"/>
        <v>-1740155566.3949351</v>
      </c>
      <c r="M2102" s="460">
        <f t="shared" si="144"/>
        <v>0.05</v>
      </c>
      <c r="N2102" s="464">
        <f t="shared" si="145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43"/>
        <v>-1740155566.3949351</v>
      </c>
      <c r="J2103" s="444">
        <f t="array" ref="J2103">IFERROR(INDEX('Retirement Calculator'!J:J,MATCH('Isaac 401k'!N2103,'Retirement Calculator'!A:A,0),0),0)</f>
        <v>0</v>
      </c>
      <c r="K2103" s="444">
        <f t="shared" ca="1" si="141"/>
        <v>-7250648.1933122296</v>
      </c>
      <c r="L2103" s="444">
        <f t="shared" ca="1" si="142"/>
        <v>-1747406214.5882473</v>
      </c>
      <c r="M2103" s="460">
        <f t="shared" si="144"/>
        <v>0.05</v>
      </c>
      <c r="N2103" s="464">
        <f t="shared" si="145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43"/>
        <v>-1747406214.5882473</v>
      </c>
      <c r="J2104" s="444">
        <f t="array" ref="J2104">IFERROR(INDEX('Retirement Calculator'!J:J,MATCH('Isaac 401k'!N2104,'Retirement Calculator'!A:A,0),0),0)</f>
        <v>0</v>
      </c>
      <c r="K2104" s="444">
        <f t="shared" ca="1" si="141"/>
        <v>-7280859.2274510292</v>
      </c>
      <c r="L2104" s="444">
        <f t="shared" ca="1" si="142"/>
        <v>-1754687073.8156984</v>
      </c>
      <c r="M2104" s="460">
        <f t="shared" si="144"/>
        <v>0.05</v>
      </c>
      <c r="N2104" s="464">
        <f t="shared" si="145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43"/>
        <v>-1754687073.8156984</v>
      </c>
      <c r="J2105" s="444">
        <f t="array" ref="J2105">IFERROR(INDEX('Retirement Calculator'!J:J,MATCH('Isaac 401k'!N2105,'Retirement Calculator'!A:A,0),0),0)</f>
        <v>0</v>
      </c>
      <c r="K2105" s="444">
        <f t="shared" ca="1" si="141"/>
        <v>-7311196.1408987427</v>
      </c>
      <c r="L2105" s="444">
        <f t="shared" ca="1" si="142"/>
        <v>-1761998269.9565971</v>
      </c>
      <c r="M2105" s="460">
        <f t="shared" si="144"/>
        <v>0.05</v>
      </c>
      <c r="N2105" s="464">
        <f t="shared" si="145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43"/>
        <v>-1761998269.9565971</v>
      </c>
      <c r="J2106" s="444">
        <f t="array" ref="J2106">IFERROR(INDEX('Retirement Calculator'!J:J,MATCH('Isaac 401k'!N2106,'Retirement Calculator'!A:A,0),0),0)</f>
        <v>0</v>
      </c>
      <c r="K2106" s="444">
        <f t="shared" ca="1" si="141"/>
        <v>-7341659.4581524869</v>
      </c>
      <c r="L2106" s="444">
        <f t="shared" ca="1" si="142"/>
        <v>-1769339929.4147496</v>
      </c>
      <c r="M2106" s="460">
        <f t="shared" si="144"/>
        <v>0.05</v>
      </c>
      <c r="N2106" s="464">
        <f t="shared" si="145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43"/>
        <v>-1769339929.4147496</v>
      </c>
      <c r="J2107" s="444">
        <f t="array" ref="J2107">IFERROR(INDEX('Retirement Calculator'!J:J,MATCH('Isaac 401k'!N2107,'Retirement Calculator'!A:A,0),0),0)</f>
        <v>0</v>
      </c>
      <c r="K2107" s="444">
        <f t="shared" ca="1" si="141"/>
        <v>-7372249.7058947897</v>
      </c>
      <c r="L2107" s="444">
        <f t="shared" ca="1" si="142"/>
        <v>-1776712179.1206443</v>
      </c>
      <c r="M2107" s="460">
        <f t="shared" si="144"/>
        <v>0.05</v>
      </c>
      <c r="N2107" s="464">
        <f t="shared" si="145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43"/>
        <v>-1776712179.1206443</v>
      </c>
      <c r="J2108" s="444">
        <f t="array" ref="J2108">IFERROR(INDEX('Retirement Calculator'!J:J,MATCH('Isaac 401k'!N2108,'Retirement Calculator'!A:A,0),0),0)</f>
        <v>0</v>
      </c>
      <c r="K2108" s="444">
        <f t="shared" ca="1" si="141"/>
        <v>-7402967.4130026856</v>
      </c>
      <c r="L2108" s="444">
        <f t="shared" ca="1" si="142"/>
        <v>-1784115146.5336471</v>
      </c>
      <c r="M2108" s="460">
        <f t="shared" si="144"/>
        <v>0.05</v>
      </c>
      <c r="N2108" s="464">
        <f t="shared" si="145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43"/>
        <v>-1784115146.5336471</v>
      </c>
      <c r="J2109" s="444">
        <f t="array" ref="J2109">IFERROR(INDEX('Retirement Calculator'!J:J,MATCH('Isaac 401k'!N2109,'Retirement Calculator'!A:A,0),0),0)</f>
        <v>0</v>
      </c>
      <c r="K2109" s="444">
        <f t="shared" ca="1" si="141"/>
        <v>-7433813.1105568623</v>
      </c>
      <c r="L2109" s="444">
        <f t="shared" ca="1" si="142"/>
        <v>-1791548959.6442039</v>
      </c>
      <c r="M2109" s="460">
        <f t="shared" si="144"/>
        <v>0.05</v>
      </c>
      <c r="N2109" s="464">
        <f t="shared" si="145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43"/>
        <v>-1791548959.6442039</v>
      </c>
      <c r="J2110" s="444">
        <f t="array" ref="J2110">IFERROR(INDEX('Retirement Calculator'!J:J,MATCH('Isaac 401k'!N2110,'Retirement Calculator'!A:A,0),0),0)</f>
        <v>0</v>
      </c>
      <c r="K2110" s="444">
        <f t="shared" ca="1" si="141"/>
        <v>-7464787.3318508491</v>
      </c>
      <c r="L2110" s="444">
        <f t="shared" ca="1" si="142"/>
        <v>-1799013746.9760547</v>
      </c>
      <c r="M2110" s="460">
        <f t="shared" si="144"/>
        <v>0.05</v>
      </c>
      <c r="N2110" s="464">
        <f t="shared" si="145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43"/>
        <v>-1799013746.9760547</v>
      </c>
      <c r="J2111" s="444">
        <f t="array" ref="J2111">IFERROR(INDEX('Retirement Calculator'!J:J,MATCH('Isaac 401k'!N2111,'Retirement Calculator'!A:A,0),0),0)</f>
        <v>0</v>
      </c>
      <c r="K2111" s="444">
        <f t="shared" ca="1" si="141"/>
        <v>-7495890.6124002291</v>
      </c>
      <c r="L2111" s="444">
        <f t="shared" ca="1" si="142"/>
        <v>-1806509637.588455</v>
      </c>
      <c r="M2111" s="460">
        <f t="shared" si="144"/>
        <v>0.05</v>
      </c>
      <c r="N2111" s="464">
        <f t="shared" si="145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43"/>
        <v>-1806509637.588455</v>
      </c>
      <c r="J2112" s="444">
        <f t="array" ref="J2112">IFERROR(INDEX('Retirement Calculator'!J:J,MATCH('Isaac 401k'!N2112,'Retirement Calculator'!A:A,0),0),0)</f>
        <v>0</v>
      </c>
      <c r="K2112" s="444">
        <f t="shared" ca="1" si="141"/>
        <v>-7527123.4899518955</v>
      </c>
      <c r="L2112" s="444">
        <f t="shared" ca="1" si="142"/>
        <v>-1814036761.0784068</v>
      </c>
      <c r="M2112" s="460">
        <f t="shared" si="144"/>
        <v>0.05</v>
      </c>
      <c r="N2112" s="464">
        <f t="shared" si="145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43"/>
        <v>-1814036761.0784068</v>
      </c>
      <c r="J2113" s="444">
        <f t="array" ref="J2113">IFERROR(INDEX('Retirement Calculator'!J:J,MATCH('Isaac 401k'!N2113,'Retirement Calculator'!A:A,0),0),0)</f>
        <v>0</v>
      </c>
      <c r="K2113" s="444">
        <f t="shared" ca="1" si="141"/>
        <v>-7558486.5044933613</v>
      </c>
      <c r="L2113" s="444">
        <f t="shared" ca="1" si="142"/>
        <v>-1821595247.5829003</v>
      </c>
      <c r="M2113" s="460">
        <f t="shared" si="144"/>
        <v>0.05</v>
      </c>
      <c r="N2113" s="464">
        <f t="shared" si="145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43"/>
        <v>-1821595247.5829003</v>
      </c>
      <c r="J2114" s="444">
        <f t="array" ref="J2114">IFERROR(INDEX('Retirement Calculator'!J:J,MATCH('Isaac 401k'!N2114,'Retirement Calculator'!A:A,0),0),0)</f>
        <v>0</v>
      </c>
      <c r="K2114" s="444">
        <f t="shared" ca="1" si="141"/>
        <v>-7589980.1982620843</v>
      </c>
      <c r="L2114" s="444">
        <f t="shared" ca="1" si="142"/>
        <v>-1829185227.7811623</v>
      </c>
      <c r="M2114" s="460">
        <f t="shared" si="144"/>
        <v>0.05</v>
      </c>
      <c r="N2114" s="464">
        <f t="shared" si="145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43"/>
        <v>-1829185227.7811623</v>
      </c>
      <c r="J2115" s="444">
        <f t="array" ref="J2115">IFERROR(INDEX('Retirement Calculator'!J:J,MATCH('Isaac 401k'!N2115,'Retirement Calculator'!A:A,0),0),0)</f>
        <v>0</v>
      </c>
      <c r="K2115" s="444">
        <f t="shared" ca="1" si="141"/>
        <v>-7621605.1157548418</v>
      </c>
      <c r="L2115" s="444">
        <f t="shared" ca="1" si="142"/>
        <v>-1836806832.8969171</v>
      </c>
      <c r="M2115" s="460">
        <f t="shared" si="144"/>
        <v>0.05</v>
      </c>
      <c r="N2115" s="464">
        <f t="shared" si="145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43"/>
        <v>-1836806832.8969171</v>
      </c>
      <c r="J2116" s="444">
        <f t="array" ref="J2116">IFERROR(INDEX('Retirement Calculator'!J:J,MATCH('Isaac 401k'!N2116,'Retirement Calculator'!A:A,0),0),0)</f>
        <v>0</v>
      </c>
      <c r="K2116" s="444">
        <f t="shared" ca="1" si="141"/>
        <v>-7653361.8037371542</v>
      </c>
      <c r="L2116" s="444">
        <f t="shared" ca="1" si="142"/>
        <v>-1844460194.7006543</v>
      </c>
      <c r="M2116" s="460">
        <f t="shared" si="144"/>
        <v>0.05</v>
      </c>
      <c r="N2116" s="464">
        <f t="shared" si="145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43"/>
        <v>-1844460194.7006543</v>
      </c>
      <c r="J2117" s="444">
        <f t="array" ref="J2117">IFERROR(INDEX('Retirement Calculator'!J:J,MATCH('Isaac 401k'!N2117,'Retirement Calculator'!A:A,0),0),0)</f>
        <v>0</v>
      </c>
      <c r="K2117" s="444">
        <f t="shared" ca="1" si="141"/>
        <v>-7685250.8112527262</v>
      </c>
      <c r="L2117" s="444">
        <f t="shared" ca="1" si="142"/>
        <v>-1852145445.5119071</v>
      </c>
      <c r="M2117" s="460">
        <f t="shared" si="144"/>
        <v>0.05</v>
      </c>
      <c r="N2117" s="464">
        <f t="shared" si="145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43"/>
        <v>-1852145445.5119071</v>
      </c>
      <c r="J2118" s="444">
        <f t="array" ref="J2118">IFERROR(INDEX('Retirement Calculator'!J:J,MATCH('Isaac 401k'!N2118,'Retirement Calculator'!A:A,0),0),0)</f>
        <v>0</v>
      </c>
      <c r="K2118" s="444">
        <f t="shared" ca="1" si="141"/>
        <v>-7717272.6896329457</v>
      </c>
      <c r="L2118" s="444">
        <f t="shared" ca="1" si="142"/>
        <v>-1859862718.20154</v>
      </c>
      <c r="M2118" s="460">
        <f t="shared" si="144"/>
        <v>0.05</v>
      </c>
      <c r="N2118" s="464">
        <f t="shared" si="145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43"/>
        <v>-1859862718.20154</v>
      </c>
      <c r="J2119" s="444">
        <f t="array" ref="J2119">IFERROR(INDEX('Retirement Calculator'!J:J,MATCH('Isaac 401k'!N2119,'Retirement Calculator'!A:A,0),0),0)</f>
        <v>0</v>
      </c>
      <c r="K2119" s="444">
        <f t="shared" ca="1" si="141"/>
        <v>-7749427.9925064165</v>
      </c>
      <c r="L2119" s="444">
        <f t="shared" ca="1" si="142"/>
        <v>-1867612146.1940465</v>
      </c>
      <c r="M2119" s="460">
        <f t="shared" si="144"/>
        <v>0.05</v>
      </c>
      <c r="N2119" s="464">
        <f t="shared" si="145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43"/>
        <v>-1867612146.1940465</v>
      </c>
      <c r="J2120" s="444">
        <f t="array" ref="J2120">IFERROR(INDEX('Retirement Calculator'!J:J,MATCH('Isaac 401k'!N2120,'Retirement Calculator'!A:A,0),0),0)</f>
        <v>0</v>
      </c>
      <c r="K2120" s="444">
        <f t="shared" ca="1" si="141"/>
        <v>-7781717.2758085271</v>
      </c>
      <c r="L2120" s="444">
        <f t="shared" ca="1" si="142"/>
        <v>-1875393863.4698551</v>
      </c>
      <c r="M2120" s="460">
        <f t="shared" si="144"/>
        <v>0.05</v>
      </c>
      <c r="N2120" s="464">
        <f t="shared" si="145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43"/>
        <v>-1875393863.4698551</v>
      </c>
      <c r="J2121" s="444">
        <f t="array" ref="J2121">IFERROR(INDEX('Retirement Calculator'!J:J,MATCH('Isaac 401k'!N2121,'Retirement Calculator'!A:A,0),0),0)</f>
        <v>0</v>
      </c>
      <c r="K2121" s="444">
        <f t="shared" ca="1" si="141"/>
        <v>-7814141.0977910627</v>
      </c>
      <c r="L2121" s="444">
        <f t="shared" ca="1" si="142"/>
        <v>-1883208004.567646</v>
      </c>
      <c r="M2121" s="460">
        <f t="shared" si="144"/>
        <v>0.05</v>
      </c>
      <c r="N2121" s="464">
        <f t="shared" si="145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43"/>
        <v>-1883208004.567646</v>
      </c>
      <c r="J2122" s="444">
        <f t="array" ref="J2122">IFERROR(INDEX('Retirement Calculator'!J:J,MATCH('Isaac 401k'!N2122,'Retirement Calculator'!A:A,0),0),0)</f>
        <v>0</v>
      </c>
      <c r="K2122" s="444">
        <f t="shared" ca="1" si="141"/>
        <v>-7846700.019031859</v>
      </c>
      <c r="L2122" s="444">
        <f t="shared" ca="1" si="142"/>
        <v>-1891054704.5866778</v>
      </c>
      <c r="M2122" s="460">
        <f t="shared" si="144"/>
        <v>0.05</v>
      </c>
      <c r="N2122" s="464">
        <f t="shared" si="145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43"/>
        <v>-1891054704.5866778</v>
      </c>
      <c r="J2123" s="444">
        <f t="array" ref="J2123">IFERROR(INDEX('Retirement Calculator'!J:J,MATCH('Isaac 401k'!N2123,'Retirement Calculator'!A:A,0),0),0)</f>
        <v>0</v>
      </c>
      <c r="K2123" s="444">
        <f t="shared" ca="1" si="141"/>
        <v>-7879394.6024444913</v>
      </c>
      <c r="L2123" s="444">
        <f t="shared" ca="1" si="142"/>
        <v>-1898934099.1891222</v>
      </c>
      <c r="M2123" s="460">
        <f t="shared" si="144"/>
        <v>0.05</v>
      </c>
      <c r="N2123" s="464">
        <f t="shared" si="145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43"/>
        <v>-1898934099.1891222</v>
      </c>
      <c r="J2124" s="444">
        <f t="array" ref="J2124">IFERROR(INDEX('Retirement Calculator'!J:J,MATCH('Isaac 401k'!N2124,'Retirement Calculator'!A:A,0),0),0)</f>
        <v>0</v>
      </c>
      <c r="K2124" s="444">
        <f t="shared" ca="1" si="141"/>
        <v>-7912225.4132880084</v>
      </c>
      <c r="L2124" s="444">
        <f t="shared" ca="1" si="142"/>
        <v>-1906846324.6024103</v>
      </c>
      <c r="M2124" s="460">
        <f t="shared" si="144"/>
        <v>0.05</v>
      </c>
      <c r="N2124" s="464">
        <f t="shared" si="145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43"/>
        <v>-1906846324.6024103</v>
      </c>
      <c r="J2125" s="444">
        <f t="array" ref="J2125">IFERROR(INDEX('Retirement Calculator'!J:J,MATCH('Isaac 401k'!N2125,'Retirement Calculator'!A:A,0),0),0)</f>
        <v>0</v>
      </c>
      <c r="K2125" s="444">
        <f t="shared" ca="1" si="141"/>
        <v>-7945193.0191767085</v>
      </c>
      <c r="L2125" s="444">
        <f t="shared" ca="1" si="142"/>
        <v>-1914791517.621587</v>
      </c>
      <c r="M2125" s="460">
        <f t="shared" si="144"/>
        <v>0.05</v>
      </c>
      <c r="N2125" s="464">
        <f t="shared" si="145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43"/>
        <v>-1914791517.621587</v>
      </c>
      <c r="J2126" s="444">
        <f t="array" ref="J2126">IFERROR(INDEX('Retirement Calculator'!J:J,MATCH('Isaac 401k'!N2126,'Retirement Calculator'!A:A,0),0),0)</f>
        <v>0</v>
      </c>
      <c r="K2126" s="444">
        <f t="shared" ca="1" si="141"/>
        <v>-7978297.9900899464</v>
      </c>
      <c r="L2126" s="444">
        <f t="shared" ca="1" si="142"/>
        <v>-1922769815.6116769</v>
      </c>
      <c r="M2126" s="460">
        <f t="shared" si="144"/>
        <v>0.05</v>
      </c>
      <c r="N2126" s="464">
        <f t="shared" si="145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43"/>
        <v>-1922769815.6116769</v>
      </c>
      <c r="J2127" s="444">
        <f t="array" ref="J2127">IFERROR(INDEX('Retirement Calculator'!J:J,MATCH('Isaac 401k'!N2127,'Retirement Calculator'!A:A,0),0),0)</f>
        <v>0</v>
      </c>
      <c r="K2127" s="444">
        <f t="shared" ca="1" si="141"/>
        <v>-8011540.8983819867</v>
      </c>
      <c r="L2127" s="444">
        <f t="shared" ca="1" si="142"/>
        <v>-1930781356.5100589</v>
      </c>
      <c r="M2127" s="460">
        <f t="shared" si="144"/>
        <v>0.05</v>
      </c>
      <c r="N2127" s="464">
        <f t="shared" si="145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43"/>
        <v>-1930781356.5100589</v>
      </c>
      <c r="J2128" s="444">
        <f t="array" ref="J2128">IFERROR(INDEX('Retirement Calculator'!J:J,MATCH('Isaac 401k'!N2128,'Retirement Calculator'!A:A,0),0),0)</f>
        <v>0</v>
      </c>
      <c r="K2128" s="444">
        <f t="shared" ca="1" si="141"/>
        <v>-8044922.318791911</v>
      </c>
      <c r="L2128" s="444">
        <f t="shared" ca="1" si="142"/>
        <v>-1938826278.8288507</v>
      </c>
      <c r="M2128" s="460">
        <f t="shared" si="144"/>
        <v>0.05</v>
      </c>
      <c r="N2128" s="464">
        <f t="shared" si="145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43"/>
        <v>-1938826278.8288507</v>
      </c>
      <c r="J2129" s="444">
        <f t="array" ref="J2129">IFERROR(INDEX('Retirement Calculator'!J:J,MATCH('Isaac 401k'!N2129,'Retirement Calculator'!A:A,0),0),0)</f>
        <v>0</v>
      </c>
      <c r="K2129" s="444">
        <f t="shared" ca="1" si="141"/>
        <v>-8078442.8284535445</v>
      </c>
      <c r="L2129" s="444">
        <f t="shared" ca="1" si="142"/>
        <v>-1946904721.6573043</v>
      </c>
      <c r="M2129" s="460">
        <f t="shared" si="144"/>
        <v>0.05</v>
      </c>
      <c r="N2129" s="464">
        <f t="shared" si="145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43"/>
        <v>-1946904721.6573043</v>
      </c>
      <c r="J2130" s="444">
        <f t="array" ref="J2130">IFERROR(INDEX('Retirement Calculator'!J:J,MATCH('Isaac 401k'!N2130,'Retirement Calculator'!A:A,0),0),0)</f>
        <v>0</v>
      </c>
      <c r="K2130" s="444">
        <f t="shared" ca="1" si="141"/>
        <v>-8112103.0069054347</v>
      </c>
      <c r="L2130" s="444">
        <f t="shared" ca="1" si="142"/>
        <v>-1955016824.6642096</v>
      </c>
      <c r="M2130" s="460">
        <f t="shared" si="144"/>
        <v>0.05</v>
      </c>
      <c r="N2130" s="464">
        <f t="shared" si="145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43"/>
        <v>-1955016824.6642096</v>
      </c>
      <c r="J2131" s="444">
        <f t="array" ref="J2131">IFERROR(INDEX('Retirement Calculator'!J:J,MATCH('Isaac 401k'!N2131,'Retirement Calculator'!A:A,0),0),0)</f>
        <v>0</v>
      </c>
      <c r="K2131" s="444">
        <f t="shared" ca="1" si="141"/>
        <v>-8145903.4361008741</v>
      </c>
      <c r="L2131" s="444">
        <f t="shared" ca="1" si="142"/>
        <v>-1963162728.1003106</v>
      </c>
      <c r="M2131" s="460">
        <f t="shared" si="144"/>
        <v>0.05</v>
      </c>
      <c r="N2131" s="464">
        <f t="shared" si="145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43"/>
        <v>-1963162728.1003106</v>
      </c>
      <c r="J2132" s="444">
        <f t="array" ref="J2132">IFERROR(INDEX('Retirement Calculator'!J:J,MATCH('Isaac 401k'!N2132,'Retirement Calculator'!A:A,0),0),0)</f>
        <v>0</v>
      </c>
      <c r="K2132" s="444">
        <f t="shared" ca="1" si="141"/>
        <v>-8179844.700417961</v>
      </c>
      <c r="L2132" s="444">
        <f t="shared" ca="1" si="142"/>
        <v>-1971342572.8007286</v>
      </c>
      <c r="M2132" s="460">
        <f t="shared" si="144"/>
        <v>0.05</v>
      </c>
      <c r="N2132" s="464">
        <f t="shared" si="145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43"/>
        <v>-1971342572.8007286</v>
      </c>
      <c r="J2133" s="444">
        <f t="array" ref="J2133">IFERROR(INDEX('Retirement Calculator'!J:J,MATCH('Isaac 401k'!N2133,'Retirement Calculator'!A:A,0),0),0)</f>
        <v>0</v>
      </c>
      <c r="K2133" s="444">
        <f t="shared" ca="1" si="141"/>
        <v>-8213927.3866697019</v>
      </c>
      <c r="L2133" s="444">
        <f t="shared" ca="1" si="142"/>
        <v>-1979556500.1873982</v>
      </c>
      <c r="M2133" s="460">
        <f t="shared" si="144"/>
        <v>0.05</v>
      </c>
      <c r="N2133" s="464">
        <f t="shared" si="145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43"/>
        <v>-1979556500.1873982</v>
      </c>
      <c r="J2134" s="444">
        <f t="array" ref="J2134">IFERROR(INDEX('Retirement Calculator'!J:J,MATCH('Isaac 401k'!N2134,'Retirement Calculator'!A:A,0),0),0)</f>
        <v>0</v>
      </c>
      <c r="K2134" s="444">
        <f t="shared" ca="1" si="141"/>
        <v>-8248152.0841141604</v>
      </c>
      <c r="L2134" s="444">
        <f t="shared" ca="1" si="142"/>
        <v>-1987804652.2715123</v>
      </c>
      <c r="M2134" s="460">
        <f t="shared" si="144"/>
        <v>0.05</v>
      </c>
      <c r="N2134" s="464">
        <f t="shared" si="145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43"/>
        <v>-1987804652.2715123</v>
      </c>
      <c r="J2135" s="444">
        <f t="array" ref="J2135">IFERROR(INDEX('Retirement Calculator'!J:J,MATCH('Isaac 401k'!N2135,'Retirement Calculator'!A:A,0),0),0)</f>
        <v>0</v>
      </c>
      <c r="K2135" s="444">
        <f t="shared" ca="1" si="141"/>
        <v>-8282519.3844646346</v>
      </c>
      <c r="L2135" s="444">
        <f t="shared" ca="1" si="142"/>
        <v>-1996087171.655977</v>
      </c>
      <c r="M2135" s="460">
        <f t="shared" si="144"/>
        <v>0.05</v>
      </c>
      <c r="N2135" s="464">
        <f t="shared" si="145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43"/>
        <v>-1996087171.655977</v>
      </c>
      <c r="J2136" s="444">
        <f t="array" ref="J2136">IFERROR(INDEX('Retirement Calculator'!J:J,MATCH('Isaac 401k'!N2136,'Retirement Calculator'!A:A,0),0),0)</f>
        <v>0</v>
      </c>
      <c r="K2136" s="444">
        <f t="shared" ca="1" si="141"/>
        <v>-8317029.8818999054</v>
      </c>
      <c r="L2136" s="444">
        <f t="shared" ca="1" si="142"/>
        <v>-2004404201.5378768</v>
      </c>
      <c r="M2136" s="460">
        <f t="shared" si="144"/>
        <v>0.05</v>
      </c>
      <c r="N2136" s="464">
        <f t="shared" si="145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43"/>
        <v>-2004404201.5378768</v>
      </c>
      <c r="J2137" s="444">
        <f t="array" ref="J2137">IFERROR(INDEX('Retirement Calculator'!J:J,MATCH('Isaac 401k'!N2137,'Retirement Calculator'!A:A,0),0),0)</f>
        <v>0</v>
      </c>
      <c r="K2137" s="444">
        <f t="shared" ca="1" si="141"/>
        <v>-8351684.1730744857</v>
      </c>
      <c r="L2137" s="444">
        <f t="shared" ca="1" si="142"/>
        <v>-2012755885.7109513</v>
      </c>
      <c r="M2137" s="460">
        <f t="shared" si="144"/>
        <v>0.05</v>
      </c>
      <c r="N2137" s="464">
        <f t="shared" si="145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43"/>
        <v>-2012755885.7109513</v>
      </c>
      <c r="J2138" s="444">
        <f t="array" ref="J2138">IFERROR(INDEX('Retirement Calculator'!J:J,MATCH('Isaac 401k'!N2138,'Retirement Calculator'!A:A,0),0),0)</f>
        <v>0</v>
      </c>
      <c r="K2138" s="444">
        <f t="shared" ca="1" si="141"/>
        <v>-8386482.8571289638</v>
      </c>
      <c r="L2138" s="444">
        <f t="shared" ca="1" si="142"/>
        <v>-2021142368.5680802</v>
      </c>
      <c r="M2138" s="460">
        <f t="shared" si="144"/>
        <v>0.05</v>
      </c>
      <c r="N2138" s="464">
        <f t="shared" si="145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43"/>
        <v>-2021142368.5680802</v>
      </c>
      <c r="J2139" s="444">
        <f t="array" ref="J2139">IFERROR(INDEX('Retirement Calculator'!J:J,MATCH('Isaac 401k'!N2139,'Retirement Calculator'!A:A,0),0),0)</f>
        <v>0</v>
      </c>
      <c r="K2139" s="444">
        <f t="shared" ca="1" si="141"/>
        <v>-8421426.5357003342</v>
      </c>
      <c r="L2139" s="444">
        <f t="shared" ca="1" si="142"/>
        <v>-2029563795.1037805</v>
      </c>
      <c r="M2139" s="460">
        <f t="shared" si="144"/>
        <v>0.05</v>
      </c>
      <c r="N2139" s="464">
        <f t="shared" si="145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43"/>
        <v>-2029563795.1037805</v>
      </c>
      <c r="J2140" s="444">
        <f t="array" ref="J2140">IFERROR(INDEX('Retirement Calculator'!J:J,MATCH('Isaac 401k'!N2140,'Retirement Calculator'!A:A,0),0),0)</f>
        <v>0</v>
      </c>
      <c r="K2140" s="444">
        <f t="shared" ca="1" si="141"/>
        <v>-8456515.8129324168</v>
      </c>
      <c r="L2140" s="444">
        <f t="shared" ca="1" si="142"/>
        <v>-2038020310.916713</v>
      </c>
      <c r="M2140" s="460">
        <f t="shared" si="144"/>
        <v>0.05</v>
      </c>
      <c r="N2140" s="464">
        <f t="shared" si="145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43"/>
        <v>-2038020310.916713</v>
      </c>
      <c r="J2141" s="444">
        <f t="array" ref="J2141">IFERROR(INDEX('Retirement Calculator'!J:J,MATCH('Isaac 401k'!N2141,'Retirement Calculator'!A:A,0),0),0)</f>
        <v>0</v>
      </c>
      <c r="K2141" s="444">
        <f t="shared" ca="1" si="141"/>
        <v>-8491751.2954863049</v>
      </c>
      <c r="L2141" s="444">
        <f t="shared" ca="1" si="142"/>
        <v>-2046512062.2121992</v>
      </c>
      <c r="M2141" s="460">
        <f t="shared" si="144"/>
        <v>0.05</v>
      </c>
      <c r="N2141" s="464">
        <f t="shared" si="145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43"/>
        <v>-2046512062.2121992</v>
      </c>
      <c r="J2142" s="444">
        <f t="array" ref="J2142">IFERROR(INDEX('Retirement Calculator'!J:J,MATCH('Isaac 401k'!N2142,'Retirement Calculator'!A:A,0),0),0)</f>
        <v>0</v>
      </c>
      <c r="K2142" s="444">
        <f t="shared" ca="1" si="141"/>
        <v>-8527133.5925508309</v>
      </c>
      <c r="L2142" s="444">
        <f t="shared" ca="1" si="142"/>
        <v>-2055039195.80475</v>
      </c>
      <c r="M2142" s="460">
        <f t="shared" si="144"/>
        <v>0.05</v>
      </c>
      <c r="N2142" s="464">
        <f t="shared" si="145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43"/>
        <v>-2055039195.80475</v>
      </c>
      <c r="J2143" s="444">
        <f t="array" ref="J2143">IFERROR(INDEX('Retirement Calculator'!J:J,MATCH('Isaac 401k'!N2143,'Retirement Calculator'!A:A,0),0),0)</f>
        <v>0</v>
      </c>
      <c r="K2143" s="444">
        <f t="shared" ca="1" si="141"/>
        <v>-8562663.3158531245</v>
      </c>
      <c r="L2143" s="444">
        <f t="shared" ca="1" si="142"/>
        <v>-2063601859.1206031</v>
      </c>
      <c r="M2143" s="460">
        <f t="shared" si="144"/>
        <v>0.05</v>
      </c>
      <c r="N2143" s="464">
        <f t="shared" si="145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43"/>
        <v>-2063601859.1206031</v>
      </c>
      <c r="J2144" s="444">
        <f t="array" ref="J2144">IFERROR(INDEX('Retirement Calculator'!J:J,MATCH('Isaac 401k'!N2144,'Retirement Calculator'!A:A,0),0),0)</f>
        <v>0</v>
      </c>
      <c r="K2144" s="444">
        <f t="shared" ca="1" si="141"/>
        <v>-8598341.0796691794</v>
      </c>
      <c r="L2144" s="444">
        <f t="shared" ca="1" si="142"/>
        <v>-2072200200.2002723</v>
      </c>
      <c r="M2144" s="460">
        <f t="shared" si="144"/>
        <v>0.05</v>
      </c>
      <c r="N2144" s="464">
        <f t="shared" si="145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43"/>
        <v>-2072200200.2002723</v>
      </c>
      <c r="J2145" s="444">
        <f t="array" ref="J2145">IFERROR(INDEX('Retirement Calculator'!J:J,MATCH('Isaac 401k'!N2145,'Retirement Calculator'!A:A,0),0),0)</f>
        <v>0</v>
      </c>
      <c r="K2145" s="444">
        <f t="shared" ca="1" si="141"/>
        <v>-8634167.5008344688</v>
      </c>
      <c r="L2145" s="444">
        <f t="shared" ca="1" si="142"/>
        <v>-2080834367.7011068</v>
      </c>
      <c r="M2145" s="460">
        <f t="shared" si="144"/>
        <v>0.05</v>
      </c>
      <c r="N2145" s="464">
        <f t="shared" si="145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43"/>
        <v>-2080834367.7011068</v>
      </c>
      <c r="J2146" s="444">
        <f t="array" ref="J2146">IFERROR(INDEX('Retirement Calculator'!J:J,MATCH('Isaac 401k'!N2146,'Retirement Calculator'!A:A,0),0),0)</f>
        <v>0</v>
      </c>
      <c r="K2146" s="444">
        <f t="shared" ca="1" si="141"/>
        <v>-8670143.1987546124</v>
      </c>
      <c r="L2146" s="444">
        <f t="shared" ca="1" si="142"/>
        <v>-2089504510.8998613</v>
      </c>
      <c r="M2146" s="460">
        <f t="shared" si="144"/>
        <v>0.05</v>
      </c>
      <c r="N2146" s="464">
        <f t="shared" si="145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43"/>
        <v>-2089504510.8998613</v>
      </c>
      <c r="J2147" s="444">
        <f t="array" ref="J2147">IFERROR(INDEX('Retirement Calculator'!J:J,MATCH('Isaac 401k'!N2147,'Retirement Calculator'!A:A,0),0),0)</f>
        <v>0</v>
      </c>
      <c r="K2147" s="444">
        <f t="shared" ca="1" si="141"/>
        <v>-8706268.7954160888</v>
      </c>
      <c r="L2147" s="444">
        <f t="shared" ca="1" si="142"/>
        <v>-2098210779.6952775</v>
      </c>
      <c r="M2147" s="460">
        <f t="shared" si="144"/>
        <v>0.05</v>
      </c>
      <c r="N2147" s="464">
        <f t="shared" si="145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43"/>
        <v>-2098210779.6952775</v>
      </c>
      <c r="J2148" s="444">
        <f t="array" ref="J2148">IFERROR(INDEX('Retirement Calculator'!J:J,MATCH('Isaac 401k'!N2148,'Retirement Calculator'!A:A,0),0),0)</f>
        <v>0</v>
      </c>
      <c r="K2148" s="444">
        <f t="shared" ca="1" si="141"/>
        <v>-8742544.9153969884</v>
      </c>
      <c r="L2148" s="444">
        <f t="shared" ca="1" si="142"/>
        <v>-2106953324.6106744</v>
      </c>
      <c r="M2148" s="460">
        <f t="shared" si="144"/>
        <v>0.05</v>
      </c>
      <c r="N2148" s="464">
        <f t="shared" si="145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43"/>
        <v>-2106953324.6106744</v>
      </c>
      <c r="J2149" s="444">
        <f t="array" ref="J2149">IFERROR(INDEX('Retirement Calculator'!J:J,MATCH('Isaac 401k'!N2149,'Retirement Calculator'!A:A,0),0),0)</f>
        <v>0</v>
      </c>
      <c r="K2149" s="444">
        <f t="shared" ca="1" si="141"/>
        <v>-8778972.1858778093</v>
      </c>
      <c r="L2149" s="444">
        <f t="shared" ca="1" si="142"/>
        <v>-2115732296.7965522</v>
      </c>
      <c r="M2149" s="460">
        <f t="shared" si="144"/>
        <v>0.05</v>
      </c>
      <c r="N2149" s="464">
        <f t="shared" si="145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43"/>
        <v>-2115732296.7965522</v>
      </c>
      <c r="J2150" s="444">
        <f t="array" ref="J2150">IFERROR(INDEX('Retirement Calculator'!J:J,MATCH('Isaac 401k'!N2150,'Retirement Calculator'!A:A,0),0),0)</f>
        <v>0</v>
      </c>
      <c r="K2150" s="444">
        <f t="shared" ca="1" si="141"/>
        <v>-8815551.2366522998</v>
      </c>
      <c r="L2150" s="444">
        <f t="shared" ca="1" si="142"/>
        <v>-2124547848.0332046</v>
      </c>
      <c r="M2150" s="460">
        <f t="shared" si="144"/>
        <v>0.05</v>
      </c>
      <c r="N2150" s="464">
        <f t="shared" si="145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43"/>
        <v>-2124547848.0332046</v>
      </c>
      <c r="J2151" s="444">
        <f t="array" ref="J2151">IFERROR(INDEX('Retirement Calculator'!J:J,MATCH('Isaac 401k'!N2151,'Retirement Calculator'!A:A,0),0),0)</f>
        <v>0</v>
      </c>
      <c r="K2151" s="444">
        <f t="shared" ca="1" si="141"/>
        <v>-8852282.7001383528</v>
      </c>
      <c r="L2151" s="444">
        <f t="shared" ca="1" si="142"/>
        <v>-2133400130.7333429</v>
      </c>
      <c r="M2151" s="460">
        <f t="shared" si="144"/>
        <v>0.05</v>
      </c>
      <c r="N2151" s="464">
        <f t="shared" si="145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43"/>
        <v>-2133400130.7333429</v>
      </c>
      <c r="J2152" s="444">
        <f t="array" ref="J2152">IFERROR(INDEX('Retirement Calculator'!J:J,MATCH('Isaac 401k'!N2152,'Retirement Calculator'!A:A,0),0),0)</f>
        <v>0</v>
      </c>
      <c r="K2152" s="444">
        <f t="shared" ca="1" si="141"/>
        <v>-8889167.2113889288</v>
      </c>
      <c r="L2152" s="444">
        <f t="shared" ca="1" si="142"/>
        <v>-2142289297.9447317</v>
      </c>
      <c r="M2152" s="460">
        <f t="shared" si="144"/>
        <v>0.05</v>
      </c>
      <c r="N2152" s="464">
        <f t="shared" si="145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43"/>
        <v>-2142289297.9447317</v>
      </c>
      <c r="J2153" s="444">
        <f t="array" ref="J2153">IFERROR(INDEX('Retirement Calculator'!J:J,MATCH('Isaac 401k'!N2153,'Retirement Calculator'!A:A,0),0),0)</f>
        <v>0</v>
      </c>
      <c r="K2153" s="444">
        <f t="shared" ca="1" si="141"/>
        <v>-8926205.4081030488</v>
      </c>
      <c r="L2153" s="444">
        <f t="shared" ca="1" si="142"/>
        <v>-2151215503.3528347</v>
      </c>
      <c r="M2153" s="460">
        <f t="shared" si="144"/>
        <v>0.05</v>
      </c>
      <c r="N2153" s="464">
        <f t="shared" si="145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43"/>
        <v>-2151215503.3528347</v>
      </c>
      <c r="J2154" s="444">
        <f t="array" ref="J2154">IFERROR(INDEX('Retirement Calculator'!J:J,MATCH('Isaac 401k'!N2154,'Retirement Calculator'!A:A,0),0),0)</f>
        <v>0</v>
      </c>
      <c r="K2154" s="444">
        <f t="shared" ca="1" si="141"/>
        <v>-8963397.930636812</v>
      </c>
      <c r="L2154" s="444">
        <f t="shared" ca="1" si="142"/>
        <v>-2160178901.2834716</v>
      </c>
      <c r="M2154" s="460">
        <f t="shared" si="144"/>
        <v>0.05</v>
      </c>
      <c r="N2154" s="464">
        <f t="shared" si="145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43"/>
        <v>-2160178901.2834716</v>
      </c>
      <c r="J2155" s="444">
        <f t="array" ref="J2155">IFERROR(INDEX('Retirement Calculator'!J:J,MATCH('Isaac 401k'!N2155,'Retirement Calculator'!A:A,0),0),0)</f>
        <v>0</v>
      </c>
      <c r="K2155" s="444">
        <f t="shared" ca="1" si="141"/>
        <v>-9000745.4220144656</v>
      </c>
      <c r="L2155" s="444">
        <f t="shared" ca="1" si="142"/>
        <v>-2169179646.7054858</v>
      </c>
      <c r="M2155" s="460">
        <f t="shared" si="144"/>
        <v>0.05</v>
      </c>
      <c r="N2155" s="464">
        <f t="shared" si="145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43"/>
        <v>-2169179646.7054858</v>
      </c>
      <c r="J2156" s="444">
        <f t="array" ref="J2156">IFERROR(INDEX('Retirement Calculator'!J:J,MATCH('Isaac 401k'!N2156,'Retirement Calculator'!A:A,0),0),0)</f>
        <v>0</v>
      </c>
      <c r="K2156" s="444">
        <f t="shared" ca="1" si="141"/>
        <v>-9038248.5279395245</v>
      </c>
      <c r="L2156" s="444">
        <f t="shared" ca="1" si="142"/>
        <v>-2178217895.2334251</v>
      </c>
      <c r="M2156" s="460">
        <f t="shared" si="144"/>
        <v>0.05</v>
      </c>
      <c r="N2156" s="464">
        <f t="shared" si="145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43"/>
        <v>-2178217895.2334251</v>
      </c>
      <c r="J2157" s="444">
        <f t="array" ref="J2157">IFERROR(INDEX('Retirement Calculator'!J:J,MATCH('Isaac 401k'!N2157,'Retirement Calculator'!A:A,0),0),0)</f>
        <v>0</v>
      </c>
      <c r="K2157" s="444">
        <f t="shared" ca="1" si="141"/>
        <v>-9075907.8968059383</v>
      </c>
      <c r="L2157" s="444">
        <f t="shared" ca="1" si="142"/>
        <v>-2187293803.1302309</v>
      </c>
      <c r="M2157" s="460">
        <f t="shared" si="144"/>
        <v>0.05</v>
      </c>
      <c r="N2157" s="464">
        <f t="shared" si="145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43"/>
        <v>-2187293803.1302309</v>
      </c>
      <c r="J2158" s="444">
        <f t="array" ref="J2158">IFERROR(INDEX('Retirement Calculator'!J:J,MATCH('Isaac 401k'!N2158,'Retirement Calculator'!A:A,0),0),0)</f>
        <v>0</v>
      </c>
      <c r="K2158" s="444">
        <f t="shared" ca="1" si="141"/>
        <v>-9113724.1797092948</v>
      </c>
      <c r="L2158" s="444">
        <f t="shared" ca="1" si="142"/>
        <v>-2196407527.3099403</v>
      </c>
      <c r="M2158" s="460">
        <f t="shared" si="144"/>
        <v>0.05</v>
      </c>
      <c r="N2158" s="464">
        <f t="shared" si="145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43"/>
        <v>-2196407527.3099403</v>
      </c>
      <c r="J2159" s="444">
        <f t="array" ref="J2159">IFERROR(INDEX('Retirement Calculator'!J:J,MATCH('Isaac 401k'!N2159,'Retirement Calculator'!A:A,0),0),0)</f>
        <v>0</v>
      </c>
      <c r="K2159" s="444">
        <f t="shared" ca="1" si="141"/>
        <v>-9151698.0304580852</v>
      </c>
      <c r="L2159" s="444">
        <f t="shared" ca="1" si="142"/>
        <v>-2205559225.3403983</v>
      </c>
      <c r="M2159" s="460">
        <f t="shared" si="144"/>
        <v>0.05</v>
      </c>
      <c r="N2159" s="464">
        <f t="shared" si="145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43"/>
        <v>-2205559225.3403983</v>
      </c>
      <c r="J2160" s="444">
        <f t="array" ref="J2160">IFERROR(INDEX('Retirement Calculator'!J:J,MATCH('Isaac 401k'!N2160,'Retirement Calculator'!A:A,0),0),0)</f>
        <v>0</v>
      </c>
      <c r="K2160" s="444">
        <f t="shared" ca="1" si="141"/>
        <v>-9189830.1055849921</v>
      </c>
      <c r="L2160" s="444">
        <f t="shared" ca="1" si="142"/>
        <v>-2214749055.4459834</v>
      </c>
      <c r="M2160" s="460">
        <f t="shared" si="144"/>
        <v>0.05</v>
      </c>
      <c r="N2160" s="464">
        <f t="shared" si="145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43"/>
        <v>-2214749055.4459834</v>
      </c>
      <c r="J2161" s="444">
        <f t="array" ref="J2161">IFERROR(INDEX('Retirement Calculator'!J:J,MATCH('Isaac 401k'!N2161,'Retirement Calculator'!A:A,0),0),0)</f>
        <v>0</v>
      </c>
      <c r="K2161" s="444">
        <f t="shared" ca="1" si="141"/>
        <v>-9228121.0643582642</v>
      </c>
      <c r="L2161" s="444">
        <f t="shared" ca="1" si="142"/>
        <v>-2223977176.5103416</v>
      </c>
      <c r="M2161" s="460">
        <f t="shared" si="144"/>
        <v>0.05</v>
      </c>
      <c r="N2161" s="464">
        <f t="shared" si="145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43"/>
        <v>-2223977176.5103416</v>
      </c>
      <c r="J2162" s="444">
        <f t="array" ref="J2162">IFERROR(INDEX('Retirement Calculator'!J:J,MATCH('Isaac 401k'!N2162,'Retirement Calculator'!A:A,0),0),0)</f>
        <v>0</v>
      </c>
      <c r="K2162" s="444">
        <f t="shared" ca="1" si="141"/>
        <v>-9266571.5687930901</v>
      </c>
      <c r="L2162" s="444">
        <f t="shared" ca="1" si="142"/>
        <v>-2233243748.0791349</v>
      </c>
      <c r="M2162" s="460">
        <f t="shared" si="144"/>
        <v>0.05</v>
      </c>
      <c r="N2162" s="464">
        <f t="shared" si="145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43"/>
        <v>-2233243748.0791349</v>
      </c>
      <c r="J2163" s="444">
        <f t="array" ref="J2163">IFERROR(INDEX('Retirement Calculator'!J:J,MATCH('Isaac 401k'!N2163,'Retirement Calculator'!A:A,0),0),0)</f>
        <v>0</v>
      </c>
      <c r="K2163" s="444">
        <f t="shared" ca="1" si="141"/>
        <v>-9305182.2836630624</v>
      </c>
      <c r="L2163" s="444">
        <f t="shared" ca="1" si="142"/>
        <v>-2242548930.3627982</v>
      </c>
      <c r="M2163" s="460">
        <f t="shared" si="144"/>
        <v>0.05</v>
      </c>
      <c r="N2163" s="464">
        <f t="shared" si="145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43"/>
        <v>-2242548930.3627982</v>
      </c>
      <c r="J2164" s="444">
        <f t="array" ref="J2164">IFERROR(INDEX('Retirement Calculator'!J:J,MATCH('Isaac 401k'!N2164,'Retirement Calculator'!A:A,0),0),0)</f>
        <v>0</v>
      </c>
      <c r="K2164" s="444">
        <f t="shared" ca="1" si="141"/>
        <v>-9343953.8765116595</v>
      </c>
      <c r="L2164" s="444">
        <f t="shared" ca="1" si="142"/>
        <v>-2251892884.2393098</v>
      </c>
      <c r="M2164" s="460">
        <f t="shared" si="144"/>
        <v>0.05</v>
      </c>
      <c r="N2164" s="464">
        <f t="shared" si="145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43"/>
        <v>-2251892884.2393098</v>
      </c>
      <c r="J2165" s="444">
        <f t="array" ref="J2165">IFERROR(INDEX('Retirement Calculator'!J:J,MATCH('Isaac 401k'!N2165,'Retirement Calculator'!A:A,0),0),0)</f>
        <v>0</v>
      </c>
      <c r="K2165" s="444">
        <f t="shared" ca="1" si="141"/>
        <v>-9382887.0176637899</v>
      </c>
      <c r="L2165" s="444">
        <f t="shared" ca="1" si="142"/>
        <v>-2261275771.2569737</v>
      </c>
      <c r="M2165" s="460">
        <f t="shared" si="144"/>
        <v>0.05</v>
      </c>
      <c r="N2165" s="464">
        <f t="shared" si="145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43"/>
        <v>-2261275771.2569737</v>
      </c>
      <c r="J2166" s="444">
        <f t="array" ref="J2166">IFERROR(INDEX('Retirement Calculator'!J:J,MATCH('Isaac 401k'!N2166,'Retirement Calculator'!A:A,0),0),0)</f>
        <v>0</v>
      </c>
      <c r="K2166" s="444">
        <f t="shared" ca="1" si="141"/>
        <v>-9421982.3802373912</v>
      </c>
      <c r="L2166" s="444">
        <f t="shared" ca="1" si="142"/>
        <v>-2270697753.6372113</v>
      </c>
      <c r="M2166" s="460">
        <f t="shared" si="144"/>
        <v>0.05</v>
      </c>
      <c r="N2166" s="464">
        <f t="shared" si="145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43"/>
        <v>-2270697753.6372113</v>
      </c>
      <c r="J2167" s="444">
        <f t="array" ref="J2167">IFERROR(INDEX('Retirement Calculator'!J:J,MATCH('Isaac 401k'!N2167,'Retirement Calculator'!A:A,0),0),0)</f>
        <v>0</v>
      </c>
      <c r="K2167" s="444">
        <f t="shared" ca="1" si="141"/>
        <v>-9461240.6401550472</v>
      </c>
      <c r="L2167" s="444">
        <f t="shared" ca="1" si="142"/>
        <v>-2280158994.2773662</v>
      </c>
      <c r="M2167" s="460">
        <f t="shared" si="144"/>
        <v>0.05</v>
      </c>
      <c r="N2167" s="464">
        <f t="shared" si="145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43"/>
        <v>-2280158994.2773662</v>
      </c>
      <c r="J2168" s="444">
        <f t="array" ref="J2168">IFERROR(INDEX('Retirement Calculator'!J:J,MATCH('Isaac 401k'!N2168,'Retirement Calculator'!A:A,0),0),0)</f>
        <v>0</v>
      </c>
      <c r="K2168" s="444">
        <f t="shared" ca="1" si="141"/>
        <v>-9500662.4761556927</v>
      </c>
      <c r="L2168" s="444">
        <f t="shared" ca="1" si="142"/>
        <v>-2289659656.7535219</v>
      </c>
      <c r="M2168" s="460">
        <f t="shared" si="144"/>
        <v>0.05</v>
      </c>
      <c r="N2168" s="464">
        <f t="shared" si="145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43"/>
        <v>-2289659656.7535219</v>
      </c>
      <c r="J2169" s="444">
        <f t="array" ref="J2169">IFERROR(INDEX('Retirement Calculator'!J:J,MATCH('Isaac 401k'!N2169,'Retirement Calculator'!A:A,0),0),0)</f>
        <v>0</v>
      </c>
      <c r="K2169" s="444">
        <f t="shared" ca="1" si="141"/>
        <v>-9540248.5698063411</v>
      </c>
      <c r="L2169" s="444">
        <f t="shared" ca="1" si="142"/>
        <v>-2299199905.3233285</v>
      </c>
      <c r="M2169" s="460">
        <f t="shared" si="144"/>
        <v>0.05</v>
      </c>
      <c r="N2169" s="464">
        <f t="shared" si="145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43"/>
        <v>-2299199905.3233285</v>
      </c>
      <c r="J2170" s="444">
        <f t="array" ref="J2170">IFERROR(INDEX('Retirement Calculator'!J:J,MATCH('Isaac 401k'!N2170,'Retirement Calculator'!A:A,0),0),0)</f>
        <v>0</v>
      </c>
      <c r="K2170" s="444">
        <f t="shared" ca="1" si="141"/>
        <v>-9579999.6055138689</v>
      </c>
      <c r="L2170" s="444">
        <f t="shared" ca="1" si="142"/>
        <v>-2308779904.9288425</v>
      </c>
      <c r="M2170" s="460">
        <f t="shared" si="144"/>
        <v>0.05</v>
      </c>
      <c r="N2170" s="464">
        <f t="shared" si="145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43"/>
        <v>-2308779904.9288425</v>
      </c>
      <c r="J2171" s="444">
        <f t="array" ref="J2171">IFERROR(INDEX('Retirement Calculator'!J:J,MATCH('Isaac 401k'!N2171,'Retirement Calculator'!A:A,0),0),0)</f>
        <v>0</v>
      </c>
      <c r="K2171" s="444">
        <f t="shared" ca="1" si="141"/>
        <v>-9619916.2705368437</v>
      </c>
      <c r="L2171" s="444">
        <f t="shared" ca="1" si="142"/>
        <v>-2318399821.1993794</v>
      </c>
      <c r="M2171" s="460">
        <f t="shared" si="144"/>
        <v>0.05</v>
      </c>
      <c r="N2171" s="464">
        <f t="shared" si="145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43"/>
        <v>-2318399821.1993794</v>
      </c>
      <c r="J2172" s="444">
        <f t="array" ref="J2172">IFERROR(INDEX('Retirement Calculator'!J:J,MATCH('Isaac 401k'!N2172,'Retirement Calculator'!A:A,0),0),0)</f>
        <v>0</v>
      </c>
      <c r="K2172" s="444">
        <f t="shared" ca="1" si="141"/>
        <v>-9659999.2549974136</v>
      </c>
      <c r="L2172" s="444">
        <f t="shared" ca="1" si="142"/>
        <v>-2328059820.4543767</v>
      </c>
      <c r="M2172" s="460">
        <f t="shared" si="144"/>
        <v>0.05</v>
      </c>
      <c r="N2172" s="464">
        <f t="shared" si="145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43"/>
        <v>-2328059820.4543767</v>
      </c>
      <c r="J2173" s="444">
        <f t="array" ref="J2173">IFERROR(INDEX('Retirement Calculator'!J:J,MATCH('Isaac 401k'!N2173,'Retirement Calculator'!A:A,0),0),0)</f>
        <v>0</v>
      </c>
      <c r="K2173" s="444">
        <f t="shared" ca="1" si="141"/>
        <v>-9700249.2518932354</v>
      </c>
      <c r="L2173" s="444">
        <f t="shared" ca="1" si="142"/>
        <v>-2337760069.7062697</v>
      </c>
      <c r="M2173" s="460">
        <f t="shared" si="144"/>
        <v>0.05</v>
      </c>
      <c r="N2173" s="464">
        <f t="shared" si="145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43"/>
        <v>-2337760069.7062697</v>
      </c>
      <c r="J2174" s="444">
        <f t="array" ref="J2174">IFERROR(INDEX('Retirement Calculator'!J:J,MATCH('Isaac 401k'!N2174,'Retirement Calculator'!A:A,0),0),0)</f>
        <v>0</v>
      </c>
      <c r="K2174" s="444">
        <f t="shared" ca="1" si="141"/>
        <v>-9740666.9571094569</v>
      </c>
      <c r="L2174" s="444">
        <f t="shared" ca="1" si="142"/>
        <v>-2347500736.6633792</v>
      </c>
      <c r="M2174" s="460">
        <f t="shared" si="144"/>
        <v>0.05</v>
      </c>
      <c r="N2174" s="464">
        <f t="shared" si="145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43"/>
        <v>-2347500736.6633792</v>
      </c>
      <c r="J2175" s="444">
        <f t="array" ref="J2175">IFERROR(INDEX('Retirement Calculator'!J:J,MATCH('Isaac 401k'!N2175,'Retirement Calculator'!A:A,0),0),0)</f>
        <v>0</v>
      </c>
      <c r="K2175" s="444">
        <f t="shared" ca="1" si="141"/>
        <v>-9781253.0694307461</v>
      </c>
      <c r="L2175" s="444">
        <f t="shared" ca="1" si="142"/>
        <v>-2357281989.73281</v>
      </c>
      <c r="M2175" s="460">
        <f t="shared" si="144"/>
        <v>0.05</v>
      </c>
      <c r="N2175" s="464">
        <f t="shared" si="145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43"/>
        <v>-2357281989.73281</v>
      </c>
      <c r="J2176" s="444">
        <f t="array" ref="J2176">IFERROR(INDEX('Retirement Calculator'!J:J,MATCH('Isaac 401k'!N2176,'Retirement Calculator'!A:A,0),0),0)</f>
        <v>0</v>
      </c>
      <c r="K2176" s="444">
        <f t="shared" ca="1" si="141"/>
        <v>-9822008.2905533742</v>
      </c>
      <c r="L2176" s="444">
        <f t="shared" ca="1" si="142"/>
        <v>-2367103998.0233636</v>
      </c>
      <c r="M2176" s="460">
        <f t="shared" si="144"/>
        <v>0.05</v>
      </c>
      <c r="N2176" s="464">
        <f t="shared" si="145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43"/>
        <v>-2367103998.0233636</v>
      </c>
      <c r="J2177" s="444">
        <f t="array" ref="J2177">IFERROR(INDEX('Retirement Calculator'!J:J,MATCH('Isaac 401k'!N2177,'Retirement Calculator'!A:A,0),0),0)</f>
        <v>0</v>
      </c>
      <c r="K2177" s="444">
        <f t="shared" ca="1" si="141"/>
        <v>-9862933.3250973485</v>
      </c>
      <c r="L2177" s="444">
        <f t="shared" ca="1" si="142"/>
        <v>-2376966931.3484612</v>
      </c>
      <c r="M2177" s="460">
        <f t="shared" si="144"/>
        <v>0.05</v>
      </c>
      <c r="N2177" s="464">
        <f t="shared" si="145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43"/>
        <v>-2376966931.3484612</v>
      </c>
      <c r="J2178" s="444">
        <f t="array" ref="J2178">IFERROR(INDEX('Retirement Calculator'!J:J,MATCH('Isaac 401k'!N2178,'Retirement Calculator'!A:A,0),0),0)</f>
        <v>0</v>
      </c>
      <c r="K2178" s="444">
        <f t="shared" ca="1" si="141"/>
        <v>-9904028.8806185871</v>
      </c>
      <c r="L2178" s="444">
        <f t="shared" ca="1" si="142"/>
        <v>-2386870960.2290797</v>
      </c>
      <c r="M2178" s="460">
        <f t="shared" si="144"/>
        <v>0.05</v>
      </c>
      <c r="N2178" s="464">
        <f t="shared" si="145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43"/>
        <v>-2386870960.2290797</v>
      </c>
      <c r="J2179" s="444">
        <f t="array" ref="J2179">IFERROR(INDEX('Retirement Calculator'!J:J,MATCH('Isaac 401k'!N2179,'Retirement Calculator'!A:A,0),0),0)</f>
        <v>0</v>
      </c>
      <c r="K2179" s="444">
        <f t="shared" ca="1" si="141"/>
        <v>-9945295.6676211655</v>
      </c>
      <c r="L2179" s="444">
        <f t="shared" ca="1" si="142"/>
        <v>-2396816255.8967009</v>
      </c>
      <c r="M2179" s="460">
        <f t="shared" si="144"/>
        <v>0.05</v>
      </c>
      <c r="N2179" s="464">
        <f t="shared" si="145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43"/>
        <v>-2396816255.8967009</v>
      </c>
      <c r="J2180" s="444">
        <f t="array" ref="J2180">IFERROR(INDEX('Retirement Calculator'!J:J,MATCH('Isaac 401k'!N2180,'Retirement Calculator'!A:A,0),0),0)</f>
        <v>0</v>
      </c>
      <c r="K2180" s="444">
        <f t="shared" ca="1" si="141"/>
        <v>-9986734.3995695859</v>
      </c>
      <c r="L2180" s="444">
        <f t="shared" ca="1" si="142"/>
        <v>-2406802990.2962704</v>
      </c>
      <c r="M2180" s="460">
        <f t="shared" si="144"/>
        <v>0.05</v>
      </c>
      <c r="N2180" s="464">
        <f t="shared" si="145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43"/>
        <v>-2406802990.2962704</v>
      </c>
      <c r="J2181" s="444">
        <f t="array" ref="J2181">IFERROR(INDEX('Retirement Calculator'!J:J,MATCH('Isaac 401k'!N2181,'Retirement Calculator'!A:A,0),0),0)</f>
        <v>0</v>
      </c>
      <c r="K2181" s="444">
        <f t="shared" ca="1" si="141"/>
        <v>-10028345.792901127</v>
      </c>
      <c r="L2181" s="444">
        <f t="shared" ca="1" si="142"/>
        <v>-2416831336.0891714</v>
      </c>
      <c r="M2181" s="460">
        <f t="shared" si="144"/>
        <v>0.05</v>
      </c>
      <c r="N2181" s="464">
        <f t="shared" si="145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43"/>
        <v>-2416831336.0891714</v>
      </c>
      <c r="J2182" s="444">
        <f t="array" ref="J2182">IFERROR(INDEX('Retirement Calculator'!J:J,MATCH('Isaac 401k'!N2182,'Retirement Calculator'!A:A,0),0),0)</f>
        <v>0</v>
      </c>
      <c r="K2182" s="444">
        <f t="shared" ca="1" si="141"/>
        <v>-10070130.567038214</v>
      </c>
      <c r="L2182" s="444">
        <f t="shared" ca="1" si="142"/>
        <v>-2426901466.6562095</v>
      </c>
      <c r="M2182" s="460">
        <f t="shared" si="144"/>
        <v>0.05</v>
      </c>
      <c r="N2182" s="464">
        <f t="shared" si="145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43"/>
        <v>-2426901466.6562095</v>
      </c>
      <c r="J2183" s="444">
        <f t="array" ref="J2183">IFERROR(INDEX('Retirement Calculator'!J:J,MATCH('Isaac 401k'!N2183,'Retirement Calculator'!A:A,0),0),0)</f>
        <v>0</v>
      </c>
      <c r="K2183" s="444">
        <f t="shared" ca="1" si="141"/>
        <v>-10112089.444400873</v>
      </c>
      <c r="L2183" s="444">
        <f t="shared" ca="1" si="142"/>
        <v>-2437013556.1006103</v>
      </c>
      <c r="M2183" s="460">
        <f t="shared" si="144"/>
        <v>0.05</v>
      </c>
      <c r="N2183" s="464">
        <f t="shared" si="145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43"/>
        <v>-2437013556.1006103</v>
      </c>
      <c r="J2184" s="444">
        <f t="array" ref="J2184">IFERROR(INDEX('Retirement Calculator'!J:J,MATCH('Isaac 401k'!N2184,'Retirement Calculator'!A:A,0),0),0)</f>
        <v>0</v>
      </c>
      <c r="K2184" s="444">
        <f t="shared" ca="1" si="141"/>
        <v>-10154223.150419209</v>
      </c>
      <c r="L2184" s="444">
        <f t="shared" ca="1" si="142"/>
        <v>-2447167779.2510295</v>
      </c>
      <c r="M2184" s="460">
        <f t="shared" si="144"/>
        <v>0.05</v>
      </c>
      <c r="N2184" s="464">
        <f t="shared" si="145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43"/>
        <v>-2447167779.2510295</v>
      </c>
      <c r="J2185" s="444">
        <f t="array" ref="J2185">IFERROR(INDEX('Retirement Calculator'!J:J,MATCH('Isaac 401k'!N2185,'Retirement Calculator'!A:A,0),0),0)</f>
        <v>0</v>
      </c>
      <c r="K2185" s="444">
        <f t="shared" ca="1" si="141"/>
        <v>-10196532.413545957</v>
      </c>
      <c r="L2185" s="444">
        <f t="shared" ca="1" si="142"/>
        <v>-2457364311.6645756</v>
      </c>
      <c r="M2185" s="460">
        <f t="shared" si="144"/>
        <v>0.05</v>
      </c>
      <c r="N2185" s="464">
        <f t="shared" si="145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43"/>
        <v>-2457364311.6645756</v>
      </c>
      <c r="J2186" s="444">
        <f t="array" ref="J2186">IFERROR(INDEX('Retirement Calculator'!J:J,MATCH('Isaac 401k'!N2186,'Retirement Calculator'!A:A,0),0),0)</f>
        <v>0</v>
      </c>
      <c r="K2186" s="444">
        <f t="shared" ca="1" si="141"/>
        <v>-10239017.965269065</v>
      </c>
      <c r="L2186" s="444">
        <f t="shared" ca="1" si="142"/>
        <v>-2467603329.6298447</v>
      </c>
      <c r="M2186" s="460">
        <f t="shared" si="144"/>
        <v>0.05</v>
      </c>
      <c r="N2186" s="464">
        <f t="shared" si="145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43"/>
        <v>-2467603329.6298447</v>
      </c>
      <c r="J2187" s="444">
        <f t="array" ref="J2187">IFERROR(INDEX('Retirement Calculator'!J:J,MATCH('Isaac 401k'!N2187,'Retirement Calculator'!A:A,0),0),0)</f>
        <v>0</v>
      </c>
      <c r="K2187" s="444">
        <f t="shared" ca="1" si="141"/>
        <v>-10281680.540124353</v>
      </c>
      <c r="L2187" s="444">
        <f t="shared" ca="1" si="142"/>
        <v>-2477885010.1699691</v>
      </c>
      <c r="M2187" s="460">
        <f t="shared" si="144"/>
        <v>0.05</v>
      </c>
      <c r="N2187" s="464">
        <f t="shared" si="145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43"/>
        <v>-2477885010.1699691</v>
      </c>
      <c r="J2188" s="444">
        <f t="array" ref="J2188">IFERROR(INDEX('Retirement Calculator'!J:J,MATCH('Isaac 401k'!N2188,'Retirement Calculator'!A:A,0),0),0)</f>
        <v>0</v>
      </c>
      <c r="K2188" s="444">
        <f t="shared" ca="1" si="141"/>
        <v>-10324520.875708204</v>
      </c>
      <c r="L2188" s="444">
        <f t="shared" ca="1" si="142"/>
        <v>-2488209531.0456772</v>
      </c>
      <c r="M2188" s="460">
        <f t="shared" si="144"/>
        <v>0.05</v>
      </c>
      <c r="N2188" s="464">
        <f t="shared" si="145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43"/>
        <v>-2488209531.0456772</v>
      </c>
      <c r="J2189" s="444">
        <f t="array" ref="J2189">IFERROR(INDEX('Retirement Calculator'!J:J,MATCH('Isaac 401k'!N2189,'Retirement Calculator'!A:A,0),0),0)</f>
        <v>0</v>
      </c>
      <c r="K2189" s="444">
        <f t="shared" ca="1" si="141"/>
        <v>-10367539.712690322</v>
      </c>
      <c r="L2189" s="444">
        <f t="shared" ca="1" si="142"/>
        <v>-2498577070.7583675</v>
      </c>
      <c r="M2189" s="460">
        <f t="shared" si="144"/>
        <v>0.05</v>
      </c>
      <c r="N2189" s="464">
        <f t="shared" si="145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43"/>
        <v>-2498577070.7583675</v>
      </c>
      <c r="J2190" s="444">
        <f t="array" ref="J2190">IFERROR(INDEX('Retirement Calculator'!J:J,MATCH('Isaac 401k'!N2190,'Retirement Calculator'!A:A,0),0),0)</f>
        <v>0</v>
      </c>
      <c r="K2190" s="444">
        <f t="shared" ca="1" si="141"/>
        <v>-10410737.794826532</v>
      </c>
      <c r="L2190" s="444">
        <f t="shared" ca="1" si="142"/>
        <v>-2508987808.553194</v>
      </c>
      <c r="M2190" s="460">
        <f t="shared" si="144"/>
        <v>0.05</v>
      </c>
      <c r="N2190" s="464">
        <f t="shared" si="145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43"/>
        <v>-2508987808.553194</v>
      </c>
      <c r="J2191" s="444">
        <f t="array" ref="J2191">IFERROR(INDEX('Retirement Calculator'!J:J,MATCH('Isaac 401k'!N2191,'Retirement Calculator'!A:A,0),0),0)</f>
        <v>0</v>
      </c>
      <c r="K2191" s="444">
        <f t="shared" ca="1" si="141"/>
        <v>-10454115.868971642</v>
      </c>
      <c r="L2191" s="444">
        <f t="shared" ca="1" si="142"/>
        <v>-2519441924.4221659</v>
      </c>
      <c r="M2191" s="460">
        <f t="shared" si="144"/>
        <v>0.05</v>
      </c>
      <c r="N2191" s="464">
        <f t="shared" si="145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43"/>
        <v>-2519441924.4221659</v>
      </c>
      <c r="J2192" s="444">
        <f t="array" ref="J2192">IFERROR(INDEX('Retirement Calculator'!J:J,MATCH('Isaac 401k'!N2192,'Retirement Calculator'!A:A,0),0),0)</f>
        <v>0</v>
      </c>
      <c r="K2192" s="444">
        <f t="shared" ca="1" si="141"/>
        <v>-10497674.685092358</v>
      </c>
      <c r="L2192" s="444">
        <f t="shared" ca="1" si="142"/>
        <v>-2529939599.1072583</v>
      </c>
      <c r="M2192" s="460">
        <f t="shared" si="144"/>
        <v>0.05</v>
      </c>
      <c r="N2192" s="464">
        <f t="shared" si="145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43"/>
        <v>-2529939599.1072583</v>
      </c>
      <c r="J2193" s="444">
        <f t="array" ref="J2193">IFERROR(INDEX('Retirement Calculator'!J:J,MATCH('Isaac 401k'!N2193,'Retirement Calculator'!A:A,0),0),0)</f>
        <v>0</v>
      </c>
      <c r="K2193" s="444">
        <f t="shared" ca="1" si="141"/>
        <v>-10541414.996280244</v>
      </c>
      <c r="L2193" s="444">
        <f t="shared" ca="1" si="142"/>
        <v>-2540481014.1035385</v>
      </c>
      <c r="M2193" s="460">
        <f t="shared" si="144"/>
        <v>0.05</v>
      </c>
      <c r="N2193" s="464">
        <f t="shared" si="145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43"/>
        <v>-2540481014.1035385</v>
      </c>
      <c r="J2194" s="444">
        <f t="array" ref="J2194">IFERROR(INDEX('Retirement Calculator'!J:J,MATCH('Isaac 401k'!N2194,'Retirement Calculator'!A:A,0),0),0)</f>
        <v>0</v>
      </c>
      <c r="K2194" s="444">
        <f t="shared" ca="1" si="141"/>
        <v>-10585337.558764745</v>
      </c>
      <c r="L2194" s="444">
        <f t="shared" ca="1" si="142"/>
        <v>-2551066351.6623034</v>
      </c>
      <c r="M2194" s="460">
        <f t="shared" si="144"/>
        <v>0.05</v>
      </c>
      <c r="N2194" s="464">
        <f t="shared" si="145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43"/>
        <v>-2551066351.6623034</v>
      </c>
      <c r="J2195" s="444">
        <f t="array" ref="J2195">IFERROR(INDEX('Retirement Calculator'!J:J,MATCH('Isaac 401k'!N2195,'Retirement Calculator'!A:A,0),0),0)</f>
        <v>0</v>
      </c>
      <c r="K2195" s="444">
        <f t="shared" ca="1" si="141"/>
        <v>-10629443.131926265</v>
      </c>
      <c r="L2195" s="444">
        <f t="shared" ca="1" si="142"/>
        <v>-2561695794.7942295</v>
      </c>
      <c r="M2195" s="460">
        <f t="shared" si="144"/>
        <v>0.05</v>
      </c>
      <c r="N2195" s="464">
        <f t="shared" si="145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43"/>
        <v>-2561695794.7942295</v>
      </c>
      <c r="J2196" s="444">
        <f t="array" ref="J2196">IFERROR(INDEX('Retirement Calculator'!J:J,MATCH('Isaac 401k'!N2196,'Retirement Calculator'!A:A,0),0),0)</f>
        <v>0</v>
      </c>
      <c r="K2196" s="444">
        <f t="shared" ca="1" si="141"/>
        <v>-10673732.478309289</v>
      </c>
      <c r="L2196" s="444">
        <f t="shared" ca="1" si="142"/>
        <v>-2572369527.2725387</v>
      </c>
      <c r="M2196" s="460">
        <f t="shared" si="144"/>
        <v>0.05</v>
      </c>
      <c r="N2196" s="464">
        <f t="shared" si="145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43"/>
        <v>-2572369527.2725387</v>
      </c>
      <c r="J2197" s="444">
        <f t="array" ref="J2197">IFERROR(INDEX('Retirement Calculator'!J:J,MATCH('Isaac 401k'!N2197,'Retirement Calculator'!A:A,0),0),0)</f>
        <v>0</v>
      </c>
      <c r="K2197" s="444">
        <f t="shared" ca="1" si="141"/>
        <v>-10718206.363635577</v>
      </c>
      <c r="L2197" s="444">
        <f t="shared" ca="1" si="142"/>
        <v>-2583087733.6361742</v>
      </c>
      <c r="M2197" s="460">
        <f t="shared" si="144"/>
        <v>0.05</v>
      </c>
      <c r="N2197" s="464">
        <f t="shared" si="145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43"/>
        <v>-2583087733.6361742</v>
      </c>
      <c r="J2198" s="444">
        <f t="array" ref="J2198">IFERROR(INDEX('Retirement Calculator'!J:J,MATCH('Isaac 401k'!N2198,'Retirement Calculator'!A:A,0),0),0)</f>
        <v>0</v>
      </c>
      <c r="K2198" s="444">
        <f t="shared" ca="1" si="141"/>
        <v>-10762865.556817392</v>
      </c>
      <c r="L2198" s="444">
        <f t="shared" ca="1" si="142"/>
        <v>-2593850599.1929917</v>
      </c>
      <c r="M2198" s="460">
        <f t="shared" si="144"/>
        <v>0.05</v>
      </c>
      <c r="N2198" s="464">
        <f t="shared" si="145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43"/>
        <v>-2593850599.1929917</v>
      </c>
      <c r="J2199" s="444">
        <f t="array" ref="J2199">IFERROR(INDEX('Retirement Calculator'!J:J,MATCH('Isaac 401k'!N2199,'Retirement Calculator'!A:A,0),0),0)</f>
        <v>0</v>
      </c>
      <c r="K2199" s="444">
        <f t="shared" ca="1" si="141"/>
        <v>-10807710.829970799</v>
      </c>
      <c r="L2199" s="444">
        <f t="shared" ca="1" si="142"/>
        <v>-2604658310.0229626</v>
      </c>
      <c r="M2199" s="460">
        <f t="shared" si="144"/>
        <v>0.05</v>
      </c>
      <c r="N2199" s="464">
        <f t="shared" si="145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43"/>
        <v>-2604658310.0229626</v>
      </c>
      <c r="J2200" s="444">
        <f t="array" ref="J2200">IFERROR(INDEX('Retirement Calculator'!J:J,MATCH('Isaac 401k'!N2200,'Retirement Calculator'!A:A,0),0),0)</f>
        <v>0</v>
      </c>
      <c r="K2200" s="444">
        <f t="shared" ca="1" si="141"/>
        <v>-10852742.958429011</v>
      </c>
      <c r="L2200" s="444">
        <f t="shared" ca="1" si="142"/>
        <v>-2615511052.9813914</v>
      </c>
      <c r="M2200" s="460">
        <f t="shared" si="144"/>
        <v>0.05</v>
      </c>
      <c r="N2200" s="464">
        <f t="shared" si="145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43"/>
        <v>-2615511052.9813914</v>
      </c>
      <c r="J2201" s="444">
        <f t="array" ref="J2201">IFERROR(INDEX('Retirement Calculator'!J:J,MATCH('Isaac 401k'!N2201,'Retirement Calculator'!A:A,0),0),0)</f>
        <v>0</v>
      </c>
      <c r="K2201" s="444">
        <f t="shared" ca="1" si="141"/>
        <v>-10897962.720755797</v>
      </c>
      <c r="L2201" s="444">
        <f t="shared" ca="1" si="142"/>
        <v>-2626409015.702147</v>
      </c>
      <c r="M2201" s="460">
        <f t="shared" si="144"/>
        <v>0.05</v>
      </c>
      <c r="N2201" s="464">
        <f t="shared" si="145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43"/>
        <v>-2626409015.702147</v>
      </c>
      <c r="J2202" s="444">
        <f t="array" ref="J2202">IFERROR(INDEX('Retirement Calculator'!J:J,MATCH('Isaac 401k'!N2202,'Retirement Calculator'!A:A,0),0),0)</f>
        <v>0</v>
      </c>
      <c r="K2202" s="444">
        <f t="shared" ca="1" si="141"/>
        <v>-10943370.898758946</v>
      </c>
      <c r="L2202" s="444">
        <f t="shared" ca="1" si="142"/>
        <v>-2637352386.6009059</v>
      </c>
      <c r="M2202" s="460">
        <f t="shared" si="144"/>
        <v>0.05</v>
      </c>
      <c r="N2202" s="464">
        <f t="shared" si="145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43"/>
        <v>-2637352386.6009059</v>
      </c>
      <c r="J2203" s="444">
        <f t="array" ref="J2203">IFERROR(INDEX('Retirement Calculator'!J:J,MATCH('Isaac 401k'!N2203,'Retirement Calculator'!A:A,0),0),0)</f>
        <v>0</v>
      </c>
      <c r="K2203" s="444">
        <f t="shared" ca="1" si="141"/>
        <v>-10988968.277503774</v>
      </c>
      <c r="L2203" s="444">
        <f t="shared" ca="1" si="142"/>
        <v>-2648341354.8784099</v>
      </c>
      <c r="M2203" s="460">
        <f t="shared" si="144"/>
        <v>0.05</v>
      </c>
      <c r="N2203" s="464">
        <f t="shared" si="145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43"/>
        <v>-2648341354.8784099</v>
      </c>
      <c r="J2204" s="444">
        <f t="array" ref="J2204">IFERROR(INDEX('Retirement Calculator'!J:J,MATCH('Isaac 401k'!N2204,'Retirement Calculator'!A:A,0),0),0)</f>
        <v>0</v>
      </c>
      <c r="K2204" s="444">
        <f t="shared" ca="1" si="141"/>
        <v>-11034755.645326708</v>
      </c>
      <c r="L2204" s="444">
        <f t="shared" ca="1" si="142"/>
        <v>-2659376110.5237365</v>
      </c>
      <c r="M2204" s="460">
        <f t="shared" si="144"/>
        <v>0.05</v>
      </c>
      <c r="N2204" s="464">
        <f t="shared" si="145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43"/>
        <v>-2659376110.5237365</v>
      </c>
      <c r="J2205" s="444">
        <f t="array" ref="J2205">IFERROR(INDEX('Retirement Calculator'!J:J,MATCH('Isaac 401k'!N2205,'Retirement Calculator'!A:A,0),0),0)</f>
        <v>0</v>
      </c>
      <c r="K2205" s="444">
        <f t="shared" ca="1" si="141"/>
        <v>-11080733.793848902</v>
      </c>
      <c r="L2205" s="444">
        <f t="shared" ca="1" si="142"/>
        <v>-2670456844.3175855</v>
      </c>
      <c r="M2205" s="460">
        <f t="shared" si="144"/>
        <v>0.05</v>
      </c>
      <c r="N2205" s="464">
        <f t="shared" si="145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43"/>
        <v>-2670456844.3175855</v>
      </c>
      <c r="J2206" s="444">
        <f t="array" ref="J2206">IFERROR(INDEX('Retirement Calculator'!J:J,MATCH('Isaac 401k'!N2206,'Retirement Calculator'!A:A,0),0),0)</f>
        <v>0</v>
      </c>
      <c r="K2206" s="444">
        <f t="shared" ca="1" si="141"/>
        <v>-11126903.517989939</v>
      </c>
      <c r="L2206" s="444">
        <f t="shared" ca="1" si="142"/>
        <v>-2681583747.8355756</v>
      </c>
      <c r="M2206" s="460">
        <f t="shared" si="144"/>
        <v>0.05</v>
      </c>
      <c r="N2206" s="464">
        <f t="shared" si="145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43"/>
        <v>-2681583747.8355756</v>
      </c>
      <c r="J2207" s="444">
        <f t="array" ref="J2207">IFERROR(INDEX('Retirement Calculator'!J:J,MATCH('Isaac 401k'!N2207,'Retirement Calculator'!A:A,0),0),0)</f>
        <v>0</v>
      </c>
      <c r="K2207" s="444">
        <f t="shared" ca="1" si="141"/>
        <v>-11173265.615981564</v>
      </c>
      <c r="L2207" s="444">
        <f t="shared" ca="1" si="142"/>
        <v>-2692757013.4515572</v>
      </c>
      <c r="M2207" s="460">
        <f t="shared" si="144"/>
        <v>0.05</v>
      </c>
      <c r="N2207" s="464">
        <f t="shared" si="145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43"/>
        <v>-2692757013.4515572</v>
      </c>
      <c r="J2208" s="444">
        <f t="array" ref="J2208">IFERROR(INDEX('Retirement Calculator'!J:J,MATCH('Isaac 401k'!N2208,'Retirement Calculator'!A:A,0),0),0)</f>
        <v>0</v>
      </c>
      <c r="K2208" s="444">
        <f t="shared" ca="1" si="141"/>
        <v>-11219820.889381489</v>
      </c>
      <c r="L2208" s="444">
        <f t="shared" ca="1" si="142"/>
        <v>-2703976834.3409386</v>
      </c>
      <c r="M2208" s="460">
        <f t="shared" si="144"/>
        <v>0.05</v>
      </c>
      <c r="N2208" s="464">
        <f t="shared" si="145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43"/>
        <v>-2703976834.3409386</v>
      </c>
      <c r="J2209" s="444">
        <f t="array" ref="J2209">IFERROR(INDEX('Retirement Calculator'!J:J,MATCH('Isaac 401k'!N2209,'Retirement Calculator'!A:A,0),0),0)</f>
        <v>0</v>
      </c>
      <c r="K2209" s="444">
        <f t="shared" ca="1" si="141"/>
        <v>-11266570.143087244</v>
      </c>
      <c r="L2209" s="444">
        <f t="shared" ca="1" si="142"/>
        <v>-2715243404.484026</v>
      </c>
      <c r="M2209" s="460">
        <f t="shared" si="144"/>
        <v>0.05</v>
      </c>
      <c r="N2209" s="464">
        <f t="shared" si="145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43"/>
        <v>-2715243404.484026</v>
      </c>
      <c r="J2210" s="444">
        <f t="array" ref="J2210">IFERROR(INDEX('Retirement Calculator'!J:J,MATCH('Isaac 401k'!N2210,'Retirement Calculator'!A:A,0),0),0)</f>
        <v>0</v>
      </c>
      <c r="K2210" s="444">
        <f t="shared" ca="1" si="141"/>
        <v>-11313514.185350109</v>
      </c>
      <c r="L2210" s="444">
        <f t="shared" ca="1" si="142"/>
        <v>-2726556918.6693759</v>
      </c>
      <c r="M2210" s="460">
        <f t="shared" si="144"/>
        <v>0.05</v>
      </c>
      <c r="N2210" s="464">
        <f t="shared" si="145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43"/>
        <v>-2726556918.6693759</v>
      </c>
      <c r="J2211" s="444">
        <f t="array" ref="J2211">IFERROR(INDEX('Retirement Calculator'!J:J,MATCH('Isaac 401k'!N2211,'Retirement Calculator'!A:A,0),0),0)</f>
        <v>0</v>
      </c>
      <c r="K2211" s="444">
        <f t="shared" ca="1" si="141"/>
        <v>-11360653.827789066</v>
      </c>
      <c r="L2211" s="444">
        <f t="shared" ca="1" si="142"/>
        <v>-2737917572.4971647</v>
      </c>
      <c r="M2211" s="460">
        <f t="shared" si="144"/>
        <v>0.05</v>
      </c>
      <c r="N2211" s="464">
        <f t="shared" si="145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43"/>
        <v>-2737917572.4971647</v>
      </c>
      <c r="J2212" s="444">
        <f t="array" ref="J2212">IFERROR(INDEX('Retirement Calculator'!J:J,MATCH('Isaac 401k'!N2212,'Retirement Calculator'!A:A,0),0),0)</f>
        <v>0</v>
      </c>
      <c r="K2212" s="444">
        <f t="shared" ca="1" si="141"/>
        <v>-11407989.885404853</v>
      </c>
      <c r="L2212" s="444">
        <f t="shared" ca="1" si="142"/>
        <v>-2749325562.3825698</v>
      </c>
      <c r="M2212" s="460">
        <f t="shared" si="144"/>
        <v>0.05</v>
      </c>
      <c r="N2212" s="464">
        <f t="shared" si="145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43"/>
        <v>-2749325562.3825698</v>
      </c>
      <c r="J2213" s="444">
        <f t="array" ref="J2213">IFERROR(INDEX('Retirement Calculator'!J:J,MATCH('Isaac 401k'!N2213,'Retirement Calculator'!A:A,0),0),0)</f>
        <v>0</v>
      </c>
      <c r="K2213" s="444">
        <f t="shared" ca="1" si="141"/>
        <v>-11455523.176594041</v>
      </c>
      <c r="L2213" s="444">
        <f t="shared" ca="1" si="142"/>
        <v>-2760781085.559164</v>
      </c>
      <c r="M2213" s="460">
        <f t="shared" si="144"/>
        <v>0.05</v>
      </c>
      <c r="N2213" s="464">
        <f t="shared" si="145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43"/>
        <v>-2760781085.559164</v>
      </c>
      <c r="J2214" s="444">
        <f t="array" ref="J2214">IFERROR(INDEX('Retirement Calculator'!J:J,MATCH('Isaac 401k'!N2214,'Retirement Calculator'!A:A,0),0),0)</f>
        <v>0</v>
      </c>
      <c r="K2214" s="444">
        <f t="shared" ca="1" si="141"/>
        <v>-11503254.523163183</v>
      </c>
      <c r="L2214" s="444">
        <f t="shared" ca="1" si="142"/>
        <v>-2772284340.0823274</v>
      </c>
      <c r="M2214" s="460">
        <f t="shared" si="144"/>
        <v>0.05</v>
      </c>
      <c r="N2214" s="464">
        <f t="shared" si="145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43"/>
        <v>-2772284340.0823274</v>
      </c>
      <c r="J2215" s="444">
        <f t="array" ref="J2215">IFERROR(INDEX('Retirement Calculator'!J:J,MATCH('Isaac 401k'!N2215,'Retirement Calculator'!A:A,0),0),0)</f>
        <v>0</v>
      </c>
      <c r="K2215" s="444">
        <f t="shared" ca="1" si="141"/>
        <v>-11551184.75034303</v>
      </c>
      <c r="L2215" s="444">
        <f t="shared" ca="1" si="142"/>
        <v>-2783835524.8326702</v>
      </c>
      <c r="M2215" s="460">
        <f t="shared" si="144"/>
        <v>0.05</v>
      </c>
      <c r="N2215" s="464">
        <f t="shared" si="145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43"/>
        <v>-2783835524.8326702</v>
      </c>
      <c r="J2216" s="444">
        <f t="array" ref="J2216">IFERROR(INDEX('Retirement Calculator'!J:J,MATCH('Isaac 401k'!N2216,'Retirement Calculator'!A:A,0),0),0)</f>
        <v>0</v>
      </c>
      <c r="K2216" s="444">
        <f t="shared" ca="1" si="141"/>
        <v>-11599314.686802793</v>
      </c>
      <c r="L2216" s="444">
        <f t="shared" ca="1" si="142"/>
        <v>-2795434839.5194731</v>
      </c>
      <c r="M2216" s="460">
        <f t="shared" si="144"/>
        <v>0.05</v>
      </c>
      <c r="N2216" s="464">
        <f t="shared" si="145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43"/>
        <v>-2795434839.5194731</v>
      </c>
      <c r="J2217" s="444">
        <f t="array" ref="J2217">IFERROR(INDEX('Retirement Calculator'!J:J,MATCH('Isaac 401k'!N2217,'Retirement Calculator'!A:A,0),0),0)</f>
        <v>0</v>
      </c>
      <c r="K2217" s="444">
        <f t="shared" ca="1" si="141"/>
        <v>-11647645.164664472</v>
      </c>
      <c r="L2217" s="444">
        <f t="shared" ca="1" si="142"/>
        <v>-2807082484.6841373</v>
      </c>
      <c r="M2217" s="460">
        <f t="shared" si="144"/>
        <v>0.05</v>
      </c>
      <c r="N2217" s="464">
        <f t="shared" si="145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43"/>
        <v>-2807082484.6841373</v>
      </c>
      <c r="J2218" s="444">
        <f t="array" ref="J2218">IFERROR(INDEX('Retirement Calculator'!J:J,MATCH('Isaac 401k'!N2218,'Retirement Calculator'!A:A,0),0),0)</f>
        <v>0</v>
      </c>
      <c r="K2218" s="444">
        <f t="shared" ca="1" si="141"/>
        <v>-11696177.019517239</v>
      </c>
      <c r="L2218" s="444">
        <f t="shared" ca="1" si="142"/>
        <v>-2818778661.7036548</v>
      </c>
      <c r="M2218" s="460">
        <f t="shared" si="144"/>
        <v>0.05</v>
      </c>
      <c r="N2218" s="464">
        <f t="shared" si="145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43"/>
        <v>-2818778661.7036548</v>
      </c>
      <c r="J2219" s="444">
        <f t="array" ref="J2219">IFERROR(INDEX('Retirement Calculator'!J:J,MATCH('Isaac 401k'!N2219,'Retirement Calculator'!A:A,0),0),0)</f>
        <v>0</v>
      </c>
      <c r="K2219" s="444">
        <f t="shared" ca="1" si="141"/>
        <v>-11744911.090431895</v>
      </c>
      <c r="L2219" s="444">
        <f t="shared" ca="1" si="142"/>
        <v>-2830523572.7940865</v>
      </c>
      <c r="M2219" s="460">
        <f t="shared" si="144"/>
        <v>0.05</v>
      </c>
      <c r="N2219" s="464">
        <f t="shared" si="145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43"/>
        <v>-2830523572.7940865</v>
      </c>
      <c r="J2220" s="444">
        <f t="array" ref="J2220">IFERROR(INDEX('Retirement Calculator'!J:J,MATCH('Isaac 401k'!N2220,'Retirement Calculator'!A:A,0),0),0)</f>
        <v>0</v>
      </c>
      <c r="K2220" s="444">
        <f t="shared" ca="1" si="141"/>
        <v>-11793848.21997536</v>
      </c>
      <c r="L2220" s="444">
        <f t="shared" ca="1" si="142"/>
        <v>-2842317421.0140619</v>
      </c>
      <c r="M2220" s="460">
        <f t="shared" si="144"/>
        <v>0.05</v>
      </c>
      <c r="N2220" s="464">
        <f t="shared" si="145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43"/>
        <v>-2842317421.0140619</v>
      </c>
      <c r="J2221" s="444">
        <f t="array" ref="J2221">IFERROR(INDEX('Retirement Calculator'!J:J,MATCH('Isaac 401k'!N2221,'Retirement Calculator'!A:A,0),0),0)</f>
        <v>0</v>
      </c>
      <c r="K2221" s="444">
        <f t="shared" ca="1" si="141"/>
        <v>-11842989.254225258</v>
      </c>
      <c r="L2221" s="444">
        <f t="shared" ca="1" si="142"/>
        <v>-2854160410.2682872</v>
      </c>
      <c r="M2221" s="460">
        <f t="shared" si="144"/>
        <v>0.05</v>
      </c>
      <c r="N2221" s="464">
        <f t="shared" si="145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43"/>
        <v>-2854160410.2682872</v>
      </c>
      <c r="J2222" s="444">
        <f t="array" ref="J2222">IFERROR(INDEX('Retirement Calculator'!J:J,MATCH('Isaac 401k'!N2222,'Retirement Calculator'!A:A,0),0),0)</f>
        <v>0</v>
      </c>
      <c r="K2222" s="444">
        <f t="shared" ca="1" si="141"/>
        <v>-11892335.042784531</v>
      </c>
      <c r="L2222" s="444">
        <f t="shared" ca="1" si="142"/>
        <v>-2866052745.3110719</v>
      </c>
      <c r="M2222" s="460">
        <f t="shared" si="144"/>
        <v>0.05</v>
      </c>
      <c r="N2222" s="464">
        <f t="shared" si="145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43"/>
        <v>-2866052745.3110719</v>
      </c>
      <c r="J2223" s="444">
        <f t="array" ref="J2223">IFERROR(INDEX('Retirement Calculator'!J:J,MATCH('Isaac 401k'!N2223,'Retirement Calculator'!A:A,0),0),0)</f>
        <v>0</v>
      </c>
      <c r="K2223" s="444">
        <f t="shared" ca="1" si="141"/>
        <v>-11941886.438796133</v>
      </c>
      <c r="L2223" s="444">
        <f t="shared" ca="1" si="142"/>
        <v>-2877994631.7498679</v>
      </c>
      <c r="M2223" s="460">
        <f t="shared" si="144"/>
        <v>0.05</v>
      </c>
      <c r="N2223" s="464">
        <f t="shared" si="145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43"/>
        <v>-2877994631.7498679</v>
      </c>
      <c r="J2224" s="444">
        <f t="array" ref="J2224">IFERROR(INDEX('Retirement Calculator'!J:J,MATCH('Isaac 401k'!N2224,'Retirement Calculator'!A:A,0),0),0)</f>
        <v>0</v>
      </c>
      <c r="K2224" s="444">
        <f t="shared" ca="1" si="141"/>
        <v>-11991644.298957784</v>
      </c>
      <c r="L2224" s="444">
        <f t="shared" ca="1" si="142"/>
        <v>-2889986276.0488257</v>
      </c>
      <c r="M2224" s="460">
        <f t="shared" si="144"/>
        <v>0.05</v>
      </c>
      <c r="N2224" s="464">
        <f t="shared" si="145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43"/>
        <v>-2889986276.0488257</v>
      </c>
      <c r="J2225" s="444">
        <f t="array" ref="J2225">IFERROR(INDEX('Retirement Calculator'!J:J,MATCH('Isaac 401k'!N2225,'Retirement Calculator'!A:A,0),0),0)</f>
        <v>0</v>
      </c>
      <c r="K2225" s="444">
        <f t="shared" ca="1" si="141"/>
        <v>-12041609.483536774</v>
      </c>
      <c r="L2225" s="444">
        <f t="shared" ca="1" si="142"/>
        <v>-2902027885.5323625</v>
      </c>
      <c r="M2225" s="460">
        <f t="shared" si="144"/>
        <v>0.05</v>
      </c>
      <c r="N2225" s="464">
        <f t="shared" si="145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43"/>
        <v>-2902027885.5323625</v>
      </c>
      <c r="J2226" s="444">
        <f t="array" ref="J2226">IFERROR(INDEX('Retirement Calculator'!J:J,MATCH('Isaac 401k'!N2226,'Retirement Calculator'!A:A,0),0),0)</f>
        <v>0</v>
      </c>
      <c r="K2226" s="444">
        <f t="shared" ca="1" si="141"/>
        <v>-12091782.856384844</v>
      </c>
      <c r="L2226" s="444">
        <f t="shared" ca="1" si="142"/>
        <v>-2914119668.3887472</v>
      </c>
      <c r="M2226" s="460">
        <f t="shared" si="144"/>
        <v>0.05</v>
      </c>
      <c r="N2226" s="464">
        <f t="shared" si="145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43"/>
        <v>-2914119668.3887472</v>
      </c>
      <c r="J2227" s="444">
        <f t="array" ref="J2227">IFERROR(INDEX('Retirement Calculator'!J:J,MATCH('Isaac 401k'!N2227,'Retirement Calculator'!A:A,0),0),0)</f>
        <v>0</v>
      </c>
      <c r="K2227" s="444">
        <f t="shared" ca="1" si="141"/>
        <v>-12142165.284953114</v>
      </c>
      <c r="L2227" s="444">
        <f t="shared" ca="1" si="142"/>
        <v>-2926261833.6737003</v>
      </c>
      <c r="M2227" s="460">
        <f t="shared" si="144"/>
        <v>0.05</v>
      </c>
      <c r="N2227" s="464">
        <f t="shared" si="145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43"/>
        <v>-2926261833.6737003</v>
      </c>
      <c r="J2228" s="444">
        <f t="array" ref="J2228">IFERROR(INDEX('Retirement Calculator'!J:J,MATCH('Isaac 401k'!N2228,'Retirement Calculator'!A:A,0),0),0)</f>
        <v>0</v>
      </c>
      <c r="K2228" s="444">
        <f t="shared" ca="1" si="141"/>
        <v>-12192757.640307084</v>
      </c>
      <c r="L2228" s="444">
        <f t="shared" ca="1" si="142"/>
        <v>-2938454591.3140073</v>
      </c>
      <c r="M2228" s="460">
        <f t="shared" si="144"/>
        <v>0.05</v>
      </c>
      <c r="N2228" s="464">
        <f t="shared" si="145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43"/>
        <v>-2938454591.3140073</v>
      </c>
      <c r="J2229" s="444">
        <f t="array" ref="J2229">IFERROR(INDEX('Retirement Calculator'!J:J,MATCH('Isaac 401k'!N2229,'Retirement Calculator'!A:A,0),0),0)</f>
        <v>0</v>
      </c>
      <c r="K2229" s="444">
        <f t="shared" ca="1" si="141"/>
        <v>-12243560.797141697</v>
      </c>
      <c r="L2229" s="444">
        <f t="shared" ca="1" si="142"/>
        <v>-2950698152.1111488</v>
      </c>
      <c r="M2229" s="460">
        <f t="shared" si="144"/>
        <v>0.05</v>
      </c>
      <c r="N2229" s="464">
        <f t="shared" si="145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43"/>
        <v>-2950698152.1111488</v>
      </c>
      <c r="J2230" s="444">
        <f t="array" ref="J2230">IFERROR(INDEX('Retirement Calculator'!J:J,MATCH('Isaac 401k'!N2230,'Retirement Calculator'!A:A,0),0),0)</f>
        <v>0</v>
      </c>
      <c r="K2230" s="444">
        <f t="shared" ca="1" si="141"/>
        <v>-12294575.633796453</v>
      </c>
      <c r="L2230" s="444">
        <f t="shared" ca="1" si="142"/>
        <v>-2962992727.7449455</v>
      </c>
      <c r="M2230" s="460">
        <f t="shared" si="144"/>
        <v>0.05</v>
      </c>
      <c r="N2230" s="464">
        <f t="shared" si="145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43"/>
        <v>-2962992727.7449455</v>
      </c>
      <c r="J2231" s="444">
        <f t="array" ref="J2231">IFERROR(INDEX('Retirement Calculator'!J:J,MATCH('Isaac 401k'!N2231,'Retirement Calculator'!A:A,0),0),0)</f>
        <v>0</v>
      </c>
      <c r="K2231" s="444">
        <f t="shared" ca="1" si="141"/>
        <v>-12345803.032270607</v>
      </c>
      <c r="L2231" s="444">
        <f t="shared" ca="1" si="142"/>
        <v>-2975338530.777216</v>
      </c>
      <c r="M2231" s="460">
        <f t="shared" si="144"/>
        <v>0.05</v>
      </c>
      <c r="N2231" s="464">
        <f t="shared" si="145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43"/>
        <v>-2975338530.777216</v>
      </c>
      <c r="J2232" s="444">
        <f t="array" ref="J2232">IFERROR(INDEX('Retirement Calculator'!J:J,MATCH('Isaac 401k'!N2232,'Retirement Calculator'!A:A,0),0),0)</f>
        <v>0</v>
      </c>
      <c r="K2232" s="444">
        <f t="shared" ca="1" si="141"/>
        <v>-12397243.8782384</v>
      </c>
      <c r="L2232" s="444">
        <f t="shared" ca="1" si="142"/>
        <v>-2987735774.6554542</v>
      </c>
      <c r="M2232" s="460">
        <f t="shared" si="144"/>
        <v>0.05</v>
      </c>
      <c r="N2232" s="464">
        <f t="shared" si="145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43"/>
        <v>-2987735774.6554542</v>
      </c>
      <c r="J2233" s="444">
        <f t="array" ref="J2233">IFERROR(INDEX('Retirement Calculator'!J:J,MATCH('Isaac 401k'!N2233,'Retirement Calculator'!A:A,0),0),0)</f>
        <v>0</v>
      </c>
      <c r="K2233" s="444">
        <f t="shared" ca="1" si="141"/>
        <v>-12448899.061064392</v>
      </c>
      <c r="L2233" s="444">
        <f t="shared" ca="1" si="142"/>
        <v>-3000184673.7165184</v>
      </c>
      <c r="M2233" s="460">
        <f t="shared" si="144"/>
        <v>0.05</v>
      </c>
      <c r="N2233" s="464">
        <f t="shared" si="145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43"/>
        <v>-3000184673.7165184</v>
      </c>
      <c r="J2234" s="444">
        <f t="array" ref="J2234">IFERROR(INDEX('Retirement Calculator'!J:J,MATCH('Isaac 401k'!N2234,'Retirement Calculator'!A:A,0),0),0)</f>
        <v>0</v>
      </c>
      <c r="K2234" s="444">
        <f t="shared" ca="1" si="141"/>
        <v>-12500769.473818827</v>
      </c>
      <c r="L2234" s="444">
        <f t="shared" ca="1" si="142"/>
        <v>-3012685443.1903372</v>
      </c>
      <c r="M2234" s="460">
        <f t="shared" si="144"/>
        <v>0.05</v>
      </c>
      <c r="N2234" s="464">
        <f t="shared" si="145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43"/>
        <v>-3012685443.1903372</v>
      </c>
      <c r="J2235" s="444">
        <f t="array" ref="J2235">IFERROR(INDEX('Retirement Calculator'!J:J,MATCH('Isaac 401k'!N2235,'Retirement Calculator'!A:A,0),0),0)</f>
        <v>0</v>
      </c>
      <c r="K2235" s="444">
        <f t="shared" ca="1" si="141"/>
        <v>-12552856.013293071</v>
      </c>
      <c r="L2235" s="444">
        <f t="shared" ca="1" si="142"/>
        <v>-3025238299.2036304</v>
      </c>
      <c r="M2235" s="460">
        <f t="shared" si="144"/>
        <v>0.05</v>
      </c>
      <c r="N2235" s="464">
        <f t="shared" si="145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43"/>
        <v>-3025238299.2036304</v>
      </c>
      <c r="J2236" s="444">
        <f t="array" ref="J2236">IFERROR(INDEX('Retirement Calculator'!J:J,MATCH('Isaac 401k'!N2236,'Retirement Calculator'!A:A,0),0),0)</f>
        <v>0</v>
      </c>
      <c r="K2236" s="444">
        <f t="shared" ca="1" si="141"/>
        <v>-12605159.580015127</v>
      </c>
      <c r="L2236" s="444">
        <f t="shared" ca="1" si="142"/>
        <v>-3037843458.7836456</v>
      </c>
      <c r="M2236" s="460">
        <f t="shared" si="144"/>
        <v>0.05</v>
      </c>
      <c r="N2236" s="464">
        <f t="shared" si="145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43"/>
        <v>-3037843458.7836456</v>
      </c>
      <c r="J2237" s="444">
        <f t="array" ref="J2237">IFERROR(INDEX('Retirement Calculator'!J:J,MATCH('Isaac 401k'!N2237,'Retirement Calculator'!A:A,0),0),0)</f>
        <v>0</v>
      </c>
      <c r="K2237" s="444">
        <f t="shared" ca="1" si="141"/>
        <v>-12657681.07826519</v>
      </c>
      <c r="L2237" s="444">
        <f t="shared" ca="1" si="142"/>
        <v>-3050501139.8619108</v>
      </c>
      <c r="M2237" s="460">
        <f t="shared" si="144"/>
        <v>0.05</v>
      </c>
      <c r="N2237" s="464">
        <f t="shared" si="145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43"/>
        <v>-3050501139.8619108</v>
      </c>
      <c r="J2238" s="444">
        <f t="array" ref="J2238">IFERROR(INDEX('Retirement Calculator'!J:J,MATCH('Isaac 401k'!N2238,'Retirement Calculator'!A:A,0),0),0)</f>
        <v>0</v>
      </c>
      <c r="K2238" s="444">
        <f t="shared" ca="1" si="141"/>
        <v>-12710421.416091295</v>
      </c>
      <c r="L2238" s="444">
        <f t="shared" ca="1" si="142"/>
        <v>-3063211561.2780023</v>
      </c>
      <c r="M2238" s="460">
        <f t="shared" si="144"/>
        <v>0.05</v>
      </c>
      <c r="N2238" s="464">
        <f t="shared" si="145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43"/>
        <v>-3063211561.2780023</v>
      </c>
      <c r="J2239" s="444">
        <f t="array" ref="J2239">IFERROR(INDEX('Retirement Calculator'!J:J,MATCH('Isaac 401k'!N2239,'Retirement Calculator'!A:A,0),0),0)</f>
        <v>0</v>
      </c>
      <c r="K2239" s="444">
        <f t="shared" ca="1" si="141"/>
        <v>-12763381.50532501</v>
      </c>
      <c r="L2239" s="444">
        <f t="shared" ca="1" si="142"/>
        <v>-3075974942.7833271</v>
      </c>
      <c r="M2239" s="460">
        <f t="shared" si="144"/>
        <v>0.05</v>
      </c>
      <c r="N2239" s="464">
        <f t="shared" si="145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43"/>
        <v>-3075974942.7833271</v>
      </c>
      <c r="J2240" s="444">
        <f t="array" ref="J2240">IFERROR(INDEX('Retirement Calculator'!J:J,MATCH('Isaac 401k'!N2240,'Retirement Calculator'!A:A,0),0),0)</f>
        <v>0</v>
      </c>
      <c r="K2240" s="444">
        <f t="shared" ca="1" si="141"/>
        <v>-12816562.261597196</v>
      </c>
      <c r="L2240" s="444">
        <f t="shared" ca="1" si="142"/>
        <v>-3088791505.0449243</v>
      </c>
      <c r="M2240" s="460">
        <f t="shared" si="144"/>
        <v>0.05</v>
      </c>
      <c r="N2240" s="464">
        <f t="shared" si="145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43"/>
        <v>-3088791505.0449243</v>
      </c>
      <c r="J2241" s="444">
        <f t="array" ref="J2241">IFERROR(INDEX('Retirement Calculator'!J:J,MATCH('Isaac 401k'!N2241,'Retirement Calculator'!A:A,0),0),0)</f>
        <v>0</v>
      </c>
      <c r="K2241" s="444">
        <f t="shared" ca="1" si="141"/>
        <v>-12869964.604353851</v>
      </c>
      <c r="L2241" s="444">
        <f t="shared" ca="1" si="142"/>
        <v>-3101661469.6492782</v>
      </c>
      <c r="M2241" s="460">
        <f t="shared" si="144"/>
        <v>0.05</v>
      </c>
      <c r="N2241" s="464">
        <f t="shared" si="145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43"/>
        <v>-3101661469.6492782</v>
      </c>
      <c r="J2242" s="444">
        <f t="array" ref="J2242">IFERROR(INDEX('Retirement Calculator'!J:J,MATCH('Isaac 401k'!N2242,'Retirement Calculator'!A:A,0),0),0)</f>
        <v>0</v>
      </c>
      <c r="K2242" s="444">
        <f t="shared" ca="1" si="141"/>
        <v>-12923589.456871992</v>
      </c>
      <c r="L2242" s="444">
        <f t="shared" ca="1" si="142"/>
        <v>-3114585059.1061502</v>
      </c>
      <c r="M2242" s="460">
        <f t="shared" si="144"/>
        <v>0.05</v>
      </c>
      <c r="N2242" s="464">
        <f t="shared" si="145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43"/>
        <v>-3114585059.1061502</v>
      </c>
      <c r="J2243" s="444">
        <f t="array" ref="J2243">IFERROR(INDEX('Retirement Calculator'!J:J,MATCH('Isaac 401k'!N2243,'Retirement Calculator'!A:A,0),0),0)</f>
        <v>0</v>
      </c>
      <c r="K2243" s="444">
        <f t="shared" ca="1" si="141"/>
        <v>-12977437.746275626</v>
      </c>
      <c r="L2243" s="444">
        <f t="shared" ca="1" si="142"/>
        <v>-3127562496.8524256</v>
      </c>
      <c r="M2243" s="460">
        <f t="shared" si="144"/>
        <v>0.05</v>
      </c>
      <c r="N2243" s="464">
        <f t="shared" si="145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43"/>
        <v>-3127562496.8524256</v>
      </c>
      <c r="J2244" s="444">
        <f t="array" ref="J2244">IFERROR(INDEX('Retirement Calculator'!J:J,MATCH('Isaac 401k'!N2244,'Retirement Calculator'!A:A,0),0),0)</f>
        <v>0</v>
      </c>
      <c r="K2244" s="444">
        <f t="shared" ca="1" si="141"/>
        <v>-13031510.403551772</v>
      </c>
      <c r="L2244" s="444">
        <f t="shared" ca="1" si="142"/>
        <v>-3140594007.2559772</v>
      </c>
      <c r="M2244" s="460">
        <f t="shared" si="144"/>
        <v>0.05</v>
      </c>
      <c r="N2244" s="464">
        <f t="shared" si="145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43"/>
        <v>-3140594007.2559772</v>
      </c>
      <c r="J2245" s="444">
        <f t="array" ref="J2245">IFERROR(INDEX('Retirement Calculator'!J:J,MATCH('Isaac 401k'!N2245,'Retirement Calculator'!A:A,0),0),0)</f>
        <v>0</v>
      </c>
      <c r="K2245" s="444">
        <f t="shared" ca="1" si="141"/>
        <v>-13085808.363566572</v>
      </c>
      <c r="L2245" s="444">
        <f t="shared" ca="1" si="142"/>
        <v>-3153679815.6195436</v>
      </c>
      <c r="M2245" s="460">
        <f t="shared" si="144"/>
        <v>0.05</v>
      </c>
      <c r="N2245" s="464">
        <f t="shared" si="145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43"/>
        <v>-3153679815.6195436</v>
      </c>
      <c r="J2246" s="444">
        <f t="array" ref="J2246">IFERROR(INDEX('Retirement Calculator'!J:J,MATCH('Isaac 401k'!N2246,'Retirement Calculator'!A:A,0),0),0)</f>
        <v>0</v>
      </c>
      <c r="K2246" s="444">
        <f t="shared" ca="1" si="141"/>
        <v>-13140332.565081431</v>
      </c>
      <c r="L2246" s="444">
        <f t="shared" ca="1" si="142"/>
        <v>-3166820148.1846251</v>
      </c>
      <c r="M2246" s="460">
        <f t="shared" si="144"/>
        <v>0.05</v>
      </c>
      <c r="N2246" s="464">
        <f t="shared" si="145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43"/>
        <v>-3166820148.1846251</v>
      </c>
      <c r="J2247" s="444">
        <f t="array" ref="J2247">IFERROR(INDEX('Retirement Calculator'!J:J,MATCH('Isaac 401k'!N2247,'Retirement Calculator'!A:A,0),0),0)</f>
        <v>0</v>
      </c>
      <c r="K2247" s="444">
        <f t="shared" ca="1" si="141"/>
        <v>-13195083.950769272</v>
      </c>
      <c r="L2247" s="444">
        <f t="shared" ca="1" si="142"/>
        <v>-3180015232.1353946</v>
      </c>
      <c r="M2247" s="460">
        <f t="shared" si="144"/>
        <v>0.05</v>
      </c>
      <c r="N2247" s="464">
        <f t="shared" si="145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43"/>
        <v>-3180015232.1353946</v>
      </c>
      <c r="J2248" s="444">
        <f t="array" ref="J2248">IFERROR(INDEX('Retirement Calculator'!J:J,MATCH('Isaac 401k'!N2248,'Retirement Calculator'!A:A,0),0),0)</f>
        <v>0</v>
      </c>
      <c r="K2248" s="444">
        <f t="shared" ca="1" si="141"/>
        <v>-13250063.46723081</v>
      </c>
      <c r="L2248" s="444">
        <f t="shared" ca="1" si="142"/>
        <v>-3193265295.6026254</v>
      </c>
      <c r="M2248" s="460">
        <f t="shared" si="144"/>
        <v>0.05</v>
      </c>
      <c r="N2248" s="464">
        <f t="shared" si="145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43"/>
        <v>-3193265295.6026254</v>
      </c>
      <c r="J2249" s="444">
        <f t="array" ref="J2249">IFERROR(INDEX('Retirement Calculator'!J:J,MATCH('Isaac 401k'!N2249,'Retirement Calculator'!A:A,0),0),0)</f>
        <v>0</v>
      </c>
      <c r="K2249" s="444">
        <f t="shared" ca="1" si="141"/>
        <v>-13305272.065010939</v>
      </c>
      <c r="L2249" s="444">
        <f t="shared" ca="1" si="142"/>
        <v>-3206570567.6676364</v>
      </c>
      <c r="M2249" s="460">
        <f t="shared" si="144"/>
        <v>0.05</v>
      </c>
      <c r="N2249" s="464">
        <f t="shared" si="145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43"/>
        <v>-3206570567.6676364</v>
      </c>
      <c r="J2250" s="444">
        <f t="array" ref="J2250">IFERROR(INDEX('Retirement Calculator'!J:J,MATCH('Isaac 401k'!N2250,'Retirement Calculator'!A:A,0),0),0)</f>
        <v>0</v>
      </c>
      <c r="K2250" s="444">
        <f t="shared" ca="1" si="141"/>
        <v>-13360710.698615152</v>
      </c>
      <c r="L2250" s="444">
        <f t="shared" ca="1" si="142"/>
        <v>-3219931278.3662515</v>
      </c>
      <c r="M2250" s="460">
        <f t="shared" si="144"/>
        <v>0.05</v>
      </c>
      <c r="N2250" s="464">
        <f t="shared" si="145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43"/>
        <v>-3219931278.3662515</v>
      </c>
      <c r="J2251" s="444">
        <f t="array" ref="J2251">IFERROR(INDEX('Retirement Calculator'!J:J,MATCH('Isaac 401k'!N2251,'Retirement Calculator'!A:A,0),0),0)</f>
        <v>0</v>
      </c>
      <c r="K2251" s="444">
        <f t="shared" ca="1" si="141"/>
        <v>-13416380.326526048</v>
      </c>
      <c r="L2251" s="444">
        <f t="shared" ca="1" si="142"/>
        <v>-3233347658.6927776</v>
      </c>
      <c r="M2251" s="460">
        <f t="shared" si="144"/>
        <v>0.05</v>
      </c>
      <c r="N2251" s="464">
        <f t="shared" si="145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43"/>
        <v>-3233347658.6927776</v>
      </c>
      <c r="J2252" s="444">
        <f t="array" ref="J2252">IFERROR(INDEX('Retirement Calculator'!J:J,MATCH('Isaac 401k'!N2252,'Retirement Calculator'!A:A,0),0),0)</f>
        <v>0</v>
      </c>
      <c r="K2252" s="444">
        <f t="shared" ca="1" si="141"/>
        <v>-13472281.911219906</v>
      </c>
      <c r="L2252" s="444">
        <f t="shared" ca="1" si="142"/>
        <v>-3246819940.6039977</v>
      </c>
      <c r="M2252" s="460">
        <f t="shared" si="144"/>
        <v>0.05</v>
      </c>
      <c r="N2252" s="464">
        <f t="shared" si="145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43"/>
        <v>-3246819940.6039977</v>
      </c>
      <c r="J2253" s="444">
        <f t="array" ref="J2253">IFERROR(INDEX('Retirement Calculator'!J:J,MATCH('Isaac 401k'!N2253,'Retirement Calculator'!A:A,0),0),0)</f>
        <v>0</v>
      </c>
      <c r="K2253" s="444">
        <f t="shared" ca="1" si="141"/>
        <v>-13528416.419183323</v>
      </c>
      <c r="L2253" s="444">
        <f t="shared" ca="1" si="142"/>
        <v>-3260348357.023181</v>
      </c>
      <c r="M2253" s="460">
        <f t="shared" si="144"/>
        <v>0.05</v>
      </c>
      <c r="N2253" s="464">
        <f t="shared" si="145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43"/>
        <v>-3260348357.023181</v>
      </c>
      <c r="J2254" s="444">
        <f t="array" ref="J2254">IFERROR(INDEX('Retirement Calculator'!J:J,MATCH('Isaac 401k'!N2254,'Retirement Calculator'!A:A,0),0),0)</f>
        <v>0</v>
      </c>
      <c r="K2254" s="444">
        <f t="shared" ca="1" si="141"/>
        <v>-13584784.82092992</v>
      </c>
      <c r="L2254" s="444">
        <f t="shared" ca="1" si="142"/>
        <v>-3273933141.844111</v>
      </c>
      <c r="M2254" s="460">
        <f t="shared" si="144"/>
        <v>0.05</v>
      </c>
      <c r="N2254" s="464">
        <f t="shared" si="145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43"/>
        <v>-3273933141.844111</v>
      </c>
      <c r="J2255" s="444">
        <f t="array" ref="J2255">IFERROR(INDEX('Retirement Calculator'!J:J,MATCH('Isaac 401k'!N2255,'Retirement Calculator'!A:A,0),0),0)</f>
        <v>0</v>
      </c>
      <c r="K2255" s="444">
        <f t="shared" ca="1" si="141"/>
        <v>-13641388.091017129</v>
      </c>
      <c r="L2255" s="444">
        <f t="shared" ca="1" si="142"/>
        <v>-3287574529.9351282</v>
      </c>
      <c r="M2255" s="460">
        <f t="shared" si="144"/>
        <v>0.05</v>
      </c>
      <c r="N2255" s="464">
        <f t="shared" si="145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43"/>
        <v>-3287574529.9351282</v>
      </c>
      <c r="J2256" s="444">
        <f t="array" ref="J2256">IFERROR(INDEX('Retirement Calculator'!J:J,MATCH('Isaac 401k'!N2256,'Retirement Calculator'!A:A,0),0),0)</f>
        <v>0</v>
      </c>
      <c r="K2256" s="444">
        <f t="shared" ca="1" si="141"/>
        <v>-13698227.208063034</v>
      </c>
      <c r="L2256" s="444">
        <f t="shared" ca="1" si="142"/>
        <v>-3301272757.1431913</v>
      </c>
      <c r="M2256" s="460">
        <f t="shared" si="144"/>
        <v>0.05</v>
      </c>
      <c r="N2256" s="464">
        <f t="shared" si="145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43"/>
        <v>-3301272757.1431913</v>
      </c>
      <c r="J2257" s="444">
        <f t="array" ref="J2257">IFERROR(INDEX('Retirement Calculator'!J:J,MATCH('Isaac 401k'!N2257,'Retirement Calculator'!A:A,0),0),0)</f>
        <v>0</v>
      </c>
      <c r="K2257" s="444">
        <f t="shared" ca="1" si="141"/>
        <v>-13755303.154763296</v>
      </c>
      <c r="L2257" s="444">
        <f t="shared" ca="1" si="142"/>
        <v>-3315028060.2979546</v>
      </c>
      <c r="M2257" s="460">
        <f t="shared" si="144"/>
        <v>0.05</v>
      </c>
      <c r="N2257" s="464">
        <f t="shared" si="145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43"/>
        <v>-3315028060.2979546</v>
      </c>
      <c r="J2258" s="444">
        <f t="array" ref="J2258">IFERROR(INDEX('Retirement Calculator'!J:J,MATCH('Isaac 401k'!N2258,'Retirement Calculator'!A:A,0),0),0)</f>
        <v>0</v>
      </c>
      <c r="K2258" s="444">
        <f t="shared" ca="1" si="141"/>
        <v>-13812616.917908143</v>
      </c>
      <c r="L2258" s="444">
        <f t="shared" ca="1" si="142"/>
        <v>-3328840677.2158628</v>
      </c>
      <c r="M2258" s="460">
        <f t="shared" si="144"/>
        <v>0.05</v>
      </c>
      <c r="N2258" s="464">
        <f t="shared" si="145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43"/>
        <v>-3328840677.2158628</v>
      </c>
      <c r="J2259" s="444">
        <f t="array" ref="J2259">IFERROR(INDEX('Retirement Calculator'!J:J,MATCH('Isaac 401k'!N2259,'Retirement Calculator'!A:A,0),0),0)</f>
        <v>0</v>
      </c>
      <c r="K2259" s="444">
        <f t="shared" ca="1" si="141"/>
        <v>-13870169.488399427</v>
      </c>
      <c r="L2259" s="444">
        <f t="shared" ca="1" si="142"/>
        <v>-3342710846.7042623</v>
      </c>
      <c r="M2259" s="460">
        <f t="shared" si="144"/>
        <v>0.05</v>
      </c>
      <c r="N2259" s="464">
        <f t="shared" si="145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43"/>
        <v>-3342710846.7042623</v>
      </c>
      <c r="J2260" s="444">
        <f t="array" ref="J2260">IFERROR(INDEX('Retirement Calculator'!J:J,MATCH('Isaac 401k'!N2260,'Retirement Calculator'!A:A,0),0),0)</f>
        <v>0</v>
      </c>
      <c r="K2260" s="444">
        <f t="shared" ca="1" si="141"/>
        <v>-13927961.861267759</v>
      </c>
      <c r="L2260" s="444">
        <f t="shared" ca="1" si="142"/>
        <v>-3356638808.5655298</v>
      </c>
      <c r="M2260" s="460">
        <f t="shared" si="144"/>
        <v>0.05</v>
      </c>
      <c r="N2260" s="464">
        <f t="shared" si="145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43"/>
        <v>-3356638808.5655298</v>
      </c>
      <c r="J2261" s="444">
        <f t="array" ref="J2261">IFERROR(INDEX('Retirement Calculator'!J:J,MATCH('Isaac 401k'!N2261,'Retirement Calculator'!A:A,0),0),0)</f>
        <v>0</v>
      </c>
      <c r="K2261" s="444">
        <f t="shared" ca="1" si="141"/>
        <v>-13985995.035689708</v>
      </c>
      <c r="L2261" s="444">
        <f t="shared" ca="1" si="142"/>
        <v>-3370624803.6012197</v>
      </c>
      <c r="M2261" s="460">
        <f t="shared" si="144"/>
        <v>0.05</v>
      </c>
      <c r="N2261" s="464">
        <f t="shared" si="145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43"/>
        <v>-3370624803.6012197</v>
      </c>
      <c r="J2262" s="444">
        <f t="array" ref="J2262">IFERROR(INDEX('Retirement Calculator'!J:J,MATCH('Isaac 401k'!N2262,'Retirement Calculator'!A:A,0),0),0)</f>
        <v>0</v>
      </c>
      <c r="K2262" s="444">
        <f t="shared" ca="1" si="141"/>
        <v>-14044270.015005082</v>
      </c>
      <c r="L2262" s="444">
        <f t="shared" ca="1" si="142"/>
        <v>-3384669073.6162248</v>
      </c>
      <c r="M2262" s="460">
        <f t="shared" si="144"/>
        <v>0.05</v>
      </c>
      <c r="N2262" s="464">
        <f t="shared" si="145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43"/>
        <v>-3384669073.6162248</v>
      </c>
      <c r="J2263" s="444">
        <f t="array" ref="J2263">IFERROR(INDEX('Retirement Calculator'!J:J,MATCH('Isaac 401k'!N2263,'Retirement Calculator'!A:A,0),0),0)</f>
        <v>0</v>
      </c>
      <c r="K2263" s="444">
        <f t="shared" ca="1" si="141"/>
        <v>-14102787.806734269</v>
      </c>
      <c r="L2263" s="444">
        <f t="shared" ca="1" si="142"/>
        <v>-3398771861.4229589</v>
      </c>
      <c r="M2263" s="460">
        <f t="shared" si="144"/>
        <v>0.05</v>
      </c>
      <c r="N2263" s="464">
        <f t="shared" si="145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43"/>
        <v>-3398771861.4229589</v>
      </c>
      <c r="J2264" s="444">
        <f t="array" ref="J2264">IFERROR(INDEX('Retirement Calculator'!J:J,MATCH('Isaac 401k'!N2264,'Retirement Calculator'!A:A,0),0),0)</f>
        <v>0</v>
      </c>
      <c r="K2264" s="444">
        <f t="shared" ca="1" si="141"/>
        <v>-14161549.422595659</v>
      </c>
      <c r="L2264" s="444">
        <f t="shared" ca="1" si="142"/>
        <v>-3412933410.8455544</v>
      </c>
      <c r="M2264" s="460">
        <f t="shared" si="144"/>
        <v>0.05</v>
      </c>
      <c r="N2264" s="464">
        <f t="shared" si="145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43"/>
        <v>-3412933410.8455544</v>
      </c>
      <c r="J2265" s="444">
        <f t="array" ref="J2265">IFERROR(INDEX('Retirement Calculator'!J:J,MATCH('Isaac 401k'!N2265,'Retirement Calculator'!A:A,0),0),0)</f>
        <v>0</v>
      </c>
      <c r="K2265" s="444">
        <f t="shared" ca="1" si="141"/>
        <v>-14220555.878523143</v>
      </c>
      <c r="L2265" s="444">
        <f t="shared" ca="1" si="142"/>
        <v>-3427153966.7240777</v>
      </c>
      <c r="M2265" s="460">
        <f t="shared" si="144"/>
        <v>0.05</v>
      </c>
      <c r="N2265" s="464">
        <f t="shared" si="145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43"/>
        <v>-3427153966.7240777</v>
      </c>
      <c r="J2266" s="444">
        <f t="array" ref="J2266">IFERROR(INDEX('Retirement Calculator'!J:J,MATCH('Isaac 401k'!N2266,'Retirement Calculator'!A:A,0),0),0)</f>
        <v>0</v>
      </c>
      <c r="K2266" s="444">
        <f t="shared" ca="1" si="141"/>
        <v>-14279808.194683656</v>
      </c>
      <c r="L2266" s="444">
        <f t="shared" ca="1" si="142"/>
        <v>-3441433774.9187613</v>
      </c>
      <c r="M2266" s="460">
        <f t="shared" si="144"/>
        <v>0.05</v>
      </c>
      <c r="N2266" s="464">
        <f t="shared" si="145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43"/>
        <v>-3441433774.9187613</v>
      </c>
      <c r="J2267" s="444">
        <f t="array" ref="J2267">IFERROR(INDEX('Retirement Calculator'!J:J,MATCH('Isaac 401k'!N2267,'Retirement Calculator'!A:A,0),0),0)</f>
        <v>0</v>
      </c>
      <c r="K2267" s="444">
        <f t="shared" ca="1" si="141"/>
        <v>-14339307.395494839</v>
      </c>
      <c r="L2267" s="444">
        <f t="shared" ca="1" si="142"/>
        <v>-3455773082.3142562</v>
      </c>
      <c r="M2267" s="460">
        <f t="shared" si="144"/>
        <v>0.05</v>
      </c>
      <c r="N2267" s="464">
        <f t="shared" si="145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43"/>
        <v>-3455773082.3142562</v>
      </c>
      <c r="J2268" s="444">
        <f t="array" ref="J2268">IFERROR(INDEX('Retirement Calculator'!J:J,MATCH('Isaac 401k'!N2268,'Retirement Calculator'!A:A,0),0),0)</f>
        <v>0</v>
      </c>
      <c r="K2268" s="444">
        <f t="shared" ca="1" si="141"/>
        <v>-14399054.509642733</v>
      </c>
      <c r="L2268" s="444">
        <f t="shared" ca="1" si="142"/>
        <v>-3470172136.8238988</v>
      </c>
      <c r="M2268" s="460">
        <f t="shared" si="144"/>
        <v>0.05</v>
      </c>
      <c r="N2268" s="464">
        <f t="shared" si="145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43"/>
        <v>-3470172136.8238988</v>
      </c>
      <c r="J2269" s="444">
        <f t="array" ref="J2269">IFERROR(INDEX('Retirement Calculator'!J:J,MATCH('Isaac 401k'!N2269,'Retirement Calculator'!A:A,0),0),0)</f>
        <v>0</v>
      </c>
      <c r="K2269" s="444">
        <f t="shared" ca="1" si="141"/>
        <v>-14459050.570099577</v>
      </c>
      <c r="L2269" s="444">
        <f t="shared" ca="1" si="142"/>
        <v>-3484631187.3939981</v>
      </c>
      <c r="M2269" s="460">
        <f t="shared" si="144"/>
        <v>0.05</v>
      </c>
      <c r="N2269" s="464">
        <f t="shared" si="145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43"/>
        <v>-3484631187.3939981</v>
      </c>
      <c r="J2270" s="444">
        <f t="array" ref="J2270">IFERROR(INDEX('Retirement Calculator'!J:J,MATCH('Isaac 401k'!N2270,'Retirement Calculator'!A:A,0),0),0)</f>
        <v>0</v>
      </c>
      <c r="K2270" s="444">
        <f t="shared" ca="1" si="141"/>
        <v>-14519296.614141658</v>
      </c>
      <c r="L2270" s="444">
        <f t="shared" ca="1" si="142"/>
        <v>-3499150484.0081396</v>
      </c>
      <c r="M2270" s="460">
        <f t="shared" si="144"/>
        <v>0.05</v>
      </c>
      <c r="N2270" s="464">
        <f t="shared" si="145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43"/>
        <v>-3499150484.0081396</v>
      </c>
      <c r="J2271" s="444">
        <f t="array" ref="J2271">IFERROR(INDEX('Retirement Calculator'!J:J,MATCH('Isaac 401k'!N2271,'Retirement Calculator'!A:A,0),0),0)</f>
        <v>0</v>
      </c>
      <c r="K2271" s="444">
        <f t="shared" ca="1" si="141"/>
        <v>-14579793.683367249</v>
      </c>
      <c r="L2271" s="444">
        <f t="shared" ca="1" si="142"/>
        <v>-3513730277.6915069</v>
      </c>
      <c r="M2271" s="460">
        <f t="shared" si="144"/>
        <v>0.05</v>
      </c>
      <c r="N2271" s="464">
        <f t="shared" si="145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43"/>
        <v>-3513730277.6915069</v>
      </c>
      <c r="J2272" s="444">
        <f t="array" ref="J2272">IFERROR(INDEX('Retirement Calculator'!J:J,MATCH('Isaac 401k'!N2272,'Retirement Calculator'!A:A,0),0),0)</f>
        <v>0</v>
      </c>
      <c r="K2272" s="444">
        <f t="shared" ca="1" si="141"/>
        <v>-14640542.82371461</v>
      </c>
      <c r="L2272" s="444">
        <f t="shared" ca="1" si="142"/>
        <v>-3528370820.5152216</v>
      </c>
      <c r="M2272" s="460">
        <f t="shared" si="144"/>
        <v>0.05</v>
      </c>
      <c r="N2272" s="464">
        <f t="shared" si="145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43"/>
        <v>-3528370820.5152216</v>
      </c>
      <c r="J2273" s="444">
        <f t="array" ref="J2273">IFERROR(INDEX('Retirement Calculator'!J:J,MATCH('Isaac 401k'!N2273,'Retirement Calculator'!A:A,0),0),0)</f>
        <v>0</v>
      </c>
      <c r="K2273" s="444">
        <f t="shared" ca="1" si="141"/>
        <v>-14701545.085480088</v>
      </c>
      <c r="L2273" s="444">
        <f t="shared" ca="1" si="142"/>
        <v>-3543072365.6007018</v>
      </c>
      <c r="M2273" s="460">
        <f t="shared" si="144"/>
        <v>0.05</v>
      </c>
      <c r="N2273" s="464">
        <f t="shared" si="145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43"/>
        <v>-3543072365.6007018</v>
      </c>
      <c r="J2274" s="444">
        <f t="array" ref="J2274">IFERROR(INDEX('Retirement Calculator'!J:J,MATCH('Isaac 401k'!N2274,'Retirement Calculator'!A:A,0),0),0)</f>
        <v>0</v>
      </c>
      <c r="K2274" s="444">
        <f t="shared" ca="1" si="141"/>
        <v>-14762801.523336258</v>
      </c>
      <c r="L2274" s="444">
        <f t="shared" ca="1" si="142"/>
        <v>-3557835167.1240382</v>
      </c>
      <c r="M2274" s="460">
        <f t="shared" si="144"/>
        <v>0.05</v>
      </c>
      <c r="N2274" s="464">
        <f t="shared" si="145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43"/>
        <v>-3557835167.1240382</v>
      </c>
      <c r="J2275" s="444">
        <f t="array" ref="J2275">IFERROR(INDEX('Retirement Calculator'!J:J,MATCH('Isaac 401k'!N2275,'Retirement Calculator'!A:A,0),0),0)</f>
        <v>0</v>
      </c>
      <c r="K2275" s="444">
        <f t="shared" ca="1" si="141"/>
        <v>-14824313.196350159</v>
      </c>
      <c r="L2275" s="444">
        <f t="shared" ca="1" si="142"/>
        <v>-3572659480.3203883</v>
      </c>
      <c r="M2275" s="460">
        <f t="shared" si="144"/>
        <v>0.05</v>
      </c>
      <c r="N2275" s="464">
        <f t="shared" si="145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43"/>
        <v>-3572659480.3203883</v>
      </c>
      <c r="J2276" s="444">
        <f t="array" ref="J2276">IFERROR(INDEX('Retirement Calculator'!J:J,MATCH('Isaac 401k'!N2276,'Retirement Calculator'!A:A,0),0),0)</f>
        <v>0</v>
      </c>
      <c r="K2276" s="444">
        <f t="shared" ca="1" si="141"/>
        <v>-14886081.168001618</v>
      </c>
      <c r="L2276" s="444">
        <f t="shared" ca="1" si="142"/>
        <v>-3587545561.48839</v>
      </c>
      <c r="M2276" s="460">
        <f t="shared" si="144"/>
        <v>0.05</v>
      </c>
      <c r="N2276" s="464">
        <f t="shared" si="145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43"/>
        <v>-3587545561.48839</v>
      </c>
      <c r="J2277" s="444">
        <f t="array" ref="J2277">IFERROR(INDEX('Retirement Calculator'!J:J,MATCH('Isaac 401k'!N2277,'Retirement Calculator'!A:A,0),0),0)</f>
        <v>0</v>
      </c>
      <c r="K2277" s="444">
        <f t="shared" ca="1" si="141"/>
        <v>-14948106.506201623</v>
      </c>
      <c r="L2277" s="444">
        <f t="shared" ca="1" si="142"/>
        <v>-3602493667.9945917</v>
      </c>
      <c r="M2277" s="460">
        <f t="shared" si="144"/>
        <v>0.05</v>
      </c>
      <c r="N2277" s="464">
        <f t="shared" si="145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43"/>
        <v>-3602493667.9945917</v>
      </c>
      <c r="J2278" s="444">
        <f t="array" ref="J2278">IFERROR(INDEX('Retirement Calculator'!J:J,MATCH('Isaac 401k'!N2278,'Retirement Calculator'!A:A,0),0),0)</f>
        <v>0</v>
      </c>
      <c r="K2278" s="444">
        <f t="shared" ca="1" si="141"/>
        <v>-15010390.283310799</v>
      </c>
      <c r="L2278" s="444">
        <f t="shared" ca="1" si="142"/>
        <v>-3617504058.2779026</v>
      </c>
      <c r="M2278" s="460">
        <f t="shared" si="144"/>
        <v>0.05</v>
      </c>
      <c r="N2278" s="464">
        <f t="shared" si="145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43"/>
        <v>-3617504058.2779026</v>
      </c>
      <c r="J2279" s="444">
        <f t="array" ref="J2279">IFERROR(INDEX('Retirement Calculator'!J:J,MATCH('Isaac 401k'!N2279,'Retirement Calculator'!A:A,0),0),0)</f>
        <v>0</v>
      </c>
      <c r="K2279" s="444">
        <f t="shared" ca="1" si="141"/>
        <v>-15072933.576157929</v>
      </c>
      <c r="L2279" s="444">
        <f t="shared" ca="1" si="142"/>
        <v>-3632576991.8540606</v>
      </c>
      <c r="M2279" s="460">
        <f t="shared" si="144"/>
        <v>0.05</v>
      </c>
      <c r="N2279" s="464">
        <f t="shared" si="145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43"/>
        <v>-3632576991.8540606</v>
      </c>
      <c r="J2280" s="444">
        <f t="array" ref="J2280">IFERROR(INDEX('Retirement Calculator'!J:J,MATCH('Isaac 401k'!N2280,'Retirement Calculator'!A:A,0),0),0)</f>
        <v>0</v>
      </c>
      <c r="K2280" s="444">
        <f t="shared" ca="1" si="141"/>
        <v>-15135737.466058586</v>
      </c>
      <c r="L2280" s="444">
        <f t="shared" ca="1" si="142"/>
        <v>-3647712729.3201194</v>
      </c>
      <c r="M2280" s="460">
        <f t="shared" si="144"/>
        <v>0.05</v>
      </c>
      <c r="N2280" s="464">
        <f t="shared" si="145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43"/>
        <v>-3647712729.3201194</v>
      </c>
      <c r="J2281" s="444">
        <f t="array" ref="J2281">IFERROR(INDEX('Retirement Calculator'!J:J,MATCH('Isaac 401k'!N2281,'Retirement Calculator'!A:A,0),0),0)</f>
        <v>0</v>
      </c>
      <c r="K2281" s="444">
        <f t="shared" ca="1" si="141"/>
        <v>-15198803.038833831</v>
      </c>
      <c r="L2281" s="444">
        <f t="shared" ca="1" si="142"/>
        <v>-3662911532.358953</v>
      </c>
      <c r="M2281" s="460">
        <f t="shared" si="144"/>
        <v>0.05</v>
      </c>
      <c r="N2281" s="464">
        <f t="shared" si="145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43"/>
        <v>-3662911532.358953</v>
      </c>
      <c r="J2282" s="444">
        <f t="array" ref="J2282">IFERROR(INDEX('Retirement Calculator'!J:J,MATCH('Isaac 401k'!N2282,'Retirement Calculator'!A:A,0),0),0)</f>
        <v>0</v>
      </c>
      <c r="K2282" s="444">
        <f t="shared" ca="1" si="141"/>
        <v>-15262131.38482897</v>
      </c>
      <c r="L2282" s="444">
        <f t="shared" ca="1" si="142"/>
        <v>-3678173663.743782</v>
      </c>
      <c r="M2282" s="460">
        <f t="shared" si="144"/>
        <v>0.05</v>
      </c>
      <c r="N2282" s="464">
        <f t="shared" si="145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43"/>
        <v>-3678173663.743782</v>
      </c>
      <c r="J2283" s="444">
        <f t="array" ref="J2283">IFERROR(INDEX('Retirement Calculator'!J:J,MATCH('Isaac 401k'!N2283,'Retirement Calculator'!A:A,0),0),0)</f>
        <v>0</v>
      </c>
      <c r="K2283" s="444">
        <f t="shared" ca="1" si="141"/>
        <v>-15325723.598932425</v>
      </c>
      <c r="L2283" s="444">
        <f t="shared" ca="1" si="142"/>
        <v>-3693499387.3427143</v>
      </c>
      <c r="M2283" s="460">
        <f t="shared" si="144"/>
        <v>0.05</v>
      </c>
      <c r="N2283" s="464">
        <f t="shared" si="145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43"/>
        <v>-3693499387.3427143</v>
      </c>
      <c r="J2284" s="444">
        <f t="array" ref="J2284">IFERROR(INDEX('Retirement Calculator'!J:J,MATCH('Isaac 401k'!N2284,'Retirement Calculator'!A:A,0),0),0)</f>
        <v>0</v>
      </c>
      <c r="K2284" s="444">
        <f t="shared" ca="1" si="141"/>
        <v>-15389580.780594641</v>
      </c>
      <c r="L2284" s="444">
        <f t="shared" ca="1" si="142"/>
        <v>-3708888968.1233091</v>
      </c>
      <c r="M2284" s="460">
        <f t="shared" si="144"/>
        <v>0.05</v>
      </c>
      <c r="N2284" s="464">
        <f t="shared" si="145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43"/>
        <v>-3708888968.1233091</v>
      </c>
      <c r="J2285" s="444">
        <f t="array" ref="J2285">IFERROR(INDEX('Retirement Calculator'!J:J,MATCH('Isaac 401k'!N2285,'Retirement Calculator'!A:A,0),0),0)</f>
        <v>0</v>
      </c>
      <c r="K2285" s="444">
        <f t="shared" ca="1" si="141"/>
        <v>-15453704.03384712</v>
      </c>
      <c r="L2285" s="444">
        <f t="shared" ca="1" si="142"/>
        <v>-3724342672.1571565</v>
      </c>
      <c r="M2285" s="460">
        <f t="shared" si="144"/>
        <v>0.05</v>
      </c>
      <c r="N2285" s="464">
        <f t="shared" si="145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43"/>
        <v>-3724342672.1571565</v>
      </c>
      <c r="J2286" s="444">
        <f t="array" ref="J2286">IFERROR(INDEX('Retirement Calculator'!J:J,MATCH('Isaac 401k'!N2286,'Retirement Calculator'!A:A,0),0),0)</f>
        <v>0</v>
      </c>
      <c r="K2286" s="444">
        <f t="shared" ca="1" si="141"/>
        <v>-15518094.467321483</v>
      </c>
      <c r="L2286" s="444">
        <f t="shared" ca="1" si="142"/>
        <v>-3739860766.6244779</v>
      </c>
      <c r="M2286" s="460">
        <f t="shared" si="144"/>
        <v>0.05</v>
      </c>
      <c r="N2286" s="464">
        <f t="shared" si="145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43"/>
        <v>-3739860766.6244779</v>
      </c>
      <c r="J2287" s="444">
        <f t="array" ref="J2287">IFERROR(INDEX('Retirement Calculator'!J:J,MATCH('Isaac 401k'!N2287,'Retirement Calculator'!A:A,0),0),0)</f>
        <v>0</v>
      </c>
      <c r="K2287" s="444">
        <f t="shared" ca="1" si="141"/>
        <v>-15582753.194268657</v>
      </c>
      <c r="L2287" s="444">
        <f t="shared" ca="1" si="142"/>
        <v>-3755443519.8187466</v>
      </c>
      <c r="M2287" s="460">
        <f t="shared" si="144"/>
        <v>0.05</v>
      </c>
      <c r="N2287" s="464">
        <f t="shared" si="145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43"/>
        <v>-3755443519.8187466</v>
      </c>
      <c r="J2288" s="444">
        <f t="array" ref="J2288">IFERROR(INDEX('Retirement Calculator'!J:J,MATCH('Isaac 401k'!N2288,'Retirement Calculator'!A:A,0),0),0)</f>
        <v>0</v>
      </c>
      <c r="K2288" s="444">
        <f t="shared" ca="1" si="141"/>
        <v>-15647681.332578108</v>
      </c>
      <c r="L2288" s="444">
        <f t="shared" ca="1" si="142"/>
        <v>-3771091201.1513247</v>
      </c>
      <c r="M2288" s="460">
        <f t="shared" si="144"/>
        <v>0.05</v>
      </c>
      <c r="N2288" s="464">
        <f t="shared" si="145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43"/>
        <v>-3771091201.1513247</v>
      </c>
      <c r="J2289" s="444">
        <f t="array" ref="J2289">IFERROR(INDEX('Retirement Calculator'!J:J,MATCH('Isaac 401k'!N2289,'Retirement Calculator'!A:A,0),0),0)</f>
        <v>0</v>
      </c>
      <c r="K2289" s="444">
        <f t="shared" ca="1" si="141"/>
        <v>-15712880.004797185</v>
      </c>
      <c r="L2289" s="444">
        <f t="shared" ca="1" si="142"/>
        <v>-3786804081.1561217</v>
      </c>
      <c r="M2289" s="460">
        <f t="shared" si="144"/>
        <v>0.05</v>
      </c>
      <c r="N2289" s="464">
        <f t="shared" si="145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43"/>
        <v>-3786804081.1561217</v>
      </c>
      <c r="J2290" s="444">
        <f t="array" ref="J2290">IFERROR(INDEX('Retirement Calculator'!J:J,MATCH('Isaac 401k'!N2290,'Retirement Calculator'!A:A,0),0),0)</f>
        <v>0</v>
      </c>
      <c r="K2290" s="444">
        <f t="shared" ca="1" si="141"/>
        <v>-15778350.338150507</v>
      </c>
      <c r="L2290" s="444">
        <f t="shared" ca="1" si="142"/>
        <v>-3802582431.4942722</v>
      </c>
      <c r="M2290" s="460">
        <f t="shared" si="144"/>
        <v>0.05</v>
      </c>
      <c r="N2290" s="464">
        <f t="shared" si="145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43"/>
        <v>-3802582431.4942722</v>
      </c>
      <c r="J2291" s="444">
        <f t="array" ref="J2291">IFERROR(INDEX('Retirement Calculator'!J:J,MATCH('Isaac 401k'!N2291,'Retirement Calculator'!A:A,0),0),0)</f>
        <v>0</v>
      </c>
      <c r="K2291" s="444">
        <f t="shared" ca="1" si="141"/>
        <v>-15844093.464559466</v>
      </c>
      <c r="L2291" s="444">
        <f t="shared" ca="1" si="142"/>
        <v>-3818426524.9588318</v>
      </c>
      <c r="M2291" s="460">
        <f t="shared" si="144"/>
        <v>0.05</v>
      </c>
      <c r="N2291" s="464">
        <f t="shared" si="145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43"/>
        <v>-3818426524.9588318</v>
      </c>
      <c r="J2292" s="444">
        <f t="array" ref="J2292">IFERROR(INDEX('Retirement Calculator'!J:J,MATCH('Isaac 401k'!N2292,'Retirement Calculator'!A:A,0),0),0)</f>
        <v>0</v>
      </c>
      <c r="K2292" s="444">
        <f t="shared" ca="1" si="141"/>
        <v>-15910110.520661799</v>
      </c>
      <c r="L2292" s="444">
        <f t="shared" ca="1" si="142"/>
        <v>-3834336635.4794936</v>
      </c>
      <c r="M2292" s="460">
        <f t="shared" si="144"/>
        <v>0.05</v>
      </c>
      <c r="N2292" s="464">
        <f t="shared" si="145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43"/>
        <v>-3834336635.4794936</v>
      </c>
      <c r="J2293" s="444">
        <f t="array" ref="J2293">IFERROR(INDEX('Retirement Calculator'!J:J,MATCH('Isaac 401k'!N2293,'Retirement Calculator'!A:A,0),0),0)</f>
        <v>0</v>
      </c>
      <c r="K2293" s="444">
        <f t="shared" ca="1" si="141"/>
        <v>-15976402.647831224</v>
      </c>
      <c r="L2293" s="444">
        <f t="shared" ca="1" si="142"/>
        <v>-3850313038.1273251</v>
      </c>
      <c r="M2293" s="460">
        <f t="shared" si="144"/>
        <v>0.05</v>
      </c>
      <c r="N2293" s="464">
        <f t="shared" si="145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43"/>
        <v>-3850313038.1273251</v>
      </c>
      <c r="J2294" s="444">
        <f t="array" ref="J2294">IFERROR(INDEX('Retirement Calculator'!J:J,MATCH('Isaac 401k'!N2294,'Retirement Calculator'!A:A,0),0),0)</f>
        <v>0</v>
      </c>
      <c r="K2294" s="444">
        <f t="shared" ca="1" si="141"/>
        <v>-16042970.992197188</v>
      </c>
      <c r="L2294" s="444">
        <f t="shared" ca="1" si="142"/>
        <v>-3866356009.1195221</v>
      </c>
      <c r="M2294" s="460">
        <f t="shared" si="144"/>
        <v>0.05</v>
      </c>
      <c r="N2294" s="464">
        <f t="shared" si="145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43"/>
        <v>-3866356009.1195221</v>
      </c>
      <c r="J2295" s="444">
        <f t="array" ref="J2295">IFERROR(INDEX('Retirement Calculator'!J:J,MATCH('Isaac 401k'!N2295,'Retirement Calculator'!A:A,0),0),0)</f>
        <v>0</v>
      </c>
      <c r="K2295" s="444">
        <f t="shared" ca="1" si="141"/>
        <v>-16109816.704664677</v>
      </c>
      <c r="L2295" s="444">
        <f t="shared" ca="1" si="142"/>
        <v>-3882465825.8241868</v>
      </c>
      <c r="M2295" s="460">
        <f t="shared" si="144"/>
        <v>0.05</v>
      </c>
      <c r="N2295" s="464">
        <f t="shared" si="145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43"/>
        <v>-3882465825.8241868</v>
      </c>
      <c r="J2296" s="444">
        <f t="array" ref="J2296">IFERROR(INDEX('Retirement Calculator'!J:J,MATCH('Isaac 401k'!N2296,'Retirement Calculator'!A:A,0),0),0)</f>
        <v>0</v>
      </c>
      <c r="K2296" s="444">
        <f t="shared" ca="1" si="141"/>
        <v>-16176940.940934112</v>
      </c>
      <c r="L2296" s="444">
        <f t="shared" ca="1" si="142"/>
        <v>-3898642766.765121</v>
      </c>
      <c r="M2296" s="460">
        <f t="shared" si="144"/>
        <v>0.05</v>
      </c>
      <c r="N2296" s="464">
        <f t="shared" si="145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43"/>
        <v>-3898642766.765121</v>
      </c>
      <c r="J2297" s="444">
        <f t="array" ref="J2297">IFERROR(INDEX('Retirement Calculator'!J:J,MATCH('Isaac 401k'!N2297,'Retirement Calculator'!A:A,0),0),0)</f>
        <v>0</v>
      </c>
      <c r="K2297" s="444">
        <f t="shared" ca="1" si="141"/>
        <v>-16244344.861521337</v>
      </c>
      <c r="L2297" s="444">
        <f t="shared" ca="1" si="142"/>
        <v>-3914887111.6266422</v>
      </c>
      <c r="M2297" s="460">
        <f t="shared" si="144"/>
        <v>0.05</v>
      </c>
      <c r="N2297" s="464">
        <f t="shared" si="145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43"/>
        <v>-3914887111.6266422</v>
      </c>
      <c r="J2298" s="444">
        <f t="array" ref="J2298">IFERROR(INDEX('Retirement Calculator'!J:J,MATCH('Isaac 401k'!N2298,'Retirement Calculator'!A:A,0),0),0)</f>
        <v>0</v>
      </c>
      <c r="K2298" s="444">
        <f t="shared" ca="1" si="141"/>
        <v>-16312029.631777676</v>
      </c>
      <c r="L2298" s="444">
        <f t="shared" ca="1" si="142"/>
        <v>-3931199141.25842</v>
      </c>
      <c r="M2298" s="460">
        <f t="shared" si="144"/>
        <v>0.05</v>
      </c>
      <c r="N2298" s="464">
        <f t="shared" si="145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43"/>
        <v>-3931199141.25842</v>
      </c>
      <c r="J2299" s="444">
        <f t="array" ref="J2299">IFERROR(INDEX('Retirement Calculator'!J:J,MATCH('Isaac 401k'!N2299,'Retirement Calculator'!A:A,0),0),0)</f>
        <v>0</v>
      </c>
      <c r="K2299" s="444">
        <f t="shared" ca="1" si="141"/>
        <v>-16379996.421910083</v>
      </c>
      <c r="L2299" s="444">
        <f t="shared" ca="1" si="142"/>
        <v>-3947579137.6803303</v>
      </c>
      <c r="M2299" s="460">
        <f t="shared" si="144"/>
        <v>0.05</v>
      </c>
      <c r="N2299" s="464">
        <f t="shared" si="145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43"/>
        <v>-3947579137.6803303</v>
      </c>
      <c r="J2300" s="444">
        <f t="array" ref="J2300">IFERROR(INDEX('Retirement Calculator'!J:J,MATCH('Isaac 401k'!N2300,'Retirement Calculator'!A:A,0),0),0)</f>
        <v>0</v>
      </c>
      <c r="K2300" s="444">
        <f t="shared" ca="1" si="141"/>
        <v>-16448246.407001376</v>
      </c>
      <c r="L2300" s="444">
        <f t="shared" ca="1" si="142"/>
        <v>-3964027384.0873318</v>
      </c>
      <c r="M2300" s="460">
        <f t="shared" si="144"/>
        <v>0.05</v>
      </c>
      <c r="N2300" s="464">
        <f t="shared" si="145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43"/>
        <v>-3964027384.0873318</v>
      </c>
      <c r="J2301" s="444">
        <f t="array" ref="J2301">IFERROR(INDEX('Retirement Calculator'!J:J,MATCH('Isaac 401k'!N2301,'Retirement Calculator'!A:A,0),0),0)</f>
        <v>0</v>
      </c>
      <c r="K2301" s="444">
        <f t="shared" ca="1" si="141"/>
        <v>-16516780.767030546</v>
      </c>
      <c r="L2301" s="444">
        <f t="shared" ca="1" si="142"/>
        <v>-3980544164.8543625</v>
      </c>
      <c r="M2301" s="460">
        <f t="shared" si="144"/>
        <v>0.05</v>
      </c>
      <c r="N2301" s="464">
        <f t="shared" si="145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43"/>
        <v>-3980544164.8543625</v>
      </c>
      <c r="J2302" s="444">
        <f t="array" ref="J2302">IFERROR(INDEX('Retirement Calculator'!J:J,MATCH('Isaac 401k'!N2302,'Retirement Calculator'!A:A,0),0),0)</f>
        <v>0</v>
      </c>
      <c r="K2302" s="444">
        <f t="shared" ca="1" si="141"/>
        <v>-16585600.686893176</v>
      </c>
      <c r="L2302" s="444">
        <f t="shared" ca="1" si="142"/>
        <v>-3997129765.5412555</v>
      </c>
      <c r="M2302" s="460">
        <f t="shared" si="144"/>
        <v>0.05</v>
      </c>
      <c r="N2302" s="464">
        <f t="shared" si="145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43"/>
        <v>-3997129765.5412555</v>
      </c>
      <c r="J2303" s="444">
        <f t="array" ref="J2303">IFERROR(INDEX('Retirement Calculator'!J:J,MATCH('Isaac 401k'!N2303,'Retirement Calculator'!A:A,0),0),0)</f>
        <v>0</v>
      </c>
      <c r="K2303" s="444">
        <f t="shared" ref="K2303:K2557" ca="1" si="146">IPMT(M2303/12,1,12,-I2303+J2303,,0)</f>
        <v>-16654707.356421897</v>
      </c>
      <c r="L2303" s="444">
        <f t="shared" ref="L2303:L2557" ca="1" si="147">I2303-J2303+K2303</f>
        <v>-4013784472.8976774</v>
      </c>
      <c r="M2303" s="460">
        <f t="shared" si="144"/>
        <v>0.05</v>
      </c>
      <c r="N2303" s="464">
        <f t="shared" si="145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48">L2303</f>
        <v>-4013784472.8976774</v>
      </c>
      <c r="J2304" s="444">
        <f t="array" ref="J2304">IFERROR(INDEX('Retirement Calculator'!J:J,MATCH('Isaac 401k'!N2304,'Retirement Calculator'!A:A,0),0),0)</f>
        <v>0</v>
      </c>
      <c r="K2304" s="444">
        <f t="shared" ca="1" si="146"/>
        <v>-16724101.970406989</v>
      </c>
      <c r="L2304" s="444">
        <f t="shared" ca="1" si="147"/>
        <v>-4030508574.8680844</v>
      </c>
      <c r="M2304" s="460">
        <f t="shared" ref="M2304:M2558" si="149">M2303</f>
        <v>0.05</v>
      </c>
      <c r="N2304" s="464">
        <f t="shared" ref="N2304:N2558" si="150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48"/>
        <v>-4030508574.8680844</v>
      </c>
      <c r="J2305" s="444">
        <f t="array" ref="J2305">IFERROR(INDEX('Retirement Calculator'!J:J,MATCH('Isaac 401k'!N2305,'Retirement Calculator'!A:A,0),0),0)</f>
        <v>0</v>
      </c>
      <c r="K2305" s="444">
        <f t="shared" ca="1" si="146"/>
        <v>-16793785.72861702</v>
      </c>
      <c r="L2305" s="444">
        <f t="shared" ca="1" si="147"/>
        <v>-4047302360.5967016</v>
      </c>
      <c r="M2305" s="460">
        <f t="shared" si="149"/>
        <v>0.05</v>
      </c>
      <c r="N2305" s="464">
        <f t="shared" si="150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48"/>
        <v>-4047302360.5967016</v>
      </c>
      <c r="J2306" s="444">
        <f t="array" ref="J2306">IFERROR(INDEX('Retirement Calculator'!J:J,MATCH('Isaac 401k'!N2306,'Retirement Calculator'!A:A,0),0),0)</f>
        <v>0</v>
      </c>
      <c r="K2306" s="444">
        <f t="shared" ca="1" si="146"/>
        <v>-16863759.835819591</v>
      </c>
      <c r="L2306" s="444">
        <f t="shared" ca="1" si="147"/>
        <v>-4064166120.4325213</v>
      </c>
      <c r="M2306" s="460">
        <f t="shared" si="149"/>
        <v>0.05</v>
      </c>
      <c r="N2306" s="464">
        <f t="shared" si="150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48"/>
        <v>-4064166120.4325213</v>
      </c>
      <c r="J2307" s="444">
        <f t="array" ref="J2307">IFERROR(INDEX('Retirement Calculator'!J:J,MATCH('Isaac 401k'!N2307,'Retirement Calculator'!A:A,0),0),0)</f>
        <v>0</v>
      </c>
      <c r="K2307" s="444">
        <f t="shared" ca="1" si="146"/>
        <v>-16934025.501802169</v>
      </c>
      <c r="L2307" s="444">
        <f t="shared" ca="1" si="147"/>
        <v>-4081100145.9343233</v>
      </c>
      <c r="M2307" s="460">
        <f t="shared" si="149"/>
        <v>0.05</v>
      </c>
      <c r="N2307" s="464">
        <f t="shared" si="150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48"/>
        <v>-4081100145.9343233</v>
      </c>
      <c r="J2308" s="444">
        <f t="array" ref="J2308">IFERROR(INDEX('Retirement Calculator'!J:J,MATCH('Isaac 401k'!N2308,'Retirement Calculator'!A:A,0),0),0)</f>
        <v>0</v>
      </c>
      <c r="K2308" s="444">
        <f t="shared" ca="1" si="146"/>
        <v>-17004583.94139301</v>
      </c>
      <c r="L2308" s="444">
        <f t="shared" ca="1" si="147"/>
        <v>-4098104729.8757162</v>
      </c>
      <c r="M2308" s="460">
        <f t="shared" si="149"/>
        <v>0.05</v>
      </c>
      <c r="N2308" s="464">
        <f t="shared" si="150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48"/>
        <v>-4098104729.8757162</v>
      </c>
      <c r="J2309" s="444">
        <f t="array" ref="J2309">IFERROR(INDEX('Retirement Calculator'!J:J,MATCH('Isaac 401k'!N2309,'Retirement Calculator'!A:A,0),0),0)</f>
        <v>0</v>
      </c>
      <c r="K2309" s="444">
        <f t="shared" ca="1" si="146"/>
        <v>-17075436.374482151</v>
      </c>
      <c r="L2309" s="444">
        <f t="shared" ca="1" si="147"/>
        <v>-4115180166.2501984</v>
      </c>
      <c r="M2309" s="460">
        <f t="shared" si="149"/>
        <v>0.05</v>
      </c>
      <c r="N2309" s="464">
        <f t="shared" si="150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48"/>
        <v>-4115180166.2501984</v>
      </c>
      <c r="J2310" s="444">
        <f t="array" ref="J2310">IFERROR(INDEX('Retirement Calculator'!J:J,MATCH('Isaac 401k'!N2310,'Retirement Calculator'!A:A,0),0),0)</f>
        <v>0</v>
      </c>
      <c r="K2310" s="444">
        <f t="shared" ca="1" si="146"/>
        <v>-17146584.026042491</v>
      </c>
      <c r="L2310" s="444">
        <f t="shared" ca="1" si="147"/>
        <v>-4132326750.2762408</v>
      </c>
      <c r="M2310" s="460">
        <f t="shared" si="149"/>
        <v>0.05</v>
      </c>
      <c r="N2310" s="464">
        <f t="shared" si="150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48"/>
        <v>-4132326750.2762408</v>
      </c>
      <c r="J2311" s="444">
        <f t="array" ref="J2311">IFERROR(INDEX('Retirement Calculator'!J:J,MATCH('Isaac 401k'!N2311,'Retirement Calculator'!A:A,0),0),0)</f>
        <v>0</v>
      </c>
      <c r="K2311" s="444">
        <f t="shared" ca="1" si="146"/>
        <v>-17218028.126151003</v>
      </c>
      <c r="L2311" s="444">
        <f t="shared" ca="1" si="147"/>
        <v>-4149544778.4023919</v>
      </c>
      <c r="M2311" s="460">
        <f t="shared" si="149"/>
        <v>0.05</v>
      </c>
      <c r="N2311" s="464">
        <f t="shared" si="150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48"/>
        <v>-4149544778.4023919</v>
      </c>
      <c r="J2312" s="444">
        <f t="array" ref="J2312">IFERROR(INDEX('Retirement Calculator'!J:J,MATCH('Isaac 401k'!N2312,'Retirement Calculator'!A:A,0),0),0)</f>
        <v>0</v>
      </c>
      <c r="K2312" s="444">
        <f t="shared" ca="1" si="146"/>
        <v>-17289769.910009965</v>
      </c>
      <c r="L2312" s="444">
        <f t="shared" ca="1" si="147"/>
        <v>-4166834548.3124018</v>
      </c>
      <c r="M2312" s="460">
        <f t="shared" si="149"/>
        <v>0.05</v>
      </c>
      <c r="N2312" s="464">
        <f t="shared" si="150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48"/>
        <v>-4166834548.3124018</v>
      </c>
      <c r="J2313" s="444">
        <f t="array" ref="J2313">IFERROR(INDEX('Retirement Calculator'!J:J,MATCH('Isaac 401k'!N2313,'Retirement Calculator'!A:A,0),0),0)</f>
        <v>0</v>
      </c>
      <c r="K2313" s="444">
        <f t="shared" ca="1" si="146"/>
        <v>-17361810.617968339</v>
      </c>
      <c r="L2313" s="444">
        <f t="shared" ca="1" si="147"/>
        <v>-4184196358.9303703</v>
      </c>
      <c r="M2313" s="460">
        <f t="shared" si="149"/>
        <v>0.05</v>
      </c>
      <c r="N2313" s="464">
        <f t="shared" si="150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48"/>
        <v>-4184196358.9303703</v>
      </c>
      <c r="J2314" s="444">
        <f t="array" ref="J2314">IFERROR(INDEX('Retirement Calculator'!J:J,MATCH('Isaac 401k'!N2314,'Retirement Calculator'!A:A,0),0),0)</f>
        <v>0</v>
      </c>
      <c r="K2314" s="444">
        <f t="shared" ca="1" si="146"/>
        <v>-17434151.495543212</v>
      </c>
      <c r="L2314" s="444">
        <f t="shared" ca="1" si="147"/>
        <v>-4201630510.4259133</v>
      </c>
      <c r="M2314" s="460">
        <f t="shared" si="149"/>
        <v>0.05</v>
      </c>
      <c r="N2314" s="464">
        <f t="shared" si="150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48"/>
        <v>-4201630510.4259133</v>
      </c>
      <c r="J2315" s="444">
        <f t="array" ref="J2315">IFERROR(INDEX('Retirement Calculator'!J:J,MATCH('Isaac 401k'!N2315,'Retirement Calculator'!A:A,0),0),0)</f>
        <v>0</v>
      </c>
      <c r="K2315" s="444">
        <f t="shared" ca="1" si="146"/>
        <v>-17506793.793441307</v>
      </c>
      <c r="L2315" s="444">
        <f t="shared" ca="1" si="147"/>
        <v>-4219137304.2193546</v>
      </c>
      <c r="M2315" s="460">
        <f t="shared" si="149"/>
        <v>0.05</v>
      </c>
      <c r="N2315" s="464">
        <f t="shared" si="150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48"/>
        <v>-4219137304.2193546</v>
      </c>
      <c r="J2316" s="444">
        <f t="array" ref="J2316">IFERROR(INDEX('Retirement Calculator'!J:J,MATCH('Isaac 401k'!N2316,'Retirement Calculator'!A:A,0),0),0)</f>
        <v>0</v>
      </c>
      <c r="K2316" s="444">
        <f t="shared" ca="1" si="146"/>
        <v>-17579738.767580643</v>
      </c>
      <c r="L2316" s="444">
        <f t="shared" ca="1" si="147"/>
        <v>-4236717042.9869351</v>
      </c>
      <c r="M2316" s="460">
        <f t="shared" si="149"/>
        <v>0.05</v>
      </c>
      <c r="N2316" s="464">
        <f t="shared" si="150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48"/>
        <v>-4236717042.9869351</v>
      </c>
      <c r="J2317" s="444">
        <f t="array" ref="J2317">IFERROR(INDEX('Retirement Calculator'!J:J,MATCH('Isaac 401k'!N2317,'Retirement Calculator'!A:A,0),0),0)</f>
        <v>0</v>
      </c>
      <c r="K2317" s="444">
        <f t="shared" ca="1" si="146"/>
        <v>-17652987.679112229</v>
      </c>
      <c r="L2317" s="444">
        <f t="shared" ca="1" si="147"/>
        <v>-4254370030.6660476</v>
      </c>
      <c r="M2317" s="460">
        <f t="shared" si="149"/>
        <v>0.05</v>
      </c>
      <c r="N2317" s="464">
        <f t="shared" si="150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48"/>
        <v>-4254370030.6660476</v>
      </c>
      <c r="J2318" s="444">
        <f t="array" ref="J2318">IFERROR(INDEX('Retirement Calculator'!J:J,MATCH('Isaac 401k'!N2318,'Retirement Calculator'!A:A,0),0),0)</f>
        <v>0</v>
      </c>
      <c r="K2318" s="444">
        <f t="shared" ca="1" si="146"/>
        <v>-17726541.794441864</v>
      </c>
      <c r="L2318" s="444">
        <f t="shared" ca="1" si="147"/>
        <v>-4272096572.4604893</v>
      </c>
      <c r="M2318" s="460">
        <f t="shared" si="149"/>
        <v>0.05</v>
      </c>
      <c r="N2318" s="464">
        <f t="shared" si="150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48"/>
        <v>-4272096572.4604893</v>
      </c>
      <c r="J2319" s="444">
        <f t="array" ref="J2319">IFERROR(INDEX('Retirement Calculator'!J:J,MATCH('Isaac 401k'!N2319,'Retirement Calculator'!A:A,0),0),0)</f>
        <v>0</v>
      </c>
      <c r="K2319" s="444">
        <f t="shared" ca="1" si="146"/>
        <v>-17800402.385252036</v>
      </c>
      <c r="L2319" s="444">
        <f t="shared" ca="1" si="147"/>
        <v>-4289896974.8457413</v>
      </c>
      <c r="M2319" s="460">
        <f t="shared" si="149"/>
        <v>0.05</v>
      </c>
      <c r="N2319" s="464">
        <f t="shared" si="150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48"/>
        <v>-4289896974.8457413</v>
      </c>
      <c r="J2320" s="444">
        <f t="array" ref="J2320">IFERROR(INDEX('Retirement Calculator'!J:J,MATCH('Isaac 401k'!N2320,'Retirement Calculator'!A:A,0),0),0)</f>
        <v>0</v>
      </c>
      <c r="K2320" s="444">
        <f t="shared" ca="1" si="146"/>
        <v>-17874570.728523925</v>
      </c>
      <c r="L2320" s="444">
        <f t="shared" ca="1" si="147"/>
        <v>-4307771545.5742655</v>
      </c>
      <c r="M2320" s="460">
        <f t="shared" si="149"/>
        <v>0.05</v>
      </c>
      <c r="N2320" s="464">
        <f t="shared" si="150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48"/>
        <v>-4307771545.5742655</v>
      </c>
      <c r="J2321" s="444">
        <f t="array" ref="J2321">IFERROR(INDEX('Retirement Calculator'!J:J,MATCH('Isaac 401k'!N2321,'Retirement Calculator'!A:A,0),0),0)</f>
        <v>0</v>
      </c>
      <c r="K2321" s="444">
        <f t="shared" ca="1" si="146"/>
        <v>-17949048.10655944</v>
      </c>
      <c r="L2321" s="444">
        <f t="shared" ca="1" si="147"/>
        <v>-4325720593.6808252</v>
      </c>
      <c r="M2321" s="460">
        <f t="shared" si="149"/>
        <v>0.05</v>
      </c>
      <c r="N2321" s="464">
        <f t="shared" si="150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48"/>
        <v>-4325720593.6808252</v>
      </c>
      <c r="J2322" s="444">
        <f t="array" ref="J2322">IFERROR(INDEX('Retirement Calculator'!J:J,MATCH('Isaac 401k'!N2322,'Retirement Calculator'!A:A,0),0),0)</f>
        <v>0</v>
      </c>
      <c r="K2322" s="444">
        <f t="shared" ca="1" si="146"/>
        <v>-18023835.807003438</v>
      </c>
      <c r="L2322" s="444">
        <f t="shared" ca="1" si="147"/>
        <v>-4343744429.4878283</v>
      </c>
      <c r="M2322" s="460">
        <f t="shared" si="149"/>
        <v>0.05</v>
      </c>
      <c r="N2322" s="464">
        <f t="shared" si="150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48"/>
        <v>-4343744429.4878283</v>
      </c>
      <c r="J2323" s="444">
        <f t="array" ref="J2323">IFERROR(INDEX('Retirement Calculator'!J:J,MATCH('Isaac 401k'!N2323,'Retirement Calculator'!A:A,0),0),0)</f>
        <v>0</v>
      </c>
      <c r="K2323" s="444">
        <f t="shared" ca="1" si="146"/>
        <v>-18098935.122865953</v>
      </c>
      <c r="L2323" s="444">
        <f t="shared" ca="1" si="147"/>
        <v>-4361843364.6106939</v>
      </c>
      <c r="M2323" s="460">
        <f t="shared" si="149"/>
        <v>0.05</v>
      </c>
      <c r="N2323" s="464">
        <f t="shared" si="150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48"/>
        <v>-4361843364.6106939</v>
      </c>
      <c r="J2324" s="444">
        <f t="array" ref="J2324">IFERROR(INDEX('Retirement Calculator'!J:J,MATCH('Isaac 401k'!N2324,'Retirement Calculator'!A:A,0),0),0)</f>
        <v>0</v>
      </c>
      <c r="K2324" s="444">
        <f t="shared" ca="1" si="146"/>
        <v>-18174347.352544557</v>
      </c>
      <c r="L2324" s="444">
        <f t="shared" ca="1" si="147"/>
        <v>-4380017711.9632387</v>
      </c>
      <c r="M2324" s="460">
        <f t="shared" si="149"/>
        <v>0.05</v>
      </c>
      <c r="N2324" s="464">
        <f t="shared" si="150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48"/>
        <v>-4380017711.9632387</v>
      </c>
      <c r="J2325" s="444">
        <f t="array" ref="J2325">IFERROR(INDEX('Retirement Calculator'!J:J,MATCH('Isaac 401k'!N2325,'Retirement Calculator'!A:A,0),0),0)</f>
        <v>0</v>
      </c>
      <c r="K2325" s="444">
        <f t="shared" ca="1" si="146"/>
        <v>-18250073.799846828</v>
      </c>
      <c r="L2325" s="444">
        <f t="shared" ca="1" si="147"/>
        <v>-4398267785.7630854</v>
      </c>
      <c r="M2325" s="460">
        <f t="shared" si="149"/>
        <v>0.05</v>
      </c>
      <c r="N2325" s="464">
        <f t="shared" si="150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48"/>
        <v>-4398267785.7630854</v>
      </c>
      <c r="J2326" s="444">
        <f t="array" ref="J2326">IFERROR(INDEX('Retirement Calculator'!J:J,MATCH('Isaac 401k'!N2326,'Retirement Calculator'!A:A,0),0),0)</f>
        <v>0</v>
      </c>
      <c r="K2326" s="444">
        <f t="shared" ca="1" si="146"/>
        <v>-18326115.774012856</v>
      </c>
      <c r="L2326" s="444">
        <f t="shared" ca="1" si="147"/>
        <v>-4416593901.5370979</v>
      </c>
      <c r="M2326" s="460">
        <f t="shared" si="149"/>
        <v>0.05</v>
      </c>
      <c r="N2326" s="464">
        <f t="shared" si="150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48"/>
        <v>-4416593901.5370979</v>
      </c>
      <c r="J2327" s="444">
        <f t="array" ref="J2327">IFERROR(INDEX('Retirement Calculator'!J:J,MATCH('Isaac 401k'!N2327,'Retirement Calculator'!A:A,0),0),0)</f>
        <v>0</v>
      </c>
      <c r="K2327" s="444">
        <f t="shared" ca="1" si="146"/>
        <v>-18402474.589737907</v>
      </c>
      <c r="L2327" s="444">
        <f t="shared" ca="1" si="147"/>
        <v>-4434996376.1268358</v>
      </c>
      <c r="M2327" s="460">
        <f t="shared" si="149"/>
        <v>0.05</v>
      </c>
      <c r="N2327" s="464">
        <f t="shared" si="150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48"/>
        <v>-4434996376.1268358</v>
      </c>
      <c r="J2328" s="444">
        <f t="array" ref="J2328">IFERROR(INDEX('Retirement Calculator'!J:J,MATCH('Isaac 401k'!N2328,'Retirement Calculator'!A:A,0),0),0)</f>
        <v>0</v>
      </c>
      <c r="K2328" s="444">
        <f t="shared" ca="1" si="146"/>
        <v>-18479151.567195147</v>
      </c>
      <c r="L2328" s="444">
        <f t="shared" ca="1" si="147"/>
        <v>-4453475527.6940308</v>
      </c>
      <c r="M2328" s="460">
        <f t="shared" si="149"/>
        <v>0.05</v>
      </c>
      <c r="N2328" s="464">
        <f t="shared" si="150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48"/>
        <v>-4453475527.6940308</v>
      </c>
      <c r="J2329" s="444">
        <f t="array" ref="J2329">IFERROR(INDEX('Retirement Calculator'!J:J,MATCH('Isaac 401k'!N2329,'Retirement Calculator'!A:A,0),0),0)</f>
        <v>0</v>
      </c>
      <c r="K2329" s="444">
        <f t="shared" ca="1" si="146"/>
        <v>-18556148.032058463</v>
      </c>
      <c r="L2329" s="444">
        <f t="shared" ca="1" si="147"/>
        <v>-4472031675.7260895</v>
      </c>
      <c r="M2329" s="460">
        <f t="shared" si="149"/>
        <v>0.05</v>
      </c>
      <c r="N2329" s="464">
        <f t="shared" si="150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48"/>
        <v>-4472031675.7260895</v>
      </c>
      <c r="J2330" s="444">
        <f t="array" ref="J2330">IFERROR(INDEX('Retirement Calculator'!J:J,MATCH('Isaac 401k'!N2330,'Retirement Calculator'!A:A,0),0),0)</f>
        <v>0</v>
      </c>
      <c r="K2330" s="444">
        <f t="shared" ca="1" si="146"/>
        <v>-18633465.315525372</v>
      </c>
      <c r="L2330" s="444">
        <f t="shared" ca="1" si="147"/>
        <v>-4490665141.0416145</v>
      </c>
      <c r="M2330" s="460">
        <f t="shared" si="149"/>
        <v>0.05</v>
      </c>
      <c r="N2330" s="464">
        <f t="shared" si="150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48"/>
        <v>-4490665141.0416145</v>
      </c>
      <c r="J2331" s="444">
        <f t="array" ref="J2331">IFERROR(INDEX('Retirement Calculator'!J:J,MATCH('Isaac 401k'!N2331,'Retirement Calculator'!A:A,0),0),0)</f>
        <v>0</v>
      </c>
      <c r="K2331" s="444">
        <f t="shared" ca="1" si="146"/>
        <v>-18711104.75434006</v>
      </c>
      <c r="L2331" s="444">
        <f t="shared" ca="1" si="147"/>
        <v>-4509376245.7959547</v>
      </c>
      <c r="M2331" s="460">
        <f t="shared" si="149"/>
        <v>0.05</v>
      </c>
      <c r="N2331" s="464">
        <f t="shared" si="150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48"/>
        <v>-4509376245.7959547</v>
      </c>
      <c r="J2332" s="444">
        <f t="array" ref="J2332">IFERROR(INDEX('Retirement Calculator'!J:J,MATCH('Isaac 401k'!N2332,'Retirement Calculator'!A:A,0),0),0)</f>
        <v>0</v>
      </c>
      <c r="K2332" s="444">
        <f t="shared" ca="1" si="146"/>
        <v>-18789067.690816477</v>
      </c>
      <c r="L2332" s="444">
        <f t="shared" ca="1" si="147"/>
        <v>-4528165313.4867716</v>
      </c>
      <c r="M2332" s="460">
        <f t="shared" si="149"/>
        <v>0.05</v>
      </c>
      <c r="N2332" s="464">
        <f t="shared" si="150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48"/>
        <v>-4528165313.4867716</v>
      </c>
      <c r="J2333" s="444">
        <f t="array" ref="J2333">IFERROR(INDEX('Retirement Calculator'!J:J,MATCH('Isaac 401k'!N2333,'Retirement Calculator'!A:A,0),0),0)</f>
        <v>0</v>
      </c>
      <c r="K2333" s="444">
        <f t="shared" ca="1" si="146"/>
        <v>-18867355.472861547</v>
      </c>
      <c r="L2333" s="444">
        <f t="shared" ca="1" si="147"/>
        <v>-4547032668.9596329</v>
      </c>
      <c r="M2333" s="460">
        <f t="shared" si="149"/>
        <v>0.05</v>
      </c>
      <c r="N2333" s="464">
        <f t="shared" si="150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48"/>
        <v>-4547032668.9596329</v>
      </c>
      <c r="J2334" s="444">
        <f t="array" ref="J2334">IFERROR(INDEX('Retirement Calculator'!J:J,MATCH('Isaac 401k'!N2334,'Retirement Calculator'!A:A,0),0),0)</f>
        <v>0</v>
      </c>
      <c r="K2334" s="444">
        <f t="shared" ca="1" si="146"/>
        <v>-18945969.453998469</v>
      </c>
      <c r="L2334" s="444">
        <f t="shared" ca="1" si="147"/>
        <v>-4565978638.4136314</v>
      </c>
      <c r="M2334" s="460">
        <f t="shared" si="149"/>
        <v>0.05</v>
      </c>
      <c r="N2334" s="464">
        <f t="shared" si="150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48"/>
        <v>-4565978638.4136314</v>
      </c>
      <c r="J2335" s="444">
        <f t="array" ref="J2335">IFERROR(INDEX('Retirement Calculator'!J:J,MATCH('Isaac 401k'!N2335,'Retirement Calculator'!A:A,0),0),0)</f>
        <v>0</v>
      </c>
      <c r="K2335" s="444">
        <f t="shared" ca="1" si="146"/>
        <v>-19024910.993390132</v>
      </c>
      <c r="L2335" s="444">
        <f t="shared" ca="1" si="147"/>
        <v>-4585003549.4070215</v>
      </c>
      <c r="M2335" s="460">
        <f t="shared" si="149"/>
        <v>0.05</v>
      </c>
      <c r="N2335" s="464">
        <f t="shared" si="150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48"/>
        <v>-4585003549.4070215</v>
      </c>
      <c r="J2336" s="444">
        <f t="array" ref="J2336">IFERROR(INDEX('Retirement Calculator'!J:J,MATCH('Isaac 401k'!N2336,'Retirement Calculator'!A:A,0),0),0)</f>
        <v>0</v>
      </c>
      <c r="K2336" s="444">
        <f t="shared" ca="1" si="146"/>
        <v>-19104181.455862589</v>
      </c>
      <c r="L2336" s="444">
        <f t="shared" ca="1" si="147"/>
        <v>-4604107730.8628845</v>
      </c>
      <c r="M2336" s="460">
        <f t="shared" si="149"/>
        <v>0.05</v>
      </c>
      <c r="N2336" s="464">
        <f t="shared" si="150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48"/>
        <v>-4604107730.8628845</v>
      </c>
      <c r="J2337" s="444">
        <f t="array" ref="J2337">IFERROR(INDEX('Retirement Calculator'!J:J,MATCH('Isaac 401k'!N2337,'Retirement Calculator'!A:A,0),0),0)</f>
        <v>0</v>
      </c>
      <c r="K2337" s="444">
        <f t="shared" ca="1" si="146"/>
        <v>-19183782.211928684</v>
      </c>
      <c r="L2337" s="444">
        <f t="shared" ca="1" si="147"/>
        <v>-4623291513.0748129</v>
      </c>
      <c r="M2337" s="460">
        <f t="shared" si="149"/>
        <v>0.05</v>
      </c>
      <c r="N2337" s="464">
        <f t="shared" si="150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48"/>
        <v>-4623291513.0748129</v>
      </c>
      <c r="J2338" s="444">
        <f t="array" ref="J2338">IFERROR(INDEX('Retirement Calculator'!J:J,MATCH('Isaac 401k'!N2338,'Retirement Calculator'!A:A,0),0),0)</f>
        <v>0</v>
      </c>
      <c r="K2338" s="444">
        <f t="shared" ca="1" si="146"/>
        <v>-19263714.63781172</v>
      </c>
      <c r="L2338" s="444">
        <f t="shared" ca="1" si="147"/>
        <v>-4642555227.7126245</v>
      </c>
      <c r="M2338" s="460">
        <f t="shared" si="149"/>
        <v>0.05</v>
      </c>
      <c r="N2338" s="464">
        <f t="shared" si="150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48"/>
        <v>-4642555227.7126245</v>
      </c>
      <c r="J2339" s="444">
        <f t="array" ref="J2339">IFERROR(INDEX('Retirement Calculator'!J:J,MATCH('Isaac 401k'!N2339,'Retirement Calculator'!A:A,0),0),0)</f>
        <v>0</v>
      </c>
      <c r="K2339" s="444">
        <f t="shared" ca="1" si="146"/>
        <v>-19343980.115469269</v>
      </c>
      <c r="L2339" s="444">
        <f t="shared" ca="1" si="147"/>
        <v>-4661899207.8280935</v>
      </c>
      <c r="M2339" s="460">
        <f t="shared" si="149"/>
        <v>0.05</v>
      </c>
      <c r="N2339" s="464">
        <f t="shared" si="150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48"/>
        <v>-4661899207.8280935</v>
      </c>
      <c r="J2340" s="444">
        <f t="array" ref="J2340">IFERROR(INDEX('Retirement Calculator'!J:J,MATCH('Isaac 401k'!N2340,'Retirement Calculator'!A:A,0),0),0)</f>
        <v>0</v>
      </c>
      <c r="K2340" s="444">
        <f t="shared" ca="1" si="146"/>
        <v>-19424580.032617055</v>
      </c>
      <c r="L2340" s="444">
        <f t="shared" ca="1" si="147"/>
        <v>-4681323787.8607101</v>
      </c>
      <c r="M2340" s="460">
        <f t="shared" si="149"/>
        <v>0.05</v>
      </c>
      <c r="N2340" s="464">
        <f t="shared" si="150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48"/>
        <v>-4681323787.8607101</v>
      </c>
      <c r="J2341" s="444">
        <f t="array" ref="J2341">IFERROR(INDEX('Retirement Calculator'!J:J,MATCH('Isaac 401k'!N2341,'Retirement Calculator'!A:A,0),0),0)</f>
        <v>0</v>
      </c>
      <c r="K2341" s="444">
        <f t="shared" ca="1" si="146"/>
        <v>-19505515.782752957</v>
      </c>
      <c r="L2341" s="444">
        <f t="shared" ca="1" si="147"/>
        <v>-4700829303.6434631</v>
      </c>
      <c r="M2341" s="460">
        <f t="shared" si="149"/>
        <v>0.05</v>
      </c>
      <c r="N2341" s="464">
        <f t="shared" si="150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48"/>
        <v>-4700829303.6434631</v>
      </c>
      <c r="J2342" s="444">
        <f t="array" ref="J2342">IFERROR(INDEX('Retirement Calculator'!J:J,MATCH('Isaac 401k'!N2342,'Retirement Calculator'!A:A,0),0),0)</f>
        <v>0</v>
      </c>
      <c r="K2342" s="444">
        <f t="shared" ca="1" si="146"/>
        <v>-19586788.765181094</v>
      </c>
      <c r="L2342" s="444">
        <f t="shared" ca="1" si="147"/>
        <v>-4720416092.4086447</v>
      </c>
      <c r="M2342" s="460">
        <f t="shared" si="149"/>
        <v>0.05</v>
      </c>
      <c r="N2342" s="464">
        <f t="shared" si="150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48"/>
        <v>-4720416092.4086447</v>
      </c>
      <c r="J2343" s="444">
        <f t="array" ref="J2343">IFERROR(INDEX('Retirement Calculator'!J:J,MATCH('Isaac 401k'!N2343,'Retirement Calculator'!A:A,0),0),0)</f>
        <v>0</v>
      </c>
      <c r="K2343" s="444">
        <f t="shared" ca="1" si="146"/>
        <v>-19668400.385036018</v>
      </c>
      <c r="L2343" s="444">
        <f t="shared" ca="1" si="147"/>
        <v>-4740084492.7936811</v>
      </c>
      <c r="M2343" s="460">
        <f t="shared" si="149"/>
        <v>0.05</v>
      </c>
      <c r="N2343" s="464">
        <f t="shared" si="150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48"/>
        <v>-4740084492.7936811</v>
      </c>
      <c r="J2344" s="444">
        <f t="array" ref="J2344">IFERROR(INDEX('Retirement Calculator'!J:J,MATCH('Isaac 401k'!N2344,'Retirement Calculator'!A:A,0),0),0)</f>
        <v>0</v>
      </c>
      <c r="K2344" s="444">
        <f t="shared" ca="1" si="146"/>
        <v>-19750352.053307004</v>
      </c>
      <c r="L2344" s="444">
        <f t="shared" ca="1" si="147"/>
        <v>-4759834844.8469877</v>
      </c>
      <c r="M2344" s="460">
        <f t="shared" si="149"/>
        <v>0.05</v>
      </c>
      <c r="N2344" s="464">
        <f t="shared" si="150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48"/>
        <v>-4759834844.8469877</v>
      </c>
      <c r="J2345" s="444">
        <f t="array" ref="J2345">IFERROR(INDEX('Retirement Calculator'!J:J,MATCH('Isaac 401k'!N2345,'Retirement Calculator'!A:A,0),0),0)</f>
        <v>0</v>
      </c>
      <c r="K2345" s="444">
        <f t="shared" ca="1" si="146"/>
        <v>-19832645.18686245</v>
      </c>
      <c r="L2345" s="444">
        <f t="shared" ca="1" si="147"/>
        <v>-4779667490.0338497</v>
      </c>
      <c r="M2345" s="460">
        <f t="shared" si="149"/>
        <v>0.05</v>
      </c>
      <c r="N2345" s="464">
        <f t="shared" si="150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48"/>
        <v>-4779667490.0338497</v>
      </c>
      <c r="J2346" s="444">
        <f t="array" ref="J2346">IFERROR(INDEX('Retirement Calculator'!J:J,MATCH('Isaac 401k'!N2346,'Retirement Calculator'!A:A,0),0),0)</f>
        <v>0</v>
      </c>
      <c r="K2346" s="444">
        <f t="shared" ca="1" si="146"/>
        <v>-19915281.208474375</v>
      </c>
      <c r="L2346" s="444">
        <f t="shared" ca="1" si="147"/>
        <v>-4799582771.2423239</v>
      </c>
      <c r="M2346" s="460">
        <f t="shared" si="149"/>
        <v>0.05</v>
      </c>
      <c r="N2346" s="464">
        <f t="shared" si="150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48"/>
        <v>-4799582771.2423239</v>
      </c>
      <c r="J2347" s="444">
        <f t="array" ref="J2347">IFERROR(INDEX('Retirement Calculator'!J:J,MATCH('Isaac 401k'!N2347,'Retirement Calculator'!A:A,0),0),0)</f>
        <v>0</v>
      </c>
      <c r="K2347" s="444">
        <f t="shared" ca="1" si="146"/>
        <v>-19998261.546843015</v>
      </c>
      <c r="L2347" s="444">
        <f t="shared" ca="1" si="147"/>
        <v>-4819581032.7891665</v>
      </c>
      <c r="M2347" s="460">
        <f t="shared" si="149"/>
        <v>0.05</v>
      </c>
      <c r="N2347" s="464">
        <f t="shared" si="150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48"/>
        <v>-4819581032.7891665</v>
      </c>
      <c r="J2348" s="444">
        <f t="array" ref="J2348">IFERROR(INDEX('Retirement Calculator'!J:J,MATCH('Isaac 401k'!N2348,'Retirement Calculator'!A:A,0),0),0)</f>
        <v>0</v>
      </c>
      <c r="K2348" s="444">
        <f t="shared" ca="1" si="146"/>
        <v>-20081587.636621527</v>
      </c>
      <c r="L2348" s="444">
        <f t="shared" ca="1" si="147"/>
        <v>-4839662620.4257879</v>
      </c>
      <c r="M2348" s="460">
        <f t="shared" si="149"/>
        <v>0.05</v>
      </c>
      <c r="N2348" s="464">
        <f t="shared" si="150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48"/>
        <v>-4839662620.4257879</v>
      </c>
      <c r="J2349" s="444">
        <f t="array" ref="J2349">IFERROR(INDEX('Retirement Calculator'!J:J,MATCH('Isaac 401k'!N2349,'Retirement Calculator'!A:A,0),0),0)</f>
        <v>0</v>
      </c>
      <c r="K2349" s="444">
        <f t="shared" ca="1" si="146"/>
        <v>-20165260.918440782</v>
      </c>
      <c r="L2349" s="444">
        <f t="shared" ca="1" si="147"/>
        <v>-4859827881.3442287</v>
      </c>
      <c r="M2349" s="460">
        <f t="shared" si="149"/>
        <v>0.05</v>
      </c>
      <c r="N2349" s="464">
        <f t="shared" si="150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48"/>
        <v>-4859827881.3442287</v>
      </c>
      <c r="J2350" s="444">
        <f t="array" ref="J2350">IFERROR(INDEX('Retirement Calculator'!J:J,MATCH('Isaac 401k'!N2350,'Retirement Calculator'!A:A,0),0),0)</f>
        <v>0</v>
      </c>
      <c r="K2350" s="444">
        <f t="shared" ca="1" si="146"/>
        <v>-20249282.838934287</v>
      </c>
      <c r="L2350" s="444">
        <f t="shared" ca="1" si="147"/>
        <v>-4880077164.1831627</v>
      </c>
      <c r="M2350" s="460">
        <f t="shared" si="149"/>
        <v>0.05</v>
      </c>
      <c r="N2350" s="464">
        <f t="shared" si="150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48"/>
        <v>-4880077164.1831627</v>
      </c>
      <c r="J2351" s="444">
        <f t="array" ref="J2351">IFERROR(INDEX('Retirement Calculator'!J:J,MATCH('Isaac 401k'!N2351,'Retirement Calculator'!A:A,0),0),0)</f>
        <v>0</v>
      </c>
      <c r="K2351" s="444">
        <f t="shared" ca="1" si="146"/>
        <v>-20333654.850763179</v>
      </c>
      <c r="L2351" s="444">
        <f t="shared" ca="1" si="147"/>
        <v>-4900410819.033926</v>
      </c>
      <c r="M2351" s="460">
        <f t="shared" si="149"/>
        <v>0.05</v>
      </c>
      <c r="N2351" s="464">
        <f t="shared" si="150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48"/>
        <v>-4900410819.033926</v>
      </c>
      <c r="J2352" s="444">
        <f t="array" ref="J2352">IFERROR(INDEX('Retirement Calculator'!J:J,MATCH('Isaac 401k'!N2352,'Retirement Calculator'!A:A,0),0),0)</f>
        <v>0</v>
      </c>
      <c r="K2352" s="444">
        <f t="shared" ca="1" si="146"/>
        <v>-20418378.412641358</v>
      </c>
      <c r="L2352" s="444">
        <f t="shared" ca="1" si="147"/>
        <v>-4920829197.4465675</v>
      </c>
      <c r="M2352" s="460">
        <f t="shared" si="149"/>
        <v>0.05</v>
      </c>
      <c r="N2352" s="464">
        <f t="shared" si="150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48"/>
        <v>-4920829197.4465675</v>
      </c>
      <c r="J2353" s="444">
        <f t="array" ref="J2353">IFERROR(INDEX('Retirement Calculator'!J:J,MATCH('Isaac 401k'!N2353,'Retirement Calculator'!A:A,0),0),0)</f>
        <v>0</v>
      </c>
      <c r="K2353" s="444">
        <f t="shared" ca="1" si="146"/>
        <v>-20503454.989360698</v>
      </c>
      <c r="L2353" s="444">
        <f t="shared" ca="1" si="147"/>
        <v>-4941332652.4359283</v>
      </c>
      <c r="M2353" s="460">
        <f t="shared" si="149"/>
        <v>0.05</v>
      </c>
      <c r="N2353" s="464">
        <f t="shared" si="150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48"/>
        <v>-4941332652.4359283</v>
      </c>
      <c r="J2354" s="444">
        <f t="array" ref="J2354">IFERROR(INDEX('Retirement Calculator'!J:J,MATCH('Isaac 401k'!N2354,'Retirement Calculator'!A:A,0),0),0)</f>
        <v>0</v>
      </c>
      <c r="K2354" s="444">
        <f t="shared" ca="1" si="146"/>
        <v>-20588886.051816367</v>
      </c>
      <c r="L2354" s="444">
        <f t="shared" ca="1" si="147"/>
        <v>-4961921538.4877443</v>
      </c>
      <c r="M2354" s="460">
        <f t="shared" si="149"/>
        <v>0.05</v>
      </c>
      <c r="N2354" s="464">
        <f t="shared" si="150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48"/>
        <v>-4961921538.4877443</v>
      </c>
      <c r="J2355" s="444">
        <f t="array" ref="J2355">IFERROR(INDEX('Retirement Calculator'!J:J,MATCH('Isaac 401k'!N2355,'Retirement Calculator'!A:A,0),0),0)</f>
        <v>0</v>
      </c>
      <c r="K2355" s="444">
        <f t="shared" ca="1" si="146"/>
        <v>-20674673.077032268</v>
      </c>
      <c r="L2355" s="444">
        <f t="shared" ca="1" si="147"/>
        <v>-4982596211.5647764</v>
      </c>
      <c r="M2355" s="460">
        <f t="shared" si="149"/>
        <v>0.05</v>
      </c>
      <c r="N2355" s="464">
        <f t="shared" si="150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48"/>
        <v>-4982596211.5647764</v>
      </c>
      <c r="J2356" s="444">
        <f t="array" ref="J2356">IFERROR(INDEX('Retirement Calculator'!J:J,MATCH('Isaac 401k'!N2356,'Retirement Calculator'!A:A,0),0),0)</f>
        <v>0</v>
      </c>
      <c r="K2356" s="444">
        <f t="shared" ca="1" si="146"/>
        <v>-20760817.548186567</v>
      </c>
      <c r="L2356" s="444">
        <f t="shared" ca="1" si="147"/>
        <v>-5003357029.1129627</v>
      </c>
      <c r="M2356" s="460">
        <f t="shared" si="149"/>
        <v>0.05</v>
      </c>
      <c r="N2356" s="464">
        <f t="shared" si="150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48"/>
        <v>-5003357029.1129627</v>
      </c>
      <c r="J2357" s="444">
        <f t="array" ref="J2357">IFERROR(INDEX('Retirement Calculator'!J:J,MATCH('Isaac 401k'!N2357,'Retirement Calculator'!A:A,0),0),0)</f>
        <v>0</v>
      </c>
      <c r="K2357" s="444">
        <f t="shared" ca="1" si="146"/>
        <v>-20847320.954637345</v>
      </c>
      <c r="L2357" s="444">
        <f t="shared" ca="1" si="147"/>
        <v>-5024204350.0676003</v>
      </c>
      <c r="M2357" s="460">
        <f t="shared" si="149"/>
        <v>0.05</v>
      </c>
      <c r="N2357" s="464">
        <f t="shared" si="150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48"/>
        <v>-5024204350.0676003</v>
      </c>
      <c r="J2358" s="444">
        <f t="array" ref="J2358">IFERROR(INDEX('Retirement Calculator'!J:J,MATCH('Isaac 401k'!N2358,'Retirement Calculator'!A:A,0),0),0)</f>
        <v>0</v>
      </c>
      <c r="K2358" s="444">
        <f t="shared" ca="1" si="146"/>
        <v>-20934184.791948333</v>
      </c>
      <c r="L2358" s="444">
        <f t="shared" ca="1" si="147"/>
        <v>-5045138534.8595486</v>
      </c>
      <c r="M2358" s="460">
        <f t="shared" si="149"/>
        <v>0.05</v>
      </c>
      <c r="N2358" s="464">
        <f t="shared" si="150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48"/>
        <v>-5045138534.8595486</v>
      </c>
      <c r="J2359" s="444">
        <f t="array" ref="J2359">IFERROR(INDEX('Retirement Calculator'!J:J,MATCH('Isaac 401k'!N2359,'Retirement Calculator'!A:A,0),0),0)</f>
        <v>0</v>
      </c>
      <c r="K2359" s="444">
        <f t="shared" ca="1" si="146"/>
        <v>-21021410.561914787</v>
      </c>
      <c r="L2359" s="444">
        <f t="shared" ca="1" si="147"/>
        <v>-5066159945.421463</v>
      </c>
      <c r="M2359" s="460">
        <f t="shared" si="149"/>
        <v>0.05</v>
      </c>
      <c r="N2359" s="464">
        <f t="shared" si="150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48"/>
        <v>-5066159945.421463</v>
      </c>
      <c r="J2360" s="444">
        <f t="array" ref="J2360">IFERROR(INDEX('Retirement Calculator'!J:J,MATCH('Isaac 401k'!N2360,'Retirement Calculator'!A:A,0),0),0)</f>
        <v>0</v>
      </c>
      <c r="K2360" s="444">
        <f t="shared" ca="1" si="146"/>
        <v>-21108999.77258943</v>
      </c>
      <c r="L2360" s="444">
        <f t="shared" ca="1" si="147"/>
        <v>-5087268945.1940527</v>
      </c>
      <c r="M2360" s="460">
        <f t="shared" si="149"/>
        <v>0.05</v>
      </c>
      <c r="N2360" s="464">
        <f t="shared" si="150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48"/>
        <v>-5087268945.1940527</v>
      </c>
      <c r="J2361" s="444">
        <f t="array" ref="J2361">IFERROR(INDEX('Retirement Calculator'!J:J,MATCH('Isaac 401k'!N2361,'Retirement Calculator'!A:A,0),0),0)</f>
        <v>0</v>
      </c>
      <c r="K2361" s="444">
        <f t="shared" ca="1" si="146"/>
        <v>-21196953.938308552</v>
      </c>
      <c r="L2361" s="444">
        <f t="shared" ca="1" si="147"/>
        <v>-5108465899.1323614</v>
      </c>
      <c r="M2361" s="460">
        <f t="shared" si="149"/>
        <v>0.05</v>
      </c>
      <c r="N2361" s="464">
        <f t="shared" si="150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48"/>
        <v>-5108465899.1323614</v>
      </c>
      <c r="J2362" s="444">
        <f t="array" ref="J2362">IFERROR(INDEX('Retirement Calculator'!J:J,MATCH('Isaac 401k'!N2362,'Retirement Calculator'!A:A,0),0),0)</f>
        <v>0</v>
      </c>
      <c r="K2362" s="444">
        <f t="shared" ca="1" si="146"/>
        <v>-21285274.579718173</v>
      </c>
      <c r="L2362" s="444">
        <f t="shared" ca="1" si="147"/>
        <v>-5129751173.71208</v>
      </c>
      <c r="M2362" s="460">
        <f t="shared" si="149"/>
        <v>0.05</v>
      </c>
      <c r="N2362" s="464">
        <f t="shared" si="150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48"/>
        <v>-5129751173.71208</v>
      </c>
      <c r="J2363" s="444">
        <f t="array" ref="J2363">IFERROR(INDEX('Retirement Calculator'!J:J,MATCH('Isaac 401k'!N2363,'Retirement Calculator'!A:A,0),0),0)</f>
        <v>0</v>
      </c>
      <c r="K2363" s="444">
        <f t="shared" ca="1" si="146"/>
        <v>-21373963.223800331</v>
      </c>
      <c r="L2363" s="444">
        <f t="shared" ca="1" si="147"/>
        <v>-5151125136.9358807</v>
      </c>
      <c r="M2363" s="460">
        <f t="shared" si="149"/>
        <v>0.05</v>
      </c>
      <c r="N2363" s="464">
        <f t="shared" si="150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48"/>
        <v>-5151125136.9358807</v>
      </c>
      <c r="J2364" s="444">
        <f t="array" ref="J2364">IFERROR(INDEX('Retirement Calculator'!J:J,MATCH('Isaac 401k'!N2364,'Retirement Calculator'!A:A,0),0),0)</f>
        <v>0</v>
      </c>
      <c r="K2364" s="444">
        <f t="shared" ca="1" si="146"/>
        <v>-21463021.403899502</v>
      </c>
      <c r="L2364" s="444">
        <f t="shared" ca="1" si="147"/>
        <v>-5172588158.3397799</v>
      </c>
      <c r="M2364" s="460">
        <f t="shared" si="149"/>
        <v>0.05</v>
      </c>
      <c r="N2364" s="464">
        <f t="shared" si="150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48"/>
        <v>-5172588158.3397799</v>
      </c>
      <c r="J2365" s="444">
        <f t="array" ref="J2365">IFERROR(INDEX('Retirement Calculator'!J:J,MATCH('Isaac 401k'!N2365,'Retirement Calculator'!A:A,0),0),0)</f>
        <v>0</v>
      </c>
      <c r="K2365" s="444">
        <f t="shared" ca="1" si="146"/>
        <v>-21552450.659749083</v>
      </c>
      <c r="L2365" s="444">
        <f t="shared" ca="1" si="147"/>
        <v>-5194140608.9995289</v>
      </c>
      <c r="M2365" s="460">
        <f t="shared" si="149"/>
        <v>0.05</v>
      </c>
      <c r="N2365" s="464">
        <f t="shared" si="150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48"/>
        <v>-5194140608.9995289</v>
      </c>
      <c r="J2366" s="444">
        <f t="array" ref="J2366">IFERROR(INDEX('Retirement Calculator'!J:J,MATCH('Isaac 401k'!N2366,'Retirement Calculator'!A:A,0),0),0)</f>
        <v>0</v>
      </c>
      <c r="K2366" s="444">
        <f t="shared" ca="1" si="146"/>
        <v>-21642252.537498038</v>
      </c>
      <c r="L2366" s="444">
        <f t="shared" ca="1" si="147"/>
        <v>-5215782861.5370274</v>
      </c>
      <c r="M2366" s="460">
        <f t="shared" si="149"/>
        <v>0.05</v>
      </c>
      <c r="N2366" s="464">
        <f t="shared" si="150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48"/>
        <v>-5215782861.5370274</v>
      </c>
      <c r="J2367" s="444">
        <f t="array" ref="J2367">IFERROR(INDEX('Retirement Calculator'!J:J,MATCH('Isaac 401k'!N2367,'Retirement Calculator'!A:A,0),0),0)</f>
        <v>0</v>
      </c>
      <c r="K2367" s="444">
        <f t="shared" ca="1" si="146"/>
        <v>-21732428.589737613</v>
      </c>
      <c r="L2367" s="444">
        <f t="shared" ca="1" si="147"/>
        <v>-5237515290.1267653</v>
      </c>
      <c r="M2367" s="460">
        <f t="shared" si="149"/>
        <v>0.05</v>
      </c>
      <c r="N2367" s="464">
        <f t="shared" si="150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48"/>
        <v>-5237515290.1267653</v>
      </c>
      <c r="J2368" s="444">
        <f t="array" ref="J2368">IFERROR(INDEX('Retirement Calculator'!J:J,MATCH('Isaac 401k'!N2368,'Retirement Calculator'!A:A,0),0),0)</f>
        <v>0</v>
      </c>
      <c r="K2368" s="444">
        <f t="shared" ca="1" si="146"/>
        <v>-21822980.375528187</v>
      </c>
      <c r="L2368" s="444">
        <f t="shared" ca="1" si="147"/>
        <v>-5259338270.5022936</v>
      </c>
      <c r="M2368" s="460">
        <f t="shared" si="149"/>
        <v>0.05</v>
      </c>
      <c r="N2368" s="464">
        <f t="shared" si="150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48"/>
        <v>-5259338270.5022936</v>
      </c>
      <c r="J2369" s="444">
        <f t="array" ref="J2369">IFERROR(INDEX('Retirement Calculator'!J:J,MATCH('Isaac 401k'!N2369,'Retirement Calculator'!A:A,0),0),0)</f>
        <v>0</v>
      </c>
      <c r="K2369" s="444">
        <f t="shared" ca="1" si="146"/>
        <v>-21913909.460426223</v>
      </c>
      <c r="L2369" s="444">
        <f t="shared" ca="1" si="147"/>
        <v>-5281252179.9627199</v>
      </c>
      <c r="M2369" s="460">
        <f t="shared" si="149"/>
        <v>0.05</v>
      </c>
      <c r="N2369" s="464">
        <f t="shared" si="150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48"/>
        <v>-5281252179.9627199</v>
      </c>
      <c r="J2370" s="444">
        <f t="array" ref="J2370">IFERROR(INDEX('Retirement Calculator'!J:J,MATCH('Isaac 401k'!N2370,'Retirement Calculator'!A:A,0),0),0)</f>
        <v>0</v>
      </c>
      <c r="K2370" s="444">
        <f t="shared" ca="1" si="146"/>
        <v>-22005217.416511334</v>
      </c>
      <c r="L2370" s="444">
        <f t="shared" ca="1" si="147"/>
        <v>-5303257397.3792315</v>
      </c>
      <c r="M2370" s="460">
        <f t="shared" si="149"/>
        <v>0.05</v>
      </c>
      <c r="N2370" s="464">
        <f t="shared" si="150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48"/>
        <v>-5303257397.3792315</v>
      </c>
      <c r="J2371" s="444">
        <f t="array" ref="J2371">IFERROR(INDEX('Retirement Calculator'!J:J,MATCH('Isaac 401k'!N2371,'Retirement Calculator'!A:A,0),0),0)</f>
        <v>0</v>
      </c>
      <c r="K2371" s="444">
        <f t="shared" ca="1" si="146"/>
        <v>-22096905.822413463</v>
      </c>
      <c r="L2371" s="444">
        <f t="shared" ca="1" si="147"/>
        <v>-5325354303.2016449</v>
      </c>
      <c r="M2371" s="460">
        <f t="shared" si="149"/>
        <v>0.05</v>
      </c>
      <c r="N2371" s="464">
        <f t="shared" si="150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48"/>
        <v>-5325354303.2016449</v>
      </c>
      <c r="J2372" s="444">
        <f t="array" ref="J2372">IFERROR(INDEX('Retirement Calculator'!J:J,MATCH('Isaac 401k'!N2372,'Retirement Calculator'!A:A,0),0),0)</f>
        <v>0</v>
      </c>
      <c r="K2372" s="444">
        <f t="shared" ca="1" si="146"/>
        <v>-22188976.263340186</v>
      </c>
      <c r="L2372" s="444">
        <f t="shared" ca="1" si="147"/>
        <v>-5347543279.4649849</v>
      </c>
      <c r="M2372" s="460">
        <f t="shared" si="149"/>
        <v>0.05</v>
      </c>
      <c r="N2372" s="464">
        <f t="shared" si="150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48"/>
        <v>-5347543279.4649849</v>
      </c>
      <c r="J2373" s="444">
        <f t="array" ref="J2373">IFERROR(INDEX('Retirement Calculator'!J:J,MATCH('Isaac 401k'!N2373,'Retirement Calculator'!A:A,0),0),0)</f>
        <v>0</v>
      </c>
      <c r="K2373" s="444">
        <f t="shared" ca="1" si="146"/>
        <v>-22281430.331104103</v>
      </c>
      <c r="L2373" s="444">
        <f t="shared" ca="1" si="147"/>
        <v>-5369824709.7960892</v>
      </c>
      <c r="M2373" s="460">
        <f t="shared" si="149"/>
        <v>0.05</v>
      </c>
      <c r="N2373" s="464">
        <f t="shared" si="150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48"/>
        <v>-5369824709.7960892</v>
      </c>
      <c r="J2374" s="444">
        <f t="array" ref="J2374">IFERROR(INDEX('Retirement Calculator'!J:J,MATCH('Isaac 401k'!N2374,'Retirement Calculator'!A:A,0),0),0)</f>
        <v>0</v>
      </c>
      <c r="K2374" s="444">
        <f t="shared" ca="1" si="146"/>
        <v>-22374269.624150373</v>
      </c>
      <c r="L2374" s="444">
        <f t="shared" ca="1" si="147"/>
        <v>-5392198979.4202394</v>
      </c>
      <c r="M2374" s="460">
        <f t="shared" si="149"/>
        <v>0.05</v>
      </c>
      <c r="N2374" s="464">
        <f t="shared" si="150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48"/>
        <v>-5392198979.4202394</v>
      </c>
      <c r="J2375" s="444">
        <f t="array" ref="J2375">IFERROR(INDEX('Retirement Calculator'!J:J,MATCH('Isaac 401k'!N2375,'Retirement Calculator'!A:A,0),0),0)</f>
        <v>0</v>
      </c>
      <c r="K2375" s="444">
        <f t="shared" ca="1" si="146"/>
        <v>-22467495.747584332</v>
      </c>
      <c r="L2375" s="444">
        <f t="shared" ca="1" si="147"/>
        <v>-5414666475.1678238</v>
      </c>
      <c r="M2375" s="460">
        <f t="shared" si="149"/>
        <v>0.05</v>
      </c>
      <c r="N2375" s="464">
        <f t="shared" si="150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48"/>
        <v>-5414666475.1678238</v>
      </c>
      <c r="J2376" s="444">
        <f t="array" ref="J2376">IFERROR(INDEX('Retirement Calculator'!J:J,MATCH('Isaac 401k'!N2376,'Retirement Calculator'!A:A,0),0),0)</f>
        <v>0</v>
      </c>
      <c r="K2376" s="444">
        <f t="shared" ca="1" si="146"/>
        <v>-22561110.313199267</v>
      </c>
      <c r="L2376" s="444">
        <f t="shared" ca="1" si="147"/>
        <v>-5437227585.4810228</v>
      </c>
      <c r="M2376" s="460">
        <f t="shared" si="149"/>
        <v>0.05</v>
      </c>
      <c r="N2376" s="464">
        <f t="shared" si="150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48"/>
        <v>-5437227585.4810228</v>
      </c>
      <c r="J2377" s="444">
        <f t="array" ref="J2377">IFERROR(INDEX('Retirement Calculator'!J:J,MATCH('Isaac 401k'!N2377,'Retirement Calculator'!A:A,0),0),0)</f>
        <v>0</v>
      </c>
      <c r="K2377" s="444">
        <f t="shared" ca="1" si="146"/>
        <v>-22655114.939504262</v>
      </c>
      <c r="L2377" s="444">
        <f t="shared" ca="1" si="147"/>
        <v>-5459882700.4205275</v>
      </c>
      <c r="M2377" s="460">
        <f t="shared" si="149"/>
        <v>0.05</v>
      </c>
      <c r="N2377" s="464">
        <f t="shared" si="150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48"/>
        <v>-5459882700.4205275</v>
      </c>
      <c r="J2378" s="444">
        <f t="array" ref="J2378">IFERROR(INDEX('Retirement Calculator'!J:J,MATCH('Isaac 401k'!N2378,'Retirement Calculator'!A:A,0),0),0)</f>
        <v>0</v>
      </c>
      <c r="K2378" s="444">
        <f t="shared" ca="1" si="146"/>
        <v>-22749511.251752198</v>
      </c>
      <c r="L2378" s="444">
        <f t="shared" ca="1" si="147"/>
        <v>-5482632211.6722794</v>
      </c>
      <c r="M2378" s="460">
        <f t="shared" si="149"/>
        <v>0.05</v>
      </c>
      <c r="N2378" s="464">
        <f t="shared" si="150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48"/>
        <v>-5482632211.6722794</v>
      </c>
      <c r="J2379" s="444">
        <f t="array" ref="J2379">IFERROR(INDEX('Retirement Calculator'!J:J,MATCH('Isaac 401k'!N2379,'Retirement Calculator'!A:A,0),0),0)</f>
        <v>0</v>
      </c>
      <c r="K2379" s="444">
        <f t="shared" ca="1" si="146"/>
        <v>-22844300.881967831</v>
      </c>
      <c r="L2379" s="444">
        <f t="shared" ca="1" si="147"/>
        <v>-5505476512.5542469</v>
      </c>
      <c r="M2379" s="460">
        <f t="shared" si="149"/>
        <v>0.05</v>
      </c>
      <c r="N2379" s="464">
        <f t="shared" si="150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48"/>
        <v>-5505476512.5542469</v>
      </c>
      <c r="J2380" s="444">
        <f t="array" ref="J2380">IFERROR(INDEX('Retirement Calculator'!J:J,MATCH('Isaac 401k'!N2380,'Retirement Calculator'!A:A,0),0),0)</f>
        <v>0</v>
      </c>
      <c r="K2380" s="444">
        <f t="shared" ca="1" si="146"/>
        <v>-22939485.468976028</v>
      </c>
      <c r="L2380" s="444">
        <f t="shared" ca="1" si="147"/>
        <v>-5528415998.0232229</v>
      </c>
      <c r="M2380" s="460">
        <f t="shared" si="149"/>
        <v>0.05</v>
      </c>
      <c r="N2380" s="464">
        <f t="shared" si="150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48"/>
        <v>-5528415998.0232229</v>
      </c>
      <c r="J2381" s="444">
        <f t="array" ref="J2381">IFERROR(INDEX('Retirement Calculator'!J:J,MATCH('Isaac 401k'!N2381,'Retirement Calculator'!A:A,0),0),0)</f>
        <v>0</v>
      </c>
      <c r="K2381" s="444">
        <f t="shared" ca="1" si="146"/>
        <v>-23035066.658430096</v>
      </c>
      <c r="L2381" s="444">
        <f t="shared" ca="1" si="147"/>
        <v>-5551451064.681653</v>
      </c>
      <c r="M2381" s="460">
        <f t="shared" si="149"/>
        <v>0.05</v>
      </c>
      <c r="N2381" s="464">
        <f t="shared" si="150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48"/>
        <v>-5551451064.681653</v>
      </c>
      <c r="J2382" s="444">
        <f t="array" ref="J2382">IFERROR(INDEX('Retirement Calculator'!J:J,MATCH('Isaac 401k'!N2382,'Retirement Calculator'!A:A,0),0),0)</f>
        <v>0</v>
      </c>
      <c r="K2382" s="444">
        <f t="shared" ca="1" si="146"/>
        <v>-23131046.102840222</v>
      </c>
      <c r="L2382" s="444">
        <f t="shared" ca="1" si="147"/>
        <v>-5574582110.7844934</v>
      </c>
      <c r="M2382" s="460">
        <f t="shared" si="149"/>
        <v>0.05</v>
      </c>
      <c r="N2382" s="464">
        <f t="shared" si="150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48"/>
        <v>-5574582110.7844934</v>
      </c>
      <c r="J2383" s="444">
        <f t="array" ref="J2383">IFERROR(INDEX('Retirement Calculator'!J:J,MATCH('Isaac 401k'!N2383,'Retirement Calculator'!A:A,0),0),0)</f>
        <v>0</v>
      </c>
      <c r="K2383" s="444">
        <f t="shared" ca="1" si="146"/>
        <v>-23227425.461602055</v>
      </c>
      <c r="L2383" s="444">
        <f t="shared" ca="1" si="147"/>
        <v>-5597809536.2460957</v>
      </c>
      <c r="M2383" s="460">
        <f t="shared" si="149"/>
        <v>0.05</v>
      </c>
      <c r="N2383" s="464">
        <f t="shared" si="150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48"/>
        <v>-5597809536.2460957</v>
      </c>
      <c r="J2384" s="444">
        <f t="array" ref="J2384">IFERROR(INDEX('Retirement Calculator'!J:J,MATCH('Isaac 401k'!N2384,'Retirement Calculator'!A:A,0),0),0)</f>
        <v>0</v>
      </c>
      <c r="K2384" s="444">
        <f t="shared" ca="1" si="146"/>
        <v>-23324206.4010254</v>
      </c>
      <c r="L2384" s="444">
        <f t="shared" ca="1" si="147"/>
        <v>-5621133742.6471214</v>
      </c>
      <c r="M2384" s="460">
        <f t="shared" si="149"/>
        <v>0.05</v>
      </c>
      <c r="N2384" s="464">
        <f t="shared" si="150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48"/>
        <v>-5621133742.6471214</v>
      </c>
      <c r="J2385" s="444">
        <f t="array" ref="J2385">IFERROR(INDEX('Retirement Calculator'!J:J,MATCH('Isaac 401k'!N2385,'Retirement Calculator'!A:A,0),0),0)</f>
        <v>0</v>
      </c>
      <c r="K2385" s="444">
        <f t="shared" ca="1" si="146"/>
        <v>-23421390.594363004</v>
      </c>
      <c r="L2385" s="444">
        <f t="shared" ca="1" si="147"/>
        <v>-5644555133.2414846</v>
      </c>
      <c r="M2385" s="460">
        <f t="shared" si="149"/>
        <v>0.05</v>
      </c>
      <c r="N2385" s="464">
        <f t="shared" si="150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48"/>
        <v>-5644555133.2414846</v>
      </c>
      <c r="J2386" s="444">
        <f t="array" ref="J2386">IFERROR(INDEX('Retirement Calculator'!J:J,MATCH('Isaac 401k'!N2386,'Retirement Calculator'!A:A,0),0),0)</f>
        <v>0</v>
      </c>
      <c r="K2386" s="444">
        <f t="shared" ca="1" si="146"/>
        <v>-23518979.721839517</v>
      </c>
      <c r="L2386" s="444">
        <f t="shared" ca="1" si="147"/>
        <v>-5668074112.9633245</v>
      </c>
      <c r="M2386" s="460">
        <f t="shared" si="149"/>
        <v>0.05</v>
      </c>
      <c r="N2386" s="464">
        <f t="shared" si="150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48"/>
        <v>-5668074112.9633245</v>
      </c>
      <c r="J2387" s="444">
        <f t="array" ref="J2387">IFERROR(INDEX('Retirement Calculator'!J:J,MATCH('Isaac 401k'!N2387,'Retirement Calculator'!A:A,0),0),0)</f>
        <v>0</v>
      </c>
      <c r="K2387" s="444">
        <f t="shared" ca="1" si="146"/>
        <v>-23616975.47068052</v>
      </c>
      <c r="L2387" s="444">
        <f t="shared" ca="1" si="147"/>
        <v>-5691691088.4340048</v>
      </c>
      <c r="M2387" s="460">
        <f t="shared" si="149"/>
        <v>0.05</v>
      </c>
      <c r="N2387" s="464">
        <f t="shared" si="150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48"/>
        <v>-5691691088.4340048</v>
      </c>
      <c r="J2388" s="444">
        <f t="array" ref="J2388">IFERROR(INDEX('Retirement Calculator'!J:J,MATCH('Isaac 401k'!N2388,'Retirement Calculator'!A:A,0),0),0)</f>
        <v>0</v>
      </c>
      <c r="K2388" s="444">
        <f t="shared" ca="1" si="146"/>
        <v>-23715379.535141688</v>
      </c>
      <c r="L2388" s="444">
        <f t="shared" ca="1" si="147"/>
        <v>-5715406467.9691467</v>
      </c>
      <c r="M2388" s="460">
        <f t="shared" si="149"/>
        <v>0.05</v>
      </c>
      <c r="N2388" s="464">
        <f t="shared" si="150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48"/>
        <v>-5715406467.9691467</v>
      </c>
      <c r="J2389" s="444">
        <f t="array" ref="J2389">IFERROR(INDEX('Retirement Calculator'!J:J,MATCH('Isaac 401k'!N2389,'Retirement Calculator'!A:A,0),0),0)</f>
        <v>0</v>
      </c>
      <c r="K2389" s="444">
        <f t="shared" ca="1" si="146"/>
        <v>-23814193.616538111</v>
      </c>
      <c r="L2389" s="444">
        <f t="shared" ca="1" si="147"/>
        <v>-5739220661.5856848</v>
      </c>
      <c r="M2389" s="460">
        <f t="shared" si="149"/>
        <v>0.05</v>
      </c>
      <c r="N2389" s="464">
        <f t="shared" si="150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48"/>
        <v>-5739220661.5856848</v>
      </c>
      <c r="J2390" s="444">
        <f t="array" ref="J2390">IFERROR(INDEX('Retirement Calculator'!J:J,MATCH('Isaac 401k'!N2390,'Retirement Calculator'!A:A,0),0),0)</f>
        <v>0</v>
      </c>
      <c r="K2390" s="444">
        <f t="shared" ca="1" si="146"/>
        <v>-23913419.423273686</v>
      </c>
      <c r="L2390" s="444">
        <f t="shared" ca="1" si="147"/>
        <v>-5763134081.0089588</v>
      </c>
      <c r="M2390" s="460">
        <f t="shared" si="149"/>
        <v>0.05</v>
      </c>
      <c r="N2390" s="464">
        <f t="shared" si="150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48"/>
        <v>-5763134081.0089588</v>
      </c>
      <c r="J2391" s="444">
        <f t="array" ref="J2391">IFERROR(INDEX('Retirement Calculator'!J:J,MATCH('Isaac 401k'!N2391,'Retirement Calculator'!A:A,0),0),0)</f>
        <v>0</v>
      </c>
      <c r="K2391" s="444">
        <f t="shared" ca="1" si="146"/>
        <v>-24013058.670870662</v>
      </c>
      <c r="L2391" s="444">
        <f t="shared" ca="1" si="147"/>
        <v>-5787147139.6798296</v>
      </c>
      <c r="M2391" s="460">
        <f t="shared" si="149"/>
        <v>0.05</v>
      </c>
      <c r="N2391" s="464">
        <f t="shared" si="150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48"/>
        <v>-5787147139.6798296</v>
      </c>
      <c r="J2392" s="444">
        <f t="array" ref="J2392">IFERROR(INDEX('Retirement Calculator'!J:J,MATCH('Isaac 401k'!N2392,'Retirement Calculator'!A:A,0),0),0)</f>
        <v>0</v>
      </c>
      <c r="K2392" s="444">
        <f t="shared" ca="1" si="146"/>
        <v>-24113113.081999291</v>
      </c>
      <c r="L2392" s="444">
        <f t="shared" ca="1" si="147"/>
        <v>-5811260252.7618284</v>
      </c>
      <c r="M2392" s="460">
        <f t="shared" si="149"/>
        <v>0.05</v>
      </c>
      <c r="N2392" s="464">
        <f t="shared" si="150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48"/>
        <v>-5811260252.7618284</v>
      </c>
      <c r="J2393" s="444">
        <f t="array" ref="J2393">IFERROR(INDEX('Retirement Calculator'!J:J,MATCH('Isaac 401k'!N2393,'Retirement Calculator'!A:A,0),0),0)</f>
        <v>0</v>
      </c>
      <c r="K2393" s="444">
        <f t="shared" ca="1" si="146"/>
        <v>-24213584.386507619</v>
      </c>
      <c r="L2393" s="444">
        <f t="shared" ca="1" si="147"/>
        <v>-5835473837.1483364</v>
      </c>
      <c r="M2393" s="460">
        <f t="shared" si="149"/>
        <v>0.05</v>
      </c>
      <c r="N2393" s="464">
        <f t="shared" si="150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48"/>
        <v>-5835473837.1483364</v>
      </c>
      <c r="J2394" s="444">
        <f t="array" ref="J2394">IFERROR(INDEX('Retirement Calculator'!J:J,MATCH('Isaac 401k'!N2394,'Retirement Calculator'!A:A,0),0),0)</f>
        <v>0</v>
      </c>
      <c r="K2394" s="444">
        <f t="shared" ca="1" si="146"/>
        <v>-24314474.321451403</v>
      </c>
      <c r="L2394" s="444">
        <f t="shared" ca="1" si="147"/>
        <v>-5859788311.4697876</v>
      </c>
      <c r="M2394" s="460">
        <f t="shared" si="149"/>
        <v>0.05</v>
      </c>
      <c r="N2394" s="464">
        <f t="shared" si="150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48"/>
        <v>-5859788311.4697876</v>
      </c>
      <c r="J2395" s="444">
        <f t="array" ref="J2395">IFERROR(INDEX('Retirement Calculator'!J:J,MATCH('Isaac 401k'!N2395,'Retirement Calculator'!A:A,0),0),0)</f>
        <v>0</v>
      </c>
      <c r="K2395" s="444">
        <f t="shared" ca="1" si="146"/>
        <v>-24415784.631124116</v>
      </c>
      <c r="L2395" s="444">
        <f t="shared" ca="1" si="147"/>
        <v>-5884204096.1009121</v>
      </c>
      <c r="M2395" s="460">
        <f t="shared" si="149"/>
        <v>0.05</v>
      </c>
      <c r="N2395" s="464">
        <f t="shared" si="150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48"/>
        <v>-5884204096.1009121</v>
      </c>
      <c r="J2396" s="444">
        <f t="array" ref="J2396">IFERROR(INDEX('Retirement Calculator'!J:J,MATCH('Isaac 401k'!N2396,'Retirement Calculator'!A:A,0),0),0)</f>
        <v>0</v>
      </c>
      <c r="K2396" s="444">
        <f t="shared" ca="1" si="146"/>
        <v>-24517517.067087132</v>
      </c>
      <c r="L2396" s="444">
        <f t="shared" ca="1" si="147"/>
        <v>-5908721613.1679993</v>
      </c>
      <c r="M2396" s="460">
        <f t="shared" si="149"/>
        <v>0.05</v>
      </c>
      <c r="N2396" s="464">
        <f t="shared" si="150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48"/>
        <v>-5908721613.1679993</v>
      </c>
      <c r="J2397" s="444">
        <f t="array" ref="J2397">IFERROR(INDEX('Retirement Calculator'!J:J,MATCH('Isaac 401k'!N2397,'Retirement Calculator'!A:A,0),0),0)</f>
        <v>0</v>
      </c>
      <c r="K2397" s="444">
        <f t="shared" ca="1" si="146"/>
        <v>-24619673.388199996</v>
      </c>
      <c r="L2397" s="444">
        <f t="shared" ca="1" si="147"/>
        <v>-5933341286.5561991</v>
      </c>
      <c r="M2397" s="460">
        <f t="shared" si="149"/>
        <v>0.05</v>
      </c>
      <c r="N2397" s="464">
        <f t="shared" si="150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48"/>
        <v>-5933341286.5561991</v>
      </c>
      <c r="J2398" s="444">
        <f t="array" ref="J2398">IFERROR(INDEX('Retirement Calculator'!J:J,MATCH('Isaac 401k'!N2398,'Retirement Calculator'!A:A,0),0),0)</f>
        <v>0</v>
      </c>
      <c r="K2398" s="444">
        <f t="shared" ca="1" si="146"/>
        <v>-24722255.36065083</v>
      </c>
      <c r="L2398" s="444">
        <f t="shared" ca="1" si="147"/>
        <v>-5958063541.9168501</v>
      </c>
      <c r="M2398" s="460">
        <f t="shared" si="149"/>
        <v>0.05</v>
      </c>
      <c r="N2398" s="464">
        <f t="shared" si="150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48"/>
        <v>-5958063541.9168501</v>
      </c>
      <c r="J2399" s="444">
        <f t="array" ref="J2399">IFERROR(INDEX('Retirement Calculator'!J:J,MATCH('Isaac 401k'!N2399,'Retirement Calculator'!A:A,0),0),0)</f>
        <v>0</v>
      </c>
      <c r="K2399" s="444">
        <f t="shared" ca="1" si="146"/>
        <v>-24825264.757986873</v>
      </c>
      <c r="L2399" s="444">
        <f t="shared" ca="1" si="147"/>
        <v>-5982888806.6748371</v>
      </c>
      <c r="M2399" s="460">
        <f t="shared" si="149"/>
        <v>0.05</v>
      </c>
      <c r="N2399" s="464">
        <f t="shared" si="150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48"/>
        <v>-5982888806.6748371</v>
      </c>
      <c r="J2400" s="444">
        <f t="array" ref="J2400">IFERROR(INDEX('Retirement Calculator'!J:J,MATCH('Isaac 401k'!N2400,'Retirement Calculator'!A:A,0),0),0)</f>
        <v>0</v>
      </c>
      <c r="K2400" s="444">
        <f t="shared" ca="1" si="146"/>
        <v>-24928703.361145154</v>
      </c>
      <c r="L2400" s="444">
        <f t="shared" ca="1" si="147"/>
        <v>-6007817510.0359821</v>
      </c>
      <c r="M2400" s="460">
        <f t="shared" si="149"/>
        <v>0.05</v>
      </c>
      <c r="N2400" s="464">
        <f t="shared" si="150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48"/>
        <v>-6007817510.0359821</v>
      </c>
      <c r="J2401" s="444">
        <f t="array" ref="J2401">IFERROR(INDEX('Retirement Calculator'!J:J,MATCH('Isaac 401k'!N2401,'Retirement Calculator'!A:A,0),0),0)</f>
        <v>0</v>
      </c>
      <c r="K2401" s="444">
        <f t="shared" ca="1" si="146"/>
        <v>-25032572.95848326</v>
      </c>
      <c r="L2401" s="444">
        <f t="shared" ca="1" si="147"/>
        <v>-6032850082.9944658</v>
      </c>
      <c r="M2401" s="460">
        <f t="shared" si="149"/>
        <v>0.05</v>
      </c>
      <c r="N2401" s="464">
        <f t="shared" si="150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48"/>
        <v>-6032850082.9944658</v>
      </c>
      <c r="J2402" s="444">
        <f t="array" ref="J2402">IFERROR(INDEX('Retirement Calculator'!J:J,MATCH('Isaac 401k'!N2402,'Retirement Calculator'!A:A,0),0),0)</f>
        <v>0</v>
      </c>
      <c r="K2402" s="444">
        <f t="shared" ca="1" si="146"/>
        <v>-25136875.345810276</v>
      </c>
      <c r="L2402" s="444">
        <f t="shared" ca="1" si="147"/>
        <v>-6057986958.3402758</v>
      </c>
      <c r="M2402" s="460">
        <f t="shared" si="149"/>
        <v>0.05</v>
      </c>
      <c r="N2402" s="464">
        <f t="shared" si="150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48"/>
        <v>-6057986958.3402758</v>
      </c>
      <c r="J2403" s="444">
        <f t="array" ref="J2403">IFERROR(INDEX('Retirement Calculator'!J:J,MATCH('Isaac 401k'!N2403,'Retirement Calculator'!A:A,0),0),0)</f>
        <v>0</v>
      </c>
      <c r="K2403" s="444">
        <f t="shared" ca="1" si="146"/>
        <v>-25241612.326417815</v>
      </c>
      <c r="L2403" s="444">
        <f t="shared" ca="1" si="147"/>
        <v>-6083228570.6666937</v>
      </c>
      <c r="M2403" s="460">
        <f t="shared" si="149"/>
        <v>0.05</v>
      </c>
      <c r="N2403" s="464">
        <f t="shared" si="150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48"/>
        <v>-6083228570.6666937</v>
      </c>
      <c r="J2404" s="444">
        <f t="array" ref="J2404">IFERROR(INDEX('Retirement Calculator'!J:J,MATCH('Isaac 401k'!N2404,'Retirement Calculator'!A:A,0),0),0)</f>
        <v>0</v>
      </c>
      <c r="K2404" s="444">
        <f t="shared" ca="1" si="146"/>
        <v>-25346785.711111225</v>
      </c>
      <c r="L2404" s="444">
        <f t="shared" ca="1" si="147"/>
        <v>-6108575356.3778048</v>
      </c>
      <c r="M2404" s="460">
        <f t="shared" si="149"/>
        <v>0.05</v>
      </c>
      <c r="N2404" s="464">
        <f t="shared" si="150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48"/>
        <v>-6108575356.3778048</v>
      </c>
      <c r="J2405" s="444">
        <f t="array" ref="J2405">IFERROR(INDEX('Retirement Calculator'!J:J,MATCH('Isaac 401k'!N2405,'Retirement Calculator'!A:A,0),0),0)</f>
        <v>0</v>
      </c>
      <c r="K2405" s="444">
        <f t="shared" ca="1" si="146"/>
        <v>-25452397.318240851</v>
      </c>
      <c r="L2405" s="444">
        <f t="shared" ca="1" si="147"/>
        <v>-6134027753.6960459</v>
      </c>
      <c r="M2405" s="460">
        <f t="shared" si="149"/>
        <v>0.05</v>
      </c>
      <c r="N2405" s="464">
        <f t="shared" si="150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48"/>
        <v>-6134027753.6960459</v>
      </c>
      <c r="J2406" s="444">
        <f t="array" ref="J2406">IFERROR(INDEX('Retirement Calculator'!J:J,MATCH('Isaac 401k'!N2406,'Retirement Calculator'!A:A,0),0),0)</f>
        <v>0</v>
      </c>
      <c r="K2406" s="444">
        <f t="shared" ca="1" si="146"/>
        <v>-25558448.973733526</v>
      </c>
      <c r="L2406" s="444">
        <f t="shared" ca="1" si="147"/>
        <v>-6159586202.6697798</v>
      </c>
      <c r="M2406" s="460">
        <f t="shared" si="149"/>
        <v>0.05</v>
      </c>
      <c r="N2406" s="464">
        <f t="shared" si="150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48"/>
        <v>-6159586202.6697798</v>
      </c>
      <c r="J2407" s="444">
        <f t="array" ref="J2407">IFERROR(INDEX('Retirement Calculator'!J:J,MATCH('Isaac 401k'!N2407,'Retirement Calculator'!A:A,0),0),0)</f>
        <v>0</v>
      </c>
      <c r="K2407" s="444">
        <f t="shared" ca="1" si="146"/>
        <v>-25664942.511124082</v>
      </c>
      <c r="L2407" s="444">
        <f t="shared" ca="1" si="147"/>
        <v>-6185251145.1809034</v>
      </c>
      <c r="M2407" s="460">
        <f t="shared" si="149"/>
        <v>0.05</v>
      </c>
      <c r="N2407" s="464">
        <f t="shared" si="150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48"/>
        <v>-6185251145.1809034</v>
      </c>
      <c r="J2408" s="444">
        <f t="array" ref="J2408">IFERROR(INDEX('Retirement Calculator'!J:J,MATCH('Isaac 401k'!N2408,'Retirement Calculator'!A:A,0),0),0)</f>
        <v>0</v>
      </c>
      <c r="K2408" s="444">
        <f t="shared" ca="1" si="146"/>
        <v>-25771879.771587096</v>
      </c>
      <c r="L2408" s="444">
        <f t="shared" ca="1" si="147"/>
        <v>-6211023024.9524908</v>
      </c>
      <c r="M2408" s="460">
        <f t="shared" si="149"/>
        <v>0.05</v>
      </c>
      <c r="N2408" s="464">
        <f t="shared" si="150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48"/>
        <v>-6211023024.9524908</v>
      </c>
      <c r="J2409" s="444">
        <f t="array" ref="J2409">IFERROR(INDEX('Retirement Calculator'!J:J,MATCH('Isaac 401k'!N2409,'Retirement Calculator'!A:A,0),0),0)</f>
        <v>0</v>
      </c>
      <c r="K2409" s="444">
        <f t="shared" ca="1" si="146"/>
        <v>-25879262.60396871</v>
      </c>
      <c r="L2409" s="444">
        <f t="shared" ca="1" si="147"/>
        <v>-6236902287.5564594</v>
      </c>
      <c r="M2409" s="460">
        <f t="shared" si="149"/>
        <v>0.05</v>
      </c>
      <c r="N2409" s="464">
        <f t="shared" si="150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48"/>
        <v>-6236902287.5564594</v>
      </c>
      <c r="J2410" s="444">
        <f t="array" ref="J2410">IFERROR(INDEX('Retirement Calculator'!J:J,MATCH('Isaac 401k'!N2410,'Retirement Calculator'!A:A,0),0),0)</f>
        <v>0</v>
      </c>
      <c r="K2410" s="444">
        <f t="shared" ca="1" si="146"/>
        <v>-25987092.86481858</v>
      </c>
      <c r="L2410" s="444">
        <f t="shared" ca="1" si="147"/>
        <v>-6262889380.421278</v>
      </c>
      <c r="M2410" s="460">
        <f t="shared" si="149"/>
        <v>0.05</v>
      </c>
      <c r="N2410" s="464">
        <f t="shared" si="150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48"/>
        <v>-6262889380.421278</v>
      </c>
      <c r="J2411" s="444">
        <f t="array" ref="J2411">IFERROR(INDEX('Retirement Calculator'!J:J,MATCH('Isaac 401k'!N2411,'Retirement Calculator'!A:A,0),0),0)</f>
        <v>0</v>
      </c>
      <c r="K2411" s="444">
        <f t="shared" ca="1" si="146"/>
        <v>-26095372.418421991</v>
      </c>
      <c r="L2411" s="444">
        <f t="shared" ca="1" si="147"/>
        <v>-6288984752.8396997</v>
      </c>
      <c r="M2411" s="460">
        <f t="shared" si="149"/>
        <v>0.05</v>
      </c>
      <c r="N2411" s="464">
        <f t="shared" si="150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48"/>
        <v>-6288984752.8396997</v>
      </c>
      <c r="J2412" s="444">
        <f t="array" ref="J2412">IFERROR(INDEX('Retirement Calculator'!J:J,MATCH('Isaac 401k'!N2412,'Retirement Calculator'!A:A,0),0),0)</f>
        <v>0</v>
      </c>
      <c r="K2412" s="444">
        <f t="shared" ca="1" si="146"/>
        <v>-26204103.136832081</v>
      </c>
      <c r="L2412" s="444">
        <f t="shared" ca="1" si="147"/>
        <v>-6315188855.976532</v>
      </c>
      <c r="M2412" s="460">
        <f t="shared" si="149"/>
        <v>0.05</v>
      </c>
      <c r="N2412" s="464">
        <f t="shared" si="150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48"/>
        <v>-6315188855.976532</v>
      </c>
      <c r="J2413" s="444">
        <f t="array" ref="J2413">IFERROR(INDEX('Retirement Calculator'!J:J,MATCH('Isaac 401k'!N2413,'Retirement Calculator'!A:A,0),0),0)</f>
        <v>0</v>
      </c>
      <c r="K2413" s="444">
        <f t="shared" ca="1" si="146"/>
        <v>-26313286.899902217</v>
      </c>
      <c r="L2413" s="444">
        <f t="shared" ca="1" si="147"/>
        <v>-6341502142.8764343</v>
      </c>
      <c r="M2413" s="460">
        <f t="shared" si="149"/>
        <v>0.05</v>
      </c>
      <c r="N2413" s="464">
        <f t="shared" si="150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48"/>
        <v>-6341502142.8764343</v>
      </c>
      <c r="J2414" s="444">
        <f t="array" ref="J2414">IFERROR(INDEX('Retirement Calculator'!J:J,MATCH('Isaac 401k'!N2414,'Retirement Calculator'!A:A,0),0),0)</f>
        <v>0</v>
      </c>
      <c r="K2414" s="444">
        <f t="shared" ca="1" si="146"/>
        <v>-26422925.595318478</v>
      </c>
      <c r="L2414" s="444">
        <f t="shared" ca="1" si="147"/>
        <v>-6367925068.4717531</v>
      </c>
      <c r="M2414" s="460">
        <f t="shared" si="149"/>
        <v>0.05</v>
      </c>
      <c r="N2414" s="464">
        <f t="shared" si="150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48"/>
        <v>-6367925068.4717531</v>
      </c>
      <c r="J2415" s="444">
        <f t="array" ref="J2415">IFERROR(INDEX('Retirement Calculator'!J:J,MATCH('Isaac 401k'!N2415,'Retirement Calculator'!A:A,0),0),0)</f>
        <v>0</v>
      </c>
      <c r="K2415" s="444">
        <f t="shared" ca="1" si="146"/>
        <v>-26533021.118632305</v>
      </c>
      <c r="L2415" s="444">
        <f t="shared" ca="1" si="147"/>
        <v>-6394458089.5903854</v>
      </c>
      <c r="M2415" s="460">
        <f t="shared" si="149"/>
        <v>0.05</v>
      </c>
      <c r="N2415" s="464">
        <f t="shared" si="150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48"/>
        <v>-6394458089.5903854</v>
      </c>
      <c r="J2416" s="444">
        <f t="array" ref="J2416">IFERROR(INDEX('Retirement Calculator'!J:J,MATCH('Isaac 401k'!N2416,'Retirement Calculator'!A:A,0),0),0)</f>
        <v>0</v>
      </c>
      <c r="K2416" s="444">
        <f t="shared" ca="1" si="146"/>
        <v>-26643575.373293273</v>
      </c>
      <c r="L2416" s="444">
        <f t="shared" ca="1" si="147"/>
        <v>-6421101664.9636784</v>
      </c>
      <c r="M2416" s="460">
        <f t="shared" si="149"/>
        <v>0.05</v>
      </c>
      <c r="N2416" s="464">
        <f t="shared" si="150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48"/>
        <v>-6421101664.9636784</v>
      </c>
      <c r="J2417" s="444">
        <f t="array" ref="J2417">IFERROR(INDEX('Retirement Calculator'!J:J,MATCH('Isaac 401k'!N2417,'Retirement Calculator'!A:A,0),0),0)</f>
        <v>0</v>
      </c>
      <c r="K2417" s="444">
        <f t="shared" ca="1" si="146"/>
        <v>-26754590.270681992</v>
      </c>
      <c r="L2417" s="444">
        <f t="shared" ca="1" si="147"/>
        <v>-6447856255.2343607</v>
      </c>
      <c r="M2417" s="460">
        <f t="shared" si="149"/>
        <v>0.05</v>
      </c>
      <c r="N2417" s="464">
        <f t="shared" si="150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48"/>
        <v>-6447856255.2343607</v>
      </c>
      <c r="J2418" s="444">
        <f t="array" ref="J2418">IFERROR(INDEX('Retirement Calculator'!J:J,MATCH('Isaac 401k'!N2418,'Retirement Calculator'!A:A,0),0),0)</f>
        <v>0</v>
      </c>
      <c r="K2418" s="444">
        <f t="shared" ca="1" si="146"/>
        <v>-26866067.730143171</v>
      </c>
      <c r="L2418" s="444">
        <f t="shared" ca="1" si="147"/>
        <v>-6474722322.9645042</v>
      </c>
      <c r="M2418" s="460">
        <f t="shared" si="149"/>
        <v>0.05</v>
      </c>
      <c r="N2418" s="464">
        <f t="shared" si="150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48"/>
        <v>-6474722322.9645042</v>
      </c>
      <c r="J2419" s="444">
        <f t="array" ref="J2419">IFERROR(INDEX('Retirement Calculator'!J:J,MATCH('Isaac 401k'!N2419,'Retirement Calculator'!A:A,0),0),0)</f>
        <v>0</v>
      </c>
      <c r="K2419" s="444">
        <f t="shared" ca="1" si="146"/>
        <v>-26978009.679018766</v>
      </c>
      <c r="L2419" s="444">
        <f t="shared" ca="1" si="147"/>
        <v>-6501700332.6435232</v>
      </c>
      <c r="M2419" s="460">
        <f t="shared" si="149"/>
        <v>0.05</v>
      </c>
      <c r="N2419" s="464">
        <f t="shared" si="150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48"/>
        <v>-6501700332.6435232</v>
      </c>
      <c r="J2420" s="444">
        <f t="array" ref="J2420">IFERROR(INDEX('Retirement Calculator'!J:J,MATCH('Isaac 401k'!N2420,'Retirement Calculator'!A:A,0),0),0)</f>
        <v>0</v>
      </c>
      <c r="K2420" s="444">
        <f t="shared" ca="1" si="146"/>
        <v>-27090418.052681345</v>
      </c>
      <c r="L2420" s="444">
        <f t="shared" ca="1" si="147"/>
        <v>-6528790750.6962042</v>
      </c>
      <c r="M2420" s="460">
        <f t="shared" si="149"/>
        <v>0.05</v>
      </c>
      <c r="N2420" s="464">
        <f t="shared" si="150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48"/>
        <v>-6528790750.6962042</v>
      </c>
      <c r="J2421" s="444">
        <f t="array" ref="J2421">IFERROR(INDEX('Retirement Calculator'!J:J,MATCH('Isaac 401k'!N2421,'Retirement Calculator'!A:A,0),0),0)</f>
        <v>0</v>
      </c>
      <c r="K2421" s="444">
        <f t="shared" ca="1" si="146"/>
        <v>-27203294.794567518</v>
      </c>
      <c r="L2421" s="444">
        <f t="shared" ca="1" si="147"/>
        <v>-6555994045.4907713</v>
      </c>
      <c r="M2421" s="460">
        <f t="shared" si="149"/>
        <v>0.05</v>
      </c>
      <c r="N2421" s="464">
        <f t="shared" si="150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48"/>
        <v>-6555994045.4907713</v>
      </c>
      <c r="J2422" s="444">
        <f t="array" ref="J2422">IFERROR(INDEX('Retirement Calculator'!J:J,MATCH('Isaac 401k'!N2422,'Retirement Calculator'!A:A,0),0),0)</f>
        <v>0</v>
      </c>
      <c r="K2422" s="444">
        <f t="shared" ca="1" si="146"/>
        <v>-27316641.856211547</v>
      </c>
      <c r="L2422" s="444">
        <f t="shared" ca="1" si="147"/>
        <v>-6583310687.346983</v>
      </c>
      <c r="M2422" s="460">
        <f t="shared" si="149"/>
        <v>0.05</v>
      </c>
      <c r="N2422" s="464">
        <f t="shared" si="150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48"/>
        <v>-6583310687.346983</v>
      </c>
      <c r="J2423" s="444">
        <f t="array" ref="J2423">IFERROR(INDEX('Retirement Calculator'!J:J,MATCH('Isaac 401k'!N2423,'Retirement Calculator'!A:A,0),0),0)</f>
        <v>0</v>
      </c>
      <c r="K2423" s="444">
        <f t="shared" ca="1" si="146"/>
        <v>-27430461.197279096</v>
      </c>
      <c r="L2423" s="444">
        <f t="shared" ca="1" si="147"/>
        <v>-6610741148.5442619</v>
      </c>
      <c r="M2423" s="460">
        <f t="shared" si="149"/>
        <v>0.05</v>
      </c>
      <c r="N2423" s="464">
        <f t="shared" si="150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48"/>
        <v>-6610741148.5442619</v>
      </c>
      <c r="J2424" s="444">
        <f t="array" ref="J2424">IFERROR(INDEX('Retirement Calculator'!J:J,MATCH('Isaac 401k'!N2424,'Retirement Calculator'!A:A,0),0),0)</f>
        <v>0</v>
      </c>
      <c r="K2424" s="444">
        <f t="shared" ca="1" si="146"/>
        <v>-27544754.785601091</v>
      </c>
      <c r="L2424" s="444">
        <f t="shared" ca="1" si="147"/>
        <v>-6638285903.3298626</v>
      </c>
      <c r="M2424" s="460">
        <f t="shared" si="149"/>
        <v>0.05</v>
      </c>
      <c r="N2424" s="464">
        <f t="shared" si="150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48"/>
        <v>-6638285903.3298626</v>
      </c>
      <c r="J2425" s="444">
        <f t="array" ref="J2425">IFERROR(INDEX('Retirement Calculator'!J:J,MATCH('Isaac 401k'!N2425,'Retirement Calculator'!A:A,0),0),0)</f>
        <v>0</v>
      </c>
      <c r="K2425" s="444">
        <f t="shared" ca="1" si="146"/>
        <v>-27659524.597207759</v>
      </c>
      <c r="L2425" s="444">
        <f t="shared" ca="1" si="147"/>
        <v>-6665945427.9270706</v>
      </c>
      <c r="M2425" s="460">
        <f t="shared" si="149"/>
        <v>0.05</v>
      </c>
      <c r="N2425" s="464">
        <f t="shared" si="150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48"/>
        <v>-6665945427.9270706</v>
      </c>
      <c r="J2426" s="444">
        <f t="array" ref="J2426">IFERROR(INDEX('Retirement Calculator'!J:J,MATCH('Isaac 401k'!N2426,'Retirement Calculator'!A:A,0),0),0)</f>
        <v>0</v>
      </c>
      <c r="K2426" s="444">
        <f t="shared" ca="1" si="146"/>
        <v>-27774772.616362795</v>
      </c>
      <c r="L2426" s="444">
        <f t="shared" ca="1" si="147"/>
        <v>-6693720200.5434332</v>
      </c>
      <c r="M2426" s="460">
        <f t="shared" si="149"/>
        <v>0.05</v>
      </c>
      <c r="N2426" s="464">
        <f t="shared" si="150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48"/>
        <v>-6693720200.5434332</v>
      </c>
      <c r="J2427" s="444">
        <f t="array" ref="J2427">IFERROR(INDEX('Retirement Calculator'!J:J,MATCH('Isaac 401k'!N2427,'Retirement Calculator'!A:A,0),0),0)</f>
        <v>0</v>
      </c>
      <c r="K2427" s="444">
        <f t="shared" ca="1" si="146"/>
        <v>-27890500.835597638</v>
      </c>
      <c r="L2427" s="444">
        <f t="shared" ca="1" si="147"/>
        <v>-6721610701.3790312</v>
      </c>
      <c r="M2427" s="460">
        <f t="shared" si="149"/>
        <v>0.05</v>
      </c>
      <c r="N2427" s="464">
        <f t="shared" si="150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48"/>
        <v>-6721610701.3790312</v>
      </c>
      <c r="J2428" s="444">
        <f t="array" ref="J2428">IFERROR(INDEX('Retirement Calculator'!J:J,MATCH('Isaac 401k'!N2428,'Retirement Calculator'!A:A,0),0),0)</f>
        <v>0</v>
      </c>
      <c r="K2428" s="444">
        <f t="shared" ca="1" si="146"/>
        <v>-28006711.255745962</v>
      </c>
      <c r="L2428" s="444">
        <f t="shared" ca="1" si="147"/>
        <v>-6749617412.6347771</v>
      </c>
      <c r="M2428" s="460">
        <f t="shared" si="149"/>
        <v>0.05</v>
      </c>
      <c r="N2428" s="464">
        <f t="shared" si="150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48"/>
        <v>-6749617412.6347771</v>
      </c>
      <c r="J2429" s="444">
        <f t="array" ref="J2429">IFERROR(INDEX('Retirement Calculator'!J:J,MATCH('Isaac 401k'!N2429,'Retirement Calculator'!A:A,0),0),0)</f>
        <v>0</v>
      </c>
      <c r="K2429" s="444">
        <f t="shared" ca="1" si="146"/>
        <v>-28123405.885978237</v>
      </c>
      <c r="L2429" s="444">
        <f t="shared" ca="1" si="147"/>
        <v>-6777740818.5207558</v>
      </c>
      <c r="M2429" s="460">
        <f t="shared" si="149"/>
        <v>0.05</v>
      </c>
      <c r="N2429" s="464">
        <f t="shared" si="150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48"/>
        <v>-6777740818.5207558</v>
      </c>
      <c r="J2430" s="444">
        <f t="array" ref="J2430">IFERROR(INDEX('Retirement Calculator'!J:J,MATCH('Isaac 401k'!N2430,'Retirement Calculator'!A:A,0),0),0)</f>
        <v>0</v>
      </c>
      <c r="K2430" s="444">
        <f t="shared" ca="1" si="146"/>
        <v>-28240586.743836481</v>
      </c>
      <c r="L2430" s="444">
        <f t="shared" ca="1" si="147"/>
        <v>-6805981405.2645922</v>
      </c>
      <c r="M2430" s="460">
        <f t="shared" si="149"/>
        <v>0.05</v>
      </c>
      <c r="N2430" s="464">
        <f t="shared" si="150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48"/>
        <v>-6805981405.2645922</v>
      </c>
      <c r="J2431" s="444">
        <f t="array" ref="J2431">IFERROR(INDEX('Retirement Calculator'!J:J,MATCH('Isaac 401k'!N2431,'Retirement Calculator'!A:A,0),0),0)</f>
        <v>0</v>
      </c>
      <c r="K2431" s="444">
        <f t="shared" ca="1" si="146"/>
        <v>-28358255.855269134</v>
      </c>
      <c r="L2431" s="444">
        <f t="shared" ca="1" si="147"/>
        <v>-6834339661.1198616</v>
      </c>
      <c r="M2431" s="460">
        <f t="shared" si="149"/>
        <v>0.05</v>
      </c>
      <c r="N2431" s="464">
        <f t="shared" si="150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48"/>
        <v>-6834339661.1198616</v>
      </c>
      <c r="J2432" s="444">
        <f t="array" ref="J2432">IFERROR(INDEX('Retirement Calculator'!J:J,MATCH('Isaac 401k'!N2432,'Retirement Calculator'!A:A,0),0),0)</f>
        <v>0</v>
      </c>
      <c r="K2432" s="444">
        <f t="shared" ca="1" si="146"/>
        <v>-28476415.25466609</v>
      </c>
      <c r="L2432" s="444">
        <f t="shared" ca="1" si="147"/>
        <v>-6862816076.3745279</v>
      </c>
      <c r="M2432" s="460">
        <f t="shared" si="149"/>
        <v>0.05</v>
      </c>
      <c r="N2432" s="464">
        <f t="shared" si="150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48"/>
        <v>-6862816076.3745279</v>
      </c>
      <c r="J2433" s="444">
        <f t="array" ref="J2433">IFERROR(INDEX('Retirement Calculator'!J:J,MATCH('Isaac 401k'!N2433,'Retirement Calculator'!A:A,0),0),0)</f>
        <v>0</v>
      </c>
      <c r="K2433" s="444">
        <f t="shared" ca="1" si="146"/>
        <v>-28595066.984893866</v>
      </c>
      <c r="L2433" s="444">
        <f t="shared" ca="1" si="147"/>
        <v>-6891411143.3594217</v>
      </c>
      <c r="M2433" s="460">
        <f t="shared" si="149"/>
        <v>0.05</v>
      </c>
      <c r="N2433" s="464">
        <f t="shared" si="150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48"/>
        <v>-6891411143.3594217</v>
      </c>
      <c r="J2434" s="444">
        <f t="array" ref="J2434">IFERROR(INDEX('Retirement Calculator'!J:J,MATCH('Isaac 401k'!N2434,'Retirement Calculator'!A:A,0),0),0)</f>
        <v>0</v>
      </c>
      <c r="K2434" s="444">
        <f t="shared" ca="1" si="146"/>
        <v>-28714213.097330924</v>
      </c>
      <c r="L2434" s="444">
        <f t="shared" ca="1" si="147"/>
        <v>-6920125356.4567528</v>
      </c>
      <c r="M2434" s="460">
        <f t="shared" si="149"/>
        <v>0.05</v>
      </c>
      <c r="N2434" s="464">
        <f t="shared" si="150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48"/>
        <v>-6920125356.4567528</v>
      </c>
      <c r="J2435" s="444">
        <f t="array" ref="J2435">IFERROR(INDEX('Retirement Calculator'!J:J,MATCH('Isaac 401k'!N2435,'Retirement Calculator'!A:A,0),0),0)</f>
        <v>0</v>
      </c>
      <c r="K2435" s="444">
        <f t="shared" ca="1" si="146"/>
        <v>-28833855.651903138</v>
      </c>
      <c r="L2435" s="444">
        <f t="shared" ca="1" si="147"/>
        <v>-6948959212.1086559</v>
      </c>
      <c r="M2435" s="460">
        <f t="shared" si="149"/>
        <v>0.05</v>
      </c>
      <c r="N2435" s="464">
        <f t="shared" si="150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48"/>
        <v>-6948959212.1086559</v>
      </c>
      <c r="J2436" s="444">
        <f t="array" ref="J2436">IFERROR(INDEX('Retirement Calculator'!J:J,MATCH('Isaac 401k'!N2436,'Retirement Calculator'!A:A,0),0),0)</f>
        <v>0</v>
      </c>
      <c r="K2436" s="444">
        <f t="shared" ca="1" si="146"/>
        <v>-28953996.717119403</v>
      </c>
      <c r="L2436" s="444">
        <f t="shared" ca="1" si="147"/>
        <v>-6977913208.8257751</v>
      </c>
      <c r="M2436" s="460">
        <f t="shared" si="149"/>
        <v>0.05</v>
      </c>
      <c r="N2436" s="464">
        <f t="shared" si="150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48"/>
        <v>-6977913208.8257751</v>
      </c>
      <c r="J2437" s="444">
        <f t="array" ref="J2437">IFERROR(INDEX('Retirement Calculator'!J:J,MATCH('Isaac 401k'!N2437,'Retirement Calculator'!A:A,0),0),0)</f>
        <v>0</v>
      </c>
      <c r="K2437" s="444">
        <f t="shared" ca="1" si="146"/>
        <v>-29074638.370107397</v>
      </c>
      <c r="L2437" s="444">
        <f t="shared" ca="1" si="147"/>
        <v>-7006987847.1958828</v>
      </c>
      <c r="M2437" s="460">
        <f t="shared" si="149"/>
        <v>0.05</v>
      </c>
      <c r="N2437" s="464">
        <f t="shared" si="150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48"/>
        <v>-7006987847.1958828</v>
      </c>
      <c r="J2438" s="444">
        <f t="array" ref="J2438">IFERROR(INDEX('Retirement Calculator'!J:J,MATCH('Isaac 401k'!N2438,'Retirement Calculator'!A:A,0),0),0)</f>
        <v>0</v>
      </c>
      <c r="K2438" s="444">
        <f t="shared" ca="1" si="146"/>
        <v>-29195782.69664951</v>
      </c>
      <c r="L2438" s="444">
        <f t="shared" ca="1" si="147"/>
        <v>-7036183629.8925323</v>
      </c>
      <c r="M2438" s="460">
        <f t="shared" si="149"/>
        <v>0.05</v>
      </c>
      <c r="N2438" s="464">
        <f t="shared" si="150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48"/>
        <v>-7036183629.8925323</v>
      </c>
      <c r="J2439" s="444">
        <f t="array" ref="J2439">IFERROR(INDEX('Retirement Calculator'!J:J,MATCH('Isaac 401k'!N2439,'Retirement Calculator'!A:A,0),0),0)</f>
        <v>0</v>
      </c>
      <c r="K2439" s="444">
        <f t="shared" ca="1" si="146"/>
        <v>-29317431.791218881</v>
      </c>
      <c r="L2439" s="444">
        <f t="shared" ca="1" si="147"/>
        <v>-7065501061.6837511</v>
      </c>
      <c r="M2439" s="460">
        <f t="shared" si="149"/>
        <v>0.05</v>
      </c>
      <c r="N2439" s="464">
        <f t="shared" si="150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48"/>
        <v>-7065501061.6837511</v>
      </c>
      <c r="J2440" s="444">
        <f t="array" ref="J2440">IFERROR(INDEX('Retirement Calculator'!J:J,MATCH('Isaac 401k'!N2440,'Retirement Calculator'!A:A,0),0),0)</f>
        <v>0</v>
      </c>
      <c r="K2440" s="444">
        <f t="shared" ca="1" si="146"/>
        <v>-29439587.757015634</v>
      </c>
      <c r="L2440" s="444">
        <f t="shared" ca="1" si="147"/>
        <v>-7094940649.4407663</v>
      </c>
      <c r="M2440" s="460">
        <f t="shared" si="149"/>
        <v>0.05</v>
      </c>
      <c r="N2440" s="464">
        <f t="shared" si="150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48"/>
        <v>-7094940649.4407663</v>
      </c>
      <c r="J2441" s="444">
        <f t="array" ref="J2441">IFERROR(INDEX('Retirement Calculator'!J:J,MATCH('Isaac 401k'!N2441,'Retirement Calculator'!A:A,0),0),0)</f>
        <v>0</v>
      </c>
      <c r="K2441" s="444">
        <f t="shared" ca="1" si="146"/>
        <v>-29562252.706003197</v>
      </c>
      <c r="L2441" s="444">
        <f t="shared" ca="1" si="147"/>
        <v>-7124502902.1467695</v>
      </c>
      <c r="M2441" s="460">
        <f t="shared" si="149"/>
        <v>0.05</v>
      </c>
      <c r="N2441" s="464">
        <f t="shared" si="150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48"/>
        <v>-7124502902.1467695</v>
      </c>
      <c r="J2442" s="444">
        <f t="array" ref="J2442">IFERROR(INDEX('Retirement Calculator'!J:J,MATCH('Isaac 401k'!N2442,'Retirement Calculator'!A:A,0),0),0)</f>
        <v>0</v>
      </c>
      <c r="K2442" s="444">
        <f t="shared" ca="1" si="146"/>
        <v>-29685428.758944876</v>
      </c>
      <c r="L2442" s="444">
        <f t="shared" ca="1" si="147"/>
        <v>-7154188330.905714</v>
      </c>
      <c r="M2442" s="460">
        <f t="shared" si="149"/>
        <v>0.05</v>
      </c>
      <c r="N2442" s="464">
        <f t="shared" si="150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48"/>
        <v>-7154188330.905714</v>
      </c>
      <c r="J2443" s="444">
        <f t="array" ref="J2443">IFERROR(INDEX('Retirement Calculator'!J:J,MATCH('Isaac 401k'!N2443,'Retirement Calculator'!A:A,0),0),0)</f>
        <v>0</v>
      </c>
      <c r="K2443" s="444">
        <f t="shared" ca="1" si="146"/>
        <v>-29809118.045440476</v>
      </c>
      <c r="L2443" s="444">
        <f t="shared" ca="1" si="147"/>
        <v>-7183997448.9511547</v>
      </c>
      <c r="M2443" s="460">
        <f t="shared" si="149"/>
        <v>0.05</v>
      </c>
      <c r="N2443" s="464">
        <f t="shared" si="150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48"/>
        <v>-7183997448.9511547</v>
      </c>
      <c r="J2444" s="444">
        <f t="array" ref="J2444">IFERROR(INDEX('Retirement Calculator'!J:J,MATCH('Isaac 401k'!N2444,'Retirement Calculator'!A:A,0),0),0)</f>
        <v>0</v>
      </c>
      <c r="K2444" s="444">
        <f t="shared" ca="1" si="146"/>
        <v>-29933322.703963142</v>
      </c>
      <c r="L2444" s="444">
        <f t="shared" ca="1" si="147"/>
        <v>-7213930771.655118</v>
      </c>
      <c r="M2444" s="460">
        <f t="shared" si="149"/>
        <v>0.05</v>
      </c>
      <c r="N2444" s="464">
        <f t="shared" si="150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48"/>
        <v>-7213930771.655118</v>
      </c>
      <c r="J2445" s="444">
        <f t="array" ref="J2445">IFERROR(INDEX('Retirement Calculator'!J:J,MATCH('Isaac 401k'!N2445,'Retirement Calculator'!A:A,0),0),0)</f>
        <v>0</v>
      </c>
      <c r="K2445" s="444">
        <f t="shared" ca="1" si="146"/>
        <v>-30058044.881896328</v>
      </c>
      <c r="L2445" s="444">
        <f t="shared" ca="1" si="147"/>
        <v>-7243988816.537014</v>
      </c>
      <c r="M2445" s="460">
        <f t="shared" si="149"/>
        <v>0.05</v>
      </c>
      <c r="N2445" s="464">
        <f t="shared" si="150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48"/>
        <v>-7243988816.537014</v>
      </c>
      <c r="J2446" s="444">
        <f t="array" ref="J2446">IFERROR(INDEX('Retirement Calculator'!J:J,MATCH('Isaac 401k'!N2446,'Retirement Calculator'!A:A,0),0),0)</f>
        <v>0</v>
      </c>
      <c r="K2446" s="444">
        <f t="shared" ca="1" si="146"/>
        <v>-30183286.735570893</v>
      </c>
      <c r="L2446" s="444">
        <f t="shared" ca="1" si="147"/>
        <v>-7274172103.2725849</v>
      </c>
      <c r="M2446" s="460">
        <f t="shared" si="149"/>
        <v>0.05</v>
      </c>
      <c r="N2446" s="464">
        <f t="shared" si="150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48"/>
        <v>-7274172103.2725849</v>
      </c>
      <c r="J2447" s="444">
        <f t="array" ref="J2447">IFERROR(INDEX('Retirement Calculator'!J:J,MATCH('Isaac 401k'!N2447,'Retirement Calculator'!A:A,0),0),0)</f>
        <v>0</v>
      </c>
      <c r="K2447" s="444">
        <f t="shared" ca="1" si="146"/>
        <v>-30309050.430302441</v>
      </c>
      <c r="L2447" s="444">
        <f t="shared" ca="1" si="147"/>
        <v>-7304481153.7028875</v>
      </c>
      <c r="M2447" s="460">
        <f t="shared" si="149"/>
        <v>0.05</v>
      </c>
      <c r="N2447" s="464">
        <f t="shared" si="150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48"/>
        <v>-7304481153.7028875</v>
      </c>
      <c r="J2448" s="444">
        <f t="array" ref="J2448">IFERROR(INDEX('Retirement Calculator'!J:J,MATCH('Isaac 401k'!N2448,'Retirement Calculator'!A:A,0),0),0)</f>
        <v>0</v>
      </c>
      <c r="K2448" s="444">
        <f t="shared" ca="1" si="146"/>
        <v>-30435338.140428703</v>
      </c>
      <c r="L2448" s="444">
        <f t="shared" ca="1" si="147"/>
        <v>-7334916491.8433161</v>
      </c>
      <c r="M2448" s="460">
        <f t="shared" si="149"/>
        <v>0.05</v>
      </c>
      <c r="N2448" s="464">
        <f t="shared" si="150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48"/>
        <v>-7334916491.8433161</v>
      </c>
      <c r="J2449" s="444">
        <f t="array" ref="J2449">IFERROR(INDEX('Retirement Calculator'!J:J,MATCH('Isaac 401k'!N2449,'Retirement Calculator'!A:A,0),0),0)</f>
        <v>0</v>
      </c>
      <c r="K2449" s="444">
        <f t="shared" ca="1" si="146"/>
        <v>-30562152.049347151</v>
      </c>
      <c r="L2449" s="444">
        <f t="shared" ca="1" si="147"/>
        <v>-7365478643.892663</v>
      </c>
      <c r="M2449" s="460">
        <f t="shared" si="149"/>
        <v>0.05</v>
      </c>
      <c r="N2449" s="464">
        <f t="shared" si="150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48"/>
        <v>-7365478643.892663</v>
      </c>
      <c r="J2450" s="444">
        <f t="array" ref="J2450">IFERROR(INDEX('Retirement Calculator'!J:J,MATCH('Isaac 401k'!N2450,'Retirement Calculator'!A:A,0),0),0)</f>
        <v>0</v>
      </c>
      <c r="K2450" s="444">
        <f t="shared" ca="1" si="146"/>
        <v>-30689494.349552762</v>
      </c>
      <c r="L2450" s="444">
        <f t="shared" ca="1" si="147"/>
        <v>-7396168138.2422161</v>
      </c>
      <c r="M2450" s="460">
        <f t="shared" si="149"/>
        <v>0.05</v>
      </c>
      <c r="N2450" s="464">
        <f t="shared" si="150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48"/>
        <v>-7396168138.2422161</v>
      </c>
      <c r="J2451" s="444">
        <f t="array" ref="J2451">IFERROR(INDEX('Retirement Calculator'!J:J,MATCH('Isaac 401k'!N2451,'Retirement Calculator'!A:A,0),0),0)</f>
        <v>0</v>
      </c>
      <c r="K2451" s="444">
        <f t="shared" ca="1" si="146"/>
        <v>-30817367.2426759</v>
      </c>
      <c r="L2451" s="444">
        <f t="shared" ca="1" si="147"/>
        <v>-7426985505.4848919</v>
      </c>
      <c r="M2451" s="460">
        <f t="shared" si="149"/>
        <v>0.05</v>
      </c>
      <c r="N2451" s="464">
        <f t="shared" si="150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48"/>
        <v>-7426985505.4848919</v>
      </c>
      <c r="J2452" s="444">
        <f t="array" ref="J2452">IFERROR(INDEX('Retirement Calculator'!J:J,MATCH('Isaac 401k'!N2452,'Retirement Calculator'!A:A,0),0),0)</f>
        <v>0</v>
      </c>
      <c r="K2452" s="444">
        <f t="shared" ca="1" si="146"/>
        <v>-30945772.939520381</v>
      </c>
      <c r="L2452" s="444">
        <f t="shared" ca="1" si="147"/>
        <v>-7457931278.4244127</v>
      </c>
      <c r="M2452" s="460">
        <f t="shared" si="149"/>
        <v>0.05</v>
      </c>
      <c r="N2452" s="464">
        <f t="shared" si="150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48"/>
        <v>-7457931278.4244127</v>
      </c>
      <c r="J2453" s="444">
        <f t="array" ref="J2453">IFERROR(INDEX('Retirement Calculator'!J:J,MATCH('Isaac 401k'!N2453,'Retirement Calculator'!A:A,0),0),0)</f>
        <v>0</v>
      </c>
      <c r="K2453" s="444">
        <f t="shared" ca="1" si="146"/>
        <v>-31074713.660101719</v>
      </c>
      <c r="L2453" s="444">
        <f t="shared" ca="1" si="147"/>
        <v>-7489005992.0845146</v>
      </c>
      <c r="M2453" s="460">
        <f t="shared" si="149"/>
        <v>0.05</v>
      </c>
      <c r="N2453" s="464">
        <f t="shared" si="150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48"/>
        <v>-7489005992.0845146</v>
      </c>
      <c r="J2454" s="444">
        <f t="array" ref="J2454">IFERROR(INDEX('Retirement Calculator'!J:J,MATCH('Isaac 401k'!N2454,'Retirement Calculator'!A:A,0),0),0)</f>
        <v>0</v>
      </c>
      <c r="K2454" s="444">
        <f t="shared" ca="1" si="146"/>
        <v>-31204191.633685477</v>
      </c>
      <c r="L2454" s="444">
        <f t="shared" ca="1" si="147"/>
        <v>-7520210183.7181997</v>
      </c>
      <c r="M2454" s="460">
        <f t="shared" si="149"/>
        <v>0.05</v>
      </c>
      <c r="N2454" s="464">
        <f t="shared" si="150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48"/>
        <v>-7520210183.7181997</v>
      </c>
      <c r="J2455" s="444">
        <f t="array" ref="J2455">IFERROR(INDEX('Retirement Calculator'!J:J,MATCH('Isaac 401k'!N2455,'Retirement Calculator'!A:A,0),0),0)</f>
        <v>0</v>
      </c>
      <c r="K2455" s="444">
        <f t="shared" ca="1" si="146"/>
        <v>-31334209.098825831</v>
      </c>
      <c r="L2455" s="444">
        <f t="shared" ca="1" si="147"/>
        <v>-7551544392.8170252</v>
      </c>
      <c r="M2455" s="460">
        <f t="shared" si="149"/>
        <v>0.05</v>
      </c>
      <c r="N2455" s="464">
        <f t="shared" si="150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48"/>
        <v>-7551544392.8170252</v>
      </c>
      <c r="J2456" s="444">
        <f t="array" ref="J2456">IFERROR(INDEX('Retirement Calculator'!J:J,MATCH('Isaac 401k'!N2456,'Retirement Calculator'!A:A,0),0),0)</f>
        <v>0</v>
      </c>
      <c r="K2456" s="444">
        <f t="shared" ca="1" si="146"/>
        <v>-31464768.303404275</v>
      </c>
      <c r="L2456" s="444">
        <f t="shared" ca="1" si="147"/>
        <v>-7583009161.120429</v>
      </c>
      <c r="M2456" s="460">
        <f t="shared" si="149"/>
        <v>0.05</v>
      </c>
      <c r="N2456" s="464">
        <f t="shared" si="150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48"/>
        <v>-7583009161.120429</v>
      </c>
      <c r="J2457" s="444">
        <f t="array" ref="J2457">IFERROR(INDEX('Retirement Calculator'!J:J,MATCH('Isaac 401k'!N2457,'Retirement Calculator'!A:A,0),0),0)</f>
        <v>0</v>
      </c>
      <c r="K2457" s="444">
        <f t="shared" ca="1" si="146"/>
        <v>-31595871.504668456</v>
      </c>
      <c r="L2457" s="444">
        <f t="shared" ca="1" si="147"/>
        <v>-7614605032.6250973</v>
      </c>
      <c r="M2457" s="460">
        <f t="shared" si="149"/>
        <v>0.05</v>
      </c>
      <c r="N2457" s="464">
        <f t="shared" si="150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48"/>
        <v>-7614605032.6250973</v>
      </c>
      <c r="J2458" s="444">
        <f t="array" ref="J2458">IFERROR(INDEX('Retirement Calculator'!J:J,MATCH('Isaac 401k'!N2458,'Retirement Calculator'!A:A,0),0),0)</f>
        <v>0</v>
      </c>
      <c r="K2458" s="444">
        <f t="shared" ca="1" si="146"/>
        <v>-31727520.969271243</v>
      </c>
      <c r="L2458" s="444">
        <f t="shared" ca="1" si="147"/>
        <v>-7646332553.5943689</v>
      </c>
      <c r="M2458" s="460">
        <f t="shared" si="149"/>
        <v>0.05</v>
      </c>
      <c r="N2458" s="464">
        <f t="shared" si="150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48"/>
        <v>-7646332553.5943689</v>
      </c>
      <c r="J2459" s="444">
        <f t="array" ref="J2459">IFERROR(INDEX('Retirement Calculator'!J:J,MATCH('Isaac 401k'!N2459,'Retirement Calculator'!A:A,0),0),0)</f>
        <v>0</v>
      </c>
      <c r="K2459" s="444">
        <f t="shared" ca="1" si="146"/>
        <v>-31859718.973309875</v>
      </c>
      <c r="L2459" s="444">
        <f t="shared" ca="1" si="147"/>
        <v>-7678192272.5676785</v>
      </c>
      <c r="M2459" s="460">
        <f t="shared" si="149"/>
        <v>0.05</v>
      </c>
      <c r="N2459" s="464">
        <f t="shared" si="150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48"/>
        <v>-7678192272.5676785</v>
      </c>
      <c r="J2460" s="444">
        <f t="array" ref="J2460">IFERROR(INDEX('Retirement Calculator'!J:J,MATCH('Isaac 401k'!N2460,'Retirement Calculator'!A:A,0),0),0)</f>
        <v>0</v>
      </c>
      <c r="K2460" s="444">
        <f t="shared" ca="1" si="146"/>
        <v>-31992467.802365325</v>
      </c>
      <c r="L2460" s="444">
        <f t="shared" ca="1" si="147"/>
        <v>-7710184740.3700438</v>
      </c>
      <c r="M2460" s="460">
        <f t="shared" si="149"/>
        <v>0.05</v>
      </c>
      <c r="N2460" s="464">
        <f t="shared" si="150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48"/>
        <v>-7710184740.3700438</v>
      </c>
      <c r="J2461" s="444">
        <f t="array" ref="J2461">IFERROR(INDEX('Retirement Calculator'!J:J,MATCH('Isaac 401k'!N2461,'Retirement Calculator'!A:A,0),0),0)</f>
        <v>0</v>
      </c>
      <c r="K2461" s="444">
        <f t="shared" ca="1" si="146"/>
        <v>-32125769.751541849</v>
      </c>
      <c r="L2461" s="444">
        <f t="shared" ca="1" si="147"/>
        <v>-7742310510.1215858</v>
      </c>
      <c r="M2461" s="460">
        <f t="shared" si="149"/>
        <v>0.05</v>
      </c>
      <c r="N2461" s="464">
        <f t="shared" si="150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48"/>
        <v>-7742310510.1215858</v>
      </c>
      <c r="J2462" s="444">
        <f t="array" ref="J2462">IFERROR(INDEX('Retirement Calculator'!J:J,MATCH('Isaac 401k'!N2462,'Retirement Calculator'!A:A,0),0),0)</f>
        <v>0</v>
      </c>
      <c r="K2462" s="444">
        <f t="shared" ca="1" si="146"/>
        <v>-32259627.125506606</v>
      </c>
      <c r="L2462" s="444">
        <f t="shared" ca="1" si="147"/>
        <v>-7774570137.2470922</v>
      </c>
      <c r="M2462" s="460">
        <f t="shared" si="149"/>
        <v>0.05</v>
      </c>
      <c r="N2462" s="464">
        <f t="shared" si="150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48"/>
        <v>-7774570137.2470922</v>
      </c>
      <c r="J2463" s="444">
        <f t="array" ref="J2463">IFERROR(INDEX('Retirement Calculator'!J:J,MATCH('Isaac 401k'!N2463,'Retirement Calculator'!A:A,0),0),0)</f>
        <v>0</v>
      </c>
      <c r="K2463" s="444">
        <f t="shared" ca="1" si="146"/>
        <v>-32394042.238529552</v>
      </c>
      <c r="L2463" s="444">
        <f t="shared" ca="1" si="147"/>
        <v>-7806964179.4856215</v>
      </c>
      <c r="M2463" s="460">
        <f t="shared" si="149"/>
        <v>0.05</v>
      </c>
      <c r="N2463" s="464">
        <f t="shared" si="150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48"/>
        <v>-7806964179.4856215</v>
      </c>
      <c r="J2464" s="444">
        <f t="array" ref="J2464">IFERROR(INDEX('Retirement Calculator'!J:J,MATCH('Isaac 401k'!N2464,'Retirement Calculator'!A:A,0),0),0)</f>
        <v>0</v>
      </c>
      <c r="K2464" s="444">
        <f t="shared" ca="1" si="146"/>
        <v>-32529017.414523423</v>
      </c>
      <c r="L2464" s="444">
        <f t="shared" ca="1" si="147"/>
        <v>-7839493196.9001446</v>
      </c>
      <c r="M2464" s="460">
        <f t="shared" si="149"/>
        <v>0.05</v>
      </c>
      <c r="N2464" s="464">
        <f t="shared" si="150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48"/>
        <v>-7839493196.9001446</v>
      </c>
      <c r="J2465" s="444">
        <f t="array" ref="J2465">IFERROR(INDEX('Retirement Calculator'!J:J,MATCH('Isaac 401k'!N2465,'Retirement Calculator'!A:A,0),0),0)</f>
        <v>0</v>
      </c>
      <c r="K2465" s="444">
        <f t="shared" ca="1" si="146"/>
        <v>-32664554.987083934</v>
      </c>
      <c r="L2465" s="444">
        <f t="shared" ca="1" si="147"/>
        <v>-7872157751.887229</v>
      </c>
      <c r="M2465" s="460">
        <f t="shared" si="149"/>
        <v>0.05</v>
      </c>
      <c r="N2465" s="464">
        <f t="shared" si="150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48"/>
        <v>-7872157751.887229</v>
      </c>
      <c r="J2466" s="444">
        <f t="array" ref="J2466">IFERROR(INDEX('Retirement Calculator'!J:J,MATCH('Isaac 401k'!N2466,'Retirement Calculator'!A:A,0),0),0)</f>
        <v>0</v>
      </c>
      <c r="K2466" s="444">
        <f t="shared" ca="1" si="146"/>
        <v>-32800657.299530119</v>
      </c>
      <c r="L2466" s="444">
        <f t="shared" ca="1" si="147"/>
        <v>-7904958409.186759</v>
      </c>
      <c r="M2466" s="460">
        <f t="shared" si="149"/>
        <v>0.05</v>
      </c>
      <c r="N2466" s="464">
        <f t="shared" si="150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48"/>
        <v>-7904958409.186759</v>
      </c>
      <c r="J2467" s="444">
        <f t="array" ref="J2467">IFERROR(INDEX('Retirement Calculator'!J:J,MATCH('Isaac 401k'!N2467,'Retirement Calculator'!A:A,0),0),0)</f>
        <v>0</v>
      </c>
      <c r="K2467" s="444">
        <f t="shared" ca="1" si="146"/>
        <v>-32937326.70494483</v>
      </c>
      <c r="L2467" s="444">
        <f t="shared" ca="1" si="147"/>
        <v>-7937895735.8917036</v>
      </c>
      <c r="M2467" s="460">
        <f t="shared" si="149"/>
        <v>0.05</v>
      </c>
      <c r="N2467" s="464">
        <f t="shared" si="150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48"/>
        <v>-7937895735.8917036</v>
      </c>
      <c r="J2468" s="444">
        <f t="array" ref="J2468">IFERROR(INDEX('Retirement Calculator'!J:J,MATCH('Isaac 401k'!N2468,'Retirement Calculator'!A:A,0),0),0)</f>
        <v>0</v>
      </c>
      <c r="K2468" s="444">
        <f t="shared" ca="1" si="146"/>
        <v>-33074565.566215429</v>
      </c>
      <c r="L2468" s="444">
        <f t="shared" ca="1" si="147"/>
        <v>-7970970301.4579191</v>
      </c>
      <c r="M2468" s="460">
        <f t="shared" si="149"/>
        <v>0.05</v>
      </c>
      <c r="N2468" s="464">
        <f t="shared" si="150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48"/>
        <v>-7970970301.4579191</v>
      </c>
      <c r="J2469" s="444">
        <f t="array" ref="J2469">IFERROR(INDEX('Retirement Calculator'!J:J,MATCH('Isaac 401k'!N2469,'Retirement Calculator'!A:A,0),0),0)</f>
        <v>0</v>
      </c>
      <c r="K2469" s="444">
        <f t="shared" ca="1" si="146"/>
        <v>-33212376.256074663</v>
      </c>
      <c r="L2469" s="444">
        <f t="shared" ca="1" si="147"/>
        <v>-8004182677.713994</v>
      </c>
      <c r="M2469" s="460">
        <f t="shared" si="149"/>
        <v>0.05</v>
      </c>
      <c r="N2469" s="464">
        <f t="shared" si="150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48"/>
        <v>-8004182677.713994</v>
      </c>
      <c r="J2470" s="444">
        <f t="array" ref="J2470">IFERROR(INDEX('Retirement Calculator'!J:J,MATCH('Isaac 401k'!N2470,'Retirement Calculator'!A:A,0),0),0)</f>
        <v>0</v>
      </c>
      <c r="K2470" s="444">
        <f t="shared" ca="1" si="146"/>
        <v>-33350761.157141641</v>
      </c>
      <c r="L2470" s="444">
        <f t="shared" ca="1" si="147"/>
        <v>-8037533438.8711357</v>
      </c>
      <c r="M2470" s="460">
        <f t="shared" si="149"/>
        <v>0.05</v>
      </c>
      <c r="N2470" s="464">
        <f t="shared" si="150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48"/>
        <v>-8037533438.8711357</v>
      </c>
      <c r="J2471" s="444">
        <f t="array" ref="J2471">IFERROR(INDEX('Retirement Calculator'!J:J,MATCH('Isaac 401k'!N2471,'Retirement Calculator'!A:A,0),0),0)</f>
        <v>0</v>
      </c>
      <c r="K2471" s="444">
        <f t="shared" ca="1" si="146"/>
        <v>-33489722.661963064</v>
      </c>
      <c r="L2471" s="444">
        <f t="shared" ca="1" si="147"/>
        <v>-8071023161.5330992</v>
      </c>
      <c r="M2471" s="460">
        <f t="shared" si="149"/>
        <v>0.05</v>
      </c>
      <c r="N2471" s="464">
        <f t="shared" si="150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48"/>
        <v>-8071023161.5330992</v>
      </c>
      <c r="J2472" s="444">
        <f t="array" ref="J2472">IFERROR(INDEX('Retirement Calculator'!J:J,MATCH('Isaac 401k'!N2472,'Retirement Calculator'!A:A,0),0),0)</f>
        <v>0</v>
      </c>
      <c r="K2472" s="444">
        <f t="shared" ca="1" si="146"/>
        <v>-33629263.173054583</v>
      </c>
      <c r="L2472" s="444">
        <f t="shared" ca="1" si="147"/>
        <v>-8104652424.7061539</v>
      </c>
      <c r="M2472" s="460">
        <f t="shared" si="149"/>
        <v>0.05</v>
      </c>
      <c r="N2472" s="464">
        <f t="shared" si="150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48"/>
        <v>-8104652424.7061539</v>
      </c>
      <c r="J2473" s="444">
        <f t="array" ref="J2473">IFERROR(INDEX('Retirement Calculator'!J:J,MATCH('Isaac 401k'!N2473,'Retirement Calculator'!A:A,0),0),0)</f>
        <v>0</v>
      </c>
      <c r="K2473" s="444">
        <f t="shared" ca="1" si="146"/>
        <v>-33769385.102942303</v>
      </c>
      <c r="L2473" s="444">
        <f t="shared" ca="1" si="147"/>
        <v>-8138421809.8090963</v>
      </c>
      <c r="M2473" s="460">
        <f t="shared" si="149"/>
        <v>0.05</v>
      </c>
      <c r="N2473" s="464">
        <f t="shared" si="150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48"/>
        <v>-8138421809.8090963</v>
      </c>
      <c r="J2474" s="444">
        <f t="array" ref="J2474">IFERROR(INDEX('Retirement Calculator'!J:J,MATCH('Isaac 401k'!N2474,'Retirement Calculator'!A:A,0),0),0)</f>
        <v>0</v>
      </c>
      <c r="K2474" s="444">
        <f t="shared" ca="1" si="146"/>
        <v>-33910090.874204569</v>
      </c>
      <c r="L2474" s="444">
        <f t="shared" ca="1" si="147"/>
        <v>-8172331900.683301</v>
      </c>
      <c r="M2474" s="460">
        <f t="shared" si="149"/>
        <v>0.05</v>
      </c>
      <c r="N2474" s="464">
        <f t="shared" si="150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48"/>
        <v>-8172331900.683301</v>
      </c>
      <c r="J2475" s="444">
        <f t="array" ref="J2475">IFERROR(INDEX('Retirement Calculator'!J:J,MATCH('Isaac 401k'!N2475,'Retirement Calculator'!A:A,0),0),0)</f>
        <v>0</v>
      </c>
      <c r="K2475" s="444">
        <f t="shared" ca="1" si="146"/>
        <v>-34051382.919513755</v>
      </c>
      <c r="L2475" s="444">
        <f t="shared" ca="1" si="147"/>
        <v>-8206383283.6028147</v>
      </c>
      <c r="M2475" s="460">
        <f t="shared" si="149"/>
        <v>0.05</v>
      </c>
      <c r="N2475" s="464">
        <f t="shared" si="150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48"/>
        <v>-8206383283.6028147</v>
      </c>
      <c r="J2476" s="444">
        <f t="array" ref="J2476">IFERROR(INDEX('Retirement Calculator'!J:J,MATCH('Isaac 401k'!N2476,'Retirement Calculator'!A:A,0),0),0)</f>
        <v>0</v>
      </c>
      <c r="K2476" s="444">
        <f t="shared" ca="1" si="146"/>
        <v>-34193263.681678392</v>
      </c>
      <c r="L2476" s="444">
        <f t="shared" ca="1" si="147"/>
        <v>-8240576547.2844934</v>
      </c>
      <c r="M2476" s="460">
        <f t="shared" si="149"/>
        <v>0.05</v>
      </c>
      <c r="N2476" s="464">
        <f t="shared" si="150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48"/>
        <v>-8240576547.2844934</v>
      </c>
      <c r="J2477" s="444">
        <f t="array" ref="J2477">IFERROR(INDEX('Retirement Calculator'!J:J,MATCH('Isaac 401k'!N2477,'Retirement Calculator'!A:A,0),0),0)</f>
        <v>0</v>
      </c>
      <c r="K2477" s="444">
        <f t="shared" ca="1" si="146"/>
        <v>-34335735.613685392</v>
      </c>
      <c r="L2477" s="444">
        <f t="shared" ca="1" si="147"/>
        <v>-8274912282.8981791</v>
      </c>
      <c r="M2477" s="460">
        <f t="shared" si="149"/>
        <v>0.05</v>
      </c>
      <c r="N2477" s="464">
        <f t="shared" si="150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48"/>
        <v>-8274912282.8981791</v>
      </c>
      <c r="J2478" s="444">
        <f t="array" ref="J2478">IFERROR(INDEX('Retirement Calculator'!J:J,MATCH('Isaac 401k'!N2478,'Retirement Calculator'!A:A,0),0),0)</f>
        <v>0</v>
      </c>
      <c r="K2478" s="444">
        <f t="shared" ca="1" si="146"/>
        <v>-34478801.178742409</v>
      </c>
      <c r="L2478" s="444">
        <f t="shared" ca="1" si="147"/>
        <v>-8309391084.0769215</v>
      </c>
      <c r="M2478" s="460">
        <f t="shared" si="149"/>
        <v>0.05</v>
      </c>
      <c r="N2478" s="464">
        <f t="shared" si="150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48"/>
        <v>-8309391084.0769215</v>
      </c>
      <c r="J2479" s="444">
        <f t="array" ref="J2479">IFERROR(INDEX('Retirement Calculator'!J:J,MATCH('Isaac 401k'!N2479,'Retirement Calculator'!A:A,0),0),0)</f>
        <v>0</v>
      </c>
      <c r="K2479" s="444">
        <f t="shared" ca="1" si="146"/>
        <v>-34622462.850320503</v>
      </c>
      <c r="L2479" s="444">
        <f t="shared" ca="1" si="147"/>
        <v>-8344013546.9272423</v>
      </c>
      <c r="M2479" s="460">
        <f t="shared" si="149"/>
        <v>0.05</v>
      </c>
      <c r="N2479" s="464">
        <f t="shared" si="150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48"/>
        <v>-8344013546.9272423</v>
      </c>
      <c r="J2480" s="444">
        <f t="array" ref="J2480">IFERROR(INDEX('Retirement Calculator'!J:J,MATCH('Isaac 401k'!N2480,'Retirement Calculator'!A:A,0),0),0)</f>
        <v>0</v>
      </c>
      <c r="K2480" s="444">
        <f t="shared" ca="1" si="146"/>
        <v>-34766723.112196848</v>
      </c>
      <c r="L2480" s="444">
        <f t="shared" ca="1" si="147"/>
        <v>-8378780270.0394392</v>
      </c>
      <c r="M2480" s="460">
        <f t="shared" si="149"/>
        <v>0.05</v>
      </c>
      <c r="N2480" s="464">
        <f t="shared" si="150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48"/>
        <v>-8378780270.0394392</v>
      </c>
      <c r="J2481" s="444">
        <f t="array" ref="J2481">IFERROR(INDEX('Retirement Calculator'!J:J,MATCH('Isaac 401k'!N2481,'Retirement Calculator'!A:A,0),0),0)</f>
        <v>0</v>
      </c>
      <c r="K2481" s="444">
        <f t="shared" ca="1" si="146"/>
        <v>-34911584.458497666</v>
      </c>
      <c r="L2481" s="444">
        <f t="shared" ca="1" si="147"/>
        <v>-8413691854.4979372</v>
      </c>
      <c r="M2481" s="460">
        <f t="shared" si="149"/>
        <v>0.05</v>
      </c>
      <c r="N2481" s="464">
        <f t="shared" si="150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48"/>
        <v>-8413691854.4979372</v>
      </c>
      <c r="J2482" s="444">
        <f t="array" ref="J2482">IFERROR(INDEX('Retirement Calculator'!J:J,MATCH('Isaac 401k'!N2482,'Retirement Calculator'!A:A,0),0),0)</f>
        <v>0</v>
      </c>
      <c r="K2482" s="444">
        <f t="shared" ca="1" si="146"/>
        <v>-35057049.393741407</v>
      </c>
      <c r="L2482" s="444">
        <f t="shared" ca="1" si="147"/>
        <v>-8448748903.8916788</v>
      </c>
      <c r="M2482" s="460">
        <f t="shared" si="149"/>
        <v>0.05</v>
      </c>
      <c r="N2482" s="464">
        <f t="shared" si="150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48"/>
        <v>-8448748903.8916788</v>
      </c>
      <c r="J2483" s="444">
        <f t="array" ref="J2483">IFERROR(INDEX('Retirement Calculator'!J:J,MATCH('Isaac 401k'!N2483,'Retirement Calculator'!A:A,0),0),0)</f>
        <v>0</v>
      </c>
      <c r="K2483" s="444">
        <f t="shared" ca="1" si="146"/>
        <v>-35203120.432881996</v>
      </c>
      <c r="L2483" s="444">
        <f t="shared" ca="1" si="147"/>
        <v>-8483952024.3245611</v>
      </c>
      <c r="M2483" s="460">
        <f t="shared" si="149"/>
        <v>0.05</v>
      </c>
      <c r="N2483" s="464">
        <f t="shared" si="150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48"/>
        <v>-8483952024.3245611</v>
      </c>
      <c r="J2484" s="444">
        <f t="array" ref="J2484">IFERROR(INDEX('Retirement Calculator'!J:J,MATCH('Isaac 401k'!N2484,'Retirement Calculator'!A:A,0),0),0)</f>
        <v>0</v>
      </c>
      <c r="K2484" s="444">
        <f t="shared" ca="1" si="146"/>
        <v>-35349800.101352334</v>
      </c>
      <c r="L2484" s="444">
        <f t="shared" ca="1" si="147"/>
        <v>-8519301824.4259138</v>
      </c>
      <c r="M2484" s="460">
        <f t="shared" si="149"/>
        <v>0.05</v>
      </c>
      <c r="N2484" s="464">
        <f t="shared" si="150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48"/>
        <v>-8519301824.4259138</v>
      </c>
      <c r="J2485" s="444">
        <f t="array" ref="J2485">IFERROR(INDEX('Retirement Calculator'!J:J,MATCH('Isaac 401k'!N2485,'Retirement Calculator'!A:A,0),0),0)</f>
        <v>0</v>
      </c>
      <c r="K2485" s="444">
        <f t="shared" ca="1" si="146"/>
        <v>-35497090.935107969</v>
      </c>
      <c r="L2485" s="444">
        <f t="shared" ca="1" si="147"/>
        <v>-8554798915.361022</v>
      </c>
      <c r="M2485" s="460">
        <f t="shared" si="149"/>
        <v>0.05</v>
      </c>
      <c r="N2485" s="464">
        <f t="shared" si="150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48"/>
        <v>-8554798915.361022</v>
      </c>
      <c r="J2486" s="444">
        <f t="array" ref="J2486">IFERROR(INDEX('Retirement Calculator'!J:J,MATCH('Isaac 401k'!N2486,'Retirement Calculator'!A:A,0),0),0)</f>
        <v>0</v>
      </c>
      <c r="K2486" s="444">
        <f t="shared" ca="1" si="146"/>
        <v>-35644995.480670922</v>
      </c>
      <c r="L2486" s="444">
        <f t="shared" ca="1" si="147"/>
        <v>-8590443910.841692</v>
      </c>
      <c r="M2486" s="460">
        <f t="shared" si="149"/>
        <v>0.05</v>
      </c>
      <c r="N2486" s="464">
        <f t="shared" si="150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48"/>
        <v>-8590443910.841692</v>
      </c>
      <c r="J2487" s="444">
        <f t="array" ref="J2487">IFERROR(INDEX('Retirement Calculator'!J:J,MATCH('Isaac 401k'!N2487,'Retirement Calculator'!A:A,0),0),0)</f>
        <v>0</v>
      </c>
      <c r="K2487" s="444">
        <f t="shared" ca="1" si="146"/>
        <v>-35793516.29517372</v>
      </c>
      <c r="L2487" s="444">
        <f t="shared" ca="1" si="147"/>
        <v>-8626237427.1368656</v>
      </c>
      <c r="M2487" s="460">
        <f t="shared" si="149"/>
        <v>0.05</v>
      </c>
      <c r="N2487" s="464">
        <f t="shared" si="150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48"/>
        <v>-8626237427.1368656</v>
      </c>
      <c r="J2488" s="444">
        <f t="array" ref="J2488">IFERROR(INDEX('Retirement Calculator'!J:J,MATCH('Isaac 401k'!N2488,'Retirement Calculator'!A:A,0),0),0)</f>
        <v>0</v>
      </c>
      <c r="K2488" s="444">
        <f t="shared" ca="1" si="146"/>
        <v>-35942655.946403608</v>
      </c>
      <c r="L2488" s="444">
        <f t="shared" ca="1" si="147"/>
        <v>-8662180083.0832691</v>
      </c>
      <c r="M2488" s="460">
        <f t="shared" si="149"/>
        <v>0.05</v>
      </c>
      <c r="N2488" s="464">
        <f t="shared" si="150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48"/>
        <v>-8662180083.0832691</v>
      </c>
      <c r="J2489" s="444">
        <f t="array" ref="J2489">IFERROR(INDEX('Retirement Calculator'!J:J,MATCH('Isaac 401k'!N2489,'Retirement Calculator'!A:A,0),0),0)</f>
        <v>0</v>
      </c>
      <c r="K2489" s="444">
        <f t="shared" ca="1" si="146"/>
        <v>-36092417.012846954</v>
      </c>
      <c r="L2489" s="444">
        <f t="shared" ca="1" si="147"/>
        <v>-8698272500.096117</v>
      </c>
      <c r="M2489" s="460">
        <f t="shared" si="149"/>
        <v>0.05</v>
      </c>
      <c r="N2489" s="464">
        <f t="shared" si="150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48"/>
        <v>-8698272500.096117</v>
      </c>
      <c r="J2490" s="444">
        <f t="array" ref="J2490">IFERROR(INDEX('Retirement Calculator'!J:J,MATCH('Isaac 401k'!N2490,'Retirement Calculator'!A:A,0),0),0)</f>
        <v>0</v>
      </c>
      <c r="K2490" s="444">
        <f t="shared" ca="1" si="146"/>
        <v>-36242802.083733819</v>
      </c>
      <c r="L2490" s="444">
        <f t="shared" ca="1" si="147"/>
        <v>-8734515302.1798515</v>
      </c>
      <c r="M2490" s="460">
        <f t="shared" si="149"/>
        <v>0.05</v>
      </c>
      <c r="N2490" s="464">
        <f t="shared" si="150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48"/>
        <v>-8734515302.1798515</v>
      </c>
      <c r="J2491" s="444">
        <f t="array" ref="J2491">IFERROR(INDEX('Retirement Calculator'!J:J,MATCH('Isaac 401k'!N2491,'Retirement Calculator'!A:A,0),0),0)</f>
        <v>0</v>
      </c>
      <c r="K2491" s="444">
        <f t="shared" ca="1" si="146"/>
        <v>-36393813.759082712</v>
      </c>
      <c r="L2491" s="444">
        <f t="shared" ca="1" si="147"/>
        <v>-8770909115.9389343</v>
      </c>
      <c r="M2491" s="460">
        <f t="shared" si="149"/>
        <v>0.05</v>
      </c>
      <c r="N2491" s="464">
        <f t="shared" si="150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48"/>
        <v>-8770909115.9389343</v>
      </c>
      <c r="J2492" s="444">
        <f t="array" ref="J2492">IFERROR(INDEX('Retirement Calculator'!J:J,MATCH('Isaac 401k'!N2492,'Retirement Calculator'!A:A,0),0),0)</f>
        <v>0</v>
      </c>
      <c r="K2492" s="444">
        <f t="shared" ca="1" si="146"/>
        <v>-36545454.649745561</v>
      </c>
      <c r="L2492" s="444">
        <f t="shared" ca="1" si="147"/>
        <v>-8807454570.5886803</v>
      </c>
      <c r="M2492" s="460">
        <f t="shared" si="149"/>
        <v>0.05</v>
      </c>
      <c r="N2492" s="464">
        <f t="shared" si="150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48"/>
        <v>-8807454570.5886803</v>
      </c>
      <c r="J2493" s="444">
        <f t="array" ref="J2493">IFERROR(INDEX('Retirement Calculator'!J:J,MATCH('Isaac 401k'!N2493,'Retirement Calculator'!A:A,0),0),0)</f>
        <v>0</v>
      </c>
      <c r="K2493" s="444">
        <f t="shared" ca="1" si="146"/>
        <v>-36697727.377452835</v>
      </c>
      <c r="L2493" s="444">
        <f t="shared" ca="1" si="147"/>
        <v>-8844152297.9661331</v>
      </c>
      <c r="M2493" s="460">
        <f t="shared" si="149"/>
        <v>0.05</v>
      </c>
      <c r="N2493" s="464">
        <f t="shared" si="150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48"/>
        <v>-8844152297.9661331</v>
      </c>
      <c r="J2494" s="444">
        <f t="array" ref="J2494">IFERROR(INDEX('Retirement Calculator'!J:J,MATCH('Isaac 401k'!N2494,'Retirement Calculator'!A:A,0),0),0)</f>
        <v>0</v>
      </c>
      <c r="K2494" s="444">
        <f t="shared" ca="1" si="146"/>
        <v>-36850634.574858889</v>
      </c>
      <c r="L2494" s="444">
        <f t="shared" ca="1" si="147"/>
        <v>-8881002932.5409927</v>
      </c>
      <c r="M2494" s="460">
        <f t="shared" si="149"/>
        <v>0.05</v>
      </c>
      <c r="N2494" s="464">
        <f t="shared" si="150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48"/>
        <v>-8881002932.5409927</v>
      </c>
      <c r="J2495" s="444">
        <f t="array" ref="J2495">IFERROR(INDEX('Retirement Calculator'!J:J,MATCH('Isaac 401k'!N2495,'Retirement Calculator'!A:A,0),0),0)</f>
        <v>0</v>
      </c>
      <c r="K2495" s="444">
        <f t="shared" ca="1" si="146"/>
        <v>-37004178.885587469</v>
      </c>
      <c r="L2495" s="444">
        <f t="shared" ca="1" si="147"/>
        <v>-8918007111.4265804</v>
      </c>
      <c r="M2495" s="460">
        <f t="shared" si="149"/>
        <v>0.05</v>
      </c>
      <c r="N2495" s="464">
        <f t="shared" si="150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48"/>
        <v>-8918007111.4265804</v>
      </c>
      <c r="J2496" s="444">
        <f t="array" ref="J2496">IFERROR(INDEX('Retirement Calculator'!J:J,MATCH('Isaac 401k'!N2496,'Retirement Calculator'!A:A,0),0),0)</f>
        <v>0</v>
      </c>
      <c r="K2496" s="444">
        <f t="shared" ca="1" si="146"/>
        <v>-37158362.964277416</v>
      </c>
      <c r="L2496" s="444">
        <f t="shared" ca="1" si="147"/>
        <v>-8955165474.3908577</v>
      </c>
      <c r="M2496" s="460">
        <f t="shared" si="149"/>
        <v>0.05</v>
      </c>
      <c r="N2496" s="464">
        <f t="shared" si="150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48"/>
        <v>-8955165474.3908577</v>
      </c>
      <c r="J2497" s="444">
        <f t="array" ref="J2497">IFERROR(INDEX('Retirement Calculator'!J:J,MATCH('Isaac 401k'!N2497,'Retirement Calculator'!A:A,0),0),0)</f>
        <v>0</v>
      </c>
      <c r="K2497" s="444">
        <f t="shared" ca="1" si="146"/>
        <v>-37313189.476628572</v>
      </c>
      <c r="L2497" s="444">
        <f t="shared" ca="1" si="147"/>
        <v>-8992478663.867487</v>
      </c>
      <c r="M2497" s="460">
        <f t="shared" si="149"/>
        <v>0.05</v>
      </c>
      <c r="N2497" s="464">
        <f t="shared" si="150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48"/>
        <v>-8992478663.867487</v>
      </c>
      <c r="J2498" s="444">
        <f t="array" ref="J2498">IFERROR(INDEX('Retirement Calculator'!J:J,MATCH('Isaac 401k'!N2498,'Retirement Calculator'!A:A,0),0),0)</f>
        <v>0</v>
      </c>
      <c r="K2498" s="444">
        <f t="shared" ca="1" si="146"/>
        <v>-37468661.099447861</v>
      </c>
      <c r="L2498" s="444">
        <f t="shared" ca="1" si="147"/>
        <v>-9029947324.9669342</v>
      </c>
      <c r="M2498" s="460">
        <f t="shared" si="149"/>
        <v>0.05</v>
      </c>
      <c r="N2498" s="464">
        <f t="shared" si="150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48"/>
        <v>-9029947324.9669342</v>
      </c>
      <c r="J2499" s="444">
        <f t="array" ref="J2499">IFERROR(INDEX('Retirement Calculator'!J:J,MATCH('Isaac 401k'!N2499,'Retirement Calculator'!A:A,0),0),0)</f>
        <v>0</v>
      </c>
      <c r="K2499" s="444">
        <f t="shared" ca="1" si="146"/>
        <v>-37624780.52069556</v>
      </c>
      <c r="L2499" s="444">
        <f t="shared" ca="1" si="147"/>
        <v>-9067572105.4876289</v>
      </c>
      <c r="M2499" s="460">
        <f t="shared" si="149"/>
        <v>0.05</v>
      </c>
      <c r="N2499" s="464">
        <f t="shared" si="150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48"/>
        <v>-9067572105.4876289</v>
      </c>
      <c r="J2500" s="444">
        <f t="array" ref="J2500">IFERROR(INDEX('Retirement Calculator'!J:J,MATCH('Isaac 401k'!N2500,'Retirement Calculator'!A:A,0),0),0)</f>
        <v>0</v>
      </c>
      <c r="K2500" s="444">
        <f t="shared" ca="1" si="146"/>
        <v>-37781550.439531788</v>
      </c>
      <c r="L2500" s="444">
        <f t="shared" ca="1" si="147"/>
        <v>-9105353655.9271603</v>
      </c>
      <c r="M2500" s="460">
        <f t="shared" si="149"/>
        <v>0.05</v>
      </c>
      <c r="N2500" s="464">
        <f t="shared" si="150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48"/>
        <v>-9105353655.9271603</v>
      </c>
      <c r="J2501" s="444">
        <f t="array" ref="J2501">IFERROR(INDEX('Retirement Calculator'!J:J,MATCH('Isaac 401k'!N2501,'Retirement Calculator'!A:A,0),0),0)</f>
        <v>0</v>
      </c>
      <c r="K2501" s="444">
        <f t="shared" ca="1" si="146"/>
        <v>-37938973.566363171</v>
      </c>
      <c r="L2501" s="444">
        <f t="shared" ca="1" si="147"/>
        <v>-9143292629.4935226</v>
      </c>
      <c r="M2501" s="460">
        <f t="shared" si="149"/>
        <v>0.05</v>
      </c>
      <c r="N2501" s="464">
        <f t="shared" si="150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48"/>
        <v>-9143292629.4935226</v>
      </c>
      <c r="J2502" s="444">
        <f t="array" ref="J2502">IFERROR(INDEX('Retirement Calculator'!J:J,MATCH('Isaac 401k'!N2502,'Retirement Calculator'!A:A,0),0),0)</f>
        <v>0</v>
      </c>
      <c r="K2502" s="444">
        <f t="shared" ca="1" si="146"/>
        <v>-38097052.622889675</v>
      </c>
      <c r="L2502" s="444">
        <f t="shared" ca="1" si="147"/>
        <v>-9181389682.1164131</v>
      </c>
      <c r="M2502" s="460">
        <f t="shared" si="149"/>
        <v>0.05</v>
      </c>
      <c r="N2502" s="464">
        <f t="shared" si="150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48"/>
        <v>-9181389682.1164131</v>
      </c>
      <c r="J2503" s="444">
        <f t="array" ref="J2503">IFERROR(INDEX('Retirement Calculator'!J:J,MATCH('Isaac 401k'!N2503,'Retirement Calculator'!A:A,0),0),0)</f>
        <v>0</v>
      </c>
      <c r="K2503" s="444">
        <f t="shared" ca="1" si="146"/>
        <v>-38255790.342151724</v>
      </c>
      <c r="L2503" s="444">
        <f t="shared" ca="1" si="147"/>
        <v>-9219645472.4585648</v>
      </c>
      <c r="M2503" s="460">
        <f t="shared" si="149"/>
        <v>0.05</v>
      </c>
      <c r="N2503" s="464">
        <f t="shared" si="150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48"/>
        <v>-9219645472.4585648</v>
      </c>
      <c r="J2504" s="444">
        <f t="array" ref="J2504">IFERROR(INDEX('Retirement Calculator'!J:J,MATCH('Isaac 401k'!N2504,'Retirement Calculator'!A:A,0),0),0)</f>
        <v>0</v>
      </c>
      <c r="K2504" s="444">
        <f t="shared" ca="1" si="146"/>
        <v>-38415189.468577355</v>
      </c>
      <c r="L2504" s="444">
        <f t="shared" ca="1" si="147"/>
        <v>-9258060661.9271412</v>
      </c>
      <c r="M2504" s="460">
        <f t="shared" si="149"/>
        <v>0.05</v>
      </c>
      <c r="N2504" s="464">
        <f t="shared" si="150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48"/>
        <v>-9258060661.9271412</v>
      </c>
      <c r="J2505" s="444">
        <f t="array" ref="J2505">IFERROR(INDEX('Retirement Calculator'!J:J,MATCH('Isaac 401k'!N2505,'Retirement Calculator'!A:A,0),0),0)</f>
        <v>0</v>
      </c>
      <c r="K2505" s="444">
        <f t="shared" ca="1" si="146"/>
        <v>-38575252.758029751</v>
      </c>
      <c r="L2505" s="444">
        <f t="shared" ca="1" si="147"/>
        <v>-9296635914.6851711</v>
      </c>
      <c r="M2505" s="460">
        <f t="shared" si="149"/>
        <v>0.05</v>
      </c>
      <c r="N2505" s="464">
        <f t="shared" si="150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48"/>
        <v>-9296635914.6851711</v>
      </c>
      <c r="J2506" s="444">
        <f t="array" ref="J2506">IFERROR(INDEX('Retirement Calculator'!J:J,MATCH('Isaac 401k'!N2506,'Retirement Calculator'!A:A,0),0),0)</f>
        <v>0</v>
      </c>
      <c r="K2506" s="444">
        <f t="shared" ca="1" si="146"/>
        <v>-38735982.977854878</v>
      </c>
      <c r="L2506" s="444">
        <f t="shared" ca="1" si="147"/>
        <v>-9335371897.6630268</v>
      </c>
      <c r="M2506" s="460">
        <f t="shared" si="149"/>
        <v>0.05</v>
      </c>
      <c r="N2506" s="464">
        <f t="shared" si="150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48"/>
        <v>-9335371897.6630268</v>
      </c>
      <c r="J2507" s="444">
        <f t="array" ref="J2507">IFERROR(INDEX('Retirement Calculator'!J:J,MATCH('Isaac 401k'!N2507,'Retirement Calculator'!A:A,0),0),0)</f>
        <v>0</v>
      </c>
      <c r="K2507" s="444">
        <f t="shared" ca="1" si="146"/>
        <v>-38897382.906929277</v>
      </c>
      <c r="L2507" s="444">
        <f t="shared" ca="1" si="147"/>
        <v>-9374269280.5699558</v>
      </c>
      <c r="M2507" s="460">
        <f t="shared" si="149"/>
        <v>0.05</v>
      </c>
      <c r="N2507" s="464">
        <f t="shared" si="150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48"/>
        <v>-9374269280.5699558</v>
      </c>
      <c r="J2508" s="444">
        <f t="array" ref="J2508">IFERROR(INDEX('Retirement Calculator'!J:J,MATCH('Isaac 401k'!N2508,'Retirement Calculator'!A:A,0),0),0)</f>
        <v>0</v>
      </c>
      <c r="K2508" s="444">
        <f t="shared" ca="1" si="146"/>
        <v>-39059455.335708149</v>
      </c>
      <c r="L2508" s="444">
        <f t="shared" ca="1" si="147"/>
        <v>-9413328735.9056644</v>
      </c>
      <c r="M2508" s="460">
        <f t="shared" si="149"/>
        <v>0.05</v>
      </c>
      <c r="N2508" s="464">
        <f t="shared" si="150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48"/>
        <v>-9413328735.9056644</v>
      </c>
      <c r="J2509" s="444">
        <f t="array" ref="J2509">IFERROR(INDEX('Retirement Calculator'!J:J,MATCH('Isaac 401k'!N2509,'Retirement Calculator'!A:A,0),0),0)</f>
        <v>0</v>
      </c>
      <c r="K2509" s="444">
        <f t="shared" ca="1" si="146"/>
        <v>-39222203.0662736</v>
      </c>
      <c r="L2509" s="444">
        <f t="shared" ca="1" si="147"/>
        <v>-9452550938.9719372</v>
      </c>
      <c r="M2509" s="460">
        <f t="shared" si="149"/>
        <v>0.05</v>
      </c>
      <c r="N2509" s="464">
        <f t="shared" si="150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48"/>
        <v>-9452550938.9719372</v>
      </c>
      <c r="J2510" s="444">
        <f t="array" ref="J2510">IFERROR(INDEX('Retirement Calculator'!J:J,MATCH('Isaac 401k'!N2510,'Retirement Calculator'!A:A,0),0),0)</f>
        <v>0</v>
      </c>
      <c r="K2510" s="444">
        <f t="shared" ca="1" si="146"/>
        <v>-39385628.912383072</v>
      </c>
      <c r="L2510" s="444">
        <f t="shared" ca="1" si="147"/>
        <v>-9491936567.8843193</v>
      </c>
      <c r="M2510" s="460">
        <f t="shared" si="149"/>
        <v>0.05</v>
      </c>
      <c r="N2510" s="464">
        <f t="shared" si="150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48"/>
        <v>-9491936567.8843193</v>
      </c>
      <c r="J2511" s="444">
        <f t="array" ref="J2511">IFERROR(INDEX('Retirement Calculator'!J:J,MATCH('Isaac 401k'!N2511,'Retirement Calculator'!A:A,0),0),0)</f>
        <v>0</v>
      </c>
      <c r="K2511" s="444">
        <f t="shared" ca="1" si="146"/>
        <v>-39549735.699517995</v>
      </c>
      <c r="L2511" s="444">
        <f t="shared" ca="1" si="147"/>
        <v>-9531486303.5838375</v>
      </c>
      <c r="M2511" s="460">
        <f t="shared" si="149"/>
        <v>0.05</v>
      </c>
      <c r="N2511" s="464">
        <f t="shared" si="150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48"/>
        <v>-9531486303.5838375</v>
      </c>
      <c r="J2512" s="444">
        <f t="array" ref="J2512">IFERROR(INDEX('Retirement Calculator'!J:J,MATCH('Isaac 401k'!N2512,'Retirement Calculator'!A:A,0),0),0)</f>
        <v>0</v>
      </c>
      <c r="K2512" s="444">
        <f t="shared" ca="1" si="146"/>
        <v>-39714526.264932655</v>
      </c>
      <c r="L2512" s="444">
        <f t="shared" ca="1" si="147"/>
        <v>-9571200829.8487701</v>
      </c>
      <c r="M2512" s="460">
        <f t="shared" si="149"/>
        <v>0.05</v>
      </c>
      <c r="N2512" s="464">
        <f t="shared" si="150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48"/>
        <v>-9571200829.8487701</v>
      </c>
      <c r="J2513" s="444">
        <f t="array" ref="J2513">IFERROR(INDEX('Retirement Calculator'!J:J,MATCH('Isaac 401k'!N2513,'Retirement Calculator'!A:A,0),0),0)</f>
        <v>0</v>
      </c>
      <c r="K2513" s="444">
        <f t="shared" ca="1" si="146"/>
        <v>-39880003.45770321</v>
      </c>
      <c r="L2513" s="444">
        <f t="shared" ca="1" si="147"/>
        <v>-9611080833.3064728</v>
      </c>
      <c r="M2513" s="460">
        <f t="shared" si="149"/>
        <v>0.05</v>
      </c>
      <c r="N2513" s="464">
        <f t="shared" si="150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48"/>
        <v>-9611080833.3064728</v>
      </c>
      <c r="J2514" s="444">
        <f t="array" ref="J2514">IFERROR(INDEX('Retirement Calculator'!J:J,MATCH('Isaac 401k'!N2514,'Retirement Calculator'!A:A,0),0),0)</f>
        <v>0</v>
      </c>
      <c r="K2514" s="444">
        <f t="shared" ca="1" si="146"/>
        <v>-40046170.138776973</v>
      </c>
      <c r="L2514" s="444">
        <f t="shared" ca="1" si="147"/>
        <v>-9651127003.4452496</v>
      </c>
      <c r="M2514" s="460">
        <f t="shared" si="149"/>
        <v>0.05</v>
      </c>
      <c r="N2514" s="464">
        <f t="shared" si="150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48"/>
        <v>-9651127003.4452496</v>
      </c>
      <c r="J2515" s="444">
        <f t="array" ref="J2515">IFERROR(INDEX('Retirement Calculator'!J:J,MATCH('Isaac 401k'!N2515,'Retirement Calculator'!A:A,0),0),0)</f>
        <v>0</v>
      </c>
      <c r="K2515" s="444">
        <f t="shared" ca="1" si="146"/>
        <v>-40213029.181021869</v>
      </c>
      <c r="L2515" s="444">
        <f t="shared" ca="1" si="147"/>
        <v>-9691340032.6262722</v>
      </c>
      <c r="M2515" s="460">
        <f t="shared" si="149"/>
        <v>0.05</v>
      </c>
      <c r="N2515" s="464">
        <f t="shared" si="150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48"/>
        <v>-9691340032.6262722</v>
      </c>
      <c r="J2516" s="444">
        <f t="array" ref="J2516">IFERROR(INDEX('Retirement Calculator'!J:J,MATCH('Isaac 401k'!N2516,'Retirement Calculator'!A:A,0),0),0)</f>
        <v>0</v>
      </c>
      <c r="K2516" s="444">
        <f t="shared" ca="1" si="146"/>
        <v>-40380583.46927613</v>
      </c>
      <c r="L2516" s="444">
        <f t="shared" ca="1" si="147"/>
        <v>-9731720616.0955486</v>
      </c>
      <c r="M2516" s="460">
        <f t="shared" si="149"/>
        <v>0.05</v>
      </c>
      <c r="N2516" s="464">
        <f t="shared" si="150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48"/>
        <v>-9731720616.0955486</v>
      </c>
      <c r="J2517" s="444">
        <f t="array" ref="J2517">IFERROR(INDEX('Retirement Calculator'!J:J,MATCH('Isaac 401k'!N2517,'Retirement Calculator'!A:A,0),0),0)</f>
        <v>0</v>
      </c>
      <c r="K2517" s="444">
        <f t="shared" ca="1" si="146"/>
        <v>-40548835.90039812</v>
      </c>
      <c r="L2517" s="444">
        <f t="shared" ca="1" si="147"/>
        <v>-9772269451.9959469</v>
      </c>
      <c r="M2517" s="460">
        <f t="shared" si="149"/>
        <v>0.05</v>
      </c>
      <c r="N2517" s="464">
        <f t="shared" si="150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48"/>
        <v>-9772269451.9959469</v>
      </c>
      <c r="J2518" s="444">
        <f t="array" ref="J2518">IFERROR(INDEX('Retirement Calculator'!J:J,MATCH('Isaac 401k'!N2518,'Retirement Calculator'!A:A,0),0),0)</f>
        <v>0</v>
      </c>
      <c r="K2518" s="444">
        <f t="shared" ca="1" si="146"/>
        <v>-40717789.383316442</v>
      </c>
      <c r="L2518" s="444">
        <f t="shared" ca="1" si="147"/>
        <v>-9812987241.3792629</v>
      </c>
      <c r="M2518" s="460">
        <f t="shared" si="149"/>
        <v>0.05</v>
      </c>
      <c r="N2518" s="464">
        <f t="shared" si="150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48"/>
        <v>-9812987241.3792629</v>
      </c>
      <c r="J2519" s="444">
        <f t="array" ref="J2519">IFERROR(INDEX('Retirement Calculator'!J:J,MATCH('Isaac 401k'!N2519,'Retirement Calculator'!A:A,0),0),0)</f>
        <v>0</v>
      </c>
      <c r="K2519" s="444">
        <f t="shared" ca="1" si="146"/>
        <v>-40887446.839080259</v>
      </c>
      <c r="L2519" s="444">
        <f t="shared" ca="1" si="147"/>
        <v>-9853874688.2183437</v>
      </c>
      <c r="M2519" s="460">
        <f t="shared" si="149"/>
        <v>0.05</v>
      </c>
      <c r="N2519" s="464">
        <f t="shared" si="150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48"/>
        <v>-9853874688.2183437</v>
      </c>
      <c r="J2520" s="444">
        <f t="array" ref="J2520">IFERROR(INDEX('Retirement Calculator'!J:J,MATCH('Isaac 401k'!N2520,'Retirement Calculator'!A:A,0),0),0)</f>
        <v>0</v>
      </c>
      <c r="K2520" s="444">
        <f t="shared" ca="1" si="146"/>
        <v>-41057811.200909764</v>
      </c>
      <c r="L2520" s="444">
        <f t="shared" ca="1" si="147"/>
        <v>-9894932499.4192543</v>
      </c>
      <c r="M2520" s="460">
        <f t="shared" si="149"/>
        <v>0.05</v>
      </c>
      <c r="N2520" s="464">
        <f t="shared" si="150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48"/>
        <v>-9894932499.4192543</v>
      </c>
      <c r="J2521" s="444">
        <f t="array" ref="J2521">IFERROR(INDEX('Retirement Calculator'!J:J,MATCH('Isaac 401k'!N2521,'Retirement Calculator'!A:A,0),0),0)</f>
        <v>0</v>
      </c>
      <c r="K2521" s="444">
        <f t="shared" ca="1" si="146"/>
        <v>-41228885.414246894</v>
      </c>
      <c r="L2521" s="444">
        <f t="shared" ca="1" si="147"/>
        <v>-9936161384.8335018</v>
      </c>
      <c r="M2521" s="460">
        <f t="shared" si="149"/>
        <v>0.05</v>
      </c>
      <c r="N2521" s="464">
        <f t="shared" si="150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48"/>
        <v>-9936161384.8335018</v>
      </c>
      <c r="J2522" s="444">
        <f t="array" ref="J2522">IFERROR(INDEX('Retirement Calculator'!J:J,MATCH('Isaac 401k'!N2522,'Retirement Calculator'!A:A,0),0),0)</f>
        <v>0</v>
      </c>
      <c r="K2522" s="444">
        <f t="shared" ca="1" si="146"/>
        <v>-41400672.436806254</v>
      </c>
      <c r="L2522" s="444">
        <f t="shared" ca="1" si="147"/>
        <v>-9977562057.2703075</v>
      </c>
      <c r="M2522" s="460">
        <f t="shared" si="149"/>
        <v>0.05</v>
      </c>
      <c r="N2522" s="464">
        <f t="shared" si="150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48"/>
        <v>-9977562057.2703075</v>
      </c>
      <c r="J2523" s="444">
        <f t="array" ref="J2523">IFERROR(INDEX('Retirement Calculator'!J:J,MATCH('Isaac 401k'!N2523,'Retirement Calculator'!A:A,0),0),0)</f>
        <v>0</v>
      </c>
      <c r="K2523" s="444">
        <f t="shared" ca="1" si="146"/>
        <v>-41573175.238626279</v>
      </c>
      <c r="L2523" s="444">
        <f t="shared" ca="1" si="147"/>
        <v>-10019135232.508934</v>
      </c>
      <c r="M2523" s="460">
        <f t="shared" si="149"/>
        <v>0.05</v>
      </c>
      <c r="N2523" s="464">
        <f t="shared" si="150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48"/>
        <v>-10019135232.508934</v>
      </c>
      <c r="J2524" s="444">
        <f t="array" ref="J2524">IFERROR(INDEX('Retirement Calculator'!J:J,MATCH('Isaac 401k'!N2524,'Retirement Calculator'!A:A,0),0),0)</f>
        <v>0</v>
      </c>
      <c r="K2524" s="444">
        <f t="shared" ca="1" si="146"/>
        <v>-41746396.802120559</v>
      </c>
      <c r="L2524" s="444">
        <f t="shared" ca="1" si="147"/>
        <v>-10060881629.311054</v>
      </c>
      <c r="M2524" s="460">
        <f t="shared" si="149"/>
        <v>0.05</v>
      </c>
      <c r="N2524" s="464">
        <f t="shared" si="150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48"/>
        <v>-10060881629.311054</v>
      </c>
      <c r="J2525" s="444">
        <f t="array" ref="J2525">IFERROR(INDEX('Retirement Calculator'!J:J,MATCH('Isaac 401k'!N2525,'Retirement Calculator'!A:A,0),0),0)</f>
        <v>0</v>
      </c>
      <c r="K2525" s="444">
        <f t="shared" ca="1" si="146"/>
        <v>-41920340.122129396</v>
      </c>
      <c r="L2525" s="444">
        <f t="shared" ca="1" si="147"/>
        <v>-10102801969.433184</v>
      </c>
      <c r="M2525" s="460">
        <f t="shared" si="149"/>
        <v>0.05</v>
      </c>
      <c r="N2525" s="464">
        <f t="shared" si="150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48"/>
        <v>-10102801969.433184</v>
      </c>
      <c r="J2526" s="444">
        <f t="array" ref="J2526">IFERROR(INDEX('Retirement Calculator'!J:J,MATCH('Isaac 401k'!N2526,'Retirement Calculator'!A:A,0),0),0)</f>
        <v>0</v>
      </c>
      <c r="K2526" s="444">
        <f t="shared" ca="1" si="146"/>
        <v>-42095008.205971599</v>
      </c>
      <c r="L2526" s="444">
        <f t="shared" ca="1" si="147"/>
        <v>-10144896977.639154</v>
      </c>
      <c r="M2526" s="460">
        <f t="shared" si="149"/>
        <v>0.05</v>
      </c>
      <c r="N2526" s="464">
        <f t="shared" si="150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48"/>
        <v>-10144896977.639154</v>
      </c>
      <c r="J2527" s="444">
        <f t="array" ref="J2527">IFERROR(INDEX('Retirement Calculator'!J:J,MATCH('Isaac 401k'!N2527,'Retirement Calculator'!A:A,0),0),0)</f>
        <v>0</v>
      </c>
      <c r="K2527" s="444">
        <f t="shared" ca="1" si="146"/>
        <v>-42270404.073496476</v>
      </c>
      <c r="L2527" s="444">
        <f t="shared" ca="1" si="147"/>
        <v>-10187167381.71265</v>
      </c>
      <c r="M2527" s="460">
        <f t="shared" si="149"/>
        <v>0.05</v>
      </c>
      <c r="N2527" s="464">
        <f t="shared" si="150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48"/>
        <v>-10187167381.71265</v>
      </c>
      <c r="J2528" s="444">
        <f t="array" ref="J2528">IFERROR(INDEX('Retirement Calculator'!J:J,MATCH('Isaac 401k'!N2528,'Retirement Calculator'!A:A,0),0),0)</f>
        <v>0</v>
      </c>
      <c r="K2528" s="444">
        <f t="shared" ca="1" si="146"/>
        <v>-42446530.757136039</v>
      </c>
      <c r="L2528" s="444">
        <f t="shared" ca="1" si="147"/>
        <v>-10229613912.469786</v>
      </c>
      <c r="M2528" s="460">
        <f t="shared" si="149"/>
        <v>0.05</v>
      </c>
      <c r="N2528" s="464">
        <f t="shared" si="150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48"/>
        <v>-10229613912.469786</v>
      </c>
      <c r="J2529" s="444">
        <f t="array" ref="J2529">IFERROR(INDEX('Retirement Calculator'!J:J,MATCH('Isaac 401k'!N2529,'Retirement Calculator'!A:A,0),0),0)</f>
        <v>0</v>
      </c>
      <c r="K2529" s="444">
        <f t="shared" ca="1" si="146"/>
        <v>-42623391.301957443</v>
      </c>
      <c r="L2529" s="444">
        <f t="shared" ca="1" si="147"/>
        <v>-10272237303.771744</v>
      </c>
      <c r="M2529" s="460">
        <f t="shared" si="149"/>
        <v>0.05</v>
      </c>
      <c r="N2529" s="464">
        <f t="shared" si="150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48"/>
        <v>-10272237303.771744</v>
      </c>
      <c r="J2530" s="444">
        <f t="array" ref="J2530">IFERROR(INDEX('Retirement Calculator'!J:J,MATCH('Isaac 401k'!N2530,'Retirement Calculator'!A:A,0),0),0)</f>
        <v>0</v>
      </c>
      <c r="K2530" s="444">
        <f t="shared" ca="1" si="146"/>
        <v>-42800988.765715599</v>
      </c>
      <c r="L2530" s="444">
        <f t="shared" ca="1" si="147"/>
        <v>-10315038292.53746</v>
      </c>
      <c r="M2530" s="460">
        <f t="shared" si="149"/>
        <v>0.05</v>
      </c>
      <c r="N2530" s="464">
        <f t="shared" si="150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48"/>
        <v>-10315038292.53746</v>
      </c>
      <c r="J2531" s="444">
        <f t="array" ref="J2531">IFERROR(INDEX('Retirement Calculator'!J:J,MATCH('Isaac 401k'!N2531,'Retirement Calculator'!A:A,0),0),0)</f>
        <v>0</v>
      </c>
      <c r="K2531" s="444">
        <f t="shared" ca="1" si="146"/>
        <v>-42979326.218906082</v>
      </c>
      <c r="L2531" s="444">
        <f t="shared" ca="1" si="147"/>
        <v>-10358017618.756367</v>
      </c>
      <c r="M2531" s="460">
        <f t="shared" si="149"/>
        <v>0.05</v>
      </c>
      <c r="N2531" s="464">
        <f t="shared" si="150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48"/>
        <v>-10358017618.756367</v>
      </c>
      <c r="J2532" s="444">
        <f t="array" ref="J2532">IFERROR(INDEX('Retirement Calculator'!J:J,MATCH('Isaac 401k'!N2532,'Retirement Calculator'!A:A,0),0),0)</f>
        <v>0</v>
      </c>
      <c r="K2532" s="444">
        <f t="shared" ca="1" si="146"/>
        <v>-43158406.744818196</v>
      </c>
      <c r="L2532" s="444">
        <f t="shared" ca="1" si="147"/>
        <v>-10401176025.501184</v>
      </c>
      <c r="M2532" s="460">
        <f t="shared" si="149"/>
        <v>0.05</v>
      </c>
      <c r="N2532" s="464">
        <f t="shared" si="150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48"/>
        <v>-10401176025.501184</v>
      </c>
      <c r="J2533" s="444">
        <f t="array" ref="J2533">IFERROR(INDEX('Retirement Calculator'!J:J,MATCH('Isaac 401k'!N2533,'Retirement Calculator'!A:A,0),0),0)</f>
        <v>0</v>
      </c>
      <c r="K2533" s="444">
        <f t="shared" ca="1" si="146"/>
        <v>-43338233.439588271</v>
      </c>
      <c r="L2533" s="444">
        <f t="shared" ca="1" si="147"/>
        <v>-10444514258.940773</v>
      </c>
      <c r="M2533" s="460">
        <f t="shared" si="149"/>
        <v>0.05</v>
      </c>
      <c r="N2533" s="464">
        <f t="shared" si="150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48"/>
        <v>-10444514258.940773</v>
      </c>
      <c r="J2534" s="444">
        <f t="array" ref="J2534">IFERROR(INDEX('Retirement Calculator'!J:J,MATCH('Isaac 401k'!N2534,'Retirement Calculator'!A:A,0),0),0)</f>
        <v>0</v>
      </c>
      <c r="K2534" s="444">
        <f t="shared" ca="1" si="146"/>
        <v>-43518809.412253223</v>
      </c>
      <c r="L2534" s="444">
        <f t="shared" ca="1" si="147"/>
        <v>-10488033068.353025</v>
      </c>
      <c r="M2534" s="460">
        <f t="shared" si="149"/>
        <v>0.05</v>
      </c>
      <c r="N2534" s="464">
        <f t="shared" si="150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48"/>
        <v>-10488033068.353025</v>
      </c>
      <c r="J2535" s="444">
        <f t="array" ref="J2535">IFERROR(INDEX('Retirement Calculator'!J:J,MATCH('Isaac 401k'!N2535,'Retirement Calculator'!A:A,0),0),0)</f>
        <v>0</v>
      </c>
      <c r="K2535" s="444">
        <f t="shared" ca="1" si="146"/>
        <v>-43700137.78480427</v>
      </c>
      <c r="L2535" s="444">
        <f t="shared" ca="1" si="147"/>
        <v>-10531733206.137829</v>
      </c>
      <c r="M2535" s="460">
        <f t="shared" si="149"/>
        <v>0.05</v>
      </c>
      <c r="N2535" s="464">
        <f t="shared" si="150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48"/>
        <v>-10531733206.137829</v>
      </c>
      <c r="J2536" s="444">
        <f t="array" ref="J2536">IFERROR(INDEX('Retirement Calculator'!J:J,MATCH('Isaac 401k'!N2536,'Retirement Calculator'!A:A,0),0),0)</f>
        <v>0</v>
      </c>
      <c r="K2536" s="444">
        <f t="shared" ca="1" si="146"/>
        <v>-43882221.692240953</v>
      </c>
      <c r="L2536" s="444">
        <f t="shared" ca="1" si="147"/>
        <v>-10575615427.83007</v>
      </c>
      <c r="M2536" s="460">
        <f t="shared" si="149"/>
        <v>0.05</v>
      </c>
      <c r="N2536" s="464">
        <f t="shared" si="150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48"/>
        <v>-10575615427.83007</v>
      </c>
      <c r="J2537" s="444">
        <f t="array" ref="J2537">IFERROR(INDEX('Retirement Calculator'!J:J,MATCH('Isaac 401k'!N2537,'Retirement Calculator'!A:A,0),0),0)</f>
        <v>0</v>
      </c>
      <c r="K2537" s="444">
        <f t="shared" ca="1" si="146"/>
        <v>-44065064.282625295</v>
      </c>
      <c r="L2537" s="444">
        <f t="shared" ca="1" si="147"/>
        <v>-10619680492.112696</v>
      </c>
      <c r="M2537" s="460">
        <f t="shared" si="149"/>
        <v>0.05</v>
      </c>
      <c r="N2537" s="464">
        <f t="shared" si="150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48"/>
        <v>-10619680492.112696</v>
      </c>
      <c r="J2538" s="444">
        <f t="array" ref="J2538">IFERROR(INDEX('Retirement Calculator'!J:J,MATCH('Isaac 401k'!N2538,'Retirement Calculator'!A:A,0),0),0)</f>
        <v>0</v>
      </c>
      <c r="K2538" s="444">
        <f t="shared" ca="1" si="146"/>
        <v>-44248668.717136234</v>
      </c>
      <c r="L2538" s="444">
        <f t="shared" ca="1" si="147"/>
        <v>-10663929160.829832</v>
      </c>
      <c r="M2538" s="460">
        <f t="shared" si="149"/>
        <v>0.05</v>
      </c>
      <c r="N2538" s="464">
        <f t="shared" si="150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48"/>
        <v>-10663929160.829832</v>
      </c>
      <c r="J2539" s="444">
        <f t="array" ref="J2539">IFERROR(INDEX('Retirement Calculator'!J:J,MATCH('Isaac 401k'!N2539,'Retirement Calculator'!A:A,0),0),0)</f>
        <v>0</v>
      </c>
      <c r="K2539" s="444">
        <f t="shared" ca="1" si="146"/>
        <v>-44433038.1701243</v>
      </c>
      <c r="L2539" s="444">
        <f t="shared" ca="1" si="147"/>
        <v>-10708362198.999956</v>
      </c>
      <c r="M2539" s="460">
        <f t="shared" si="149"/>
        <v>0.05</v>
      </c>
      <c r="N2539" s="464">
        <f t="shared" si="150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48"/>
        <v>-10708362198.999956</v>
      </c>
      <c r="J2540" s="444">
        <f t="array" ref="J2540">IFERROR(INDEX('Retirement Calculator'!J:J,MATCH('Isaac 401k'!N2540,'Retirement Calculator'!A:A,0),0),0)</f>
        <v>0</v>
      </c>
      <c r="K2540" s="444">
        <f t="shared" ca="1" si="146"/>
        <v>-44618175.829166487</v>
      </c>
      <c r="L2540" s="444">
        <f t="shared" ca="1" si="147"/>
        <v>-10752980374.829123</v>
      </c>
      <c r="M2540" s="460">
        <f t="shared" si="149"/>
        <v>0.05</v>
      </c>
      <c r="N2540" s="464">
        <f t="shared" si="150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48"/>
        <v>-10752980374.829123</v>
      </c>
      <c r="J2541" s="444">
        <f t="array" ref="J2541">IFERROR(INDEX('Retirement Calculator'!J:J,MATCH('Isaac 401k'!N2541,'Retirement Calculator'!A:A,0),0),0)</f>
        <v>0</v>
      </c>
      <c r="K2541" s="444">
        <f t="shared" ca="1" si="146"/>
        <v>-44804084.895121343</v>
      </c>
      <c r="L2541" s="444">
        <f t="shared" ca="1" si="147"/>
        <v>-10797784459.724243</v>
      </c>
      <c r="M2541" s="460">
        <f t="shared" si="149"/>
        <v>0.05</v>
      </c>
      <c r="N2541" s="464">
        <f t="shared" si="150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48"/>
        <v>-10797784459.724243</v>
      </c>
      <c r="J2542" s="444">
        <f t="array" ref="J2542">IFERROR(INDEX('Retirement Calculator'!J:J,MATCH('Isaac 401k'!N2542,'Retirement Calculator'!A:A,0),0),0)</f>
        <v>0</v>
      </c>
      <c r="K2542" s="444">
        <f t="shared" ca="1" si="146"/>
        <v>-44990768.582184345</v>
      </c>
      <c r="L2542" s="444">
        <f t="shared" ca="1" si="147"/>
        <v>-10842775228.306427</v>
      </c>
      <c r="M2542" s="460">
        <f t="shared" si="149"/>
        <v>0.05</v>
      </c>
      <c r="N2542" s="464">
        <f t="shared" si="150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48"/>
        <v>-10842775228.306427</v>
      </c>
      <c r="J2543" s="444">
        <f t="array" ref="J2543">IFERROR(INDEX('Retirement Calculator'!J:J,MATCH('Isaac 401k'!N2543,'Retirement Calculator'!A:A,0),0),0)</f>
        <v>0</v>
      </c>
      <c r="K2543" s="444">
        <f t="shared" ca="1" si="146"/>
        <v>-45178230.117943443</v>
      </c>
      <c r="L2543" s="444">
        <f t="shared" ca="1" si="147"/>
        <v>-10887953458.42437</v>
      </c>
      <c r="M2543" s="460">
        <f t="shared" si="149"/>
        <v>0.05</v>
      </c>
      <c r="N2543" s="464">
        <f t="shared" si="150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48"/>
        <v>-10887953458.42437</v>
      </c>
      <c r="J2544" s="444">
        <f t="array" ref="J2544">IFERROR(INDEX('Retirement Calculator'!J:J,MATCH('Isaac 401k'!N2544,'Retirement Calculator'!A:A,0),0),0)</f>
        <v>0</v>
      </c>
      <c r="K2544" s="444">
        <f t="shared" ca="1" si="146"/>
        <v>-45366472.743434876</v>
      </c>
      <c r="L2544" s="444">
        <f t="shared" ca="1" si="147"/>
        <v>-10933319931.167805</v>
      </c>
      <c r="M2544" s="460">
        <f t="shared" si="149"/>
        <v>0.05</v>
      </c>
      <c r="N2544" s="464">
        <f t="shared" si="150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48"/>
        <v>-10933319931.167805</v>
      </c>
      <c r="J2545" s="444">
        <f t="array" ref="J2545">IFERROR(INDEX('Retirement Calculator'!J:J,MATCH('Isaac 401k'!N2545,'Retirement Calculator'!A:A,0),0),0)</f>
        <v>0</v>
      </c>
      <c r="K2545" s="444">
        <f t="shared" ca="1" si="146"/>
        <v>-45555499.713199183</v>
      </c>
      <c r="L2545" s="444">
        <f t="shared" ca="1" si="147"/>
        <v>-10978875430.881004</v>
      </c>
      <c r="M2545" s="460">
        <f t="shared" si="149"/>
        <v>0.05</v>
      </c>
      <c r="N2545" s="464">
        <f t="shared" si="150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48"/>
        <v>-10978875430.881004</v>
      </c>
      <c r="J2546" s="444">
        <f t="array" ref="J2546">IFERROR(INDEX('Retirement Calculator'!J:J,MATCH('Isaac 401k'!N2546,'Retirement Calculator'!A:A,0),0),0)</f>
        <v>0</v>
      </c>
      <c r="K2546" s="444">
        <f t="shared" ca="1" si="146"/>
        <v>-45745314.295337521</v>
      </c>
      <c r="L2546" s="444">
        <f t="shared" ca="1" si="147"/>
        <v>-11024620745.176342</v>
      </c>
      <c r="M2546" s="460">
        <f t="shared" si="149"/>
        <v>0.05</v>
      </c>
      <c r="N2546" s="464">
        <f t="shared" si="150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48"/>
        <v>-11024620745.176342</v>
      </c>
      <c r="J2547" s="444">
        <f t="array" ref="J2547">IFERROR(INDEX('Retirement Calculator'!J:J,MATCH('Isaac 401k'!N2547,'Retirement Calculator'!A:A,0),0),0)</f>
        <v>0</v>
      </c>
      <c r="K2547" s="444">
        <f t="shared" ca="1" si="146"/>
        <v>-45935919.77156809</v>
      </c>
      <c r="L2547" s="444">
        <f t="shared" ca="1" si="147"/>
        <v>-11070556664.94791</v>
      </c>
      <c r="M2547" s="460">
        <f t="shared" si="149"/>
        <v>0.05</v>
      </c>
      <c r="N2547" s="464">
        <f t="shared" si="150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48"/>
        <v>-11070556664.94791</v>
      </c>
      <c r="J2548" s="444">
        <f t="array" ref="J2548">IFERROR(INDEX('Retirement Calculator'!J:J,MATCH('Isaac 401k'!N2548,'Retirement Calculator'!A:A,0),0),0)</f>
        <v>0</v>
      </c>
      <c r="K2548" s="444">
        <f t="shared" ca="1" si="146"/>
        <v>-46127319.437282957</v>
      </c>
      <c r="L2548" s="444">
        <f t="shared" ca="1" si="147"/>
        <v>-11116683984.385193</v>
      </c>
      <c r="M2548" s="460">
        <f t="shared" si="149"/>
        <v>0.05</v>
      </c>
      <c r="N2548" s="464">
        <f t="shared" si="150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48"/>
        <v>-11116683984.385193</v>
      </c>
      <c r="J2549" s="444">
        <f t="array" ref="J2549">IFERROR(INDEX('Retirement Calculator'!J:J,MATCH('Isaac 401k'!N2549,'Retirement Calculator'!A:A,0),0),0)</f>
        <v>0</v>
      </c>
      <c r="K2549" s="444">
        <f t="shared" ca="1" si="146"/>
        <v>-46319516.601604968</v>
      </c>
      <c r="L2549" s="444">
        <f t="shared" ca="1" si="147"/>
        <v>-11163003500.986797</v>
      </c>
      <c r="M2549" s="460">
        <f t="shared" si="149"/>
        <v>0.05</v>
      </c>
      <c r="N2549" s="464">
        <f t="shared" si="150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48"/>
        <v>-11163003500.986797</v>
      </c>
      <c r="J2550" s="444">
        <f t="array" ref="J2550">IFERROR(INDEX('Retirement Calculator'!J:J,MATCH('Isaac 401k'!N2550,'Retirement Calculator'!A:A,0),0),0)</f>
        <v>0</v>
      </c>
      <c r="K2550" s="444">
        <f t="shared" ca="1" si="146"/>
        <v>-46512514.587444991</v>
      </c>
      <c r="L2550" s="444">
        <f t="shared" ca="1" si="147"/>
        <v>-11209516015.574242</v>
      </c>
      <c r="M2550" s="460">
        <f t="shared" si="149"/>
        <v>0.05</v>
      </c>
      <c r="N2550" s="464">
        <f t="shared" si="150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48"/>
        <v>-11209516015.574242</v>
      </c>
      <c r="J2551" s="444">
        <f t="array" ref="J2551">IFERROR(INDEX('Retirement Calculator'!J:J,MATCH('Isaac 401k'!N2551,'Retirement Calculator'!A:A,0),0),0)</f>
        <v>0</v>
      </c>
      <c r="K2551" s="444">
        <f t="shared" ca="1" si="146"/>
        <v>-46706316.731559336</v>
      </c>
      <c r="L2551" s="444">
        <f t="shared" ca="1" si="147"/>
        <v>-11256222332.305801</v>
      </c>
      <c r="M2551" s="460">
        <f t="shared" si="149"/>
        <v>0.05</v>
      </c>
      <c r="N2551" s="464">
        <f t="shared" si="150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48"/>
        <v>-11256222332.305801</v>
      </c>
      <c r="J2552" s="444">
        <f t="array" ref="J2552">IFERROR(INDEX('Retirement Calculator'!J:J,MATCH('Isaac 401k'!N2552,'Retirement Calculator'!A:A,0),0),0)</f>
        <v>0</v>
      </c>
      <c r="K2552" s="444">
        <f t="shared" ca="1" si="146"/>
        <v>-46900926.384607509</v>
      </c>
      <c r="L2552" s="444">
        <f t="shared" ca="1" si="147"/>
        <v>-11303123258.690409</v>
      </c>
      <c r="M2552" s="460">
        <f t="shared" si="149"/>
        <v>0.05</v>
      </c>
      <c r="N2552" s="464">
        <f t="shared" si="150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48"/>
        <v>-11303123258.690409</v>
      </c>
      <c r="J2553" s="444">
        <f t="array" ref="J2553">IFERROR(INDEX('Retirement Calculator'!J:J,MATCH('Isaac 401k'!N2553,'Retirement Calculator'!A:A,0),0),0)</f>
        <v>0</v>
      </c>
      <c r="K2553" s="444">
        <f t="shared" ca="1" si="146"/>
        <v>-47096346.911210038</v>
      </c>
      <c r="L2553" s="444">
        <f t="shared" ca="1" si="147"/>
        <v>-11350219605.601618</v>
      </c>
      <c r="M2553" s="460">
        <f t="shared" si="149"/>
        <v>0.05</v>
      </c>
      <c r="N2553" s="464">
        <f t="shared" si="150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48"/>
        <v>-11350219605.601618</v>
      </c>
      <c r="J2554" s="444">
        <f t="array" ref="J2554">IFERROR(INDEX('Retirement Calculator'!J:J,MATCH('Isaac 401k'!N2554,'Retirement Calculator'!A:A,0),0),0)</f>
        <v>0</v>
      </c>
      <c r="K2554" s="444">
        <f t="shared" ca="1" si="146"/>
        <v>-47292581.69000674</v>
      </c>
      <c r="L2554" s="444">
        <f t="shared" ca="1" si="147"/>
        <v>-11397512187.291624</v>
      </c>
      <c r="M2554" s="460">
        <f t="shared" si="149"/>
        <v>0.05</v>
      </c>
      <c r="N2554" s="464">
        <f t="shared" si="150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48"/>
        <v>-11397512187.291624</v>
      </c>
      <c r="J2555" s="444">
        <f t="array" ref="J2555">IFERROR(INDEX('Retirement Calculator'!J:J,MATCH('Isaac 401k'!N2555,'Retirement Calculator'!A:A,0),0),0)</f>
        <v>0</v>
      </c>
      <c r="K2555" s="444">
        <f t="shared" ca="1" si="146"/>
        <v>-47489634.113715097</v>
      </c>
      <c r="L2555" s="444">
        <f t="shared" ca="1" si="147"/>
        <v>-11445001821.405338</v>
      </c>
      <c r="M2555" s="460">
        <f t="shared" si="149"/>
        <v>0.05</v>
      </c>
      <c r="N2555" s="464">
        <f t="shared" si="150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48"/>
        <v>-11445001821.405338</v>
      </c>
      <c r="J2556" s="444">
        <f t="array" ref="J2556">IFERROR(INDEX('Retirement Calculator'!J:J,MATCH('Isaac 401k'!N2556,'Retirement Calculator'!A:A,0),0),0)</f>
        <v>0</v>
      </c>
      <c r="K2556" s="444">
        <f t="shared" ca="1" si="146"/>
        <v>-47687507.589188911</v>
      </c>
      <c r="L2556" s="444">
        <f t="shared" ca="1" si="147"/>
        <v>-11492689328.994528</v>
      </c>
      <c r="M2556" s="460">
        <f t="shared" si="149"/>
        <v>0.05</v>
      </c>
      <c r="N2556" s="464">
        <f t="shared" si="150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48"/>
        <v>-11492689328.994528</v>
      </c>
      <c r="J2557" s="444">
        <f t="array" ref="J2557">IFERROR(INDEX('Retirement Calculator'!J:J,MATCH('Isaac 401k'!N2557,'Retirement Calculator'!A:A,0),0),0)</f>
        <v>0</v>
      </c>
      <c r="K2557" s="444">
        <f t="shared" ca="1" si="146"/>
        <v>-47886205.537477195</v>
      </c>
      <c r="L2557" s="444">
        <f t="shared" ca="1" si="147"/>
        <v>-11540575534.532005</v>
      </c>
      <c r="M2557" s="460">
        <f t="shared" si="149"/>
        <v>0.05</v>
      </c>
      <c r="N2557" s="464">
        <f t="shared" si="150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48"/>
        <v>-11540575534.532005</v>
      </c>
      <c r="J2558" s="444">
        <f t="array" ref="J2558">IFERROR(INDEX('Retirement Calculator'!J:J,MATCH('Isaac 401k'!N2558,'Retirement Calculator'!A:A,0),0),0)</f>
        <v>0</v>
      </c>
      <c r="K2558" s="444">
        <f t="shared" ref="K2558:K2812" ca="1" si="151">IPMT(M2558/12,1,12,-I2558+J2558,,0)</f>
        <v>-48085731.393883355</v>
      </c>
      <c r="L2558" s="444">
        <f t="shared" ref="L2558:L2812" ca="1" si="152">I2558-J2558+K2558</f>
        <v>-11588661265.925888</v>
      </c>
      <c r="M2558" s="460">
        <f t="shared" si="149"/>
        <v>0.05</v>
      </c>
      <c r="N2558" s="464">
        <f t="shared" si="150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53">L2558</f>
        <v>-11588661265.925888</v>
      </c>
      <c r="J2559" s="444">
        <f t="array" ref="J2559">IFERROR(INDEX('Retirement Calculator'!J:J,MATCH('Isaac 401k'!N2559,'Retirement Calculator'!A:A,0),0),0)</f>
        <v>0</v>
      </c>
      <c r="K2559" s="444">
        <f t="shared" ca="1" si="151"/>
        <v>-48286088.60802453</v>
      </c>
      <c r="L2559" s="444">
        <f t="shared" ca="1" si="152"/>
        <v>-11636947354.533913</v>
      </c>
      <c r="M2559" s="460">
        <f t="shared" ref="M2559:M2813" si="154">M2558</f>
        <v>0.05</v>
      </c>
      <c r="N2559" s="464">
        <f t="shared" ref="N2559:N2813" si="155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53"/>
        <v>-11636947354.533913</v>
      </c>
      <c r="J2560" s="444">
        <f t="array" ref="J2560">IFERROR(INDEX('Retirement Calculator'!J:J,MATCH('Isaac 401k'!N2560,'Retirement Calculator'!A:A,0),0),0)</f>
        <v>0</v>
      </c>
      <c r="K2560" s="444">
        <f t="shared" ca="1" si="151"/>
        <v>-48487280.643891305</v>
      </c>
      <c r="L2560" s="444">
        <f t="shared" ca="1" si="152"/>
        <v>-11685434635.177803</v>
      </c>
      <c r="M2560" s="460">
        <f t="shared" si="154"/>
        <v>0.05</v>
      </c>
      <c r="N2560" s="464">
        <f t="shared" si="155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53"/>
        <v>-11685434635.177803</v>
      </c>
      <c r="J2561" s="444">
        <f t="array" ref="J2561">IFERROR(INDEX('Retirement Calculator'!J:J,MATCH('Isaac 401k'!N2561,'Retirement Calculator'!A:A,0),0),0)</f>
        <v>0</v>
      </c>
      <c r="K2561" s="444">
        <f t="shared" ca="1" si="151"/>
        <v>-48689310.979907513</v>
      </c>
      <c r="L2561" s="444">
        <f t="shared" ca="1" si="152"/>
        <v>-11734123946.157711</v>
      </c>
      <c r="M2561" s="460">
        <f t="shared" si="154"/>
        <v>0.05</v>
      </c>
      <c r="N2561" s="464">
        <f t="shared" si="155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53"/>
        <v>-11734123946.157711</v>
      </c>
      <c r="J2562" s="444">
        <f t="array" ref="J2562">IFERROR(INDEX('Retirement Calculator'!J:J,MATCH('Isaac 401k'!N2562,'Retirement Calculator'!A:A,0),0),0)</f>
        <v>0</v>
      </c>
      <c r="K2562" s="444">
        <f t="shared" ca="1" si="151"/>
        <v>-48892183.108990461</v>
      </c>
      <c r="L2562" s="444">
        <f t="shared" ca="1" si="152"/>
        <v>-11783016129.266701</v>
      </c>
      <c r="M2562" s="460">
        <f t="shared" si="154"/>
        <v>0.05</v>
      </c>
      <c r="N2562" s="464">
        <f t="shared" si="155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53"/>
        <v>-11783016129.266701</v>
      </c>
      <c r="J2563" s="444">
        <f t="array" ref="J2563">IFERROR(INDEX('Retirement Calculator'!J:J,MATCH('Isaac 401k'!N2563,'Retirement Calculator'!A:A,0),0),0)</f>
        <v>0</v>
      </c>
      <c r="K2563" s="444">
        <f t="shared" ca="1" si="151"/>
        <v>-49095900.538611256</v>
      </c>
      <c r="L2563" s="444">
        <f t="shared" ca="1" si="152"/>
        <v>-11832112029.805311</v>
      </c>
      <c r="M2563" s="460">
        <f t="shared" si="154"/>
        <v>0.05</v>
      </c>
      <c r="N2563" s="464">
        <f t="shared" si="155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53"/>
        <v>-11832112029.805311</v>
      </c>
      <c r="J2564" s="444">
        <f t="array" ref="J2564">IFERROR(INDEX('Retirement Calculator'!J:J,MATCH('Isaac 401k'!N2564,'Retirement Calculator'!A:A,0),0),0)</f>
        <v>0</v>
      </c>
      <c r="K2564" s="444">
        <f t="shared" ca="1" si="151"/>
        <v>-49300466.79085546</v>
      </c>
      <c r="L2564" s="444">
        <f t="shared" ca="1" si="152"/>
        <v>-11881412496.596167</v>
      </c>
      <c r="M2564" s="460">
        <f t="shared" si="154"/>
        <v>0.05</v>
      </c>
      <c r="N2564" s="464">
        <f t="shared" si="155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53"/>
        <v>-11881412496.596167</v>
      </c>
      <c r="J2565" s="444">
        <f t="array" ref="J2565">IFERROR(INDEX('Retirement Calculator'!J:J,MATCH('Isaac 401k'!N2565,'Retirement Calculator'!A:A,0),0),0)</f>
        <v>0</v>
      </c>
      <c r="K2565" s="444">
        <f t="shared" ca="1" si="151"/>
        <v>-49505885.40248403</v>
      </c>
      <c r="L2565" s="444">
        <f t="shared" ca="1" si="152"/>
        <v>-11930918381.998652</v>
      </c>
      <c r="M2565" s="460">
        <f t="shared" si="154"/>
        <v>0.05</v>
      </c>
      <c r="N2565" s="464">
        <f t="shared" si="155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53"/>
        <v>-11930918381.998652</v>
      </c>
      <c r="J2566" s="444">
        <f t="array" ref="J2566">IFERROR(INDEX('Retirement Calculator'!J:J,MATCH('Isaac 401k'!N2566,'Retirement Calculator'!A:A,0),0),0)</f>
        <v>0</v>
      </c>
      <c r="K2566" s="444">
        <f t="shared" ca="1" si="151"/>
        <v>-49712159.924994379</v>
      </c>
      <c r="L2566" s="444">
        <f t="shared" ca="1" si="152"/>
        <v>-11980630541.923645</v>
      </c>
      <c r="M2566" s="460">
        <f t="shared" si="154"/>
        <v>0.05</v>
      </c>
      <c r="N2566" s="464">
        <f t="shared" si="155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53"/>
        <v>-11980630541.923645</v>
      </c>
      <c r="J2567" s="444">
        <f t="array" ref="J2567">IFERROR(INDEX('Retirement Calculator'!J:J,MATCH('Isaac 401k'!N2567,'Retirement Calculator'!A:A,0),0),0)</f>
        <v>0</v>
      </c>
      <c r="K2567" s="444">
        <f t="shared" ca="1" si="151"/>
        <v>-49919293.924681857</v>
      </c>
      <c r="L2567" s="444">
        <f t="shared" ca="1" si="152"/>
        <v>-12030549835.848328</v>
      </c>
      <c r="M2567" s="460">
        <f t="shared" si="154"/>
        <v>0.05</v>
      </c>
      <c r="N2567" s="464">
        <f t="shared" si="155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53"/>
        <v>-12030549835.848328</v>
      </c>
      <c r="J2568" s="444">
        <f t="array" ref="J2568">IFERROR(INDEX('Retirement Calculator'!J:J,MATCH('Isaac 401k'!N2568,'Retirement Calculator'!A:A,0),0),0)</f>
        <v>0</v>
      </c>
      <c r="K2568" s="444">
        <f t="shared" ca="1" si="151"/>
        <v>-50127290.982701361</v>
      </c>
      <c r="L2568" s="444">
        <f t="shared" ca="1" si="152"/>
        <v>-12080677126.83103</v>
      </c>
      <c r="M2568" s="460">
        <f t="shared" si="154"/>
        <v>0.05</v>
      </c>
      <c r="N2568" s="464">
        <f t="shared" si="155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53"/>
        <v>-12080677126.83103</v>
      </c>
      <c r="J2569" s="444">
        <f t="array" ref="J2569">IFERROR(INDEX('Retirement Calculator'!J:J,MATCH('Isaac 401k'!N2569,'Retirement Calculator'!A:A,0),0),0)</f>
        <v>0</v>
      </c>
      <c r="K2569" s="444">
        <f t="shared" ca="1" si="151"/>
        <v>-50336154.69512929</v>
      </c>
      <c r="L2569" s="444">
        <f t="shared" ca="1" si="152"/>
        <v>-12131013281.526159</v>
      </c>
      <c r="M2569" s="460">
        <f t="shared" si="154"/>
        <v>0.05</v>
      </c>
      <c r="N2569" s="464">
        <f t="shared" si="155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53"/>
        <v>-12131013281.526159</v>
      </c>
      <c r="J2570" s="444">
        <f t="array" ref="J2570">IFERROR(INDEX('Retirement Calculator'!J:J,MATCH('Isaac 401k'!N2570,'Retirement Calculator'!A:A,0),0),0)</f>
        <v>0</v>
      </c>
      <c r="K2570" s="444">
        <f t="shared" ca="1" si="151"/>
        <v>-50545888.67302566</v>
      </c>
      <c r="L2570" s="444">
        <f t="shared" ca="1" si="152"/>
        <v>-12181559170.199184</v>
      </c>
      <c r="M2570" s="460">
        <f t="shared" si="154"/>
        <v>0.05</v>
      </c>
      <c r="N2570" s="464">
        <f t="shared" si="155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53"/>
        <v>-12181559170.199184</v>
      </c>
      <c r="J2571" s="444">
        <f t="array" ref="J2571">IFERROR(INDEX('Retirement Calculator'!J:J,MATCH('Isaac 401k'!N2571,'Retirement Calculator'!A:A,0),0),0)</f>
        <v>0</v>
      </c>
      <c r="K2571" s="444">
        <f t="shared" ca="1" si="151"/>
        <v>-50756496.542496599</v>
      </c>
      <c r="L2571" s="444">
        <f t="shared" ca="1" si="152"/>
        <v>-12232315666.74168</v>
      </c>
      <c r="M2571" s="460">
        <f t="shared" si="154"/>
        <v>0.05</v>
      </c>
      <c r="N2571" s="464">
        <f t="shared" si="155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53"/>
        <v>-12232315666.74168</v>
      </c>
      <c r="J2572" s="444">
        <f t="array" ref="J2572">IFERROR(INDEX('Retirement Calculator'!J:J,MATCH('Isaac 401k'!N2572,'Retirement Calculator'!A:A,0),0),0)</f>
        <v>0</v>
      </c>
      <c r="K2572" s="444">
        <f t="shared" ca="1" si="151"/>
        <v>-50967981.944757</v>
      </c>
      <c r="L2572" s="444">
        <f t="shared" ca="1" si="152"/>
        <v>-12283283648.686438</v>
      </c>
      <c r="M2572" s="460">
        <f t="shared" si="154"/>
        <v>0.05</v>
      </c>
      <c r="N2572" s="464">
        <f t="shared" si="155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53"/>
        <v>-12283283648.686438</v>
      </c>
      <c r="J2573" s="444">
        <f t="array" ref="J2573">IFERROR(INDEX('Retirement Calculator'!J:J,MATCH('Isaac 401k'!N2573,'Retirement Calculator'!A:A,0),0),0)</f>
        <v>0</v>
      </c>
      <c r="K2573" s="444">
        <f t="shared" ca="1" si="151"/>
        <v>-51180348.53619349</v>
      </c>
      <c r="L2573" s="444">
        <f t="shared" ca="1" si="152"/>
        <v>-12334463997.222631</v>
      </c>
      <c r="M2573" s="460">
        <f t="shared" si="154"/>
        <v>0.05</v>
      </c>
      <c r="N2573" s="464">
        <f t="shared" si="155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53"/>
        <v>-12334463997.222631</v>
      </c>
      <c r="J2574" s="444">
        <f t="array" ref="J2574">IFERROR(INDEX('Retirement Calculator'!J:J,MATCH('Isaac 401k'!N2574,'Retirement Calculator'!A:A,0),0),0)</f>
        <v>0</v>
      </c>
      <c r="K2574" s="444">
        <f t="shared" ca="1" si="151"/>
        <v>-51393599.988427632</v>
      </c>
      <c r="L2574" s="444">
        <f t="shared" ca="1" si="152"/>
        <v>-12385857597.21106</v>
      </c>
      <c r="M2574" s="460">
        <f t="shared" si="154"/>
        <v>0.05</v>
      </c>
      <c r="N2574" s="464">
        <f t="shared" si="155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53"/>
        <v>-12385857597.21106</v>
      </c>
      <c r="J2575" s="444">
        <f t="array" ref="J2575">IFERROR(INDEX('Retirement Calculator'!J:J,MATCH('Isaac 401k'!N2575,'Retirement Calculator'!A:A,0),0),0)</f>
        <v>0</v>
      </c>
      <c r="K2575" s="444">
        <f t="shared" ca="1" si="151"/>
        <v>-51607739.988379411</v>
      </c>
      <c r="L2575" s="444">
        <f t="shared" ca="1" si="152"/>
        <v>-12437465337.199438</v>
      </c>
      <c r="M2575" s="460">
        <f t="shared" si="154"/>
        <v>0.05</v>
      </c>
      <c r="N2575" s="464">
        <f t="shared" si="155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53"/>
        <v>-12437465337.199438</v>
      </c>
      <c r="J2576" s="444">
        <f t="array" ref="J2576">IFERROR(INDEX('Retirement Calculator'!J:J,MATCH('Isaac 401k'!N2576,'Retirement Calculator'!A:A,0),0),0)</f>
        <v>0</v>
      </c>
      <c r="K2576" s="444">
        <f t="shared" ca="1" si="151"/>
        <v>-51822772.23833099</v>
      </c>
      <c r="L2576" s="444">
        <f t="shared" ca="1" si="152"/>
        <v>-12489288109.437769</v>
      </c>
      <c r="M2576" s="460">
        <f t="shared" si="154"/>
        <v>0.05</v>
      </c>
      <c r="N2576" s="464">
        <f t="shared" si="155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53"/>
        <v>-12489288109.437769</v>
      </c>
      <c r="J2577" s="444">
        <f t="array" ref="J2577">IFERROR(INDEX('Retirement Calculator'!J:J,MATCH('Isaac 401k'!N2577,'Retirement Calculator'!A:A,0),0),0)</f>
        <v>0</v>
      </c>
      <c r="K2577" s="444">
        <f t="shared" ca="1" si="151"/>
        <v>-52038700.455990702</v>
      </c>
      <c r="L2577" s="444">
        <f t="shared" ca="1" si="152"/>
        <v>-12541326809.893759</v>
      </c>
      <c r="M2577" s="460">
        <f t="shared" si="154"/>
        <v>0.05</v>
      </c>
      <c r="N2577" s="464">
        <f t="shared" si="155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53"/>
        <v>-12541326809.893759</v>
      </c>
      <c r="J2578" s="444">
        <f t="array" ref="J2578">IFERROR(INDEX('Retirement Calculator'!J:J,MATCH('Isaac 401k'!N2578,'Retirement Calculator'!A:A,0),0),0)</f>
        <v>0</v>
      </c>
      <c r="K2578" s="444">
        <f t="shared" ca="1" si="151"/>
        <v>-52255528.374557331</v>
      </c>
      <c r="L2578" s="444">
        <f t="shared" ca="1" si="152"/>
        <v>-12593582338.268316</v>
      </c>
      <c r="M2578" s="460">
        <f t="shared" si="154"/>
        <v>0.05</v>
      </c>
      <c r="N2578" s="464">
        <f t="shared" si="155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53"/>
        <v>-12593582338.268316</v>
      </c>
      <c r="J2579" s="444">
        <f t="array" ref="J2579">IFERROR(INDEX('Retirement Calculator'!J:J,MATCH('Isaac 401k'!N2579,'Retirement Calculator'!A:A,0),0),0)</f>
        <v>0</v>
      </c>
      <c r="K2579" s="444">
        <f t="shared" ca="1" si="151"/>
        <v>-52473259.742784649</v>
      </c>
      <c r="L2579" s="444">
        <f t="shared" ca="1" si="152"/>
        <v>-12646055598.011101</v>
      </c>
      <c r="M2579" s="460">
        <f t="shared" si="154"/>
        <v>0.05</v>
      </c>
      <c r="N2579" s="464">
        <f t="shared" si="155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53"/>
        <v>-12646055598.011101</v>
      </c>
      <c r="J2580" s="444">
        <f t="array" ref="J2580">IFERROR(INDEX('Retirement Calculator'!J:J,MATCH('Isaac 401k'!N2580,'Retirement Calculator'!A:A,0),0),0)</f>
        <v>0</v>
      </c>
      <c r="K2580" s="444">
        <f t="shared" ca="1" si="151"/>
        <v>-52691898.325046256</v>
      </c>
      <c r="L2580" s="444">
        <f t="shared" ca="1" si="152"/>
        <v>-12698747496.336147</v>
      </c>
      <c r="M2580" s="460">
        <f t="shared" si="154"/>
        <v>0.05</v>
      </c>
      <c r="N2580" s="464">
        <f t="shared" si="155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53"/>
        <v>-12698747496.336147</v>
      </c>
      <c r="J2581" s="444">
        <f t="array" ref="J2581">IFERROR(INDEX('Retirement Calculator'!J:J,MATCH('Isaac 401k'!N2581,'Retirement Calculator'!A:A,0),0),0)</f>
        <v>0</v>
      </c>
      <c r="K2581" s="444">
        <f t="shared" ca="1" si="151"/>
        <v>-52911447.901400611</v>
      </c>
      <c r="L2581" s="444">
        <f t="shared" ca="1" si="152"/>
        <v>-12751658944.237549</v>
      </c>
      <c r="M2581" s="460">
        <f t="shared" si="154"/>
        <v>0.05</v>
      </c>
      <c r="N2581" s="464">
        <f t="shared" si="155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53"/>
        <v>-12751658944.237549</v>
      </c>
      <c r="J2582" s="444">
        <f t="array" ref="J2582">IFERROR(INDEX('Retirement Calculator'!J:J,MATCH('Isaac 401k'!N2582,'Retirement Calculator'!A:A,0),0),0)</f>
        <v>0</v>
      </c>
      <c r="K2582" s="444">
        <f t="shared" ca="1" si="151"/>
        <v>-53131912.267656453</v>
      </c>
      <c r="L2582" s="444">
        <f t="shared" ca="1" si="152"/>
        <v>-12804790856.505205</v>
      </c>
      <c r="M2582" s="460">
        <f t="shared" si="154"/>
        <v>0.05</v>
      </c>
      <c r="N2582" s="464">
        <f t="shared" si="155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53"/>
        <v>-12804790856.505205</v>
      </c>
      <c r="J2583" s="444">
        <f t="array" ref="J2583">IFERROR(INDEX('Retirement Calculator'!J:J,MATCH('Isaac 401k'!N2583,'Retirement Calculator'!A:A,0),0),0)</f>
        <v>0</v>
      </c>
      <c r="K2583" s="444">
        <f t="shared" ca="1" si="151"/>
        <v>-53353295.235438354</v>
      </c>
      <c r="L2583" s="444">
        <f t="shared" ca="1" si="152"/>
        <v>-12858144151.740644</v>
      </c>
      <c r="M2583" s="460">
        <f t="shared" si="154"/>
        <v>0.05</v>
      </c>
      <c r="N2583" s="464">
        <f t="shared" si="155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53"/>
        <v>-12858144151.740644</v>
      </c>
      <c r="J2584" s="444">
        <f t="array" ref="J2584">IFERROR(INDEX('Retirement Calculator'!J:J,MATCH('Isaac 401k'!N2584,'Retirement Calculator'!A:A,0),0),0)</f>
        <v>0</v>
      </c>
      <c r="K2584" s="444">
        <f t="shared" ca="1" si="151"/>
        <v>-53575600.632252686</v>
      </c>
      <c r="L2584" s="444">
        <f t="shared" ca="1" si="152"/>
        <v>-12911719752.372896</v>
      </c>
      <c r="M2584" s="460">
        <f t="shared" si="154"/>
        <v>0.05</v>
      </c>
      <c r="N2584" s="464">
        <f t="shared" si="155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53"/>
        <v>-12911719752.372896</v>
      </c>
      <c r="J2585" s="444">
        <f t="array" ref="J2585">IFERROR(INDEX('Retirement Calculator'!J:J,MATCH('Isaac 401k'!N2585,'Retirement Calculator'!A:A,0),0),0)</f>
        <v>0</v>
      </c>
      <c r="K2585" s="444">
        <f t="shared" ca="1" si="151"/>
        <v>-53798832.301553734</v>
      </c>
      <c r="L2585" s="444">
        <f t="shared" ca="1" si="152"/>
        <v>-12965518584.67445</v>
      </c>
      <c r="M2585" s="460">
        <f t="shared" si="154"/>
        <v>0.05</v>
      </c>
      <c r="N2585" s="464">
        <f t="shared" si="155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53"/>
        <v>-12965518584.67445</v>
      </c>
      <c r="J2586" s="444">
        <f t="array" ref="J2586">IFERROR(INDEX('Retirement Calculator'!J:J,MATCH('Isaac 401k'!N2586,'Retirement Calculator'!A:A,0),0),0)</f>
        <v>0</v>
      </c>
      <c r="K2586" s="444">
        <f t="shared" ca="1" si="151"/>
        <v>-54022994.102810204</v>
      </c>
      <c r="L2586" s="444">
        <f t="shared" ca="1" si="152"/>
        <v>-13019541578.77726</v>
      </c>
      <c r="M2586" s="460">
        <f t="shared" si="154"/>
        <v>0.05</v>
      </c>
      <c r="N2586" s="464">
        <f t="shared" si="155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53"/>
        <v>-13019541578.77726</v>
      </c>
      <c r="J2587" s="444">
        <f t="array" ref="J2587">IFERROR(INDEX('Retirement Calculator'!J:J,MATCH('Isaac 401k'!N2587,'Retirement Calculator'!A:A,0),0),0)</f>
        <v>0</v>
      </c>
      <c r="K2587" s="444">
        <f t="shared" ca="1" si="151"/>
        <v>-54248089.911571912</v>
      </c>
      <c r="L2587" s="444">
        <f t="shared" ca="1" si="152"/>
        <v>-13073789668.688831</v>
      </c>
      <c r="M2587" s="460">
        <f t="shared" si="154"/>
        <v>0.05</v>
      </c>
      <c r="N2587" s="464">
        <f t="shared" si="155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53"/>
        <v>-13073789668.688831</v>
      </c>
      <c r="J2588" s="444">
        <f t="array" ref="J2588">IFERROR(INDEX('Retirement Calculator'!J:J,MATCH('Isaac 401k'!N2588,'Retirement Calculator'!A:A,0),0),0)</f>
        <v>0</v>
      </c>
      <c r="K2588" s="444">
        <f t="shared" ca="1" si="151"/>
        <v>-54474123.619536795</v>
      </c>
      <c r="L2588" s="444">
        <f t="shared" ca="1" si="152"/>
        <v>-13128263792.308369</v>
      </c>
      <c r="M2588" s="460">
        <f t="shared" si="154"/>
        <v>0.05</v>
      </c>
      <c r="N2588" s="464">
        <f t="shared" si="155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53"/>
        <v>-13128263792.308369</v>
      </c>
      <c r="J2589" s="444">
        <f t="array" ref="J2589">IFERROR(INDEX('Retirement Calculator'!J:J,MATCH('Isaac 401k'!N2589,'Retirement Calculator'!A:A,0),0),0)</f>
        <v>0</v>
      </c>
      <c r="K2589" s="444">
        <f t="shared" ca="1" si="151"/>
        <v>-54701099.1346182</v>
      </c>
      <c r="L2589" s="444">
        <f t="shared" ca="1" si="152"/>
        <v>-13182964891.442987</v>
      </c>
      <c r="M2589" s="460">
        <f t="shared" si="154"/>
        <v>0.05</v>
      </c>
      <c r="N2589" s="464">
        <f t="shared" si="155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53"/>
        <v>-13182964891.442987</v>
      </c>
      <c r="J2590" s="444">
        <f t="array" ref="J2590">IFERROR(INDEX('Retirement Calculator'!J:J,MATCH('Isaac 401k'!N2590,'Retirement Calculator'!A:A,0),0),0)</f>
        <v>0</v>
      </c>
      <c r="K2590" s="444">
        <f t="shared" ca="1" si="151"/>
        <v>-54929020.381012447</v>
      </c>
      <c r="L2590" s="444">
        <f t="shared" ca="1" si="152"/>
        <v>-13237893911.823999</v>
      </c>
      <c r="M2590" s="460">
        <f t="shared" si="154"/>
        <v>0.05</v>
      </c>
      <c r="N2590" s="464">
        <f t="shared" si="155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53"/>
        <v>-13237893911.823999</v>
      </c>
      <c r="J2591" s="444">
        <f t="array" ref="J2591">IFERROR(INDEX('Retirement Calculator'!J:J,MATCH('Isaac 401k'!N2591,'Retirement Calculator'!A:A,0),0),0)</f>
        <v>0</v>
      </c>
      <c r="K2591" s="444">
        <f t="shared" ca="1" si="151"/>
        <v>-55157891.299266666</v>
      </c>
      <c r="L2591" s="444">
        <f t="shared" ca="1" si="152"/>
        <v>-13293051803.123266</v>
      </c>
      <c r="M2591" s="460">
        <f t="shared" si="154"/>
        <v>0.05</v>
      </c>
      <c r="N2591" s="464">
        <f t="shared" si="155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53"/>
        <v>-13293051803.123266</v>
      </c>
      <c r="J2592" s="444">
        <f t="array" ref="J2592">IFERROR(INDEX('Retirement Calculator'!J:J,MATCH('Isaac 401k'!N2592,'Retirement Calculator'!A:A,0),0),0)</f>
        <v>0</v>
      </c>
      <c r="K2592" s="444">
        <f t="shared" ca="1" si="151"/>
        <v>-55387715.846346945</v>
      </c>
      <c r="L2592" s="444">
        <f t="shared" ca="1" si="152"/>
        <v>-13348439518.969614</v>
      </c>
      <c r="M2592" s="460">
        <f t="shared" si="154"/>
        <v>0.05</v>
      </c>
      <c r="N2592" s="464">
        <f t="shared" si="155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53"/>
        <v>-13348439518.969614</v>
      </c>
      <c r="J2593" s="444">
        <f t="array" ref="J2593">IFERROR(INDEX('Retirement Calculator'!J:J,MATCH('Isaac 401k'!N2593,'Retirement Calculator'!A:A,0),0),0)</f>
        <v>0</v>
      </c>
      <c r="K2593" s="444">
        <f t="shared" ca="1" si="151"/>
        <v>-55618497.995706722</v>
      </c>
      <c r="L2593" s="444">
        <f t="shared" ca="1" si="152"/>
        <v>-13404058016.965321</v>
      </c>
      <c r="M2593" s="460">
        <f t="shared" si="154"/>
        <v>0.05</v>
      </c>
      <c r="N2593" s="464">
        <f t="shared" si="155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53"/>
        <v>-13404058016.965321</v>
      </c>
      <c r="J2594" s="444">
        <f t="array" ref="J2594">IFERROR(INDEX('Retirement Calculator'!J:J,MATCH('Isaac 401k'!N2594,'Retirement Calculator'!A:A,0),0),0)</f>
        <v>0</v>
      </c>
      <c r="K2594" s="444">
        <f t="shared" ca="1" si="151"/>
        <v>-55850241.737355493</v>
      </c>
      <c r="L2594" s="444">
        <f t="shared" ca="1" si="152"/>
        <v>-13459908258.702677</v>
      </c>
      <c r="M2594" s="460">
        <f t="shared" si="154"/>
        <v>0.05</v>
      </c>
      <c r="N2594" s="464">
        <f t="shared" si="155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53"/>
        <v>-13459908258.702677</v>
      </c>
      <c r="J2595" s="444">
        <f t="array" ref="J2595">IFERROR(INDEX('Retirement Calculator'!J:J,MATCH('Isaac 401k'!N2595,'Retirement Calculator'!A:A,0),0),0)</f>
        <v>0</v>
      </c>
      <c r="K2595" s="444">
        <f t="shared" ca="1" si="151"/>
        <v>-56082951.077927828</v>
      </c>
      <c r="L2595" s="444">
        <f t="shared" ca="1" si="152"/>
        <v>-13515991209.780605</v>
      </c>
      <c r="M2595" s="460">
        <f t="shared" si="154"/>
        <v>0.05</v>
      </c>
      <c r="N2595" s="464">
        <f t="shared" si="155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53"/>
        <v>-13515991209.780605</v>
      </c>
      <c r="J2596" s="444">
        <f t="array" ref="J2596">IFERROR(INDEX('Retirement Calculator'!J:J,MATCH('Isaac 401k'!N2596,'Retirement Calculator'!A:A,0),0),0)</f>
        <v>0</v>
      </c>
      <c r="K2596" s="444">
        <f t="shared" ca="1" si="151"/>
        <v>-56316630.040752515</v>
      </c>
      <c r="L2596" s="444">
        <f t="shared" ca="1" si="152"/>
        <v>-13572307839.821358</v>
      </c>
      <c r="M2596" s="460">
        <f t="shared" si="154"/>
        <v>0.05</v>
      </c>
      <c r="N2596" s="464">
        <f t="shared" si="155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53"/>
        <v>-13572307839.821358</v>
      </c>
      <c r="J2597" s="444">
        <f t="array" ref="J2597">IFERROR(INDEX('Retirement Calculator'!J:J,MATCH('Isaac 401k'!N2597,'Retirement Calculator'!A:A,0),0),0)</f>
        <v>0</v>
      </c>
      <c r="K2597" s="444">
        <f t="shared" ca="1" si="151"/>
        <v>-56551282.665922321</v>
      </c>
      <c r="L2597" s="444">
        <f t="shared" ca="1" si="152"/>
        <v>-13628859122.48728</v>
      </c>
      <c r="M2597" s="460">
        <f t="shared" si="154"/>
        <v>0.05</v>
      </c>
      <c r="N2597" s="464">
        <f t="shared" si="155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53"/>
        <v>-13628859122.48728</v>
      </c>
      <c r="J2598" s="444">
        <f t="array" ref="J2598">IFERROR(INDEX('Retirement Calculator'!J:J,MATCH('Isaac 401k'!N2598,'Retirement Calculator'!A:A,0),0),0)</f>
        <v>0</v>
      </c>
      <c r="K2598" s="444">
        <f t="shared" ca="1" si="151"/>
        <v>-56786913.010363676</v>
      </c>
      <c r="L2598" s="444">
        <f t="shared" ca="1" si="152"/>
        <v>-13685646035.497644</v>
      </c>
      <c r="M2598" s="460">
        <f t="shared" si="154"/>
        <v>0.05</v>
      </c>
      <c r="N2598" s="464">
        <f t="shared" si="155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53"/>
        <v>-13685646035.497644</v>
      </c>
      <c r="J2599" s="444">
        <f t="array" ref="J2599">IFERROR(INDEX('Retirement Calculator'!J:J,MATCH('Isaac 401k'!N2599,'Retirement Calculator'!A:A,0),0),0)</f>
        <v>0</v>
      </c>
      <c r="K2599" s="444">
        <f t="shared" ca="1" si="151"/>
        <v>-57023525.147906847</v>
      </c>
      <c r="L2599" s="444">
        <f t="shared" ca="1" si="152"/>
        <v>-13742669560.645552</v>
      </c>
      <c r="M2599" s="460">
        <f t="shared" si="154"/>
        <v>0.05</v>
      </c>
      <c r="N2599" s="464">
        <f t="shared" si="155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53"/>
        <v>-13742669560.645552</v>
      </c>
      <c r="J2600" s="444">
        <f t="array" ref="J2600">IFERROR(INDEX('Retirement Calculator'!J:J,MATCH('Isaac 401k'!N2600,'Retirement Calculator'!A:A,0),0),0)</f>
        <v>0</v>
      </c>
      <c r="K2600" s="444">
        <f t="shared" ca="1" si="151"/>
        <v>-57261123.169356458</v>
      </c>
      <c r="L2600" s="444">
        <f t="shared" ca="1" si="152"/>
        <v>-13799930683.814909</v>
      </c>
      <c r="M2600" s="460">
        <f t="shared" si="154"/>
        <v>0.05</v>
      </c>
      <c r="N2600" s="464">
        <f t="shared" si="155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53"/>
        <v>-13799930683.814909</v>
      </c>
      <c r="J2601" s="444">
        <f t="array" ref="J2601">IFERROR(INDEX('Retirement Calculator'!J:J,MATCH('Isaac 401k'!N2601,'Retirement Calculator'!A:A,0),0),0)</f>
        <v>0</v>
      </c>
      <c r="K2601" s="444">
        <f t="shared" ca="1" si="151"/>
        <v>-57499711.18256212</v>
      </c>
      <c r="L2601" s="444">
        <f t="shared" ca="1" si="152"/>
        <v>-13857430394.997471</v>
      </c>
      <c r="M2601" s="460">
        <f t="shared" si="154"/>
        <v>0.05</v>
      </c>
      <c r="N2601" s="464">
        <f t="shared" si="155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53"/>
        <v>-13857430394.997471</v>
      </c>
      <c r="J2602" s="444">
        <f t="array" ref="J2602">IFERROR(INDEX('Retirement Calculator'!J:J,MATCH('Isaac 401k'!N2602,'Retirement Calculator'!A:A,0),0),0)</f>
        <v>0</v>
      </c>
      <c r="K2602" s="444">
        <f t="shared" ca="1" si="151"/>
        <v>-57739293.312489457</v>
      </c>
      <c r="L2602" s="444">
        <f t="shared" ca="1" si="152"/>
        <v>-13915169688.309959</v>
      </c>
      <c r="M2602" s="460">
        <f t="shared" si="154"/>
        <v>0.05</v>
      </c>
      <c r="N2602" s="464">
        <f t="shared" si="155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53"/>
        <v>-13915169688.309959</v>
      </c>
      <c r="J2603" s="444">
        <f t="array" ref="J2603">IFERROR(INDEX('Retirement Calculator'!J:J,MATCH('Isaac 401k'!N2603,'Retirement Calculator'!A:A,0),0),0)</f>
        <v>0</v>
      </c>
      <c r="K2603" s="444">
        <f t="shared" ca="1" si="151"/>
        <v>-57979873.701291494</v>
      </c>
      <c r="L2603" s="444">
        <f t="shared" ca="1" si="152"/>
        <v>-13973149562.011251</v>
      </c>
      <c r="M2603" s="460">
        <f t="shared" si="154"/>
        <v>0.05</v>
      </c>
      <c r="N2603" s="464">
        <f t="shared" si="155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53"/>
        <v>-13973149562.011251</v>
      </c>
      <c r="J2604" s="444">
        <f t="array" ref="J2604">IFERROR(INDEX('Retirement Calculator'!J:J,MATCH('Isaac 401k'!N2604,'Retirement Calculator'!A:A,0),0),0)</f>
        <v>0</v>
      </c>
      <c r="K2604" s="444">
        <f t="shared" ca="1" si="151"/>
        <v>-58221456.508380212</v>
      </c>
      <c r="L2604" s="444">
        <f t="shared" ca="1" si="152"/>
        <v>-14031371018.519632</v>
      </c>
      <c r="M2604" s="460">
        <f t="shared" si="154"/>
        <v>0.05</v>
      </c>
      <c r="N2604" s="464">
        <f t="shared" si="155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53"/>
        <v>-14031371018.519632</v>
      </c>
      <c r="J2605" s="444">
        <f t="array" ref="J2605">IFERROR(INDEX('Retirement Calculator'!J:J,MATCH('Isaac 401k'!N2605,'Retirement Calculator'!A:A,0),0),0)</f>
        <v>0</v>
      </c>
      <c r="K2605" s="444">
        <f t="shared" ca="1" si="151"/>
        <v>-58464045.910498463</v>
      </c>
      <c r="L2605" s="444">
        <f t="shared" ca="1" si="152"/>
        <v>-14089835064.43013</v>
      </c>
      <c r="M2605" s="460">
        <f t="shared" si="154"/>
        <v>0.05</v>
      </c>
      <c r="N2605" s="464">
        <f t="shared" si="155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53"/>
        <v>-14089835064.43013</v>
      </c>
      <c r="J2606" s="444">
        <f t="array" ref="J2606">IFERROR(INDEX('Retirement Calculator'!J:J,MATCH('Isaac 401k'!N2606,'Retirement Calculator'!A:A,0),0),0)</f>
        <v>0</v>
      </c>
      <c r="K2606" s="444">
        <f t="shared" ca="1" si="151"/>
        <v>-58707646.101792216</v>
      </c>
      <c r="L2606" s="444">
        <f t="shared" ca="1" si="152"/>
        <v>-14148542710.531921</v>
      </c>
      <c r="M2606" s="460">
        <f t="shared" si="154"/>
        <v>0.05</v>
      </c>
      <c r="N2606" s="464">
        <f t="shared" si="155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53"/>
        <v>-14148542710.531921</v>
      </c>
      <c r="J2607" s="444">
        <f t="array" ref="J2607">IFERROR(INDEX('Retirement Calculator'!J:J,MATCH('Isaac 401k'!N2607,'Retirement Calculator'!A:A,0),0),0)</f>
        <v>0</v>
      </c>
      <c r="K2607" s="444">
        <f t="shared" ca="1" si="151"/>
        <v>-58952261.293883003</v>
      </c>
      <c r="L2607" s="444">
        <f t="shared" ca="1" si="152"/>
        <v>-14207494971.825804</v>
      </c>
      <c r="M2607" s="460">
        <f t="shared" si="154"/>
        <v>0.05</v>
      </c>
      <c r="N2607" s="464">
        <f t="shared" si="155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53"/>
        <v>-14207494971.825804</v>
      </c>
      <c r="J2608" s="444">
        <f t="array" ref="J2608">IFERROR(INDEX('Retirement Calculator'!J:J,MATCH('Isaac 401k'!N2608,'Retirement Calculator'!A:A,0),0),0)</f>
        <v>0</v>
      </c>
      <c r="K2608" s="444">
        <f t="shared" ca="1" si="151"/>
        <v>-59197895.715940841</v>
      </c>
      <c r="L2608" s="444">
        <f t="shared" ca="1" si="152"/>
        <v>-14266692867.541744</v>
      </c>
      <c r="M2608" s="460">
        <f t="shared" si="154"/>
        <v>0.05</v>
      </c>
      <c r="N2608" s="464">
        <f t="shared" si="155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53"/>
        <v>-14266692867.541744</v>
      </c>
      <c r="J2609" s="444">
        <f t="array" ref="J2609">IFERROR(INDEX('Retirement Calculator'!J:J,MATCH('Isaac 401k'!N2609,'Retirement Calculator'!A:A,0),0),0)</f>
        <v>0</v>
      </c>
      <c r="K2609" s="444">
        <f t="shared" ca="1" si="151"/>
        <v>-59444553.614757262</v>
      </c>
      <c r="L2609" s="444">
        <f t="shared" ca="1" si="152"/>
        <v>-14326137421.156502</v>
      </c>
      <c r="M2609" s="460">
        <f t="shared" si="154"/>
        <v>0.05</v>
      </c>
      <c r="N2609" s="464">
        <f t="shared" si="155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53"/>
        <v>-14326137421.156502</v>
      </c>
      <c r="J2610" s="444">
        <f t="array" ref="J2610">IFERROR(INDEX('Retirement Calculator'!J:J,MATCH('Isaac 401k'!N2610,'Retirement Calculator'!A:A,0),0),0)</f>
        <v>0</v>
      </c>
      <c r="K2610" s="444">
        <f t="shared" ca="1" si="151"/>
        <v>-59692239.25481876</v>
      </c>
      <c r="L2610" s="444">
        <f t="shared" ca="1" si="152"/>
        <v>-14385829660.41132</v>
      </c>
      <c r="M2610" s="460">
        <f t="shared" si="154"/>
        <v>0.05</v>
      </c>
      <c r="N2610" s="464">
        <f t="shared" si="155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53"/>
        <v>-14385829660.41132</v>
      </c>
      <c r="J2611" s="444">
        <f t="array" ref="J2611">IFERROR(INDEX('Retirement Calculator'!J:J,MATCH('Isaac 401k'!N2611,'Retirement Calculator'!A:A,0),0),0)</f>
        <v>0</v>
      </c>
      <c r="K2611" s="444">
        <f t="shared" ca="1" si="151"/>
        <v>-59940956.918380491</v>
      </c>
      <c r="L2611" s="444">
        <f t="shared" ca="1" si="152"/>
        <v>-14445770617.3297</v>
      </c>
      <c r="M2611" s="460">
        <f t="shared" si="154"/>
        <v>0.05</v>
      </c>
      <c r="N2611" s="464">
        <f t="shared" si="155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53"/>
        <v>-14445770617.3297</v>
      </c>
      <c r="J2612" s="444">
        <f t="array" ref="J2612">IFERROR(INDEX('Retirement Calculator'!J:J,MATCH('Isaac 401k'!N2612,'Retirement Calculator'!A:A,0),0),0)</f>
        <v>0</v>
      </c>
      <c r="K2612" s="444">
        <f t="shared" ca="1" si="151"/>
        <v>-60190710.905540429</v>
      </c>
      <c r="L2612" s="444">
        <f t="shared" ca="1" si="152"/>
        <v>-14505961328.235241</v>
      </c>
      <c r="M2612" s="460">
        <f t="shared" si="154"/>
        <v>0.05</v>
      </c>
      <c r="N2612" s="464">
        <f t="shared" si="155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53"/>
        <v>-14505961328.235241</v>
      </c>
      <c r="J2613" s="444">
        <f t="array" ref="J2613">IFERROR(INDEX('Retirement Calculator'!J:J,MATCH('Isaac 401k'!N2613,'Retirement Calculator'!A:A,0),0),0)</f>
        <v>0</v>
      </c>
      <c r="K2613" s="444">
        <f t="shared" ca="1" si="151"/>
        <v>-60441505.5343135</v>
      </c>
      <c r="L2613" s="444">
        <f t="shared" ca="1" si="152"/>
        <v>-14566402833.769554</v>
      </c>
      <c r="M2613" s="460">
        <f t="shared" si="154"/>
        <v>0.05</v>
      </c>
      <c r="N2613" s="464">
        <f t="shared" si="155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53"/>
        <v>-14566402833.769554</v>
      </c>
      <c r="J2614" s="444">
        <f t="array" ref="J2614">IFERROR(INDEX('Retirement Calculator'!J:J,MATCH('Isaac 401k'!N2614,'Retirement Calculator'!A:A,0),0),0)</f>
        <v>0</v>
      </c>
      <c r="K2614" s="444">
        <f t="shared" ca="1" si="151"/>
        <v>-60693345.140706465</v>
      </c>
      <c r="L2614" s="444">
        <f t="shared" ca="1" si="152"/>
        <v>-14627096178.910261</v>
      </c>
      <c r="M2614" s="460">
        <f t="shared" si="154"/>
        <v>0.05</v>
      </c>
      <c r="N2614" s="464">
        <f t="shared" si="155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53"/>
        <v>-14627096178.910261</v>
      </c>
      <c r="J2615" s="444">
        <f t="array" ref="J2615">IFERROR(INDEX('Retirement Calculator'!J:J,MATCH('Isaac 401k'!N2615,'Retirement Calculator'!A:A,0),0),0)</f>
        <v>0</v>
      </c>
      <c r="K2615" s="444">
        <f t="shared" ca="1" si="151"/>
        <v>-60946234.078792751</v>
      </c>
      <c r="L2615" s="444">
        <f t="shared" ca="1" si="152"/>
        <v>-14688042412.989054</v>
      </c>
      <c r="M2615" s="460">
        <f t="shared" si="154"/>
        <v>0.05</v>
      </c>
      <c r="N2615" s="464">
        <f t="shared" si="155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53"/>
        <v>-14688042412.989054</v>
      </c>
      <c r="J2616" s="444">
        <f t="array" ref="J2616">IFERROR(INDEX('Retirement Calculator'!J:J,MATCH('Isaac 401k'!N2616,'Retirement Calculator'!A:A,0),0),0)</f>
        <v>0</v>
      </c>
      <c r="K2616" s="444">
        <f t="shared" ca="1" si="151"/>
        <v>-61200176.720787726</v>
      </c>
      <c r="L2616" s="444">
        <f t="shared" ca="1" si="152"/>
        <v>-14749242589.709841</v>
      </c>
      <c r="M2616" s="460">
        <f t="shared" si="154"/>
        <v>0.05</v>
      </c>
      <c r="N2616" s="464">
        <f t="shared" si="155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53"/>
        <v>-14749242589.709841</v>
      </c>
      <c r="J2617" s="444">
        <f t="array" ref="J2617">IFERROR(INDEX('Retirement Calculator'!J:J,MATCH('Isaac 401k'!N2617,'Retirement Calculator'!A:A,0),0),0)</f>
        <v>0</v>
      </c>
      <c r="K2617" s="444">
        <f t="shared" ca="1" si="151"/>
        <v>-61455177.457124338</v>
      </c>
      <c r="L2617" s="444">
        <f t="shared" ca="1" si="152"/>
        <v>-14810697767.166965</v>
      </c>
      <c r="M2617" s="460">
        <f t="shared" si="154"/>
        <v>0.05</v>
      </c>
      <c r="N2617" s="464">
        <f t="shared" si="155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53"/>
        <v>-14810697767.166965</v>
      </c>
      <c r="J2618" s="444">
        <f t="array" ref="J2618">IFERROR(INDEX('Retirement Calculator'!J:J,MATCH('Isaac 401k'!N2618,'Retirement Calculator'!A:A,0),0),0)</f>
        <v>0</v>
      </c>
      <c r="K2618" s="444">
        <f t="shared" ca="1" si="151"/>
        <v>-61711240.696529016</v>
      </c>
      <c r="L2618" s="444">
        <f t="shared" ca="1" si="152"/>
        <v>-14872409007.863495</v>
      </c>
      <c r="M2618" s="460">
        <f t="shared" si="154"/>
        <v>0.05</v>
      </c>
      <c r="N2618" s="464">
        <f t="shared" si="155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53"/>
        <v>-14872409007.863495</v>
      </c>
      <c r="J2619" s="444">
        <f t="array" ref="J2619">IFERROR(INDEX('Retirement Calculator'!J:J,MATCH('Isaac 401k'!N2619,'Retirement Calculator'!A:A,0),0),0)</f>
        <v>0</v>
      </c>
      <c r="K2619" s="444">
        <f t="shared" ca="1" si="151"/>
        <v>-61968370.866097897</v>
      </c>
      <c r="L2619" s="444">
        <f t="shared" ca="1" si="152"/>
        <v>-14934377378.729593</v>
      </c>
      <c r="M2619" s="460">
        <f t="shared" si="154"/>
        <v>0.05</v>
      </c>
      <c r="N2619" s="464">
        <f t="shared" si="155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53"/>
        <v>-14934377378.729593</v>
      </c>
      <c r="J2620" s="444">
        <f t="array" ref="J2620">IFERROR(INDEX('Retirement Calculator'!J:J,MATCH('Isaac 401k'!N2620,'Retirement Calculator'!A:A,0),0),0)</f>
        <v>0</v>
      </c>
      <c r="K2620" s="444">
        <f t="shared" ca="1" si="151"/>
        <v>-62226572.411373302</v>
      </c>
      <c r="L2620" s="444">
        <f t="shared" ca="1" si="152"/>
        <v>-14996603951.140966</v>
      </c>
      <c r="M2620" s="460">
        <f t="shared" si="154"/>
        <v>0.05</v>
      </c>
      <c r="N2620" s="464">
        <f t="shared" si="155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53"/>
        <v>-14996603951.140966</v>
      </c>
      <c r="J2621" s="444">
        <f t="array" ref="J2621">IFERROR(INDEX('Retirement Calculator'!J:J,MATCH('Isaac 401k'!N2621,'Retirement Calculator'!A:A,0),0),0)</f>
        <v>0</v>
      </c>
      <c r="K2621" s="444">
        <f t="shared" ca="1" si="151"/>
        <v>-62485849.796420693</v>
      </c>
      <c r="L2621" s="444">
        <f t="shared" ca="1" si="152"/>
        <v>-15059089800.937387</v>
      </c>
      <c r="M2621" s="460">
        <f t="shared" si="154"/>
        <v>0.05</v>
      </c>
      <c r="N2621" s="464">
        <f t="shared" si="155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53"/>
        <v>-15059089800.937387</v>
      </c>
      <c r="J2622" s="444">
        <f t="array" ref="J2622">IFERROR(INDEX('Retirement Calculator'!J:J,MATCH('Isaac 401k'!N2622,'Retirement Calculator'!A:A,0),0),0)</f>
        <v>0</v>
      </c>
      <c r="K2622" s="444">
        <f t="shared" ca="1" si="151"/>
        <v>-62746207.503905781</v>
      </c>
      <c r="L2622" s="444">
        <f t="shared" ca="1" si="152"/>
        <v>-15121836008.441294</v>
      </c>
      <c r="M2622" s="460">
        <f t="shared" si="154"/>
        <v>0.05</v>
      </c>
      <c r="N2622" s="464">
        <f t="shared" si="155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53"/>
        <v>-15121836008.441294</v>
      </c>
      <c r="J2623" s="444">
        <f t="array" ref="J2623">IFERROR(INDEX('Retirement Calculator'!J:J,MATCH('Isaac 401k'!N2623,'Retirement Calculator'!A:A,0),0),0)</f>
        <v>0</v>
      </c>
      <c r="K2623" s="444">
        <f t="shared" ca="1" si="151"/>
        <v>-63007650.035172053</v>
      </c>
      <c r="L2623" s="444">
        <f t="shared" ca="1" si="152"/>
        <v>-15184843658.476465</v>
      </c>
      <c r="M2623" s="460">
        <f t="shared" si="154"/>
        <v>0.05</v>
      </c>
      <c r="N2623" s="464">
        <f t="shared" si="155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53"/>
        <v>-15184843658.476465</v>
      </c>
      <c r="J2624" s="444">
        <f t="array" ref="J2624">IFERROR(INDEX('Retirement Calculator'!J:J,MATCH('Isaac 401k'!N2624,'Retirement Calculator'!A:A,0),0),0)</f>
        <v>0</v>
      </c>
      <c r="K2624" s="444">
        <f t="shared" ca="1" si="151"/>
        <v>-63270181.910318606</v>
      </c>
      <c r="L2624" s="444">
        <f t="shared" ca="1" si="152"/>
        <v>-15248113840.386784</v>
      </c>
      <c r="M2624" s="460">
        <f t="shared" si="154"/>
        <v>0.05</v>
      </c>
      <c r="N2624" s="464">
        <f t="shared" si="155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53"/>
        <v>-15248113840.386784</v>
      </c>
      <c r="J2625" s="444">
        <f t="array" ref="J2625">IFERROR(INDEX('Retirement Calculator'!J:J,MATCH('Isaac 401k'!N2625,'Retirement Calculator'!A:A,0),0),0)</f>
        <v>0</v>
      </c>
      <c r="K2625" s="444">
        <f t="shared" ca="1" si="151"/>
        <v>-63533807.668278255</v>
      </c>
      <c r="L2625" s="444">
        <f t="shared" ca="1" si="152"/>
        <v>-15311647648.055061</v>
      </c>
      <c r="M2625" s="460">
        <f t="shared" si="154"/>
        <v>0.05</v>
      </c>
      <c r="N2625" s="464">
        <f t="shared" si="155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53"/>
        <v>-15311647648.055061</v>
      </c>
      <c r="J2626" s="444">
        <f t="array" ref="J2626">IFERROR(INDEX('Retirement Calculator'!J:J,MATCH('Isaac 401k'!N2626,'Retirement Calculator'!A:A,0),0),0)</f>
        <v>0</v>
      </c>
      <c r="K2626" s="444">
        <f t="shared" ca="1" si="151"/>
        <v>-63798531.866896085</v>
      </c>
      <c r="L2626" s="444">
        <f t="shared" ca="1" si="152"/>
        <v>-15375446179.921957</v>
      </c>
      <c r="M2626" s="460">
        <f t="shared" si="154"/>
        <v>0.05</v>
      </c>
      <c r="N2626" s="464">
        <f t="shared" si="155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53"/>
        <v>-15375446179.921957</v>
      </c>
      <c r="J2627" s="444">
        <f t="array" ref="J2627">IFERROR(INDEX('Retirement Calculator'!J:J,MATCH('Isaac 401k'!N2627,'Retirement Calculator'!A:A,0),0),0)</f>
        <v>0</v>
      </c>
      <c r="K2627" s="444">
        <f t="shared" ca="1" si="151"/>
        <v>-64064359.083008148</v>
      </c>
      <c r="L2627" s="444">
        <f t="shared" ca="1" si="152"/>
        <v>-15439510539.004965</v>
      </c>
      <c r="M2627" s="460">
        <f t="shared" si="154"/>
        <v>0.05</v>
      </c>
      <c r="N2627" s="464">
        <f t="shared" si="155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53"/>
        <v>-15439510539.004965</v>
      </c>
      <c r="J2628" s="444">
        <f t="array" ref="J2628">IFERROR(INDEX('Retirement Calculator'!J:J,MATCH('Isaac 401k'!N2628,'Retirement Calculator'!A:A,0),0),0)</f>
        <v>0</v>
      </c>
      <c r="K2628" s="444">
        <f t="shared" ca="1" si="151"/>
        <v>-64331293.912520677</v>
      </c>
      <c r="L2628" s="444">
        <f t="shared" ca="1" si="152"/>
        <v>-15503841832.917486</v>
      </c>
      <c r="M2628" s="460">
        <f t="shared" si="154"/>
        <v>0.05</v>
      </c>
      <c r="N2628" s="464">
        <f t="shared" si="155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53"/>
        <v>-15503841832.917486</v>
      </c>
      <c r="J2629" s="444">
        <f t="array" ref="J2629">IFERROR(INDEX('Retirement Calculator'!J:J,MATCH('Isaac 401k'!N2629,'Retirement Calculator'!A:A,0),0),0)</f>
        <v>0</v>
      </c>
      <c r="K2629" s="444">
        <f t="shared" ca="1" si="151"/>
        <v>-64599340.970489532</v>
      </c>
      <c r="L2629" s="444">
        <f t="shared" ca="1" si="152"/>
        <v>-15568441173.887976</v>
      </c>
      <c r="M2629" s="460">
        <f t="shared" si="154"/>
        <v>0.05</v>
      </c>
      <c r="N2629" s="464">
        <f t="shared" si="155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53"/>
        <v>-15568441173.887976</v>
      </c>
      <c r="J2630" s="444">
        <f t="array" ref="J2630">IFERROR(INDEX('Retirement Calculator'!J:J,MATCH('Isaac 401k'!N2630,'Retirement Calculator'!A:A,0),0),0)</f>
        <v>0</v>
      </c>
      <c r="K2630" s="444">
        <f t="shared" ca="1" si="151"/>
        <v>-64868504.891199894</v>
      </c>
      <c r="L2630" s="444">
        <f t="shared" ca="1" si="152"/>
        <v>-15633309678.779175</v>
      </c>
      <c r="M2630" s="460">
        <f t="shared" si="154"/>
        <v>0.05</v>
      </c>
      <c r="N2630" s="464">
        <f t="shared" si="155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53"/>
        <v>-15633309678.779175</v>
      </c>
      <c r="J2631" s="444">
        <f t="array" ref="J2631">IFERROR(INDEX('Retirement Calculator'!J:J,MATCH('Isaac 401k'!N2631,'Retirement Calculator'!A:A,0),0),0)</f>
        <v>0</v>
      </c>
      <c r="K2631" s="444">
        <f t="shared" ca="1" si="151"/>
        <v>-65138790.328246564</v>
      </c>
      <c r="L2631" s="444">
        <f t="shared" ca="1" si="152"/>
        <v>-15698448469.107422</v>
      </c>
      <c r="M2631" s="460">
        <f t="shared" si="154"/>
        <v>0.05</v>
      </c>
      <c r="N2631" s="464">
        <f t="shared" si="155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53"/>
        <v>-15698448469.107422</v>
      </c>
      <c r="J2632" s="444">
        <f t="array" ref="J2632">IFERROR(INDEX('Retirement Calculator'!J:J,MATCH('Isaac 401k'!N2632,'Retirement Calculator'!A:A,0),0),0)</f>
        <v>0</v>
      </c>
      <c r="K2632" s="444">
        <f t="shared" ca="1" si="151"/>
        <v>-65410201.954614259</v>
      </c>
      <c r="L2632" s="444">
        <f t="shared" ca="1" si="152"/>
        <v>-15763858671.062037</v>
      </c>
      <c r="M2632" s="460">
        <f t="shared" si="154"/>
        <v>0.05</v>
      </c>
      <c r="N2632" s="464">
        <f t="shared" si="155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53"/>
        <v>-15763858671.062037</v>
      </c>
      <c r="J2633" s="444">
        <f t="array" ref="J2633">IFERROR(INDEX('Retirement Calculator'!J:J,MATCH('Isaac 401k'!N2633,'Retirement Calculator'!A:A,0),0),0)</f>
        <v>0</v>
      </c>
      <c r="K2633" s="444">
        <f t="shared" ca="1" si="151"/>
        <v>-65682744.462758474</v>
      </c>
      <c r="L2633" s="444">
        <f t="shared" ca="1" si="152"/>
        <v>-15829541415.524796</v>
      </c>
      <c r="M2633" s="460">
        <f t="shared" si="154"/>
        <v>0.05</v>
      </c>
      <c r="N2633" s="464">
        <f t="shared" si="155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53"/>
        <v>-15829541415.524796</v>
      </c>
      <c r="J2634" s="444">
        <f t="array" ref="J2634">IFERROR(INDEX('Retirement Calculator'!J:J,MATCH('Isaac 401k'!N2634,'Retirement Calculator'!A:A,0),0),0)</f>
        <v>0</v>
      </c>
      <c r="K2634" s="444">
        <f t="shared" ca="1" si="151"/>
        <v>-65956422.564686649</v>
      </c>
      <c r="L2634" s="444">
        <f t="shared" ca="1" si="152"/>
        <v>-15895497838.089481</v>
      </c>
      <c r="M2634" s="460">
        <f t="shared" si="154"/>
        <v>0.05</v>
      </c>
      <c r="N2634" s="464">
        <f t="shared" si="155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53"/>
        <v>-15895497838.089481</v>
      </c>
      <c r="J2635" s="444">
        <f t="array" ref="J2635">IFERROR(INDEX('Retirement Calculator'!J:J,MATCH('Isaac 401k'!N2635,'Retirement Calculator'!A:A,0),0),0)</f>
        <v>0</v>
      </c>
      <c r="K2635" s="444">
        <f t="shared" ca="1" si="151"/>
        <v>-66231240.992039502</v>
      </c>
      <c r="L2635" s="444">
        <f t="shared" ca="1" si="152"/>
        <v>-15961729079.08152</v>
      </c>
      <c r="M2635" s="460">
        <f t="shared" si="154"/>
        <v>0.05</v>
      </c>
      <c r="N2635" s="464">
        <f t="shared" si="155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53"/>
        <v>-15961729079.08152</v>
      </c>
      <c r="J2636" s="444">
        <f t="array" ref="J2636">IFERROR(INDEX('Retirement Calculator'!J:J,MATCH('Isaac 401k'!N2636,'Retirement Calculator'!A:A,0),0),0)</f>
        <v>0</v>
      </c>
      <c r="K2636" s="444">
        <f t="shared" ca="1" si="151"/>
        <v>-66507204.496172994</v>
      </c>
      <c r="L2636" s="444">
        <f t="shared" ca="1" si="152"/>
        <v>-16028236283.577694</v>
      </c>
      <c r="M2636" s="460">
        <f t="shared" si="154"/>
        <v>0.05</v>
      </c>
      <c r="N2636" s="464">
        <f t="shared" si="155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53"/>
        <v>-16028236283.577694</v>
      </c>
      <c r="J2637" s="444">
        <f t="array" ref="J2637">IFERROR(INDEX('Retirement Calculator'!J:J,MATCH('Isaac 401k'!N2637,'Retirement Calculator'!A:A,0),0),0)</f>
        <v>0</v>
      </c>
      <c r="K2637" s="444">
        <f t="shared" ca="1" si="151"/>
        <v>-66784317.84824039</v>
      </c>
      <c r="L2637" s="444">
        <f t="shared" ca="1" si="152"/>
        <v>-16095020601.425934</v>
      </c>
      <c r="M2637" s="460">
        <f t="shared" si="154"/>
        <v>0.05</v>
      </c>
      <c r="N2637" s="464">
        <f t="shared" si="155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53"/>
        <v>-16095020601.425934</v>
      </c>
      <c r="J2638" s="444">
        <f t="array" ref="J2638">IFERROR(INDEX('Retirement Calculator'!J:J,MATCH('Isaac 401k'!N2638,'Retirement Calculator'!A:A,0),0),0)</f>
        <v>0</v>
      </c>
      <c r="K2638" s="444">
        <f t="shared" ca="1" si="151"/>
        <v>-67062585.839274727</v>
      </c>
      <c r="L2638" s="444">
        <f t="shared" ca="1" si="152"/>
        <v>-16162083187.265209</v>
      </c>
      <c r="M2638" s="460">
        <f t="shared" si="154"/>
        <v>0.05</v>
      </c>
      <c r="N2638" s="464">
        <f t="shared" si="155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53"/>
        <v>-16162083187.265209</v>
      </c>
      <c r="J2639" s="444">
        <f t="array" ref="J2639">IFERROR(INDEX('Retirement Calculator'!J:J,MATCH('Isaac 401k'!N2639,'Retirement Calculator'!A:A,0),0),0)</f>
        <v>0</v>
      </c>
      <c r="K2639" s="444">
        <f t="shared" ca="1" si="151"/>
        <v>-67342013.280271709</v>
      </c>
      <c r="L2639" s="444">
        <f t="shared" ca="1" si="152"/>
        <v>-16229425200.545481</v>
      </c>
      <c r="M2639" s="460">
        <f t="shared" si="154"/>
        <v>0.05</v>
      </c>
      <c r="N2639" s="464">
        <f t="shared" si="155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53"/>
        <v>-16229425200.545481</v>
      </c>
      <c r="J2640" s="444">
        <f t="array" ref="J2640">IFERROR(INDEX('Retirement Calculator'!J:J,MATCH('Isaac 401k'!N2640,'Retirement Calculator'!A:A,0),0),0)</f>
        <v>0</v>
      </c>
      <c r="K2640" s="444">
        <f t="shared" ca="1" si="151"/>
        <v>-67622605.002272829</v>
      </c>
      <c r="L2640" s="444">
        <f t="shared" ca="1" si="152"/>
        <v>-16297047805.547754</v>
      </c>
      <c r="M2640" s="460">
        <f t="shared" si="154"/>
        <v>0.05</v>
      </c>
      <c r="N2640" s="464">
        <f t="shared" si="155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53"/>
        <v>-16297047805.547754</v>
      </c>
      <c r="J2641" s="444">
        <f t="array" ref="J2641">IFERROR(INDEX('Retirement Calculator'!J:J,MATCH('Isaac 401k'!N2641,'Retirement Calculator'!A:A,0),0),0)</f>
        <v>0</v>
      </c>
      <c r="K2641" s="444">
        <f t="shared" ca="1" si="151"/>
        <v>-67904365.856448978</v>
      </c>
      <c r="L2641" s="444">
        <f t="shared" ca="1" si="152"/>
        <v>-16364952171.404203</v>
      </c>
      <c r="M2641" s="460">
        <f t="shared" si="154"/>
        <v>0.05</v>
      </c>
      <c r="N2641" s="464">
        <f t="shared" si="155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53"/>
        <v>-16364952171.404203</v>
      </c>
      <c r="J2642" s="444">
        <f t="array" ref="J2642">IFERROR(INDEX('Retirement Calculator'!J:J,MATCH('Isaac 401k'!N2642,'Retirement Calculator'!A:A,0),0),0)</f>
        <v>0</v>
      </c>
      <c r="K2642" s="444">
        <f t="shared" ca="1" si="151"/>
        <v>-68187300.71418418</v>
      </c>
      <c r="L2642" s="444">
        <f t="shared" ca="1" si="152"/>
        <v>-16433139472.118387</v>
      </c>
      <c r="M2642" s="460">
        <f t="shared" si="154"/>
        <v>0.05</v>
      </c>
      <c r="N2642" s="464">
        <f t="shared" si="155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53"/>
        <v>-16433139472.118387</v>
      </c>
      <c r="J2643" s="444">
        <f t="array" ref="J2643">IFERROR(INDEX('Retirement Calculator'!J:J,MATCH('Isaac 401k'!N2643,'Retirement Calculator'!A:A,0),0),0)</f>
        <v>0</v>
      </c>
      <c r="K2643" s="444">
        <f t="shared" ca="1" si="151"/>
        <v>-68471414.467159942</v>
      </c>
      <c r="L2643" s="444">
        <f t="shared" ca="1" si="152"/>
        <v>-16501610886.585546</v>
      </c>
      <c r="M2643" s="460">
        <f t="shared" si="154"/>
        <v>0.05</v>
      </c>
      <c r="N2643" s="464">
        <f t="shared" si="155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53"/>
        <v>-16501610886.585546</v>
      </c>
      <c r="J2644" s="444">
        <f t="array" ref="J2644">IFERROR(INDEX('Retirement Calculator'!J:J,MATCH('Isaac 401k'!N2644,'Retirement Calculator'!A:A,0),0),0)</f>
        <v>0</v>
      </c>
      <c r="K2644" s="444">
        <f t="shared" ca="1" si="151"/>
        <v>-68756712.027439773</v>
      </c>
      <c r="L2644" s="444">
        <f t="shared" ca="1" si="152"/>
        <v>-16570367598.612986</v>
      </c>
      <c r="M2644" s="460">
        <f t="shared" si="154"/>
        <v>0.05</v>
      </c>
      <c r="N2644" s="464">
        <f t="shared" si="155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53"/>
        <v>-16570367598.612986</v>
      </c>
      <c r="J2645" s="444">
        <f t="array" ref="J2645">IFERROR(INDEX('Retirement Calculator'!J:J,MATCH('Isaac 401k'!N2645,'Retirement Calculator'!A:A,0),0),0)</f>
        <v>0</v>
      </c>
      <c r="K2645" s="444">
        <f t="shared" ca="1" si="151"/>
        <v>-69043198.327554092</v>
      </c>
      <c r="L2645" s="444">
        <f t="shared" ca="1" si="152"/>
        <v>-16639410796.94054</v>
      </c>
      <c r="M2645" s="460">
        <f t="shared" si="154"/>
        <v>0.05</v>
      </c>
      <c r="N2645" s="464">
        <f t="shared" si="155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53"/>
        <v>-16639410796.94054</v>
      </c>
      <c r="J2646" s="444">
        <f t="array" ref="J2646">IFERROR(INDEX('Retirement Calculator'!J:J,MATCH('Isaac 401k'!N2646,'Retirement Calculator'!A:A,0),0),0)</f>
        <v>0</v>
      </c>
      <c r="K2646" s="444">
        <f t="shared" ca="1" si="151"/>
        <v>-69330878.320585579</v>
      </c>
      <c r="L2646" s="444">
        <f t="shared" ca="1" si="152"/>
        <v>-16708741675.261126</v>
      </c>
      <c r="M2646" s="460">
        <f t="shared" si="154"/>
        <v>0.05</v>
      </c>
      <c r="N2646" s="464">
        <f t="shared" si="155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53"/>
        <v>-16708741675.261126</v>
      </c>
      <c r="J2647" s="444">
        <f t="array" ref="J2647">IFERROR(INDEX('Retirement Calculator'!J:J,MATCH('Isaac 401k'!N2647,'Retirement Calculator'!A:A,0),0),0)</f>
        <v>0</v>
      </c>
      <c r="K2647" s="444">
        <f t="shared" ca="1" si="151"/>
        <v>-69619756.980254695</v>
      </c>
      <c r="L2647" s="444">
        <f t="shared" ca="1" si="152"/>
        <v>-16778361432.241381</v>
      </c>
      <c r="M2647" s="460">
        <f t="shared" si="154"/>
        <v>0.05</v>
      </c>
      <c r="N2647" s="464">
        <f t="shared" si="155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53"/>
        <v>-16778361432.241381</v>
      </c>
      <c r="J2648" s="444">
        <f t="array" ref="J2648">IFERROR(INDEX('Retirement Calculator'!J:J,MATCH('Isaac 401k'!N2648,'Retirement Calculator'!A:A,0),0),0)</f>
        <v>0</v>
      </c>
      <c r="K2648" s="444">
        <f t="shared" ca="1" si="151"/>
        <v>-69909839.301005751</v>
      </c>
      <c r="L2648" s="444">
        <f t="shared" ca="1" si="152"/>
        <v>-16848271271.542387</v>
      </c>
      <c r="M2648" s="460">
        <f t="shared" si="154"/>
        <v>0.05</v>
      </c>
      <c r="N2648" s="464">
        <f t="shared" si="155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53"/>
        <v>-16848271271.542387</v>
      </c>
      <c r="J2649" s="444">
        <f t="array" ref="J2649">IFERROR(INDEX('Retirement Calculator'!J:J,MATCH('Isaac 401k'!N2649,'Retirement Calculator'!A:A,0),0),0)</f>
        <v>0</v>
      </c>
      <c r="K2649" s="444">
        <f t="shared" ca="1" si="151"/>
        <v>-70201130.298093274</v>
      </c>
      <c r="L2649" s="444">
        <f t="shared" ca="1" si="152"/>
        <v>-16918472401.840481</v>
      </c>
      <c r="M2649" s="460">
        <f t="shared" si="154"/>
        <v>0.05</v>
      </c>
      <c r="N2649" s="464">
        <f t="shared" si="155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53"/>
        <v>-16918472401.840481</v>
      </c>
      <c r="J2650" s="444">
        <f t="array" ref="J2650">IFERROR(INDEX('Retirement Calculator'!J:J,MATCH('Isaac 401k'!N2650,'Retirement Calculator'!A:A,0),0),0)</f>
        <v>0</v>
      </c>
      <c r="K2650" s="444">
        <f t="shared" ca="1" si="151"/>
        <v>-70493635.007668674</v>
      </c>
      <c r="L2650" s="444">
        <f t="shared" ca="1" si="152"/>
        <v>-16988966036.84815</v>
      </c>
      <c r="M2650" s="460">
        <f t="shared" si="154"/>
        <v>0.05</v>
      </c>
      <c r="N2650" s="464">
        <f t="shared" si="155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53"/>
        <v>-16988966036.84815</v>
      </c>
      <c r="J2651" s="444">
        <f t="array" ref="J2651">IFERROR(INDEX('Retirement Calculator'!J:J,MATCH('Isaac 401k'!N2651,'Retirement Calculator'!A:A,0),0),0)</f>
        <v>0</v>
      </c>
      <c r="K2651" s="444">
        <f t="shared" ca="1" si="151"/>
        <v>-70787358.486867279</v>
      </c>
      <c r="L2651" s="444">
        <f t="shared" ca="1" si="152"/>
        <v>-17059753395.335018</v>
      </c>
      <c r="M2651" s="460">
        <f t="shared" si="154"/>
        <v>0.05</v>
      </c>
      <c r="N2651" s="464">
        <f t="shared" si="155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53"/>
        <v>-17059753395.335018</v>
      </c>
      <c r="J2652" s="444">
        <f t="array" ref="J2652">IFERROR(INDEX('Retirement Calculator'!J:J,MATCH('Isaac 401k'!N2652,'Retirement Calculator'!A:A,0),0),0)</f>
        <v>0</v>
      </c>
      <c r="K2652" s="444">
        <f t="shared" ca="1" si="151"/>
        <v>-71082305.813895896</v>
      </c>
      <c r="L2652" s="444">
        <f t="shared" ca="1" si="152"/>
        <v>-17130835701.148914</v>
      </c>
      <c r="M2652" s="460">
        <f t="shared" si="154"/>
        <v>0.05</v>
      </c>
      <c r="N2652" s="464">
        <f t="shared" si="155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53"/>
        <v>-17130835701.148914</v>
      </c>
      <c r="J2653" s="444">
        <f t="array" ref="J2653">IFERROR(INDEX('Retirement Calculator'!J:J,MATCH('Isaac 401k'!N2653,'Retirement Calculator'!A:A,0),0),0)</f>
        <v>0</v>
      </c>
      <c r="K2653" s="444">
        <f t="shared" ca="1" si="151"/>
        <v>-71378482.088120475</v>
      </c>
      <c r="L2653" s="444">
        <f t="shared" ca="1" si="152"/>
        <v>-17202214183.237034</v>
      </c>
      <c r="M2653" s="460">
        <f t="shared" si="154"/>
        <v>0.05</v>
      </c>
      <c r="N2653" s="464">
        <f t="shared" si="155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53"/>
        <v>-17202214183.237034</v>
      </c>
      <c r="J2654" s="444">
        <f t="array" ref="J2654">IFERROR(INDEX('Retirement Calculator'!J:J,MATCH('Isaac 401k'!N2654,'Retirement Calculator'!A:A,0),0),0)</f>
        <v>0</v>
      </c>
      <c r="K2654" s="444">
        <f t="shared" ca="1" si="151"/>
        <v>-71675892.430154309</v>
      </c>
      <c r="L2654" s="444">
        <f t="shared" ca="1" si="152"/>
        <v>-17273890075.667187</v>
      </c>
      <c r="M2654" s="460">
        <f t="shared" si="154"/>
        <v>0.05</v>
      </c>
      <c r="N2654" s="464">
        <f t="shared" si="155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53"/>
        <v>-17273890075.667187</v>
      </c>
      <c r="J2655" s="444">
        <f t="array" ref="J2655">IFERROR(INDEX('Retirement Calculator'!J:J,MATCH('Isaac 401k'!N2655,'Retirement Calculator'!A:A,0),0),0)</f>
        <v>0</v>
      </c>
      <c r="K2655" s="444">
        <f t="shared" ca="1" si="151"/>
        <v>-71974541.981946617</v>
      </c>
      <c r="L2655" s="444">
        <f t="shared" ca="1" si="152"/>
        <v>-17345864617.649132</v>
      </c>
      <c r="M2655" s="460">
        <f t="shared" si="154"/>
        <v>0.05</v>
      </c>
      <c r="N2655" s="464">
        <f t="shared" si="155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53"/>
        <v>-17345864617.649132</v>
      </c>
      <c r="J2656" s="444">
        <f t="array" ref="J2656">IFERROR(INDEX('Retirement Calculator'!J:J,MATCH('Isaac 401k'!N2656,'Retirement Calculator'!A:A,0),0),0)</f>
        <v>0</v>
      </c>
      <c r="K2656" s="444">
        <f t="shared" ca="1" si="151"/>
        <v>-72274435.906871378</v>
      </c>
      <c r="L2656" s="444">
        <f t="shared" ca="1" si="152"/>
        <v>-17418139053.556004</v>
      </c>
      <c r="M2656" s="460">
        <f t="shared" si="154"/>
        <v>0.05</v>
      </c>
      <c r="N2656" s="464">
        <f t="shared" si="155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53"/>
        <v>-17418139053.556004</v>
      </c>
      <c r="J2657" s="444">
        <f t="array" ref="J2657">IFERROR(INDEX('Retirement Calculator'!J:J,MATCH('Isaac 401k'!N2657,'Retirement Calculator'!A:A,0),0),0)</f>
        <v>0</v>
      </c>
      <c r="K2657" s="444">
        <f t="shared" ca="1" si="151"/>
        <v>-72575579.389816687</v>
      </c>
      <c r="L2657" s="444">
        <f t="shared" ca="1" si="152"/>
        <v>-17490714632.94582</v>
      </c>
      <c r="M2657" s="460">
        <f t="shared" si="154"/>
        <v>0.05</v>
      </c>
      <c r="N2657" s="464">
        <f t="shared" si="155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53"/>
        <v>-17490714632.94582</v>
      </c>
      <c r="J2658" s="444">
        <f t="array" ref="J2658">IFERROR(INDEX('Retirement Calculator'!J:J,MATCH('Isaac 401k'!N2658,'Retirement Calculator'!A:A,0),0),0)</f>
        <v>0</v>
      </c>
      <c r="K2658" s="444">
        <f t="shared" ca="1" si="151"/>
        <v>-72877977.63727425</v>
      </c>
      <c r="L2658" s="444">
        <f t="shared" ca="1" si="152"/>
        <v>-17563592610.583096</v>
      </c>
      <c r="M2658" s="460">
        <f t="shared" si="154"/>
        <v>0.05</v>
      </c>
      <c r="N2658" s="464">
        <f t="shared" si="155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53"/>
        <v>-17563592610.583096</v>
      </c>
      <c r="J2659" s="444">
        <f t="array" ref="J2659">IFERROR(INDEX('Retirement Calculator'!J:J,MATCH('Isaac 401k'!N2659,'Retirement Calculator'!A:A,0),0),0)</f>
        <v>0</v>
      </c>
      <c r="K2659" s="444">
        <f t="shared" ca="1" si="151"/>
        <v>-73181635.87742956</v>
      </c>
      <c r="L2659" s="444">
        <f t="shared" ca="1" si="152"/>
        <v>-17636774246.460526</v>
      </c>
      <c r="M2659" s="460">
        <f t="shared" si="154"/>
        <v>0.05</v>
      </c>
      <c r="N2659" s="464">
        <f t="shared" si="155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53"/>
        <v>-17636774246.460526</v>
      </c>
      <c r="J2660" s="444">
        <f t="array" ref="J2660">IFERROR(INDEX('Retirement Calculator'!J:J,MATCH('Isaac 401k'!N2660,'Retirement Calculator'!A:A,0),0),0)</f>
        <v>0</v>
      </c>
      <c r="K2660" s="444">
        <f t="shared" ca="1" si="151"/>
        <v>-73486559.360252187</v>
      </c>
      <c r="L2660" s="444">
        <f t="shared" ca="1" si="152"/>
        <v>-17710260805.820778</v>
      </c>
      <c r="M2660" s="460">
        <f t="shared" si="154"/>
        <v>0.05</v>
      </c>
      <c r="N2660" s="464">
        <f t="shared" si="155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53"/>
        <v>-17710260805.820778</v>
      </c>
      <c r="J2661" s="444">
        <f t="array" ref="J2661">IFERROR(INDEX('Retirement Calculator'!J:J,MATCH('Isaac 401k'!N2661,'Retirement Calculator'!A:A,0),0),0)</f>
        <v>0</v>
      </c>
      <c r="K2661" s="444">
        <f t="shared" ca="1" si="151"/>
        <v>-73792753.357586578</v>
      </c>
      <c r="L2661" s="444">
        <f t="shared" ca="1" si="152"/>
        <v>-17784053559.178364</v>
      </c>
      <c r="M2661" s="460">
        <f t="shared" si="154"/>
        <v>0.05</v>
      </c>
      <c r="N2661" s="464">
        <f t="shared" si="155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53"/>
        <v>-17784053559.178364</v>
      </c>
      <c r="J2662" s="444">
        <f t="array" ref="J2662">IFERROR(INDEX('Retirement Calculator'!J:J,MATCH('Isaac 401k'!N2662,'Retirement Calculator'!A:A,0),0),0)</f>
        <v>0</v>
      </c>
      <c r="K2662" s="444">
        <f t="shared" ca="1" si="151"/>
        <v>-74100223.163243175</v>
      </c>
      <c r="L2662" s="444">
        <f t="shared" ca="1" si="152"/>
        <v>-17858153782.341606</v>
      </c>
      <c r="M2662" s="460">
        <f t="shared" si="154"/>
        <v>0.05</v>
      </c>
      <c r="N2662" s="464">
        <f t="shared" si="155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53"/>
        <v>-17858153782.341606</v>
      </c>
      <c r="J2663" s="444">
        <f t="array" ref="J2663">IFERROR(INDEX('Retirement Calculator'!J:J,MATCH('Isaac 401k'!N2663,'Retirement Calculator'!A:A,0),0),0)</f>
        <v>0</v>
      </c>
      <c r="K2663" s="444">
        <f t="shared" ca="1" si="151"/>
        <v>-74408974.093090028</v>
      </c>
      <c r="L2663" s="444">
        <f t="shared" ca="1" si="152"/>
        <v>-17932562756.434696</v>
      </c>
      <c r="M2663" s="460">
        <f t="shared" si="154"/>
        <v>0.05</v>
      </c>
      <c r="N2663" s="464">
        <f t="shared" si="155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53"/>
        <v>-17932562756.434696</v>
      </c>
      <c r="J2664" s="444">
        <f t="array" ref="J2664">IFERROR(INDEX('Retirement Calculator'!J:J,MATCH('Isaac 401k'!N2664,'Retirement Calculator'!A:A,0),0),0)</f>
        <v>0</v>
      </c>
      <c r="K2664" s="444">
        <f t="shared" ca="1" si="151"/>
        <v>-74719011.48514457</v>
      </c>
      <c r="L2664" s="444">
        <f t="shared" ca="1" si="152"/>
        <v>-18007281767.919842</v>
      </c>
      <c r="M2664" s="460">
        <f t="shared" si="154"/>
        <v>0.05</v>
      </c>
      <c r="N2664" s="464">
        <f t="shared" si="155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53"/>
        <v>-18007281767.919842</v>
      </c>
      <c r="J2665" s="444">
        <f t="array" ref="J2665">IFERROR(INDEX('Retirement Calculator'!J:J,MATCH('Isaac 401k'!N2665,'Retirement Calculator'!A:A,0),0),0)</f>
        <v>0</v>
      </c>
      <c r="K2665" s="444">
        <f t="shared" ca="1" si="151"/>
        <v>-75030340.699666008</v>
      </c>
      <c r="L2665" s="444">
        <f t="shared" ca="1" si="152"/>
        <v>-18082312108.619507</v>
      </c>
      <c r="M2665" s="460">
        <f t="shared" si="154"/>
        <v>0.05</v>
      </c>
      <c r="N2665" s="464">
        <f t="shared" si="155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53"/>
        <v>-18082312108.619507</v>
      </c>
      <c r="J2666" s="444">
        <f t="array" ref="J2666">IFERROR(INDEX('Retirement Calculator'!J:J,MATCH('Isaac 401k'!N2666,'Retirement Calculator'!A:A,0),0),0)</f>
        <v>0</v>
      </c>
      <c r="K2666" s="444">
        <f t="shared" ca="1" si="151"/>
        <v>-75342967.119247943</v>
      </c>
      <c r="L2666" s="444">
        <f t="shared" ca="1" si="152"/>
        <v>-18157655075.738754</v>
      </c>
      <c r="M2666" s="460">
        <f t="shared" si="154"/>
        <v>0.05</v>
      </c>
      <c r="N2666" s="464">
        <f t="shared" si="155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53"/>
        <v>-18157655075.738754</v>
      </c>
      <c r="J2667" s="444">
        <f t="array" ref="J2667">IFERROR(INDEX('Retirement Calculator'!J:J,MATCH('Isaac 401k'!N2667,'Retirement Calculator'!A:A,0),0),0)</f>
        <v>0</v>
      </c>
      <c r="K2667" s="444">
        <f t="shared" ca="1" si="151"/>
        <v>-75656896.148911476</v>
      </c>
      <c r="L2667" s="444">
        <f t="shared" ca="1" si="152"/>
        <v>-18233311971.887665</v>
      </c>
      <c r="M2667" s="460">
        <f t="shared" si="154"/>
        <v>0.05</v>
      </c>
      <c r="N2667" s="464">
        <f t="shared" si="155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53"/>
        <v>-18233311971.887665</v>
      </c>
      <c r="J2668" s="444">
        <f t="array" ref="J2668">IFERROR(INDEX('Retirement Calculator'!J:J,MATCH('Isaac 401k'!N2668,'Retirement Calculator'!A:A,0),0),0)</f>
        <v>0</v>
      </c>
      <c r="K2668" s="444">
        <f t="shared" ca="1" si="151"/>
        <v>-75972133.216198608</v>
      </c>
      <c r="L2668" s="444">
        <f t="shared" ca="1" si="152"/>
        <v>-18309284105.103863</v>
      </c>
      <c r="M2668" s="460">
        <f t="shared" si="154"/>
        <v>0.05</v>
      </c>
      <c r="N2668" s="464">
        <f t="shared" si="155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53"/>
        <v>-18309284105.103863</v>
      </c>
      <c r="J2669" s="444">
        <f t="array" ref="J2669">IFERROR(INDEX('Retirement Calculator'!J:J,MATCH('Isaac 401k'!N2669,'Retirement Calculator'!A:A,0),0),0)</f>
        <v>0</v>
      </c>
      <c r="K2669" s="444">
        <f t="shared" ca="1" si="151"/>
        <v>-76288683.771266088</v>
      </c>
      <c r="L2669" s="444">
        <f t="shared" ca="1" si="152"/>
        <v>-18385572788.87513</v>
      </c>
      <c r="M2669" s="460">
        <f t="shared" si="154"/>
        <v>0.05</v>
      </c>
      <c r="N2669" s="464">
        <f t="shared" si="155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53"/>
        <v>-18385572788.87513</v>
      </c>
      <c r="J2670" s="444">
        <f t="array" ref="J2670">IFERROR(INDEX('Retirement Calculator'!J:J,MATCH('Isaac 401k'!N2670,'Retirement Calculator'!A:A,0),0),0)</f>
        <v>0</v>
      </c>
      <c r="K2670" s="444">
        <f t="shared" ca="1" si="151"/>
        <v>-76606553.286979705</v>
      </c>
      <c r="L2670" s="444">
        <f t="shared" ca="1" si="152"/>
        <v>-18462179342.162109</v>
      </c>
      <c r="M2670" s="460">
        <f t="shared" si="154"/>
        <v>0.05</v>
      </c>
      <c r="N2670" s="464">
        <f t="shared" si="155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53"/>
        <v>-18462179342.162109</v>
      </c>
      <c r="J2671" s="444">
        <f t="array" ref="J2671">IFERROR(INDEX('Retirement Calculator'!J:J,MATCH('Isaac 401k'!N2671,'Retirement Calculator'!A:A,0),0),0)</f>
        <v>0</v>
      </c>
      <c r="K2671" s="444">
        <f t="shared" ca="1" si="151"/>
        <v>-76925747.259008795</v>
      </c>
      <c r="L2671" s="444">
        <f t="shared" ca="1" si="152"/>
        <v>-18539105089.42112</v>
      </c>
      <c r="M2671" s="460">
        <f t="shared" si="154"/>
        <v>0.05</v>
      </c>
      <c r="N2671" s="464">
        <f t="shared" si="155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53"/>
        <v>-18539105089.42112</v>
      </c>
      <c r="J2672" s="444">
        <f t="array" ref="J2672">IFERROR(INDEX('Retirement Calculator'!J:J,MATCH('Isaac 401k'!N2672,'Retirement Calculator'!A:A,0),0),0)</f>
        <v>0</v>
      </c>
      <c r="K2672" s="444">
        <f t="shared" ca="1" si="151"/>
        <v>-77246271.205921337</v>
      </c>
      <c r="L2672" s="444">
        <f t="shared" ca="1" si="152"/>
        <v>-18616351360.627041</v>
      </c>
      <c r="M2672" s="460">
        <f t="shared" si="154"/>
        <v>0.05</v>
      </c>
      <c r="N2672" s="464">
        <f t="shared" si="155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53"/>
        <v>-18616351360.627041</v>
      </c>
      <c r="J2673" s="444">
        <f t="array" ref="J2673">IFERROR(INDEX('Retirement Calculator'!J:J,MATCH('Isaac 401k'!N2673,'Retirement Calculator'!A:A,0),0),0)</f>
        <v>0</v>
      </c>
      <c r="K2673" s="444">
        <f t="shared" ca="1" si="151"/>
        <v>-77568130.669279337</v>
      </c>
      <c r="L2673" s="444">
        <f t="shared" ca="1" si="152"/>
        <v>-18693919491.296322</v>
      </c>
      <c r="M2673" s="460">
        <f t="shared" si="154"/>
        <v>0.05</v>
      </c>
      <c r="N2673" s="464">
        <f t="shared" si="155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53"/>
        <v>-18693919491.296322</v>
      </c>
      <c r="J2674" s="444">
        <f t="array" ref="J2674">IFERROR(INDEX('Retirement Calculator'!J:J,MATCH('Isaac 401k'!N2674,'Retirement Calculator'!A:A,0),0),0)</f>
        <v>0</v>
      </c>
      <c r="K2674" s="444">
        <f t="shared" ca="1" si="151"/>
        <v>-77891331.213734671</v>
      </c>
      <c r="L2674" s="444">
        <f t="shared" ca="1" si="152"/>
        <v>-18771810822.510056</v>
      </c>
      <c r="M2674" s="460">
        <f t="shared" si="154"/>
        <v>0.05</v>
      </c>
      <c r="N2674" s="464">
        <f t="shared" si="155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53"/>
        <v>-18771810822.510056</v>
      </c>
      <c r="J2675" s="444">
        <f t="array" ref="J2675">IFERROR(INDEX('Retirement Calculator'!J:J,MATCH('Isaac 401k'!N2675,'Retirement Calculator'!A:A,0),0),0)</f>
        <v>0</v>
      </c>
      <c r="K2675" s="444">
        <f t="shared" ca="1" si="151"/>
        <v>-78215878.42712523</v>
      </c>
      <c r="L2675" s="444">
        <f t="shared" ca="1" si="152"/>
        <v>-18850026700.93718</v>
      </c>
      <c r="M2675" s="460">
        <f t="shared" si="154"/>
        <v>0.05</v>
      </c>
      <c r="N2675" s="464">
        <f t="shared" si="155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53"/>
        <v>-18850026700.93718</v>
      </c>
      <c r="J2676" s="444">
        <f t="array" ref="J2676">IFERROR(INDEX('Retirement Calculator'!J:J,MATCH('Isaac 401k'!N2676,'Retirement Calculator'!A:A,0),0),0)</f>
        <v>0</v>
      </c>
      <c r="K2676" s="444">
        <f t="shared" ca="1" si="151"/>
        <v>-78541777.920571581</v>
      </c>
      <c r="L2676" s="444">
        <f t="shared" ca="1" si="152"/>
        <v>-18928568478.85775</v>
      </c>
      <c r="M2676" s="460">
        <f t="shared" si="154"/>
        <v>0.05</v>
      </c>
      <c r="N2676" s="464">
        <f t="shared" si="155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53"/>
        <v>-18928568478.85775</v>
      </c>
      <c r="J2677" s="444">
        <f t="array" ref="J2677">IFERROR(INDEX('Retirement Calculator'!J:J,MATCH('Isaac 401k'!N2677,'Retirement Calculator'!A:A,0),0),0)</f>
        <v>0</v>
      </c>
      <c r="K2677" s="444">
        <f t="shared" ca="1" si="151"/>
        <v>-78869035.328573957</v>
      </c>
      <c r="L2677" s="444">
        <f t="shared" ca="1" si="152"/>
        <v>-19007437514.186325</v>
      </c>
      <c r="M2677" s="460">
        <f t="shared" si="154"/>
        <v>0.05</v>
      </c>
      <c r="N2677" s="464">
        <f t="shared" si="155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53"/>
        <v>-19007437514.186325</v>
      </c>
      <c r="J2678" s="444">
        <f t="array" ref="J2678">IFERROR(INDEX('Retirement Calculator'!J:J,MATCH('Isaac 401k'!N2678,'Retirement Calculator'!A:A,0),0),0)</f>
        <v>0</v>
      </c>
      <c r="K2678" s="444">
        <f t="shared" ca="1" si="151"/>
        <v>-79197656.309109688</v>
      </c>
      <c r="L2678" s="444">
        <f t="shared" ca="1" si="152"/>
        <v>-19086635170.495434</v>
      </c>
      <c r="M2678" s="460">
        <f t="shared" si="154"/>
        <v>0.05</v>
      </c>
      <c r="N2678" s="464">
        <f t="shared" si="155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53"/>
        <v>-19086635170.495434</v>
      </c>
      <c r="J2679" s="444">
        <f t="array" ref="J2679">IFERROR(INDEX('Retirement Calculator'!J:J,MATCH('Isaac 401k'!N2679,'Retirement Calculator'!A:A,0),0),0)</f>
        <v>0</v>
      </c>
      <c r="K2679" s="444">
        <f t="shared" ca="1" si="151"/>
        <v>-79527646.543730974</v>
      </c>
      <c r="L2679" s="444">
        <f t="shared" ca="1" si="152"/>
        <v>-19166162817.039165</v>
      </c>
      <c r="M2679" s="460">
        <f t="shared" si="154"/>
        <v>0.05</v>
      </c>
      <c r="N2679" s="464">
        <f t="shared" si="155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53"/>
        <v>-19166162817.039165</v>
      </c>
      <c r="J2680" s="444">
        <f t="array" ref="J2680">IFERROR(INDEX('Retirement Calculator'!J:J,MATCH('Isaac 401k'!N2680,'Retirement Calculator'!A:A,0),0),0)</f>
        <v>0</v>
      </c>
      <c r="K2680" s="444">
        <f t="shared" ca="1" si="151"/>
        <v>-79859011.737663195</v>
      </c>
      <c r="L2680" s="444">
        <f t="shared" ca="1" si="152"/>
        <v>-19246021828.776829</v>
      </c>
      <c r="M2680" s="460">
        <f t="shared" si="154"/>
        <v>0.05</v>
      </c>
      <c r="N2680" s="464">
        <f t="shared" si="155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53"/>
        <v>-19246021828.776829</v>
      </c>
      <c r="J2681" s="444">
        <f t="array" ref="J2681">IFERROR(INDEX('Retirement Calculator'!J:J,MATCH('Isaac 401k'!N2681,'Retirement Calculator'!A:A,0),0),0)</f>
        <v>0</v>
      </c>
      <c r="K2681" s="444">
        <f t="shared" ca="1" si="151"/>
        <v>-80191757.619903445</v>
      </c>
      <c r="L2681" s="444">
        <f t="shared" ca="1" si="152"/>
        <v>-19326213586.396732</v>
      </c>
      <c r="M2681" s="460">
        <f t="shared" si="154"/>
        <v>0.05</v>
      </c>
      <c r="N2681" s="464">
        <f t="shared" si="155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53"/>
        <v>-19326213586.396732</v>
      </c>
      <c r="J2682" s="444">
        <f t="array" ref="J2682">IFERROR(INDEX('Retirement Calculator'!J:J,MATCH('Isaac 401k'!N2682,'Retirement Calculator'!A:A,0),0),0)</f>
        <v>0</v>
      </c>
      <c r="K2682" s="444">
        <f t="shared" ca="1" si="151"/>
        <v>-80525889.943319723</v>
      </c>
      <c r="L2682" s="444">
        <f t="shared" ca="1" si="152"/>
        <v>-19406739476.340054</v>
      </c>
      <c r="M2682" s="460">
        <f t="shared" si="154"/>
        <v>0.05</v>
      </c>
      <c r="N2682" s="464">
        <f t="shared" si="155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53"/>
        <v>-19406739476.340054</v>
      </c>
      <c r="J2683" s="444">
        <f t="array" ref="J2683">IFERROR(INDEX('Retirement Calculator'!J:J,MATCH('Isaac 401k'!N2683,'Retirement Calculator'!A:A,0),0),0)</f>
        <v>0</v>
      </c>
      <c r="K2683" s="444">
        <f t="shared" ca="1" si="151"/>
        <v>-80861414.484750226</v>
      </c>
      <c r="L2683" s="444">
        <f t="shared" ca="1" si="152"/>
        <v>-19487600890.824802</v>
      </c>
      <c r="M2683" s="460">
        <f t="shared" si="154"/>
        <v>0.05</v>
      </c>
      <c r="N2683" s="464">
        <f t="shared" si="155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53"/>
        <v>-19487600890.824802</v>
      </c>
      <c r="J2684" s="444">
        <f t="array" ref="J2684">IFERROR(INDEX('Retirement Calculator'!J:J,MATCH('Isaac 401k'!N2684,'Retirement Calculator'!A:A,0),0),0)</f>
        <v>0</v>
      </c>
      <c r="K2684" s="444">
        <f t="shared" ca="1" si="151"/>
        <v>-81198337.045103341</v>
      </c>
      <c r="L2684" s="444">
        <f t="shared" ca="1" si="152"/>
        <v>-19568799227.869907</v>
      </c>
      <c r="M2684" s="460">
        <f t="shared" si="154"/>
        <v>0.05</v>
      </c>
      <c r="N2684" s="464">
        <f t="shared" si="155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53"/>
        <v>-19568799227.869907</v>
      </c>
      <c r="J2685" s="444">
        <f t="array" ref="J2685">IFERROR(INDEX('Retirement Calculator'!J:J,MATCH('Isaac 401k'!N2685,'Retirement Calculator'!A:A,0),0),0)</f>
        <v>0</v>
      </c>
      <c r="K2685" s="444">
        <f t="shared" ca="1" si="151"/>
        <v>-81536663.449457943</v>
      </c>
      <c r="L2685" s="444">
        <f t="shared" ca="1" si="152"/>
        <v>-19650335891.319366</v>
      </c>
      <c r="M2685" s="460">
        <f t="shared" si="154"/>
        <v>0.05</v>
      </c>
      <c r="N2685" s="464">
        <f t="shared" si="155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53"/>
        <v>-19650335891.319366</v>
      </c>
      <c r="J2686" s="444">
        <f t="array" ref="J2686">IFERROR(INDEX('Retirement Calculator'!J:J,MATCH('Isaac 401k'!N2686,'Retirement Calculator'!A:A,0),0),0)</f>
        <v>0</v>
      </c>
      <c r="K2686" s="444">
        <f t="shared" ca="1" si="151"/>
        <v>-81876399.547164023</v>
      </c>
      <c r="L2686" s="444">
        <f t="shared" ca="1" si="152"/>
        <v>-19732212290.866531</v>
      </c>
      <c r="M2686" s="460">
        <f t="shared" si="154"/>
        <v>0.05</v>
      </c>
      <c r="N2686" s="464">
        <f t="shared" si="155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53"/>
        <v>-19732212290.866531</v>
      </c>
      <c r="J2687" s="444">
        <f t="array" ref="J2687">IFERROR(INDEX('Retirement Calculator'!J:J,MATCH('Isaac 401k'!N2687,'Retirement Calculator'!A:A,0),0),0)</f>
        <v>0</v>
      </c>
      <c r="K2687" s="444">
        <f t="shared" ca="1" si="151"/>
        <v>-82217551.21194388</v>
      </c>
      <c r="L2687" s="444">
        <f t="shared" ca="1" si="152"/>
        <v>-19814429842.078476</v>
      </c>
      <c r="M2687" s="460">
        <f t="shared" si="154"/>
        <v>0.05</v>
      </c>
      <c r="N2687" s="464">
        <f t="shared" si="155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53"/>
        <v>-19814429842.078476</v>
      </c>
      <c r="J2688" s="444">
        <f t="array" ref="J2688">IFERROR(INDEX('Retirement Calculator'!J:J,MATCH('Isaac 401k'!N2688,'Retirement Calculator'!A:A,0),0),0)</f>
        <v>0</v>
      </c>
      <c r="K2688" s="444">
        <f t="shared" ca="1" si="151"/>
        <v>-82560124.341993645</v>
      </c>
      <c r="L2688" s="444">
        <f t="shared" ca="1" si="152"/>
        <v>-19896989966.420471</v>
      </c>
      <c r="M2688" s="460">
        <f t="shared" si="154"/>
        <v>0.05</v>
      </c>
      <c r="N2688" s="464">
        <f t="shared" si="155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53"/>
        <v>-19896989966.420471</v>
      </c>
      <c r="J2689" s="444">
        <f t="array" ref="J2689">IFERROR(INDEX('Retirement Calculator'!J:J,MATCH('Isaac 401k'!N2689,'Retirement Calculator'!A:A,0),0),0)</f>
        <v>0</v>
      </c>
      <c r="K2689" s="444">
        <f t="shared" ca="1" si="151"/>
        <v>-82904124.860085294</v>
      </c>
      <c r="L2689" s="444">
        <f t="shared" ca="1" si="152"/>
        <v>-19979894091.280556</v>
      </c>
      <c r="M2689" s="460">
        <f t="shared" si="154"/>
        <v>0.05</v>
      </c>
      <c r="N2689" s="464">
        <f t="shared" si="155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53"/>
        <v>-19979894091.280556</v>
      </c>
      <c r="J2690" s="444">
        <f t="array" ref="J2690">IFERROR(INDEX('Retirement Calculator'!J:J,MATCH('Isaac 401k'!N2690,'Retirement Calculator'!A:A,0),0),0)</f>
        <v>0</v>
      </c>
      <c r="K2690" s="444">
        <f t="shared" ca="1" si="151"/>
        <v>-83249558.713668987</v>
      </c>
      <c r="L2690" s="444">
        <f t="shared" ca="1" si="152"/>
        <v>-20063143649.994225</v>
      </c>
      <c r="M2690" s="460">
        <f t="shared" si="154"/>
        <v>0.05</v>
      </c>
      <c r="N2690" s="464">
        <f t="shared" si="155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53"/>
        <v>-20063143649.994225</v>
      </c>
      <c r="J2691" s="444">
        <f t="array" ref="J2691">IFERROR(INDEX('Retirement Calculator'!J:J,MATCH('Isaac 401k'!N2691,'Retirement Calculator'!A:A,0),0),0)</f>
        <v>0</v>
      </c>
      <c r="K2691" s="444">
        <f t="shared" ca="1" si="151"/>
        <v>-83596431.874975935</v>
      </c>
      <c r="L2691" s="444">
        <f t="shared" ca="1" si="152"/>
        <v>-20146740081.869202</v>
      </c>
      <c r="M2691" s="460">
        <f t="shared" si="154"/>
        <v>0.05</v>
      </c>
      <c r="N2691" s="464">
        <f t="shared" si="155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53"/>
        <v>-20146740081.869202</v>
      </c>
      <c r="J2692" s="444">
        <f t="array" ref="J2692">IFERROR(INDEX('Retirement Calculator'!J:J,MATCH('Isaac 401k'!N2692,'Retirement Calculator'!A:A,0),0),0)</f>
        <v>0</v>
      </c>
      <c r="K2692" s="444">
        <f t="shared" ca="1" si="151"/>
        <v>-83944750.341121674</v>
      </c>
      <c r="L2692" s="444">
        <f t="shared" ca="1" si="152"/>
        <v>-20230684832.210323</v>
      </c>
      <c r="M2692" s="460">
        <f t="shared" si="154"/>
        <v>0.05</v>
      </c>
      <c r="N2692" s="464">
        <f t="shared" si="155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53"/>
        <v>-20230684832.210323</v>
      </c>
      <c r="J2693" s="444">
        <f t="array" ref="J2693">IFERROR(INDEX('Retirement Calculator'!J:J,MATCH('Isaac 401k'!N2693,'Retirement Calculator'!A:A,0),0),0)</f>
        <v>0</v>
      </c>
      <c r="K2693" s="444">
        <f t="shared" ca="1" si="151"/>
        <v>-84294520.134209678</v>
      </c>
      <c r="L2693" s="444">
        <f t="shared" ca="1" si="152"/>
        <v>-20314979352.344532</v>
      </c>
      <c r="M2693" s="460">
        <f t="shared" si="154"/>
        <v>0.05</v>
      </c>
      <c r="N2693" s="464">
        <f t="shared" si="155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53"/>
        <v>-20314979352.344532</v>
      </c>
      <c r="J2694" s="444">
        <f t="array" ref="J2694">IFERROR(INDEX('Retirement Calculator'!J:J,MATCH('Isaac 401k'!N2694,'Retirement Calculator'!A:A,0),0),0)</f>
        <v>0</v>
      </c>
      <c r="K2694" s="444">
        <f t="shared" ca="1" si="151"/>
        <v>-84645747.301435545</v>
      </c>
      <c r="L2694" s="444">
        <f t="shared" ca="1" si="152"/>
        <v>-20399625099.645969</v>
      </c>
      <c r="M2694" s="460">
        <f t="shared" si="154"/>
        <v>0.05</v>
      </c>
      <c r="N2694" s="464">
        <f t="shared" si="155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53"/>
        <v>-20399625099.645969</v>
      </c>
      <c r="J2695" s="444">
        <f t="array" ref="J2695">IFERROR(INDEX('Retirement Calculator'!J:J,MATCH('Isaac 401k'!N2695,'Retirement Calculator'!A:A,0),0),0)</f>
        <v>0</v>
      </c>
      <c r="K2695" s="444">
        <f t="shared" ca="1" si="151"/>
        <v>-84998437.915191531</v>
      </c>
      <c r="L2695" s="444">
        <f t="shared" ca="1" si="152"/>
        <v>-20484623537.561161</v>
      </c>
      <c r="M2695" s="460">
        <f t="shared" si="154"/>
        <v>0.05</v>
      </c>
      <c r="N2695" s="464">
        <f t="shared" si="155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53"/>
        <v>-20484623537.561161</v>
      </c>
      <c r="J2696" s="444">
        <f t="array" ref="J2696">IFERROR(INDEX('Retirement Calculator'!J:J,MATCH('Isaac 401k'!N2696,'Retirement Calculator'!A:A,0),0),0)</f>
        <v>0</v>
      </c>
      <c r="K2696" s="444">
        <f t="shared" ca="1" si="151"/>
        <v>-85352598.073171496</v>
      </c>
      <c r="L2696" s="444">
        <f t="shared" ca="1" si="152"/>
        <v>-20569976135.634331</v>
      </c>
      <c r="M2696" s="460">
        <f t="shared" si="154"/>
        <v>0.05</v>
      </c>
      <c r="N2696" s="464">
        <f t="shared" si="155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53"/>
        <v>-20569976135.634331</v>
      </c>
      <c r="J2697" s="444">
        <f t="array" ref="J2697">IFERROR(INDEX('Retirement Calculator'!J:J,MATCH('Isaac 401k'!N2697,'Retirement Calculator'!A:A,0),0),0)</f>
        <v>0</v>
      </c>
      <c r="K2697" s="444">
        <f t="shared" ca="1" si="151"/>
        <v>-85708233.898476377</v>
      </c>
      <c r="L2697" s="444">
        <f t="shared" ca="1" si="152"/>
        <v>-20655684369.532806</v>
      </c>
      <c r="M2697" s="460">
        <f t="shared" si="154"/>
        <v>0.05</v>
      </c>
      <c r="N2697" s="464">
        <f t="shared" si="155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53"/>
        <v>-20655684369.532806</v>
      </c>
      <c r="J2698" s="444">
        <f t="array" ref="J2698">IFERROR(INDEX('Retirement Calculator'!J:J,MATCH('Isaac 401k'!N2698,'Retirement Calculator'!A:A,0),0),0)</f>
        <v>0</v>
      </c>
      <c r="K2698" s="444">
        <f t="shared" ca="1" si="151"/>
        <v>-86065351.539720029</v>
      </c>
      <c r="L2698" s="444">
        <f t="shared" ca="1" si="152"/>
        <v>-20741749721.072525</v>
      </c>
      <c r="M2698" s="460">
        <f t="shared" si="154"/>
        <v>0.05</v>
      </c>
      <c r="N2698" s="464">
        <f t="shared" si="155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53"/>
        <v>-20741749721.072525</v>
      </c>
      <c r="J2699" s="444">
        <f t="array" ref="J2699">IFERROR(INDEX('Retirement Calculator'!J:J,MATCH('Isaac 401k'!N2699,'Retirement Calculator'!A:A,0),0),0)</f>
        <v>0</v>
      </c>
      <c r="K2699" s="444">
        <f t="shared" ca="1" si="151"/>
        <v>-86423957.171135515</v>
      </c>
      <c r="L2699" s="444">
        <f t="shared" ca="1" si="152"/>
        <v>-20828173678.24366</v>
      </c>
      <c r="M2699" s="460">
        <f t="shared" si="154"/>
        <v>0.05</v>
      </c>
      <c r="N2699" s="464">
        <f t="shared" si="155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53"/>
        <v>-20828173678.24366</v>
      </c>
      <c r="J2700" s="444">
        <f t="array" ref="J2700">IFERROR(INDEX('Retirement Calculator'!J:J,MATCH('Isaac 401k'!N2700,'Retirement Calculator'!A:A,0),0),0)</f>
        <v>0</v>
      </c>
      <c r="K2700" s="444">
        <f t="shared" ca="1" si="151"/>
        <v>-86784056.992681921</v>
      </c>
      <c r="L2700" s="444">
        <f t="shared" ca="1" si="152"/>
        <v>-20914957735.236343</v>
      </c>
      <c r="M2700" s="460">
        <f t="shared" si="154"/>
        <v>0.05</v>
      </c>
      <c r="N2700" s="464">
        <f t="shared" si="155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53"/>
        <v>-20914957735.236343</v>
      </c>
      <c r="J2701" s="444">
        <f t="array" ref="J2701">IFERROR(INDEX('Retirement Calculator'!J:J,MATCH('Isaac 401k'!N2701,'Retirement Calculator'!A:A,0),0),0)</f>
        <v>0</v>
      </c>
      <c r="K2701" s="444">
        <f t="shared" ca="1" si="151"/>
        <v>-87145657.23015143</v>
      </c>
      <c r="L2701" s="444">
        <f t="shared" ca="1" si="152"/>
        <v>-21002103392.466496</v>
      </c>
      <c r="M2701" s="460">
        <f t="shared" si="154"/>
        <v>0.05</v>
      </c>
      <c r="N2701" s="464">
        <f t="shared" si="155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53"/>
        <v>-21002103392.466496</v>
      </c>
      <c r="J2702" s="444">
        <f t="array" ref="J2702">IFERROR(INDEX('Retirement Calculator'!J:J,MATCH('Isaac 401k'!N2702,'Retirement Calculator'!A:A,0),0),0)</f>
        <v>0</v>
      </c>
      <c r="K2702" s="444">
        <f t="shared" ca="1" si="151"/>
        <v>-87508764.135277063</v>
      </c>
      <c r="L2702" s="444">
        <f t="shared" ca="1" si="152"/>
        <v>-21089612156.601772</v>
      </c>
      <c r="M2702" s="460">
        <f t="shared" si="154"/>
        <v>0.05</v>
      </c>
      <c r="N2702" s="464">
        <f t="shared" si="155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53"/>
        <v>-21089612156.601772</v>
      </c>
      <c r="J2703" s="444">
        <f t="array" ref="J2703">IFERROR(INDEX('Retirement Calculator'!J:J,MATCH('Isaac 401k'!N2703,'Retirement Calculator'!A:A,0),0),0)</f>
        <v>0</v>
      </c>
      <c r="K2703" s="444">
        <f t="shared" ca="1" si="151"/>
        <v>-87873383.985840723</v>
      </c>
      <c r="L2703" s="444">
        <f t="shared" ca="1" si="152"/>
        <v>-21177485540.587612</v>
      </c>
      <c r="M2703" s="460">
        <f t="shared" si="154"/>
        <v>0.05</v>
      </c>
      <c r="N2703" s="464">
        <f t="shared" si="155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53"/>
        <v>-21177485540.587612</v>
      </c>
      <c r="J2704" s="444">
        <f t="array" ref="J2704">IFERROR(INDEX('Retirement Calculator'!J:J,MATCH('Isaac 401k'!N2704,'Retirement Calculator'!A:A,0),0),0)</f>
        <v>0</v>
      </c>
      <c r="K2704" s="444">
        <f t="shared" ca="1" si="151"/>
        <v>-88239523.085781723</v>
      </c>
      <c r="L2704" s="444">
        <f t="shared" ca="1" si="152"/>
        <v>-21265725063.673393</v>
      </c>
      <c r="M2704" s="460">
        <f t="shared" si="154"/>
        <v>0.05</v>
      </c>
      <c r="N2704" s="464">
        <f t="shared" si="155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53"/>
        <v>-21265725063.673393</v>
      </c>
      <c r="J2705" s="444">
        <f t="array" ref="J2705">IFERROR(INDEX('Retirement Calculator'!J:J,MATCH('Isaac 401k'!N2705,'Retirement Calculator'!A:A,0),0),0)</f>
        <v>0</v>
      </c>
      <c r="K2705" s="444">
        <f t="shared" ca="1" si="151"/>
        <v>-88607187.765305802</v>
      </c>
      <c r="L2705" s="444">
        <f t="shared" ca="1" si="152"/>
        <v>-21354332251.438698</v>
      </c>
      <c r="M2705" s="460">
        <f t="shared" si="154"/>
        <v>0.05</v>
      </c>
      <c r="N2705" s="464">
        <f t="shared" si="155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53"/>
        <v>-21354332251.438698</v>
      </c>
      <c r="J2706" s="444">
        <f t="array" ref="J2706">IFERROR(INDEX('Retirement Calculator'!J:J,MATCH('Isaac 401k'!N2706,'Retirement Calculator'!A:A,0),0),0)</f>
        <v>0</v>
      </c>
      <c r="K2706" s="444">
        <f t="shared" ca="1" si="151"/>
        <v>-88976384.380994573</v>
      </c>
      <c r="L2706" s="444">
        <f t="shared" ca="1" si="152"/>
        <v>-21443308635.819691</v>
      </c>
      <c r="M2706" s="460">
        <f t="shared" si="154"/>
        <v>0.05</v>
      </c>
      <c r="N2706" s="464">
        <f t="shared" si="155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53"/>
        <v>-21443308635.819691</v>
      </c>
      <c r="J2707" s="444">
        <f t="array" ref="J2707">IFERROR(INDEX('Retirement Calculator'!J:J,MATCH('Isaac 401k'!N2707,'Retirement Calculator'!A:A,0),0),0)</f>
        <v>0</v>
      </c>
      <c r="K2707" s="444">
        <f t="shared" ca="1" si="151"/>
        <v>-89347119.315915376</v>
      </c>
      <c r="L2707" s="444">
        <f t="shared" ca="1" si="152"/>
        <v>-21532655755.135605</v>
      </c>
      <c r="M2707" s="460">
        <f t="shared" si="154"/>
        <v>0.05</v>
      </c>
      <c r="N2707" s="464">
        <f t="shared" si="155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53"/>
        <v>-21532655755.135605</v>
      </c>
      <c r="J2708" s="444">
        <f t="array" ref="J2708">IFERROR(INDEX('Retirement Calculator'!J:J,MATCH('Isaac 401k'!N2708,'Retirement Calculator'!A:A,0),0),0)</f>
        <v>0</v>
      </c>
      <c r="K2708" s="444">
        <f t="shared" ca="1" si="151"/>
        <v>-89719398.979731679</v>
      </c>
      <c r="L2708" s="444">
        <f t="shared" ca="1" si="152"/>
        <v>-21622375154.115337</v>
      </c>
      <c r="M2708" s="460">
        <f t="shared" si="154"/>
        <v>0.05</v>
      </c>
      <c r="N2708" s="464">
        <f t="shared" si="155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53"/>
        <v>-21622375154.115337</v>
      </c>
      <c r="J2709" s="444">
        <f t="array" ref="J2709">IFERROR(INDEX('Retirement Calculator'!J:J,MATCH('Isaac 401k'!N2709,'Retirement Calculator'!A:A,0),0),0)</f>
        <v>0</v>
      </c>
      <c r="K2709" s="444">
        <f t="shared" ca="1" si="151"/>
        <v>-90093229.8088139</v>
      </c>
      <c r="L2709" s="444">
        <f t="shared" ca="1" si="152"/>
        <v>-21712468383.924152</v>
      </c>
      <c r="M2709" s="460">
        <f t="shared" si="154"/>
        <v>0.05</v>
      </c>
      <c r="N2709" s="464">
        <f t="shared" si="155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53"/>
        <v>-21712468383.924152</v>
      </c>
      <c r="J2710" s="444">
        <f t="array" ref="J2710">IFERROR(INDEX('Retirement Calculator'!J:J,MATCH('Isaac 401k'!N2710,'Retirement Calculator'!A:A,0),0),0)</f>
        <v>0</v>
      </c>
      <c r="K2710" s="444">
        <f t="shared" ca="1" si="151"/>
        <v>-90468618.266350627</v>
      </c>
      <c r="L2710" s="444">
        <f t="shared" ca="1" si="152"/>
        <v>-21802937002.190502</v>
      </c>
      <c r="M2710" s="460">
        <f t="shared" si="154"/>
        <v>0.05</v>
      </c>
      <c r="N2710" s="464">
        <f t="shared" si="155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53"/>
        <v>-21802937002.190502</v>
      </c>
      <c r="J2711" s="444">
        <f t="array" ref="J2711">IFERROR(INDEX('Retirement Calculator'!J:J,MATCH('Isaac 401k'!N2711,'Retirement Calculator'!A:A,0),0),0)</f>
        <v>0</v>
      </c>
      <c r="K2711" s="444">
        <f t="shared" ca="1" si="151"/>
        <v>-90845570.842460424</v>
      </c>
      <c r="L2711" s="444">
        <f t="shared" ca="1" si="152"/>
        <v>-21893782573.032963</v>
      </c>
      <c r="M2711" s="460">
        <f t="shared" si="154"/>
        <v>0.05</v>
      </c>
      <c r="N2711" s="464">
        <f t="shared" si="155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53"/>
        <v>-21893782573.032963</v>
      </c>
      <c r="J2712" s="444">
        <f t="array" ref="J2712">IFERROR(INDEX('Retirement Calculator'!J:J,MATCH('Isaac 401k'!N2712,'Retirement Calculator'!A:A,0),0),0)</f>
        <v>0</v>
      </c>
      <c r="K2712" s="444">
        <f t="shared" ca="1" si="151"/>
        <v>-91224094.054304004</v>
      </c>
      <c r="L2712" s="444">
        <f t="shared" ca="1" si="152"/>
        <v>-21985006667.087265</v>
      </c>
      <c r="M2712" s="460">
        <f t="shared" si="154"/>
        <v>0.05</v>
      </c>
      <c r="N2712" s="464">
        <f t="shared" si="155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53"/>
        <v>-21985006667.087265</v>
      </c>
      <c r="J2713" s="444">
        <f t="array" ref="J2713">IFERROR(INDEX('Retirement Calculator'!J:J,MATCH('Isaac 401k'!N2713,'Retirement Calculator'!A:A,0),0),0)</f>
        <v>0</v>
      </c>
      <c r="K2713" s="444">
        <f t="shared" ca="1" si="151"/>
        <v>-91604194.446196944</v>
      </c>
      <c r="L2713" s="444">
        <f t="shared" ca="1" si="152"/>
        <v>-22076610861.533463</v>
      </c>
      <c r="M2713" s="460">
        <f t="shared" si="154"/>
        <v>0.05</v>
      </c>
      <c r="N2713" s="464">
        <f t="shared" si="155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53"/>
        <v>-22076610861.533463</v>
      </c>
      <c r="J2714" s="444">
        <f t="array" ref="J2714">IFERROR(INDEX('Retirement Calculator'!J:J,MATCH('Isaac 401k'!N2714,'Retirement Calculator'!A:A,0),0),0)</f>
        <v>0</v>
      </c>
      <c r="K2714" s="444">
        <f t="shared" ca="1" si="151"/>
        <v>-91985878.589722753</v>
      </c>
      <c r="L2714" s="444">
        <f t="shared" ca="1" si="152"/>
        <v>-22168596740.123184</v>
      </c>
      <c r="M2714" s="460">
        <f t="shared" si="154"/>
        <v>0.05</v>
      </c>
      <c r="N2714" s="464">
        <f t="shared" si="155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53"/>
        <v>-22168596740.123184</v>
      </c>
      <c r="J2715" s="444">
        <f t="array" ref="J2715">IFERROR(INDEX('Retirement Calculator'!J:J,MATCH('Isaac 401k'!N2715,'Retirement Calculator'!A:A,0),0),0)</f>
        <v>0</v>
      </c>
      <c r="K2715" s="444">
        <f t="shared" ca="1" si="151"/>
        <v>-92369153.083846599</v>
      </c>
      <c r="L2715" s="444">
        <f t="shared" ca="1" si="152"/>
        <v>-22260965893.207031</v>
      </c>
      <c r="M2715" s="460">
        <f t="shared" si="154"/>
        <v>0.05</v>
      </c>
      <c r="N2715" s="464">
        <f t="shared" si="155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53"/>
        <v>-22260965893.207031</v>
      </c>
      <c r="J2716" s="444">
        <f t="array" ref="J2716">IFERROR(INDEX('Retirement Calculator'!J:J,MATCH('Isaac 401k'!N2716,'Retirement Calculator'!A:A,0),0),0)</f>
        <v>0</v>
      </c>
      <c r="K2716" s="444">
        <f t="shared" ca="1" si="151"/>
        <v>-92754024.555029303</v>
      </c>
      <c r="L2716" s="444">
        <f t="shared" ca="1" si="152"/>
        <v>-22353719917.762062</v>
      </c>
      <c r="M2716" s="460">
        <f t="shared" si="154"/>
        <v>0.05</v>
      </c>
      <c r="N2716" s="464">
        <f t="shared" si="155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53"/>
        <v>-22353719917.762062</v>
      </c>
      <c r="J2717" s="444">
        <f t="array" ref="J2717">IFERROR(INDEX('Retirement Calculator'!J:J,MATCH('Isaac 401k'!N2717,'Retirement Calculator'!A:A,0),0),0)</f>
        <v>0</v>
      </c>
      <c r="K2717" s="444">
        <f t="shared" ca="1" si="151"/>
        <v>-93140499.657341927</v>
      </c>
      <c r="L2717" s="444">
        <f t="shared" ca="1" si="152"/>
        <v>-22446860417.419403</v>
      </c>
      <c r="M2717" s="460">
        <f t="shared" si="154"/>
        <v>0.05</v>
      </c>
      <c r="N2717" s="464">
        <f t="shared" si="155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53"/>
        <v>-22446860417.419403</v>
      </c>
      <c r="J2718" s="444">
        <f t="array" ref="J2718">IFERROR(INDEX('Retirement Calculator'!J:J,MATCH('Isaac 401k'!N2718,'Retirement Calculator'!A:A,0),0),0)</f>
        <v>0</v>
      </c>
      <c r="K2718" s="444">
        <f t="shared" ca="1" si="151"/>
        <v>-93528585.072580844</v>
      </c>
      <c r="L2718" s="444">
        <f t="shared" ca="1" si="152"/>
        <v>-22540389002.491985</v>
      </c>
      <c r="M2718" s="460">
        <f t="shared" si="154"/>
        <v>0.05</v>
      </c>
      <c r="N2718" s="464">
        <f t="shared" si="155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53"/>
        <v>-22540389002.491985</v>
      </c>
      <c r="J2719" s="444">
        <f t="array" ref="J2719">IFERROR(INDEX('Retirement Calculator'!J:J,MATCH('Isaac 401k'!N2719,'Retirement Calculator'!A:A,0),0),0)</f>
        <v>0</v>
      </c>
      <c r="K2719" s="444">
        <f t="shared" ca="1" si="151"/>
        <v>-93918287.510383278</v>
      </c>
      <c r="L2719" s="444">
        <f t="shared" ca="1" si="152"/>
        <v>-22634307290.002369</v>
      </c>
      <c r="M2719" s="460">
        <f t="shared" si="154"/>
        <v>0.05</v>
      </c>
      <c r="N2719" s="464">
        <f t="shared" si="155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53"/>
        <v>-22634307290.002369</v>
      </c>
      <c r="J2720" s="444">
        <f t="array" ref="J2720">IFERROR(INDEX('Retirement Calculator'!J:J,MATCH('Isaac 401k'!N2720,'Retirement Calculator'!A:A,0),0),0)</f>
        <v>0</v>
      </c>
      <c r="K2720" s="444">
        <f t="shared" ca="1" si="151"/>
        <v>-94309613.708343208</v>
      </c>
      <c r="L2720" s="444">
        <f t="shared" ca="1" si="152"/>
        <v>-22728616903.710712</v>
      </c>
      <c r="M2720" s="460">
        <f t="shared" si="154"/>
        <v>0.05</v>
      </c>
      <c r="N2720" s="464">
        <f t="shared" si="155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53"/>
        <v>-22728616903.710712</v>
      </c>
      <c r="J2721" s="444">
        <f t="array" ref="J2721">IFERROR(INDEX('Retirement Calculator'!J:J,MATCH('Isaac 401k'!N2721,'Retirement Calculator'!A:A,0),0),0)</f>
        <v>0</v>
      </c>
      <c r="K2721" s="444">
        <f t="shared" ca="1" si="151"/>
        <v>-94702570.432127967</v>
      </c>
      <c r="L2721" s="444">
        <f t="shared" ca="1" si="152"/>
        <v>-22823319474.142841</v>
      </c>
      <c r="M2721" s="460">
        <f t="shared" si="154"/>
        <v>0.05</v>
      </c>
      <c r="N2721" s="464">
        <f t="shared" si="155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53"/>
        <v>-22823319474.142841</v>
      </c>
      <c r="J2722" s="444">
        <f t="array" ref="J2722">IFERROR(INDEX('Retirement Calculator'!J:J,MATCH('Isaac 401k'!N2722,'Retirement Calculator'!A:A,0),0),0)</f>
        <v>0</v>
      </c>
      <c r="K2722" s="444">
        <f t="shared" ca="1" si="151"/>
        <v>-95097164.475595176</v>
      </c>
      <c r="L2722" s="444">
        <f t="shared" ca="1" si="152"/>
        <v>-22918416638.618435</v>
      </c>
      <c r="M2722" s="460">
        <f t="shared" si="154"/>
        <v>0.05</v>
      </c>
      <c r="N2722" s="464">
        <f t="shared" si="155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53"/>
        <v>-22918416638.618435</v>
      </c>
      <c r="J2723" s="444">
        <f t="array" ref="J2723">IFERROR(INDEX('Retirement Calculator'!J:J,MATCH('Isaac 401k'!N2723,'Retirement Calculator'!A:A,0),0),0)</f>
        <v>0</v>
      </c>
      <c r="K2723" s="444">
        <f t="shared" ca="1" si="151"/>
        <v>-95493402.660910144</v>
      </c>
      <c r="L2723" s="444">
        <f t="shared" ca="1" si="152"/>
        <v>-23013910041.279346</v>
      </c>
      <c r="M2723" s="460">
        <f t="shared" si="154"/>
        <v>0.05</v>
      </c>
      <c r="N2723" s="464">
        <f t="shared" si="155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53"/>
        <v>-23013910041.279346</v>
      </c>
      <c r="J2724" s="444">
        <f t="array" ref="J2724">IFERROR(INDEX('Retirement Calculator'!J:J,MATCH('Isaac 401k'!N2724,'Retirement Calculator'!A:A,0),0),0)</f>
        <v>0</v>
      </c>
      <c r="K2724" s="444">
        <f t="shared" ca="1" si="151"/>
        <v>-95891291.838663936</v>
      </c>
      <c r="L2724" s="444">
        <f t="shared" ca="1" si="152"/>
        <v>-23109801333.118011</v>
      </c>
      <c r="M2724" s="460">
        <f t="shared" si="154"/>
        <v>0.05</v>
      </c>
      <c r="N2724" s="464">
        <f t="shared" si="155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53"/>
        <v>-23109801333.118011</v>
      </c>
      <c r="J2725" s="444">
        <f t="array" ref="J2725">IFERROR(INDEX('Retirement Calculator'!J:J,MATCH('Isaac 401k'!N2725,'Retirement Calculator'!A:A,0),0),0)</f>
        <v>0</v>
      </c>
      <c r="K2725" s="444">
        <f t="shared" ca="1" si="151"/>
        <v>-96290838.887991711</v>
      </c>
      <c r="L2725" s="444">
        <f t="shared" ca="1" si="152"/>
        <v>-23206092172.006004</v>
      </c>
      <c r="M2725" s="460">
        <f t="shared" si="154"/>
        <v>0.05</v>
      </c>
      <c r="N2725" s="464">
        <f t="shared" si="155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53"/>
        <v>-23206092172.006004</v>
      </c>
      <c r="J2726" s="444">
        <f t="array" ref="J2726">IFERROR(INDEX('Retirement Calculator'!J:J,MATCH('Isaac 401k'!N2726,'Retirement Calculator'!A:A,0),0),0)</f>
        <v>0</v>
      </c>
      <c r="K2726" s="444">
        <f t="shared" ca="1" si="151"/>
        <v>-96692050.716691688</v>
      </c>
      <c r="L2726" s="444">
        <f t="shared" ca="1" si="152"/>
        <v>-23302784222.722694</v>
      </c>
      <c r="M2726" s="460">
        <f t="shared" si="154"/>
        <v>0.05</v>
      </c>
      <c r="N2726" s="464">
        <f t="shared" si="155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53"/>
        <v>-23302784222.722694</v>
      </c>
      <c r="J2727" s="444">
        <f t="array" ref="J2727">IFERROR(INDEX('Retirement Calculator'!J:J,MATCH('Isaac 401k'!N2727,'Retirement Calculator'!A:A,0),0),0)</f>
        <v>0</v>
      </c>
      <c r="K2727" s="444">
        <f t="shared" ca="1" si="151"/>
        <v>-97094934.261344552</v>
      </c>
      <c r="L2727" s="444">
        <f t="shared" ca="1" si="152"/>
        <v>-23399879156.984039</v>
      </c>
      <c r="M2727" s="460">
        <f t="shared" si="154"/>
        <v>0.05</v>
      </c>
      <c r="N2727" s="464">
        <f t="shared" si="155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53"/>
        <v>-23399879156.984039</v>
      </c>
      <c r="J2728" s="444">
        <f t="array" ref="J2728">IFERROR(INDEX('Retirement Calculator'!J:J,MATCH('Isaac 401k'!N2728,'Retirement Calculator'!A:A,0),0),0)</f>
        <v>0</v>
      </c>
      <c r="K2728" s="444">
        <f t="shared" ca="1" si="151"/>
        <v>-97499496.487433493</v>
      </c>
      <c r="L2728" s="444">
        <f t="shared" ca="1" si="152"/>
        <v>-23497378653.471474</v>
      </c>
      <c r="M2728" s="460">
        <f t="shared" si="154"/>
        <v>0.05</v>
      </c>
      <c r="N2728" s="464">
        <f t="shared" si="155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53"/>
        <v>-23497378653.471474</v>
      </c>
      <c r="J2729" s="444">
        <f t="array" ref="J2729">IFERROR(INDEX('Retirement Calculator'!J:J,MATCH('Isaac 401k'!N2729,'Retirement Calculator'!A:A,0),0),0)</f>
        <v>0</v>
      </c>
      <c r="K2729" s="444">
        <f t="shared" ca="1" si="151"/>
        <v>-97905744.389464468</v>
      </c>
      <c r="L2729" s="444">
        <f t="shared" ca="1" si="152"/>
        <v>-23595284397.860939</v>
      </c>
      <c r="M2729" s="460">
        <f t="shared" si="154"/>
        <v>0.05</v>
      </c>
      <c r="N2729" s="464">
        <f t="shared" si="155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53"/>
        <v>-23595284397.860939</v>
      </c>
      <c r="J2730" s="444">
        <f t="array" ref="J2730">IFERROR(INDEX('Retirement Calculator'!J:J,MATCH('Isaac 401k'!N2730,'Retirement Calculator'!A:A,0),0),0)</f>
        <v>0</v>
      </c>
      <c r="K2730" s="444">
        <f t="shared" ca="1" si="151"/>
        <v>-98313684.991087243</v>
      </c>
      <c r="L2730" s="444">
        <f t="shared" ca="1" si="152"/>
        <v>-23693598082.852028</v>
      </c>
      <c r="M2730" s="460">
        <f t="shared" si="154"/>
        <v>0.05</v>
      </c>
      <c r="N2730" s="464">
        <f t="shared" si="155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53"/>
        <v>-23693598082.852028</v>
      </c>
      <c r="J2731" s="444">
        <f t="array" ref="J2731">IFERROR(INDEX('Retirement Calculator'!J:J,MATCH('Isaac 401k'!N2731,'Retirement Calculator'!A:A,0),0),0)</f>
        <v>0</v>
      </c>
      <c r="K2731" s="444">
        <f t="shared" ca="1" si="151"/>
        <v>-98723325.345216781</v>
      </c>
      <c r="L2731" s="444">
        <f t="shared" ca="1" si="152"/>
        <v>-23792321408.197247</v>
      </c>
      <c r="M2731" s="460">
        <f t="shared" si="154"/>
        <v>0.05</v>
      </c>
      <c r="N2731" s="464">
        <f t="shared" si="155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53"/>
        <v>-23792321408.197247</v>
      </c>
      <c r="J2732" s="444">
        <f t="array" ref="J2732">IFERROR(INDEX('Retirement Calculator'!J:J,MATCH('Isaac 401k'!N2732,'Retirement Calculator'!A:A,0),0),0)</f>
        <v>0</v>
      </c>
      <c r="K2732" s="444">
        <f t="shared" ca="1" si="151"/>
        <v>-99134672.53415519</v>
      </c>
      <c r="L2732" s="444">
        <f t="shared" ca="1" si="152"/>
        <v>-23891456080.731403</v>
      </c>
      <c r="M2732" s="460">
        <f t="shared" si="154"/>
        <v>0.05</v>
      </c>
      <c r="N2732" s="464">
        <f t="shared" si="155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53"/>
        <v>-23891456080.731403</v>
      </c>
      <c r="J2733" s="444">
        <f t="array" ref="J2733">IFERROR(INDEX('Retirement Calculator'!J:J,MATCH('Isaac 401k'!N2733,'Retirement Calculator'!A:A,0),0),0)</f>
        <v>0</v>
      </c>
      <c r="K2733" s="444">
        <f t="shared" ca="1" si="151"/>
        <v>-99547733.669714183</v>
      </c>
      <c r="L2733" s="444">
        <f t="shared" ca="1" si="152"/>
        <v>-23991003814.401119</v>
      </c>
      <c r="M2733" s="460">
        <f t="shared" si="154"/>
        <v>0.05</v>
      </c>
      <c r="N2733" s="464">
        <f t="shared" si="155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53"/>
        <v>-23991003814.401119</v>
      </c>
      <c r="J2734" s="444">
        <f t="array" ref="J2734">IFERROR(INDEX('Retirement Calculator'!J:J,MATCH('Isaac 401k'!N2734,'Retirement Calculator'!A:A,0),0),0)</f>
        <v>0</v>
      </c>
      <c r="K2734" s="444">
        <f t="shared" ca="1" si="151"/>
        <v>-99962515.893337995</v>
      </c>
      <c r="L2734" s="444">
        <f t="shared" ca="1" si="152"/>
        <v>-24090966330.294456</v>
      </c>
      <c r="M2734" s="460">
        <f t="shared" si="154"/>
        <v>0.05</v>
      </c>
      <c r="N2734" s="464">
        <f t="shared" si="155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53"/>
        <v>-24090966330.294456</v>
      </c>
      <c r="J2735" s="444">
        <f t="array" ref="J2735">IFERROR(INDEX('Retirement Calculator'!J:J,MATCH('Isaac 401k'!N2735,'Retirement Calculator'!A:A,0),0),0)</f>
        <v>0</v>
      </c>
      <c r="K2735" s="444">
        <f t="shared" ca="1" si="151"/>
        <v>-100379026.3762269</v>
      </c>
      <c r="L2735" s="444">
        <f t="shared" ca="1" si="152"/>
        <v>-24191345356.670685</v>
      </c>
      <c r="M2735" s="460">
        <f t="shared" si="154"/>
        <v>0.05</v>
      </c>
      <c r="N2735" s="464">
        <f t="shared" si="155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53"/>
        <v>-24191345356.670685</v>
      </c>
      <c r="J2736" s="444">
        <f t="array" ref="J2736">IFERROR(INDEX('Retirement Calculator'!J:J,MATCH('Isaac 401k'!N2736,'Retirement Calculator'!A:A,0),0),0)</f>
        <v>0</v>
      </c>
      <c r="K2736" s="444">
        <f t="shared" ca="1" si="151"/>
        <v>-100797272.31946118</v>
      </c>
      <c r="L2736" s="444">
        <f t="shared" ca="1" si="152"/>
        <v>-24292142628.990147</v>
      </c>
      <c r="M2736" s="460">
        <f t="shared" si="154"/>
        <v>0.05</v>
      </c>
      <c r="N2736" s="464">
        <f t="shared" si="155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53"/>
        <v>-24292142628.990147</v>
      </c>
      <c r="J2737" s="444">
        <f t="array" ref="J2737">IFERROR(INDEX('Retirement Calculator'!J:J,MATCH('Isaac 401k'!N2737,'Retirement Calculator'!A:A,0),0),0)</f>
        <v>0</v>
      </c>
      <c r="K2737" s="444">
        <f t="shared" ca="1" si="151"/>
        <v>-101217260.95412561</v>
      </c>
      <c r="L2737" s="444">
        <f t="shared" ca="1" si="152"/>
        <v>-24393359889.944271</v>
      </c>
      <c r="M2737" s="460">
        <f t="shared" si="154"/>
        <v>0.05</v>
      </c>
      <c r="N2737" s="464">
        <f t="shared" si="155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53"/>
        <v>-24393359889.944271</v>
      </c>
      <c r="J2738" s="444">
        <f t="array" ref="J2738">IFERROR(INDEX('Retirement Calculator'!J:J,MATCH('Isaac 401k'!N2738,'Retirement Calculator'!A:A,0),0),0)</f>
        <v>0</v>
      </c>
      <c r="K2738" s="444">
        <f t="shared" ca="1" si="151"/>
        <v>-101638999.54143447</v>
      </c>
      <c r="L2738" s="444">
        <f t="shared" ca="1" si="152"/>
        <v>-24494998889.485706</v>
      </c>
      <c r="M2738" s="460">
        <f t="shared" si="154"/>
        <v>0.05</v>
      </c>
      <c r="N2738" s="464">
        <f t="shared" si="155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53"/>
        <v>-24494998889.485706</v>
      </c>
      <c r="J2739" s="444">
        <f t="array" ref="J2739">IFERROR(INDEX('Retirement Calculator'!J:J,MATCH('Isaac 401k'!N2739,'Retirement Calculator'!A:A,0),0),0)</f>
        <v>0</v>
      </c>
      <c r="K2739" s="444">
        <f t="shared" ca="1" si="151"/>
        <v>-102062495.37285711</v>
      </c>
      <c r="L2739" s="444">
        <f t="shared" ca="1" si="152"/>
        <v>-24597061384.858562</v>
      </c>
      <c r="M2739" s="460">
        <f t="shared" si="154"/>
        <v>0.05</v>
      </c>
      <c r="N2739" s="464">
        <f t="shared" si="155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53"/>
        <v>-24597061384.858562</v>
      </c>
      <c r="J2740" s="444">
        <f t="array" ref="J2740">IFERROR(INDEX('Retirement Calculator'!J:J,MATCH('Isaac 401k'!N2740,'Retirement Calculator'!A:A,0),0),0)</f>
        <v>0</v>
      </c>
      <c r="K2740" s="444">
        <f t="shared" ca="1" si="151"/>
        <v>-102487755.770244</v>
      </c>
      <c r="L2740" s="444">
        <f t="shared" ca="1" si="152"/>
        <v>-24699549140.628807</v>
      </c>
      <c r="M2740" s="460">
        <f t="shared" si="154"/>
        <v>0.05</v>
      </c>
      <c r="N2740" s="464">
        <f t="shared" si="155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53"/>
        <v>-24699549140.628807</v>
      </c>
      <c r="J2741" s="444">
        <f t="array" ref="J2741">IFERROR(INDEX('Retirement Calculator'!J:J,MATCH('Isaac 401k'!N2741,'Retirement Calculator'!A:A,0),0),0)</f>
        <v>0</v>
      </c>
      <c r="K2741" s="444">
        <f t="shared" ca="1" si="151"/>
        <v>-102914788.08595335</v>
      </c>
      <c r="L2741" s="444">
        <f t="shared" ca="1" si="152"/>
        <v>-24802463928.71476</v>
      </c>
      <c r="M2741" s="460">
        <f t="shared" si="154"/>
        <v>0.05</v>
      </c>
      <c r="N2741" s="464">
        <f t="shared" si="155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53"/>
        <v>-24802463928.71476</v>
      </c>
      <c r="J2742" s="444">
        <f t="array" ref="J2742">IFERROR(INDEX('Retirement Calculator'!J:J,MATCH('Isaac 401k'!N2742,'Retirement Calculator'!A:A,0),0),0)</f>
        <v>0</v>
      </c>
      <c r="K2742" s="444">
        <f t="shared" ca="1" si="151"/>
        <v>-103343599.70297816</v>
      </c>
      <c r="L2742" s="444">
        <f t="shared" ca="1" si="152"/>
        <v>-24905807528.41774</v>
      </c>
      <c r="M2742" s="460">
        <f t="shared" si="154"/>
        <v>0.05</v>
      </c>
      <c r="N2742" s="464">
        <f t="shared" si="155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53"/>
        <v>-24905807528.41774</v>
      </c>
      <c r="J2743" s="444">
        <f t="array" ref="J2743">IFERROR(INDEX('Retirement Calculator'!J:J,MATCH('Isaac 401k'!N2743,'Retirement Calculator'!A:A,0),0),0)</f>
        <v>0</v>
      </c>
      <c r="K2743" s="444">
        <f t="shared" ca="1" si="151"/>
        <v>-103774198.03507392</v>
      </c>
      <c r="L2743" s="444">
        <f t="shared" ca="1" si="152"/>
        <v>-25009581726.452812</v>
      </c>
      <c r="M2743" s="460">
        <f t="shared" si="154"/>
        <v>0.05</v>
      </c>
      <c r="N2743" s="464">
        <f t="shared" si="155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53"/>
        <v>-25009581726.452812</v>
      </c>
      <c r="J2744" s="444">
        <f t="array" ref="J2744">IFERROR(INDEX('Retirement Calculator'!J:J,MATCH('Isaac 401k'!N2744,'Retirement Calculator'!A:A,0),0),0)</f>
        <v>0</v>
      </c>
      <c r="K2744" s="444">
        <f t="shared" ca="1" si="151"/>
        <v>-104206590.52688672</v>
      </c>
      <c r="L2744" s="444">
        <f t="shared" ca="1" si="152"/>
        <v>-25113788316.979698</v>
      </c>
      <c r="M2744" s="460">
        <f t="shared" si="154"/>
        <v>0.05</v>
      </c>
      <c r="N2744" s="464">
        <f t="shared" si="155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53"/>
        <v>-25113788316.979698</v>
      </c>
      <c r="J2745" s="444">
        <f t="array" ref="J2745">IFERROR(INDEX('Retirement Calculator'!J:J,MATCH('Isaac 401k'!N2745,'Retirement Calculator'!A:A,0),0),0)</f>
        <v>0</v>
      </c>
      <c r="K2745" s="444">
        <f t="shared" ca="1" si="151"/>
        <v>-104640784.65408207</v>
      </c>
      <c r="L2745" s="444">
        <f t="shared" ca="1" si="152"/>
        <v>-25218429101.633781</v>
      </c>
      <c r="M2745" s="460">
        <f t="shared" si="154"/>
        <v>0.05</v>
      </c>
      <c r="N2745" s="464">
        <f t="shared" si="155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53"/>
        <v>-25218429101.633781</v>
      </c>
      <c r="J2746" s="444">
        <f t="array" ref="J2746">IFERROR(INDEX('Retirement Calculator'!J:J,MATCH('Isaac 401k'!N2746,'Retirement Calculator'!A:A,0),0),0)</f>
        <v>0</v>
      </c>
      <c r="K2746" s="444">
        <f t="shared" ca="1" si="151"/>
        <v>-105076787.92347409</v>
      </c>
      <c r="L2746" s="444">
        <f t="shared" ca="1" si="152"/>
        <v>-25323505889.557255</v>
      </c>
      <c r="M2746" s="460">
        <f t="shared" si="154"/>
        <v>0.05</v>
      </c>
      <c r="N2746" s="464">
        <f t="shared" si="155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53"/>
        <v>-25323505889.557255</v>
      </c>
      <c r="J2747" s="444">
        <f t="array" ref="J2747">IFERROR(INDEX('Retirement Calculator'!J:J,MATCH('Isaac 401k'!N2747,'Retirement Calculator'!A:A,0),0),0)</f>
        <v>0</v>
      </c>
      <c r="K2747" s="444">
        <f t="shared" ca="1" si="151"/>
        <v>-105514607.87315522</v>
      </c>
      <c r="L2747" s="444">
        <f t="shared" ca="1" si="152"/>
        <v>-25429020497.430408</v>
      </c>
      <c r="M2747" s="460">
        <f t="shared" si="154"/>
        <v>0.05</v>
      </c>
      <c r="N2747" s="464">
        <f t="shared" si="155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53"/>
        <v>-25429020497.430408</v>
      </c>
      <c r="J2748" s="444">
        <f t="array" ref="J2748">IFERROR(INDEX('Retirement Calculator'!J:J,MATCH('Isaac 401k'!N2748,'Retirement Calculator'!A:A,0),0),0)</f>
        <v>0</v>
      </c>
      <c r="K2748" s="444">
        <f t="shared" ca="1" si="151"/>
        <v>-105954252.0726267</v>
      </c>
      <c r="L2748" s="444">
        <f t="shared" ca="1" si="152"/>
        <v>-25534974749.503036</v>
      </c>
      <c r="M2748" s="460">
        <f t="shared" si="154"/>
        <v>0.05</v>
      </c>
      <c r="N2748" s="464">
        <f t="shared" si="155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53"/>
        <v>-25534974749.503036</v>
      </c>
      <c r="J2749" s="444">
        <f t="array" ref="J2749">IFERROR(INDEX('Retirement Calculator'!J:J,MATCH('Isaac 401k'!N2749,'Retirement Calculator'!A:A,0),0),0)</f>
        <v>0</v>
      </c>
      <c r="K2749" s="444">
        <f t="shared" ca="1" si="151"/>
        <v>-106395728.12292932</v>
      </c>
      <c r="L2749" s="444">
        <f t="shared" ca="1" si="152"/>
        <v>-25641370477.625965</v>
      </c>
      <c r="M2749" s="460">
        <f t="shared" si="154"/>
        <v>0.05</v>
      </c>
      <c r="N2749" s="464">
        <f t="shared" si="155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53"/>
        <v>-25641370477.625965</v>
      </c>
      <c r="J2750" s="444">
        <f t="array" ref="J2750">IFERROR(INDEX('Retirement Calculator'!J:J,MATCH('Isaac 401k'!N2750,'Retirement Calculator'!A:A,0),0),0)</f>
        <v>0</v>
      </c>
      <c r="K2750" s="444">
        <f t="shared" ca="1" si="151"/>
        <v>-106839043.65677485</v>
      </c>
      <c r="L2750" s="444">
        <f t="shared" ca="1" si="152"/>
        <v>-25748209521.282742</v>
      </c>
      <c r="M2750" s="460">
        <f t="shared" si="154"/>
        <v>0.05</v>
      </c>
      <c r="N2750" s="464">
        <f t="shared" si="155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53"/>
        <v>-25748209521.282742</v>
      </c>
      <c r="J2751" s="444">
        <f t="array" ref="J2751">IFERROR(INDEX('Retirement Calculator'!J:J,MATCH('Isaac 401k'!N2751,'Retirement Calculator'!A:A,0),0),0)</f>
        <v>0</v>
      </c>
      <c r="K2751" s="444">
        <f t="shared" ca="1" si="151"/>
        <v>-107284206.33867809</v>
      </c>
      <c r="L2751" s="444">
        <f t="shared" ca="1" si="152"/>
        <v>-25855493727.621418</v>
      </c>
      <c r="M2751" s="460">
        <f t="shared" si="154"/>
        <v>0.05</v>
      </c>
      <c r="N2751" s="464">
        <f t="shared" si="155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53"/>
        <v>-25855493727.621418</v>
      </c>
      <c r="J2752" s="444">
        <f t="array" ref="J2752">IFERROR(INDEX('Retirement Calculator'!J:J,MATCH('Isaac 401k'!N2752,'Retirement Calculator'!A:A,0),0),0)</f>
        <v>0</v>
      </c>
      <c r="K2752" s="444">
        <f t="shared" ca="1" si="151"/>
        <v>-107731223.86508924</v>
      </c>
      <c r="L2752" s="444">
        <f t="shared" ca="1" si="152"/>
        <v>-25963224951.486507</v>
      </c>
      <c r="M2752" s="460">
        <f t="shared" si="154"/>
        <v>0.05</v>
      </c>
      <c r="N2752" s="464">
        <f t="shared" si="155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53"/>
        <v>-25963224951.486507</v>
      </c>
      <c r="J2753" s="444">
        <f t="array" ref="J2753">IFERROR(INDEX('Retirement Calculator'!J:J,MATCH('Isaac 401k'!N2753,'Retirement Calculator'!A:A,0),0),0)</f>
        <v>0</v>
      </c>
      <c r="K2753" s="444">
        <f t="shared" ca="1" si="151"/>
        <v>-108180103.96452712</v>
      </c>
      <c r="L2753" s="444">
        <f t="shared" ca="1" si="152"/>
        <v>-26071405055.451035</v>
      </c>
      <c r="M2753" s="460">
        <f t="shared" si="154"/>
        <v>0.05</v>
      </c>
      <c r="N2753" s="464">
        <f t="shared" si="155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53"/>
        <v>-26071405055.451035</v>
      </c>
      <c r="J2754" s="444">
        <f t="array" ref="J2754">IFERROR(INDEX('Retirement Calculator'!J:J,MATCH('Isaac 401k'!N2754,'Retirement Calculator'!A:A,0),0),0)</f>
        <v>0</v>
      </c>
      <c r="K2754" s="444">
        <f t="shared" ca="1" si="151"/>
        <v>-108630854.39771265</v>
      </c>
      <c r="L2754" s="444">
        <f t="shared" ca="1" si="152"/>
        <v>-26180035909.848747</v>
      </c>
      <c r="M2754" s="460">
        <f t="shared" si="154"/>
        <v>0.05</v>
      </c>
      <c r="N2754" s="464">
        <f t="shared" si="155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53"/>
        <v>-26180035909.848747</v>
      </c>
      <c r="J2755" s="444">
        <f t="array" ref="J2755">IFERROR(INDEX('Retirement Calculator'!J:J,MATCH('Isaac 401k'!N2755,'Retirement Calculator'!A:A,0),0),0)</f>
        <v>0</v>
      </c>
      <c r="K2755" s="444">
        <f t="shared" ca="1" si="151"/>
        <v>-109083482.95770311</v>
      </c>
      <c r="L2755" s="444">
        <f t="shared" ca="1" si="152"/>
        <v>-26289119392.80645</v>
      </c>
      <c r="M2755" s="460">
        <f t="shared" si="154"/>
        <v>0.05</v>
      </c>
      <c r="N2755" s="464">
        <f t="shared" si="155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53"/>
        <v>-26289119392.80645</v>
      </c>
      <c r="J2756" s="444">
        <f t="array" ref="J2756">IFERROR(INDEX('Retirement Calculator'!J:J,MATCH('Isaac 401k'!N2756,'Retirement Calculator'!A:A,0),0),0)</f>
        <v>0</v>
      </c>
      <c r="K2756" s="444">
        <f t="shared" ca="1" si="151"/>
        <v>-109537997.47002687</v>
      </c>
      <c r="L2756" s="444">
        <f t="shared" ca="1" si="152"/>
        <v>-26398657390.276478</v>
      </c>
      <c r="M2756" s="460">
        <f t="shared" si="154"/>
        <v>0.05</v>
      </c>
      <c r="N2756" s="464">
        <f t="shared" si="155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53"/>
        <v>-26398657390.276478</v>
      </c>
      <c r="J2757" s="444">
        <f t="array" ref="J2757">IFERROR(INDEX('Retirement Calculator'!J:J,MATCH('Isaac 401k'!N2757,'Retirement Calculator'!A:A,0),0),0)</f>
        <v>0</v>
      </c>
      <c r="K2757" s="444">
        <f t="shared" ca="1" si="151"/>
        <v>-109994405.79281865</v>
      </c>
      <c r="L2757" s="444">
        <f t="shared" ca="1" si="152"/>
        <v>-26508651796.069298</v>
      </c>
      <c r="M2757" s="460">
        <f t="shared" si="154"/>
        <v>0.05</v>
      </c>
      <c r="N2757" s="464">
        <f t="shared" si="155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53"/>
        <v>-26508651796.069298</v>
      </c>
      <c r="J2758" s="444">
        <f t="array" ref="J2758">IFERROR(INDEX('Retirement Calculator'!J:J,MATCH('Isaac 401k'!N2758,'Retirement Calculator'!A:A,0),0),0)</f>
        <v>0</v>
      </c>
      <c r="K2758" s="444">
        <f t="shared" ca="1" si="151"/>
        <v>-110452715.8169554</v>
      </c>
      <c r="L2758" s="444">
        <f t="shared" ca="1" si="152"/>
        <v>-26619104511.886253</v>
      </c>
      <c r="M2758" s="460">
        <f t="shared" si="154"/>
        <v>0.05</v>
      </c>
      <c r="N2758" s="464">
        <f t="shared" si="155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53"/>
        <v>-26619104511.886253</v>
      </c>
      <c r="J2759" s="444">
        <f t="array" ref="J2759">IFERROR(INDEX('Retirement Calculator'!J:J,MATCH('Isaac 401k'!N2759,'Retirement Calculator'!A:A,0),0),0)</f>
        <v>0</v>
      </c>
      <c r="K2759" s="444">
        <f t="shared" ca="1" si="151"/>
        <v>-110912935.46619272</v>
      </c>
      <c r="L2759" s="444">
        <f t="shared" ca="1" si="152"/>
        <v>-26730017447.352448</v>
      </c>
      <c r="M2759" s="460">
        <f t="shared" si="154"/>
        <v>0.05</v>
      </c>
      <c r="N2759" s="464">
        <f t="shared" si="155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53"/>
        <v>-26730017447.352448</v>
      </c>
      <c r="J2760" s="444">
        <f t="array" ref="J2760">IFERROR(INDEX('Retirement Calculator'!J:J,MATCH('Isaac 401k'!N2760,'Retirement Calculator'!A:A,0),0),0)</f>
        <v>0</v>
      </c>
      <c r="K2760" s="444">
        <f t="shared" ca="1" si="151"/>
        <v>-111375072.69730186</v>
      </c>
      <c r="L2760" s="444">
        <f t="shared" ca="1" si="152"/>
        <v>-26841392520.049751</v>
      </c>
      <c r="M2760" s="460">
        <f t="shared" si="154"/>
        <v>0.05</v>
      </c>
      <c r="N2760" s="464">
        <f t="shared" si="155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53"/>
        <v>-26841392520.049751</v>
      </c>
      <c r="J2761" s="444">
        <f t="array" ref="J2761">IFERROR(INDEX('Retirement Calculator'!J:J,MATCH('Isaac 401k'!N2761,'Retirement Calculator'!A:A,0),0),0)</f>
        <v>0</v>
      </c>
      <c r="K2761" s="444">
        <f t="shared" ca="1" si="151"/>
        <v>-111839135.50020729</v>
      </c>
      <c r="L2761" s="444">
        <f t="shared" ca="1" si="152"/>
        <v>-26953231655.549957</v>
      </c>
      <c r="M2761" s="460">
        <f t="shared" si="154"/>
        <v>0.05</v>
      </c>
      <c r="N2761" s="464">
        <f t="shared" si="155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53"/>
        <v>-26953231655.549957</v>
      </c>
      <c r="J2762" s="444">
        <f t="array" ref="J2762">IFERROR(INDEX('Retirement Calculator'!J:J,MATCH('Isaac 401k'!N2762,'Retirement Calculator'!A:A,0),0),0)</f>
        <v>0</v>
      </c>
      <c r="K2762" s="444">
        <f t="shared" ca="1" si="151"/>
        <v>-112305131.89812483</v>
      </c>
      <c r="L2762" s="444">
        <f t="shared" ca="1" si="152"/>
        <v>-27065536787.448082</v>
      </c>
      <c r="M2762" s="460">
        <f t="shared" si="154"/>
        <v>0.05</v>
      </c>
      <c r="N2762" s="464">
        <f t="shared" si="155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53"/>
        <v>-27065536787.448082</v>
      </c>
      <c r="J2763" s="444">
        <f t="array" ref="J2763">IFERROR(INDEX('Retirement Calculator'!J:J,MATCH('Isaac 401k'!N2763,'Retirement Calculator'!A:A,0),0),0)</f>
        <v>0</v>
      </c>
      <c r="K2763" s="444">
        <f t="shared" ca="1" si="151"/>
        <v>-112773069.94770034</v>
      </c>
      <c r="L2763" s="444">
        <f t="shared" ca="1" si="152"/>
        <v>-27178309857.395782</v>
      </c>
      <c r="M2763" s="460">
        <f t="shared" si="154"/>
        <v>0.05</v>
      </c>
      <c r="N2763" s="464">
        <f t="shared" si="155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53"/>
        <v>-27178309857.395782</v>
      </c>
      <c r="J2764" s="444">
        <f t="array" ref="J2764">IFERROR(INDEX('Retirement Calculator'!J:J,MATCH('Isaac 401k'!N2764,'Retirement Calculator'!A:A,0),0),0)</f>
        <v>0</v>
      </c>
      <c r="K2764" s="444">
        <f t="shared" ca="1" si="151"/>
        <v>-113242957.73914909</v>
      </c>
      <c r="L2764" s="444">
        <f t="shared" ca="1" si="152"/>
        <v>-27291552815.134933</v>
      </c>
      <c r="M2764" s="460">
        <f t="shared" si="154"/>
        <v>0.05</v>
      </c>
      <c r="N2764" s="464">
        <f t="shared" si="155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53"/>
        <v>-27291552815.134933</v>
      </c>
      <c r="J2765" s="444">
        <f t="array" ref="J2765">IFERROR(INDEX('Retirement Calculator'!J:J,MATCH('Isaac 401k'!N2765,'Retirement Calculator'!A:A,0),0),0)</f>
        <v>0</v>
      </c>
      <c r="K2765" s="444">
        <f t="shared" ca="1" si="151"/>
        <v>-113714803.39639555</v>
      </c>
      <c r="L2765" s="444">
        <f t="shared" ca="1" si="152"/>
        <v>-27405267618.53133</v>
      </c>
      <c r="M2765" s="460">
        <f t="shared" si="154"/>
        <v>0.05</v>
      </c>
      <c r="N2765" s="464">
        <f t="shared" si="155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53"/>
        <v>-27405267618.53133</v>
      </c>
      <c r="J2766" s="444">
        <f t="array" ref="J2766">IFERROR(INDEX('Retirement Calculator'!J:J,MATCH('Isaac 401k'!N2766,'Retirement Calculator'!A:A,0),0),0)</f>
        <v>0</v>
      </c>
      <c r="K2766" s="444">
        <f t="shared" ca="1" si="151"/>
        <v>-114188615.07721387</v>
      </c>
      <c r="L2766" s="444">
        <f t="shared" ca="1" si="152"/>
        <v>-27519456233.608543</v>
      </c>
      <c r="M2766" s="460">
        <f t="shared" si="154"/>
        <v>0.05</v>
      </c>
      <c r="N2766" s="464">
        <f t="shared" si="155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53"/>
        <v>-27519456233.608543</v>
      </c>
      <c r="J2767" s="444">
        <f t="array" ref="J2767">IFERROR(INDEX('Retirement Calculator'!J:J,MATCH('Isaac 401k'!N2767,'Retirement Calculator'!A:A,0),0),0)</f>
        <v>0</v>
      </c>
      <c r="K2767" s="444">
        <f t="shared" ca="1" si="151"/>
        <v>-114664400.97336891</v>
      </c>
      <c r="L2767" s="444">
        <f t="shared" ca="1" si="152"/>
        <v>-27634120634.581913</v>
      </c>
      <c r="M2767" s="460">
        <f t="shared" si="154"/>
        <v>0.05</v>
      </c>
      <c r="N2767" s="464">
        <f t="shared" si="155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53"/>
        <v>-27634120634.581913</v>
      </c>
      <c r="J2768" s="444">
        <f t="array" ref="J2768">IFERROR(INDEX('Retirement Calculator'!J:J,MATCH('Isaac 401k'!N2768,'Retirement Calculator'!A:A,0),0),0)</f>
        <v>0</v>
      </c>
      <c r="K2768" s="444">
        <f t="shared" ca="1" si="151"/>
        <v>-115142169.31075798</v>
      </c>
      <c r="L2768" s="444">
        <f t="shared" ca="1" si="152"/>
        <v>-27749262803.89267</v>
      </c>
      <c r="M2768" s="460">
        <f t="shared" si="154"/>
        <v>0.05</v>
      </c>
      <c r="N2768" s="464">
        <f t="shared" si="155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53"/>
        <v>-27749262803.89267</v>
      </c>
      <c r="J2769" s="444">
        <f t="array" ref="J2769">IFERROR(INDEX('Retirement Calculator'!J:J,MATCH('Isaac 401k'!N2769,'Retirement Calculator'!A:A,0),0),0)</f>
        <v>0</v>
      </c>
      <c r="K2769" s="444">
        <f t="shared" ca="1" si="151"/>
        <v>-115621928.3495528</v>
      </c>
      <c r="L2769" s="444">
        <f t="shared" ca="1" si="152"/>
        <v>-27864884732.242222</v>
      </c>
      <c r="M2769" s="460">
        <f t="shared" si="154"/>
        <v>0.05</v>
      </c>
      <c r="N2769" s="464">
        <f t="shared" si="155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53"/>
        <v>-27864884732.242222</v>
      </c>
      <c r="J2770" s="444">
        <f t="array" ref="J2770">IFERROR(INDEX('Retirement Calculator'!J:J,MATCH('Isaac 401k'!N2770,'Retirement Calculator'!A:A,0),0),0)</f>
        <v>0</v>
      </c>
      <c r="K2770" s="444">
        <f t="shared" ca="1" si="151"/>
        <v>-116103686.3843426</v>
      </c>
      <c r="L2770" s="444">
        <f t="shared" ca="1" si="152"/>
        <v>-27980988418.626564</v>
      </c>
      <c r="M2770" s="460">
        <f t="shared" si="154"/>
        <v>0.05</v>
      </c>
      <c r="N2770" s="464">
        <f t="shared" si="155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53"/>
        <v>-27980988418.626564</v>
      </c>
      <c r="J2771" s="444">
        <f t="array" ref="J2771">IFERROR(INDEX('Retirement Calculator'!J:J,MATCH('Isaac 401k'!N2771,'Retirement Calculator'!A:A,0),0),0)</f>
        <v>0</v>
      </c>
      <c r="K2771" s="444">
        <f t="shared" ca="1" si="151"/>
        <v>-116587451.74427734</v>
      </c>
      <c r="L2771" s="444">
        <f t="shared" ca="1" si="152"/>
        <v>-28097575870.370842</v>
      </c>
      <c r="M2771" s="460">
        <f t="shared" si="154"/>
        <v>0.05</v>
      </c>
      <c r="N2771" s="464">
        <f t="shared" si="155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53"/>
        <v>-28097575870.370842</v>
      </c>
      <c r="J2772" s="444">
        <f t="array" ref="J2772">IFERROR(INDEX('Retirement Calculator'!J:J,MATCH('Isaac 401k'!N2772,'Retirement Calculator'!A:A,0),0),0)</f>
        <v>0</v>
      </c>
      <c r="K2772" s="444">
        <f t="shared" ca="1" si="151"/>
        <v>-117073232.79321183</v>
      </c>
      <c r="L2772" s="444">
        <f t="shared" ca="1" si="152"/>
        <v>-28214649103.164055</v>
      </c>
      <c r="M2772" s="460">
        <f t="shared" si="154"/>
        <v>0.05</v>
      </c>
      <c r="N2772" s="464">
        <f t="shared" si="155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53"/>
        <v>-28214649103.164055</v>
      </c>
      <c r="J2773" s="444">
        <f t="array" ref="J2773">IFERROR(INDEX('Retirement Calculator'!J:J,MATCH('Isaac 401k'!N2773,'Retirement Calculator'!A:A,0),0),0)</f>
        <v>0</v>
      </c>
      <c r="K2773" s="444">
        <f t="shared" ca="1" si="151"/>
        <v>-117561037.92985022</v>
      </c>
      <c r="L2773" s="444">
        <f t="shared" ca="1" si="152"/>
        <v>-28332210141.093906</v>
      </c>
      <c r="M2773" s="460">
        <f t="shared" si="154"/>
        <v>0.05</v>
      </c>
      <c r="N2773" s="464">
        <f t="shared" si="155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53"/>
        <v>-28332210141.093906</v>
      </c>
      <c r="J2774" s="444">
        <f t="array" ref="J2774">IFERROR(INDEX('Retirement Calculator'!J:J,MATCH('Isaac 401k'!N2774,'Retirement Calculator'!A:A,0),0),0)</f>
        <v>0</v>
      </c>
      <c r="K2774" s="444">
        <f t="shared" ca="1" si="151"/>
        <v>-118050875.5878913</v>
      </c>
      <c r="L2774" s="444">
        <f t="shared" ca="1" si="152"/>
        <v>-28450261016.681797</v>
      </c>
      <c r="M2774" s="460">
        <f t="shared" si="154"/>
        <v>0.05</v>
      </c>
      <c r="N2774" s="464">
        <f t="shared" si="155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53"/>
        <v>-28450261016.681797</v>
      </c>
      <c r="J2775" s="444">
        <f t="array" ref="J2775">IFERROR(INDEX('Retirement Calculator'!J:J,MATCH('Isaac 401k'!N2775,'Retirement Calculator'!A:A,0),0),0)</f>
        <v>0</v>
      </c>
      <c r="K2775" s="444">
        <f t="shared" ca="1" si="151"/>
        <v>-118542754.23617415</v>
      </c>
      <c r="L2775" s="444">
        <f t="shared" ca="1" si="152"/>
        <v>-28568803770.917973</v>
      </c>
      <c r="M2775" s="460">
        <f t="shared" si="154"/>
        <v>0.05</v>
      </c>
      <c r="N2775" s="464">
        <f t="shared" si="155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53"/>
        <v>-28568803770.917973</v>
      </c>
      <c r="J2776" s="444">
        <f t="array" ref="J2776">IFERROR(INDEX('Retirement Calculator'!J:J,MATCH('Isaac 401k'!N2776,'Retirement Calculator'!A:A,0),0),0)</f>
        <v>0</v>
      </c>
      <c r="K2776" s="444">
        <f t="shared" ca="1" si="151"/>
        <v>-119036682.3788249</v>
      </c>
      <c r="L2776" s="444">
        <f t="shared" ca="1" si="152"/>
        <v>-28687840453.296799</v>
      </c>
      <c r="M2776" s="460">
        <f t="shared" si="154"/>
        <v>0.05</v>
      </c>
      <c r="N2776" s="464">
        <f t="shared" si="155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53"/>
        <v>-28687840453.296799</v>
      </c>
      <c r="J2777" s="444">
        <f t="array" ref="J2777">IFERROR(INDEX('Retirement Calculator'!J:J,MATCH('Isaac 401k'!N2777,'Retirement Calculator'!A:A,0),0),0)</f>
        <v>0</v>
      </c>
      <c r="K2777" s="444">
        <f t="shared" ca="1" si="151"/>
        <v>-119532668.55540332</v>
      </c>
      <c r="L2777" s="444">
        <f t="shared" ca="1" si="152"/>
        <v>-28807373121.852203</v>
      </c>
      <c r="M2777" s="460">
        <f t="shared" si="154"/>
        <v>0.05</v>
      </c>
      <c r="N2777" s="464">
        <f t="shared" si="155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53"/>
        <v>-28807373121.852203</v>
      </c>
      <c r="J2778" s="444">
        <f t="array" ref="J2778">IFERROR(INDEX('Retirement Calculator'!J:J,MATCH('Isaac 401k'!N2778,'Retirement Calculator'!A:A,0),0),0)</f>
        <v>0</v>
      </c>
      <c r="K2778" s="444">
        <f t="shared" ca="1" si="151"/>
        <v>-120030721.34105085</v>
      </c>
      <c r="L2778" s="444">
        <f t="shared" ca="1" si="152"/>
        <v>-28927403843.193253</v>
      </c>
      <c r="M2778" s="460">
        <f t="shared" si="154"/>
        <v>0.05</v>
      </c>
      <c r="N2778" s="464">
        <f t="shared" si="155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53"/>
        <v>-28927403843.193253</v>
      </c>
      <c r="J2779" s="444">
        <f t="array" ref="J2779">IFERROR(INDEX('Retirement Calculator'!J:J,MATCH('Isaac 401k'!N2779,'Retirement Calculator'!A:A,0),0),0)</f>
        <v>0</v>
      </c>
      <c r="K2779" s="444">
        <f t="shared" ca="1" si="151"/>
        <v>-120530849.34663855</v>
      </c>
      <c r="L2779" s="444">
        <f t="shared" ca="1" si="152"/>
        <v>-29047934692.53989</v>
      </c>
      <c r="M2779" s="460">
        <f t="shared" si="154"/>
        <v>0.05</v>
      </c>
      <c r="N2779" s="464">
        <f t="shared" si="155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53"/>
        <v>-29047934692.53989</v>
      </c>
      <c r="J2780" s="444">
        <f t="array" ref="J2780">IFERROR(INDEX('Retirement Calculator'!J:J,MATCH('Isaac 401k'!N2780,'Retirement Calculator'!A:A,0),0),0)</f>
        <v>0</v>
      </c>
      <c r="K2780" s="444">
        <f t="shared" ca="1" si="151"/>
        <v>-121033061.21891622</v>
      </c>
      <c r="L2780" s="444">
        <f t="shared" ca="1" si="152"/>
        <v>-29168967753.758808</v>
      </c>
      <c r="M2780" s="460">
        <f t="shared" si="154"/>
        <v>0.05</v>
      </c>
      <c r="N2780" s="464">
        <f t="shared" si="155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53"/>
        <v>-29168967753.758808</v>
      </c>
      <c r="J2781" s="444">
        <f t="array" ref="J2781">IFERROR(INDEX('Retirement Calculator'!J:J,MATCH('Isaac 401k'!N2781,'Retirement Calculator'!A:A,0),0),0)</f>
        <v>0</v>
      </c>
      <c r="K2781" s="444">
        <f t="shared" ca="1" si="151"/>
        <v>-121537365.6406617</v>
      </c>
      <c r="L2781" s="444">
        <f t="shared" ca="1" si="152"/>
        <v>-29290505119.399471</v>
      </c>
      <c r="M2781" s="460">
        <f t="shared" si="154"/>
        <v>0.05</v>
      </c>
      <c r="N2781" s="464">
        <f t="shared" si="155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53"/>
        <v>-29290505119.399471</v>
      </c>
      <c r="J2782" s="444">
        <f t="array" ref="J2782">IFERROR(INDEX('Retirement Calculator'!J:J,MATCH('Isaac 401k'!N2782,'Retirement Calculator'!A:A,0),0),0)</f>
        <v>0</v>
      </c>
      <c r="K2782" s="444">
        <f t="shared" ca="1" si="151"/>
        <v>-122043771.33083113</v>
      </c>
      <c r="L2782" s="444">
        <f t="shared" ca="1" si="152"/>
        <v>-29412548890.730301</v>
      </c>
      <c r="M2782" s="460">
        <f t="shared" si="154"/>
        <v>0.05</v>
      </c>
      <c r="N2782" s="464">
        <f t="shared" si="155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53"/>
        <v>-29412548890.730301</v>
      </c>
      <c r="J2783" s="444">
        <f t="array" ref="J2783">IFERROR(INDEX('Retirement Calculator'!J:J,MATCH('Isaac 401k'!N2783,'Retirement Calculator'!A:A,0),0),0)</f>
        <v>0</v>
      </c>
      <c r="K2783" s="444">
        <f t="shared" ca="1" si="151"/>
        <v>-122552287.04470958</v>
      </c>
      <c r="L2783" s="444">
        <f t="shared" ca="1" si="152"/>
        <v>-29535101177.775009</v>
      </c>
      <c r="M2783" s="460">
        <f t="shared" si="154"/>
        <v>0.05</v>
      </c>
      <c r="N2783" s="464">
        <f t="shared" si="155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53"/>
        <v>-29535101177.775009</v>
      </c>
      <c r="J2784" s="444">
        <f t="array" ref="J2784">IFERROR(INDEX('Retirement Calculator'!J:J,MATCH('Isaac 401k'!N2784,'Retirement Calculator'!A:A,0),0),0)</f>
        <v>0</v>
      </c>
      <c r="K2784" s="444">
        <f t="shared" ca="1" si="151"/>
        <v>-123062921.57406254</v>
      </c>
      <c r="L2784" s="444">
        <f t="shared" ca="1" si="152"/>
        <v>-29658164099.349072</v>
      </c>
      <c r="M2784" s="460">
        <f t="shared" si="154"/>
        <v>0.05</v>
      </c>
      <c r="N2784" s="464">
        <f t="shared" si="155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53"/>
        <v>-29658164099.349072</v>
      </c>
      <c r="J2785" s="444">
        <f t="array" ref="J2785">IFERROR(INDEX('Retirement Calculator'!J:J,MATCH('Isaac 401k'!N2785,'Retirement Calculator'!A:A,0),0),0)</f>
        <v>0</v>
      </c>
      <c r="K2785" s="444">
        <f t="shared" ca="1" si="151"/>
        <v>-123575683.74728779</v>
      </c>
      <c r="L2785" s="444">
        <f t="shared" ca="1" si="152"/>
        <v>-29781739783.096359</v>
      </c>
      <c r="M2785" s="460">
        <f t="shared" si="154"/>
        <v>0.05</v>
      </c>
      <c r="N2785" s="464">
        <f t="shared" si="155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53"/>
        <v>-29781739783.096359</v>
      </c>
      <c r="J2786" s="444">
        <f t="array" ref="J2786">IFERROR(INDEX('Retirement Calculator'!J:J,MATCH('Isaac 401k'!N2786,'Retirement Calculator'!A:A,0),0),0)</f>
        <v>0</v>
      </c>
      <c r="K2786" s="444">
        <f t="shared" ca="1" si="151"/>
        <v>-124090582.42956816</v>
      </c>
      <c r="L2786" s="444">
        <f t="shared" ca="1" si="152"/>
        <v>-29905830365.525928</v>
      </c>
      <c r="M2786" s="460">
        <f t="shared" si="154"/>
        <v>0.05</v>
      </c>
      <c r="N2786" s="464">
        <f t="shared" si="155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53"/>
        <v>-29905830365.525928</v>
      </c>
      <c r="J2787" s="444">
        <f t="array" ref="J2787">IFERROR(INDEX('Retirement Calculator'!J:J,MATCH('Isaac 401k'!N2787,'Retirement Calculator'!A:A,0),0),0)</f>
        <v>0</v>
      </c>
      <c r="K2787" s="444">
        <f t="shared" ca="1" si="151"/>
        <v>-124607626.52302469</v>
      </c>
      <c r="L2787" s="444">
        <f t="shared" ca="1" si="152"/>
        <v>-30030437992.048954</v>
      </c>
      <c r="M2787" s="460">
        <f t="shared" si="154"/>
        <v>0.05</v>
      </c>
      <c r="N2787" s="464">
        <f t="shared" si="155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53"/>
        <v>-30030437992.048954</v>
      </c>
      <c r="J2788" s="444">
        <f t="array" ref="J2788">IFERROR(INDEX('Retirement Calculator'!J:J,MATCH('Isaac 401k'!N2788,'Retirement Calculator'!A:A,0),0),0)</f>
        <v>0</v>
      </c>
      <c r="K2788" s="444">
        <f t="shared" ca="1" si="151"/>
        <v>-125126824.96687064</v>
      </c>
      <c r="L2788" s="444">
        <f t="shared" ca="1" si="152"/>
        <v>-30155564817.015823</v>
      </c>
      <c r="M2788" s="460">
        <f t="shared" si="154"/>
        <v>0.05</v>
      </c>
      <c r="N2788" s="464">
        <f t="shared" si="155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53"/>
        <v>-30155564817.015823</v>
      </c>
      <c r="J2789" s="444">
        <f t="array" ref="J2789">IFERROR(INDEX('Retirement Calculator'!J:J,MATCH('Isaac 401k'!N2789,'Retirement Calculator'!A:A,0),0),0)</f>
        <v>0</v>
      </c>
      <c r="K2789" s="444">
        <f t="shared" ca="1" si="151"/>
        <v>-125648186.73756593</v>
      </c>
      <c r="L2789" s="444">
        <f t="shared" ca="1" si="152"/>
        <v>-30281213003.753387</v>
      </c>
      <c r="M2789" s="460">
        <f t="shared" si="154"/>
        <v>0.05</v>
      </c>
      <c r="N2789" s="464">
        <f t="shared" si="155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53"/>
        <v>-30281213003.753387</v>
      </c>
      <c r="J2790" s="444">
        <f t="array" ref="J2790">IFERROR(INDEX('Retirement Calculator'!J:J,MATCH('Isaac 401k'!N2790,'Retirement Calculator'!A:A,0),0),0)</f>
        <v>0</v>
      </c>
      <c r="K2790" s="444">
        <f t="shared" ca="1" si="151"/>
        <v>-126171720.84897244</v>
      </c>
      <c r="L2790" s="444">
        <f t="shared" ca="1" si="152"/>
        <v>-30407384724.60236</v>
      </c>
      <c r="M2790" s="460">
        <f t="shared" si="154"/>
        <v>0.05</v>
      </c>
      <c r="N2790" s="464">
        <f t="shared" si="155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53"/>
        <v>-30407384724.60236</v>
      </c>
      <c r="J2791" s="444">
        <f t="array" ref="J2791">IFERROR(INDEX('Retirement Calculator'!J:J,MATCH('Isaac 401k'!N2791,'Retirement Calculator'!A:A,0),0),0)</f>
        <v>0</v>
      </c>
      <c r="K2791" s="444">
        <f t="shared" ca="1" si="151"/>
        <v>-126697436.35250981</v>
      </c>
      <c r="L2791" s="444">
        <f t="shared" ca="1" si="152"/>
        <v>-30534082160.954868</v>
      </c>
      <c r="M2791" s="460">
        <f t="shared" si="154"/>
        <v>0.05</v>
      </c>
      <c r="N2791" s="464">
        <f t="shared" si="155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53"/>
        <v>-30534082160.954868</v>
      </c>
      <c r="J2792" s="444">
        <f t="array" ref="J2792">IFERROR(INDEX('Retirement Calculator'!J:J,MATCH('Isaac 401k'!N2792,'Retirement Calculator'!A:A,0),0),0)</f>
        <v>0</v>
      </c>
      <c r="K2792" s="444">
        <f t="shared" ca="1" si="151"/>
        <v>-127225342.33731197</v>
      </c>
      <c r="L2792" s="444">
        <f t="shared" ca="1" si="152"/>
        <v>-30661307503.292179</v>
      </c>
      <c r="M2792" s="460">
        <f t="shared" si="154"/>
        <v>0.05</v>
      </c>
      <c r="N2792" s="464">
        <f t="shared" si="155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53"/>
        <v>-30661307503.292179</v>
      </c>
      <c r="J2793" s="444">
        <f t="array" ref="J2793">IFERROR(INDEX('Retirement Calculator'!J:J,MATCH('Isaac 401k'!N2793,'Retirement Calculator'!A:A,0),0),0)</f>
        <v>0</v>
      </c>
      <c r="K2793" s="444">
        <f t="shared" ca="1" si="151"/>
        <v>-127755447.93038405</v>
      </c>
      <c r="L2793" s="444">
        <f t="shared" ca="1" si="152"/>
        <v>-30789062951.222565</v>
      </c>
      <c r="M2793" s="460">
        <f t="shared" si="154"/>
        <v>0.05</v>
      </c>
      <c r="N2793" s="464">
        <f t="shared" si="155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53"/>
        <v>-30789062951.222565</v>
      </c>
      <c r="J2794" s="444">
        <f t="array" ref="J2794">IFERROR(INDEX('Retirement Calculator'!J:J,MATCH('Isaac 401k'!N2794,'Retirement Calculator'!A:A,0),0),0)</f>
        <v>0</v>
      </c>
      <c r="K2794" s="444">
        <f t="shared" ca="1" si="151"/>
        <v>-128287762.29676068</v>
      </c>
      <c r="L2794" s="444">
        <f t="shared" ca="1" si="152"/>
        <v>-30917350713.519325</v>
      </c>
      <c r="M2794" s="460">
        <f t="shared" si="154"/>
        <v>0.05</v>
      </c>
      <c r="N2794" s="464">
        <f t="shared" si="155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53"/>
        <v>-30917350713.519325</v>
      </c>
      <c r="J2795" s="444">
        <f t="array" ref="J2795">IFERROR(INDEX('Retirement Calculator'!J:J,MATCH('Isaac 401k'!N2795,'Retirement Calculator'!A:A,0),0),0)</f>
        <v>0</v>
      </c>
      <c r="K2795" s="444">
        <f t="shared" ca="1" si="151"/>
        <v>-128822294.63966383</v>
      </c>
      <c r="L2795" s="444">
        <f t="shared" ca="1" si="152"/>
        <v>-31046173008.158989</v>
      </c>
      <c r="M2795" s="460">
        <f t="shared" si="154"/>
        <v>0.05</v>
      </c>
      <c r="N2795" s="464">
        <f t="shared" si="155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53"/>
        <v>-31046173008.158989</v>
      </c>
      <c r="J2796" s="444">
        <f t="array" ref="J2796">IFERROR(INDEX('Retirement Calculator'!J:J,MATCH('Isaac 401k'!N2796,'Retirement Calculator'!A:A,0),0),0)</f>
        <v>0</v>
      </c>
      <c r="K2796" s="444">
        <f t="shared" ca="1" si="151"/>
        <v>-129359054.20066245</v>
      </c>
      <c r="L2796" s="444">
        <f t="shared" ca="1" si="152"/>
        <v>-31175532062.35965</v>
      </c>
      <c r="M2796" s="460">
        <f t="shared" si="154"/>
        <v>0.05</v>
      </c>
      <c r="N2796" s="464">
        <f t="shared" si="155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53"/>
        <v>-31175532062.35965</v>
      </c>
      <c r="J2797" s="444">
        <f t="array" ref="J2797">IFERROR(INDEX('Retirement Calculator'!J:J,MATCH('Isaac 401k'!N2797,'Retirement Calculator'!A:A,0),0),0)</f>
        <v>0</v>
      </c>
      <c r="K2797" s="444">
        <f t="shared" ca="1" si="151"/>
        <v>-129898050.25983188</v>
      </c>
      <c r="L2797" s="444">
        <f t="shared" ca="1" si="152"/>
        <v>-31305430112.61948</v>
      </c>
      <c r="M2797" s="460">
        <f t="shared" si="154"/>
        <v>0.05</v>
      </c>
      <c r="N2797" s="464">
        <f t="shared" si="155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53"/>
        <v>-31305430112.61948</v>
      </c>
      <c r="J2798" s="444">
        <f t="array" ref="J2798">IFERROR(INDEX('Retirement Calculator'!J:J,MATCH('Isaac 401k'!N2798,'Retirement Calculator'!A:A,0),0),0)</f>
        <v>0</v>
      </c>
      <c r="K2798" s="444">
        <f t="shared" ca="1" si="151"/>
        <v>-130439292.1359145</v>
      </c>
      <c r="L2798" s="444">
        <f t="shared" ca="1" si="152"/>
        <v>-31435869404.755394</v>
      </c>
      <c r="M2798" s="460">
        <f t="shared" si="154"/>
        <v>0.05</v>
      </c>
      <c r="N2798" s="464">
        <f t="shared" si="155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53"/>
        <v>-31435869404.755394</v>
      </c>
      <c r="J2799" s="444">
        <f t="array" ref="J2799">IFERROR(INDEX('Retirement Calculator'!J:J,MATCH('Isaac 401k'!N2799,'Retirement Calculator'!A:A,0),0),0)</f>
        <v>0</v>
      </c>
      <c r="K2799" s="444">
        <f t="shared" ca="1" si="151"/>
        <v>-130982789.18648081</v>
      </c>
      <c r="L2799" s="444">
        <f t="shared" ca="1" si="152"/>
        <v>-31566852193.941875</v>
      </c>
      <c r="M2799" s="460">
        <f t="shared" si="154"/>
        <v>0.05</v>
      </c>
      <c r="N2799" s="464">
        <f t="shared" si="155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53"/>
        <v>-31566852193.941875</v>
      </c>
      <c r="J2800" s="444">
        <f t="array" ref="J2800">IFERROR(INDEX('Retirement Calculator'!J:J,MATCH('Isaac 401k'!N2800,'Retirement Calculator'!A:A,0),0),0)</f>
        <v>0</v>
      </c>
      <c r="K2800" s="444">
        <f t="shared" ca="1" si="151"/>
        <v>-131528550.80809116</v>
      </c>
      <c r="L2800" s="444">
        <f t="shared" ca="1" si="152"/>
        <v>-31698380744.749966</v>
      </c>
      <c r="M2800" s="460">
        <f t="shared" si="154"/>
        <v>0.05</v>
      </c>
      <c r="N2800" s="464">
        <f t="shared" si="155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53"/>
        <v>-31698380744.749966</v>
      </c>
      <c r="J2801" s="444">
        <f t="array" ref="J2801">IFERROR(INDEX('Retirement Calculator'!J:J,MATCH('Isaac 401k'!N2801,'Retirement Calculator'!A:A,0),0),0)</f>
        <v>0</v>
      </c>
      <c r="K2801" s="444">
        <f t="shared" ca="1" si="151"/>
        <v>-132076586.43645819</v>
      </c>
      <c r="L2801" s="444">
        <f t="shared" ca="1" si="152"/>
        <v>-31830457331.186424</v>
      </c>
      <c r="M2801" s="460">
        <f t="shared" si="154"/>
        <v>0.05</v>
      </c>
      <c r="N2801" s="464">
        <f t="shared" si="155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53"/>
        <v>-31830457331.186424</v>
      </c>
      <c r="J2802" s="444">
        <f t="array" ref="J2802">IFERROR(INDEX('Retirement Calculator'!J:J,MATCH('Isaac 401k'!N2802,'Retirement Calculator'!A:A,0),0),0)</f>
        <v>0</v>
      </c>
      <c r="K2802" s="444">
        <f t="shared" ca="1" si="151"/>
        <v>-132626905.54661009</v>
      </c>
      <c r="L2802" s="444">
        <f t="shared" ca="1" si="152"/>
        <v>-31963084236.733036</v>
      </c>
      <c r="M2802" s="460">
        <f t="shared" si="154"/>
        <v>0.05</v>
      </c>
      <c r="N2802" s="464">
        <f t="shared" si="155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53"/>
        <v>-31963084236.733036</v>
      </c>
      <c r="J2803" s="444">
        <f t="array" ref="J2803">IFERROR(INDEX('Retirement Calculator'!J:J,MATCH('Isaac 401k'!N2803,'Retirement Calculator'!A:A,0),0),0)</f>
        <v>0</v>
      </c>
      <c r="K2803" s="444">
        <f t="shared" ca="1" si="151"/>
        <v>-133179517.65305431</v>
      </c>
      <c r="L2803" s="444">
        <f t="shared" ca="1" si="152"/>
        <v>-32096263754.386089</v>
      </c>
      <c r="M2803" s="460">
        <f t="shared" si="154"/>
        <v>0.05</v>
      </c>
      <c r="N2803" s="464">
        <f t="shared" si="155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53"/>
        <v>-32096263754.386089</v>
      </c>
      <c r="J2804" s="444">
        <f t="array" ref="J2804">IFERROR(INDEX('Retirement Calculator'!J:J,MATCH('Isaac 401k'!N2804,'Retirement Calculator'!A:A,0),0),0)</f>
        <v>0</v>
      </c>
      <c r="K2804" s="444">
        <f t="shared" ca="1" si="151"/>
        <v>-133734432.30994204</v>
      </c>
      <c r="L2804" s="444">
        <f t="shared" ca="1" si="152"/>
        <v>-32229998186.69603</v>
      </c>
      <c r="M2804" s="460">
        <f t="shared" si="154"/>
        <v>0.05</v>
      </c>
      <c r="N2804" s="464">
        <f t="shared" si="155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53"/>
        <v>-32229998186.69603</v>
      </c>
      <c r="J2805" s="444">
        <f t="array" ref="J2805">IFERROR(INDEX('Retirement Calculator'!J:J,MATCH('Isaac 401k'!N2805,'Retirement Calculator'!A:A,0),0),0)</f>
        <v>0</v>
      </c>
      <c r="K2805" s="444">
        <f t="shared" ca="1" si="151"/>
        <v>-134291659.11123344</v>
      </c>
      <c r="L2805" s="444">
        <f t="shared" ca="1" si="152"/>
        <v>-32364289845.807262</v>
      </c>
      <c r="M2805" s="460">
        <f t="shared" si="154"/>
        <v>0.05</v>
      </c>
      <c r="N2805" s="464">
        <f t="shared" si="155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53"/>
        <v>-32364289845.807262</v>
      </c>
      <c r="J2806" s="444">
        <f t="array" ref="J2806">IFERROR(INDEX('Retirement Calculator'!J:J,MATCH('Isaac 401k'!N2806,'Retirement Calculator'!A:A,0),0),0)</f>
        <v>0</v>
      </c>
      <c r="K2806" s="444">
        <f t="shared" ca="1" si="151"/>
        <v>-134851207.69086358</v>
      </c>
      <c r="L2806" s="444">
        <f t="shared" ca="1" si="152"/>
        <v>-32499141053.498127</v>
      </c>
      <c r="M2806" s="460">
        <f t="shared" si="154"/>
        <v>0.05</v>
      </c>
      <c r="N2806" s="464">
        <f t="shared" si="155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53"/>
        <v>-32499141053.498127</v>
      </c>
      <c r="J2807" s="444">
        <f t="array" ref="J2807">IFERROR(INDEX('Retirement Calculator'!J:J,MATCH('Isaac 401k'!N2807,'Retirement Calculator'!A:A,0),0),0)</f>
        <v>0</v>
      </c>
      <c r="K2807" s="444">
        <f t="shared" ca="1" si="151"/>
        <v>-135413087.72290885</v>
      </c>
      <c r="L2807" s="444">
        <f t="shared" ca="1" si="152"/>
        <v>-32634554141.221035</v>
      </c>
      <c r="M2807" s="460">
        <f t="shared" si="154"/>
        <v>0.05</v>
      </c>
      <c r="N2807" s="464">
        <f t="shared" si="155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53"/>
        <v>-32634554141.221035</v>
      </c>
      <c r="J2808" s="444">
        <f t="array" ref="J2808">IFERROR(INDEX('Retirement Calculator'!J:J,MATCH('Isaac 401k'!N2808,'Retirement Calculator'!A:A,0),0),0)</f>
        <v>0</v>
      </c>
      <c r="K2808" s="444">
        <f t="shared" ca="1" si="151"/>
        <v>-135977308.9217543</v>
      </c>
      <c r="L2808" s="444">
        <f t="shared" ca="1" si="152"/>
        <v>-32770531450.142788</v>
      </c>
      <c r="M2808" s="460">
        <f t="shared" si="154"/>
        <v>0.05</v>
      </c>
      <c r="N2808" s="464">
        <f t="shared" si="155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53"/>
        <v>-32770531450.142788</v>
      </c>
      <c r="J2809" s="444">
        <f t="array" ref="J2809">IFERROR(INDEX('Retirement Calculator'!J:J,MATCH('Isaac 401k'!N2809,'Retirement Calculator'!A:A,0),0),0)</f>
        <v>0</v>
      </c>
      <c r="K2809" s="444">
        <f t="shared" ca="1" si="151"/>
        <v>-136543881.0422616</v>
      </c>
      <c r="L2809" s="444">
        <f t="shared" ca="1" si="152"/>
        <v>-32907075331.185051</v>
      </c>
      <c r="M2809" s="460">
        <f t="shared" si="154"/>
        <v>0.05</v>
      </c>
      <c r="N2809" s="464">
        <f t="shared" si="155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53"/>
        <v>-32907075331.185051</v>
      </c>
      <c r="J2810" s="444">
        <f t="array" ref="J2810">IFERROR(INDEX('Retirement Calculator'!J:J,MATCH('Isaac 401k'!N2810,'Retirement Calculator'!A:A,0),0),0)</f>
        <v>0</v>
      </c>
      <c r="K2810" s="444">
        <f t="shared" ca="1" si="151"/>
        <v>-137112813.87993771</v>
      </c>
      <c r="L2810" s="444">
        <f t="shared" ca="1" si="152"/>
        <v>-33044188145.064987</v>
      </c>
      <c r="M2810" s="460">
        <f t="shared" si="154"/>
        <v>0.05</v>
      </c>
      <c r="N2810" s="464">
        <f t="shared" si="155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53"/>
        <v>-33044188145.064987</v>
      </c>
      <c r="J2811" s="444">
        <f t="array" ref="J2811">IFERROR(INDEX('Retirement Calculator'!J:J,MATCH('Isaac 401k'!N2811,'Retirement Calculator'!A:A,0),0),0)</f>
        <v>0</v>
      </c>
      <c r="K2811" s="444">
        <f t="shared" ca="1" si="151"/>
        <v>-137684117.2711041</v>
      </c>
      <c r="L2811" s="444">
        <f t="shared" ca="1" si="152"/>
        <v>-33181872262.33609</v>
      </c>
      <c r="M2811" s="460">
        <f t="shared" si="154"/>
        <v>0.05</v>
      </c>
      <c r="N2811" s="464">
        <f t="shared" si="155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53"/>
        <v>-33181872262.33609</v>
      </c>
      <c r="J2812" s="444">
        <f t="array" ref="J2812">IFERROR(INDEX('Retirement Calculator'!J:J,MATCH('Isaac 401k'!N2812,'Retirement Calculator'!A:A,0),0),0)</f>
        <v>0</v>
      </c>
      <c r="K2812" s="444">
        <f t="shared" ca="1" si="151"/>
        <v>-138257801.09306705</v>
      </c>
      <c r="L2812" s="444">
        <f t="shared" ca="1" si="152"/>
        <v>-33320130063.429157</v>
      </c>
      <c r="M2812" s="460">
        <f t="shared" si="154"/>
        <v>0.05</v>
      </c>
      <c r="N2812" s="464">
        <f t="shared" si="155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53"/>
        <v>-33320130063.429157</v>
      </c>
      <c r="J2813" s="444">
        <f t="array" ref="J2813">IFERROR(INDEX('Retirement Calculator'!J:J,MATCH('Isaac 401k'!N2813,'Retirement Calculator'!A:A,0),0),0)</f>
        <v>0</v>
      </c>
      <c r="K2813" s="444">
        <f t="shared" ref="K2813:K3067" ca="1" si="156">IPMT(M2813/12,1,12,-I2813+J2813,,0)</f>
        <v>-138833875.26428813</v>
      </c>
      <c r="L2813" s="444">
        <f t="shared" ref="L2813:L3067" ca="1" si="157">I2813-J2813+K2813</f>
        <v>-33458963938.693447</v>
      </c>
      <c r="M2813" s="460">
        <f t="shared" si="154"/>
        <v>0.05</v>
      </c>
      <c r="N2813" s="464">
        <f t="shared" si="155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58">L2813</f>
        <v>-33458963938.693447</v>
      </c>
      <c r="J2814" s="444">
        <f t="array" ref="J2814">IFERROR(INDEX('Retirement Calculator'!J:J,MATCH('Isaac 401k'!N2814,'Retirement Calculator'!A:A,0),0),0)</f>
        <v>0</v>
      </c>
      <c r="K2814" s="444">
        <f t="shared" ca="1" si="156"/>
        <v>-139412349.74455604</v>
      </c>
      <c r="L2814" s="444">
        <f t="shared" ca="1" si="157"/>
        <v>-33598376288.438004</v>
      </c>
      <c r="M2814" s="460">
        <f t="shared" ref="M2814:M3068" si="159">M2813</f>
        <v>0.05</v>
      </c>
      <c r="N2814" s="464">
        <f t="shared" ref="N2814:N3068" si="160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58"/>
        <v>-33598376288.438004</v>
      </c>
      <c r="J2815" s="444">
        <f t="array" ref="J2815">IFERROR(INDEX('Retirement Calculator'!J:J,MATCH('Isaac 401k'!N2815,'Retirement Calculator'!A:A,0),0),0)</f>
        <v>0</v>
      </c>
      <c r="K2815" s="444">
        <f t="shared" ca="1" si="156"/>
        <v>-139993234.53515834</v>
      </c>
      <c r="L2815" s="444">
        <f t="shared" ca="1" si="157"/>
        <v>-33738369522.973164</v>
      </c>
      <c r="M2815" s="460">
        <f t="shared" si="159"/>
        <v>0.05</v>
      </c>
      <c r="N2815" s="464">
        <f t="shared" si="160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58"/>
        <v>-33738369522.973164</v>
      </c>
      <c r="J2816" s="444">
        <f t="array" ref="J2816">IFERROR(INDEX('Retirement Calculator'!J:J,MATCH('Isaac 401k'!N2816,'Retirement Calculator'!A:A,0),0),0)</f>
        <v>0</v>
      </c>
      <c r="K2816" s="444">
        <f t="shared" ca="1" si="156"/>
        <v>-140576539.67905486</v>
      </c>
      <c r="L2816" s="444">
        <f t="shared" ca="1" si="157"/>
        <v>-33878946062.652218</v>
      </c>
      <c r="M2816" s="460">
        <f t="shared" si="159"/>
        <v>0.05</v>
      </c>
      <c r="N2816" s="464">
        <f t="shared" si="160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58"/>
        <v>-33878946062.652218</v>
      </c>
      <c r="J2817" s="444">
        <f t="array" ref="J2817">IFERROR(INDEX('Retirement Calculator'!J:J,MATCH('Isaac 401k'!N2817,'Retirement Calculator'!A:A,0),0),0)</f>
        <v>0</v>
      </c>
      <c r="K2817" s="444">
        <f t="shared" ca="1" si="156"/>
        <v>-141162275.26105091</v>
      </c>
      <c r="L2817" s="444">
        <f t="shared" ca="1" si="157"/>
        <v>-34020108337.913269</v>
      </c>
      <c r="M2817" s="460">
        <f t="shared" si="159"/>
        <v>0.05</v>
      </c>
      <c r="N2817" s="464">
        <f t="shared" si="160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58"/>
        <v>-34020108337.913269</v>
      </c>
      <c r="J2818" s="444">
        <f t="array" ref="J2818">IFERROR(INDEX('Retirement Calculator'!J:J,MATCH('Isaac 401k'!N2818,'Retirement Calculator'!A:A,0),0),0)</f>
        <v>0</v>
      </c>
      <c r="K2818" s="444">
        <f t="shared" ca="1" si="156"/>
        <v>-141750451.40797195</v>
      </c>
      <c r="L2818" s="444">
        <f t="shared" ca="1" si="157"/>
        <v>-34161858789.321239</v>
      </c>
      <c r="M2818" s="460">
        <f t="shared" si="159"/>
        <v>0.05</v>
      </c>
      <c r="N2818" s="464">
        <f t="shared" si="160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58"/>
        <v>-34161858789.321239</v>
      </c>
      <c r="J2819" s="444">
        <f t="array" ref="J2819">IFERROR(INDEX('Retirement Calculator'!J:J,MATCH('Isaac 401k'!N2819,'Retirement Calculator'!A:A,0),0),0)</f>
        <v>0</v>
      </c>
      <c r="K2819" s="444">
        <f t="shared" ca="1" si="156"/>
        <v>-142341078.28883851</v>
      </c>
      <c r="L2819" s="444">
        <f t="shared" ca="1" si="157"/>
        <v>-34304199867.610077</v>
      </c>
      <c r="M2819" s="460">
        <f t="shared" si="159"/>
        <v>0.05</v>
      </c>
      <c r="N2819" s="464">
        <f t="shared" si="160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58"/>
        <v>-34304199867.610077</v>
      </c>
      <c r="J2820" s="444">
        <f t="array" ref="J2820">IFERROR(INDEX('Retirement Calculator'!J:J,MATCH('Isaac 401k'!N2820,'Retirement Calculator'!A:A,0),0),0)</f>
        <v>0</v>
      </c>
      <c r="K2820" s="444">
        <f t="shared" ca="1" si="156"/>
        <v>-142934166.115042</v>
      </c>
      <c r="L2820" s="444">
        <f t="shared" ca="1" si="157"/>
        <v>-34447134033.725121</v>
      </c>
      <c r="M2820" s="460">
        <f t="shared" si="159"/>
        <v>0.05</v>
      </c>
      <c r="N2820" s="464">
        <f t="shared" si="160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58"/>
        <v>-34447134033.725121</v>
      </c>
      <c r="J2821" s="444">
        <f t="array" ref="J2821">IFERROR(INDEX('Retirement Calculator'!J:J,MATCH('Isaac 401k'!N2821,'Retirement Calculator'!A:A,0),0),0)</f>
        <v>0</v>
      </c>
      <c r="K2821" s="444">
        <f t="shared" ca="1" si="156"/>
        <v>-143529725.14052135</v>
      </c>
      <c r="L2821" s="444">
        <f t="shared" ca="1" si="157"/>
        <v>-34590663758.865639</v>
      </c>
      <c r="M2821" s="460">
        <f t="shared" si="159"/>
        <v>0.05</v>
      </c>
      <c r="N2821" s="464">
        <f t="shared" si="160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58"/>
        <v>-34590663758.865639</v>
      </c>
      <c r="J2822" s="444">
        <f t="array" ref="J2822">IFERROR(INDEX('Retirement Calculator'!J:J,MATCH('Isaac 401k'!N2822,'Retirement Calculator'!A:A,0),0),0)</f>
        <v>0</v>
      </c>
      <c r="K2822" s="444">
        <f t="shared" ca="1" si="156"/>
        <v>-144127765.66194016</v>
      </c>
      <c r="L2822" s="444">
        <f t="shared" ca="1" si="157"/>
        <v>-34734791524.52758</v>
      </c>
      <c r="M2822" s="460">
        <f t="shared" si="159"/>
        <v>0.05</v>
      </c>
      <c r="N2822" s="464">
        <f t="shared" si="160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58"/>
        <v>-34734791524.52758</v>
      </c>
      <c r="J2823" s="444">
        <f t="array" ref="J2823">IFERROR(INDEX('Retirement Calculator'!J:J,MATCH('Isaac 401k'!N2823,'Retirement Calculator'!A:A,0),0),0)</f>
        <v>0</v>
      </c>
      <c r="K2823" s="444">
        <f t="shared" ca="1" si="156"/>
        <v>-144728298.01886493</v>
      </c>
      <c r="L2823" s="444">
        <f t="shared" ca="1" si="157"/>
        <v>-34879519822.546448</v>
      </c>
      <c r="M2823" s="460">
        <f t="shared" si="159"/>
        <v>0.05</v>
      </c>
      <c r="N2823" s="464">
        <f t="shared" si="160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58"/>
        <v>-34879519822.546448</v>
      </c>
      <c r="J2824" s="444">
        <f t="array" ref="J2824">IFERROR(INDEX('Retirement Calculator'!J:J,MATCH('Isaac 401k'!N2824,'Retirement Calculator'!A:A,0),0),0)</f>
        <v>0</v>
      </c>
      <c r="K2824" s="444">
        <f t="shared" ca="1" si="156"/>
        <v>-145331332.59394354</v>
      </c>
      <c r="L2824" s="444">
        <f t="shared" ca="1" si="157"/>
        <v>-35024851155.140388</v>
      </c>
      <c r="M2824" s="460">
        <f t="shared" si="159"/>
        <v>0.05</v>
      </c>
      <c r="N2824" s="464">
        <f t="shared" si="160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58"/>
        <v>-35024851155.140388</v>
      </c>
      <c r="J2825" s="444">
        <f t="array" ref="J2825">IFERROR(INDEX('Retirement Calculator'!J:J,MATCH('Isaac 401k'!N2825,'Retirement Calculator'!A:A,0),0),0)</f>
        <v>0</v>
      </c>
      <c r="K2825" s="444">
        <f t="shared" ca="1" si="156"/>
        <v>-145936879.81308496</v>
      </c>
      <c r="L2825" s="444">
        <f t="shared" ca="1" si="157"/>
        <v>-35170788034.953476</v>
      </c>
      <c r="M2825" s="460">
        <f t="shared" si="159"/>
        <v>0.05</v>
      </c>
      <c r="N2825" s="464">
        <f t="shared" si="160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58"/>
        <v>-35170788034.953476</v>
      </c>
      <c r="J2826" s="444">
        <f t="array" ref="J2826">IFERROR(INDEX('Retirement Calculator'!J:J,MATCH('Isaac 401k'!N2826,'Retirement Calculator'!A:A,0),0),0)</f>
        <v>0</v>
      </c>
      <c r="K2826" s="444">
        <f t="shared" ca="1" si="156"/>
        <v>-146544950.14563948</v>
      </c>
      <c r="L2826" s="444">
        <f t="shared" ca="1" si="157"/>
        <v>-35317332985.099113</v>
      </c>
      <c r="M2826" s="460">
        <f t="shared" si="159"/>
        <v>0.05</v>
      </c>
      <c r="N2826" s="464">
        <f t="shared" si="160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58"/>
        <v>-35317332985.099113</v>
      </c>
      <c r="J2827" s="444">
        <f t="array" ref="J2827">IFERROR(INDEX('Retirement Calculator'!J:J,MATCH('Isaac 401k'!N2827,'Retirement Calculator'!A:A,0),0),0)</f>
        <v>0</v>
      </c>
      <c r="K2827" s="444">
        <f t="shared" ca="1" si="156"/>
        <v>-147155554.10457963</v>
      </c>
      <c r="L2827" s="444">
        <f t="shared" ca="1" si="157"/>
        <v>-35464488539.20369</v>
      </c>
      <c r="M2827" s="460">
        <f t="shared" si="159"/>
        <v>0.05</v>
      </c>
      <c r="N2827" s="464">
        <f t="shared" si="160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58"/>
        <v>-35464488539.20369</v>
      </c>
      <c r="J2828" s="444">
        <f t="array" ref="J2828">IFERROR(INDEX('Retirement Calculator'!J:J,MATCH('Isaac 401k'!N2828,'Retirement Calculator'!A:A,0),0),0)</f>
        <v>0</v>
      </c>
      <c r="K2828" s="444">
        <f t="shared" ca="1" si="156"/>
        <v>-147768702.24668205</v>
      </c>
      <c r="L2828" s="444">
        <f t="shared" ca="1" si="157"/>
        <v>-35612257241.450371</v>
      </c>
      <c r="M2828" s="460">
        <f t="shared" si="159"/>
        <v>0.05</v>
      </c>
      <c r="N2828" s="464">
        <f t="shared" si="160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58"/>
        <v>-35612257241.450371</v>
      </c>
      <c r="J2829" s="444">
        <f t="array" ref="J2829">IFERROR(INDEX('Retirement Calculator'!J:J,MATCH('Isaac 401k'!N2829,'Retirement Calculator'!A:A,0),0),0)</f>
        <v>0</v>
      </c>
      <c r="K2829" s="444">
        <f t="shared" ca="1" si="156"/>
        <v>-148384405.17270988</v>
      </c>
      <c r="L2829" s="444">
        <f t="shared" ca="1" si="157"/>
        <v>-35760641646.623077</v>
      </c>
      <c r="M2829" s="460">
        <f t="shared" si="159"/>
        <v>0.05</v>
      </c>
      <c r="N2829" s="464">
        <f t="shared" si="160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58"/>
        <v>-35760641646.623077</v>
      </c>
      <c r="J2830" s="444">
        <f t="array" ref="J2830">IFERROR(INDEX('Retirement Calculator'!J:J,MATCH('Isaac 401k'!N2830,'Retirement Calculator'!A:A,0),0),0)</f>
        <v>0</v>
      </c>
      <c r="K2830" s="444">
        <f t="shared" ca="1" si="156"/>
        <v>-149002673.52759615</v>
      </c>
      <c r="L2830" s="444">
        <f t="shared" ca="1" si="157"/>
        <v>-35909644320.150673</v>
      </c>
      <c r="M2830" s="460">
        <f t="shared" si="159"/>
        <v>0.05</v>
      </c>
      <c r="N2830" s="464">
        <f t="shared" si="160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58"/>
        <v>-35909644320.150673</v>
      </c>
      <c r="J2831" s="444">
        <f t="array" ref="J2831">IFERROR(INDEX('Retirement Calculator'!J:J,MATCH('Isaac 401k'!N2831,'Retirement Calculator'!A:A,0),0),0)</f>
        <v>0</v>
      </c>
      <c r="K2831" s="444">
        <f t="shared" ca="1" si="156"/>
        <v>-149623518.00062782</v>
      </c>
      <c r="L2831" s="444">
        <f t="shared" ca="1" si="157"/>
        <v>-36059267838.151299</v>
      </c>
      <c r="M2831" s="460">
        <f t="shared" si="159"/>
        <v>0.05</v>
      </c>
      <c r="N2831" s="464">
        <f t="shared" si="160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58"/>
        <v>-36059267838.151299</v>
      </c>
      <c r="J2832" s="444">
        <f t="array" ref="J2832">IFERROR(INDEX('Retirement Calculator'!J:J,MATCH('Isaac 401k'!N2832,'Retirement Calculator'!A:A,0),0),0)</f>
        <v>0</v>
      </c>
      <c r="K2832" s="444">
        <f t="shared" ca="1" si="156"/>
        <v>-150246949.3256304</v>
      </c>
      <c r="L2832" s="444">
        <f t="shared" ca="1" si="157"/>
        <v>-36209514787.476929</v>
      </c>
      <c r="M2832" s="460">
        <f t="shared" si="159"/>
        <v>0.05</v>
      </c>
      <c r="N2832" s="464">
        <f t="shared" si="160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58"/>
        <v>-36209514787.476929</v>
      </c>
      <c r="J2833" s="444">
        <f t="array" ref="J2833">IFERROR(INDEX('Retirement Calculator'!J:J,MATCH('Isaac 401k'!N2833,'Retirement Calculator'!A:A,0),0),0)</f>
        <v>0</v>
      </c>
      <c r="K2833" s="444">
        <f t="shared" ca="1" si="156"/>
        <v>-150872978.28115386</v>
      </c>
      <c r="L2833" s="444">
        <f t="shared" ca="1" si="157"/>
        <v>-36360387765.75808</v>
      </c>
      <c r="M2833" s="460">
        <f t="shared" si="159"/>
        <v>0.05</v>
      </c>
      <c r="N2833" s="464">
        <f t="shared" si="160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58"/>
        <v>-36360387765.75808</v>
      </c>
      <c r="J2834" s="444">
        <f t="array" ref="J2834">IFERROR(INDEX('Retirement Calculator'!J:J,MATCH('Isaac 401k'!N2834,'Retirement Calculator'!A:A,0),0),0)</f>
        <v>0</v>
      </c>
      <c r="K2834" s="444">
        <f t="shared" ca="1" si="156"/>
        <v>-151501615.69065866</v>
      </c>
      <c r="L2834" s="444">
        <f t="shared" ca="1" si="157"/>
        <v>-36511889381.448738</v>
      </c>
      <c r="M2834" s="460">
        <f t="shared" si="159"/>
        <v>0.05</v>
      </c>
      <c r="N2834" s="464">
        <f t="shared" si="160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58"/>
        <v>-36511889381.448738</v>
      </c>
      <c r="J2835" s="444">
        <f t="array" ref="J2835">IFERROR(INDEX('Retirement Calculator'!J:J,MATCH('Isaac 401k'!N2835,'Retirement Calculator'!A:A,0),0),0)</f>
        <v>0</v>
      </c>
      <c r="K2835" s="444">
        <f t="shared" ca="1" si="156"/>
        <v>-152132872.42270309</v>
      </c>
      <c r="L2835" s="444">
        <f t="shared" ca="1" si="157"/>
        <v>-36664022253.871445</v>
      </c>
      <c r="M2835" s="460">
        <f t="shared" si="159"/>
        <v>0.05</v>
      </c>
      <c r="N2835" s="464">
        <f t="shared" si="160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58"/>
        <v>-36664022253.871445</v>
      </c>
      <c r="J2836" s="444">
        <f t="array" ref="J2836">IFERROR(INDEX('Retirement Calculator'!J:J,MATCH('Isaac 401k'!N2836,'Retirement Calculator'!A:A,0),0),0)</f>
        <v>0</v>
      </c>
      <c r="K2836" s="444">
        <f t="shared" ca="1" si="156"/>
        <v>-152766759.39113101</v>
      </c>
      <c r="L2836" s="444">
        <f t="shared" ca="1" si="157"/>
        <v>-36816789013.262573</v>
      </c>
      <c r="M2836" s="460">
        <f t="shared" si="159"/>
        <v>0.05</v>
      </c>
      <c r="N2836" s="464">
        <f t="shared" si="160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58"/>
        <v>-36816789013.262573</v>
      </c>
      <c r="J2837" s="444">
        <f t="array" ref="J2837">IFERROR(INDEX('Retirement Calculator'!J:J,MATCH('Isaac 401k'!N2837,'Retirement Calculator'!A:A,0),0),0)</f>
        <v>0</v>
      </c>
      <c r="K2837" s="444">
        <f t="shared" ca="1" si="156"/>
        <v>-153403287.55526072</v>
      </c>
      <c r="L2837" s="444">
        <f t="shared" ca="1" si="157"/>
        <v>-36970192300.817833</v>
      </c>
      <c r="M2837" s="460">
        <f t="shared" si="159"/>
        <v>0.05</v>
      </c>
      <c r="N2837" s="464">
        <f t="shared" si="160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58"/>
        <v>-36970192300.817833</v>
      </c>
      <c r="J2838" s="444">
        <f t="array" ref="J2838">IFERROR(INDEX('Retirement Calculator'!J:J,MATCH('Isaac 401k'!N2838,'Retirement Calculator'!A:A,0),0),0)</f>
        <v>0</v>
      </c>
      <c r="K2838" s="444">
        <f t="shared" ca="1" si="156"/>
        <v>-154042467.92007431</v>
      </c>
      <c r="L2838" s="444">
        <f t="shared" ca="1" si="157"/>
        <v>-37124234768.737907</v>
      </c>
      <c r="M2838" s="460">
        <f t="shared" si="159"/>
        <v>0.05</v>
      </c>
      <c r="N2838" s="464">
        <f t="shared" si="160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58"/>
        <v>-37124234768.737907</v>
      </c>
      <c r="J2839" s="444">
        <f t="array" ref="J2839">IFERROR(INDEX('Retirement Calculator'!J:J,MATCH('Isaac 401k'!N2839,'Retirement Calculator'!A:A,0),0),0)</f>
        <v>0</v>
      </c>
      <c r="K2839" s="444">
        <f t="shared" ca="1" si="156"/>
        <v>-154684311.53640795</v>
      </c>
      <c r="L2839" s="444">
        <f t="shared" ca="1" si="157"/>
        <v>-37278919080.274315</v>
      </c>
      <c r="M2839" s="460">
        <f t="shared" si="159"/>
        <v>0.05</v>
      </c>
      <c r="N2839" s="464">
        <f t="shared" si="160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58"/>
        <v>-37278919080.274315</v>
      </c>
      <c r="J2840" s="444">
        <f t="array" ref="J2840">IFERROR(INDEX('Retirement Calculator'!J:J,MATCH('Isaac 401k'!N2840,'Retirement Calculator'!A:A,0),0),0)</f>
        <v>0</v>
      </c>
      <c r="K2840" s="444">
        <f t="shared" ca="1" si="156"/>
        <v>-155328829.50114298</v>
      </c>
      <c r="L2840" s="444">
        <f t="shared" ca="1" si="157"/>
        <v>-37434247909.775459</v>
      </c>
      <c r="M2840" s="460">
        <f t="shared" si="159"/>
        <v>0.05</v>
      </c>
      <c r="N2840" s="464">
        <f t="shared" si="160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58"/>
        <v>-37434247909.775459</v>
      </c>
      <c r="J2841" s="444">
        <f t="array" ref="J2841">IFERROR(INDEX('Retirement Calculator'!J:J,MATCH('Isaac 401k'!N2841,'Retirement Calculator'!A:A,0),0),0)</f>
        <v>0</v>
      </c>
      <c r="K2841" s="444">
        <f t="shared" ca="1" si="156"/>
        <v>-155976032.95739776</v>
      </c>
      <c r="L2841" s="444">
        <f t="shared" ca="1" si="157"/>
        <v>-37590223942.732857</v>
      </c>
      <c r="M2841" s="460">
        <f t="shared" si="159"/>
        <v>0.05</v>
      </c>
      <c r="N2841" s="464">
        <f t="shared" si="160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58"/>
        <v>-37590223942.732857</v>
      </c>
      <c r="J2842" s="444">
        <f t="array" ref="J2842">IFERROR(INDEX('Retirement Calculator'!J:J,MATCH('Isaac 401k'!N2842,'Retirement Calculator'!A:A,0),0),0)</f>
        <v>0</v>
      </c>
      <c r="K2842" s="444">
        <f t="shared" ca="1" si="156"/>
        <v>-156625933.09472024</v>
      </c>
      <c r="L2842" s="444">
        <f t="shared" ca="1" si="157"/>
        <v>-37746849875.827576</v>
      </c>
      <c r="M2842" s="460">
        <f t="shared" si="159"/>
        <v>0.05</v>
      </c>
      <c r="N2842" s="464">
        <f t="shared" si="160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58"/>
        <v>-37746849875.827576</v>
      </c>
      <c r="J2843" s="444">
        <f t="array" ref="J2843">IFERROR(INDEX('Retirement Calculator'!J:J,MATCH('Isaac 401k'!N2843,'Retirement Calculator'!A:A,0),0),0)</f>
        <v>0</v>
      </c>
      <c r="K2843" s="444">
        <f t="shared" ca="1" si="156"/>
        <v>-157278541.14928156</v>
      </c>
      <c r="L2843" s="444">
        <f t="shared" ca="1" si="157"/>
        <v>-37904128416.97686</v>
      </c>
      <c r="M2843" s="460">
        <f t="shared" si="159"/>
        <v>0.05</v>
      </c>
      <c r="N2843" s="464">
        <f t="shared" si="160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58"/>
        <v>-37904128416.97686</v>
      </c>
      <c r="J2844" s="444">
        <f t="array" ref="J2844">IFERROR(INDEX('Retirement Calculator'!J:J,MATCH('Isaac 401k'!N2844,'Retirement Calculator'!A:A,0),0),0)</f>
        <v>0</v>
      </c>
      <c r="K2844" s="444">
        <f t="shared" ca="1" si="156"/>
        <v>-157933868.40407026</v>
      </c>
      <c r="L2844" s="444">
        <f t="shared" ca="1" si="157"/>
        <v>-38062062285.380928</v>
      </c>
      <c r="M2844" s="460">
        <f t="shared" si="159"/>
        <v>0.05</v>
      </c>
      <c r="N2844" s="464">
        <f t="shared" si="160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58"/>
        <v>-38062062285.380928</v>
      </c>
      <c r="J2845" s="444">
        <f t="array" ref="J2845">IFERROR(INDEX('Retirement Calculator'!J:J,MATCH('Isaac 401k'!N2845,'Retirement Calculator'!A:A,0),0),0)</f>
        <v>0</v>
      </c>
      <c r="K2845" s="444">
        <f t="shared" ca="1" si="156"/>
        <v>-158591926.18908721</v>
      </c>
      <c r="L2845" s="444">
        <f t="shared" ca="1" si="157"/>
        <v>-38220654211.570015</v>
      </c>
      <c r="M2845" s="460">
        <f t="shared" si="159"/>
        <v>0.05</v>
      </c>
      <c r="N2845" s="464">
        <f t="shared" si="160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58"/>
        <v>-38220654211.570015</v>
      </c>
      <c r="J2846" s="444">
        <f t="array" ref="J2846">IFERROR(INDEX('Retirement Calculator'!J:J,MATCH('Isaac 401k'!N2846,'Retirement Calculator'!A:A,0),0),0)</f>
        <v>0</v>
      </c>
      <c r="K2846" s="444">
        <f t="shared" ca="1" si="156"/>
        <v>-159252725.88154173</v>
      </c>
      <c r="L2846" s="444">
        <f t="shared" ca="1" si="157"/>
        <v>-38379906937.451553</v>
      </c>
      <c r="M2846" s="460">
        <f t="shared" si="159"/>
        <v>0.05</v>
      </c>
      <c r="N2846" s="464">
        <f t="shared" si="160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58"/>
        <v>-38379906937.451553</v>
      </c>
      <c r="J2847" s="444">
        <f t="array" ref="J2847">IFERROR(INDEX('Retirement Calculator'!J:J,MATCH('Isaac 401k'!N2847,'Retirement Calculator'!A:A,0),0),0)</f>
        <v>0</v>
      </c>
      <c r="K2847" s="444">
        <f t="shared" ca="1" si="156"/>
        <v>-159916278.90604815</v>
      </c>
      <c r="L2847" s="444">
        <f t="shared" ca="1" si="157"/>
        <v>-38539823216.357605</v>
      </c>
      <c r="M2847" s="460">
        <f t="shared" si="159"/>
        <v>0.05</v>
      </c>
      <c r="N2847" s="464">
        <f t="shared" si="160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58"/>
        <v>-38539823216.357605</v>
      </c>
      <c r="J2848" s="444">
        <f t="array" ref="J2848">IFERROR(INDEX('Retirement Calculator'!J:J,MATCH('Isaac 401k'!N2848,'Retirement Calculator'!A:A,0),0),0)</f>
        <v>0</v>
      </c>
      <c r="K2848" s="444">
        <f t="shared" ca="1" si="156"/>
        <v>-160582596.73482335</v>
      </c>
      <c r="L2848" s="444">
        <f t="shared" ca="1" si="157"/>
        <v>-38700405813.09243</v>
      </c>
      <c r="M2848" s="460">
        <f t="shared" si="159"/>
        <v>0.05</v>
      </c>
      <c r="N2848" s="464">
        <f t="shared" si="160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58"/>
        <v>-38700405813.09243</v>
      </c>
      <c r="J2849" s="444">
        <f t="array" ref="J2849">IFERROR(INDEX('Retirement Calculator'!J:J,MATCH('Isaac 401k'!N2849,'Retirement Calculator'!A:A,0),0),0)</f>
        <v>0</v>
      </c>
      <c r="K2849" s="444">
        <f t="shared" ca="1" si="156"/>
        <v>-161251690.88788512</v>
      </c>
      <c r="L2849" s="444">
        <f t="shared" ca="1" si="157"/>
        <v>-38861657503.980316</v>
      </c>
      <c r="M2849" s="460">
        <f t="shared" si="159"/>
        <v>0.05</v>
      </c>
      <c r="N2849" s="464">
        <f t="shared" si="160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58"/>
        <v>-38861657503.980316</v>
      </c>
      <c r="J2850" s="444">
        <f t="array" ref="J2850">IFERROR(INDEX('Retirement Calculator'!J:J,MATCH('Isaac 401k'!N2850,'Retirement Calculator'!A:A,0),0),0)</f>
        <v>0</v>
      </c>
      <c r="K2850" s="444">
        <f t="shared" ca="1" si="156"/>
        <v>-161923572.93325132</v>
      </c>
      <c r="L2850" s="444">
        <f t="shared" ca="1" si="157"/>
        <v>-39023581076.913567</v>
      </c>
      <c r="M2850" s="460">
        <f t="shared" si="159"/>
        <v>0.05</v>
      </c>
      <c r="N2850" s="464">
        <f t="shared" si="160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58"/>
        <v>-39023581076.913567</v>
      </c>
      <c r="J2851" s="444">
        <f t="array" ref="J2851">IFERROR(INDEX('Retirement Calculator'!J:J,MATCH('Isaac 401k'!N2851,'Retirement Calculator'!A:A,0),0),0)</f>
        <v>0</v>
      </c>
      <c r="K2851" s="444">
        <f t="shared" ca="1" si="156"/>
        <v>-162598254.48713985</v>
      </c>
      <c r="L2851" s="444">
        <f t="shared" ca="1" si="157"/>
        <v>-39186179331.400703</v>
      </c>
      <c r="M2851" s="460">
        <f t="shared" si="159"/>
        <v>0.05</v>
      </c>
      <c r="N2851" s="464">
        <f t="shared" si="160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58"/>
        <v>-39186179331.400703</v>
      </c>
      <c r="J2852" s="444">
        <f t="array" ref="J2852">IFERROR(INDEX('Retirement Calculator'!J:J,MATCH('Isaac 401k'!N2852,'Retirement Calculator'!A:A,0),0),0)</f>
        <v>0</v>
      </c>
      <c r="K2852" s="444">
        <f t="shared" ca="1" si="156"/>
        <v>-163275747.21416959</v>
      </c>
      <c r="L2852" s="444">
        <f t="shared" ca="1" si="157"/>
        <v>-39349455078.614876</v>
      </c>
      <c r="M2852" s="460">
        <f t="shared" si="159"/>
        <v>0.05</v>
      </c>
      <c r="N2852" s="464">
        <f t="shared" si="160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58"/>
        <v>-39349455078.614876</v>
      </c>
      <c r="J2853" s="444">
        <f t="array" ref="J2853">IFERROR(INDEX('Retirement Calculator'!J:J,MATCH('Isaac 401k'!N2853,'Retirement Calculator'!A:A,0),0),0)</f>
        <v>0</v>
      </c>
      <c r="K2853" s="444">
        <f t="shared" ca="1" si="156"/>
        <v>-163956062.82756197</v>
      </c>
      <c r="L2853" s="444">
        <f t="shared" ca="1" si="157"/>
        <v>-39513411141.442436</v>
      </c>
      <c r="M2853" s="460">
        <f t="shared" si="159"/>
        <v>0.05</v>
      </c>
      <c r="N2853" s="464">
        <f t="shared" si="160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58"/>
        <v>-39513411141.442436</v>
      </c>
      <c r="J2854" s="444">
        <f t="array" ref="J2854">IFERROR(INDEX('Retirement Calculator'!J:J,MATCH('Isaac 401k'!N2854,'Retirement Calculator'!A:A,0),0),0)</f>
        <v>0</v>
      </c>
      <c r="K2854" s="444">
        <f t="shared" ca="1" si="156"/>
        <v>-164639213.08934349</v>
      </c>
      <c r="L2854" s="444">
        <f t="shared" ca="1" si="157"/>
        <v>-39678050354.531776</v>
      </c>
      <c r="M2854" s="460">
        <f t="shared" si="159"/>
        <v>0.05</v>
      </c>
      <c r="N2854" s="464">
        <f t="shared" si="160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58"/>
        <v>-39678050354.531776</v>
      </c>
      <c r="J2855" s="444">
        <f t="array" ref="J2855">IFERROR(INDEX('Retirement Calculator'!J:J,MATCH('Isaac 401k'!N2855,'Retirement Calculator'!A:A,0),0),0)</f>
        <v>0</v>
      </c>
      <c r="K2855" s="444">
        <f t="shared" ca="1" si="156"/>
        <v>-165325209.81054908</v>
      </c>
      <c r="L2855" s="444">
        <f t="shared" ca="1" si="157"/>
        <v>-39843375564.342323</v>
      </c>
      <c r="M2855" s="460">
        <f t="shared" si="159"/>
        <v>0.05</v>
      </c>
      <c r="N2855" s="464">
        <f t="shared" si="160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58"/>
        <v>-39843375564.342323</v>
      </c>
      <c r="J2856" s="444">
        <f t="array" ref="J2856">IFERROR(INDEX('Retirement Calculator'!J:J,MATCH('Isaac 401k'!N2856,'Retirement Calculator'!A:A,0),0),0)</f>
        <v>0</v>
      </c>
      <c r="K2856" s="444">
        <f t="shared" ca="1" si="156"/>
        <v>-166014064.85142633</v>
      </c>
      <c r="L2856" s="444">
        <f t="shared" ca="1" si="157"/>
        <v>-40009389629.193748</v>
      </c>
      <c r="M2856" s="460">
        <f t="shared" si="159"/>
        <v>0.05</v>
      </c>
      <c r="N2856" s="464">
        <f t="shared" si="160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58"/>
        <v>-40009389629.193748</v>
      </c>
      <c r="J2857" s="444">
        <f t="array" ref="J2857">IFERROR(INDEX('Retirement Calculator'!J:J,MATCH('Isaac 401k'!N2857,'Retirement Calculator'!A:A,0),0),0)</f>
        <v>0</v>
      </c>
      <c r="K2857" s="444">
        <f t="shared" ca="1" si="156"/>
        <v>-166705790.12164062</v>
      </c>
      <c r="L2857" s="444">
        <f t="shared" ca="1" si="157"/>
        <v>-40176095419.315392</v>
      </c>
      <c r="M2857" s="460">
        <f t="shared" si="159"/>
        <v>0.05</v>
      </c>
      <c r="N2857" s="464">
        <f t="shared" si="160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58"/>
        <v>-40176095419.315392</v>
      </c>
      <c r="J2858" s="444">
        <f t="array" ref="J2858">IFERROR(INDEX('Retirement Calculator'!J:J,MATCH('Isaac 401k'!N2858,'Retirement Calculator'!A:A,0),0),0)</f>
        <v>0</v>
      </c>
      <c r="K2858" s="444">
        <f t="shared" ca="1" si="156"/>
        <v>-167400397.58048078</v>
      </c>
      <c r="L2858" s="444">
        <f t="shared" ca="1" si="157"/>
        <v>-40343495816.895874</v>
      </c>
      <c r="M2858" s="460">
        <f t="shared" si="159"/>
        <v>0.05</v>
      </c>
      <c r="N2858" s="464">
        <f t="shared" si="160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58"/>
        <v>-40343495816.895874</v>
      </c>
      <c r="J2859" s="444">
        <f t="array" ref="J2859">IFERROR(INDEX('Retirement Calculator'!J:J,MATCH('Isaac 401k'!N2859,'Retirement Calculator'!A:A,0),0),0)</f>
        <v>0</v>
      </c>
      <c r="K2859" s="444">
        <f t="shared" ca="1" si="156"/>
        <v>-168097899.23706615</v>
      </c>
      <c r="L2859" s="444">
        <f t="shared" ca="1" si="157"/>
        <v>-40511593716.132942</v>
      </c>
      <c r="M2859" s="460">
        <f t="shared" si="159"/>
        <v>0.05</v>
      </c>
      <c r="N2859" s="464">
        <f t="shared" si="160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58"/>
        <v>-40511593716.132942</v>
      </c>
      <c r="J2860" s="444">
        <f t="array" ref="J2860">IFERROR(INDEX('Retirement Calculator'!J:J,MATCH('Isaac 401k'!N2860,'Retirement Calculator'!A:A,0),0),0)</f>
        <v>0</v>
      </c>
      <c r="K2860" s="444">
        <f t="shared" ca="1" si="156"/>
        <v>-168798307.15055391</v>
      </c>
      <c r="L2860" s="444">
        <f t="shared" ca="1" si="157"/>
        <v>-40680392023.283493</v>
      </c>
      <c r="M2860" s="460">
        <f t="shared" si="159"/>
        <v>0.05</v>
      </c>
      <c r="N2860" s="464">
        <f t="shared" si="160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58"/>
        <v>-40680392023.283493</v>
      </c>
      <c r="J2861" s="444">
        <f t="array" ref="J2861">IFERROR(INDEX('Retirement Calculator'!J:J,MATCH('Isaac 401k'!N2861,'Retirement Calculator'!A:A,0),0),0)</f>
        <v>0</v>
      </c>
      <c r="K2861" s="444">
        <f t="shared" ca="1" si="156"/>
        <v>-169501633.43034789</v>
      </c>
      <c r="L2861" s="444">
        <f t="shared" ca="1" si="157"/>
        <v>-40849893656.713844</v>
      </c>
      <c r="M2861" s="460">
        <f t="shared" si="159"/>
        <v>0.05</v>
      </c>
      <c r="N2861" s="464">
        <f t="shared" si="160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58"/>
        <v>-40849893656.713844</v>
      </c>
      <c r="J2862" s="444">
        <f t="array" ref="J2862">IFERROR(INDEX('Retirement Calculator'!J:J,MATCH('Isaac 401k'!N2862,'Retirement Calculator'!A:A,0),0),0)</f>
        <v>0</v>
      </c>
      <c r="K2862" s="444">
        <f t="shared" ca="1" si="156"/>
        <v>-170207890.23630768</v>
      </c>
      <c r="L2862" s="444">
        <f t="shared" ca="1" si="157"/>
        <v>-41020101546.95015</v>
      </c>
      <c r="M2862" s="460">
        <f t="shared" si="159"/>
        <v>0.05</v>
      </c>
      <c r="N2862" s="464">
        <f t="shared" si="160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58"/>
        <v>-41020101546.95015</v>
      </c>
      <c r="J2863" s="444">
        <f t="array" ref="J2863">IFERROR(INDEX('Retirement Calculator'!J:J,MATCH('Isaac 401k'!N2863,'Retirement Calculator'!A:A,0),0),0)</f>
        <v>0</v>
      </c>
      <c r="K2863" s="444">
        <f t="shared" ca="1" si="156"/>
        <v>-170917089.77895895</v>
      </c>
      <c r="L2863" s="444">
        <f t="shared" ca="1" si="157"/>
        <v>-41191018636.729111</v>
      </c>
      <c r="M2863" s="460">
        <f t="shared" si="159"/>
        <v>0.05</v>
      </c>
      <c r="N2863" s="464">
        <f t="shared" si="160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58"/>
        <v>-41191018636.729111</v>
      </c>
      <c r="J2864" s="444">
        <f t="array" ref="J2864">IFERROR(INDEX('Retirement Calculator'!J:J,MATCH('Isaac 401k'!N2864,'Retirement Calculator'!A:A,0),0),0)</f>
        <v>0</v>
      </c>
      <c r="K2864" s="444">
        <f t="shared" ca="1" si="156"/>
        <v>-171629244.31970462</v>
      </c>
      <c r="L2864" s="444">
        <f t="shared" ca="1" si="157"/>
        <v>-41362647881.048813</v>
      </c>
      <c r="M2864" s="460">
        <f t="shared" si="159"/>
        <v>0.05</v>
      </c>
      <c r="N2864" s="464">
        <f t="shared" si="160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58"/>
        <v>-41362647881.048813</v>
      </c>
      <c r="J2865" s="444">
        <f t="array" ref="J2865">IFERROR(INDEX('Retirement Calculator'!J:J,MATCH('Isaac 401k'!N2865,'Retirement Calculator'!A:A,0),0),0)</f>
        <v>0</v>
      </c>
      <c r="K2865" s="444">
        <f t="shared" ca="1" si="156"/>
        <v>-172344366.17103672</v>
      </c>
      <c r="L2865" s="444">
        <f t="shared" ca="1" si="157"/>
        <v>-41534992247.219849</v>
      </c>
      <c r="M2865" s="460">
        <f t="shared" si="159"/>
        <v>0.05</v>
      </c>
      <c r="N2865" s="464">
        <f t="shared" si="160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58"/>
        <v>-41534992247.219849</v>
      </c>
      <c r="J2866" s="444">
        <f t="array" ref="J2866">IFERROR(INDEX('Retirement Calculator'!J:J,MATCH('Isaac 401k'!N2866,'Retirement Calculator'!A:A,0),0),0)</f>
        <v>0</v>
      </c>
      <c r="K2866" s="444">
        <f t="shared" ca="1" si="156"/>
        <v>-173062467.69674936</v>
      </c>
      <c r="L2866" s="444">
        <f t="shared" ca="1" si="157"/>
        <v>-41708054714.916595</v>
      </c>
      <c r="M2866" s="460">
        <f t="shared" si="159"/>
        <v>0.05</v>
      </c>
      <c r="N2866" s="464">
        <f t="shared" si="160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58"/>
        <v>-41708054714.916595</v>
      </c>
      <c r="J2867" s="444">
        <f t="array" ref="J2867">IFERROR(INDEX('Retirement Calculator'!J:J,MATCH('Isaac 401k'!N2867,'Retirement Calculator'!A:A,0),0),0)</f>
        <v>0</v>
      </c>
      <c r="K2867" s="444">
        <f t="shared" ca="1" si="156"/>
        <v>-173783561.31215248</v>
      </c>
      <c r="L2867" s="444">
        <f t="shared" ca="1" si="157"/>
        <v>-41881838276.228745</v>
      </c>
      <c r="M2867" s="460">
        <f t="shared" si="159"/>
        <v>0.05</v>
      </c>
      <c r="N2867" s="464">
        <f t="shared" si="160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58"/>
        <v>-41881838276.228745</v>
      </c>
      <c r="J2868" s="444">
        <f t="array" ref="J2868">IFERROR(INDEX('Retirement Calculator'!J:J,MATCH('Isaac 401k'!N2868,'Retirement Calculator'!A:A,0),0),0)</f>
        <v>0</v>
      </c>
      <c r="K2868" s="444">
        <f t="shared" ca="1" si="156"/>
        <v>-174507659.48428643</v>
      </c>
      <c r="L2868" s="444">
        <f t="shared" ca="1" si="157"/>
        <v>-42056345935.713028</v>
      </c>
      <c r="M2868" s="460">
        <f t="shared" si="159"/>
        <v>0.05</v>
      </c>
      <c r="N2868" s="464">
        <f t="shared" si="160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58"/>
        <v>-42056345935.713028</v>
      </c>
      <c r="J2869" s="444">
        <f t="array" ref="J2869">IFERROR(INDEX('Retirement Calculator'!J:J,MATCH('Isaac 401k'!N2869,'Retirement Calculator'!A:A,0),0),0)</f>
        <v>0</v>
      </c>
      <c r="K2869" s="444">
        <f t="shared" ca="1" si="156"/>
        <v>-175234774.73213762</v>
      </c>
      <c r="L2869" s="444">
        <f t="shared" ca="1" si="157"/>
        <v>-42231580710.445168</v>
      </c>
      <c r="M2869" s="460">
        <f t="shared" si="159"/>
        <v>0.05</v>
      </c>
      <c r="N2869" s="464">
        <f t="shared" si="160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58"/>
        <v>-42231580710.445168</v>
      </c>
      <c r="J2870" s="444">
        <f t="array" ref="J2870">IFERROR(INDEX('Retirement Calculator'!J:J,MATCH('Isaac 401k'!N2870,'Retirement Calculator'!A:A,0),0),0)</f>
        <v>0</v>
      </c>
      <c r="K2870" s="444">
        <f t="shared" ca="1" si="156"/>
        <v>-175964919.62685487</v>
      </c>
      <c r="L2870" s="444">
        <f t="shared" ca="1" si="157"/>
        <v>-42407545630.072021</v>
      </c>
      <c r="M2870" s="460">
        <f t="shared" si="159"/>
        <v>0.05</v>
      </c>
      <c r="N2870" s="464">
        <f t="shared" si="160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58"/>
        <v>-42407545630.072021</v>
      </c>
      <c r="J2871" s="444">
        <f t="array" ref="J2871">IFERROR(INDEX('Retirement Calculator'!J:J,MATCH('Isaac 401k'!N2871,'Retirement Calculator'!A:A,0),0),0)</f>
        <v>0</v>
      </c>
      <c r="K2871" s="444">
        <f t="shared" ca="1" si="156"/>
        <v>-176698106.79196677</v>
      </c>
      <c r="L2871" s="444">
        <f t="shared" ca="1" si="157"/>
        <v>-42584243736.863991</v>
      </c>
      <c r="M2871" s="460">
        <f t="shared" si="159"/>
        <v>0.05</v>
      </c>
      <c r="N2871" s="464">
        <f t="shared" si="160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58"/>
        <v>-42584243736.863991</v>
      </c>
      <c r="J2872" s="444">
        <f t="array" ref="J2872">IFERROR(INDEX('Retirement Calculator'!J:J,MATCH('Isaac 401k'!N2872,'Retirement Calculator'!A:A,0),0),0)</f>
        <v>0</v>
      </c>
      <c r="K2872" s="444">
        <f t="shared" ca="1" si="156"/>
        <v>-177434348.90359995</v>
      </c>
      <c r="L2872" s="444">
        <f t="shared" ca="1" si="157"/>
        <v>-42761678085.767593</v>
      </c>
      <c r="M2872" s="460">
        <f t="shared" si="159"/>
        <v>0.05</v>
      </c>
      <c r="N2872" s="464">
        <f t="shared" si="160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58"/>
        <v>-42761678085.767593</v>
      </c>
      <c r="J2873" s="444">
        <f t="array" ref="J2873">IFERROR(INDEX('Retirement Calculator'!J:J,MATCH('Isaac 401k'!N2873,'Retirement Calculator'!A:A,0),0),0)</f>
        <v>0</v>
      </c>
      <c r="K2873" s="444">
        <f t="shared" ca="1" si="156"/>
        <v>-178173658.6906983</v>
      </c>
      <c r="L2873" s="444">
        <f t="shared" ca="1" si="157"/>
        <v>-42939851744.45829</v>
      </c>
      <c r="M2873" s="460">
        <f t="shared" si="159"/>
        <v>0.05</v>
      </c>
      <c r="N2873" s="464">
        <f t="shared" si="160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58"/>
        <v>-42939851744.45829</v>
      </c>
      <c r="J2874" s="444">
        <f t="array" ref="J2874">IFERROR(INDEX('Retirement Calculator'!J:J,MATCH('Isaac 401k'!N2874,'Retirement Calculator'!A:A,0),0),0)</f>
        <v>0</v>
      </c>
      <c r="K2874" s="444">
        <f t="shared" ca="1" si="156"/>
        <v>-178916048.93524286</v>
      </c>
      <c r="L2874" s="444">
        <f t="shared" ca="1" si="157"/>
        <v>-43118767793.393532</v>
      </c>
      <c r="M2874" s="460">
        <f t="shared" si="159"/>
        <v>0.05</v>
      </c>
      <c r="N2874" s="464">
        <f t="shared" si="160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58"/>
        <v>-43118767793.393532</v>
      </c>
      <c r="J2875" s="444">
        <f t="array" ref="J2875">IFERROR(INDEX('Retirement Calculator'!J:J,MATCH('Isaac 401k'!N2875,'Retirement Calculator'!A:A,0),0),0)</f>
        <v>0</v>
      </c>
      <c r="K2875" s="444">
        <f t="shared" ca="1" si="156"/>
        <v>-179661532.47247306</v>
      </c>
      <c r="L2875" s="444">
        <f t="shared" ca="1" si="157"/>
        <v>-43298429325.866005</v>
      </c>
      <c r="M2875" s="460">
        <f t="shared" si="159"/>
        <v>0.05</v>
      </c>
      <c r="N2875" s="464">
        <f t="shared" si="160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58"/>
        <v>-43298429325.866005</v>
      </c>
      <c r="J2876" s="444">
        <f t="array" ref="J2876">IFERROR(INDEX('Retirement Calculator'!J:J,MATCH('Isaac 401k'!N2876,'Retirement Calculator'!A:A,0),0),0)</f>
        <v>0</v>
      </c>
      <c r="K2876" s="444">
        <f t="shared" ca="1" si="156"/>
        <v>-180410122.19110835</v>
      </c>
      <c r="L2876" s="444">
        <f t="shared" ca="1" si="157"/>
        <v>-43478839448.057114</v>
      </c>
      <c r="M2876" s="460">
        <f t="shared" si="159"/>
        <v>0.05</v>
      </c>
      <c r="N2876" s="464">
        <f t="shared" si="160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58"/>
        <v>-43478839448.057114</v>
      </c>
      <c r="J2877" s="444">
        <f t="array" ref="J2877">IFERROR(INDEX('Retirement Calculator'!J:J,MATCH('Isaac 401k'!N2877,'Retirement Calculator'!A:A,0),0),0)</f>
        <v>0</v>
      </c>
      <c r="K2877" s="444">
        <f t="shared" ca="1" si="156"/>
        <v>-181161831.0335713</v>
      </c>
      <c r="L2877" s="444">
        <f t="shared" ca="1" si="157"/>
        <v>-43660001279.090683</v>
      </c>
      <c r="M2877" s="460">
        <f t="shared" si="159"/>
        <v>0.05</v>
      </c>
      <c r="N2877" s="464">
        <f t="shared" si="160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58"/>
        <v>-43660001279.090683</v>
      </c>
      <c r="J2878" s="444">
        <f t="array" ref="J2878">IFERROR(INDEX('Retirement Calculator'!J:J,MATCH('Isaac 401k'!N2878,'Retirement Calculator'!A:A,0),0),0)</f>
        <v>0</v>
      </c>
      <c r="K2878" s="444">
        <f t="shared" ca="1" si="156"/>
        <v>-181916671.99621117</v>
      </c>
      <c r="L2878" s="444">
        <f t="shared" ca="1" si="157"/>
        <v>-43841917951.086891</v>
      </c>
      <c r="M2878" s="460">
        <f t="shared" si="159"/>
        <v>0.05</v>
      </c>
      <c r="N2878" s="464">
        <f t="shared" si="160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58"/>
        <v>-43841917951.086891</v>
      </c>
      <c r="J2879" s="444">
        <f t="array" ref="J2879">IFERROR(INDEX('Retirement Calculator'!J:J,MATCH('Isaac 401k'!N2879,'Retirement Calculator'!A:A,0),0),0)</f>
        <v>0</v>
      </c>
      <c r="K2879" s="444">
        <f t="shared" ca="1" si="156"/>
        <v>-182674658.1295287</v>
      </c>
      <c r="L2879" s="444">
        <f t="shared" ca="1" si="157"/>
        <v>-44024592609.216423</v>
      </c>
      <c r="M2879" s="460">
        <f t="shared" si="159"/>
        <v>0.05</v>
      </c>
      <c r="N2879" s="464">
        <f t="shared" si="160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58"/>
        <v>-44024592609.216423</v>
      </c>
      <c r="J2880" s="444">
        <f t="array" ref="J2880">IFERROR(INDEX('Retirement Calculator'!J:J,MATCH('Isaac 401k'!N2880,'Retirement Calculator'!A:A,0),0),0)</f>
        <v>0</v>
      </c>
      <c r="K2880" s="444">
        <f t="shared" ca="1" si="156"/>
        <v>-183435802.53840175</v>
      </c>
      <c r="L2880" s="444">
        <f t="shared" ca="1" si="157"/>
        <v>-44208028411.754822</v>
      </c>
      <c r="M2880" s="460">
        <f t="shared" si="159"/>
        <v>0.05</v>
      </c>
      <c r="N2880" s="464">
        <f t="shared" si="160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58"/>
        <v>-44208028411.754822</v>
      </c>
      <c r="J2881" s="444">
        <f t="array" ref="J2881">IFERROR(INDEX('Retirement Calculator'!J:J,MATCH('Isaac 401k'!N2881,'Retirement Calculator'!A:A,0),0),0)</f>
        <v>0</v>
      </c>
      <c r="K2881" s="444">
        <f t="shared" ca="1" si="156"/>
        <v>-184200118.38231176</v>
      </c>
      <c r="L2881" s="444">
        <f t="shared" ca="1" si="157"/>
        <v>-44392228530.137131</v>
      </c>
      <c r="M2881" s="460">
        <f t="shared" si="159"/>
        <v>0.05</v>
      </c>
      <c r="N2881" s="464">
        <f t="shared" si="160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58"/>
        <v>-44392228530.137131</v>
      </c>
      <c r="J2882" s="444">
        <f t="array" ref="J2882">IFERROR(INDEX('Retirement Calculator'!J:J,MATCH('Isaac 401k'!N2882,'Retirement Calculator'!A:A,0),0),0)</f>
        <v>0</v>
      </c>
      <c r="K2882" s="444">
        <f t="shared" ca="1" si="156"/>
        <v>-184967618.87557137</v>
      </c>
      <c r="L2882" s="444">
        <f t="shared" ca="1" si="157"/>
        <v>-44577196149.012703</v>
      </c>
      <c r="M2882" s="460">
        <f t="shared" si="159"/>
        <v>0.05</v>
      </c>
      <c r="N2882" s="464">
        <f t="shared" si="160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58"/>
        <v>-44577196149.012703</v>
      </c>
      <c r="J2883" s="444">
        <f t="array" ref="J2883">IFERROR(INDEX('Retirement Calculator'!J:J,MATCH('Isaac 401k'!N2883,'Retirement Calculator'!A:A,0),0),0)</f>
        <v>0</v>
      </c>
      <c r="K2883" s="444">
        <f t="shared" ca="1" si="156"/>
        <v>-185738317.28755292</v>
      </c>
      <c r="L2883" s="444">
        <f t="shared" ca="1" si="157"/>
        <v>-44762934466.300255</v>
      </c>
      <c r="M2883" s="460">
        <f t="shared" si="159"/>
        <v>0.05</v>
      </c>
      <c r="N2883" s="464">
        <f t="shared" si="160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58"/>
        <v>-44762934466.300255</v>
      </c>
      <c r="J2884" s="444">
        <f t="array" ref="J2884">IFERROR(INDEX('Retirement Calculator'!J:J,MATCH('Isaac 401k'!N2884,'Retirement Calculator'!A:A,0),0),0)</f>
        <v>0</v>
      </c>
      <c r="K2884" s="444">
        <f t="shared" ca="1" si="156"/>
        <v>-186512226.94291773</v>
      </c>
      <c r="L2884" s="444">
        <f t="shared" ca="1" si="157"/>
        <v>-44949446693.243172</v>
      </c>
      <c r="M2884" s="460">
        <f t="shared" si="159"/>
        <v>0.05</v>
      </c>
      <c r="N2884" s="464">
        <f t="shared" si="160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58"/>
        <v>-44949446693.243172</v>
      </c>
      <c r="J2885" s="444">
        <f t="array" ref="J2885">IFERROR(INDEX('Retirement Calculator'!J:J,MATCH('Isaac 401k'!N2885,'Retirement Calculator'!A:A,0),0),0)</f>
        <v>0</v>
      </c>
      <c r="K2885" s="444">
        <f t="shared" ca="1" si="156"/>
        <v>-187289361.22184655</v>
      </c>
      <c r="L2885" s="444">
        <f t="shared" ca="1" si="157"/>
        <v>-45136736054.465019</v>
      </c>
      <c r="M2885" s="460">
        <f t="shared" si="159"/>
        <v>0.05</v>
      </c>
      <c r="N2885" s="464">
        <f t="shared" si="160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58"/>
        <v>-45136736054.465019</v>
      </c>
      <c r="J2886" s="444">
        <f t="array" ref="J2886">IFERROR(INDEX('Retirement Calculator'!J:J,MATCH('Isaac 401k'!N2886,'Retirement Calculator'!A:A,0),0),0)</f>
        <v>0</v>
      </c>
      <c r="K2886" s="444">
        <f t="shared" ca="1" si="156"/>
        <v>-188069733.56027091</v>
      </c>
      <c r="L2886" s="444">
        <f t="shared" ca="1" si="157"/>
        <v>-45324805788.025291</v>
      </c>
      <c r="M2886" s="460">
        <f t="shared" si="159"/>
        <v>0.05</v>
      </c>
      <c r="N2886" s="464">
        <f t="shared" si="160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58"/>
        <v>-45324805788.025291</v>
      </c>
      <c r="J2887" s="444">
        <f t="array" ref="J2887">IFERROR(INDEX('Retirement Calculator'!J:J,MATCH('Isaac 401k'!N2887,'Retirement Calculator'!A:A,0),0),0)</f>
        <v>0</v>
      </c>
      <c r="K2887" s="444">
        <f t="shared" ca="1" si="156"/>
        <v>-188853357.45010537</v>
      </c>
      <c r="L2887" s="444">
        <f t="shared" ca="1" si="157"/>
        <v>-45513659145.475395</v>
      </c>
      <c r="M2887" s="460">
        <f t="shared" si="159"/>
        <v>0.05</v>
      </c>
      <c r="N2887" s="464">
        <f t="shared" si="160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58"/>
        <v>-45513659145.475395</v>
      </c>
      <c r="J2888" s="444">
        <f t="array" ref="J2888">IFERROR(INDEX('Retirement Calculator'!J:J,MATCH('Isaac 401k'!N2888,'Retirement Calculator'!A:A,0),0),0)</f>
        <v>0</v>
      </c>
      <c r="K2888" s="444">
        <f t="shared" ca="1" si="156"/>
        <v>-189640246.43948081</v>
      </c>
      <c r="L2888" s="444">
        <f t="shared" ca="1" si="157"/>
        <v>-45703299391.914879</v>
      </c>
      <c r="M2888" s="460">
        <f t="shared" si="159"/>
        <v>0.05</v>
      </c>
      <c r="N2888" s="464">
        <f t="shared" si="160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58"/>
        <v>-45703299391.914879</v>
      </c>
      <c r="J2889" s="444">
        <f t="array" ref="J2889">IFERROR(INDEX('Retirement Calculator'!J:J,MATCH('Isaac 401k'!N2889,'Retirement Calculator'!A:A,0),0),0)</f>
        <v>0</v>
      </c>
      <c r="K2889" s="444">
        <f t="shared" ca="1" si="156"/>
        <v>-190430414.13297865</v>
      </c>
      <c r="L2889" s="444">
        <f t="shared" ca="1" si="157"/>
        <v>-45893729806.047859</v>
      </c>
      <c r="M2889" s="460">
        <f t="shared" si="159"/>
        <v>0.05</v>
      </c>
      <c r="N2889" s="464">
        <f t="shared" si="160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58"/>
        <v>-45893729806.047859</v>
      </c>
      <c r="J2890" s="444">
        <f t="array" ref="J2890">IFERROR(INDEX('Retirement Calculator'!J:J,MATCH('Isaac 401k'!N2890,'Retirement Calculator'!A:A,0),0),0)</f>
        <v>0</v>
      </c>
      <c r="K2890" s="444">
        <f t="shared" ca="1" si="156"/>
        <v>-191223874.19186607</v>
      </c>
      <c r="L2890" s="444">
        <f t="shared" ca="1" si="157"/>
        <v>-46084953680.239723</v>
      </c>
      <c r="M2890" s="460">
        <f t="shared" si="159"/>
        <v>0.05</v>
      </c>
      <c r="N2890" s="464">
        <f t="shared" si="160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58"/>
        <v>-46084953680.239723</v>
      </c>
      <c r="J2891" s="444">
        <f t="array" ref="J2891">IFERROR(INDEX('Retirement Calculator'!J:J,MATCH('Isaac 401k'!N2891,'Retirement Calculator'!A:A,0),0),0)</f>
        <v>0</v>
      </c>
      <c r="K2891" s="444">
        <f t="shared" ca="1" si="156"/>
        <v>-192020640.33433217</v>
      </c>
      <c r="L2891" s="444">
        <f t="shared" ca="1" si="157"/>
        <v>-46276974320.574059</v>
      </c>
      <c r="M2891" s="460">
        <f t="shared" si="159"/>
        <v>0.05</v>
      </c>
      <c r="N2891" s="464">
        <f t="shared" si="160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58"/>
        <v>-46276974320.574059</v>
      </c>
      <c r="J2892" s="444">
        <f t="array" ref="J2892">IFERROR(INDEX('Retirement Calculator'!J:J,MATCH('Isaac 401k'!N2892,'Retirement Calculator'!A:A,0),0),0)</f>
        <v>0</v>
      </c>
      <c r="K2892" s="444">
        <f t="shared" ca="1" si="156"/>
        <v>-192820726.33572525</v>
      </c>
      <c r="L2892" s="444">
        <f t="shared" ca="1" si="157"/>
        <v>-46469795046.909782</v>
      </c>
      <c r="M2892" s="460">
        <f t="shared" si="159"/>
        <v>0.05</v>
      </c>
      <c r="N2892" s="464">
        <f t="shared" si="160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58"/>
        <v>-46469795046.909782</v>
      </c>
      <c r="J2893" s="444">
        <f t="array" ref="J2893">IFERROR(INDEX('Retirement Calculator'!J:J,MATCH('Isaac 401k'!N2893,'Retirement Calculator'!A:A,0),0),0)</f>
        <v>0</v>
      </c>
      <c r="K2893" s="444">
        <f t="shared" ca="1" si="156"/>
        <v>-193624146.02879077</v>
      </c>
      <c r="L2893" s="444">
        <f t="shared" ca="1" si="157"/>
        <v>-46663419192.938576</v>
      </c>
      <c r="M2893" s="460">
        <f t="shared" si="159"/>
        <v>0.05</v>
      </c>
      <c r="N2893" s="464">
        <f t="shared" si="160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58"/>
        <v>-46663419192.938576</v>
      </c>
      <c r="J2894" s="444">
        <f t="array" ref="J2894">IFERROR(INDEX('Retirement Calculator'!J:J,MATCH('Isaac 401k'!N2894,'Retirement Calculator'!A:A,0),0),0)</f>
        <v>0</v>
      </c>
      <c r="K2894" s="444">
        <f t="shared" ca="1" si="156"/>
        <v>-194430913.30391073</v>
      </c>
      <c r="L2894" s="444">
        <f t="shared" ca="1" si="157"/>
        <v>-46857850106.242485</v>
      </c>
      <c r="M2894" s="460">
        <f t="shared" si="159"/>
        <v>0.05</v>
      </c>
      <c r="N2894" s="464">
        <f t="shared" si="160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58"/>
        <v>-46857850106.242485</v>
      </c>
      <c r="J2895" s="444">
        <f t="array" ref="J2895">IFERROR(INDEX('Retirement Calculator'!J:J,MATCH('Isaac 401k'!N2895,'Retirement Calculator'!A:A,0),0),0)</f>
        <v>0</v>
      </c>
      <c r="K2895" s="444">
        <f t="shared" ca="1" si="156"/>
        <v>-195241042.10934368</v>
      </c>
      <c r="L2895" s="444">
        <f t="shared" ca="1" si="157"/>
        <v>-47053091148.35183</v>
      </c>
      <c r="M2895" s="460">
        <f t="shared" si="159"/>
        <v>0.05</v>
      </c>
      <c r="N2895" s="464">
        <f t="shared" si="160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58"/>
        <v>-47053091148.35183</v>
      </c>
      <c r="J2896" s="444">
        <f t="array" ref="J2896">IFERROR(INDEX('Retirement Calculator'!J:J,MATCH('Isaac 401k'!N2896,'Retirement Calculator'!A:A,0),0),0)</f>
        <v>0</v>
      </c>
      <c r="K2896" s="444">
        <f t="shared" ca="1" si="156"/>
        <v>-196054546.45146596</v>
      </c>
      <c r="L2896" s="444">
        <f t="shared" ca="1" si="157"/>
        <v>-47249145694.803299</v>
      </c>
      <c r="M2896" s="460">
        <f t="shared" si="159"/>
        <v>0.05</v>
      </c>
      <c r="N2896" s="464">
        <f t="shared" si="160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58"/>
        <v>-47249145694.803299</v>
      </c>
      <c r="J2897" s="444">
        <f t="array" ref="J2897">IFERROR(INDEX('Retirement Calculator'!J:J,MATCH('Isaac 401k'!N2897,'Retirement Calculator'!A:A,0),0),0)</f>
        <v>0</v>
      </c>
      <c r="K2897" s="444">
        <f t="shared" ca="1" si="156"/>
        <v>-196871440.39501375</v>
      </c>
      <c r="L2897" s="444">
        <f t="shared" ca="1" si="157"/>
        <v>-47446017135.198311</v>
      </c>
      <c r="M2897" s="460">
        <f t="shared" si="159"/>
        <v>0.05</v>
      </c>
      <c r="N2897" s="464">
        <f t="shared" si="160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58"/>
        <v>-47446017135.198311</v>
      </c>
      <c r="J2898" s="444">
        <f t="array" ref="J2898">IFERROR(INDEX('Retirement Calculator'!J:J,MATCH('Isaac 401k'!N2898,'Retirement Calculator'!A:A,0),0),0)</f>
        <v>0</v>
      </c>
      <c r="K2898" s="444">
        <f t="shared" ca="1" si="156"/>
        <v>-197691738.0633263</v>
      </c>
      <c r="L2898" s="444">
        <f t="shared" ca="1" si="157"/>
        <v>-47643708873.261635</v>
      </c>
      <c r="M2898" s="460">
        <f t="shared" si="159"/>
        <v>0.05</v>
      </c>
      <c r="N2898" s="464">
        <f t="shared" si="160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58"/>
        <v>-47643708873.261635</v>
      </c>
      <c r="J2899" s="444">
        <f t="array" ref="J2899">IFERROR(INDEX('Retirement Calculator'!J:J,MATCH('Isaac 401k'!N2899,'Retirement Calculator'!A:A,0),0),0)</f>
        <v>0</v>
      </c>
      <c r="K2899" s="444">
        <f t="shared" ca="1" si="156"/>
        <v>-198515453.63859016</v>
      </c>
      <c r="L2899" s="444">
        <f t="shared" ca="1" si="157"/>
        <v>-47842224326.900223</v>
      </c>
      <c r="M2899" s="460">
        <f t="shared" si="159"/>
        <v>0.05</v>
      </c>
      <c r="N2899" s="464">
        <f t="shared" si="160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58"/>
        <v>-47842224326.900223</v>
      </c>
      <c r="J2900" s="444">
        <f t="array" ref="J2900">IFERROR(INDEX('Retirement Calculator'!J:J,MATCH('Isaac 401k'!N2900,'Retirement Calculator'!A:A,0),0),0)</f>
        <v>0</v>
      </c>
      <c r="K2900" s="444">
        <f t="shared" ca="1" si="156"/>
        <v>-199342601.36208427</v>
      </c>
      <c r="L2900" s="444">
        <f t="shared" ca="1" si="157"/>
        <v>-48041566928.262306</v>
      </c>
      <c r="M2900" s="460">
        <f t="shared" si="159"/>
        <v>0.05</v>
      </c>
      <c r="N2900" s="464">
        <f t="shared" si="160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58"/>
        <v>-48041566928.262306</v>
      </c>
      <c r="J2901" s="444">
        <f t="array" ref="J2901">IFERROR(INDEX('Retirement Calculator'!J:J,MATCH('Isaac 401k'!N2901,'Retirement Calculator'!A:A,0),0),0)</f>
        <v>0</v>
      </c>
      <c r="K2901" s="444">
        <f t="shared" ca="1" si="156"/>
        <v>-200173195.53442627</v>
      </c>
      <c r="L2901" s="444">
        <f t="shared" ca="1" si="157"/>
        <v>-48241740123.79673</v>
      </c>
      <c r="M2901" s="460">
        <f t="shared" si="159"/>
        <v>0.05</v>
      </c>
      <c r="N2901" s="464">
        <f t="shared" si="160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58"/>
        <v>-48241740123.79673</v>
      </c>
      <c r="J2902" s="444">
        <f t="array" ref="J2902">IFERROR(INDEX('Retirement Calculator'!J:J,MATCH('Isaac 401k'!N2902,'Retirement Calculator'!A:A,0),0),0)</f>
        <v>0</v>
      </c>
      <c r="K2902" s="444">
        <f t="shared" ca="1" si="156"/>
        <v>-201007250.5158197</v>
      </c>
      <c r="L2902" s="444">
        <f t="shared" ca="1" si="157"/>
        <v>-48442747374.312553</v>
      </c>
      <c r="M2902" s="460">
        <f t="shared" si="159"/>
        <v>0.05</v>
      </c>
      <c r="N2902" s="464">
        <f t="shared" si="160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58"/>
        <v>-48442747374.312553</v>
      </c>
      <c r="J2903" s="444">
        <f t="array" ref="J2903">IFERROR(INDEX('Retirement Calculator'!J:J,MATCH('Isaac 401k'!N2903,'Retirement Calculator'!A:A,0),0),0)</f>
        <v>0</v>
      </c>
      <c r="K2903" s="444">
        <f t="shared" ca="1" si="156"/>
        <v>-201844780.7263023</v>
      </c>
      <c r="L2903" s="444">
        <f t="shared" ca="1" si="157"/>
        <v>-48644592155.038857</v>
      </c>
      <c r="M2903" s="460">
        <f t="shared" si="159"/>
        <v>0.05</v>
      </c>
      <c r="N2903" s="464">
        <f t="shared" si="160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58"/>
        <v>-48644592155.038857</v>
      </c>
      <c r="J2904" s="444">
        <f t="array" ref="J2904">IFERROR(INDEX('Retirement Calculator'!J:J,MATCH('Isaac 401k'!N2904,'Retirement Calculator'!A:A,0),0),0)</f>
        <v>0</v>
      </c>
      <c r="K2904" s="444">
        <f t="shared" ca="1" si="156"/>
        <v>-202685800.64599523</v>
      </c>
      <c r="L2904" s="444">
        <f t="shared" ca="1" si="157"/>
        <v>-48847277955.684853</v>
      </c>
      <c r="M2904" s="460">
        <f t="shared" si="159"/>
        <v>0.05</v>
      </c>
      <c r="N2904" s="464">
        <f t="shared" si="160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58"/>
        <v>-48847277955.684853</v>
      </c>
      <c r="J2905" s="444">
        <f t="array" ref="J2905">IFERROR(INDEX('Retirement Calculator'!J:J,MATCH('Isaac 401k'!N2905,'Retirement Calculator'!A:A,0),0),0)</f>
        <v>0</v>
      </c>
      <c r="K2905" s="444">
        <f t="shared" ca="1" si="156"/>
        <v>-203530324.81535354</v>
      </c>
      <c r="L2905" s="444">
        <f t="shared" ca="1" si="157"/>
        <v>-49050808280.500206</v>
      </c>
      <c r="M2905" s="460">
        <f t="shared" si="159"/>
        <v>0.05</v>
      </c>
      <c r="N2905" s="464">
        <f t="shared" si="160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58"/>
        <v>-49050808280.500206</v>
      </c>
      <c r="J2906" s="444">
        <f t="array" ref="J2906">IFERROR(INDEX('Retirement Calculator'!J:J,MATCH('Isaac 401k'!N2906,'Retirement Calculator'!A:A,0),0),0)</f>
        <v>0</v>
      </c>
      <c r="K2906" s="444">
        <f t="shared" ca="1" si="156"/>
        <v>-204378367.83541751</v>
      </c>
      <c r="L2906" s="444">
        <f t="shared" ca="1" si="157"/>
        <v>-49255186648.335625</v>
      </c>
      <c r="M2906" s="460">
        <f t="shared" si="159"/>
        <v>0.05</v>
      </c>
      <c r="N2906" s="464">
        <f t="shared" si="160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58"/>
        <v>-49255186648.335625</v>
      </c>
      <c r="J2907" s="444">
        <f t="array" ref="J2907">IFERROR(INDEX('Retirement Calculator'!J:J,MATCH('Isaac 401k'!N2907,'Retirement Calculator'!A:A,0),0),0)</f>
        <v>0</v>
      </c>
      <c r="K2907" s="444">
        <f t="shared" ca="1" si="156"/>
        <v>-205229944.36806509</v>
      </c>
      <c r="L2907" s="444">
        <f t="shared" ca="1" si="157"/>
        <v>-49460416592.70369</v>
      </c>
      <c r="M2907" s="460">
        <f t="shared" si="159"/>
        <v>0.05</v>
      </c>
      <c r="N2907" s="464">
        <f t="shared" si="160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58"/>
        <v>-49460416592.70369</v>
      </c>
      <c r="J2908" s="444">
        <f t="array" ref="J2908">IFERROR(INDEX('Retirement Calculator'!J:J,MATCH('Isaac 401k'!N2908,'Retirement Calculator'!A:A,0),0),0)</f>
        <v>0</v>
      </c>
      <c r="K2908" s="444">
        <f t="shared" ca="1" si="156"/>
        <v>-206085069.13626537</v>
      </c>
      <c r="L2908" s="444">
        <f t="shared" ca="1" si="157"/>
        <v>-49666501661.839958</v>
      </c>
      <c r="M2908" s="460">
        <f t="shared" si="159"/>
        <v>0.05</v>
      </c>
      <c r="N2908" s="464">
        <f t="shared" si="160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58"/>
        <v>-49666501661.839958</v>
      </c>
      <c r="J2909" s="444">
        <f t="array" ref="J2909">IFERROR(INDEX('Retirement Calculator'!J:J,MATCH('Isaac 401k'!N2909,'Retirement Calculator'!A:A,0),0),0)</f>
        <v>0</v>
      </c>
      <c r="K2909" s="444">
        <f t="shared" ca="1" si="156"/>
        <v>-206943756.92433316</v>
      </c>
      <c r="L2909" s="444">
        <f t="shared" ca="1" si="157"/>
        <v>-49873445418.76429</v>
      </c>
      <c r="M2909" s="460">
        <f t="shared" si="159"/>
        <v>0.05</v>
      </c>
      <c r="N2909" s="464">
        <f t="shared" si="160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58"/>
        <v>-49873445418.76429</v>
      </c>
      <c r="J2910" s="444">
        <f t="array" ref="J2910">IFERROR(INDEX('Retirement Calculator'!J:J,MATCH('Isaac 401k'!N2910,'Retirement Calculator'!A:A,0),0),0)</f>
        <v>0</v>
      </c>
      <c r="K2910" s="444">
        <f t="shared" ca="1" si="156"/>
        <v>-207806022.57818455</v>
      </c>
      <c r="L2910" s="444">
        <f t="shared" ca="1" si="157"/>
        <v>-50081251441.342476</v>
      </c>
      <c r="M2910" s="460">
        <f t="shared" si="159"/>
        <v>0.05</v>
      </c>
      <c r="N2910" s="464">
        <f t="shared" si="160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58"/>
        <v>-50081251441.342476</v>
      </c>
      <c r="J2911" s="444">
        <f t="array" ref="J2911">IFERROR(INDEX('Retirement Calculator'!J:J,MATCH('Isaac 401k'!N2911,'Retirement Calculator'!A:A,0),0),0)</f>
        <v>0</v>
      </c>
      <c r="K2911" s="444">
        <f t="shared" ca="1" si="156"/>
        <v>-208671881.00559366</v>
      </c>
      <c r="L2911" s="444">
        <f t="shared" ca="1" si="157"/>
        <v>-50289923322.348068</v>
      </c>
      <c r="M2911" s="460">
        <f t="shared" si="159"/>
        <v>0.05</v>
      </c>
      <c r="N2911" s="464">
        <f t="shared" si="160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58"/>
        <v>-50289923322.348068</v>
      </c>
      <c r="J2912" s="444">
        <f t="array" ref="J2912">IFERROR(INDEX('Retirement Calculator'!J:J,MATCH('Isaac 401k'!N2912,'Retirement Calculator'!A:A,0),0),0)</f>
        <v>0</v>
      </c>
      <c r="K2912" s="444">
        <f t="shared" ca="1" si="156"/>
        <v>-209541347.17645028</v>
      </c>
      <c r="L2912" s="444">
        <f t="shared" ca="1" si="157"/>
        <v>-50499464669.524521</v>
      </c>
      <c r="M2912" s="460">
        <f t="shared" si="159"/>
        <v>0.05</v>
      </c>
      <c r="N2912" s="464">
        <f t="shared" si="160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58"/>
        <v>-50499464669.524521</v>
      </c>
      <c r="J2913" s="444">
        <f t="array" ref="J2913">IFERROR(INDEX('Retirement Calculator'!J:J,MATCH('Isaac 401k'!N2913,'Retirement Calculator'!A:A,0),0),0)</f>
        <v>0</v>
      </c>
      <c r="K2913" s="444">
        <f t="shared" ca="1" si="156"/>
        <v>-210414436.12301883</v>
      </c>
      <c r="L2913" s="444">
        <f t="shared" ca="1" si="157"/>
        <v>-50709879105.647537</v>
      </c>
      <c r="M2913" s="460">
        <f t="shared" si="159"/>
        <v>0.05</v>
      </c>
      <c r="N2913" s="464">
        <f t="shared" si="160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58"/>
        <v>-50709879105.647537</v>
      </c>
      <c r="J2914" s="444">
        <f t="array" ref="J2914">IFERROR(INDEX('Retirement Calculator'!J:J,MATCH('Isaac 401k'!N2914,'Retirement Calculator'!A:A,0),0),0)</f>
        <v>0</v>
      </c>
      <c r="K2914" s="444">
        <f t="shared" ca="1" si="156"/>
        <v>-211291162.94019806</v>
      </c>
      <c r="L2914" s="444">
        <f t="shared" ca="1" si="157"/>
        <v>-50921170268.587738</v>
      </c>
      <c r="M2914" s="460">
        <f t="shared" si="159"/>
        <v>0.05</v>
      </c>
      <c r="N2914" s="464">
        <f t="shared" si="160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58"/>
        <v>-50921170268.587738</v>
      </c>
      <c r="J2915" s="444">
        <f t="array" ref="J2915">IFERROR(INDEX('Retirement Calculator'!J:J,MATCH('Isaac 401k'!N2915,'Retirement Calculator'!A:A,0),0),0)</f>
        <v>0</v>
      </c>
      <c r="K2915" s="444">
        <f t="shared" ca="1" si="156"/>
        <v>-212171542.78578225</v>
      </c>
      <c r="L2915" s="444">
        <f t="shared" ca="1" si="157"/>
        <v>-51133341811.37352</v>
      </c>
      <c r="M2915" s="460">
        <f t="shared" si="159"/>
        <v>0.05</v>
      </c>
      <c r="N2915" s="464">
        <f t="shared" si="160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58"/>
        <v>-51133341811.37352</v>
      </c>
      <c r="J2916" s="444">
        <f t="array" ref="J2916">IFERROR(INDEX('Retirement Calculator'!J:J,MATCH('Isaac 401k'!N2916,'Retirement Calculator'!A:A,0),0),0)</f>
        <v>0</v>
      </c>
      <c r="K2916" s="444">
        <f t="shared" ca="1" si="156"/>
        <v>-213055590.880723</v>
      </c>
      <c r="L2916" s="444">
        <f t="shared" ca="1" si="157"/>
        <v>-51346397402.254242</v>
      </c>
      <c r="M2916" s="460">
        <f t="shared" si="159"/>
        <v>0.05</v>
      </c>
      <c r="N2916" s="464">
        <f t="shared" si="160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58"/>
        <v>-51346397402.254242</v>
      </c>
      <c r="J2917" s="444">
        <f t="array" ref="J2917">IFERROR(INDEX('Retirement Calculator'!J:J,MATCH('Isaac 401k'!N2917,'Retirement Calculator'!A:A,0),0),0)</f>
        <v>0</v>
      </c>
      <c r="K2917" s="444">
        <f t="shared" ca="1" si="156"/>
        <v>-213943322.50939268</v>
      </c>
      <c r="L2917" s="444">
        <f t="shared" ca="1" si="157"/>
        <v>-51560340724.763634</v>
      </c>
      <c r="M2917" s="460">
        <f t="shared" si="159"/>
        <v>0.05</v>
      </c>
      <c r="N2917" s="464">
        <f t="shared" si="160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58"/>
        <v>-51560340724.763634</v>
      </c>
      <c r="J2918" s="444">
        <f t="array" ref="J2918">IFERROR(INDEX('Retirement Calculator'!J:J,MATCH('Isaac 401k'!N2918,'Retirement Calculator'!A:A,0),0),0)</f>
        <v>0</v>
      </c>
      <c r="K2918" s="444">
        <f t="shared" ca="1" si="156"/>
        <v>-214834753.01984847</v>
      </c>
      <c r="L2918" s="444">
        <f t="shared" ca="1" si="157"/>
        <v>-51775175477.783485</v>
      </c>
      <c r="M2918" s="460">
        <f t="shared" si="159"/>
        <v>0.05</v>
      </c>
      <c r="N2918" s="464">
        <f t="shared" si="160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58"/>
        <v>-51775175477.783485</v>
      </c>
      <c r="J2919" s="444">
        <f t="array" ref="J2919">IFERROR(INDEX('Retirement Calculator'!J:J,MATCH('Isaac 401k'!N2919,'Retirement Calculator'!A:A,0),0),0)</f>
        <v>0</v>
      </c>
      <c r="K2919" s="444">
        <f t="shared" ca="1" si="156"/>
        <v>-215729897.82409784</v>
      </c>
      <c r="L2919" s="444">
        <f t="shared" ca="1" si="157"/>
        <v>-51990905375.607582</v>
      </c>
      <c r="M2919" s="460">
        <f t="shared" si="159"/>
        <v>0.05</v>
      </c>
      <c r="N2919" s="464">
        <f t="shared" si="160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58"/>
        <v>-51990905375.607582</v>
      </c>
      <c r="J2920" s="444">
        <f t="array" ref="J2920">IFERROR(INDEX('Retirement Calculator'!J:J,MATCH('Isaac 401k'!N2920,'Retirement Calculator'!A:A,0),0),0)</f>
        <v>0</v>
      </c>
      <c r="K2920" s="444">
        <f t="shared" ca="1" si="156"/>
        <v>-216628772.39836493</v>
      </c>
      <c r="L2920" s="444">
        <f t="shared" ca="1" si="157"/>
        <v>-52207534148.005943</v>
      </c>
      <c r="M2920" s="460">
        <f t="shared" si="159"/>
        <v>0.05</v>
      </c>
      <c r="N2920" s="464">
        <f t="shared" si="160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58"/>
        <v>-52207534148.005943</v>
      </c>
      <c r="J2921" s="444">
        <f t="array" ref="J2921">IFERROR(INDEX('Retirement Calculator'!J:J,MATCH('Isaac 401k'!N2921,'Retirement Calculator'!A:A,0),0),0)</f>
        <v>0</v>
      </c>
      <c r="K2921" s="444">
        <f t="shared" ca="1" si="156"/>
        <v>-217531392.2833581</v>
      </c>
      <c r="L2921" s="444">
        <f t="shared" ca="1" si="157"/>
        <v>-52425065540.289299</v>
      </c>
      <c r="M2921" s="460">
        <f t="shared" si="159"/>
        <v>0.05</v>
      </c>
      <c r="N2921" s="464">
        <f t="shared" si="160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58"/>
        <v>-52425065540.289299</v>
      </c>
      <c r="J2922" s="444">
        <f t="array" ref="J2922">IFERROR(INDEX('Retirement Calculator'!J:J,MATCH('Isaac 401k'!N2922,'Retirement Calculator'!A:A,0),0),0)</f>
        <v>0</v>
      </c>
      <c r="K2922" s="444">
        <f t="shared" ca="1" si="156"/>
        <v>-218437773.08453873</v>
      </c>
      <c r="L2922" s="444">
        <f t="shared" ca="1" si="157"/>
        <v>-52643503313.37384</v>
      </c>
      <c r="M2922" s="460">
        <f t="shared" si="159"/>
        <v>0.05</v>
      </c>
      <c r="N2922" s="464">
        <f t="shared" si="160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58"/>
        <v>-52643503313.37384</v>
      </c>
      <c r="J2923" s="444">
        <f t="array" ref="J2923">IFERROR(INDEX('Retirement Calculator'!J:J,MATCH('Isaac 401k'!N2923,'Retirement Calculator'!A:A,0),0),0)</f>
        <v>0</v>
      </c>
      <c r="K2923" s="444">
        <f t="shared" ca="1" si="156"/>
        <v>-219347930.47239101</v>
      </c>
      <c r="L2923" s="444">
        <f t="shared" ca="1" si="157"/>
        <v>-52862851243.84623</v>
      </c>
      <c r="M2923" s="460">
        <f t="shared" si="159"/>
        <v>0.05</v>
      </c>
      <c r="N2923" s="464">
        <f t="shared" si="160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58"/>
        <v>-52862851243.84623</v>
      </c>
      <c r="J2924" s="444">
        <f t="array" ref="J2924">IFERROR(INDEX('Retirement Calculator'!J:J,MATCH('Isaac 401k'!N2924,'Retirement Calculator'!A:A,0),0),0)</f>
        <v>0</v>
      </c>
      <c r="K2924" s="444">
        <f t="shared" ca="1" si="156"/>
        <v>-220261880.18269262</v>
      </c>
      <c r="L2924" s="444">
        <f t="shared" ca="1" si="157"/>
        <v>-53083113124.028923</v>
      </c>
      <c r="M2924" s="460">
        <f t="shared" si="159"/>
        <v>0.05</v>
      </c>
      <c r="N2924" s="464">
        <f t="shared" si="160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58"/>
        <v>-53083113124.028923</v>
      </c>
      <c r="J2925" s="444">
        <f t="array" ref="J2925">IFERROR(INDEX('Retirement Calculator'!J:J,MATCH('Isaac 401k'!N2925,'Retirement Calculator'!A:A,0),0),0)</f>
        <v>0</v>
      </c>
      <c r="K2925" s="444">
        <f t="shared" ca="1" si="156"/>
        <v>-221179638.01678717</v>
      </c>
      <c r="L2925" s="444">
        <f t="shared" ca="1" si="157"/>
        <v>-53304292762.045708</v>
      </c>
      <c r="M2925" s="460">
        <f t="shared" si="159"/>
        <v>0.05</v>
      </c>
      <c r="N2925" s="464">
        <f t="shared" si="160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58"/>
        <v>-53304292762.045708</v>
      </c>
      <c r="J2926" s="444">
        <f t="array" ref="J2926">IFERROR(INDEX('Retirement Calculator'!J:J,MATCH('Isaac 401k'!N2926,'Retirement Calculator'!A:A,0),0),0)</f>
        <v>0</v>
      </c>
      <c r="K2926" s="444">
        <f t="shared" ca="1" si="156"/>
        <v>-222101219.84185711</v>
      </c>
      <c r="L2926" s="444">
        <f t="shared" ca="1" si="157"/>
        <v>-53526393981.887566</v>
      </c>
      <c r="M2926" s="460">
        <f t="shared" si="159"/>
        <v>0.05</v>
      </c>
      <c r="N2926" s="464">
        <f t="shared" si="160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58"/>
        <v>-53526393981.887566</v>
      </c>
      <c r="J2927" s="444">
        <f t="array" ref="J2927">IFERROR(INDEX('Retirement Calculator'!J:J,MATCH('Isaac 401k'!N2927,'Retirement Calculator'!A:A,0),0),0)</f>
        <v>0</v>
      </c>
      <c r="K2927" s="444">
        <f t="shared" ca="1" si="156"/>
        <v>-223026641.59119818</v>
      </c>
      <c r="L2927" s="444">
        <f t="shared" ca="1" si="157"/>
        <v>-53749420623.478767</v>
      </c>
      <c r="M2927" s="460">
        <f t="shared" si="159"/>
        <v>0.05</v>
      </c>
      <c r="N2927" s="464">
        <f t="shared" si="160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58"/>
        <v>-53749420623.478767</v>
      </c>
      <c r="J2928" s="444">
        <f t="array" ref="J2928">IFERROR(INDEX('Retirement Calculator'!J:J,MATCH('Isaac 401k'!N2928,'Retirement Calculator'!A:A,0),0),0)</f>
        <v>0</v>
      </c>
      <c r="K2928" s="444">
        <f t="shared" ca="1" si="156"/>
        <v>-223955919.26449487</v>
      </c>
      <c r="L2928" s="444">
        <f t="shared" ca="1" si="157"/>
        <v>-53973376542.743263</v>
      </c>
      <c r="M2928" s="460">
        <f t="shared" si="159"/>
        <v>0.05</v>
      </c>
      <c r="N2928" s="464">
        <f t="shared" si="160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58"/>
        <v>-53973376542.743263</v>
      </c>
      <c r="J2929" s="444">
        <f t="array" ref="J2929">IFERROR(INDEX('Retirement Calculator'!J:J,MATCH('Isaac 401k'!N2929,'Retirement Calculator'!A:A,0),0),0)</f>
        <v>0</v>
      </c>
      <c r="K2929" s="444">
        <f t="shared" ca="1" si="156"/>
        <v>-224889068.92809692</v>
      </c>
      <c r="L2929" s="444">
        <f t="shared" ca="1" si="157"/>
        <v>-54198265611.671364</v>
      </c>
      <c r="M2929" s="460">
        <f t="shared" si="159"/>
        <v>0.05</v>
      </c>
      <c r="N2929" s="464">
        <f t="shared" si="160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58"/>
        <v>-54198265611.671364</v>
      </c>
      <c r="J2930" s="444">
        <f t="array" ref="J2930">IFERROR(INDEX('Retirement Calculator'!J:J,MATCH('Isaac 401k'!N2930,'Retirement Calculator'!A:A,0),0),0)</f>
        <v>0</v>
      </c>
      <c r="K2930" s="444">
        <f t="shared" ca="1" si="156"/>
        <v>-225826106.71529734</v>
      </c>
      <c r="L2930" s="444">
        <f t="shared" ca="1" si="157"/>
        <v>-54424091718.386658</v>
      </c>
      <c r="M2930" s="460">
        <f t="shared" si="159"/>
        <v>0.05</v>
      </c>
      <c r="N2930" s="464">
        <f t="shared" si="160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58"/>
        <v>-54424091718.386658</v>
      </c>
      <c r="J2931" s="444">
        <f t="array" ref="J2931">IFERROR(INDEX('Retirement Calculator'!J:J,MATCH('Isaac 401k'!N2931,'Retirement Calculator'!A:A,0),0),0)</f>
        <v>0</v>
      </c>
      <c r="K2931" s="444">
        <f t="shared" ca="1" si="156"/>
        <v>-226767048.82661107</v>
      </c>
      <c r="L2931" s="444">
        <f t="shared" ca="1" si="157"/>
        <v>-54650858767.213272</v>
      </c>
      <c r="M2931" s="460">
        <f t="shared" si="159"/>
        <v>0.05</v>
      </c>
      <c r="N2931" s="464">
        <f t="shared" si="160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58"/>
        <v>-54650858767.213272</v>
      </c>
      <c r="J2932" s="444">
        <f t="array" ref="J2932">IFERROR(INDEX('Retirement Calculator'!J:J,MATCH('Isaac 401k'!N2932,'Retirement Calculator'!A:A,0),0),0)</f>
        <v>0</v>
      </c>
      <c r="K2932" s="444">
        <f t="shared" ca="1" si="156"/>
        <v>-227711911.53005528</v>
      </c>
      <c r="L2932" s="444">
        <f t="shared" ca="1" si="157"/>
        <v>-54878570678.743324</v>
      </c>
      <c r="M2932" s="460">
        <f t="shared" si="159"/>
        <v>0.05</v>
      </c>
      <c r="N2932" s="464">
        <f t="shared" si="160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58"/>
        <v>-54878570678.743324</v>
      </c>
      <c r="J2933" s="444">
        <f t="array" ref="J2933">IFERROR(INDEX('Retirement Calculator'!J:J,MATCH('Isaac 401k'!N2933,'Retirement Calculator'!A:A,0),0),0)</f>
        <v>0</v>
      </c>
      <c r="K2933" s="444">
        <f t="shared" ca="1" si="156"/>
        <v>-228660711.16143051</v>
      </c>
      <c r="L2933" s="444">
        <f t="shared" ca="1" si="157"/>
        <v>-55107231389.904755</v>
      </c>
      <c r="M2933" s="460">
        <f t="shared" si="159"/>
        <v>0.05</v>
      </c>
      <c r="N2933" s="464">
        <f t="shared" si="160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58"/>
        <v>-55107231389.904755</v>
      </c>
      <c r="J2934" s="444">
        <f t="array" ref="J2934">IFERROR(INDEX('Retirement Calculator'!J:J,MATCH('Isaac 401k'!N2934,'Retirement Calculator'!A:A,0),0),0)</f>
        <v>0</v>
      </c>
      <c r="K2934" s="444">
        <f t="shared" ca="1" si="156"/>
        <v>-229613464.12460312</v>
      </c>
      <c r="L2934" s="444">
        <f t="shared" ca="1" si="157"/>
        <v>-55336844854.029358</v>
      </c>
      <c r="M2934" s="460">
        <f t="shared" si="159"/>
        <v>0.05</v>
      </c>
      <c r="N2934" s="464">
        <f t="shared" si="160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58"/>
        <v>-55336844854.029358</v>
      </c>
      <c r="J2935" s="444">
        <f t="array" ref="J2935">IFERROR(INDEX('Retirement Calculator'!J:J,MATCH('Isaac 401k'!N2935,'Retirement Calculator'!A:A,0),0),0)</f>
        <v>0</v>
      </c>
      <c r="K2935" s="444">
        <f t="shared" ca="1" si="156"/>
        <v>-230570186.89178899</v>
      </c>
      <c r="L2935" s="444">
        <f t="shared" ca="1" si="157"/>
        <v>-55567415040.92115</v>
      </c>
      <c r="M2935" s="460">
        <f t="shared" si="159"/>
        <v>0.05</v>
      </c>
      <c r="N2935" s="464">
        <f t="shared" si="160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58"/>
        <v>-55567415040.92115</v>
      </c>
      <c r="J2936" s="444">
        <f t="array" ref="J2936">IFERROR(INDEX('Retirement Calculator'!J:J,MATCH('Isaac 401k'!N2936,'Retirement Calculator'!A:A,0),0),0)</f>
        <v>0</v>
      </c>
      <c r="K2936" s="444">
        <f t="shared" ca="1" si="156"/>
        <v>-231530896.00383812</v>
      </c>
      <c r="L2936" s="444">
        <f t="shared" ca="1" si="157"/>
        <v>-55798945936.924988</v>
      </c>
      <c r="M2936" s="460">
        <f t="shared" si="159"/>
        <v>0.05</v>
      </c>
      <c r="N2936" s="464">
        <f t="shared" si="160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58"/>
        <v>-55798945936.924988</v>
      </c>
      <c r="J2937" s="444">
        <f t="array" ref="J2937">IFERROR(INDEX('Retirement Calculator'!J:J,MATCH('Isaac 401k'!N2937,'Retirement Calculator'!A:A,0),0),0)</f>
        <v>0</v>
      </c>
      <c r="K2937" s="444">
        <f t="shared" ca="1" si="156"/>
        <v>-232495608.07052079</v>
      </c>
      <c r="L2937" s="444">
        <f t="shared" ca="1" si="157"/>
        <v>-56031441544.995506</v>
      </c>
      <c r="M2937" s="460">
        <f t="shared" si="159"/>
        <v>0.05</v>
      </c>
      <c r="N2937" s="464">
        <f t="shared" si="160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58"/>
        <v>-56031441544.995506</v>
      </c>
      <c r="J2938" s="444">
        <f t="array" ref="J2938">IFERROR(INDEX('Retirement Calculator'!J:J,MATCH('Isaac 401k'!N2938,'Retirement Calculator'!A:A,0),0),0)</f>
        <v>0</v>
      </c>
      <c r="K2938" s="444">
        <f t="shared" ca="1" si="156"/>
        <v>-233464339.7708146</v>
      </c>
      <c r="L2938" s="444">
        <f t="shared" ca="1" si="157"/>
        <v>-56264905884.766319</v>
      </c>
      <c r="M2938" s="460">
        <f t="shared" si="159"/>
        <v>0.05</v>
      </c>
      <c r="N2938" s="464">
        <f t="shared" si="160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58"/>
        <v>-56264905884.766319</v>
      </c>
      <c r="J2939" s="444">
        <f t="array" ref="J2939">IFERROR(INDEX('Retirement Calculator'!J:J,MATCH('Isaac 401k'!N2939,'Retirement Calculator'!A:A,0),0),0)</f>
        <v>0</v>
      </c>
      <c r="K2939" s="444">
        <f t="shared" ca="1" si="156"/>
        <v>-234437107.85319299</v>
      </c>
      <c r="L2939" s="444">
        <f t="shared" ca="1" si="157"/>
        <v>-56499342992.619514</v>
      </c>
      <c r="M2939" s="460">
        <f t="shared" si="159"/>
        <v>0.05</v>
      </c>
      <c r="N2939" s="464">
        <f t="shared" si="160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58"/>
        <v>-56499342992.619514</v>
      </c>
      <c r="J2940" s="444">
        <f t="array" ref="J2940">IFERROR(INDEX('Retirement Calculator'!J:J,MATCH('Isaac 401k'!N2940,'Retirement Calculator'!A:A,0),0),0)</f>
        <v>0</v>
      </c>
      <c r="K2940" s="444">
        <f t="shared" ca="1" si="156"/>
        <v>-235413929.13591459</v>
      </c>
      <c r="L2940" s="444">
        <f t="shared" ca="1" si="157"/>
        <v>-56734756921.755432</v>
      </c>
      <c r="M2940" s="460">
        <f t="shared" si="159"/>
        <v>0.05</v>
      </c>
      <c r="N2940" s="464">
        <f t="shared" si="160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58"/>
        <v>-56734756921.755432</v>
      </c>
      <c r="J2941" s="444">
        <f t="array" ref="J2941">IFERROR(INDEX('Retirement Calculator'!J:J,MATCH('Isaac 401k'!N2941,'Retirement Calculator'!A:A,0),0),0)</f>
        <v>0</v>
      </c>
      <c r="K2941" s="444">
        <f t="shared" ca="1" si="156"/>
        <v>-236394820.50731429</v>
      </c>
      <c r="L2941" s="444">
        <f t="shared" ca="1" si="157"/>
        <v>-56971151742.262749</v>
      </c>
      <c r="M2941" s="460">
        <f t="shared" si="159"/>
        <v>0.05</v>
      </c>
      <c r="N2941" s="464">
        <f t="shared" si="160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58"/>
        <v>-56971151742.262749</v>
      </c>
      <c r="J2942" s="444">
        <f t="array" ref="J2942">IFERROR(INDEX('Retirement Calculator'!J:J,MATCH('Isaac 401k'!N2942,'Retirement Calculator'!A:A,0),0),0)</f>
        <v>0</v>
      </c>
      <c r="K2942" s="444">
        <f t="shared" ca="1" si="156"/>
        <v>-237379798.9260948</v>
      </c>
      <c r="L2942" s="444">
        <f t="shared" ca="1" si="157"/>
        <v>-57208531541.188843</v>
      </c>
      <c r="M2942" s="460">
        <f t="shared" si="159"/>
        <v>0.05</v>
      </c>
      <c r="N2942" s="464">
        <f t="shared" si="160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58"/>
        <v>-57208531541.188843</v>
      </c>
      <c r="J2943" s="444">
        <f t="array" ref="J2943">IFERROR(INDEX('Retirement Calculator'!J:J,MATCH('Isaac 401k'!N2943,'Retirement Calculator'!A:A,0),0),0)</f>
        <v>0</v>
      </c>
      <c r="K2943" s="444">
        <f t="shared" ca="1" si="156"/>
        <v>-238368881.42162016</v>
      </c>
      <c r="L2943" s="444">
        <f t="shared" ca="1" si="157"/>
        <v>-57446900422.610466</v>
      </c>
      <c r="M2943" s="460">
        <f t="shared" si="159"/>
        <v>0.05</v>
      </c>
      <c r="N2943" s="464">
        <f t="shared" si="160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58"/>
        <v>-57446900422.610466</v>
      </c>
      <c r="J2944" s="444">
        <f t="array" ref="J2944">IFERROR(INDEX('Retirement Calculator'!J:J,MATCH('Isaac 401k'!N2944,'Retirement Calculator'!A:A,0),0),0)</f>
        <v>0</v>
      </c>
      <c r="K2944" s="444">
        <f t="shared" ca="1" si="156"/>
        <v>-239362085.09421027</v>
      </c>
      <c r="L2944" s="444">
        <f t="shared" ca="1" si="157"/>
        <v>-57686262507.704674</v>
      </c>
      <c r="M2944" s="460">
        <f t="shared" si="159"/>
        <v>0.05</v>
      </c>
      <c r="N2944" s="464">
        <f t="shared" si="160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58"/>
        <v>-57686262507.704674</v>
      </c>
      <c r="J2945" s="444">
        <f t="array" ref="J2945">IFERROR(INDEX('Retirement Calculator'!J:J,MATCH('Isaac 401k'!N2945,'Retirement Calculator'!A:A,0),0),0)</f>
        <v>0</v>
      </c>
      <c r="K2945" s="444">
        <f t="shared" ca="1" si="156"/>
        <v>-240359427.11543614</v>
      </c>
      <c r="L2945" s="444">
        <f t="shared" ca="1" si="157"/>
        <v>-57926621934.820107</v>
      </c>
      <c r="M2945" s="460">
        <f t="shared" si="159"/>
        <v>0.05</v>
      </c>
      <c r="N2945" s="464">
        <f t="shared" si="160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58"/>
        <v>-57926621934.820107</v>
      </c>
      <c r="J2946" s="444">
        <f t="array" ref="J2946">IFERROR(INDEX('Retirement Calculator'!J:J,MATCH('Isaac 401k'!N2946,'Retirement Calculator'!A:A,0),0),0)</f>
        <v>0</v>
      </c>
      <c r="K2946" s="444">
        <f t="shared" ca="1" si="156"/>
        <v>-241360924.7284171</v>
      </c>
      <c r="L2946" s="444">
        <f t="shared" ca="1" si="157"/>
        <v>-58167982859.548523</v>
      </c>
      <c r="M2946" s="460">
        <f t="shared" si="159"/>
        <v>0.05</v>
      </c>
      <c r="N2946" s="464">
        <f t="shared" si="160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58"/>
        <v>-58167982859.548523</v>
      </c>
      <c r="J2947" s="444">
        <f t="array" ref="J2947">IFERROR(INDEX('Retirement Calculator'!J:J,MATCH('Isaac 401k'!N2947,'Retirement Calculator'!A:A,0),0),0)</f>
        <v>0</v>
      </c>
      <c r="K2947" s="444">
        <f t="shared" ca="1" si="156"/>
        <v>-242366595.24811885</v>
      </c>
      <c r="L2947" s="444">
        <f t="shared" ca="1" si="157"/>
        <v>-58410349454.796638</v>
      </c>
      <c r="M2947" s="460">
        <f t="shared" si="159"/>
        <v>0.05</v>
      </c>
      <c r="N2947" s="464">
        <f t="shared" si="160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58"/>
        <v>-58410349454.796638</v>
      </c>
      <c r="J2948" s="444">
        <f t="array" ref="J2948">IFERROR(INDEX('Retirement Calculator'!J:J,MATCH('Isaac 401k'!N2948,'Retirement Calculator'!A:A,0),0),0)</f>
        <v>0</v>
      </c>
      <c r="K2948" s="444">
        <f t="shared" ca="1" si="156"/>
        <v>-243376456.06165266</v>
      </c>
      <c r="L2948" s="444">
        <f t="shared" ca="1" si="157"/>
        <v>-58653725910.858292</v>
      </c>
      <c r="M2948" s="460">
        <f t="shared" si="159"/>
        <v>0.05</v>
      </c>
      <c r="N2948" s="464">
        <f t="shared" si="160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58"/>
        <v>-58653725910.858292</v>
      </c>
      <c r="J2949" s="444">
        <f t="array" ref="J2949">IFERROR(INDEX('Retirement Calculator'!J:J,MATCH('Isaac 401k'!N2949,'Retirement Calculator'!A:A,0),0),0)</f>
        <v>0</v>
      </c>
      <c r="K2949" s="444">
        <f t="shared" ca="1" si="156"/>
        <v>-244390524.62857622</v>
      </c>
      <c r="L2949" s="444">
        <f t="shared" ca="1" si="157"/>
        <v>-58898116435.48687</v>
      </c>
      <c r="M2949" s="460">
        <f t="shared" si="159"/>
        <v>0.05</v>
      </c>
      <c r="N2949" s="464">
        <f t="shared" si="160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58"/>
        <v>-58898116435.48687</v>
      </c>
      <c r="J2950" s="444">
        <f t="array" ref="J2950">IFERROR(INDEX('Retirement Calculator'!J:J,MATCH('Isaac 401k'!N2950,'Retirement Calculator'!A:A,0),0),0)</f>
        <v>0</v>
      </c>
      <c r="K2950" s="444">
        <f t="shared" ca="1" si="156"/>
        <v>-245408818.48119524</v>
      </c>
      <c r="L2950" s="444">
        <f t="shared" ca="1" si="157"/>
        <v>-59143525253.968063</v>
      </c>
      <c r="M2950" s="460">
        <f t="shared" si="159"/>
        <v>0.05</v>
      </c>
      <c r="N2950" s="464">
        <f t="shared" si="160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58"/>
        <v>-59143525253.968063</v>
      </c>
      <c r="J2951" s="444">
        <f t="array" ref="J2951">IFERROR(INDEX('Retirement Calculator'!J:J,MATCH('Isaac 401k'!N2951,'Retirement Calculator'!A:A,0),0),0)</f>
        <v>0</v>
      </c>
      <c r="K2951" s="444">
        <f t="shared" ca="1" si="156"/>
        <v>-246431355.22486693</v>
      </c>
      <c r="L2951" s="444">
        <f t="shared" ca="1" si="157"/>
        <v>-59389956609.192932</v>
      </c>
      <c r="M2951" s="460">
        <f t="shared" si="159"/>
        <v>0.05</v>
      </c>
      <c r="N2951" s="464">
        <f t="shared" si="160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58"/>
        <v>-59389956609.192932</v>
      </c>
      <c r="J2952" s="444">
        <f t="array" ref="J2952">IFERROR(INDEX('Retirement Calculator'!J:J,MATCH('Isaac 401k'!N2952,'Retirement Calculator'!A:A,0),0),0)</f>
        <v>0</v>
      </c>
      <c r="K2952" s="444">
        <f t="shared" ca="1" si="156"/>
        <v>-247458152.53830388</v>
      </c>
      <c r="L2952" s="444">
        <f t="shared" ca="1" si="157"/>
        <v>-59637414761.731239</v>
      </c>
      <c r="M2952" s="460">
        <f t="shared" si="159"/>
        <v>0.05</v>
      </c>
      <c r="N2952" s="464">
        <f t="shared" si="160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58"/>
        <v>-59637414761.731239</v>
      </c>
      <c r="J2953" s="444">
        <f t="array" ref="J2953">IFERROR(INDEX('Retirement Calculator'!J:J,MATCH('Isaac 401k'!N2953,'Retirement Calculator'!A:A,0),0),0)</f>
        <v>0</v>
      </c>
      <c r="K2953" s="444">
        <f t="shared" ca="1" si="156"/>
        <v>-248489228.17388016</v>
      </c>
      <c r="L2953" s="444">
        <f t="shared" ca="1" si="157"/>
        <v>-59885903989.905121</v>
      </c>
      <c r="M2953" s="460">
        <f t="shared" si="159"/>
        <v>0.05</v>
      </c>
      <c r="N2953" s="464">
        <f t="shared" si="160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58"/>
        <v>-59885903989.905121</v>
      </c>
      <c r="J2954" s="444">
        <f t="array" ref="J2954">IFERROR(INDEX('Retirement Calculator'!J:J,MATCH('Isaac 401k'!N2954,'Retirement Calculator'!A:A,0),0),0)</f>
        <v>0</v>
      </c>
      <c r="K2954" s="444">
        <f t="shared" ca="1" si="156"/>
        <v>-249524599.95793799</v>
      </c>
      <c r="L2954" s="444">
        <f t="shared" ca="1" si="157"/>
        <v>-60135428589.86306</v>
      </c>
      <c r="M2954" s="460">
        <f t="shared" si="159"/>
        <v>0.05</v>
      </c>
      <c r="N2954" s="464">
        <f t="shared" si="160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58"/>
        <v>-60135428589.86306</v>
      </c>
      <c r="J2955" s="444">
        <f t="array" ref="J2955">IFERROR(INDEX('Retirement Calculator'!J:J,MATCH('Isaac 401k'!N2955,'Retirement Calculator'!A:A,0),0),0)</f>
        <v>0</v>
      </c>
      <c r="K2955" s="444">
        <f t="shared" ca="1" si="156"/>
        <v>-250564285.79109609</v>
      </c>
      <c r="L2955" s="444">
        <f t="shared" ca="1" si="157"/>
        <v>-60385992875.65416</v>
      </c>
      <c r="M2955" s="460">
        <f t="shared" si="159"/>
        <v>0.05</v>
      </c>
      <c r="N2955" s="464">
        <f t="shared" si="160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58"/>
        <v>-60385992875.65416</v>
      </c>
      <c r="J2956" s="444">
        <f t="array" ref="J2956">IFERROR(INDEX('Retirement Calculator'!J:J,MATCH('Isaac 401k'!N2956,'Retirement Calculator'!A:A,0),0),0)</f>
        <v>0</v>
      </c>
      <c r="K2956" s="444">
        <f t="shared" ca="1" si="156"/>
        <v>-251608303.64855897</v>
      </c>
      <c r="L2956" s="444">
        <f t="shared" ca="1" si="157"/>
        <v>-60637601179.302719</v>
      </c>
      <c r="M2956" s="460">
        <f t="shared" si="159"/>
        <v>0.05</v>
      </c>
      <c r="N2956" s="464">
        <f t="shared" si="160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58"/>
        <v>-60637601179.302719</v>
      </c>
      <c r="J2957" s="444">
        <f t="array" ref="J2957">IFERROR(INDEX('Retirement Calculator'!J:J,MATCH('Isaac 401k'!N2957,'Retirement Calculator'!A:A,0),0),0)</f>
        <v>0</v>
      </c>
      <c r="K2957" s="444">
        <f t="shared" ca="1" si="156"/>
        <v>-252656671.580428</v>
      </c>
      <c r="L2957" s="444">
        <f t="shared" ca="1" si="157"/>
        <v>-60890257850.883148</v>
      </c>
      <c r="M2957" s="460">
        <f t="shared" si="159"/>
        <v>0.05</v>
      </c>
      <c r="N2957" s="464">
        <f t="shared" si="160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58"/>
        <v>-60890257850.883148</v>
      </c>
      <c r="J2958" s="444">
        <f t="array" ref="J2958">IFERROR(INDEX('Retirement Calculator'!J:J,MATCH('Isaac 401k'!N2958,'Retirement Calculator'!A:A,0),0),0)</f>
        <v>0</v>
      </c>
      <c r="K2958" s="444">
        <f t="shared" ca="1" si="156"/>
        <v>-253709407.71201313</v>
      </c>
      <c r="L2958" s="444">
        <f t="shared" ca="1" si="157"/>
        <v>-61143967258.595161</v>
      </c>
      <c r="M2958" s="460">
        <f t="shared" si="159"/>
        <v>0.05</v>
      </c>
      <c r="N2958" s="464">
        <f t="shared" si="160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58"/>
        <v>-61143967258.595161</v>
      </c>
      <c r="J2959" s="444">
        <f t="array" ref="J2959">IFERROR(INDEX('Retirement Calculator'!J:J,MATCH('Isaac 401k'!N2959,'Retirement Calculator'!A:A,0),0),0)</f>
        <v>0</v>
      </c>
      <c r="K2959" s="444">
        <f t="shared" ca="1" si="156"/>
        <v>-254766530.24414647</v>
      </c>
      <c r="L2959" s="444">
        <f t="shared" ca="1" si="157"/>
        <v>-61398733788.83931</v>
      </c>
      <c r="M2959" s="460">
        <f t="shared" si="159"/>
        <v>0.05</v>
      </c>
      <c r="N2959" s="464">
        <f t="shared" si="160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58"/>
        <v>-61398733788.83931</v>
      </c>
      <c r="J2960" s="444">
        <f t="array" ref="J2960">IFERROR(INDEX('Retirement Calculator'!J:J,MATCH('Isaac 401k'!N2960,'Retirement Calculator'!A:A,0),0),0)</f>
        <v>0</v>
      </c>
      <c r="K2960" s="444">
        <f t="shared" ca="1" si="156"/>
        <v>-255828057.45349711</v>
      </c>
      <c r="L2960" s="444">
        <f t="shared" ca="1" si="157"/>
        <v>-61654561846.292809</v>
      </c>
      <c r="M2960" s="460">
        <f t="shared" si="159"/>
        <v>0.05</v>
      </c>
      <c r="N2960" s="464">
        <f t="shared" si="160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58"/>
        <v>-61654561846.292809</v>
      </c>
      <c r="J2961" s="444">
        <f t="array" ref="J2961">IFERROR(INDEX('Retirement Calculator'!J:J,MATCH('Isaac 401k'!N2961,'Retirement Calculator'!A:A,0),0),0)</f>
        <v>0</v>
      </c>
      <c r="K2961" s="444">
        <f t="shared" ca="1" si="156"/>
        <v>-256894007.69288671</v>
      </c>
      <c r="L2961" s="444">
        <f t="shared" ca="1" si="157"/>
        <v>-61911455853.985695</v>
      </c>
      <c r="M2961" s="460">
        <f t="shared" si="159"/>
        <v>0.05</v>
      </c>
      <c r="N2961" s="464">
        <f t="shared" si="160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58"/>
        <v>-61911455853.985695</v>
      </c>
      <c r="J2962" s="444">
        <f t="array" ref="J2962">IFERROR(INDEX('Retirement Calculator'!J:J,MATCH('Isaac 401k'!N2962,'Retirement Calculator'!A:A,0),0),0)</f>
        <v>0</v>
      </c>
      <c r="K2962" s="444">
        <f t="shared" ca="1" si="156"/>
        <v>-257964399.39160705</v>
      </c>
      <c r="L2962" s="444">
        <f t="shared" ca="1" si="157"/>
        <v>-62169420253.377304</v>
      </c>
      <c r="M2962" s="460">
        <f t="shared" si="159"/>
        <v>0.05</v>
      </c>
      <c r="N2962" s="464">
        <f t="shared" si="160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58"/>
        <v>-62169420253.377304</v>
      </c>
      <c r="J2963" s="444">
        <f t="array" ref="J2963">IFERROR(INDEX('Retirement Calculator'!J:J,MATCH('Isaac 401k'!N2963,'Retirement Calculator'!A:A,0),0),0)</f>
        <v>0</v>
      </c>
      <c r="K2963" s="444">
        <f t="shared" ca="1" si="156"/>
        <v>-259039251.05573878</v>
      </c>
      <c r="L2963" s="444">
        <f t="shared" ca="1" si="157"/>
        <v>-62428459504.433044</v>
      </c>
      <c r="M2963" s="460">
        <f t="shared" si="159"/>
        <v>0.05</v>
      </c>
      <c r="N2963" s="464">
        <f t="shared" si="160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58"/>
        <v>-62428459504.433044</v>
      </c>
      <c r="J2964" s="444">
        <f t="array" ref="J2964">IFERROR(INDEX('Retirement Calculator'!J:J,MATCH('Isaac 401k'!N2964,'Retirement Calculator'!A:A,0),0),0)</f>
        <v>0</v>
      </c>
      <c r="K2964" s="444">
        <f t="shared" ca="1" si="156"/>
        <v>-260118581.268471</v>
      </c>
      <c r="L2964" s="444">
        <f t="shared" ca="1" si="157"/>
        <v>-62688578085.701515</v>
      </c>
      <c r="M2964" s="460">
        <f t="shared" si="159"/>
        <v>0.05</v>
      </c>
      <c r="N2964" s="464">
        <f t="shared" si="160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58"/>
        <v>-62688578085.701515</v>
      </c>
      <c r="J2965" s="444">
        <f t="array" ref="J2965">IFERROR(INDEX('Retirement Calculator'!J:J,MATCH('Isaac 401k'!N2965,'Retirement Calculator'!A:A,0),0),0)</f>
        <v>0</v>
      </c>
      <c r="K2965" s="444">
        <f t="shared" ca="1" si="156"/>
        <v>-261202408.69042301</v>
      </c>
      <c r="L2965" s="444">
        <f t="shared" ca="1" si="157"/>
        <v>-62949780494.391937</v>
      </c>
      <c r="M2965" s="460">
        <f t="shared" si="159"/>
        <v>0.05</v>
      </c>
      <c r="N2965" s="464">
        <f t="shared" si="160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58"/>
        <v>-62949780494.391937</v>
      </c>
      <c r="J2966" s="444">
        <f t="array" ref="J2966">IFERROR(INDEX('Retirement Calculator'!J:J,MATCH('Isaac 401k'!N2966,'Retirement Calculator'!A:A,0),0),0)</f>
        <v>0</v>
      </c>
      <c r="K2966" s="444">
        <f t="shared" ca="1" si="156"/>
        <v>-262290752.05996636</v>
      </c>
      <c r="L2966" s="444">
        <f t="shared" ca="1" si="157"/>
        <v>-63212071246.451904</v>
      </c>
      <c r="M2966" s="460">
        <f t="shared" si="159"/>
        <v>0.05</v>
      </c>
      <c r="N2966" s="464">
        <f t="shared" si="160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58"/>
        <v>-63212071246.451904</v>
      </c>
      <c r="J2967" s="444">
        <f t="array" ref="J2967">IFERROR(INDEX('Retirement Calculator'!J:J,MATCH('Isaac 401k'!N2967,'Retirement Calculator'!A:A,0),0),0)</f>
        <v>0</v>
      </c>
      <c r="K2967" s="444">
        <f t="shared" ca="1" si="156"/>
        <v>-263383630.1935496</v>
      </c>
      <c r="L2967" s="444">
        <f t="shared" ca="1" si="157"/>
        <v>-63475454876.645454</v>
      </c>
      <c r="M2967" s="460">
        <f t="shared" si="159"/>
        <v>0.05</v>
      </c>
      <c r="N2967" s="464">
        <f t="shared" si="160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58"/>
        <v>-63475454876.645454</v>
      </c>
      <c r="J2968" s="444">
        <f t="array" ref="J2968">IFERROR(INDEX('Retirement Calculator'!J:J,MATCH('Isaac 401k'!N2968,'Retirement Calculator'!A:A,0),0),0)</f>
        <v>0</v>
      </c>
      <c r="K2968" s="444">
        <f t="shared" ca="1" si="156"/>
        <v>-264481061.98602271</v>
      </c>
      <c r="L2968" s="444">
        <f t="shared" ca="1" si="157"/>
        <v>-63739935938.631477</v>
      </c>
      <c r="M2968" s="460">
        <f t="shared" si="159"/>
        <v>0.05</v>
      </c>
      <c r="N2968" s="464">
        <f t="shared" si="160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58"/>
        <v>-63739935938.631477</v>
      </c>
      <c r="J2969" s="444">
        <f t="array" ref="J2969">IFERROR(INDEX('Retirement Calculator'!J:J,MATCH('Isaac 401k'!N2969,'Retirement Calculator'!A:A,0),0),0)</f>
        <v>0</v>
      </c>
      <c r="K2969" s="444">
        <f t="shared" ca="1" si="156"/>
        <v>-265583066.41096452</v>
      </c>
      <c r="L2969" s="444">
        <f t="shared" ca="1" si="157"/>
        <v>-64005519005.042442</v>
      </c>
      <c r="M2969" s="460">
        <f t="shared" si="159"/>
        <v>0.05</v>
      </c>
      <c r="N2969" s="464">
        <f t="shared" si="160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58"/>
        <v>-64005519005.042442</v>
      </c>
      <c r="J2970" s="444">
        <f t="array" ref="J2970">IFERROR(INDEX('Retirement Calculator'!J:J,MATCH('Isaac 401k'!N2970,'Retirement Calculator'!A:A,0),0),0)</f>
        <v>0</v>
      </c>
      <c r="K2970" s="444">
        <f t="shared" ca="1" si="156"/>
        <v>-266689662.52101019</v>
      </c>
      <c r="L2970" s="444">
        <f t="shared" ca="1" si="157"/>
        <v>-64272208667.563454</v>
      </c>
      <c r="M2970" s="460">
        <f t="shared" si="159"/>
        <v>0.05</v>
      </c>
      <c r="N2970" s="464">
        <f t="shared" si="160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58"/>
        <v>-64272208667.563454</v>
      </c>
      <c r="J2971" s="444">
        <f t="array" ref="J2971">IFERROR(INDEX('Retirement Calculator'!J:J,MATCH('Isaac 401k'!N2971,'Retirement Calculator'!A:A,0),0),0)</f>
        <v>0</v>
      </c>
      <c r="K2971" s="444">
        <f t="shared" ca="1" si="156"/>
        <v>-267800869.44818106</v>
      </c>
      <c r="L2971" s="444">
        <f t="shared" ca="1" si="157"/>
        <v>-64540009537.011635</v>
      </c>
      <c r="M2971" s="460">
        <f t="shared" si="159"/>
        <v>0.05</v>
      </c>
      <c r="N2971" s="464">
        <f t="shared" si="160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58"/>
        <v>-64540009537.011635</v>
      </c>
      <c r="J2972" s="444">
        <f t="array" ref="J2972">IFERROR(INDEX('Retirement Calculator'!J:J,MATCH('Isaac 401k'!N2972,'Retirement Calculator'!A:A,0),0),0)</f>
        <v>0</v>
      </c>
      <c r="K2972" s="444">
        <f t="shared" ca="1" si="156"/>
        <v>-268916706.4042151</v>
      </c>
      <c r="L2972" s="444">
        <f t="shared" ca="1" si="157"/>
        <v>-64808926243.415848</v>
      </c>
      <c r="M2972" s="460">
        <f t="shared" si="159"/>
        <v>0.05</v>
      </c>
      <c r="N2972" s="464">
        <f t="shared" si="160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58"/>
        <v>-64808926243.415848</v>
      </c>
      <c r="J2973" s="444">
        <f t="array" ref="J2973">IFERROR(INDEX('Retirement Calculator'!J:J,MATCH('Isaac 401k'!N2973,'Retirement Calculator'!A:A,0),0),0)</f>
        <v>0</v>
      </c>
      <c r="K2973" s="444">
        <f t="shared" ca="1" si="156"/>
        <v>-270037192.68089932</v>
      </c>
      <c r="L2973" s="444">
        <f t="shared" ca="1" si="157"/>
        <v>-65078963436.096748</v>
      </c>
      <c r="M2973" s="460">
        <f t="shared" si="159"/>
        <v>0.05</v>
      </c>
      <c r="N2973" s="464">
        <f t="shared" si="160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58"/>
        <v>-65078963436.096748</v>
      </c>
      <c r="J2974" s="444">
        <f t="array" ref="J2974">IFERROR(INDEX('Retirement Calculator'!J:J,MATCH('Isaac 401k'!N2974,'Retirement Calculator'!A:A,0),0),0)</f>
        <v>0</v>
      </c>
      <c r="K2974" s="444">
        <f t="shared" ca="1" si="156"/>
        <v>-271162347.65040314</v>
      </c>
      <c r="L2974" s="444">
        <f t="shared" ca="1" si="157"/>
        <v>-65350125783.747154</v>
      </c>
      <c r="M2974" s="460">
        <f t="shared" si="159"/>
        <v>0.05</v>
      </c>
      <c r="N2974" s="464">
        <f t="shared" si="160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58"/>
        <v>-65350125783.747154</v>
      </c>
      <c r="J2975" s="444">
        <f t="array" ref="J2975">IFERROR(INDEX('Retirement Calculator'!J:J,MATCH('Isaac 401k'!N2975,'Retirement Calculator'!A:A,0),0),0)</f>
        <v>0</v>
      </c>
      <c r="K2975" s="444">
        <f t="shared" ca="1" si="156"/>
        <v>-272292190.76561314</v>
      </c>
      <c r="L2975" s="444">
        <f t="shared" ca="1" si="157"/>
        <v>-65622417974.512764</v>
      </c>
      <c r="M2975" s="460">
        <f t="shared" si="159"/>
        <v>0.05</v>
      </c>
      <c r="N2975" s="464">
        <f t="shared" si="160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58"/>
        <v>-65622417974.512764</v>
      </c>
      <c r="J2976" s="444">
        <f t="array" ref="J2976">IFERROR(INDEX('Retirement Calculator'!J:J,MATCH('Isaac 401k'!N2976,'Retirement Calculator'!A:A,0),0),0)</f>
        <v>0</v>
      </c>
      <c r="K2976" s="444">
        <f t="shared" ca="1" si="156"/>
        <v>-273426741.56046981</v>
      </c>
      <c r="L2976" s="444">
        <f t="shared" ca="1" si="157"/>
        <v>-65895844716.073235</v>
      </c>
      <c r="M2976" s="460">
        <f t="shared" si="159"/>
        <v>0.05</v>
      </c>
      <c r="N2976" s="464">
        <f t="shared" si="160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58"/>
        <v>-65895844716.073235</v>
      </c>
      <c r="J2977" s="444">
        <f t="array" ref="J2977">IFERROR(INDEX('Retirement Calculator'!J:J,MATCH('Isaac 401k'!N2977,'Retirement Calculator'!A:A,0),0),0)</f>
        <v>0</v>
      </c>
      <c r="K2977" s="444">
        <f t="shared" ca="1" si="156"/>
        <v>-274566019.65030515</v>
      </c>
      <c r="L2977" s="444">
        <f t="shared" ca="1" si="157"/>
        <v>-66170410735.723541</v>
      </c>
      <c r="M2977" s="460">
        <f t="shared" si="159"/>
        <v>0.05</v>
      </c>
      <c r="N2977" s="464">
        <f t="shared" si="160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58"/>
        <v>-66170410735.723541</v>
      </c>
      <c r="J2978" s="444">
        <f t="array" ref="J2978">IFERROR(INDEX('Retirement Calculator'!J:J,MATCH('Isaac 401k'!N2978,'Retirement Calculator'!A:A,0),0),0)</f>
        <v>0</v>
      </c>
      <c r="K2978" s="444">
        <f t="shared" ca="1" si="156"/>
        <v>-275710044.73218143</v>
      </c>
      <c r="L2978" s="444">
        <f t="shared" ca="1" si="157"/>
        <v>-66446120780.455719</v>
      </c>
      <c r="M2978" s="460">
        <f t="shared" si="159"/>
        <v>0.05</v>
      </c>
      <c r="N2978" s="464">
        <f t="shared" si="160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58"/>
        <v>-66446120780.455719</v>
      </c>
      <c r="J2979" s="444">
        <f t="array" ref="J2979">IFERROR(INDEX('Retirement Calculator'!J:J,MATCH('Isaac 401k'!N2979,'Retirement Calculator'!A:A,0),0),0)</f>
        <v>0</v>
      </c>
      <c r="K2979" s="444">
        <f t="shared" ca="1" si="156"/>
        <v>-276858836.58523214</v>
      </c>
      <c r="L2979" s="444">
        <f t="shared" ca="1" si="157"/>
        <v>-66722979617.040955</v>
      </c>
      <c r="M2979" s="460">
        <f t="shared" si="159"/>
        <v>0.05</v>
      </c>
      <c r="N2979" s="464">
        <f t="shared" si="160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58"/>
        <v>-66722979617.040955</v>
      </c>
      <c r="J2980" s="444">
        <f t="array" ref="J2980">IFERROR(INDEX('Retirement Calculator'!J:J,MATCH('Isaac 401k'!N2980,'Retirement Calculator'!A:A,0),0),0)</f>
        <v>0</v>
      </c>
      <c r="K2980" s="444">
        <f t="shared" ca="1" si="156"/>
        <v>-278012415.07100397</v>
      </c>
      <c r="L2980" s="444">
        <f t="shared" ca="1" si="157"/>
        <v>-67000992032.111961</v>
      </c>
      <c r="M2980" s="460">
        <f t="shared" si="159"/>
        <v>0.05</v>
      </c>
      <c r="N2980" s="464">
        <f t="shared" si="160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58"/>
        <v>-67000992032.111961</v>
      </c>
      <c r="J2981" s="444">
        <f t="array" ref="J2981">IFERROR(INDEX('Retirement Calculator'!J:J,MATCH('Isaac 401k'!N2981,'Retirement Calculator'!A:A,0),0),0)</f>
        <v>0</v>
      </c>
      <c r="K2981" s="444">
        <f t="shared" ca="1" si="156"/>
        <v>-279170800.13379985</v>
      </c>
      <c r="L2981" s="444">
        <f t="shared" ca="1" si="157"/>
        <v>-67280162832.245758</v>
      </c>
      <c r="M2981" s="460">
        <f t="shared" si="159"/>
        <v>0.05</v>
      </c>
      <c r="N2981" s="464">
        <f t="shared" si="160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58"/>
        <v>-67280162832.245758</v>
      </c>
      <c r="J2982" s="444">
        <f t="array" ref="J2982">IFERROR(INDEX('Retirement Calculator'!J:J,MATCH('Isaac 401k'!N2982,'Retirement Calculator'!A:A,0),0),0)</f>
        <v>0</v>
      </c>
      <c r="K2982" s="444">
        <f t="shared" ca="1" si="156"/>
        <v>-280334011.80102396</v>
      </c>
      <c r="L2982" s="444">
        <f t="shared" ca="1" si="157"/>
        <v>-67560496844.046783</v>
      </c>
      <c r="M2982" s="460">
        <f t="shared" si="159"/>
        <v>0.05</v>
      </c>
      <c r="N2982" s="464">
        <f t="shared" si="160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58"/>
        <v>-67560496844.046783</v>
      </c>
      <c r="J2983" s="444">
        <f t="array" ref="J2983">IFERROR(INDEX('Retirement Calculator'!J:J,MATCH('Isaac 401k'!N2983,'Retirement Calculator'!A:A,0),0),0)</f>
        <v>0</v>
      </c>
      <c r="K2983" s="444">
        <f t="shared" ca="1" si="156"/>
        <v>-281502070.18352824</v>
      </c>
      <c r="L2983" s="444">
        <f t="shared" ca="1" si="157"/>
        <v>-67841998914.230309</v>
      </c>
      <c r="M2983" s="460">
        <f t="shared" si="159"/>
        <v>0.05</v>
      </c>
      <c r="N2983" s="464">
        <f t="shared" si="160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58"/>
        <v>-67841998914.230309</v>
      </c>
      <c r="J2984" s="444">
        <f t="array" ref="J2984">IFERROR(INDEX('Retirement Calculator'!J:J,MATCH('Isaac 401k'!N2984,'Retirement Calculator'!A:A,0),0),0)</f>
        <v>0</v>
      </c>
      <c r="K2984" s="444">
        <f t="shared" ca="1" si="156"/>
        <v>-282674995.47595966</v>
      </c>
      <c r="L2984" s="444">
        <f t="shared" ca="1" si="157"/>
        <v>-68124673909.706268</v>
      </c>
      <c r="M2984" s="460">
        <f t="shared" si="159"/>
        <v>0.05</v>
      </c>
      <c r="N2984" s="464">
        <f t="shared" si="160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58"/>
        <v>-68124673909.706268</v>
      </c>
      <c r="J2985" s="444">
        <f t="array" ref="J2985">IFERROR(INDEX('Retirement Calculator'!J:J,MATCH('Isaac 401k'!N2985,'Retirement Calculator'!A:A,0),0),0)</f>
        <v>0</v>
      </c>
      <c r="K2985" s="444">
        <f t="shared" ca="1" si="156"/>
        <v>-283852807.95710939</v>
      </c>
      <c r="L2985" s="444">
        <f t="shared" ca="1" si="157"/>
        <v>-68408526717.663376</v>
      </c>
      <c r="M2985" s="460">
        <f t="shared" si="159"/>
        <v>0.05</v>
      </c>
      <c r="N2985" s="464">
        <f t="shared" si="160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58"/>
        <v>-68408526717.663376</v>
      </c>
      <c r="J2986" s="444">
        <f t="array" ref="J2986">IFERROR(INDEX('Retirement Calculator'!J:J,MATCH('Isaac 401k'!N2986,'Retirement Calculator'!A:A,0),0),0)</f>
        <v>0</v>
      </c>
      <c r="K2986" s="444">
        <f t="shared" ca="1" si="156"/>
        <v>-285035527.99026406</v>
      </c>
      <c r="L2986" s="444">
        <f t="shared" ca="1" si="157"/>
        <v>-68693562245.653641</v>
      </c>
      <c r="M2986" s="460">
        <f t="shared" si="159"/>
        <v>0.05</v>
      </c>
      <c r="N2986" s="464">
        <f t="shared" si="160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58"/>
        <v>-68693562245.653641</v>
      </c>
      <c r="J2987" s="444">
        <f t="array" ref="J2987">IFERROR(INDEX('Retirement Calculator'!J:J,MATCH('Isaac 401k'!N2987,'Retirement Calculator'!A:A,0),0),0)</f>
        <v>0</v>
      </c>
      <c r="K2987" s="444">
        <f t="shared" ca="1" si="156"/>
        <v>-286223176.02355683</v>
      </c>
      <c r="L2987" s="444">
        <f t="shared" ca="1" si="157"/>
        <v>-68979785421.6772</v>
      </c>
      <c r="M2987" s="460">
        <f t="shared" si="159"/>
        <v>0.05</v>
      </c>
      <c r="N2987" s="464">
        <f t="shared" si="160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58"/>
        <v>-68979785421.6772</v>
      </c>
      <c r="J2988" s="444">
        <f t="array" ref="J2988">IFERROR(INDEX('Retirement Calculator'!J:J,MATCH('Isaac 401k'!N2988,'Retirement Calculator'!A:A,0),0),0)</f>
        <v>0</v>
      </c>
      <c r="K2988" s="444">
        <f t="shared" ca="1" si="156"/>
        <v>-287415772.59032166</v>
      </c>
      <c r="L2988" s="444">
        <f t="shared" ca="1" si="157"/>
        <v>-69267201194.267517</v>
      </c>
      <c r="M2988" s="460">
        <f t="shared" si="159"/>
        <v>0.05</v>
      </c>
      <c r="N2988" s="464">
        <f t="shared" si="160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58"/>
        <v>-69267201194.267517</v>
      </c>
      <c r="J2989" s="444">
        <f t="array" ref="J2989">IFERROR(INDEX('Retirement Calculator'!J:J,MATCH('Isaac 401k'!N2989,'Retirement Calculator'!A:A,0),0),0)</f>
        <v>0</v>
      </c>
      <c r="K2989" s="444">
        <f t="shared" ca="1" si="156"/>
        <v>-288613338.309448</v>
      </c>
      <c r="L2989" s="444">
        <f t="shared" ca="1" si="157"/>
        <v>-69555814532.576965</v>
      </c>
      <c r="M2989" s="460">
        <f t="shared" si="159"/>
        <v>0.05</v>
      </c>
      <c r="N2989" s="464">
        <f t="shared" si="160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58"/>
        <v>-69555814532.576965</v>
      </c>
      <c r="J2990" s="444">
        <f t="array" ref="J2990">IFERROR(INDEX('Retirement Calculator'!J:J,MATCH('Isaac 401k'!N2990,'Retirement Calculator'!A:A,0),0),0)</f>
        <v>0</v>
      </c>
      <c r="K2990" s="444">
        <f t="shared" ca="1" si="156"/>
        <v>-289815893.88573736</v>
      </c>
      <c r="L2990" s="444">
        <f t="shared" ca="1" si="157"/>
        <v>-69845630426.462708</v>
      </c>
      <c r="M2990" s="460">
        <f t="shared" si="159"/>
        <v>0.05</v>
      </c>
      <c r="N2990" s="464">
        <f t="shared" si="160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58"/>
        <v>-69845630426.462708</v>
      </c>
      <c r="J2991" s="444">
        <f t="array" ref="J2991">IFERROR(INDEX('Retirement Calculator'!J:J,MATCH('Isaac 401k'!N2991,'Retirement Calculator'!A:A,0),0),0)</f>
        <v>0</v>
      </c>
      <c r="K2991" s="444">
        <f t="shared" ca="1" si="156"/>
        <v>-291023460.11026126</v>
      </c>
      <c r="L2991" s="444">
        <f t="shared" ca="1" si="157"/>
        <v>-70136653886.572968</v>
      </c>
      <c r="M2991" s="460">
        <f t="shared" si="159"/>
        <v>0.05</v>
      </c>
      <c r="N2991" s="464">
        <f t="shared" si="160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58"/>
        <v>-70136653886.572968</v>
      </c>
      <c r="J2992" s="444">
        <f t="array" ref="J2992">IFERROR(INDEX('Retirement Calculator'!J:J,MATCH('Isaac 401k'!N2992,'Retirement Calculator'!A:A,0),0),0)</f>
        <v>0</v>
      </c>
      <c r="K2992" s="444">
        <f t="shared" ca="1" si="156"/>
        <v>-292236057.86072069</v>
      </c>
      <c r="L2992" s="444">
        <f t="shared" ca="1" si="157"/>
        <v>-70428889944.433685</v>
      </c>
      <c r="M2992" s="460">
        <f t="shared" si="159"/>
        <v>0.05</v>
      </c>
      <c r="N2992" s="464">
        <f t="shared" si="160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58"/>
        <v>-70428889944.433685</v>
      </c>
      <c r="J2993" s="444">
        <f t="array" ref="J2993">IFERROR(INDEX('Retirement Calculator'!J:J,MATCH('Isaac 401k'!N2993,'Retirement Calculator'!A:A,0),0),0)</f>
        <v>0</v>
      </c>
      <c r="K2993" s="444">
        <f t="shared" ca="1" si="156"/>
        <v>-293453708.101807</v>
      </c>
      <c r="L2993" s="444">
        <f t="shared" ca="1" si="157"/>
        <v>-70722343652.535492</v>
      </c>
      <c r="M2993" s="460">
        <f t="shared" si="159"/>
        <v>0.05</v>
      </c>
      <c r="N2993" s="464">
        <f t="shared" si="160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58"/>
        <v>-70722343652.535492</v>
      </c>
      <c r="J2994" s="444">
        <f t="array" ref="J2994">IFERROR(INDEX('Retirement Calculator'!J:J,MATCH('Isaac 401k'!N2994,'Retirement Calculator'!A:A,0),0),0)</f>
        <v>0</v>
      </c>
      <c r="K2994" s="444">
        <f t="shared" ca="1" si="156"/>
        <v>-294676431.88556457</v>
      </c>
      <c r="L2994" s="444">
        <f t="shared" ca="1" si="157"/>
        <v>-71017020084.421051</v>
      </c>
      <c r="M2994" s="460">
        <f t="shared" si="159"/>
        <v>0.05</v>
      </c>
      <c r="N2994" s="464">
        <f t="shared" si="160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58"/>
        <v>-71017020084.421051</v>
      </c>
      <c r="J2995" s="444">
        <f t="array" ref="J2995">IFERROR(INDEX('Retirement Calculator'!J:J,MATCH('Isaac 401k'!N2995,'Retirement Calculator'!A:A,0),0),0)</f>
        <v>0</v>
      </c>
      <c r="K2995" s="444">
        <f t="shared" ca="1" si="156"/>
        <v>-295904250.35175437</v>
      </c>
      <c r="L2995" s="444">
        <f t="shared" ca="1" si="157"/>
        <v>-71312924334.772812</v>
      </c>
      <c r="M2995" s="460">
        <f t="shared" si="159"/>
        <v>0.05</v>
      </c>
      <c r="N2995" s="464">
        <f t="shared" si="160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58"/>
        <v>-71312924334.772812</v>
      </c>
      <c r="J2996" s="444">
        <f t="array" ref="J2996">IFERROR(INDEX('Retirement Calculator'!J:J,MATCH('Isaac 401k'!N2996,'Retirement Calculator'!A:A,0),0),0)</f>
        <v>0</v>
      </c>
      <c r="K2996" s="444">
        <f t="shared" ca="1" si="156"/>
        <v>-297137184.72822005</v>
      </c>
      <c r="L2996" s="444">
        <f t="shared" ca="1" si="157"/>
        <v>-71610061519.501038</v>
      </c>
      <c r="M2996" s="460">
        <f t="shared" si="159"/>
        <v>0.05</v>
      </c>
      <c r="N2996" s="464">
        <f t="shared" si="160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58"/>
        <v>-71610061519.501038</v>
      </c>
      <c r="J2997" s="444">
        <f t="array" ref="J2997">IFERROR(INDEX('Retirement Calculator'!J:J,MATCH('Isaac 401k'!N2997,'Retirement Calculator'!A:A,0),0),0)</f>
        <v>0</v>
      </c>
      <c r="K2997" s="444">
        <f t="shared" ca="1" si="156"/>
        <v>-298375256.3312543</v>
      </c>
      <c r="L2997" s="444">
        <f t="shared" ca="1" si="157"/>
        <v>-71908436775.832291</v>
      </c>
      <c r="M2997" s="460">
        <f t="shared" si="159"/>
        <v>0.05</v>
      </c>
      <c r="N2997" s="464">
        <f t="shared" si="160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58"/>
        <v>-71908436775.832291</v>
      </c>
      <c r="J2998" s="444">
        <f t="array" ref="J2998">IFERROR(INDEX('Retirement Calculator'!J:J,MATCH('Isaac 401k'!N2998,'Retirement Calculator'!A:A,0),0),0)</f>
        <v>0</v>
      </c>
      <c r="K2998" s="444">
        <f t="shared" ca="1" si="156"/>
        <v>-299618486.56596786</v>
      </c>
      <c r="L2998" s="444">
        <f t="shared" ca="1" si="157"/>
        <v>-72208055262.398254</v>
      </c>
      <c r="M2998" s="460">
        <f t="shared" si="159"/>
        <v>0.05</v>
      </c>
      <c r="N2998" s="464">
        <f t="shared" si="160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58"/>
        <v>-72208055262.398254</v>
      </c>
      <c r="J2999" s="444">
        <f t="array" ref="J2999">IFERROR(INDEX('Retirement Calculator'!J:J,MATCH('Isaac 401k'!N2999,'Retirement Calculator'!A:A,0),0),0)</f>
        <v>0</v>
      </c>
      <c r="K2999" s="444">
        <f t="shared" ca="1" si="156"/>
        <v>-300866896.92665941</v>
      </c>
      <c r="L2999" s="444">
        <f t="shared" ca="1" si="157"/>
        <v>-72508922159.324921</v>
      </c>
      <c r="M2999" s="460">
        <f t="shared" si="159"/>
        <v>0.05</v>
      </c>
      <c r="N2999" s="464">
        <f t="shared" si="160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58"/>
        <v>-72508922159.324921</v>
      </c>
      <c r="J3000" s="444">
        <f t="array" ref="J3000">IFERROR(INDEX('Retirement Calculator'!J:J,MATCH('Isaac 401k'!N3000,'Retirement Calculator'!A:A,0),0),0)</f>
        <v>0</v>
      </c>
      <c r="K3000" s="444">
        <f t="shared" ca="1" si="156"/>
        <v>-302120508.99718714</v>
      </c>
      <c r="L3000" s="444">
        <f t="shared" ca="1" si="157"/>
        <v>-72811042668.322113</v>
      </c>
      <c r="M3000" s="460">
        <f t="shared" si="159"/>
        <v>0.05</v>
      </c>
      <c r="N3000" s="464">
        <f t="shared" si="160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58"/>
        <v>-72811042668.322113</v>
      </c>
      <c r="J3001" s="444">
        <f t="array" ref="J3001">IFERROR(INDEX('Retirement Calculator'!J:J,MATCH('Isaac 401k'!N3001,'Retirement Calculator'!A:A,0),0),0)</f>
        <v>0</v>
      </c>
      <c r="K3001" s="444">
        <f t="shared" ca="1" si="156"/>
        <v>-303379344.45134211</v>
      </c>
      <c r="L3001" s="444">
        <f t="shared" ca="1" si="157"/>
        <v>-73114422012.773453</v>
      </c>
      <c r="M3001" s="460">
        <f t="shared" si="159"/>
        <v>0.05</v>
      </c>
      <c r="N3001" s="464">
        <f t="shared" si="160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58"/>
        <v>-73114422012.773453</v>
      </c>
      <c r="J3002" s="444">
        <f t="array" ref="J3002">IFERROR(INDEX('Retirement Calculator'!J:J,MATCH('Isaac 401k'!N3002,'Retirement Calculator'!A:A,0),0),0)</f>
        <v>0</v>
      </c>
      <c r="K3002" s="444">
        <f t="shared" ca="1" si="156"/>
        <v>-304643425.05322272</v>
      </c>
      <c r="L3002" s="444">
        <f t="shared" ca="1" si="157"/>
        <v>-73419065437.826675</v>
      </c>
      <c r="M3002" s="460">
        <f t="shared" si="159"/>
        <v>0.05</v>
      </c>
      <c r="N3002" s="464">
        <f t="shared" si="160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58"/>
        <v>-73419065437.826675</v>
      </c>
      <c r="J3003" s="444">
        <f t="array" ref="J3003">IFERROR(INDEX('Retirement Calculator'!J:J,MATCH('Isaac 401k'!N3003,'Retirement Calculator'!A:A,0),0),0)</f>
        <v>0</v>
      </c>
      <c r="K3003" s="444">
        <f t="shared" ca="1" si="156"/>
        <v>-305912772.65761113</v>
      </c>
      <c r="L3003" s="444">
        <f t="shared" ca="1" si="157"/>
        <v>-73724978210.484283</v>
      </c>
      <c r="M3003" s="460">
        <f t="shared" si="159"/>
        <v>0.05</v>
      </c>
      <c r="N3003" s="464">
        <f t="shared" si="160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58"/>
        <v>-73724978210.484283</v>
      </c>
      <c r="J3004" s="444">
        <f t="array" ref="J3004">IFERROR(INDEX('Retirement Calculator'!J:J,MATCH('Isaac 401k'!N3004,'Retirement Calculator'!A:A,0),0),0)</f>
        <v>0</v>
      </c>
      <c r="K3004" s="444">
        <f t="shared" ca="1" si="156"/>
        <v>-307187409.21035117</v>
      </c>
      <c r="L3004" s="444">
        <f t="shared" ca="1" si="157"/>
        <v>-74032165619.694641</v>
      </c>
      <c r="M3004" s="460">
        <f t="shared" si="159"/>
        <v>0.05</v>
      </c>
      <c r="N3004" s="464">
        <f t="shared" si="160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58"/>
        <v>-74032165619.694641</v>
      </c>
      <c r="J3005" s="444">
        <f t="array" ref="J3005">IFERROR(INDEX('Retirement Calculator'!J:J,MATCH('Isaac 401k'!N3005,'Retirement Calculator'!A:A,0),0),0)</f>
        <v>0</v>
      </c>
      <c r="K3005" s="444">
        <f t="shared" ca="1" si="156"/>
        <v>-308467356.74872768</v>
      </c>
      <c r="L3005" s="444">
        <f t="shared" ca="1" si="157"/>
        <v>-74340632976.443375</v>
      </c>
      <c r="M3005" s="460">
        <f t="shared" si="159"/>
        <v>0.05</v>
      </c>
      <c r="N3005" s="464">
        <f t="shared" si="160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58"/>
        <v>-74340632976.443375</v>
      </c>
      <c r="J3006" s="444">
        <f t="array" ref="J3006">IFERROR(INDEX('Retirement Calculator'!J:J,MATCH('Isaac 401k'!N3006,'Retirement Calculator'!A:A,0),0),0)</f>
        <v>0</v>
      </c>
      <c r="K3006" s="444">
        <f t="shared" ca="1" si="156"/>
        <v>-309752637.40184736</v>
      </c>
      <c r="L3006" s="444">
        <f t="shared" ca="1" si="157"/>
        <v>-74650385613.845215</v>
      </c>
      <c r="M3006" s="460">
        <f t="shared" si="159"/>
        <v>0.05</v>
      </c>
      <c r="N3006" s="464">
        <f t="shared" si="160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58"/>
        <v>-74650385613.845215</v>
      </c>
      <c r="J3007" s="444">
        <f t="array" ref="J3007">IFERROR(INDEX('Retirement Calculator'!J:J,MATCH('Isaac 401k'!N3007,'Retirement Calculator'!A:A,0),0),0)</f>
        <v>0</v>
      </c>
      <c r="K3007" s="444">
        <f t="shared" ca="1" si="156"/>
        <v>-311043273.39102173</v>
      </c>
      <c r="L3007" s="444">
        <f t="shared" ca="1" si="157"/>
        <v>-74961428887.236237</v>
      </c>
      <c r="M3007" s="460">
        <f t="shared" si="159"/>
        <v>0.05</v>
      </c>
      <c r="N3007" s="464">
        <f t="shared" si="160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58"/>
        <v>-74961428887.236237</v>
      </c>
      <c r="J3008" s="444">
        <f t="array" ref="J3008">IFERROR(INDEX('Retirement Calculator'!J:J,MATCH('Isaac 401k'!N3008,'Retirement Calculator'!A:A,0),0),0)</f>
        <v>0</v>
      </c>
      <c r="K3008" s="444">
        <f t="shared" ca="1" si="156"/>
        <v>-312339287.03015101</v>
      </c>
      <c r="L3008" s="444">
        <f t="shared" ca="1" si="157"/>
        <v>-75273768174.266388</v>
      </c>
      <c r="M3008" s="460">
        <f t="shared" si="159"/>
        <v>0.05</v>
      </c>
      <c r="N3008" s="464">
        <f t="shared" si="160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58"/>
        <v>-75273768174.266388</v>
      </c>
      <c r="J3009" s="444">
        <f t="array" ref="J3009">IFERROR(INDEX('Retirement Calculator'!J:J,MATCH('Isaac 401k'!N3009,'Retirement Calculator'!A:A,0),0),0)</f>
        <v>0</v>
      </c>
      <c r="K3009" s="444">
        <f t="shared" ca="1" si="156"/>
        <v>-313640700.72610992</v>
      </c>
      <c r="L3009" s="444">
        <f t="shared" ca="1" si="157"/>
        <v>-75587408874.992493</v>
      </c>
      <c r="M3009" s="460">
        <f t="shared" si="159"/>
        <v>0.05</v>
      </c>
      <c r="N3009" s="464">
        <f t="shared" si="160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58"/>
        <v>-75587408874.992493</v>
      </c>
      <c r="J3010" s="444">
        <f t="array" ref="J3010">IFERROR(INDEX('Retirement Calculator'!J:J,MATCH('Isaac 401k'!N3010,'Retirement Calculator'!A:A,0),0),0)</f>
        <v>0</v>
      </c>
      <c r="K3010" s="444">
        <f t="shared" ca="1" si="156"/>
        <v>-314947536.97913539</v>
      </c>
      <c r="L3010" s="444">
        <f t="shared" ca="1" si="157"/>
        <v>-75902356411.971634</v>
      </c>
      <c r="M3010" s="460">
        <f t="shared" si="159"/>
        <v>0.05</v>
      </c>
      <c r="N3010" s="464">
        <f t="shared" si="160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58"/>
        <v>-75902356411.971634</v>
      </c>
      <c r="J3011" s="444">
        <f t="array" ref="J3011">IFERROR(INDEX('Retirement Calculator'!J:J,MATCH('Isaac 401k'!N3011,'Retirement Calculator'!A:A,0),0),0)</f>
        <v>0</v>
      </c>
      <c r="K3011" s="444">
        <f t="shared" ca="1" si="156"/>
        <v>-316259818.38321513</v>
      </c>
      <c r="L3011" s="444">
        <f t="shared" ca="1" si="157"/>
        <v>-76218616230.354843</v>
      </c>
      <c r="M3011" s="460">
        <f t="shared" si="159"/>
        <v>0.05</v>
      </c>
      <c r="N3011" s="464">
        <f t="shared" si="160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58"/>
        <v>-76218616230.354843</v>
      </c>
      <c r="J3012" s="444">
        <f t="array" ref="J3012">IFERROR(INDEX('Retirement Calculator'!J:J,MATCH('Isaac 401k'!N3012,'Retirement Calculator'!A:A,0),0),0)</f>
        <v>0</v>
      </c>
      <c r="K3012" s="444">
        <f t="shared" ca="1" si="156"/>
        <v>-317577567.62647849</v>
      </c>
      <c r="L3012" s="444">
        <f t="shared" ca="1" si="157"/>
        <v>-76536193797.981323</v>
      </c>
      <c r="M3012" s="460">
        <f t="shared" si="159"/>
        <v>0.05</v>
      </c>
      <c r="N3012" s="464">
        <f t="shared" si="160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58"/>
        <v>-76536193797.981323</v>
      </c>
      <c r="J3013" s="444">
        <f t="array" ref="J3013">IFERROR(INDEX('Retirement Calculator'!J:J,MATCH('Isaac 401k'!N3013,'Retirement Calculator'!A:A,0),0),0)</f>
        <v>0</v>
      </c>
      <c r="K3013" s="444">
        <f t="shared" ca="1" si="156"/>
        <v>-318900807.49158883</v>
      </c>
      <c r="L3013" s="444">
        <f t="shared" ca="1" si="157"/>
        <v>-76855094605.472916</v>
      </c>
      <c r="M3013" s="460">
        <f t="shared" si="159"/>
        <v>0.05</v>
      </c>
      <c r="N3013" s="464">
        <f t="shared" si="160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58"/>
        <v>-76855094605.472916</v>
      </c>
      <c r="J3014" s="444">
        <f t="array" ref="J3014">IFERROR(INDEX('Retirement Calculator'!J:J,MATCH('Isaac 401k'!N3014,'Retirement Calculator'!A:A,0),0),0)</f>
        <v>0</v>
      </c>
      <c r="K3014" s="444">
        <f t="shared" ca="1" si="156"/>
        <v>-320229560.85613716</v>
      </c>
      <c r="L3014" s="444">
        <f t="shared" ca="1" si="157"/>
        <v>-77175324166.329056</v>
      </c>
      <c r="M3014" s="460">
        <f t="shared" si="159"/>
        <v>0.05</v>
      </c>
      <c r="N3014" s="464">
        <f t="shared" si="160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58"/>
        <v>-77175324166.329056</v>
      </c>
      <c r="J3015" s="444">
        <f t="array" ref="J3015">IFERROR(INDEX('Retirement Calculator'!J:J,MATCH('Isaac 401k'!N3015,'Retirement Calculator'!A:A,0),0),0)</f>
        <v>0</v>
      </c>
      <c r="K3015" s="444">
        <f t="shared" ca="1" si="156"/>
        <v>-321563850.69303775</v>
      </c>
      <c r="L3015" s="444">
        <f t="shared" ca="1" si="157"/>
        <v>-77496888017.022095</v>
      </c>
      <c r="M3015" s="460">
        <f t="shared" si="159"/>
        <v>0.05</v>
      </c>
      <c r="N3015" s="464">
        <f t="shared" si="160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58"/>
        <v>-77496888017.022095</v>
      </c>
      <c r="J3016" s="444">
        <f t="array" ref="J3016">IFERROR(INDEX('Retirement Calculator'!J:J,MATCH('Isaac 401k'!N3016,'Retirement Calculator'!A:A,0),0),0)</f>
        <v>0</v>
      </c>
      <c r="K3016" s="444">
        <f t="shared" ca="1" si="156"/>
        <v>-322903700.07092541</v>
      </c>
      <c r="L3016" s="444">
        <f t="shared" ca="1" si="157"/>
        <v>-77819791717.093018</v>
      </c>
      <c r="M3016" s="460">
        <f t="shared" si="159"/>
        <v>0.05</v>
      </c>
      <c r="N3016" s="464">
        <f t="shared" si="160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58"/>
        <v>-77819791717.093018</v>
      </c>
      <c r="J3017" s="444">
        <f t="array" ref="J3017">IFERROR(INDEX('Retirement Calculator'!J:J,MATCH('Isaac 401k'!N3017,'Retirement Calculator'!A:A,0),0),0)</f>
        <v>0</v>
      </c>
      <c r="K3017" s="444">
        <f t="shared" ca="1" si="156"/>
        <v>-324249132.15455425</v>
      </c>
      <c r="L3017" s="444">
        <f t="shared" ca="1" si="157"/>
        <v>-78144040849.247574</v>
      </c>
      <c r="M3017" s="460">
        <f t="shared" si="159"/>
        <v>0.05</v>
      </c>
      <c r="N3017" s="464">
        <f t="shared" si="160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58"/>
        <v>-78144040849.247574</v>
      </c>
      <c r="J3018" s="444">
        <f t="array" ref="J3018">IFERROR(INDEX('Retirement Calculator'!J:J,MATCH('Isaac 401k'!N3018,'Retirement Calculator'!A:A,0),0),0)</f>
        <v>0</v>
      </c>
      <c r="K3018" s="444">
        <f t="shared" ca="1" si="156"/>
        <v>-325600170.20519823</v>
      </c>
      <c r="L3018" s="444">
        <f t="shared" ca="1" si="157"/>
        <v>-78469641019.452774</v>
      </c>
      <c r="M3018" s="460">
        <f t="shared" si="159"/>
        <v>0.05</v>
      </c>
      <c r="N3018" s="464">
        <f t="shared" si="160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58"/>
        <v>-78469641019.452774</v>
      </c>
      <c r="J3019" s="444">
        <f t="array" ref="J3019">IFERROR(INDEX('Retirement Calculator'!J:J,MATCH('Isaac 401k'!N3019,'Retirement Calculator'!A:A,0),0),0)</f>
        <v>0</v>
      </c>
      <c r="K3019" s="444">
        <f t="shared" ca="1" si="156"/>
        <v>-326956837.5810532</v>
      </c>
      <c r="L3019" s="444">
        <f t="shared" ca="1" si="157"/>
        <v>-78796597857.033829</v>
      </c>
      <c r="M3019" s="460">
        <f t="shared" si="159"/>
        <v>0.05</v>
      </c>
      <c r="N3019" s="464">
        <f t="shared" si="160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58"/>
        <v>-78796597857.033829</v>
      </c>
      <c r="J3020" s="444">
        <f t="array" ref="J3020">IFERROR(INDEX('Retirement Calculator'!J:J,MATCH('Isaac 401k'!N3020,'Retirement Calculator'!A:A,0),0),0)</f>
        <v>0</v>
      </c>
      <c r="K3020" s="444">
        <f t="shared" ca="1" si="156"/>
        <v>-328319157.73764098</v>
      </c>
      <c r="L3020" s="444">
        <f t="shared" ca="1" si="157"/>
        <v>-79124917014.771469</v>
      </c>
      <c r="M3020" s="460">
        <f t="shared" si="159"/>
        <v>0.05</v>
      </c>
      <c r="N3020" s="464">
        <f t="shared" si="160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58"/>
        <v>-79124917014.771469</v>
      </c>
      <c r="J3021" s="444">
        <f t="array" ref="J3021">IFERROR(INDEX('Retirement Calculator'!J:J,MATCH('Isaac 401k'!N3021,'Retirement Calculator'!A:A,0),0),0)</f>
        <v>0</v>
      </c>
      <c r="K3021" s="444">
        <f t="shared" ca="1" si="156"/>
        <v>-329687154.22821444</v>
      </c>
      <c r="L3021" s="444">
        <f t="shared" ca="1" si="157"/>
        <v>-79454604168.99968</v>
      </c>
      <c r="M3021" s="460">
        <f t="shared" si="159"/>
        <v>0.05</v>
      </c>
      <c r="N3021" s="464">
        <f t="shared" si="160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58"/>
        <v>-79454604168.99968</v>
      </c>
      <c r="J3022" s="444">
        <f t="array" ref="J3022">IFERROR(INDEX('Retirement Calculator'!J:J,MATCH('Isaac 401k'!N3022,'Retirement Calculator'!A:A,0),0),0)</f>
        <v>0</v>
      </c>
      <c r="K3022" s="444">
        <f t="shared" ca="1" si="156"/>
        <v>-331060850.70416534</v>
      </c>
      <c r="L3022" s="444">
        <f t="shared" ca="1" si="157"/>
        <v>-79785665019.703842</v>
      </c>
      <c r="M3022" s="460">
        <f t="shared" si="159"/>
        <v>0.05</v>
      </c>
      <c r="N3022" s="464">
        <f t="shared" si="160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58"/>
        <v>-79785665019.703842</v>
      </c>
      <c r="J3023" s="444">
        <f t="array" ref="J3023">IFERROR(INDEX('Retirement Calculator'!J:J,MATCH('Isaac 401k'!N3023,'Retirement Calculator'!A:A,0),0),0)</f>
        <v>0</v>
      </c>
      <c r="K3023" s="444">
        <f t="shared" ca="1" si="156"/>
        <v>-332440270.91543269</v>
      </c>
      <c r="L3023" s="444">
        <f t="shared" ca="1" si="157"/>
        <v>-80118105290.619278</v>
      </c>
      <c r="M3023" s="460">
        <f t="shared" si="159"/>
        <v>0.05</v>
      </c>
      <c r="N3023" s="464">
        <f t="shared" si="160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58"/>
        <v>-80118105290.619278</v>
      </c>
      <c r="J3024" s="444">
        <f t="array" ref="J3024">IFERROR(INDEX('Retirement Calculator'!J:J,MATCH('Isaac 401k'!N3024,'Retirement Calculator'!A:A,0),0),0)</f>
        <v>0</v>
      </c>
      <c r="K3024" s="444">
        <f t="shared" ca="1" si="156"/>
        <v>-333825438.71091366</v>
      </c>
      <c r="L3024" s="444">
        <f t="shared" ca="1" si="157"/>
        <v>-80451930729.330185</v>
      </c>
      <c r="M3024" s="460">
        <f t="shared" si="159"/>
        <v>0.05</v>
      </c>
      <c r="N3024" s="464">
        <f t="shared" si="160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58"/>
        <v>-80451930729.330185</v>
      </c>
      <c r="J3025" s="444">
        <f t="array" ref="J3025">IFERROR(INDEX('Retirement Calculator'!J:J,MATCH('Isaac 401k'!N3025,'Retirement Calculator'!A:A,0),0),0)</f>
        <v>0</v>
      </c>
      <c r="K3025" s="444">
        <f t="shared" ca="1" si="156"/>
        <v>-335216378.03887576</v>
      </c>
      <c r="L3025" s="444">
        <f t="shared" ca="1" si="157"/>
        <v>-80787147107.369064</v>
      </c>
      <c r="M3025" s="460">
        <f t="shared" si="159"/>
        <v>0.05</v>
      </c>
      <c r="N3025" s="464">
        <f t="shared" si="160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58"/>
        <v>-80787147107.369064</v>
      </c>
      <c r="J3026" s="444">
        <f t="array" ref="J3026">IFERROR(INDEX('Retirement Calculator'!J:J,MATCH('Isaac 401k'!N3026,'Retirement Calculator'!A:A,0),0),0)</f>
        <v>0</v>
      </c>
      <c r="K3026" s="444">
        <f t="shared" ca="1" si="156"/>
        <v>-336613112.94737113</v>
      </c>
      <c r="L3026" s="444">
        <f t="shared" ca="1" si="157"/>
        <v>-81123760220.316437</v>
      </c>
      <c r="M3026" s="460">
        <f t="shared" si="159"/>
        <v>0.05</v>
      </c>
      <c r="N3026" s="464">
        <f t="shared" si="160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58"/>
        <v>-81123760220.316437</v>
      </c>
      <c r="J3027" s="444">
        <f t="array" ref="J3027">IFERROR(INDEX('Retirement Calculator'!J:J,MATCH('Isaac 401k'!N3027,'Retirement Calculator'!A:A,0),0),0)</f>
        <v>0</v>
      </c>
      <c r="K3027" s="444">
        <f t="shared" ca="1" si="156"/>
        <v>-338015667.58465183</v>
      </c>
      <c r="L3027" s="444">
        <f t="shared" ca="1" si="157"/>
        <v>-81461775887.901093</v>
      </c>
      <c r="M3027" s="460">
        <f t="shared" si="159"/>
        <v>0.05</v>
      </c>
      <c r="N3027" s="464">
        <f t="shared" si="160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58"/>
        <v>-81461775887.901093</v>
      </c>
      <c r="J3028" s="444">
        <f t="array" ref="J3028">IFERROR(INDEX('Retirement Calculator'!J:J,MATCH('Isaac 401k'!N3028,'Retirement Calculator'!A:A,0),0),0)</f>
        <v>0</v>
      </c>
      <c r="K3028" s="444">
        <f t="shared" ca="1" si="156"/>
        <v>-339424066.19958788</v>
      </c>
      <c r="L3028" s="444">
        <f t="shared" ca="1" si="157"/>
        <v>-81801199954.100677</v>
      </c>
      <c r="M3028" s="460">
        <f t="shared" si="159"/>
        <v>0.05</v>
      </c>
      <c r="N3028" s="464">
        <f t="shared" si="160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58"/>
        <v>-81801199954.100677</v>
      </c>
      <c r="J3029" s="444">
        <f t="array" ref="J3029">IFERROR(INDEX('Retirement Calculator'!J:J,MATCH('Isaac 401k'!N3029,'Retirement Calculator'!A:A,0),0),0)</f>
        <v>0</v>
      </c>
      <c r="K3029" s="444">
        <f t="shared" ca="1" si="156"/>
        <v>-340838333.14208615</v>
      </c>
      <c r="L3029" s="444">
        <f t="shared" ca="1" si="157"/>
        <v>-82142038287.242767</v>
      </c>
      <c r="M3029" s="460">
        <f t="shared" si="159"/>
        <v>0.05</v>
      </c>
      <c r="N3029" s="464">
        <f t="shared" si="160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58"/>
        <v>-82142038287.242767</v>
      </c>
      <c r="J3030" s="444">
        <f t="array" ref="J3030">IFERROR(INDEX('Retirement Calculator'!J:J,MATCH('Isaac 401k'!N3030,'Retirement Calculator'!A:A,0),0),0)</f>
        <v>0</v>
      </c>
      <c r="K3030" s="444">
        <f t="shared" ca="1" si="156"/>
        <v>-342258492.8635115</v>
      </c>
      <c r="L3030" s="444">
        <f t="shared" ca="1" si="157"/>
        <v>-82484296780.106277</v>
      </c>
      <c r="M3030" s="460">
        <f t="shared" si="159"/>
        <v>0.05</v>
      </c>
      <c r="N3030" s="464">
        <f t="shared" si="160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58"/>
        <v>-82484296780.106277</v>
      </c>
      <c r="J3031" s="444">
        <f t="array" ref="J3031">IFERROR(INDEX('Retirement Calculator'!J:J,MATCH('Isaac 401k'!N3031,'Retirement Calculator'!A:A,0),0),0)</f>
        <v>0</v>
      </c>
      <c r="K3031" s="444">
        <f t="shared" ca="1" si="156"/>
        <v>-343684569.91710949</v>
      </c>
      <c r="L3031" s="444">
        <f t="shared" ca="1" si="157"/>
        <v>-82827981350.023392</v>
      </c>
      <c r="M3031" s="460">
        <f t="shared" si="159"/>
        <v>0.05</v>
      </c>
      <c r="N3031" s="464">
        <f t="shared" si="160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58"/>
        <v>-82827981350.023392</v>
      </c>
      <c r="J3032" s="444">
        <f t="array" ref="J3032">IFERROR(INDEX('Retirement Calculator'!J:J,MATCH('Isaac 401k'!N3032,'Retirement Calculator'!A:A,0),0),0)</f>
        <v>0</v>
      </c>
      <c r="K3032" s="444">
        <f t="shared" ca="1" si="156"/>
        <v>-345116588.95843077</v>
      </c>
      <c r="L3032" s="444">
        <f t="shared" ca="1" si="157"/>
        <v>-83173097938.981827</v>
      </c>
      <c r="M3032" s="460">
        <f t="shared" si="159"/>
        <v>0.05</v>
      </c>
      <c r="N3032" s="464">
        <f t="shared" si="160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58"/>
        <v>-83173097938.981827</v>
      </c>
      <c r="J3033" s="444">
        <f t="array" ref="J3033">IFERROR(INDEX('Retirement Calculator'!J:J,MATCH('Isaac 401k'!N3033,'Retirement Calculator'!A:A,0),0),0)</f>
        <v>0</v>
      </c>
      <c r="K3033" s="444">
        <f t="shared" ca="1" si="156"/>
        <v>-346554574.74575758</v>
      </c>
      <c r="L3033" s="444">
        <f t="shared" ca="1" si="157"/>
        <v>-83519652513.727585</v>
      </c>
      <c r="M3033" s="460">
        <f t="shared" si="159"/>
        <v>0.05</v>
      </c>
      <c r="N3033" s="464">
        <f t="shared" si="160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58"/>
        <v>-83519652513.727585</v>
      </c>
      <c r="J3034" s="444">
        <f t="array" ref="J3034">IFERROR(INDEX('Retirement Calculator'!J:J,MATCH('Isaac 401k'!N3034,'Retirement Calculator'!A:A,0),0),0)</f>
        <v>0</v>
      </c>
      <c r="K3034" s="444">
        <f t="shared" ca="1" si="156"/>
        <v>-347998552.1405316</v>
      </c>
      <c r="L3034" s="444">
        <f t="shared" ca="1" si="157"/>
        <v>-83867651065.868118</v>
      </c>
      <c r="M3034" s="460">
        <f t="shared" si="159"/>
        <v>0.05</v>
      </c>
      <c r="N3034" s="464">
        <f t="shared" si="160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58"/>
        <v>-83867651065.868118</v>
      </c>
      <c r="J3035" s="444">
        <f t="array" ref="J3035">IFERROR(INDEX('Retirement Calculator'!J:J,MATCH('Isaac 401k'!N3035,'Retirement Calculator'!A:A,0),0),0)</f>
        <v>0</v>
      </c>
      <c r="K3035" s="444">
        <f t="shared" ca="1" si="156"/>
        <v>-349448546.10778379</v>
      </c>
      <c r="L3035" s="444">
        <f t="shared" ca="1" si="157"/>
        <v>-84217099611.975906</v>
      </c>
      <c r="M3035" s="460">
        <f t="shared" si="159"/>
        <v>0.05</v>
      </c>
      <c r="N3035" s="464">
        <f t="shared" si="160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58"/>
        <v>-84217099611.975906</v>
      </c>
      <c r="J3036" s="444">
        <f t="array" ref="J3036">IFERROR(INDEX('Retirement Calculator'!J:J,MATCH('Isaac 401k'!N3036,'Retirement Calculator'!A:A,0),0),0)</f>
        <v>0</v>
      </c>
      <c r="K3036" s="444">
        <f t="shared" ca="1" si="156"/>
        <v>-350904581.71656626</v>
      </c>
      <c r="L3036" s="444">
        <f t="shared" ca="1" si="157"/>
        <v>-84568004193.692474</v>
      </c>
      <c r="M3036" s="460">
        <f t="shared" si="159"/>
        <v>0.05</v>
      </c>
      <c r="N3036" s="464">
        <f t="shared" si="160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58"/>
        <v>-84568004193.692474</v>
      </c>
      <c r="J3037" s="444">
        <f t="array" ref="J3037">IFERROR(INDEX('Retirement Calculator'!J:J,MATCH('Isaac 401k'!N3037,'Retirement Calculator'!A:A,0),0),0)</f>
        <v>0</v>
      </c>
      <c r="K3037" s="444">
        <f t="shared" ca="1" si="156"/>
        <v>-352366684.14038533</v>
      </c>
      <c r="L3037" s="444">
        <f t="shared" ca="1" si="157"/>
        <v>-84920370877.832855</v>
      </c>
      <c r="M3037" s="460">
        <f t="shared" si="159"/>
        <v>0.05</v>
      </c>
      <c r="N3037" s="464">
        <f t="shared" si="160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58"/>
        <v>-84920370877.832855</v>
      </c>
      <c r="J3038" s="444">
        <f t="array" ref="J3038">IFERROR(INDEX('Retirement Calculator'!J:J,MATCH('Isaac 401k'!N3038,'Retirement Calculator'!A:A,0),0),0)</f>
        <v>0</v>
      </c>
      <c r="K3038" s="444">
        <f t="shared" ca="1" si="156"/>
        <v>-353834878.65763688</v>
      </c>
      <c r="L3038" s="444">
        <f t="shared" ca="1" si="157"/>
        <v>-85274205756.490494</v>
      </c>
      <c r="M3038" s="460">
        <f t="shared" si="159"/>
        <v>0.05</v>
      </c>
      <c r="N3038" s="464">
        <f t="shared" si="160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58"/>
        <v>-85274205756.490494</v>
      </c>
      <c r="J3039" s="444">
        <f t="array" ref="J3039">IFERROR(INDEX('Retirement Calculator'!J:J,MATCH('Isaac 401k'!N3039,'Retirement Calculator'!A:A,0),0),0)</f>
        <v>0</v>
      </c>
      <c r="K3039" s="444">
        <f t="shared" ca="1" si="156"/>
        <v>-355309190.6520437</v>
      </c>
      <c r="L3039" s="444">
        <f t="shared" ca="1" si="157"/>
        <v>-85629514947.142532</v>
      </c>
      <c r="M3039" s="460">
        <f t="shared" si="159"/>
        <v>0.05</v>
      </c>
      <c r="N3039" s="464">
        <f t="shared" si="160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58"/>
        <v>-85629514947.142532</v>
      </c>
      <c r="J3040" s="444">
        <f t="array" ref="J3040">IFERROR(INDEX('Retirement Calculator'!J:J,MATCH('Isaac 401k'!N3040,'Retirement Calculator'!A:A,0),0),0)</f>
        <v>0</v>
      </c>
      <c r="K3040" s="444">
        <f t="shared" ca="1" si="156"/>
        <v>-356789645.61309385</v>
      </c>
      <c r="L3040" s="444">
        <f t="shared" ca="1" si="157"/>
        <v>-85986304592.75563</v>
      </c>
      <c r="M3040" s="460">
        <f t="shared" si="159"/>
        <v>0.05</v>
      </c>
      <c r="N3040" s="464">
        <f t="shared" si="160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58"/>
        <v>-85986304592.75563</v>
      </c>
      <c r="J3041" s="444">
        <f t="array" ref="J3041">IFERROR(INDEX('Retirement Calculator'!J:J,MATCH('Isaac 401k'!N3041,'Retirement Calculator'!A:A,0),0),0)</f>
        <v>0</v>
      </c>
      <c r="K3041" s="444">
        <f t="shared" ca="1" si="156"/>
        <v>-358276269.13648176</v>
      </c>
      <c r="L3041" s="444">
        <f t="shared" ca="1" si="157"/>
        <v>-86344580861.892105</v>
      </c>
      <c r="M3041" s="460">
        <f t="shared" si="159"/>
        <v>0.05</v>
      </c>
      <c r="N3041" s="464">
        <f t="shared" si="160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58"/>
        <v>-86344580861.892105</v>
      </c>
      <c r="J3042" s="444">
        <f t="array" ref="J3042">IFERROR(INDEX('Retirement Calculator'!J:J,MATCH('Isaac 401k'!N3042,'Retirement Calculator'!A:A,0),0),0)</f>
        <v>0</v>
      </c>
      <c r="K3042" s="444">
        <f t="shared" ca="1" si="156"/>
        <v>-359769086.92455041</v>
      </c>
      <c r="L3042" s="444">
        <f t="shared" ca="1" si="157"/>
        <v>-86704349948.81665</v>
      </c>
      <c r="M3042" s="460">
        <f t="shared" si="159"/>
        <v>0.05</v>
      </c>
      <c r="N3042" s="464">
        <f t="shared" si="160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58"/>
        <v>-86704349948.81665</v>
      </c>
      <c r="J3043" s="444">
        <f t="array" ref="J3043">IFERROR(INDEX('Retirement Calculator'!J:J,MATCH('Isaac 401k'!N3043,'Retirement Calculator'!A:A,0),0),0)</f>
        <v>0</v>
      </c>
      <c r="K3043" s="444">
        <f t="shared" ca="1" si="156"/>
        <v>-361268124.78673601</v>
      </c>
      <c r="L3043" s="444">
        <f t="shared" ca="1" si="157"/>
        <v>-87065618073.603394</v>
      </c>
      <c r="M3043" s="460">
        <f t="shared" si="159"/>
        <v>0.05</v>
      </c>
      <c r="N3043" s="464">
        <f t="shared" si="160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58"/>
        <v>-87065618073.603394</v>
      </c>
      <c r="J3044" s="444">
        <f t="array" ref="J3044">IFERROR(INDEX('Retirement Calculator'!J:J,MATCH('Isaac 401k'!N3044,'Retirement Calculator'!A:A,0),0),0)</f>
        <v>0</v>
      </c>
      <c r="K3044" s="444">
        <f t="shared" ca="1" si="156"/>
        <v>-362773408.64001411</v>
      </c>
      <c r="L3044" s="444">
        <f t="shared" ca="1" si="157"/>
        <v>-87428391482.243408</v>
      </c>
      <c r="M3044" s="460">
        <f t="shared" si="159"/>
        <v>0.05</v>
      </c>
      <c r="N3044" s="464">
        <f t="shared" si="160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58"/>
        <v>-87428391482.243408</v>
      </c>
      <c r="J3045" s="444">
        <f t="array" ref="J3045">IFERROR(INDEX('Retirement Calculator'!J:J,MATCH('Isaac 401k'!N3045,'Retirement Calculator'!A:A,0),0),0)</f>
        <v>0</v>
      </c>
      <c r="K3045" s="444">
        <f t="shared" ca="1" si="156"/>
        <v>-364284964.50934756</v>
      </c>
      <c r="L3045" s="444">
        <f t="shared" ca="1" si="157"/>
        <v>-87792676446.752762</v>
      </c>
      <c r="M3045" s="460">
        <f t="shared" si="159"/>
        <v>0.05</v>
      </c>
      <c r="N3045" s="464">
        <f t="shared" si="160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58"/>
        <v>-87792676446.752762</v>
      </c>
      <c r="J3046" s="444">
        <f t="array" ref="J3046">IFERROR(INDEX('Retirement Calculator'!J:J,MATCH('Isaac 401k'!N3046,'Retirement Calculator'!A:A,0),0),0)</f>
        <v>0</v>
      </c>
      <c r="K3046" s="444">
        <f t="shared" ca="1" si="156"/>
        <v>-365802818.52813649</v>
      </c>
      <c r="L3046" s="444">
        <f t="shared" ca="1" si="157"/>
        <v>-88158479265.280899</v>
      </c>
      <c r="M3046" s="460">
        <f t="shared" si="159"/>
        <v>0.05</v>
      </c>
      <c r="N3046" s="464">
        <f t="shared" si="160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58"/>
        <v>-88158479265.280899</v>
      </c>
      <c r="J3047" s="444">
        <f t="array" ref="J3047">IFERROR(INDEX('Retirement Calculator'!J:J,MATCH('Isaac 401k'!N3047,'Retirement Calculator'!A:A,0),0),0)</f>
        <v>0</v>
      </c>
      <c r="K3047" s="444">
        <f t="shared" ca="1" si="156"/>
        <v>-367326996.9386704</v>
      </c>
      <c r="L3047" s="444">
        <f t="shared" ca="1" si="157"/>
        <v>-88525806262.219574</v>
      </c>
      <c r="M3047" s="460">
        <f t="shared" si="159"/>
        <v>0.05</v>
      </c>
      <c r="N3047" s="464">
        <f t="shared" si="160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58"/>
        <v>-88525806262.219574</v>
      </c>
      <c r="J3048" s="444">
        <f t="array" ref="J3048">IFERROR(INDEX('Retirement Calculator'!J:J,MATCH('Isaac 401k'!N3048,'Retirement Calculator'!A:A,0),0),0)</f>
        <v>0</v>
      </c>
      <c r="K3048" s="444">
        <f t="shared" ca="1" si="156"/>
        <v>-368857526.09258157</v>
      </c>
      <c r="L3048" s="444">
        <f t="shared" ca="1" si="157"/>
        <v>-88894663788.312149</v>
      </c>
      <c r="M3048" s="460">
        <f t="shared" si="159"/>
        <v>0.05</v>
      </c>
      <c r="N3048" s="464">
        <f t="shared" si="160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58"/>
        <v>-88894663788.312149</v>
      </c>
      <c r="J3049" s="444">
        <f t="array" ref="J3049">IFERROR(INDEX('Retirement Calculator'!J:J,MATCH('Isaac 401k'!N3049,'Retirement Calculator'!A:A,0),0),0)</f>
        <v>0</v>
      </c>
      <c r="K3049" s="444">
        <f t="shared" ca="1" si="156"/>
        <v>-370394432.45130062</v>
      </c>
      <c r="L3049" s="444">
        <f t="shared" ca="1" si="157"/>
        <v>-89265058220.763443</v>
      </c>
      <c r="M3049" s="460">
        <f t="shared" si="159"/>
        <v>0.05</v>
      </c>
      <c r="N3049" s="464">
        <f t="shared" si="160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58"/>
        <v>-89265058220.763443</v>
      </c>
      <c r="J3050" s="444">
        <f t="array" ref="J3050">IFERROR(INDEX('Retirement Calculator'!J:J,MATCH('Isaac 401k'!N3050,'Retirement Calculator'!A:A,0),0),0)</f>
        <v>0</v>
      </c>
      <c r="K3050" s="444">
        <f t="shared" ca="1" si="156"/>
        <v>-371937742.58651435</v>
      </c>
      <c r="L3050" s="444">
        <f t="shared" ca="1" si="157"/>
        <v>-89636995963.34996</v>
      </c>
      <c r="M3050" s="460">
        <f t="shared" si="159"/>
        <v>0.05</v>
      </c>
      <c r="N3050" s="464">
        <f t="shared" si="160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58"/>
        <v>-89636995963.34996</v>
      </c>
      <c r="J3051" s="444">
        <f t="array" ref="J3051">IFERROR(INDEX('Retirement Calculator'!J:J,MATCH('Isaac 401k'!N3051,'Retirement Calculator'!A:A,0),0),0)</f>
        <v>0</v>
      </c>
      <c r="K3051" s="444">
        <f t="shared" ca="1" si="156"/>
        <v>-373487483.18062484</v>
      </c>
      <c r="L3051" s="444">
        <f t="shared" ca="1" si="157"/>
        <v>-90010483446.530579</v>
      </c>
      <c r="M3051" s="460">
        <f t="shared" si="159"/>
        <v>0.05</v>
      </c>
      <c r="N3051" s="464">
        <f t="shared" si="160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58"/>
        <v>-90010483446.530579</v>
      </c>
      <c r="J3052" s="444">
        <f t="array" ref="J3052">IFERROR(INDEX('Retirement Calculator'!J:J,MATCH('Isaac 401k'!N3052,'Retirement Calculator'!A:A,0),0),0)</f>
        <v>0</v>
      </c>
      <c r="K3052" s="444">
        <f t="shared" ca="1" si="156"/>
        <v>-375043681.02721071</v>
      </c>
      <c r="L3052" s="444">
        <f t="shared" ca="1" si="157"/>
        <v>-90385527127.557785</v>
      </c>
      <c r="M3052" s="460">
        <f t="shared" si="159"/>
        <v>0.05</v>
      </c>
      <c r="N3052" s="464">
        <f t="shared" si="160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58"/>
        <v>-90385527127.557785</v>
      </c>
      <c r="J3053" s="444">
        <f t="array" ref="J3053">IFERROR(INDEX('Retirement Calculator'!J:J,MATCH('Isaac 401k'!N3053,'Retirement Calculator'!A:A,0),0),0)</f>
        <v>0</v>
      </c>
      <c r="K3053" s="444">
        <f t="shared" ca="1" si="156"/>
        <v>-376606363.03149074</v>
      </c>
      <c r="L3053" s="444">
        <f t="shared" ca="1" si="157"/>
        <v>-90762133490.589279</v>
      </c>
      <c r="M3053" s="460">
        <f t="shared" si="159"/>
        <v>0.05</v>
      </c>
      <c r="N3053" s="464">
        <f t="shared" si="160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58"/>
        <v>-90762133490.589279</v>
      </c>
      <c r="J3054" s="444">
        <f t="array" ref="J3054">IFERROR(INDEX('Retirement Calculator'!J:J,MATCH('Isaac 401k'!N3054,'Retirement Calculator'!A:A,0),0),0)</f>
        <v>0</v>
      </c>
      <c r="K3054" s="444">
        <f t="shared" ca="1" si="156"/>
        <v>-378175556.21078867</v>
      </c>
      <c r="L3054" s="444">
        <f t="shared" ca="1" si="157"/>
        <v>-91140309046.800064</v>
      </c>
      <c r="M3054" s="460">
        <f t="shared" si="159"/>
        <v>0.05</v>
      </c>
      <c r="N3054" s="464">
        <f t="shared" si="160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58"/>
        <v>-91140309046.800064</v>
      </c>
      <c r="J3055" s="444">
        <f t="array" ref="J3055">IFERROR(INDEX('Retirement Calculator'!J:J,MATCH('Isaac 401k'!N3055,'Retirement Calculator'!A:A,0),0),0)</f>
        <v>0</v>
      </c>
      <c r="K3055" s="444">
        <f t="shared" ca="1" si="156"/>
        <v>-379751287.69500029</v>
      </c>
      <c r="L3055" s="444">
        <f t="shared" ca="1" si="157"/>
        <v>-91520060334.495071</v>
      </c>
      <c r="M3055" s="460">
        <f t="shared" si="159"/>
        <v>0.05</v>
      </c>
      <c r="N3055" s="464">
        <f t="shared" si="160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58"/>
        <v>-91520060334.495071</v>
      </c>
      <c r="J3056" s="444">
        <f t="array" ref="J3056">IFERROR(INDEX('Retirement Calculator'!J:J,MATCH('Isaac 401k'!N3056,'Retirement Calculator'!A:A,0),0),0)</f>
        <v>0</v>
      </c>
      <c r="K3056" s="444">
        <f t="shared" ca="1" si="156"/>
        <v>-381333584.72706282</v>
      </c>
      <c r="L3056" s="444">
        <f t="shared" ca="1" si="157"/>
        <v>-91901393919.222137</v>
      </c>
      <c r="M3056" s="460">
        <f t="shared" si="159"/>
        <v>0.05</v>
      </c>
      <c r="N3056" s="464">
        <f t="shared" si="160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58"/>
        <v>-91901393919.222137</v>
      </c>
      <c r="J3057" s="444">
        <f t="array" ref="J3057">IFERROR(INDEX('Retirement Calculator'!J:J,MATCH('Isaac 401k'!N3057,'Retirement Calculator'!A:A,0),0),0)</f>
        <v>0</v>
      </c>
      <c r="K3057" s="444">
        <f t="shared" ca="1" si="156"/>
        <v>-382922474.66342556</v>
      </c>
      <c r="L3057" s="444">
        <f t="shared" ca="1" si="157"/>
        <v>-92284316393.885559</v>
      </c>
      <c r="M3057" s="460">
        <f t="shared" si="159"/>
        <v>0.05</v>
      </c>
      <c r="N3057" s="464">
        <f t="shared" si="160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58"/>
        <v>-92284316393.885559</v>
      </c>
      <c r="J3058" s="444">
        <f t="array" ref="J3058">IFERROR(INDEX('Retirement Calculator'!J:J,MATCH('Isaac 401k'!N3058,'Retirement Calculator'!A:A,0),0),0)</f>
        <v>0</v>
      </c>
      <c r="K3058" s="444">
        <f t="shared" ca="1" si="156"/>
        <v>-384517984.97452319</v>
      </c>
      <c r="L3058" s="444">
        <f t="shared" ca="1" si="157"/>
        <v>-92668834378.860077</v>
      </c>
      <c r="M3058" s="460">
        <f t="shared" si="159"/>
        <v>0.05</v>
      </c>
      <c r="N3058" s="464">
        <f t="shared" si="160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58"/>
        <v>-92668834378.860077</v>
      </c>
      <c r="J3059" s="444">
        <f t="array" ref="J3059">IFERROR(INDEX('Retirement Calculator'!J:J,MATCH('Isaac 401k'!N3059,'Retirement Calculator'!A:A,0),0),0)</f>
        <v>0</v>
      </c>
      <c r="K3059" s="444">
        <f t="shared" ca="1" si="156"/>
        <v>-386120143.24525034</v>
      </c>
      <c r="L3059" s="444">
        <f t="shared" ca="1" si="157"/>
        <v>-93054954522.105331</v>
      </c>
      <c r="M3059" s="460">
        <f t="shared" si="159"/>
        <v>0.05</v>
      </c>
      <c r="N3059" s="464">
        <f t="shared" si="160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58"/>
        <v>-93054954522.105331</v>
      </c>
      <c r="J3060" s="444">
        <f t="array" ref="J3060">IFERROR(INDEX('Retirement Calculator'!J:J,MATCH('Isaac 401k'!N3060,'Retirement Calculator'!A:A,0),0),0)</f>
        <v>0</v>
      </c>
      <c r="K3060" s="444">
        <f t="shared" ca="1" si="156"/>
        <v>-387728977.17543888</v>
      </c>
      <c r="L3060" s="444">
        <f t="shared" ca="1" si="157"/>
        <v>-93442683499.280777</v>
      </c>
      <c r="M3060" s="460">
        <f t="shared" si="159"/>
        <v>0.05</v>
      </c>
      <c r="N3060" s="464">
        <f t="shared" si="160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58"/>
        <v>-93442683499.280777</v>
      </c>
      <c r="J3061" s="444">
        <f t="array" ref="J3061">IFERROR(INDEX('Retirement Calculator'!J:J,MATCH('Isaac 401k'!N3061,'Retirement Calculator'!A:A,0),0),0)</f>
        <v>0</v>
      </c>
      <c r="K3061" s="444">
        <f t="shared" ca="1" si="156"/>
        <v>-389344514.58033657</v>
      </c>
      <c r="L3061" s="444">
        <f t="shared" ca="1" si="157"/>
        <v>-93832028013.861115</v>
      </c>
      <c r="M3061" s="460">
        <f t="shared" si="159"/>
        <v>0.05</v>
      </c>
      <c r="N3061" s="464">
        <f t="shared" si="160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58"/>
        <v>-93832028013.861115</v>
      </c>
      <c r="J3062" s="444">
        <f t="array" ref="J3062">IFERROR(INDEX('Retirement Calculator'!J:J,MATCH('Isaac 401k'!N3062,'Retirement Calculator'!A:A,0),0),0)</f>
        <v>0</v>
      </c>
      <c r="K3062" s="444">
        <f t="shared" ca="1" si="156"/>
        <v>-390966783.39108795</v>
      </c>
      <c r="L3062" s="444">
        <f t="shared" ca="1" si="157"/>
        <v>-94222994797.252197</v>
      </c>
      <c r="M3062" s="460">
        <f t="shared" si="159"/>
        <v>0.05</v>
      </c>
      <c r="N3062" s="464">
        <f t="shared" si="160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58"/>
        <v>-94222994797.252197</v>
      </c>
      <c r="J3063" s="444">
        <f t="array" ref="J3063">IFERROR(INDEX('Retirement Calculator'!J:J,MATCH('Isaac 401k'!N3063,'Retirement Calculator'!A:A,0),0),0)</f>
        <v>0</v>
      </c>
      <c r="K3063" s="444">
        <f t="shared" ca="1" si="156"/>
        <v>-392595811.65521747</v>
      </c>
      <c r="L3063" s="444">
        <f t="shared" ca="1" si="157"/>
        <v>-94615590608.90741</v>
      </c>
      <c r="M3063" s="460">
        <f t="shared" si="159"/>
        <v>0.05</v>
      </c>
      <c r="N3063" s="464">
        <f t="shared" si="160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58"/>
        <v>-94615590608.90741</v>
      </c>
      <c r="J3064" s="444">
        <f t="array" ref="J3064">IFERROR(INDEX('Retirement Calculator'!J:J,MATCH('Isaac 401k'!N3064,'Retirement Calculator'!A:A,0),0),0)</f>
        <v>0</v>
      </c>
      <c r="K3064" s="444">
        <f t="shared" ca="1" si="156"/>
        <v>-394231627.5371142</v>
      </c>
      <c r="L3064" s="444">
        <f t="shared" ca="1" si="157"/>
        <v>-95009822236.444519</v>
      </c>
      <c r="M3064" s="460">
        <f t="shared" si="159"/>
        <v>0.05</v>
      </c>
      <c r="N3064" s="464">
        <f t="shared" si="160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58"/>
        <v>-95009822236.444519</v>
      </c>
      <c r="J3065" s="444">
        <f t="array" ref="J3065">IFERROR(INDEX('Retirement Calculator'!J:J,MATCH('Isaac 401k'!N3065,'Retirement Calculator'!A:A,0),0),0)</f>
        <v>0</v>
      </c>
      <c r="K3065" s="444">
        <f t="shared" ca="1" si="156"/>
        <v>-395874259.31851882</v>
      </c>
      <c r="L3065" s="444">
        <f t="shared" ca="1" si="157"/>
        <v>-95405696495.763031</v>
      </c>
      <c r="M3065" s="460">
        <f t="shared" si="159"/>
        <v>0.05</v>
      </c>
      <c r="N3065" s="464">
        <f t="shared" si="160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58"/>
        <v>-95405696495.763031</v>
      </c>
      <c r="J3066" s="444">
        <f t="array" ref="J3066">IFERROR(INDEX('Retirement Calculator'!J:J,MATCH('Isaac 401k'!N3066,'Retirement Calculator'!A:A,0),0),0)</f>
        <v>0</v>
      </c>
      <c r="K3066" s="444">
        <f t="shared" ca="1" si="156"/>
        <v>-397523735.39901263</v>
      </c>
      <c r="L3066" s="444">
        <f t="shared" ca="1" si="157"/>
        <v>-95803220231.162048</v>
      </c>
      <c r="M3066" s="460">
        <f t="shared" si="159"/>
        <v>0.05</v>
      </c>
      <c r="N3066" s="464">
        <f t="shared" si="160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58"/>
        <v>-95803220231.162048</v>
      </c>
      <c r="J3067" s="444">
        <f t="array" ref="J3067">IFERROR(INDEX('Retirement Calculator'!J:J,MATCH('Isaac 401k'!N3067,'Retirement Calculator'!A:A,0),0),0)</f>
        <v>0</v>
      </c>
      <c r="K3067" s="444">
        <f t="shared" ca="1" si="156"/>
        <v>-399180084.29650855</v>
      </c>
      <c r="L3067" s="444">
        <f t="shared" ca="1" si="157"/>
        <v>-96202400315.458557</v>
      </c>
      <c r="M3067" s="460">
        <f t="shared" si="159"/>
        <v>0.05</v>
      </c>
      <c r="N3067" s="464">
        <f t="shared" si="160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58"/>
        <v>-96202400315.458557</v>
      </c>
      <c r="J3068" s="444">
        <f t="array" ref="J3068">IFERROR(INDEX('Retirement Calculator'!J:J,MATCH('Isaac 401k'!N3068,'Retirement Calculator'!A:A,0),0),0)</f>
        <v>0</v>
      </c>
      <c r="K3068" s="444">
        <f t="shared" ref="K3068:K3322" ca="1" si="161">IPMT(M3068/12,1,12,-I3068+J3068,,0)</f>
        <v>-400843334.647744</v>
      </c>
      <c r="L3068" s="444">
        <f t="shared" ref="L3068:L3322" ca="1" si="162">I3068-J3068+K3068</f>
        <v>-96603243650.106308</v>
      </c>
      <c r="M3068" s="460">
        <f t="shared" si="159"/>
        <v>0.05</v>
      </c>
      <c r="N3068" s="464">
        <f t="shared" si="160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63">L3068</f>
        <v>-96603243650.106308</v>
      </c>
      <c r="J3069" s="444">
        <f t="array" ref="J3069">IFERROR(INDEX('Retirement Calculator'!J:J,MATCH('Isaac 401k'!N3069,'Retirement Calculator'!A:A,0),0),0)</f>
        <v>0</v>
      </c>
      <c r="K3069" s="444">
        <f t="shared" ca="1" si="161"/>
        <v>-402513515.2087763</v>
      </c>
      <c r="L3069" s="444">
        <f t="shared" ca="1" si="162"/>
        <v>-97005757165.315079</v>
      </c>
      <c r="M3069" s="460">
        <f t="shared" ref="M3069:M3323" si="164">M3068</f>
        <v>0.05</v>
      </c>
      <c r="N3069" s="464">
        <f t="shared" ref="N3069:N3323" si="165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63"/>
        <v>-97005757165.315079</v>
      </c>
      <c r="J3070" s="444">
        <f t="array" ref="J3070">IFERROR(INDEX('Retirement Calculator'!J:J,MATCH('Isaac 401k'!N3070,'Retirement Calculator'!A:A,0),0),0)</f>
        <v>0</v>
      </c>
      <c r="K3070" s="444">
        <f t="shared" ca="1" si="161"/>
        <v>-404190654.85547948</v>
      </c>
      <c r="L3070" s="444">
        <f t="shared" ca="1" si="162"/>
        <v>-97409947820.170563</v>
      </c>
      <c r="M3070" s="460">
        <f t="shared" si="164"/>
        <v>0.05</v>
      </c>
      <c r="N3070" s="464">
        <f t="shared" si="165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63"/>
        <v>-97409947820.170563</v>
      </c>
      <c r="J3071" s="444">
        <f t="array" ref="J3071">IFERROR(INDEX('Retirement Calculator'!J:J,MATCH('Isaac 401k'!N3071,'Retirement Calculator'!A:A,0),0),0)</f>
        <v>0</v>
      </c>
      <c r="K3071" s="444">
        <f t="shared" ca="1" si="161"/>
        <v>-405874782.58404398</v>
      </c>
      <c r="L3071" s="444">
        <f t="shared" ca="1" si="162"/>
        <v>-97815822602.754608</v>
      </c>
      <c r="M3071" s="460">
        <f t="shared" si="164"/>
        <v>0.05</v>
      </c>
      <c r="N3071" s="464">
        <f t="shared" si="165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63"/>
        <v>-97815822602.754608</v>
      </c>
      <c r="J3072" s="444">
        <f t="array" ref="J3072">IFERROR(INDEX('Retirement Calculator'!J:J,MATCH('Isaac 401k'!N3072,'Retirement Calculator'!A:A,0),0),0)</f>
        <v>0</v>
      </c>
      <c r="K3072" s="444">
        <f t="shared" ca="1" si="161"/>
        <v>-407565927.51147753</v>
      </c>
      <c r="L3072" s="444">
        <f t="shared" ca="1" si="162"/>
        <v>-98223388530.266083</v>
      </c>
      <c r="M3072" s="460">
        <f t="shared" si="164"/>
        <v>0.05</v>
      </c>
      <c r="N3072" s="464">
        <f t="shared" si="165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63"/>
        <v>-98223388530.266083</v>
      </c>
      <c r="J3073" s="444">
        <f t="array" ref="J3073">IFERROR(INDEX('Retirement Calculator'!J:J,MATCH('Isaac 401k'!N3073,'Retirement Calculator'!A:A,0),0),0)</f>
        <v>0</v>
      </c>
      <c r="K3073" s="444">
        <f t="shared" ca="1" si="161"/>
        <v>-409264118.87610865</v>
      </c>
      <c r="L3073" s="444">
        <f t="shared" ca="1" si="162"/>
        <v>-98632652649.142197</v>
      </c>
      <c r="M3073" s="460">
        <f t="shared" si="164"/>
        <v>0.05</v>
      </c>
      <c r="N3073" s="464">
        <f t="shared" si="165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63"/>
        <v>-98632652649.142197</v>
      </c>
      <c r="J3074" s="444">
        <f t="array" ref="J3074">IFERROR(INDEX('Retirement Calculator'!J:J,MATCH('Isaac 401k'!N3074,'Retirement Calculator'!A:A,0),0),0)</f>
        <v>0</v>
      </c>
      <c r="K3074" s="444">
        <f t="shared" ca="1" si="161"/>
        <v>-410969386.03809249</v>
      </c>
      <c r="L3074" s="444">
        <f t="shared" ca="1" si="162"/>
        <v>-99043622035.180283</v>
      </c>
      <c r="M3074" s="460">
        <f t="shared" si="164"/>
        <v>0.05</v>
      </c>
      <c r="N3074" s="464">
        <f t="shared" si="165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63"/>
        <v>-99043622035.180283</v>
      </c>
      <c r="J3075" s="444">
        <f t="array" ref="J3075">IFERROR(INDEX('Retirement Calculator'!J:J,MATCH('Isaac 401k'!N3075,'Retirement Calculator'!A:A,0),0),0)</f>
        <v>0</v>
      </c>
      <c r="K3075" s="444">
        <f t="shared" ca="1" si="161"/>
        <v>-412681758.47991782</v>
      </c>
      <c r="L3075" s="444">
        <f t="shared" ca="1" si="162"/>
        <v>-99456303793.660202</v>
      </c>
      <c r="M3075" s="460">
        <f t="shared" si="164"/>
        <v>0.05</v>
      </c>
      <c r="N3075" s="464">
        <f t="shared" si="165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63"/>
        <v>-99456303793.660202</v>
      </c>
      <c r="J3076" s="444">
        <f t="array" ref="J3076">IFERROR(INDEX('Retirement Calculator'!J:J,MATCH('Isaac 401k'!N3076,'Retirement Calculator'!A:A,0),0),0)</f>
        <v>0</v>
      </c>
      <c r="K3076" s="444">
        <f t="shared" ca="1" si="161"/>
        <v>-414401265.80691749</v>
      </c>
      <c r="L3076" s="444">
        <f t="shared" ca="1" si="162"/>
        <v>-99870705059.467117</v>
      </c>
      <c r="M3076" s="460">
        <f t="shared" si="164"/>
        <v>0.05</v>
      </c>
      <c r="N3076" s="464">
        <f t="shared" si="165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63"/>
        <v>-99870705059.467117</v>
      </c>
      <c r="J3077" s="444">
        <f t="array" ref="J3077">IFERROR(INDEX('Retirement Calculator'!J:J,MATCH('Isaac 401k'!N3077,'Retirement Calculator'!A:A,0),0),0)</f>
        <v>0</v>
      </c>
      <c r="K3077" s="444">
        <f t="shared" ca="1" si="161"/>
        <v>-416127937.74777967</v>
      </c>
      <c r="L3077" s="444">
        <f t="shared" ca="1" si="162"/>
        <v>-100286832997.21489</v>
      </c>
      <c r="M3077" s="460">
        <f t="shared" si="164"/>
        <v>0.05</v>
      </c>
      <c r="N3077" s="464">
        <f t="shared" si="165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63"/>
        <v>-100286832997.21489</v>
      </c>
      <c r="J3078" s="444">
        <f t="array" ref="J3078">IFERROR(INDEX('Retirement Calculator'!J:J,MATCH('Isaac 401k'!N3078,'Retirement Calculator'!A:A,0),0),0)</f>
        <v>0</v>
      </c>
      <c r="K3078" s="444">
        <f t="shared" ca="1" si="161"/>
        <v>-417861804.15506202</v>
      </c>
      <c r="L3078" s="444">
        <f t="shared" ca="1" si="162"/>
        <v>-100704694801.36995</v>
      </c>
      <c r="M3078" s="460">
        <f t="shared" si="164"/>
        <v>0.05</v>
      </c>
      <c r="N3078" s="464">
        <f t="shared" si="165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63"/>
        <v>-100704694801.36995</v>
      </c>
      <c r="J3079" s="444">
        <f t="array" ref="J3079">IFERROR(INDEX('Retirement Calculator'!J:J,MATCH('Isaac 401k'!N3079,'Retirement Calculator'!A:A,0),0),0)</f>
        <v>0</v>
      </c>
      <c r="K3079" s="444">
        <f t="shared" ca="1" si="161"/>
        <v>-419602895.0057081</v>
      </c>
      <c r="L3079" s="444">
        <f t="shared" ca="1" si="162"/>
        <v>-101124297696.37566</v>
      </c>
      <c r="M3079" s="460">
        <f t="shared" si="164"/>
        <v>0.05</v>
      </c>
      <c r="N3079" s="464">
        <f t="shared" si="165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63"/>
        <v>-101124297696.37566</v>
      </c>
      <c r="J3080" s="444">
        <f t="array" ref="J3080">IFERROR(INDEX('Retirement Calculator'!J:J,MATCH('Isaac 401k'!N3080,'Retirement Calculator'!A:A,0),0),0)</f>
        <v>0</v>
      </c>
      <c r="K3080" s="444">
        <f t="shared" ca="1" si="161"/>
        <v>-421351240.40156525</v>
      </c>
      <c r="L3080" s="444">
        <f t="shared" ca="1" si="162"/>
        <v>-101545648936.77722</v>
      </c>
      <c r="M3080" s="460">
        <f t="shared" si="164"/>
        <v>0.05</v>
      </c>
      <c r="N3080" s="464">
        <f t="shared" si="165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63"/>
        <v>-101545648936.77722</v>
      </c>
      <c r="J3081" s="444">
        <f t="array" ref="J3081">IFERROR(INDEX('Retirement Calculator'!J:J,MATCH('Isaac 401k'!N3081,'Retirement Calculator'!A:A,0),0),0)</f>
        <v>0</v>
      </c>
      <c r="K3081" s="444">
        <f t="shared" ca="1" si="161"/>
        <v>-423106870.5699051</v>
      </c>
      <c r="L3081" s="444">
        <f t="shared" ca="1" si="162"/>
        <v>-101968755807.34712</v>
      </c>
      <c r="M3081" s="460">
        <f t="shared" si="164"/>
        <v>0.05</v>
      </c>
      <c r="N3081" s="464">
        <f t="shared" si="165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63"/>
        <v>-101968755807.34712</v>
      </c>
      <c r="J3082" s="444">
        <f t="array" ref="J3082">IFERROR(INDEX('Retirement Calculator'!J:J,MATCH('Isaac 401k'!N3082,'Retirement Calculator'!A:A,0),0),0)</f>
        <v>0</v>
      </c>
      <c r="K3082" s="444">
        <f t="shared" ca="1" si="161"/>
        <v>-424869815.86394632</v>
      </c>
      <c r="L3082" s="444">
        <f t="shared" ca="1" si="162"/>
        <v>-102393625623.21107</v>
      </c>
      <c r="M3082" s="460">
        <f t="shared" si="164"/>
        <v>0.05</v>
      </c>
      <c r="N3082" s="464">
        <f t="shared" si="165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63"/>
        <v>-102393625623.21107</v>
      </c>
      <c r="J3083" s="444">
        <f t="array" ref="J3083">IFERROR(INDEX('Retirement Calculator'!J:J,MATCH('Isaac 401k'!N3083,'Retirement Calculator'!A:A,0),0),0)</f>
        <v>0</v>
      </c>
      <c r="K3083" s="444">
        <f t="shared" ca="1" si="161"/>
        <v>-426640106.76337945</v>
      </c>
      <c r="L3083" s="444">
        <f t="shared" ca="1" si="162"/>
        <v>-102820265729.97446</v>
      </c>
      <c r="M3083" s="460">
        <f t="shared" si="164"/>
        <v>0.05</v>
      </c>
      <c r="N3083" s="464">
        <f t="shared" si="165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63"/>
        <v>-102820265729.97446</v>
      </c>
      <c r="J3084" s="444">
        <f t="array" ref="J3084">IFERROR(INDEX('Retirement Calculator'!J:J,MATCH('Isaac 401k'!N3084,'Retirement Calculator'!A:A,0),0),0)</f>
        <v>0</v>
      </c>
      <c r="K3084" s="444">
        <f t="shared" ca="1" si="161"/>
        <v>-428417773.87489355</v>
      </c>
      <c r="L3084" s="444">
        <f t="shared" ca="1" si="162"/>
        <v>-103248683503.84935</v>
      </c>
      <c r="M3084" s="460">
        <f t="shared" si="164"/>
        <v>0.05</v>
      </c>
      <c r="N3084" s="464">
        <f t="shared" si="165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63"/>
        <v>-103248683503.84935</v>
      </c>
      <c r="J3085" s="444">
        <f t="array" ref="J3085">IFERROR(INDEX('Retirement Calculator'!J:J,MATCH('Isaac 401k'!N3085,'Retirement Calculator'!A:A,0),0),0)</f>
        <v>0</v>
      </c>
      <c r="K3085" s="444">
        <f t="shared" ca="1" si="161"/>
        <v>-430202847.93270564</v>
      </c>
      <c r="L3085" s="444">
        <f t="shared" ca="1" si="162"/>
        <v>-103678886351.78206</v>
      </c>
      <c r="M3085" s="460">
        <f t="shared" si="164"/>
        <v>0.05</v>
      </c>
      <c r="N3085" s="464">
        <f t="shared" si="165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63"/>
        <v>-103678886351.78206</v>
      </c>
      <c r="J3086" s="444">
        <f t="array" ref="J3086">IFERROR(INDEX('Retirement Calculator'!J:J,MATCH('Isaac 401k'!N3086,'Retirement Calculator'!A:A,0),0),0)</f>
        <v>0</v>
      </c>
      <c r="K3086" s="444">
        <f t="shared" ca="1" si="161"/>
        <v>-431995359.79909188</v>
      </c>
      <c r="L3086" s="444">
        <f t="shared" ca="1" si="162"/>
        <v>-104110881711.58115</v>
      </c>
      <c r="M3086" s="460">
        <f t="shared" si="164"/>
        <v>0.05</v>
      </c>
      <c r="N3086" s="464">
        <f t="shared" si="165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63"/>
        <v>-104110881711.58115</v>
      </c>
      <c r="J3087" s="444">
        <f t="array" ref="J3087">IFERROR(INDEX('Retirement Calculator'!J:J,MATCH('Isaac 401k'!N3087,'Retirement Calculator'!A:A,0),0),0)</f>
        <v>0</v>
      </c>
      <c r="K3087" s="444">
        <f t="shared" ca="1" si="161"/>
        <v>-433795340.46492141</v>
      </c>
      <c r="L3087" s="444">
        <f t="shared" ca="1" si="162"/>
        <v>-104544677052.04607</v>
      </c>
      <c r="M3087" s="460">
        <f t="shared" si="164"/>
        <v>0.05</v>
      </c>
      <c r="N3087" s="464">
        <f t="shared" si="165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63"/>
        <v>-104544677052.04607</v>
      </c>
      <c r="J3088" s="444">
        <f t="array" ref="J3088">IFERROR(INDEX('Retirement Calculator'!J:J,MATCH('Isaac 401k'!N3088,'Retirement Calculator'!A:A,0),0),0)</f>
        <v>0</v>
      </c>
      <c r="K3088" s="444">
        <f t="shared" ca="1" si="161"/>
        <v>-435602821.05019194</v>
      </c>
      <c r="L3088" s="444">
        <f t="shared" ca="1" si="162"/>
        <v>-104980279873.09625</v>
      </c>
      <c r="M3088" s="460">
        <f t="shared" si="164"/>
        <v>0.05</v>
      </c>
      <c r="N3088" s="464">
        <f t="shared" si="165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63"/>
        <v>-104980279873.09625</v>
      </c>
      <c r="J3089" s="444">
        <f t="array" ref="J3089">IFERROR(INDEX('Retirement Calculator'!J:J,MATCH('Isaac 401k'!N3089,'Retirement Calculator'!A:A,0),0),0)</f>
        <v>0</v>
      </c>
      <c r="K3089" s="444">
        <f t="shared" ca="1" si="161"/>
        <v>-437417832.80456769</v>
      </c>
      <c r="L3089" s="444">
        <f t="shared" ca="1" si="162"/>
        <v>-105417697705.90082</v>
      </c>
      <c r="M3089" s="460">
        <f t="shared" si="164"/>
        <v>0.05</v>
      </c>
      <c r="N3089" s="464">
        <f t="shared" si="165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63"/>
        <v>-105417697705.90082</v>
      </c>
      <c r="J3090" s="444">
        <f t="array" ref="J3090">IFERROR(INDEX('Retirement Calculator'!J:J,MATCH('Isaac 401k'!N3090,'Retirement Calculator'!A:A,0),0),0)</f>
        <v>0</v>
      </c>
      <c r="K3090" s="444">
        <f t="shared" ca="1" si="161"/>
        <v>-439240407.10792005</v>
      </c>
      <c r="L3090" s="444">
        <f t="shared" ca="1" si="162"/>
        <v>-105856938113.00874</v>
      </c>
      <c r="M3090" s="460">
        <f t="shared" si="164"/>
        <v>0.05</v>
      </c>
      <c r="N3090" s="464">
        <f t="shared" si="165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63"/>
        <v>-105856938113.00874</v>
      </c>
      <c r="J3091" s="444">
        <f t="array" ref="J3091">IFERROR(INDEX('Retirement Calculator'!J:J,MATCH('Isaac 401k'!N3091,'Retirement Calculator'!A:A,0),0),0)</f>
        <v>0</v>
      </c>
      <c r="K3091" s="444">
        <f t="shared" ca="1" si="161"/>
        <v>-441070575.47086978</v>
      </c>
      <c r="L3091" s="444">
        <f t="shared" ca="1" si="162"/>
        <v>-106298008688.47961</v>
      </c>
      <c r="M3091" s="460">
        <f t="shared" si="164"/>
        <v>0.05</v>
      </c>
      <c r="N3091" s="464">
        <f t="shared" si="165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63"/>
        <v>-106298008688.47961</v>
      </c>
      <c r="J3092" s="444">
        <f t="array" ref="J3092">IFERROR(INDEX('Retirement Calculator'!J:J,MATCH('Isaac 401k'!N3092,'Retirement Calculator'!A:A,0),0),0)</f>
        <v>0</v>
      </c>
      <c r="K3092" s="444">
        <f t="shared" ca="1" si="161"/>
        <v>-442908369.53533173</v>
      </c>
      <c r="L3092" s="444">
        <f t="shared" ca="1" si="162"/>
        <v>-106740917058.01495</v>
      </c>
      <c r="M3092" s="460">
        <f t="shared" si="164"/>
        <v>0.05</v>
      </c>
      <c r="N3092" s="464">
        <f t="shared" si="165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63"/>
        <v>-106740917058.01495</v>
      </c>
      <c r="J3093" s="444">
        <f t="array" ref="J3093">IFERROR(INDEX('Retirement Calculator'!J:J,MATCH('Isaac 401k'!N3093,'Retirement Calculator'!A:A,0),0),0)</f>
        <v>0</v>
      </c>
      <c r="K3093" s="444">
        <f t="shared" ca="1" si="161"/>
        <v>-444753821.07506227</v>
      </c>
      <c r="L3093" s="444">
        <f t="shared" ca="1" si="162"/>
        <v>-107185670879.09001</v>
      </c>
      <c r="M3093" s="460">
        <f t="shared" si="164"/>
        <v>0.05</v>
      </c>
      <c r="N3093" s="464">
        <f t="shared" si="165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63"/>
        <v>-107185670879.09001</v>
      </c>
      <c r="J3094" s="444">
        <f t="array" ref="J3094">IFERROR(INDEX('Retirement Calculator'!J:J,MATCH('Isaac 401k'!N3094,'Retirement Calculator'!A:A,0),0),0)</f>
        <v>0</v>
      </c>
      <c r="K3094" s="444">
        <f t="shared" ca="1" si="161"/>
        <v>-446606961.99620831</v>
      </c>
      <c r="L3094" s="444">
        <f t="shared" ca="1" si="162"/>
        <v>-107632277841.08623</v>
      </c>
      <c r="M3094" s="460">
        <f t="shared" si="164"/>
        <v>0.05</v>
      </c>
      <c r="N3094" s="464">
        <f t="shared" si="165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63"/>
        <v>-107632277841.08623</v>
      </c>
      <c r="J3095" s="444">
        <f t="array" ref="J3095">IFERROR(INDEX('Retirement Calculator'!J:J,MATCH('Isaac 401k'!N3095,'Retirement Calculator'!A:A,0),0),0)</f>
        <v>0</v>
      </c>
      <c r="K3095" s="444">
        <f t="shared" ca="1" si="161"/>
        <v>-448467824.33785927</v>
      </c>
      <c r="L3095" s="444">
        <f t="shared" ca="1" si="162"/>
        <v>-108080745665.42409</v>
      </c>
      <c r="M3095" s="460">
        <f t="shared" si="164"/>
        <v>0.05</v>
      </c>
      <c r="N3095" s="464">
        <f t="shared" si="165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63"/>
        <v>-108080745665.42409</v>
      </c>
      <c r="J3096" s="444">
        <f t="array" ref="J3096">IFERROR(INDEX('Retirement Calculator'!J:J,MATCH('Isaac 401k'!N3096,'Retirement Calculator'!A:A,0),0),0)</f>
        <v>0</v>
      </c>
      <c r="K3096" s="444">
        <f t="shared" ca="1" si="161"/>
        <v>-450336440.27260041</v>
      </c>
      <c r="L3096" s="444">
        <f t="shared" ca="1" si="162"/>
        <v>-108531082105.69669</v>
      </c>
      <c r="M3096" s="460">
        <f t="shared" si="164"/>
        <v>0.05</v>
      </c>
      <c r="N3096" s="464">
        <f t="shared" si="165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63"/>
        <v>-108531082105.69669</v>
      </c>
      <c r="J3097" s="444">
        <f t="array" ref="J3097">IFERROR(INDEX('Retirement Calculator'!J:J,MATCH('Isaac 401k'!N3097,'Retirement Calculator'!A:A,0),0),0)</f>
        <v>0</v>
      </c>
      <c r="K3097" s="444">
        <f t="shared" ca="1" si="161"/>
        <v>-452212842.10706949</v>
      </c>
      <c r="L3097" s="444">
        <f t="shared" ca="1" si="162"/>
        <v>-108983294947.80376</v>
      </c>
      <c r="M3097" s="460">
        <f t="shared" si="164"/>
        <v>0.05</v>
      </c>
      <c r="N3097" s="464">
        <f t="shared" si="165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63"/>
        <v>-108983294947.80376</v>
      </c>
      <c r="J3098" s="444">
        <f t="array" ref="J3098">IFERROR(INDEX('Retirement Calculator'!J:J,MATCH('Isaac 401k'!N3098,'Retirement Calculator'!A:A,0),0),0)</f>
        <v>0</v>
      </c>
      <c r="K3098" s="444">
        <f t="shared" ca="1" si="161"/>
        <v>-454097062.28251565</v>
      </c>
      <c r="L3098" s="444">
        <f t="shared" ca="1" si="162"/>
        <v>-109437392010.08627</v>
      </c>
      <c r="M3098" s="460">
        <f t="shared" si="164"/>
        <v>0.05</v>
      </c>
      <c r="N3098" s="464">
        <f t="shared" si="165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63"/>
        <v>-109437392010.08627</v>
      </c>
      <c r="J3099" s="444">
        <f t="array" ref="J3099">IFERROR(INDEX('Retirement Calculator'!J:J,MATCH('Isaac 401k'!N3099,'Retirement Calculator'!A:A,0),0),0)</f>
        <v>0</v>
      </c>
      <c r="K3099" s="444">
        <f t="shared" ca="1" si="161"/>
        <v>-455989133.37535948</v>
      </c>
      <c r="L3099" s="444">
        <f t="shared" ca="1" si="162"/>
        <v>-109893381143.46164</v>
      </c>
      <c r="M3099" s="460">
        <f t="shared" si="164"/>
        <v>0.05</v>
      </c>
      <c r="N3099" s="464">
        <f t="shared" si="165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63"/>
        <v>-109893381143.46164</v>
      </c>
      <c r="J3100" s="444">
        <f t="array" ref="J3100">IFERROR(INDEX('Retirement Calculator'!J:J,MATCH('Isaac 401k'!N3100,'Retirement Calculator'!A:A,0),0),0)</f>
        <v>0</v>
      </c>
      <c r="K3100" s="444">
        <f t="shared" ca="1" si="161"/>
        <v>-457889088.0977568</v>
      </c>
      <c r="L3100" s="444">
        <f t="shared" ca="1" si="162"/>
        <v>-110351270231.5594</v>
      </c>
      <c r="M3100" s="460">
        <f t="shared" si="164"/>
        <v>0.05</v>
      </c>
      <c r="N3100" s="464">
        <f t="shared" si="165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63"/>
        <v>-110351270231.5594</v>
      </c>
      <c r="J3101" s="444">
        <f t="array" ref="J3101">IFERROR(INDEX('Retirement Calculator'!J:J,MATCH('Isaac 401k'!N3101,'Retirement Calculator'!A:A,0),0),0)</f>
        <v>0</v>
      </c>
      <c r="K3101" s="444">
        <f t="shared" ca="1" si="161"/>
        <v>-459796959.29816419</v>
      </c>
      <c r="L3101" s="444">
        <f t="shared" ca="1" si="162"/>
        <v>-110811067190.85756</v>
      </c>
      <c r="M3101" s="460">
        <f t="shared" si="164"/>
        <v>0.05</v>
      </c>
      <c r="N3101" s="464">
        <f t="shared" si="165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63"/>
        <v>-110811067190.85756</v>
      </c>
      <c r="J3102" s="444">
        <f t="array" ref="J3102">IFERROR(INDEX('Retirement Calculator'!J:J,MATCH('Isaac 401k'!N3102,'Retirement Calculator'!A:A,0),0),0)</f>
        <v>0</v>
      </c>
      <c r="K3102" s="444">
        <f t="shared" ca="1" si="161"/>
        <v>-461712779.96190643</v>
      </c>
      <c r="L3102" s="444">
        <f t="shared" ca="1" si="162"/>
        <v>-111272779970.81946</v>
      </c>
      <c r="M3102" s="460">
        <f t="shared" si="164"/>
        <v>0.05</v>
      </c>
      <c r="N3102" s="464">
        <f t="shared" si="165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63"/>
        <v>-111272779970.81946</v>
      </c>
      <c r="J3103" s="444">
        <f t="array" ref="J3103">IFERROR(INDEX('Retirement Calculator'!J:J,MATCH('Isaac 401k'!N3103,'Retirement Calculator'!A:A,0),0),0)</f>
        <v>0</v>
      </c>
      <c r="K3103" s="444">
        <f t="shared" ca="1" si="161"/>
        <v>-463636583.21174771</v>
      </c>
      <c r="L3103" s="444">
        <f t="shared" ca="1" si="162"/>
        <v>-111736416554.0312</v>
      </c>
      <c r="M3103" s="460">
        <f t="shared" si="164"/>
        <v>0.05</v>
      </c>
      <c r="N3103" s="464">
        <f t="shared" si="165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63"/>
        <v>-111736416554.0312</v>
      </c>
      <c r="J3104" s="444">
        <f t="array" ref="J3104">IFERROR(INDEX('Retirement Calculator'!J:J,MATCH('Isaac 401k'!N3104,'Retirement Calculator'!A:A,0),0),0)</f>
        <v>0</v>
      </c>
      <c r="K3104" s="444">
        <f t="shared" ca="1" si="161"/>
        <v>-465568402.30846339</v>
      </c>
      <c r="L3104" s="444">
        <f t="shared" ca="1" si="162"/>
        <v>-112201984956.33966</v>
      </c>
      <c r="M3104" s="460">
        <f t="shared" si="164"/>
        <v>0.05</v>
      </c>
      <c r="N3104" s="464">
        <f t="shared" si="165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63"/>
        <v>-112201984956.33966</v>
      </c>
      <c r="J3105" s="444">
        <f t="array" ref="J3105">IFERROR(INDEX('Retirement Calculator'!J:J,MATCH('Isaac 401k'!N3105,'Retirement Calculator'!A:A,0),0),0)</f>
        <v>0</v>
      </c>
      <c r="K3105" s="444">
        <f t="shared" ca="1" si="161"/>
        <v>-467508270.65141523</v>
      </c>
      <c r="L3105" s="444">
        <f t="shared" ca="1" si="162"/>
        <v>-112669493226.99107</v>
      </c>
      <c r="M3105" s="460">
        <f t="shared" si="164"/>
        <v>0.05</v>
      </c>
      <c r="N3105" s="464">
        <f t="shared" si="165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63"/>
        <v>-112669493226.99107</v>
      </c>
      <c r="J3106" s="444">
        <f t="array" ref="J3106">IFERROR(INDEX('Retirement Calculator'!J:J,MATCH('Isaac 401k'!N3106,'Retirement Calculator'!A:A,0),0),0)</f>
        <v>0</v>
      </c>
      <c r="K3106" s="444">
        <f t="shared" ca="1" si="161"/>
        <v>-469456221.77912945</v>
      </c>
      <c r="L3106" s="444">
        <f t="shared" ca="1" si="162"/>
        <v>-113138949448.7702</v>
      </c>
      <c r="M3106" s="460">
        <f t="shared" si="164"/>
        <v>0.05</v>
      </c>
      <c r="N3106" s="464">
        <f t="shared" si="165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63"/>
        <v>-113138949448.7702</v>
      </c>
      <c r="J3107" s="444">
        <f t="array" ref="J3107">IFERROR(INDEX('Retirement Calculator'!J:J,MATCH('Isaac 401k'!N3107,'Retirement Calculator'!A:A,0),0),0)</f>
        <v>0</v>
      </c>
      <c r="K3107" s="444">
        <f t="shared" ca="1" si="161"/>
        <v>-471412289.36987585</v>
      </c>
      <c r="L3107" s="444">
        <f t="shared" ca="1" si="162"/>
        <v>-113610361738.14008</v>
      </c>
      <c r="M3107" s="460">
        <f t="shared" si="164"/>
        <v>0.05</v>
      </c>
      <c r="N3107" s="464">
        <f t="shared" si="165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63"/>
        <v>-113610361738.14008</v>
      </c>
      <c r="J3108" s="444">
        <f t="array" ref="J3108">IFERROR(INDEX('Retirement Calculator'!J:J,MATCH('Isaac 401k'!N3108,'Retirement Calculator'!A:A,0),0),0)</f>
        <v>0</v>
      </c>
      <c r="K3108" s="444">
        <f t="shared" ca="1" si="161"/>
        <v>-473376507.24225032</v>
      </c>
      <c r="L3108" s="444">
        <f t="shared" ca="1" si="162"/>
        <v>-114083738245.38232</v>
      </c>
      <c r="M3108" s="460">
        <f t="shared" si="164"/>
        <v>0.05</v>
      </c>
      <c r="N3108" s="464">
        <f t="shared" si="165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63"/>
        <v>-114083738245.38232</v>
      </c>
      <c r="J3109" s="444">
        <f t="array" ref="J3109">IFERROR(INDEX('Retirement Calculator'!J:J,MATCH('Isaac 401k'!N3109,'Retirement Calculator'!A:A,0),0),0)</f>
        <v>0</v>
      </c>
      <c r="K3109" s="444">
        <f t="shared" ca="1" si="161"/>
        <v>-475348909.35575968</v>
      </c>
      <c r="L3109" s="444">
        <f t="shared" ca="1" si="162"/>
        <v>-114559087154.73808</v>
      </c>
      <c r="M3109" s="460">
        <f t="shared" si="164"/>
        <v>0.05</v>
      </c>
      <c r="N3109" s="464">
        <f t="shared" si="165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63"/>
        <v>-114559087154.73808</v>
      </c>
      <c r="J3110" s="444">
        <f t="array" ref="J3110">IFERROR(INDEX('Retirement Calculator'!J:J,MATCH('Isaac 401k'!N3110,'Retirement Calculator'!A:A,0),0),0)</f>
        <v>0</v>
      </c>
      <c r="K3110" s="444">
        <f t="shared" ca="1" si="161"/>
        <v>-477329529.8114087</v>
      </c>
      <c r="L3110" s="444">
        <f t="shared" ca="1" si="162"/>
        <v>-115036416684.54948</v>
      </c>
      <c r="M3110" s="460">
        <f t="shared" si="164"/>
        <v>0.05</v>
      </c>
      <c r="N3110" s="464">
        <f t="shared" si="165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63"/>
        <v>-115036416684.54948</v>
      </c>
      <c r="J3111" s="444">
        <f t="array" ref="J3111">IFERROR(INDEX('Retirement Calculator'!J:J,MATCH('Isaac 401k'!N3111,'Retirement Calculator'!A:A,0),0),0)</f>
        <v>0</v>
      </c>
      <c r="K3111" s="444">
        <f t="shared" ca="1" si="161"/>
        <v>-479318402.85228956</v>
      </c>
      <c r="L3111" s="444">
        <f t="shared" ca="1" si="162"/>
        <v>-115515735087.40178</v>
      </c>
      <c r="M3111" s="460">
        <f t="shared" si="164"/>
        <v>0.05</v>
      </c>
      <c r="N3111" s="464">
        <f t="shared" si="165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63"/>
        <v>-115515735087.40178</v>
      </c>
      <c r="J3112" s="444">
        <f t="array" ref="J3112">IFERROR(INDEX('Retirement Calculator'!J:J,MATCH('Isaac 401k'!N3112,'Retirement Calculator'!A:A,0),0),0)</f>
        <v>0</v>
      </c>
      <c r="K3112" s="444">
        <f t="shared" ca="1" si="161"/>
        <v>-481315562.86417407</v>
      </c>
      <c r="L3112" s="444">
        <f t="shared" ca="1" si="162"/>
        <v>-115997050650.26596</v>
      </c>
      <c r="M3112" s="460">
        <f t="shared" si="164"/>
        <v>0.05</v>
      </c>
      <c r="N3112" s="464">
        <f t="shared" si="165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63"/>
        <v>-115997050650.26596</v>
      </c>
      <c r="J3113" s="444">
        <f t="array" ref="J3113">IFERROR(INDEX('Retirement Calculator'!J:J,MATCH('Isaac 401k'!N3113,'Retirement Calculator'!A:A,0),0),0)</f>
        <v>0</v>
      </c>
      <c r="K3113" s="444">
        <f t="shared" ca="1" si="161"/>
        <v>-483321044.37610817</v>
      </c>
      <c r="L3113" s="444">
        <f t="shared" ca="1" si="162"/>
        <v>-116480371694.64207</v>
      </c>
      <c r="M3113" s="460">
        <f t="shared" si="164"/>
        <v>0.05</v>
      </c>
      <c r="N3113" s="464">
        <f t="shared" si="165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63"/>
        <v>-116480371694.64207</v>
      </c>
      <c r="J3114" s="444">
        <f t="array" ref="J3114">IFERROR(INDEX('Retirement Calculator'!J:J,MATCH('Isaac 401k'!N3114,'Retirement Calculator'!A:A,0),0),0)</f>
        <v>0</v>
      </c>
      <c r="K3114" s="444">
        <f t="shared" ca="1" si="161"/>
        <v>-485334882.06100863</v>
      </c>
      <c r="L3114" s="444">
        <f t="shared" ca="1" si="162"/>
        <v>-116965706576.70308</v>
      </c>
      <c r="M3114" s="460">
        <f t="shared" si="164"/>
        <v>0.05</v>
      </c>
      <c r="N3114" s="464">
        <f t="shared" si="165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63"/>
        <v>-116965706576.70308</v>
      </c>
      <c r="J3115" s="444">
        <f t="array" ref="J3115">IFERROR(INDEX('Retirement Calculator'!J:J,MATCH('Isaac 401k'!N3115,'Retirement Calculator'!A:A,0),0),0)</f>
        <v>0</v>
      </c>
      <c r="K3115" s="444">
        <f t="shared" ca="1" si="161"/>
        <v>-487357110.73626286</v>
      </c>
      <c r="L3115" s="444">
        <f t="shared" ca="1" si="162"/>
        <v>-117453063687.43935</v>
      </c>
      <c r="M3115" s="460">
        <f t="shared" si="164"/>
        <v>0.05</v>
      </c>
      <c r="N3115" s="464">
        <f t="shared" si="165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63"/>
        <v>-117453063687.43935</v>
      </c>
      <c r="J3116" s="444">
        <f t="array" ref="J3116">IFERROR(INDEX('Retirement Calculator'!J:J,MATCH('Isaac 401k'!N3116,'Retirement Calculator'!A:A,0),0),0)</f>
        <v>0</v>
      </c>
      <c r="K3116" s="444">
        <f t="shared" ca="1" si="161"/>
        <v>-489387765.36433059</v>
      </c>
      <c r="L3116" s="444">
        <f t="shared" ca="1" si="162"/>
        <v>-117942451452.80368</v>
      </c>
      <c r="M3116" s="460">
        <f t="shared" si="164"/>
        <v>0.05</v>
      </c>
      <c r="N3116" s="464">
        <f t="shared" si="165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63"/>
        <v>-117942451452.80368</v>
      </c>
      <c r="J3117" s="444">
        <f t="array" ref="J3117">IFERROR(INDEX('Retirement Calculator'!J:J,MATCH('Isaac 401k'!N3117,'Retirement Calculator'!A:A,0),0),0)</f>
        <v>0</v>
      </c>
      <c r="K3117" s="444">
        <f t="shared" ca="1" si="161"/>
        <v>-491426881.0533486</v>
      </c>
      <c r="L3117" s="444">
        <f t="shared" ca="1" si="162"/>
        <v>-118433878333.85703</v>
      </c>
      <c r="M3117" s="460">
        <f t="shared" si="164"/>
        <v>0.05</v>
      </c>
      <c r="N3117" s="464">
        <f t="shared" si="165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63"/>
        <v>-118433878333.85703</v>
      </c>
      <c r="J3118" s="444">
        <f t="array" ref="J3118">IFERROR(INDEX('Retirement Calculator'!J:J,MATCH('Isaac 401k'!N3118,'Retirement Calculator'!A:A,0),0),0)</f>
        <v>0</v>
      </c>
      <c r="K3118" s="444">
        <f t="shared" ca="1" si="161"/>
        <v>-493474493.05773753</v>
      </c>
      <c r="L3118" s="444">
        <f t="shared" ca="1" si="162"/>
        <v>-118927352826.91476</v>
      </c>
      <c r="M3118" s="460">
        <f t="shared" si="164"/>
        <v>0.05</v>
      </c>
      <c r="N3118" s="464">
        <f t="shared" si="165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63"/>
        <v>-118927352826.91476</v>
      </c>
      <c r="J3119" s="444">
        <f t="array" ref="J3119">IFERROR(INDEX('Retirement Calculator'!J:J,MATCH('Isaac 401k'!N3119,'Retirement Calculator'!A:A,0),0),0)</f>
        <v>0</v>
      </c>
      <c r="K3119" s="444">
        <f t="shared" ca="1" si="161"/>
        <v>-495530636.77881151</v>
      </c>
      <c r="L3119" s="444">
        <f t="shared" ca="1" si="162"/>
        <v>-119422883463.69357</v>
      </c>
      <c r="M3119" s="460">
        <f t="shared" si="164"/>
        <v>0.05</v>
      </c>
      <c r="N3119" s="464">
        <f t="shared" si="165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63"/>
        <v>-119422883463.69357</v>
      </c>
      <c r="J3120" s="444">
        <f t="array" ref="J3120">IFERROR(INDEX('Retirement Calculator'!J:J,MATCH('Isaac 401k'!N3120,'Retirement Calculator'!A:A,0),0),0)</f>
        <v>0</v>
      </c>
      <c r="K3120" s="444">
        <f t="shared" ca="1" si="161"/>
        <v>-497595347.76538992</v>
      </c>
      <c r="L3120" s="444">
        <f t="shared" ca="1" si="162"/>
        <v>-119920478811.45897</v>
      </c>
      <c r="M3120" s="460">
        <f t="shared" si="164"/>
        <v>0.05</v>
      </c>
      <c r="N3120" s="464">
        <f t="shared" si="165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63"/>
        <v>-119920478811.45897</v>
      </c>
      <c r="J3121" s="444">
        <f t="array" ref="J3121">IFERROR(INDEX('Retirement Calculator'!J:J,MATCH('Isaac 401k'!N3121,'Retirement Calculator'!A:A,0),0),0)</f>
        <v>0</v>
      </c>
      <c r="K3121" s="444">
        <f t="shared" ca="1" si="161"/>
        <v>-499668661.71441227</v>
      </c>
      <c r="L3121" s="444">
        <f t="shared" ca="1" si="162"/>
        <v>-120420147473.17339</v>
      </c>
      <c r="M3121" s="460">
        <f t="shared" si="164"/>
        <v>0.05</v>
      </c>
      <c r="N3121" s="464">
        <f t="shared" si="165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63"/>
        <v>-120420147473.17339</v>
      </c>
      <c r="J3122" s="444">
        <f t="array" ref="J3122">IFERROR(INDEX('Retirement Calculator'!J:J,MATCH('Isaac 401k'!N3122,'Retirement Calculator'!A:A,0),0),0)</f>
        <v>0</v>
      </c>
      <c r="K3122" s="444">
        <f t="shared" ca="1" si="161"/>
        <v>-501750614.47155577</v>
      </c>
      <c r="L3122" s="444">
        <f t="shared" ca="1" si="162"/>
        <v>-120921898087.64494</v>
      </c>
      <c r="M3122" s="460">
        <f t="shared" si="164"/>
        <v>0.05</v>
      </c>
      <c r="N3122" s="464">
        <f t="shared" si="165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63"/>
        <v>-120921898087.64494</v>
      </c>
      <c r="J3123" s="444">
        <f t="array" ref="J3123">IFERROR(INDEX('Retirement Calculator'!J:J,MATCH('Isaac 401k'!N3123,'Retirement Calculator'!A:A,0),0),0)</f>
        <v>0</v>
      </c>
      <c r="K3123" s="444">
        <f t="shared" ca="1" si="161"/>
        <v>-503841242.03185397</v>
      </c>
      <c r="L3123" s="444">
        <f t="shared" ca="1" si="162"/>
        <v>-121425739329.6768</v>
      </c>
      <c r="M3123" s="460">
        <f t="shared" si="164"/>
        <v>0.05</v>
      </c>
      <c r="N3123" s="464">
        <f t="shared" si="165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63"/>
        <v>-121425739329.6768</v>
      </c>
      <c r="J3124" s="444">
        <f t="array" ref="J3124">IFERROR(INDEX('Retirement Calculator'!J:J,MATCH('Isaac 401k'!N3124,'Retirement Calculator'!A:A,0),0),0)</f>
        <v>0</v>
      </c>
      <c r="K3124" s="444">
        <f t="shared" ca="1" si="161"/>
        <v>-505940580.54031998</v>
      </c>
      <c r="L3124" s="444">
        <f t="shared" ca="1" si="162"/>
        <v>-121931679910.21712</v>
      </c>
      <c r="M3124" s="460">
        <f t="shared" si="164"/>
        <v>0.05</v>
      </c>
      <c r="N3124" s="464">
        <f t="shared" si="165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63"/>
        <v>-121931679910.21712</v>
      </c>
      <c r="J3125" s="444">
        <f t="array" ref="J3125">IFERROR(INDEX('Retirement Calculator'!J:J,MATCH('Isaac 401k'!N3125,'Retirement Calculator'!A:A,0),0),0)</f>
        <v>0</v>
      </c>
      <c r="K3125" s="444">
        <f t="shared" ca="1" si="161"/>
        <v>-508048666.29257131</v>
      </c>
      <c r="L3125" s="444">
        <f t="shared" ca="1" si="162"/>
        <v>-122439728576.50969</v>
      </c>
      <c r="M3125" s="460">
        <f t="shared" si="164"/>
        <v>0.05</v>
      </c>
      <c r="N3125" s="464">
        <f t="shared" si="165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63"/>
        <v>-122439728576.50969</v>
      </c>
      <c r="J3126" s="444">
        <f t="array" ref="J3126">IFERROR(INDEX('Retirement Calculator'!J:J,MATCH('Isaac 401k'!N3126,'Retirement Calculator'!A:A,0),0),0)</f>
        <v>0</v>
      </c>
      <c r="K3126" s="444">
        <f t="shared" ca="1" si="161"/>
        <v>-510165535.735457</v>
      </c>
      <c r="L3126" s="444">
        <f t="shared" ca="1" si="162"/>
        <v>-122949894112.24515</v>
      </c>
      <c r="M3126" s="460">
        <f t="shared" si="164"/>
        <v>0.05</v>
      </c>
      <c r="N3126" s="464">
        <f t="shared" si="165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63"/>
        <v>-122949894112.24515</v>
      </c>
      <c r="J3127" s="444">
        <f t="array" ref="J3127">IFERROR(INDEX('Retirement Calculator'!J:J,MATCH('Isaac 401k'!N3127,'Retirement Calculator'!A:A,0),0),0)</f>
        <v>0</v>
      </c>
      <c r="K3127" s="444">
        <f t="shared" ca="1" si="161"/>
        <v>-512291225.46768802</v>
      </c>
      <c r="L3127" s="444">
        <f t="shared" ca="1" si="162"/>
        <v>-123462185337.71283</v>
      </c>
      <c r="M3127" s="460">
        <f t="shared" si="164"/>
        <v>0.05</v>
      </c>
      <c r="N3127" s="464">
        <f t="shared" si="165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63"/>
        <v>-123462185337.71283</v>
      </c>
      <c r="J3128" s="444">
        <f t="array" ref="J3128">IFERROR(INDEX('Retirement Calculator'!J:J,MATCH('Isaac 401k'!N3128,'Retirement Calculator'!A:A,0),0),0)</f>
        <v>0</v>
      </c>
      <c r="K3128" s="444">
        <f t="shared" ca="1" si="161"/>
        <v>-514425772.24047005</v>
      </c>
      <c r="L3128" s="444">
        <f t="shared" ca="1" si="162"/>
        <v>-123976611109.95329</v>
      </c>
      <c r="M3128" s="460">
        <f t="shared" si="164"/>
        <v>0.05</v>
      </c>
      <c r="N3128" s="464">
        <f t="shared" si="165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63"/>
        <v>-123976611109.95329</v>
      </c>
      <c r="J3129" s="444">
        <f t="array" ref="J3129">IFERROR(INDEX('Retirement Calculator'!J:J,MATCH('Isaac 401k'!N3129,'Retirement Calculator'!A:A,0),0),0)</f>
        <v>0</v>
      </c>
      <c r="K3129" s="444">
        <f t="shared" ca="1" si="161"/>
        <v>-516569212.9581387</v>
      </c>
      <c r="L3129" s="444">
        <f t="shared" ca="1" si="162"/>
        <v>-124493180322.91144</v>
      </c>
      <c r="M3129" s="460">
        <f t="shared" si="164"/>
        <v>0.05</v>
      </c>
      <c r="N3129" s="464">
        <f t="shared" si="165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63"/>
        <v>-124493180322.91144</v>
      </c>
      <c r="J3130" s="444">
        <f t="array" ref="J3130">IFERROR(INDEX('Retirement Calculator'!J:J,MATCH('Isaac 401k'!N3130,'Retirement Calculator'!A:A,0),0),0)</f>
        <v>0</v>
      </c>
      <c r="K3130" s="444">
        <f t="shared" ca="1" si="161"/>
        <v>-518721584.6787976</v>
      </c>
      <c r="L3130" s="444">
        <f t="shared" ca="1" si="162"/>
        <v>-125011901907.59024</v>
      </c>
      <c r="M3130" s="460">
        <f t="shared" si="164"/>
        <v>0.05</v>
      </c>
      <c r="N3130" s="464">
        <f t="shared" si="165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63"/>
        <v>-125011901907.59024</v>
      </c>
      <c r="J3131" s="444">
        <f t="array" ref="J3131">IFERROR(INDEX('Retirement Calculator'!J:J,MATCH('Isaac 401k'!N3131,'Retirement Calculator'!A:A,0),0),0)</f>
        <v>0</v>
      </c>
      <c r="K3131" s="444">
        <f t="shared" ca="1" si="161"/>
        <v>-520882924.6149593</v>
      </c>
      <c r="L3131" s="444">
        <f t="shared" ca="1" si="162"/>
        <v>-125532784832.2052</v>
      </c>
      <c r="M3131" s="460">
        <f t="shared" si="164"/>
        <v>0.05</v>
      </c>
      <c r="N3131" s="464">
        <f t="shared" si="165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63"/>
        <v>-125532784832.2052</v>
      </c>
      <c r="J3132" s="444">
        <f t="array" ref="J3132">IFERROR(INDEX('Retirement Calculator'!J:J,MATCH('Isaac 401k'!N3132,'Retirement Calculator'!A:A,0),0),0)</f>
        <v>0</v>
      </c>
      <c r="K3132" s="444">
        <f t="shared" ca="1" si="161"/>
        <v>-523053270.13418823</v>
      </c>
      <c r="L3132" s="444">
        <f t="shared" ca="1" si="162"/>
        <v>-126055838102.33939</v>
      </c>
      <c r="M3132" s="460">
        <f t="shared" si="164"/>
        <v>0.05</v>
      </c>
      <c r="N3132" s="464">
        <f t="shared" si="165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63"/>
        <v>-126055838102.33939</v>
      </c>
      <c r="J3133" s="444">
        <f t="array" ref="J3133">IFERROR(INDEX('Retirement Calculator'!J:J,MATCH('Isaac 401k'!N3133,'Retirement Calculator'!A:A,0),0),0)</f>
        <v>0</v>
      </c>
      <c r="K3133" s="444">
        <f t="shared" ca="1" si="161"/>
        <v>-525232658.75974751</v>
      </c>
      <c r="L3133" s="444">
        <f t="shared" ca="1" si="162"/>
        <v>-126581070761.09914</v>
      </c>
      <c r="M3133" s="460">
        <f t="shared" si="164"/>
        <v>0.05</v>
      </c>
      <c r="N3133" s="464">
        <f t="shared" si="165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63"/>
        <v>-126581070761.09914</v>
      </c>
      <c r="J3134" s="444">
        <f t="array" ref="J3134">IFERROR(INDEX('Retirement Calculator'!J:J,MATCH('Isaac 401k'!N3134,'Retirement Calculator'!A:A,0),0),0)</f>
        <v>0</v>
      </c>
      <c r="K3134" s="444">
        <f t="shared" ca="1" si="161"/>
        <v>-527421128.17124641</v>
      </c>
      <c r="L3134" s="444">
        <f t="shared" ca="1" si="162"/>
        <v>-127108491889.27039</v>
      </c>
      <c r="M3134" s="460">
        <f t="shared" si="164"/>
        <v>0.05</v>
      </c>
      <c r="N3134" s="464">
        <f t="shared" si="165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63"/>
        <v>-127108491889.27039</v>
      </c>
      <c r="J3135" s="444">
        <f t="array" ref="J3135">IFERROR(INDEX('Retirement Calculator'!J:J,MATCH('Isaac 401k'!N3135,'Retirement Calculator'!A:A,0),0),0)</f>
        <v>0</v>
      </c>
      <c r="K3135" s="444">
        <f t="shared" ca="1" si="161"/>
        <v>-529618716.20529336</v>
      </c>
      <c r="L3135" s="444">
        <f t="shared" ca="1" si="162"/>
        <v>-127638110605.47568</v>
      </c>
      <c r="M3135" s="460">
        <f t="shared" si="164"/>
        <v>0.05</v>
      </c>
      <c r="N3135" s="464">
        <f t="shared" si="165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63"/>
        <v>-127638110605.47568</v>
      </c>
      <c r="J3136" s="444">
        <f t="array" ref="J3136">IFERROR(INDEX('Retirement Calculator'!J:J,MATCH('Isaac 401k'!N3136,'Retirement Calculator'!A:A,0),0),0)</f>
        <v>0</v>
      </c>
      <c r="K3136" s="444">
        <f t="shared" ca="1" si="161"/>
        <v>-531825460.8561486</v>
      </c>
      <c r="L3136" s="444">
        <f t="shared" ca="1" si="162"/>
        <v>-128169936066.33183</v>
      </c>
      <c r="M3136" s="460">
        <f t="shared" si="164"/>
        <v>0.05</v>
      </c>
      <c r="N3136" s="464">
        <f t="shared" si="165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63"/>
        <v>-128169936066.33183</v>
      </c>
      <c r="J3137" s="444">
        <f t="array" ref="J3137">IFERROR(INDEX('Retirement Calculator'!J:J,MATCH('Isaac 401k'!N3137,'Retirement Calculator'!A:A,0),0),0)</f>
        <v>0</v>
      </c>
      <c r="K3137" s="444">
        <f t="shared" ca="1" si="161"/>
        <v>-534041400.27638263</v>
      </c>
      <c r="L3137" s="444">
        <f t="shared" ca="1" si="162"/>
        <v>-128703977466.60822</v>
      </c>
      <c r="M3137" s="460">
        <f t="shared" si="164"/>
        <v>0.05</v>
      </c>
      <c r="N3137" s="464">
        <f t="shared" si="165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63"/>
        <v>-128703977466.60822</v>
      </c>
      <c r="J3138" s="444">
        <f t="array" ref="J3138">IFERROR(INDEX('Retirement Calculator'!J:J,MATCH('Isaac 401k'!N3138,'Retirement Calculator'!A:A,0),0),0)</f>
        <v>0</v>
      </c>
      <c r="K3138" s="444">
        <f t="shared" ca="1" si="161"/>
        <v>-536266572.77753425</v>
      </c>
      <c r="L3138" s="444">
        <f t="shared" ca="1" si="162"/>
        <v>-129240244039.38574</v>
      </c>
      <c r="M3138" s="460">
        <f t="shared" si="164"/>
        <v>0.05</v>
      </c>
      <c r="N3138" s="464">
        <f t="shared" si="165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63"/>
        <v>-129240244039.38574</v>
      </c>
      <c r="J3139" s="444">
        <f t="array" ref="J3139">IFERROR(INDEX('Retirement Calculator'!J:J,MATCH('Isaac 401k'!N3139,'Retirement Calculator'!A:A,0),0),0)</f>
        <v>0</v>
      </c>
      <c r="K3139" s="444">
        <f t="shared" ca="1" si="161"/>
        <v>-538501016.83077383</v>
      </c>
      <c r="L3139" s="444">
        <f t="shared" ca="1" si="162"/>
        <v>-129778745056.21652</v>
      </c>
      <c r="M3139" s="460">
        <f t="shared" si="164"/>
        <v>0.05</v>
      </c>
      <c r="N3139" s="464">
        <f t="shared" si="165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63"/>
        <v>-129778745056.21652</v>
      </c>
      <c r="J3140" s="444">
        <f t="array" ref="J3140">IFERROR(INDEX('Retirement Calculator'!J:J,MATCH('Isaac 401k'!N3140,'Retirement Calculator'!A:A,0),0),0)</f>
        <v>0</v>
      </c>
      <c r="K3140" s="444">
        <f t="shared" ca="1" si="161"/>
        <v>-540744771.06756878</v>
      </c>
      <c r="L3140" s="444">
        <f t="shared" ca="1" si="162"/>
        <v>-130319489827.28409</v>
      </c>
      <c r="M3140" s="460">
        <f t="shared" si="164"/>
        <v>0.05</v>
      </c>
      <c r="N3140" s="464">
        <f t="shared" si="165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63"/>
        <v>-130319489827.28409</v>
      </c>
      <c r="J3141" s="444">
        <f t="array" ref="J3141">IFERROR(INDEX('Retirement Calculator'!J:J,MATCH('Isaac 401k'!N3141,'Retirement Calculator'!A:A,0),0),0)</f>
        <v>0</v>
      </c>
      <c r="K3141" s="444">
        <f t="shared" ca="1" si="161"/>
        <v>-542997874.28035033</v>
      </c>
      <c r="L3141" s="444">
        <f t="shared" ca="1" si="162"/>
        <v>-130862487701.56444</v>
      </c>
      <c r="M3141" s="460">
        <f t="shared" si="164"/>
        <v>0.05</v>
      </c>
      <c r="N3141" s="464">
        <f t="shared" si="165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63"/>
        <v>-130862487701.56444</v>
      </c>
      <c r="J3142" s="444">
        <f t="array" ref="J3142">IFERROR(INDEX('Retirement Calculator'!J:J,MATCH('Isaac 401k'!N3142,'Retirement Calculator'!A:A,0),0),0)</f>
        <v>0</v>
      </c>
      <c r="K3142" s="444">
        <f t="shared" ca="1" si="161"/>
        <v>-545260365.42318511</v>
      </c>
      <c r="L3142" s="444">
        <f t="shared" ca="1" si="162"/>
        <v>-131407748066.98763</v>
      </c>
      <c r="M3142" s="460">
        <f t="shared" si="164"/>
        <v>0.05</v>
      </c>
      <c r="N3142" s="464">
        <f t="shared" si="165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63"/>
        <v>-131407748066.98763</v>
      </c>
      <c r="J3143" s="444">
        <f t="array" ref="J3143">IFERROR(INDEX('Retirement Calculator'!J:J,MATCH('Isaac 401k'!N3143,'Retirement Calculator'!A:A,0),0),0)</f>
        <v>0</v>
      </c>
      <c r="K3143" s="444">
        <f t="shared" ca="1" si="161"/>
        <v>-547532283.61244845</v>
      </c>
      <c r="L3143" s="444">
        <f t="shared" ca="1" si="162"/>
        <v>-131955280350.60007</v>
      </c>
      <c r="M3143" s="460">
        <f t="shared" si="164"/>
        <v>0.05</v>
      </c>
      <c r="N3143" s="464">
        <f t="shared" si="165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63"/>
        <v>-131955280350.60007</v>
      </c>
      <c r="J3144" s="444">
        <f t="array" ref="J3144">IFERROR(INDEX('Retirement Calculator'!J:J,MATCH('Isaac 401k'!N3144,'Retirement Calculator'!A:A,0),0),0)</f>
        <v>0</v>
      </c>
      <c r="K3144" s="444">
        <f t="shared" ca="1" si="161"/>
        <v>-549813668.12750018</v>
      </c>
      <c r="L3144" s="444">
        <f t="shared" ca="1" si="162"/>
        <v>-132505094018.72757</v>
      </c>
      <c r="M3144" s="460">
        <f t="shared" si="164"/>
        <v>0.05</v>
      </c>
      <c r="N3144" s="464">
        <f t="shared" si="165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63"/>
        <v>-132505094018.72757</v>
      </c>
      <c r="J3145" s="444">
        <f t="array" ref="J3145">IFERROR(INDEX('Retirement Calculator'!J:J,MATCH('Isaac 401k'!N3145,'Retirement Calculator'!A:A,0),0),0)</f>
        <v>0</v>
      </c>
      <c r="K3145" s="444">
        <f t="shared" ca="1" si="161"/>
        <v>-552104558.41136491</v>
      </c>
      <c r="L3145" s="444">
        <f t="shared" ca="1" si="162"/>
        <v>-133057198577.13893</v>
      </c>
      <c r="M3145" s="460">
        <f t="shared" si="164"/>
        <v>0.05</v>
      </c>
      <c r="N3145" s="464">
        <f t="shared" si="165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63"/>
        <v>-133057198577.13893</v>
      </c>
      <c r="J3146" s="444">
        <f t="array" ref="J3146">IFERROR(INDEX('Retirement Calculator'!J:J,MATCH('Isaac 401k'!N3146,'Retirement Calculator'!A:A,0),0),0)</f>
        <v>0</v>
      </c>
      <c r="K3146" s="444">
        <f t="shared" ca="1" si="161"/>
        <v>-554404994.07141232</v>
      </c>
      <c r="L3146" s="444">
        <f t="shared" ca="1" si="162"/>
        <v>-133611603571.21034</v>
      </c>
      <c r="M3146" s="460">
        <f t="shared" si="164"/>
        <v>0.05</v>
      </c>
      <c r="N3146" s="464">
        <f t="shared" si="165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63"/>
        <v>-133611603571.21034</v>
      </c>
      <c r="J3147" s="444">
        <f t="array" ref="J3147">IFERROR(INDEX('Retirement Calculator'!J:J,MATCH('Isaac 401k'!N3147,'Retirement Calculator'!A:A,0),0),0)</f>
        <v>0</v>
      </c>
      <c r="K3147" s="444">
        <f t="shared" ca="1" si="161"/>
        <v>-556715014.88004303</v>
      </c>
      <c r="L3147" s="444">
        <f t="shared" ca="1" si="162"/>
        <v>-134168318586.09039</v>
      </c>
      <c r="M3147" s="460">
        <f t="shared" si="164"/>
        <v>0.05</v>
      </c>
      <c r="N3147" s="464">
        <f t="shared" si="165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63"/>
        <v>-134168318586.09039</v>
      </c>
      <c r="J3148" s="444">
        <f t="array" ref="J3148">IFERROR(INDEX('Retirement Calculator'!J:J,MATCH('Isaac 401k'!N3148,'Retirement Calculator'!A:A,0),0),0)</f>
        <v>0</v>
      </c>
      <c r="K3148" s="444">
        <f t="shared" ca="1" si="161"/>
        <v>-559034660.77537668</v>
      </c>
      <c r="L3148" s="444">
        <f t="shared" ca="1" si="162"/>
        <v>-134727353246.86577</v>
      </c>
      <c r="M3148" s="460">
        <f t="shared" si="164"/>
        <v>0.05</v>
      </c>
      <c r="N3148" s="464">
        <f t="shared" si="165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63"/>
        <v>-134727353246.86577</v>
      </c>
      <c r="J3149" s="444">
        <f t="array" ref="J3149">IFERROR(INDEX('Retirement Calculator'!J:J,MATCH('Isaac 401k'!N3149,'Retirement Calculator'!A:A,0),0),0)</f>
        <v>0</v>
      </c>
      <c r="K3149" s="444">
        <f t="shared" ca="1" si="161"/>
        <v>-561363971.86194074</v>
      </c>
      <c r="L3149" s="444">
        <f t="shared" ca="1" si="162"/>
        <v>-135288717218.72771</v>
      </c>
      <c r="M3149" s="460">
        <f t="shared" si="164"/>
        <v>0.05</v>
      </c>
      <c r="N3149" s="464">
        <f t="shared" si="165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63"/>
        <v>-135288717218.72771</v>
      </c>
      <c r="J3150" s="444">
        <f t="array" ref="J3150">IFERROR(INDEX('Retirement Calculator'!J:J,MATCH('Isaac 401k'!N3150,'Retirement Calculator'!A:A,0),0),0)</f>
        <v>0</v>
      </c>
      <c r="K3150" s="444">
        <f t="shared" ca="1" si="161"/>
        <v>-563702988.41136539</v>
      </c>
      <c r="L3150" s="444">
        <f t="shared" ca="1" si="162"/>
        <v>-135852420207.13907</v>
      </c>
      <c r="M3150" s="460">
        <f t="shared" si="164"/>
        <v>0.05</v>
      </c>
      <c r="N3150" s="464">
        <f t="shared" si="165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63"/>
        <v>-135852420207.13907</v>
      </c>
      <c r="J3151" s="444">
        <f t="array" ref="J3151">IFERROR(INDEX('Retirement Calculator'!J:J,MATCH('Isaac 401k'!N3151,'Retirement Calculator'!A:A,0),0),0)</f>
        <v>0</v>
      </c>
      <c r="K3151" s="444">
        <f t="shared" ca="1" si="161"/>
        <v>-566051750.86307943</v>
      </c>
      <c r="L3151" s="444">
        <f t="shared" ca="1" si="162"/>
        <v>-136418471958.00215</v>
      </c>
      <c r="M3151" s="460">
        <f t="shared" si="164"/>
        <v>0.05</v>
      </c>
      <c r="N3151" s="464">
        <f t="shared" si="165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63"/>
        <v>-136418471958.00215</v>
      </c>
      <c r="J3152" s="444">
        <f t="array" ref="J3152">IFERROR(INDEX('Retirement Calculator'!J:J,MATCH('Isaac 401k'!N3152,'Retirement Calculator'!A:A,0),0),0)</f>
        <v>0</v>
      </c>
      <c r="K3152" s="444">
        <f t="shared" ca="1" si="161"/>
        <v>-568410299.82500899</v>
      </c>
      <c r="L3152" s="444">
        <f t="shared" ca="1" si="162"/>
        <v>-136986882257.82716</v>
      </c>
      <c r="M3152" s="460">
        <f t="shared" si="164"/>
        <v>0.05</v>
      </c>
      <c r="N3152" s="464">
        <f t="shared" si="165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63"/>
        <v>-136986882257.82716</v>
      </c>
      <c r="J3153" s="444">
        <f t="array" ref="J3153">IFERROR(INDEX('Retirement Calculator'!J:J,MATCH('Isaac 401k'!N3153,'Retirement Calculator'!A:A,0),0),0)</f>
        <v>0</v>
      </c>
      <c r="K3153" s="444">
        <f t="shared" ca="1" si="161"/>
        <v>-570778676.07427979</v>
      </c>
      <c r="L3153" s="444">
        <f t="shared" ca="1" si="162"/>
        <v>-137557660933.90143</v>
      </c>
      <c r="M3153" s="460">
        <f t="shared" si="164"/>
        <v>0.05</v>
      </c>
      <c r="N3153" s="464">
        <f t="shared" si="165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63"/>
        <v>-137557660933.90143</v>
      </c>
      <c r="J3154" s="444">
        <f t="array" ref="J3154">IFERROR(INDEX('Retirement Calculator'!J:J,MATCH('Isaac 401k'!N3154,'Retirement Calculator'!A:A,0),0),0)</f>
        <v>0</v>
      </c>
      <c r="K3154" s="444">
        <f t="shared" ca="1" si="161"/>
        <v>-573156920.5579226</v>
      </c>
      <c r="L3154" s="444">
        <f t="shared" ca="1" si="162"/>
        <v>-138130817854.45935</v>
      </c>
      <c r="M3154" s="460">
        <f t="shared" si="164"/>
        <v>0.05</v>
      </c>
      <c r="N3154" s="464">
        <f t="shared" si="165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63"/>
        <v>-138130817854.45935</v>
      </c>
      <c r="J3155" s="444">
        <f t="array" ref="J3155">IFERROR(INDEX('Retirement Calculator'!J:J,MATCH('Isaac 401k'!N3155,'Retirement Calculator'!A:A,0),0),0)</f>
        <v>0</v>
      </c>
      <c r="K3155" s="444">
        <f t="shared" ca="1" si="161"/>
        <v>-575545074.39358068</v>
      </c>
      <c r="L3155" s="444">
        <f t="shared" ca="1" si="162"/>
        <v>-138706362928.85294</v>
      </c>
      <c r="M3155" s="460">
        <f t="shared" si="164"/>
        <v>0.05</v>
      </c>
      <c r="N3155" s="464">
        <f t="shared" si="165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63"/>
        <v>-138706362928.85294</v>
      </c>
      <c r="J3156" s="444">
        <f t="array" ref="J3156">IFERROR(INDEX('Retirement Calculator'!J:J,MATCH('Isaac 401k'!N3156,'Retirement Calculator'!A:A,0),0),0)</f>
        <v>0</v>
      </c>
      <c r="K3156" s="444">
        <f t="shared" ca="1" si="161"/>
        <v>-577943178.87022054</v>
      </c>
      <c r="L3156" s="444">
        <f t="shared" ca="1" si="162"/>
        <v>-139284306107.72314</v>
      </c>
      <c r="M3156" s="460">
        <f t="shared" si="164"/>
        <v>0.05</v>
      </c>
      <c r="N3156" s="464">
        <f t="shared" si="165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63"/>
        <v>-139284306107.72314</v>
      </c>
      <c r="J3157" s="444">
        <f t="array" ref="J3157">IFERROR(INDEX('Retirement Calculator'!J:J,MATCH('Isaac 401k'!N3157,'Retirement Calculator'!A:A,0),0),0)</f>
        <v>0</v>
      </c>
      <c r="K3157" s="444">
        <f t="shared" ca="1" si="161"/>
        <v>-580351275.44884646</v>
      </c>
      <c r="L3157" s="444">
        <f t="shared" ca="1" si="162"/>
        <v>-139864657383.172</v>
      </c>
      <c r="M3157" s="460">
        <f t="shared" si="164"/>
        <v>0.05</v>
      </c>
      <c r="N3157" s="464">
        <f t="shared" si="165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63"/>
        <v>-139864657383.172</v>
      </c>
      <c r="J3158" s="444">
        <f t="array" ref="J3158">IFERROR(INDEX('Retirement Calculator'!J:J,MATCH('Isaac 401k'!N3158,'Retirement Calculator'!A:A,0),0),0)</f>
        <v>0</v>
      </c>
      <c r="K3158" s="444">
        <f t="shared" ca="1" si="161"/>
        <v>-582769405.76321661</v>
      </c>
      <c r="L3158" s="444">
        <f t="shared" ca="1" si="162"/>
        <v>-140447426788.93521</v>
      </c>
      <c r="M3158" s="460">
        <f t="shared" si="164"/>
        <v>0.05</v>
      </c>
      <c r="N3158" s="464">
        <f t="shared" si="165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63"/>
        <v>-140447426788.93521</v>
      </c>
      <c r="J3159" s="444">
        <f t="array" ref="J3159">IFERROR(INDEX('Retirement Calculator'!J:J,MATCH('Isaac 401k'!N3159,'Retirement Calculator'!A:A,0),0),0)</f>
        <v>0</v>
      </c>
      <c r="K3159" s="444">
        <f t="shared" ca="1" si="161"/>
        <v>-585197611.62056339</v>
      </c>
      <c r="L3159" s="444">
        <f t="shared" ca="1" si="162"/>
        <v>-141032624400.55579</v>
      </c>
      <c r="M3159" s="460">
        <f t="shared" si="164"/>
        <v>0.05</v>
      </c>
      <c r="N3159" s="464">
        <f t="shared" si="165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63"/>
        <v>-141032624400.55579</v>
      </c>
      <c r="J3160" s="444">
        <f t="array" ref="J3160">IFERROR(INDEX('Retirement Calculator'!J:J,MATCH('Isaac 401k'!N3160,'Retirement Calculator'!A:A,0),0),0)</f>
        <v>0</v>
      </c>
      <c r="K3160" s="444">
        <f t="shared" ca="1" si="161"/>
        <v>-587635935.00231576</v>
      </c>
      <c r="L3160" s="444">
        <f t="shared" ca="1" si="162"/>
        <v>-141620260335.55811</v>
      </c>
      <c r="M3160" s="460">
        <f t="shared" si="164"/>
        <v>0.05</v>
      </c>
      <c r="N3160" s="464">
        <f t="shared" si="165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63"/>
        <v>-141620260335.55811</v>
      </c>
      <c r="J3161" s="444">
        <f t="array" ref="J3161">IFERROR(INDEX('Retirement Calculator'!J:J,MATCH('Isaac 401k'!N3161,'Retirement Calculator'!A:A,0),0),0)</f>
        <v>0</v>
      </c>
      <c r="K3161" s="444">
        <f t="shared" ca="1" si="161"/>
        <v>-590084418.06482542</v>
      </c>
      <c r="L3161" s="444">
        <f t="shared" ca="1" si="162"/>
        <v>-142210344753.62292</v>
      </c>
      <c r="M3161" s="460">
        <f t="shared" si="164"/>
        <v>0.05</v>
      </c>
      <c r="N3161" s="464">
        <f t="shared" si="165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63"/>
        <v>-142210344753.62292</v>
      </c>
      <c r="J3162" s="444">
        <f t="array" ref="J3162">IFERROR(INDEX('Retirement Calculator'!J:J,MATCH('Isaac 401k'!N3162,'Retirement Calculator'!A:A,0),0),0)</f>
        <v>0</v>
      </c>
      <c r="K3162" s="444">
        <f t="shared" ca="1" si="161"/>
        <v>-592543103.14009547</v>
      </c>
      <c r="L3162" s="444">
        <f t="shared" ca="1" si="162"/>
        <v>-142802887856.76303</v>
      </c>
      <c r="M3162" s="460">
        <f t="shared" si="164"/>
        <v>0.05</v>
      </c>
      <c r="N3162" s="464">
        <f t="shared" si="165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63"/>
        <v>-142802887856.76303</v>
      </c>
      <c r="J3163" s="444">
        <f t="array" ref="J3163">IFERROR(INDEX('Retirement Calculator'!J:J,MATCH('Isaac 401k'!N3163,'Retirement Calculator'!A:A,0),0),0)</f>
        <v>0</v>
      </c>
      <c r="K3163" s="444">
        <f t="shared" ca="1" si="161"/>
        <v>-595012032.73651266</v>
      </c>
      <c r="L3163" s="444">
        <f t="shared" ca="1" si="162"/>
        <v>-143397899889.49954</v>
      </c>
      <c r="M3163" s="460">
        <f t="shared" si="164"/>
        <v>0.05</v>
      </c>
      <c r="N3163" s="464">
        <f t="shared" si="165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63"/>
        <v>-143397899889.49954</v>
      </c>
      <c r="J3164" s="444">
        <f t="array" ref="J3164">IFERROR(INDEX('Retirement Calculator'!J:J,MATCH('Isaac 401k'!N3164,'Retirement Calculator'!A:A,0),0),0)</f>
        <v>0</v>
      </c>
      <c r="K3164" s="444">
        <f t="shared" ca="1" si="161"/>
        <v>-597491249.53958142</v>
      </c>
      <c r="L3164" s="444">
        <f t="shared" ca="1" si="162"/>
        <v>-143995391139.03912</v>
      </c>
      <c r="M3164" s="460">
        <f t="shared" si="164"/>
        <v>0.05</v>
      </c>
      <c r="N3164" s="464">
        <f t="shared" si="165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63"/>
        <v>-143995391139.03912</v>
      </c>
      <c r="J3165" s="444">
        <f t="array" ref="J3165">IFERROR(INDEX('Retirement Calculator'!J:J,MATCH('Isaac 401k'!N3165,'Retirement Calculator'!A:A,0),0),0)</f>
        <v>0</v>
      </c>
      <c r="K3165" s="444">
        <f t="shared" ca="1" si="161"/>
        <v>-599980796.41266298</v>
      </c>
      <c r="L3165" s="444">
        <f t="shared" ca="1" si="162"/>
        <v>-144595371935.45178</v>
      </c>
      <c r="M3165" s="460">
        <f t="shared" si="164"/>
        <v>0.05</v>
      </c>
      <c r="N3165" s="464">
        <f t="shared" si="165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63"/>
        <v>-144595371935.45178</v>
      </c>
      <c r="J3166" s="444">
        <f t="array" ref="J3166">IFERROR(INDEX('Retirement Calculator'!J:J,MATCH('Isaac 401k'!N3166,'Retirement Calculator'!A:A,0),0),0)</f>
        <v>0</v>
      </c>
      <c r="K3166" s="444">
        <f t="shared" ca="1" si="161"/>
        <v>-602480716.39771581</v>
      </c>
      <c r="L3166" s="444">
        <f t="shared" ca="1" si="162"/>
        <v>-145197852651.84949</v>
      </c>
      <c r="M3166" s="460">
        <f t="shared" si="164"/>
        <v>0.05</v>
      </c>
      <c r="N3166" s="464">
        <f t="shared" si="165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63"/>
        <v>-145197852651.84949</v>
      </c>
      <c r="J3167" s="444">
        <f t="array" ref="J3167">IFERROR(INDEX('Retirement Calculator'!J:J,MATCH('Isaac 401k'!N3167,'Retirement Calculator'!A:A,0),0),0)</f>
        <v>0</v>
      </c>
      <c r="K3167" s="444">
        <f t="shared" ca="1" si="161"/>
        <v>-604991052.71603954</v>
      </c>
      <c r="L3167" s="444">
        <f t="shared" ca="1" si="162"/>
        <v>-145802843704.56552</v>
      </c>
      <c r="M3167" s="460">
        <f t="shared" si="164"/>
        <v>0.05</v>
      </c>
      <c r="N3167" s="464">
        <f t="shared" si="165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63"/>
        <v>-145802843704.56552</v>
      </c>
      <c r="J3168" s="444">
        <f t="array" ref="J3168">IFERROR(INDEX('Retirement Calculator'!J:J,MATCH('Isaac 401k'!N3168,'Retirement Calculator'!A:A,0),0),0)</f>
        <v>0</v>
      </c>
      <c r="K3168" s="444">
        <f t="shared" ca="1" si="161"/>
        <v>-607511848.76902294</v>
      </c>
      <c r="L3168" s="444">
        <f t="shared" ca="1" si="162"/>
        <v>-146410355553.33453</v>
      </c>
      <c r="M3168" s="460">
        <f t="shared" si="164"/>
        <v>0.05</v>
      </c>
      <c r="N3168" s="464">
        <f t="shared" si="165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63"/>
        <v>-146410355553.33453</v>
      </c>
      <c r="J3169" s="444">
        <f t="array" ref="J3169">IFERROR(INDEX('Retirement Calculator'!J:J,MATCH('Isaac 401k'!N3169,'Retirement Calculator'!A:A,0),0),0)</f>
        <v>0</v>
      </c>
      <c r="K3169" s="444">
        <f t="shared" ca="1" si="161"/>
        <v>-610043148.13889384</v>
      </c>
      <c r="L3169" s="444">
        <f t="shared" ca="1" si="162"/>
        <v>-147020398701.47342</v>
      </c>
      <c r="M3169" s="460">
        <f t="shared" si="164"/>
        <v>0.05</v>
      </c>
      <c r="N3169" s="464">
        <f t="shared" si="165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63"/>
        <v>-147020398701.47342</v>
      </c>
      <c r="J3170" s="444">
        <f t="array" ref="J3170">IFERROR(INDEX('Retirement Calculator'!J:J,MATCH('Isaac 401k'!N3170,'Retirement Calculator'!A:A,0),0),0)</f>
        <v>0</v>
      </c>
      <c r="K3170" s="444">
        <f t="shared" ca="1" si="161"/>
        <v>-612584994.58947253</v>
      </c>
      <c r="L3170" s="444">
        <f t="shared" ca="1" si="162"/>
        <v>-147632983696.0629</v>
      </c>
      <c r="M3170" s="460">
        <f t="shared" si="164"/>
        <v>0.05</v>
      </c>
      <c r="N3170" s="464">
        <f t="shared" si="165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63"/>
        <v>-147632983696.0629</v>
      </c>
      <c r="J3171" s="444">
        <f t="array" ref="J3171">IFERROR(INDEX('Retirement Calculator'!J:J,MATCH('Isaac 401k'!N3171,'Retirement Calculator'!A:A,0),0),0)</f>
        <v>0</v>
      </c>
      <c r="K3171" s="444">
        <f t="shared" ca="1" si="161"/>
        <v>-615137432.06692874</v>
      </c>
      <c r="L3171" s="444">
        <f t="shared" ca="1" si="162"/>
        <v>-148248121128.12982</v>
      </c>
      <c r="M3171" s="460">
        <f t="shared" si="164"/>
        <v>0.05</v>
      </c>
      <c r="N3171" s="464">
        <f t="shared" si="165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63"/>
        <v>-148248121128.12982</v>
      </c>
      <c r="J3172" s="444">
        <f t="array" ref="J3172">IFERROR(INDEX('Retirement Calculator'!J:J,MATCH('Isaac 401k'!N3172,'Retirement Calculator'!A:A,0),0),0)</f>
        <v>0</v>
      </c>
      <c r="K3172" s="444">
        <f t="shared" ca="1" si="161"/>
        <v>-617700504.7005409</v>
      </c>
      <c r="L3172" s="444">
        <f t="shared" ca="1" si="162"/>
        <v>-148865821632.83035</v>
      </c>
      <c r="M3172" s="460">
        <f t="shared" si="164"/>
        <v>0.05</v>
      </c>
      <c r="N3172" s="464">
        <f t="shared" si="165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63"/>
        <v>-148865821632.83035</v>
      </c>
      <c r="J3173" s="444">
        <f t="array" ref="J3173">IFERROR(INDEX('Retirement Calculator'!J:J,MATCH('Isaac 401k'!N3173,'Retirement Calculator'!A:A,0),0),0)</f>
        <v>0</v>
      </c>
      <c r="K3173" s="444">
        <f t="shared" ca="1" si="161"/>
        <v>-620274256.80345976</v>
      </c>
      <c r="L3173" s="444">
        <f t="shared" ca="1" si="162"/>
        <v>-149486095889.63382</v>
      </c>
      <c r="M3173" s="460">
        <f t="shared" si="164"/>
        <v>0.05</v>
      </c>
      <c r="N3173" s="464">
        <f t="shared" si="165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63"/>
        <v>-149486095889.63382</v>
      </c>
      <c r="J3174" s="444">
        <f t="array" ref="J3174">IFERROR(INDEX('Retirement Calculator'!J:J,MATCH('Isaac 401k'!N3174,'Retirement Calculator'!A:A,0),0),0)</f>
        <v>0</v>
      </c>
      <c r="K3174" s="444">
        <f t="shared" ca="1" si="161"/>
        <v>-622858732.87347424</v>
      </c>
      <c r="L3174" s="444">
        <f t="shared" ca="1" si="162"/>
        <v>-150108954622.50729</v>
      </c>
      <c r="M3174" s="460">
        <f t="shared" si="164"/>
        <v>0.05</v>
      </c>
      <c r="N3174" s="464">
        <f t="shared" si="165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63"/>
        <v>-150108954622.50729</v>
      </c>
      <c r="J3175" s="444">
        <f t="array" ref="J3175">IFERROR(INDEX('Retirement Calculator'!J:J,MATCH('Isaac 401k'!N3175,'Retirement Calculator'!A:A,0),0),0)</f>
        <v>0</v>
      </c>
      <c r="K3175" s="444">
        <f t="shared" ca="1" si="161"/>
        <v>-625453977.5937804</v>
      </c>
      <c r="L3175" s="444">
        <f t="shared" ca="1" si="162"/>
        <v>-150734408600.10107</v>
      </c>
      <c r="M3175" s="460">
        <f t="shared" si="164"/>
        <v>0.05</v>
      </c>
      <c r="N3175" s="464">
        <f t="shared" si="165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63"/>
        <v>-150734408600.10107</v>
      </c>
      <c r="J3176" s="444">
        <f t="array" ref="J3176">IFERROR(INDEX('Retirement Calculator'!J:J,MATCH('Isaac 401k'!N3176,'Retirement Calculator'!A:A,0),0),0)</f>
        <v>0</v>
      </c>
      <c r="K3176" s="444">
        <f t="shared" ca="1" si="161"/>
        <v>-628060035.83375442</v>
      </c>
      <c r="L3176" s="444">
        <f t="shared" ca="1" si="162"/>
        <v>-151362468635.93481</v>
      </c>
      <c r="M3176" s="460">
        <f t="shared" si="164"/>
        <v>0.05</v>
      </c>
      <c r="N3176" s="464">
        <f t="shared" si="165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63"/>
        <v>-151362468635.93481</v>
      </c>
      <c r="J3177" s="444">
        <f t="array" ref="J3177">IFERROR(INDEX('Retirement Calculator'!J:J,MATCH('Isaac 401k'!N3177,'Retirement Calculator'!A:A,0),0),0)</f>
        <v>0</v>
      </c>
      <c r="K3177" s="444">
        <f t="shared" ca="1" si="161"/>
        <v>-630676952.64972842</v>
      </c>
      <c r="L3177" s="444">
        <f t="shared" ca="1" si="162"/>
        <v>-151993145588.58453</v>
      </c>
      <c r="M3177" s="460">
        <f t="shared" si="164"/>
        <v>0.05</v>
      </c>
      <c r="N3177" s="464">
        <f t="shared" si="165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63"/>
        <v>-151993145588.58453</v>
      </c>
      <c r="J3178" s="444">
        <f t="array" ref="J3178">IFERROR(INDEX('Retirement Calculator'!J:J,MATCH('Isaac 401k'!N3178,'Retirement Calculator'!A:A,0),0),0)</f>
        <v>0</v>
      </c>
      <c r="K3178" s="444">
        <f t="shared" ca="1" si="161"/>
        <v>-633304773.28576887</v>
      </c>
      <c r="L3178" s="444">
        <f t="shared" ca="1" si="162"/>
        <v>-152626450361.8703</v>
      </c>
      <c r="M3178" s="460">
        <f t="shared" si="164"/>
        <v>0.05</v>
      </c>
      <c r="N3178" s="464">
        <f t="shared" si="165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63"/>
        <v>-152626450361.8703</v>
      </c>
      <c r="J3179" s="444">
        <f t="array" ref="J3179">IFERROR(INDEX('Retirement Calculator'!J:J,MATCH('Isaac 401k'!N3179,'Retirement Calculator'!A:A,0),0),0)</f>
        <v>0</v>
      </c>
      <c r="K3179" s="444">
        <f t="shared" ca="1" si="161"/>
        <v>-635943543.17445958</v>
      </c>
      <c r="L3179" s="444">
        <f t="shared" ca="1" si="162"/>
        <v>-153262393905.04477</v>
      </c>
      <c r="M3179" s="460">
        <f t="shared" si="164"/>
        <v>0.05</v>
      </c>
      <c r="N3179" s="464">
        <f t="shared" si="165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63"/>
        <v>-153262393905.04477</v>
      </c>
      <c r="J3180" s="444">
        <f t="array" ref="J3180">IFERROR(INDEX('Retirement Calculator'!J:J,MATCH('Isaac 401k'!N3180,'Retirement Calculator'!A:A,0),0),0)</f>
        <v>0</v>
      </c>
      <c r="K3180" s="444">
        <f t="shared" ca="1" si="161"/>
        <v>-638593307.93768656</v>
      </c>
      <c r="L3180" s="444">
        <f t="shared" ca="1" si="162"/>
        <v>-153900987212.98245</v>
      </c>
      <c r="M3180" s="460">
        <f t="shared" si="164"/>
        <v>0.05</v>
      </c>
      <c r="N3180" s="464">
        <f t="shared" si="165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63"/>
        <v>-153900987212.98245</v>
      </c>
      <c r="J3181" s="444">
        <f t="array" ref="J3181">IFERROR(INDEX('Retirement Calculator'!J:J,MATCH('Isaac 401k'!N3181,'Retirement Calculator'!A:A,0),0),0)</f>
        <v>0</v>
      </c>
      <c r="K3181" s="444">
        <f t="shared" ca="1" si="161"/>
        <v>-641254113.38742685</v>
      </c>
      <c r="L3181" s="444">
        <f t="shared" ca="1" si="162"/>
        <v>-154542241326.36987</v>
      </c>
      <c r="M3181" s="460">
        <f t="shared" si="164"/>
        <v>0.05</v>
      </c>
      <c r="N3181" s="464">
        <f t="shared" si="165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63"/>
        <v>-154542241326.36987</v>
      </c>
      <c r="J3182" s="444">
        <f t="array" ref="J3182">IFERROR(INDEX('Retirement Calculator'!J:J,MATCH('Isaac 401k'!N3182,'Retirement Calculator'!A:A,0),0),0)</f>
        <v>0</v>
      </c>
      <c r="K3182" s="444">
        <f t="shared" ca="1" si="161"/>
        <v>-643926005.52654111</v>
      </c>
      <c r="L3182" s="444">
        <f t="shared" ca="1" si="162"/>
        <v>-155186167331.89642</v>
      </c>
      <c r="M3182" s="460">
        <f t="shared" si="164"/>
        <v>0.05</v>
      </c>
      <c r="N3182" s="464">
        <f t="shared" si="165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63"/>
        <v>-155186167331.89642</v>
      </c>
      <c r="J3183" s="444">
        <f t="array" ref="J3183">IFERROR(INDEX('Retirement Calculator'!J:J,MATCH('Isaac 401k'!N3183,'Retirement Calculator'!A:A,0),0),0)</f>
        <v>0</v>
      </c>
      <c r="K3183" s="444">
        <f t="shared" ca="1" si="161"/>
        <v>-646609030.54956841</v>
      </c>
      <c r="L3183" s="444">
        <f t="shared" ca="1" si="162"/>
        <v>-155832776362.44598</v>
      </c>
      <c r="M3183" s="460">
        <f t="shared" si="164"/>
        <v>0.05</v>
      </c>
      <c r="N3183" s="464">
        <f t="shared" si="165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63"/>
        <v>-155832776362.44598</v>
      </c>
      <c r="J3184" s="444">
        <f t="array" ref="J3184">IFERROR(INDEX('Retirement Calculator'!J:J,MATCH('Isaac 401k'!N3184,'Retirement Calculator'!A:A,0),0),0)</f>
        <v>0</v>
      </c>
      <c r="K3184" s="444">
        <f t="shared" ca="1" si="161"/>
        <v>-649303234.84352493</v>
      </c>
      <c r="L3184" s="444">
        <f t="shared" ca="1" si="162"/>
        <v>-156482079597.28952</v>
      </c>
      <c r="M3184" s="460">
        <f t="shared" si="164"/>
        <v>0.05</v>
      </c>
      <c r="N3184" s="464">
        <f t="shared" si="165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63"/>
        <v>-156482079597.28952</v>
      </c>
      <c r="J3185" s="444">
        <f t="array" ref="J3185">IFERROR(INDEX('Retirement Calculator'!J:J,MATCH('Isaac 401k'!N3185,'Retirement Calculator'!A:A,0),0),0)</f>
        <v>0</v>
      </c>
      <c r="K3185" s="444">
        <f t="shared" ca="1" si="161"/>
        <v>-652008664.98870635</v>
      </c>
      <c r="L3185" s="444">
        <f t="shared" ca="1" si="162"/>
        <v>-157134088262.27823</v>
      </c>
      <c r="M3185" s="460">
        <f t="shared" si="164"/>
        <v>0.05</v>
      </c>
      <c r="N3185" s="464">
        <f t="shared" si="165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63"/>
        <v>-157134088262.27823</v>
      </c>
      <c r="J3186" s="444">
        <f t="array" ref="J3186">IFERROR(INDEX('Retirement Calculator'!J:J,MATCH('Isaac 401k'!N3186,'Retirement Calculator'!A:A,0),0),0)</f>
        <v>0</v>
      </c>
      <c r="K3186" s="444">
        <f t="shared" ca="1" si="161"/>
        <v>-654725367.75949264</v>
      </c>
      <c r="L3186" s="444">
        <f t="shared" ca="1" si="162"/>
        <v>-157788813630.03772</v>
      </c>
      <c r="M3186" s="460">
        <f t="shared" si="164"/>
        <v>0.05</v>
      </c>
      <c r="N3186" s="464">
        <f t="shared" si="165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63"/>
        <v>-157788813630.03772</v>
      </c>
      <c r="J3187" s="444">
        <f t="array" ref="J3187">IFERROR(INDEX('Retirement Calculator'!J:J,MATCH('Isaac 401k'!N3187,'Retirement Calculator'!A:A,0),0),0)</f>
        <v>0</v>
      </c>
      <c r="K3187" s="444">
        <f t="shared" ca="1" si="161"/>
        <v>-657453390.12515712</v>
      </c>
      <c r="L3187" s="444">
        <f t="shared" ca="1" si="162"/>
        <v>-158446267020.16287</v>
      </c>
      <c r="M3187" s="460">
        <f t="shared" si="164"/>
        <v>0.05</v>
      </c>
      <c r="N3187" s="464">
        <f t="shared" si="165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63"/>
        <v>-158446267020.16287</v>
      </c>
      <c r="J3188" s="444">
        <f t="array" ref="J3188">IFERROR(INDEX('Retirement Calculator'!J:J,MATCH('Isaac 401k'!N3188,'Retirement Calculator'!A:A,0),0),0)</f>
        <v>0</v>
      </c>
      <c r="K3188" s="444">
        <f t="shared" ca="1" si="161"/>
        <v>-660192779.25067866</v>
      </c>
      <c r="L3188" s="444">
        <f t="shared" ca="1" si="162"/>
        <v>-159106459799.41354</v>
      </c>
      <c r="M3188" s="460">
        <f t="shared" si="164"/>
        <v>0.05</v>
      </c>
      <c r="N3188" s="464">
        <f t="shared" si="165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63"/>
        <v>-159106459799.41354</v>
      </c>
      <c r="J3189" s="444">
        <f t="array" ref="J3189">IFERROR(INDEX('Retirement Calculator'!J:J,MATCH('Isaac 401k'!N3189,'Retirement Calculator'!A:A,0),0),0)</f>
        <v>0</v>
      </c>
      <c r="K3189" s="444">
        <f t="shared" ca="1" si="161"/>
        <v>-662943582.49755645</v>
      </c>
      <c r="L3189" s="444">
        <f t="shared" ca="1" si="162"/>
        <v>-159769403381.9111</v>
      </c>
      <c r="M3189" s="460">
        <f t="shared" si="164"/>
        <v>0.05</v>
      </c>
      <c r="N3189" s="464">
        <f t="shared" si="165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63"/>
        <v>-159769403381.9111</v>
      </c>
      <c r="J3190" s="444">
        <f t="array" ref="J3190">IFERROR(INDEX('Retirement Calculator'!J:J,MATCH('Isaac 401k'!N3190,'Retirement Calculator'!A:A,0),0),0)</f>
        <v>0</v>
      </c>
      <c r="K3190" s="444">
        <f t="shared" ca="1" si="161"/>
        <v>-665705847.42462957</v>
      </c>
      <c r="L3190" s="444">
        <f t="shared" ca="1" si="162"/>
        <v>-160435109229.33572</v>
      </c>
      <c r="M3190" s="460">
        <f t="shared" si="164"/>
        <v>0.05</v>
      </c>
      <c r="N3190" s="464">
        <f t="shared" si="165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63"/>
        <v>-160435109229.33572</v>
      </c>
      <c r="J3191" s="444">
        <f t="array" ref="J3191">IFERROR(INDEX('Retirement Calculator'!J:J,MATCH('Isaac 401k'!N3191,'Retirement Calculator'!A:A,0),0),0)</f>
        <v>0</v>
      </c>
      <c r="K3191" s="444">
        <f t="shared" ca="1" si="161"/>
        <v>-668479621.78889883</v>
      </c>
      <c r="L3191" s="444">
        <f t="shared" ca="1" si="162"/>
        <v>-161103588851.12463</v>
      </c>
      <c r="M3191" s="460">
        <f t="shared" si="164"/>
        <v>0.05</v>
      </c>
      <c r="N3191" s="464">
        <f t="shared" si="165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63"/>
        <v>-161103588851.12463</v>
      </c>
      <c r="J3192" s="444">
        <f t="array" ref="J3192">IFERROR(INDEX('Retirement Calculator'!J:J,MATCH('Isaac 401k'!N3192,'Retirement Calculator'!A:A,0),0),0)</f>
        <v>0</v>
      </c>
      <c r="K3192" s="444">
        <f t="shared" ca="1" si="161"/>
        <v>-671264953.54635262</v>
      </c>
      <c r="L3192" s="444">
        <f t="shared" ca="1" si="162"/>
        <v>-161774853804.67099</v>
      </c>
      <c r="M3192" s="460">
        <f t="shared" si="164"/>
        <v>0.05</v>
      </c>
      <c r="N3192" s="464">
        <f t="shared" si="165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63"/>
        <v>-161774853804.67099</v>
      </c>
      <c r="J3193" s="444">
        <f t="array" ref="J3193">IFERROR(INDEX('Retirement Calculator'!J:J,MATCH('Isaac 401k'!N3193,'Retirement Calculator'!A:A,0),0),0)</f>
        <v>0</v>
      </c>
      <c r="K3193" s="444">
        <f t="shared" ca="1" si="161"/>
        <v>-674061890.85279584</v>
      </c>
      <c r="L3193" s="444">
        <f t="shared" ca="1" si="162"/>
        <v>-162448915695.52377</v>
      </c>
      <c r="M3193" s="460">
        <f t="shared" si="164"/>
        <v>0.05</v>
      </c>
      <c r="N3193" s="464">
        <f t="shared" si="165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63"/>
        <v>-162448915695.52377</v>
      </c>
      <c r="J3194" s="444">
        <f t="array" ref="J3194">IFERROR(INDEX('Retirement Calculator'!J:J,MATCH('Isaac 401k'!N3194,'Retirement Calculator'!A:A,0),0),0)</f>
        <v>0</v>
      </c>
      <c r="K3194" s="444">
        <f t="shared" ca="1" si="161"/>
        <v>-676870482.06468236</v>
      </c>
      <c r="L3194" s="444">
        <f t="shared" ca="1" si="162"/>
        <v>-163125786177.58847</v>
      </c>
      <c r="M3194" s="460">
        <f t="shared" si="164"/>
        <v>0.05</v>
      </c>
      <c r="N3194" s="464">
        <f t="shared" si="165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63"/>
        <v>-163125786177.58847</v>
      </c>
      <c r="J3195" s="444">
        <f t="array" ref="J3195">IFERROR(INDEX('Retirement Calculator'!J:J,MATCH('Isaac 401k'!N3195,'Retirement Calculator'!A:A,0),0),0)</f>
        <v>0</v>
      </c>
      <c r="K3195" s="444">
        <f t="shared" ca="1" si="161"/>
        <v>-679690775.73995197</v>
      </c>
      <c r="L3195" s="444">
        <f t="shared" ca="1" si="162"/>
        <v>-163805476953.32843</v>
      </c>
      <c r="M3195" s="460">
        <f t="shared" si="164"/>
        <v>0.05</v>
      </c>
      <c r="N3195" s="464">
        <f t="shared" si="165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63"/>
        <v>-163805476953.32843</v>
      </c>
      <c r="J3196" s="444">
        <f t="array" ref="J3196">IFERROR(INDEX('Retirement Calculator'!J:J,MATCH('Isaac 401k'!N3196,'Retirement Calculator'!A:A,0),0),0)</f>
        <v>0</v>
      </c>
      <c r="K3196" s="444">
        <f t="shared" ca="1" si="161"/>
        <v>-682522820.63886845</v>
      </c>
      <c r="L3196" s="444">
        <f t="shared" ca="1" si="162"/>
        <v>-164487999773.96729</v>
      </c>
      <c r="M3196" s="460">
        <f t="shared" si="164"/>
        <v>0.05</v>
      </c>
      <c r="N3196" s="464">
        <f t="shared" si="165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63"/>
        <v>-164487999773.96729</v>
      </c>
      <c r="J3197" s="444">
        <f t="array" ref="J3197">IFERROR(INDEX('Retirement Calculator'!J:J,MATCH('Isaac 401k'!N3197,'Retirement Calculator'!A:A,0),0),0)</f>
        <v>0</v>
      </c>
      <c r="K3197" s="444">
        <f t="shared" ca="1" si="161"/>
        <v>-685366665.72486365</v>
      </c>
      <c r="L3197" s="444">
        <f t="shared" ca="1" si="162"/>
        <v>-165173366439.69214</v>
      </c>
      <c r="M3197" s="460">
        <f t="shared" si="164"/>
        <v>0.05</v>
      </c>
      <c r="N3197" s="464">
        <f t="shared" si="165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63"/>
        <v>-165173366439.69214</v>
      </c>
      <c r="J3198" s="444">
        <f t="array" ref="J3198">IFERROR(INDEX('Retirement Calculator'!J:J,MATCH('Isaac 401k'!N3198,'Retirement Calculator'!A:A,0),0),0)</f>
        <v>0</v>
      </c>
      <c r="K3198" s="444">
        <f t="shared" ca="1" si="161"/>
        <v>-688222360.16538393</v>
      </c>
      <c r="L3198" s="444">
        <f t="shared" ca="1" si="162"/>
        <v>-165861588799.85751</v>
      </c>
      <c r="M3198" s="460">
        <f t="shared" si="164"/>
        <v>0.05</v>
      </c>
      <c r="N3198" s="464">
        <f t="shared" si="165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63"/>
        <v>-165861588799.85751</v>
      </c>
      <c r="J3199" s="444">
        <f t="array" ref="J3199">IFERROR(INDEX('Retirement Calculator'!J:J,MATCH('Isaac 401k'!N3199,'Retirement Calculator'!A:A,0),0),0)</f>
        <v>0</v>
      </c>
      <c r="K3199" s="444">
        <f t="shared" ca="1" si="161"/>
        <v>-691089953.33273959</v>
      </c>
      <c r="L3199" s="444">
        <f t="shared" ca="1" si="162"/>
        <v>-166552678753.19025</v>
      </c>
      <c r="M3199" s="460">
        <f t="shared" si="164"/>
        <v>0.05</v>
      </c>
      <c r="N3199" s="464">
        <f t="shared" si="165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63"/>
        <v>-166552678753.19025</v>
      </c>
      <c r="J3200" s="444">
        <f t="array" ref="J3200">IFERROR(INDEX('Retirement Calculator'!J:J,MATCH('Isaac 401k'!N3200,'Retirement Calculator'!A:A,0),0),0)</f>
        <v>0</v>
      </c>
      <c r="K3200" s="444">
        <f t="shared" ca="1" si="161"/>
        <v>-693969494.8049593</v>
      </c>
      <c r="L3200" s="444">
        <f t="shared" ca="1" si="162"/>
        <v>-167246648247.99521</v>
      </c>
      <c r="M3200" s="460">
        <f t="shared" si="164"/>
        <v>0.05</v>
      </c>
      <c r="N3200" s="464">
        <f t="shared" si="165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63"/>
        <v>-167246648247.99521</v>
      </c>
      <c r="J3201" s="444">
        <f t="array" ref="J3201">IFERROR(INDEX('Retirement Calculator'!J:J,MATCH('Isaac 401k'!N3201,'Retirement Calculator'!A:A,0),0),0)</f>
        <v>0</v>
      </c>
      <c r="K3201" s="444">
        <f t="shared" ca="1" si="161"/>
        <v>-696861034.36664665</v>
      </c>
      <c r="L3201" s="444">
        <f t="shared" ca="1" si="162"/>
        <v>-167943509282.36185</v>
      </c>
      <c r="M3201" s="460">
        <f t="shared" si="164"/>
        <v>0.05</v>
      </c>
      <c r="N3201" s="464">
        <f t="shared" si="165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63"/>
        <v>-167943509282.36185</v>
      </c>
      <c r="J3202" s="444">
        <f t="array" ref="J3202">IFERROR(INDEX('Retirement Calculator'!J:J,MATCH('Isaac 401k'!N3202,'Retirement Calculator'!A:A,0),0),0)</f>
        <v>0</v>
      </c>
      <c r="K3202" s="444">
        <f t="shared" ca="1" si="161"/>
        <v>-699764622.00984097</v>
      </c>
      <c r="L3202" s="444">
        <f t="shared" ca="1" si="162"/>
        <v>-168643273904.37167</v>
      </c>
      <c r="M3202" s="460">
        <f t="shared" si="164"/>
        <v>0.05</v>
      </c>
      <c r="N3202" s="464">
        <f t="shared" si="165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63"/>
        <v>-168643273904.37167</v>
      </c>
      <c r="J3203" s="444">
        <f t="array" ref="J3203">IFERROR(INDEX('Retirement Calculator'!J:J,MATCH('Isaac 401k'!N3203,'Retirement Calculator'!A:A,0),0),0)</f>
        <v>0</v>
      </c>
      <c r="K3203" s="444">
        <f t="shared" ca="1" si="161"/>
        <v>-702680307.93488193</v>
      </c>
      <c r="L3203" s="444">
        <f t="shared" ca="1" si="162"/>
        <v>-169345954212.30655</v>
      </c>
      <c r="M3203" s="460">
        <f t="shared" si="164"/>
        <v>0.05</v>
      </c>
      <c r="N3203" s="464">
        <f t="shared" si="165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63"/>
        <v>-169345954212.30655</v>
      </c>
      <c r="J3204" s="444">
        <f t="array" ref="J3204">IFERROR(INDEX('Retirement Calculator'!J:J,MATCH('Isaac 401k'!N3204,'Retirement Calculator'!A:A,0),0),0)</f>
        <v>0</v>
      </c>
      <c r="K3204" s="444">
        <f t="shared" ca="1" si="161"/>
        <v>-705608142.55127728</v>
      </c>
      <c r="L3204" s="444">
        <f t="shared" ca="1" si="162"/>
        <v>-170051562354.85782</v>
      </c>
      <c r="M3204" s="460">
        <f t="shared" si="164"/>
        <v>0.05</v>
      </c>
      <c r="N3204" s="464">
        <f t="shared" si="165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63"/>
        <v>-170051562354.85782</v>
      </c>
      <c r="J3205" s="444">
        <f t="array" ref="J3205">IFERROR(INDEX('Retirement Calculator'!J:J,MATCH('Isaac 401k'!N3205,'Retirement Calculator'!A:A,0),0),0)</f>
        <v>0</v>
      </c>
      <c r="K3205" s="444">
        <f t="shared" ca="1" si="161"/>
        <v>-708548176.47857428</v>
      </c>
      <c r="L3205" s="444">
        <f t="shared" ca="1" si="162"/>
        <v>-170760110531.3364</v>
      </c>
      <c r="M3205" s="460">
        <f t="shared" si="164"/>
        <v>0.05</v>
      </c>
      <c r="N3205" s="464">
        <f t="shared" si="165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63"/>
        <v>-170760110531.3364</v>
      </c>
      <c r="J3206" s="444">
        <f t="array" ref="J3206">IFERROR(INDEX('Retirement Calculator'!J:J,MATCH('Isaac 401k'!N3206,'Retirement Calculator'!A:A,0),0),0)</f>
        <v>0</v>
      </c>
      <c r="K3206" s="444">
        <f t="shared" ca="1" si="161"/>
        <v>-711500460.54723501</v>
      </c>
      <c r="L3206" s="444">
        <f t="shared" ca="1" si="162"/>
        <v>-171471610991.88364</v>
      </c>
      <c r="M3206" s="460">
        <f t="shared" si="164"/>
        <v>0.05</v>
      </c>
      <c r="N3206" s="464">
        <f t="shared" si="165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63"/>
        <v>-171471610991.88364</v>
      </c>
      <c r="J3207" s="444">
        <f t="array" ref="J3207">IFERROR(INDEX('Retirement Calculator'!J:J,MATCH('Isaac 401k'!N3207,'Retirement Calculator'!A:A,0),0),0)</f>
        <v>0</v>
      </c>
      <c r="K3207" s="444">
        <f t="shared" ca="1" si="161"/>
        <v>-714465045.79951513</v>
      </c>
      <c r="L3207" s="444">
        <f t="shared" ca="1" si="162"/>
        <v>-172186076037.68317</v>
      </c>
      <c r="M3207" s="460">
        <f t="shared" si="164"/>
        <v>0.05</v>
      </c>
      <c r="N3207" s="464">
        <f t="shared" si="165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63"/>
        <v>-172186076037.68317</v>
      </c>
      <c r="J3208" s="444">
        <f t="array" ref="J3208">IFERROR(INDEX('Retirement Calculator'!J:J,MATCH('Isaac 401k'!N3208,'Retirement Calculator'!A:A,0),0),0)</f>
        <v>0</v>
      </c>
      <c r="K3208" s="444">
        <f t="shared" ca="1" si="161"/>
        <v>-717441983.49034655</v>
      </c>
      <c r="L3208" s="444">
        <f t="shared" ca="1" si="162"/>
        <v>-172903518021.17352</v>
      </c>
      <c r="M3208" s="460">
        <f t="shared" si="164"/>
        <v>0.05</v>
      </c>
      <c r="N3208" s="464">
        <f t="shared" si="165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63"/>
        <v>-172903518021.17352</v>
      </c>
      <c r="J3209" s="444">
        <f t="array" ref="J3209">IFERROR(INDEX('Retirement Calculator'!J:J,MATCH('Isaac 401k'!N3209,'Retirement Calculator'!A:A,0),0),0)</f>
        <v>0</v>
      </c>
      <c r="K3209" s="444">
        <f t="shared" ca="1" si="161"/>
        <v>-720431325.08822298</v>
      </c>
      <c r="L3209" s="444">
        <f t="shared" ca="1" si="162"/>
        <v>-173623949346.26175</v>
      </c>
      <c r="M3209" s="460">
        <f t="shared" si="164"/>
        <v>0.05</v>
      </c>
      <c r="N3209" s="464">
        <f t="shared" si="165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63"/>
        <v>-173623949346.26175</v>
      </c>
      <c r="J3210" s="444">
        <f t="array" ref="J3210">IFERROR(INDEX('Retirement Calculator'!J:J,MATCH('Isaac 401k'!N3210,'Retirement Calculator'!A:A,0),0),0)</f>
        <v>0</v>
      </c>
      <c r="K3210" s="444">
        <f t="shared" ca="1" si="161"/>
        <v>-723433122.27609062</v>
      </c>
      <c r="L3210" s="444">
        <f t="shared" ca="1" si="162"/>
        <v>-174347382468.53784</v>
      </c>
      <c r="M3210" s="460">
        <f t="shared" si="164"/>
        <v>0.05</v>
      </c>
      <c r="N3210" s="464">
        <f t="shared" si="165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63"/>
        <v>-174347382468.53784</v>
      </c>
      <c r="J3211" s="444">
        <f t="array" ref="J3211">IFERROR(INDEX('Retirement Calculator'!J:J,MATCH('Isaac 401k'!N3211,'Retirement Calculator'!A:A,0),0),0)</f>
        <v>0</v>
      </c>
      <c r="K3211" s="444">
        <f t="shared" ca="1" si="161"/>
        <v>-726447426.95224094</v>
      </c>
      <c r="L3211" s="444">
        <f t="shared" ca="1" si="162"/>
        <v>-175073829895.49008</v>
      </c>
      <c r="M3211" s="460">
        <f t="shared" si="164"/>
        <v>0.05</v>
      </c>
      <c r="N3211" s="464">
        <f t="shared" si="165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63"/>
        <v>-175073829895.49008</v>
      </c>
      <c r="J3212" s="444">
        <f t="array" ref="J3212">IFERROR(INDEX('Retirement Calculator'!J:J,MATCH('Isaac 401k'!N3212,'Retirement Calculator'!A:A,0),0),0)</f>
        <v>0</v>
      </c>
      <c r="K3212" s="444">
        <f t="shared" ca="1" si="161"/>
        <v>-729474291.23120868</v>
      </c>
      <c r="L3212" s="444">
        <f t="shared" ca="1" si="162"/>
        <v>-175803304186.72128</v>
      </c>
      <c r="M3212" s="460">
        <f t="shared" si="164"/>
        <v>0.05</v>
      </c>
      <c r="N3212" s="464">
        <f t="shared" si="165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63"/>
        <v>-175803304186.72128</v>
      </c>
      <c r="J3213" s="444">
        <f t="array" ref="J3213">IFERROR(INDEX('Retirement Calculator'!J:J,MATCH('Isaac 401k'!N3213,'Retirement Calculator'!A:A,0),0),0)</f>
        <v>0</v>
      </c>
      <c r="K3213" s="444">
        <f t="shared" ca="1" si="161"/>
        <v>-732513767.44467199</v>
      </c>
      <c r="L3213" s="444">
        <f t="shared" ca="1" si="162"/>
        <v>-176535817954.16595</v>
      </c>
      <c r="M3213" s="460">
        <f t="shared" si="164"/>
        <v>0.05</v>
      </c>
      <c r="N3213" s="464">
        <f t="shared" si="165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63"/>
        <v>-176535817954.16595</v>
      </c>
      <c r="J3214" s="444">
        <f t="array" ref="J3214">IFERROR(INDEX('Retirement Calculator'!J:J,MATCH('Isaac 401k'!N3214,'Retirement Calculator'!A:A,0),0),0)</f>
        <v>0</v>
      </c>
      <c r="K3214" s="444">
        <f t="shared" ca="1" si="161"/>
        <v>-735565908.14235818</v>
      </c>
      <c r="L3214" s="444">
        <f t="shared" ca="1" si="162"/>
        <v>-177271383862.30832</v>
      </c>
      <c r="M3214" s="460">
        <f t="shared" si="164"/>
        <v>0.05</v>
      </c>
      <c r="N3214" s="464">
        <f t="shared" si="165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63"/>
        <v>-177271383862.30832</v>
      </c>
      <c r="J3215" s="444">
        <f t="array" ref="J3215">IFERROR(INDEX('Retirement Calculator'!J:J,MATCH('Isaac 401k'!N3215,'Retirement Calculator'!A:A,0),0),0)</f>
        <v>0</v>
      </c>
      <c r="K3215" s="444">
        <f t="shared" ca="1" si="161"/>
        <v>-738630766.0929513</v>
      </c>
      <c r="L3215" s="444">
        <f t="shared" ca="1" si="162"/>
        <v>-178010014628.40128</v>
      </c>
      <c r="M3215" s="460">
        <f t="shared" si="164"/>
        <v>0.05</v>
      </c>
      <c r="N3215" s="464">
        <f t="shared" si="165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63"/>
        <v>-178010014628.40128</v>
      </c>
      <c r="J3216" s="444">
        <f t="array" ref="J3216">IFERROR(INDEX('Retirement Calculator'!J:J,MATCH('Isaac 401k'!N3216,'Retirement Calculator'!A:A,0),0),0)</f>
        <v>0</v>
      </c>
      <c r="K3216" s="444">
        <f t="shared" ca="1" si="161"/>
        <v>-741708394.28500533</v>
      </c>
      <c r="L3216" s="444">
        <f t="shared" ca="1" si="162"/>
        <v>-178751723022.68628</v>
      </c>
      <c r="M3216" s="460">
        <f t="shared" si="164"/>
        <v>0.05</v>
      </c>
      <c r="N3216" s="464">
        <f t="shared" si="165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63"/>
        <v>-178751723022.68628</v>
      </c>
      <c r="J3217" s="444">
        <f t="array" ref="J3217">IFERROR(INDEX('Retirement Calculator'!J:J,MATCH('Isaac 401k'!N3217,'Retirement Calculator'!A:A,0),0),0)</f>
        <v>0</v>
      </c>
      <c r="K3217" s="444">
        <f t="shared" ca="1" si="161"/>
        <v>-744798845.92785954</v>
      </c>
      <c r="L3217" s="444">
        <f t="shared" ca="1" si="162"/>
        <v>-179496521868.61414</v>
      </c>
      <c r="M3217" s="460">
        <f t="shared" si="164"/>
        <v>0.05</v>
      </c>
      <c r="N3217" s="464">
        <f t="shared" si="165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63"/>
        <v>-179496521868.61414</v>
      </c>
      <c r="J3218" s="444">
        <f t="array" ref="J3218">IFERROR(INDEX('Retirement Calculator'!J:J,MATCH('Isaac 401k'!N3218,'Retirement Calculator'!A:A,0),0),0)</f>
        <v>0</v>
      </c>
      <c r="K3218" s="444">
        <f t="shared" ca="1" si="161"/>
        <v>-747902174.45255888</v>
      </c>
      <c r="L3218" s="444">
        <f t="shared" ca="1" si="162"/>
        <v>-180244424043.06668</v>
      </c>
      <c r="M3218" s="460">
        <f t="shared" si="164"/>
        <v>0.05</v>
      </c>
      <c r="N3218" s="464">
        <f t="shared" si="165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63"/>
        <v>-180244424043.06668</v>
      </c>
      <c r="J3219" s="444">
        <f t="array" ref="J3219">IFERROR(INDEX('Retirement Calculator'!J:J,MATCH('Isaac 401k'!N3219,'Retirement Calculator'!A:A,0),0),0)</f>
        <v>0</v>
      </c>
      <c r="K3219" s="444">
        <f t="shared" ca="1" si="161"/>
        <v>-751018433.51277781</v>
      </c>
      <c r="L3219" s="444">
        <f t="shared" ca="1" si="162"/>
        <v>-180995442476.57947</v>
      </c>
      <c r="M3219" s="460">
        <f t="shared" si="164"/>
        <v>0.05</v>
      </c>
      <c r="N3219" s="464">
        <f t="shared" si="165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63"/>
        <v>-180995442476.57947</v>
      </c>
      <c r="J3220" s="444">
        <f t="array" ref="J3220">IFERROR(INDEX('Retirement Calculator'!J:J,MATCH('Isaac 401k'!N3220,'Retirement Calculator'!A:A,0),0),0)</f>
        <v>0</v>
      </c>
      <c r="K3220" s="444">
        <f t="shared" ca="1" si="161"/>
        <v>-754147676.98574781</v>
      </c>
      <c r="L3220" s="444">
        <f t="shared" ca="1" si="162"/>
        <v>-181749590153.56522</v>
      </c>
      <c r="M3220" s="460">
        <f t="shared" si="164"/>
        <v>0.05</v>
      </c>
      <c r="N3220" s="464">
        <f t="shared" si="165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63"/>
        <v>-181749590153.56522</v>
      </c>
      <c r="J3221" s="444">
        <f t="array" ref="J3221">IFERROR(INDEX('Retirement Calculator'!J:J,MATCH('Isaac 401k'!N3221,'Retirement Calculator'!A:A,0),0),0)</f>
        <v>0</v>
      </c>
      <c r="K3221" s="444">
        <f t="shared" ca="1" si="161"/>
        <v>-757289958.9731884</v>
      </c>
      <c r="L3221" s="444">
        <f t="shared" ca="1" si="162"/>
        <v>-182506880112.53839</v>
      </c>
      <c r="M3221" s="460">
        <f t="shared" si="164"/>
        <v>0.05</v>
      </c>
      <c r="N3221" s="464">
        <f t="shared" si="165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63"/>
        <v>-182506880112.53839</v>
      </c>
      <c r="J3222" s="444">
        <f t="array" ref="J3222">IFERROR(INDEX('Retirement Calculator'!J:J,MATCH('Isaac 401k'!N3222,'Retirement Calculator'!A:A,0),0),0)</f>
        <v>0</v>
      </c>
      <c r="K3222" s="444">
        <f t="shared" ca="1" si="161"/>
        <v>-760445333.80224323</v>
      </c>
      <c r="L3222" s="444">
        <f t="shared" ca="1" si="162"/>
        <v>-183267325446.34064</v>
      </c>
      <c r="M3222" s="460">
        <f t="shared" si="164"/>
        <v>0.05</v>
      </c>
      <c r="N3222" s="464">
        <f t="shared" si="165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63"/>
        <v>-183267325446.34064</v>
      </c>
      <c r="J3223" s="444">
        <f t="array" ref="J3223">IFERROR(INDEX('Retirement Calculator'!J:J,MATCH('Isaac 401k'!N3223,'Retirement Calculator'!A:A,0),0),0)</f>
        <v>0</v>
      </c>
      <c r="K3223" s="444">
        <f t="shared" ca="1" si="161"/>
        <v>-763613856.02641928</v>
      </c>
      <c r="L3223" s="444">
        <f t="shared" ca="1" si="162"/>
        <v>-184030939302.36707</v>
      </c>
      <c r="M3223" s="460">
        <f t="shared" si="164"/>
        <v>0.05</v>
      </c>
      <c r="N3223" s="464">
        <f t="shared" si="165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63"/>
        <v>-184030939302.36707</v>
      </c>
      <c r="J3224" s="444">
        <f t="array" ref="J3224">IFERROR(INDEX('Retirement Calculator'!J:J,MATCH('Isaac 401k'!N3224,'Retirement Calculator'!A:A,0),0),0)</f>
        <v>0</v>
      </c>
      <c r="K3224" s="444">
        <f t="shared" ca="1" si="161"/>
        <v>-766795580.42652941</v>
      </c>
      <c r="L3224" s="444">
        <f t="shared" ca="1" si="162"/>
        <v>-184797734882.79361</v>
      </c>
      <c r="M3224" s="460">
        <f t="shared" si="164"/>
        <v>0.05</v>
      </c>
      <c r="N3224" s="464">
        <f t="shared" si="165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63"/>
        <v>-184797734882.79361</v>
      </c>
      <c r="J3225" s="444">
        <f t="array" ref="J3225">IFERROR(INDEX('Retirement Calculator'!J:J,MATCH('Isaac 401k'!N3225,'Retirement Calculator'!A:A,0),0),0)</f>
        <v>0</v>
      </c>
      <c r="K3225" s="444">
        <f t="shared" ca="1" si="161"/>
        <v>-769990562.01164007</v>
      </c>
      <c r="L3225" s="444">
        <f t="shared" ca="1" si="162"/>
        <v>-185567725444.80524</v>
      </c>
      <c r="M3225" s="460">
        <f t="shared" si="164"/>
        <v>0.05</v>
      </c>
      <c r="N3225" s="464">
        <f t="shared" si="165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63"/>
        <v>-185567725444.80524</v>
      </c>
      <c r="J3226" s="444">
        <f t="array" ref="J3226">IFERROR(INDEX('Retirement Calculator'!J:J,MATCH('Isaac 401k'!N3226,'Retirement Calculator'!A:A,0),0),0)</f>
        <v>0</v>
      </c>
      <c r="K3226" s="444">
        <f t="shared" ca="1" si="161"/>
        <v>-773198856.0200218</v>
      </c>
      <c r="L3226" s="444">
        <f t="shared" ca="1" si="162"/>
        <v>-186340924300.82526</v>
      </c>
      <c r="M3226" s="460">
        <f t="shared" si="164"/>
        <v>0.05</v>
      </c>
      <c r="N3226" s="464">
        <f t="shared" si="165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63"/>
        <v>-186340924300.82526</v>
      </c>
      <c r="J3227" s="444">
        <f t="array" ref="J3227">IFERROR(INDEX('Retirement Calculator'!J:J,MATCH('Isaac 401k'!N3227,'Retirement Calculator'!A:A,0),0),0)</f>
        <v>0</v>
      </c>
      <c r="K3227" s="444">
        <f t="shared" ca="1" si="161"/>
        <v>-776420517.92010522</v>
      </c>
      <c r="L3227" s="444">
        <f t="shared" ca="1" si="162"/>
        <v>-187117344818.74536</v>
      </c>
      <c r="M3227" s="460">
        <f t="shared" si="164"/>
        <v>0.05</v>
      </c>
      <c r="N3227" s="464">
        <f t="shared" si="165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63"/>
        <v>-187117344818.74536</v>
      </c>
      <c r="J3228" s="444">
        <f t="array" ref="J3228">IFERROR(INDEX('Retirement Calculator'!J:J,MATCH('Isaac 401k'!N3228,'Retirement Calculator'!A:A,0),0),0)</f>
        <v>0</v>
      </c>
      <c r="K3228" s="444">
        <f t="shared" ca="1" si="161"/>
        <v>-779655603.41143894</v>
      </c>
      <c r="L3228" s="444">
        <f t="shared" ca="1" si="162"/>
        <v>-187897000422.1568</v>
      </c>
      <c r="M3228" s="460">
        <f t="shared" si="164"/>
        <v>0.05</v>
      </c>
      <c r="N3228" s="464">
        <f t="shared" si="165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63"/>
        <v>-187897000422.1568</v>
      </c>
      <c r="J3229" s="444">
        <f t="array" ref="J3229">IFERROR(INDEX('Retirement Calculator'!J:J,MATCH('Isaac 401k'!N3229,'Retirement Calculator'!A:A,0),0),0)</f>
        <v>0</v>
      </c>
      <c r="K3229" s="444">
        <f t="shared" ca="1" si="161"/>
        <v>-782904168.42565334</v>
      </c>
      <c r="L3229" s="444">
        <f t="shared" ca="1" si="162"/>
        <v>-188679904590.58246</v>
      </c>
      <c r="M3229" s="460">
        <f t="shared" si="164"/>
        <v>0.05</v>
      </c>
      <c r="N3229" s="464">
        <f t="shared" si="165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63"/>
        <v>-188679904590.58246</v>
      </c>
      <c r="J3230" s="444">
        <f t="array" ref="J3230">IFERROR(INDEX('Retirement Calculator'!J:J,MATCH('Isaac 401k'!N3230,'Retirement Calculator'!A:A,0),0),0)</f>
        <v>0</v>
      </c>
      <c r="K3230" s="444">
        <f t="shared" ca="1" si="161"/>
        <v>-786166269.12742686</v>
      </c>
      <c r="L3230" s="444">
        <f t="shared" ca="1" si="162"/>
        <v>-189466070859.7099</v>
      </c>
      <c r="M3230" s="460">
        <f t="shared" si="164"/>
        <v>0.05</v>
      </c>
      <c r="N3230" s="464">
        <f t="shared" si="165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63"/>
        <v>-189466070859.7099</v>
      </c>
      <c r="J3231" s="444">
        <f t="array" ref="J3231">IFERROR(INDEX('Retirement Calculator'!J:J,MATCH('Isaac 401k'!N3231,'Retirement Calculator'!A:A,0),0),0)</f>
        <v>0</v>
      </c>
      <c r="K3231" s="444">
        <f t="shared" ca="1" si="161"/>
        <v>-789441961.91545796</v>
      </c>
      <c r="L3231" s="444">
        <f t="shared" ca="1" si="162"/>
        <v>-190255512821.62537</v>
      </c>
      <c r="M3231" s="460">
        <f t="shared" si="164"/>
        <v>0.05</v>
      </c>
      <c r="N3231" s="464">
        <f t="shared" si="165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63"/>
        <v>-190255512821.62537</v>
      </c>
      <c r="J3232" s="444">
        <f t="array" ref="J3232">IFERROR(INDEX('Retirement Calculator'!J:J,MATCH('Isaac 401k'!N3232,'Retirement Calculator'!A:A,0),0),0)</f>
        <v>0</v>
      </c>
      <c r="K3232" s="444">
        <f t="shared" ca="1" si="161"/>
        <v>-792731303.42343903</v>
      </c>
      <c r="L3232" s="444">
        <f t="shared" ca="1" si="162"/>
        <v>-191048244125.0488</v>
      </c>
      <c r="M3232" s="460">
        <f t="shared" si="164"/>
        <v>0.05</v>
      </c>
      <c r="N3232" s="464">
        <f t="shared" si="165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63"/>
        <v>-191048244125.0488</v>
      </c>
      <c r="J3233" s="444">
        <f t="array" ref="J3233">IFERROR(INDEX('Retirement Calculator'!J:J,MATCH('Isaac 401k'!N3233,'Retirement Calculator'!A:A,0),0),0)</f>
        <v>0</v>
      </c>
      <c r="K3233" s="444">
        <f t="shared" ca="1" si="161"/>
        <v>-796034350.52103662</v>
      </c>
      <c r="L3233" s="444">
        <f t="shared" ca="1" si="162"/>
        <v>-191844278475.56982</v>
      </c>
      <c r="M3233" s="460">
        <f t="shared" si="164"/>
        <v>0.05</v>
      </c>
      <c r="N3233" s="464">
        <f t="shared" si="165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63"/>
        <v>-191844278475.56982</v>
      </c>
      <c r="J3234" s="444">
        <f t="array" ref="J3234">IFERROR(INDEX('Retirement Calculator'!J:J,MATCH('Isaac 401k'!N3234,'Retirement Calculator'!A:A,0),0),0)</f>
        <v>0</v>
      </c>
      <c r="K3234" s="444">
        <f t="shared" ca="1" si="161"/>
        <v>-799351160.31487429</v>
      </c>
      <c r="L3234" s="444">
        <f t="shared" ca="1" si="162"/>
        <v>-192643629635.8847</v>
      </c>
      <c r="M3234" s="460">
        <f t="shared" si="164"/>
        <v>0.05</v>
      </c>
      <c r="N3234" s="464">
        <f t="shared" si="165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63"/>
        <v>-192643629635.8847</v>
      </c>
      <c r="J3235" s="444">
        <f t="array" ref="J3235">IFERROR(INDEX('Retirement Calculator'!J:J,MATCH('Isaac 401k'!N3235,'Retirement Calculator'!A:A,0),0),0)</f>
        <v>0</v>
      </c>
      <c r="K3235" s="444">
        <f t="shared" ca="1" si="161"/>
        <v>-802681790.14951956</v>
      </c>
      <c r="L3235" s="444">
        <f t="shared" ca="1" si="162"/>
        <v>-193446311426.03421</v>
      </c>
      <c r="M3235" s="460">
        <f t="shared" si="164"/>
        <v>0.05</v>
      </c>
      <c r="N3235" s="464">
        <f t="shared" si="165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63"/>
        <v>-193446311426.03421</v>
      </c>
      <c r="J3236" s="444">
        <f t="array" ref="J3236">IFERROR(INDEX('Retirement Calculator'!J:J,MATCH('Isaac 401k'!N3236,'Retirement Calculator'!A:A,0),0),0)</f>
        <v>0</v>
      </c>
      <c r="K3236" s="444">
        <f t="shared" ca="1" si="161"/>
        <v>-806026297.60847592</v>
      </c>
      <c r="L3236" s="444">
        <f t="shared" ca="1" si="162"/>
        <v>-194252337723.6427</v>
      </c>
      <c r="M3236" s="460">
        <f t="shared" si="164"/>
        <v>0.05</v>
      </c>
      <c r="N3236" s="464">
        <f t="shared" si="165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63"/>
        <v>-194252337723.6427</v>
      </c>
      <c r="J3237" s="444">
        <f t="array" ref="J3237">IFERROR(INDEX('Retirement Calculator'!J:J,MATCH('Isaac 401k'!N3237,'Retirement Calculator'!A:A,0),0),0)</f>
        <v>0</v>
      </c>
      <c r="K3237" s="444">
        <f t="shared" ca="1" si="161"/>
        <v>-809384740.51517797</v>
      </c>
      <c r="L3237" s="444">
        <f t="shared" ca="1" si="162"/>
        <v>-195061722464.15787</v>
      </c>
      <c r="M3237" s="460">
        <f t="shared" si="164"/>
        <v>0.05</v>
      </c>
      <c r="N3237" s="464">
        <f t="shared" si="165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63"/>
        <v>-195061722464.15787</v>
      </c>
      <c r="J3238" s="444">
        <f t="array" ref="J3238">IFERROR(INDEX('Retirement Calculator'!J:J,MATCH('Isaac 401k'!N3238,'Retirement Calculator'!A:A,0),0),0)</f>
        <v>0</v>
      </c>
      <c r="K3238" s="444">
        <f t="shared" ca="1" si="161"/>
        <v>-812757176.93399107</v>
      </c>
      <c r="L3238" s="444">
        <f t="shared" ca="1" si="162"/>
        <v>-195874479641.09186</v>
      </c>
      <c r="M3238" s="460">
        <f t="shared" si="164"/>
        <v>0.05</v>
      </c>
      <c r="N3238" s="464">
        <f t="shared" si="165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63"/>
        <v>-195874479641.09186</v>
      </c>
      <c r="J3239" s="444">
        <f t="array" ref="J3239">IFERROR(INDEX('Retirement Calculator'!J:J,MATCH('Isaac 401k'!N3239,'Retirement Calculator'!A:A,0),0),0)</f>
        <v>0</v>
      </c>
      <c r="K3239" s="444">
        <f t="shared" ca="1" si="161"/>
        <v>-816143665.17121601</v>
      </c>
      <c r="L3239" s="444">
        <f t="shared" ca="1" si="162"/>
        <v>-196690623306.26306</v>
      </c>
      <c r="M3239" s="460">
        <f t="shared" si="164"/>
        <v>0.05</v>
      </c>
      <c r="N3239" s="464">
        <f t="shared" si="165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63"/>
        <v>-196690623306.26306</v>
      </c>
      <c r="J3240" s="444">
        <f t="array" ref="J3240">IFERROR(INDEX('Retirement Calculator'!J:J,MATCH('Isaac 401k'!N3240,'Retirement Calculator'!A:A,0),0),0)</f>
        <v>0</v>
      </c>
      <c r="K3240" s="444">
        <f t="shared" ca="1" si="161"/>
        <v>-819544263.77609611</v>
      </c>
      <c r="L3240" s="444">
        <f t="shared" ca="1" si="162"/>
        <v>-197510167570.03915</v>
      </c>
      <c r="M3240" s="460">
        <f t="shared" si="164"/>
        <v>0.05</v>
      </c>
      <c r="N3240" s="464">
        <f t="shared" si="165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63"/>
        <v>-197510167570.03915</v>
      </c>
      <c r="J3241" s="444">
        <f t="array" ref="J3241">IFERROR(INDEX('Retirement Calculator'!J:J,MATCH('Isaac 401k'!N3241,'Retirement Calculator'!A:A,0),0),0)</f>
        <v>0</v>
      </c>
      <c r="K3241" s="444">
        <f t="shared" ca="1" si="161"/>
        <v>-822959031.54182982</v>
      </c>
      <c r="L3241" s="444">
        <f t="shared" ca="1" si="162"/>
        <v>-198333126601.58099</v>
      </c>
      <c r="M3241" s="460">
        <f t="shared" si="164"/>
        <v>0.05</v>
      </c>
      <c r="N3241" s="464">
        <f t="shared" si="165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63"/>
        <v>-198333126601.58099</v>
      </c>
      <c r="J3242" s="444">
        <f t="array" ref="J3242">IFERROR(INDEX('Retirement Calculator'!J:J,MATCH('Isaac 401k'!N3242,'Retirement Calculator'!A:A,0),0),0)</f>
        <v>0</v>
      </c>
      <c r="K3242" s="444">
        <f t="shared" ca="1" si="161"/>
        <v>-826388027.50658751</v>
      </c>
      <c r="L3242" s="444">
        <f t="shared" ca="1" si="162"/>
        <v>-199159514629.08759</v>
      </c>
      <c r="M3242" s="460">
        <f t="shared" si="164"/>
        <v>0.05</v>
      </c>
      <c r="N3242" s="464">
        <f t="shared" si="165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63"/>
        <v>-199159514629.08759</v>
      </c>
      <c r="J3243" s="444">
        <f t="array" ref="J3243">IFERROR(INDEX('Retirement Calculator'!J:J,MATCH('Isaac 401k'!N3243,'Retirement Calculator'!A:A,0),0),0)</f>
        <v>0</v>
      </c>
      <c r="K3243" s="444">
        <f t="shared" ca="1" si="161"/>
        <v>-829831310.95453155</v>
      </c>
      <c r="L3243" s="444">
        <f t="shared" ca="1" si="162"/>
        <v>-199989345940.04211</v>
      </c>
      <c r="M3243" s="460">
        <f t="shared" si="164"/>
        <v>0.05</v>
      </c>
      <c r="N3243" s="464">
        <f t="shared" si="165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63"/>
        <v>-199989345940.04211</v>
      </c>
      <c r="J3244" s="444">
        <f t="array" ref="J3244">IFERROR(INDEX('Retirement Calculator'!J:J,MATCH('Isaac 401k'!N3244,'Retirement Calculator'!A:A,0),0),0)</f>
        <v>0</v>
      </c>
      <c r="K3244" s="444">
        <f t="shared" ca="1" si="161"/>
        <v>-833288941.4168421</v>
      </c>
      <c r="L3244" s="444">
        <f t="shared" ca="1" si="162"/>
        <v>-200822634881.45895</v>
      </c>
      <c r="M3244" s="460">
        <f t="shared" si="164"/>
        <v>0.05</v>
      </c>
      <c r="N3244" s="464">
        <f t="shared" si="165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63"/>
        <v>-200822634881.45895</v>
      </c>
      <c r="J3245" s="444">
        <f t="array" ref="J3245">IFERROR(INDEX('Retirement Calculator'!J:J,MATCH('Isaac 401k'!N3245,'Retirement Calculator'!A:A,0),0),0)</f>
        <v>0</v>
      </c>
      <c r="K3245" s="444">
        <f t="shared" ca="1" si="161"/>
        <v>-836760978.67274559</v>
      </c>
      <c r="L3245" s="444">
        <f t="shared" ca="1" si="162"/>
        <v>-201659395860.13171</v>
      </c>
      <c r="M3245" s="460">
        <f t="shared" si="164"/>
        <v>0.05</v>
      </c>
      <c r="N3245" s="464">
        <f t="shared" si="165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63"/>
        <v>-201659395860.13171</v>
      </c>
      <c r="J3246" s="444">
        <f t="array" ref="J3246">IFERROR(INDEX('Retirement Calculator'!J:J,MATCH('Isaac 401k'!N3246,'Retirement Calculator'!A:A,0),0),0)</f>
        <v>0</v>
      </c>
      <c r="K3246" s="444">
        <f t="shared" ca="1" si="161"/>
        <v>-840247482.75054884</v>
      </c>
      <c r="L3246" s="444">
        <f t="shared" ca="1" si="162"/>
        <v>-202499643342.88226</v>
      </c>
      <c r="M3246" s="460">
        <f t="shared" si="164"/>
        <v>0.05</v>
      </c>
      <c r="N3246" s="464">
        <f t="shared" si="165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63"/>
        <v>-202499643342.88226</v>
      </c>
      <c r="J3247" s="444">
        <f t="array" ref="J3247">IFERROR(INDEX('Retirement Calculator'!J:J,MATCH('Isaac 401k'!N3247,'Retirement Calculator'!A:A,0),0),0)</f>
        <v>0</v>
      </c>
      <c r="K3247" s="444">
        <f t="shared" ca="1" si="161"/>
        <v>-843748513.92867613</v>
      </c>
      <c r="L3247" s="444">
        <f t="shared" ca="1" si="162"/>
        <v>-203343391856.81094</v>
      </c>
      <c r="M3247" s="460">
        <f t="shared" si="164"/>
        <v>0.05</v>
      </c>
      <c r="N3247" s="464">
        <f t="shared" si="165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63"/>
        <v>-203343391856.81094</v>
      </c>
      <c r="J3248" s="444">
        <f t="array" ref="J3248">IFERROR(INDEX('Retirement Calculator'!J:J,MATCH('Isaac 401k'!N3248,'Retirement Calculator'!A:A,0),0),0)</f>
        <v>0</v>
      </c>
      <c r="K3248" s="444">
        <f t="shared" ca="1" si="161"/>
        <v>-847264132.73671222</v>
      </c>
      <c r="L3248" s="444">
        <f t="shared" ca="1" si="162"/>
        <v>-204190655989.54767</v>
      </c>
      <c r="M3248" s="460">
        <f t="shared" si="164"/>
        <v>0.05</v>
      </c>
      <c r="N3248" s="464">
        <f t="shared" si="165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63"/>
        <v>-204190655989.54767</v>
      </c>
      <c r="J3249" s="444">
        <f t="array" ref="J3249">IFERROR(INDEX('Retirement Calculator'!J:J,MATCH('Isaac 401k'!N3249,'Retirement Calculator'!A:A,0),0),0)</f>
        <v>0</v>
      </c>
      <c r="K3249" s="444">
        <f t="shared" ca="1" si="161"/>
        <v>-850794399.95644855</v>
      </c>
      <c r="L3249" s="444">
        <f t="shared" ca="1" si="162"/>
        <v>-205041450389.50412</v>
      </c>
      <c r="M3249" s="460">
        <f t="shared" si="164"/>
        <v>0.05</v>
      </c>
      <c r="N3249" s="464">
        <f t="shared" si="165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63"/>
        <v>-205041450389.50412</v>
      </c>
      <c r="J3250" s="444">
        <f t="array" ref="J3250">IFERROR(INDEX('Retirement Calculator'!J:J,MATCH('Isaac 401k'!N3250,'Retirement Calculator'!A:A,0),0),0)</f>
        <v>0</v>
      </c>
      <c r="K3250" s="444">
        <f t="shared" ca="1" si="161"/>
        <v>-854339376.62293386</v>
      </c>
      <c r="L3250" s="444">
        <f t="shared" ca="1" si="162"/>
        <v>-205895789766.12704</v>
      </c>
      <c r="M3250" s="460">
        <f t="shared" si="164"/>
        <v>0.05</v>
      </c>
      <c r="N3250" s="464">
        <f t="shared" si="165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63"/>
        <v>-205895789766.12704</v>
      </c>
      <c r="J3251" s="444">
        <f t="array" ref="J3251">IFERROR(INDEX('Retirement Calculator'!J:J,MATCH('Isaac 401k'!N3251,'Retirement Calculator'!A:A,0),0),0)</f>
        <v>0</v>
      </c>
      <c r="K3251" s="444">
        <f t="shared" ca="1" si="161"/>
        <v>-857899124.02552938</v>
      </c>
      <c r="L3251" s="444">
        <f t="shared" ca="1" si="162"/>
        <v>-206753688890.15259</v>
      </c>
      <c r="M3251" s="460">
        <f t="shared" si="164"/>
        <v>0.05</v>
      </c>
      <c r="N3251" s="464">
        <f t="shared" si="165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63"/>
        <v>-206753688890.15259</v>
      </c>
      <c r="J3252" s="444">
        <f t="array" ref="J3252">IFERROR(INDEX('Retirement Calculator'!J:J,MATCH('Isaac 401k'!N3252,'Retirement Calculator'!A:A,0),0),0)</f>
        <v>0</v>
      </c>
      <c r="K3252" s="444">
        <f t="shared" ca="1" si="161"/>
        <v>-861473703.70896912</v>
      </c>
      <c r="L3252" s="444">
        <f t="shared" ca="1" si="162"/>
        <v>-207615162593.86157</v>
      </c>
      <c r="M3252" s="460">
        <f t="shared" si="164"/>
        <v>0.05</v>
      </c>
      <c r="N3252" s="464">
        <f t="shared" si="165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63"/>
        <v>-207615162593.86157</v>
      </c>
      <c r="J3253" s="444">
        <f t="array" ref="J3253">IFERROR(INDEX('Retirement Calculator'!J:J,MATCH('Isaac 401k'!N3253,'Retirement Calculator'!A:A,0),0),0)</f>
        <v>0</v>
      </c>
      <c r="K3253" s="444">
        <f t="shared" ca="1" si="161"/>
        <v>-865063177.47442317</v>
      </c>
      <c r="L3253" s="444">
        <f t="shared" ca="1" si="162"/>
        <v>-208480225771.336</v>
      </c>
      <c r="M3253" s="460">
        <f t="shared" si="164"/>
        <v>0.05</v>
      </c>
      <c r="N3253" s="464">
        <f t="shared" si="165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63"/>
        <v>-208480225771.336</v>
      </c>
      <c r="J3254" s="444">
        <f t="array" ref="J3254">IFERROR(INDEX('Retirement Calculator'!J:J,MATCH('Isaac 401k'!N3254,'Retirement Calculator'!A:A,0),0),0)</f>
        <v>0</v>
      </c>
      <c r="K3254" s="444">
        <f t="shared" ca="1" si="161"/>
        <v>-868667607.3805666</v>
      </c>
      <c r="L3254" s="444">
        <f t="shared" ca="1" si="162"/>
        <v>-209348893378.71655</v>
      </c>
      <c r="M3254" s="460">
        <f t="shared" si="164"/>
        <v>0.05</v>
      </c>
      <c r="N3254" s="464">
        <f t="shared" si="165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63"/>
        <v>-209348893378.71655</v>
      </c>
      <c r="J3255" s="444">
        <f t="array" ref="J3255">IFERROR(INDEX('Retirement Calculator'!J:J,MATCH('Isaac 401k'!N3255,'Retirement Calculator'!A:A,0),0),0)</f>
        <v>0</v>
      </c>
      <c r="K3255" s="444">
        <f t="shared" ca="1" si="161"/>
        <v>-872287055.74465227</v>
      </c>
      <c r="L3255" s="444">
        <f t="shared" ca="1" si="162"/>
        <v>-210221180434.46121</v>
      </c>
      <c r="M3255" s="460">
        <f t="shared" si="164"/>
        <v>0.05</v>
      </c>
      <c r="N3255" s="464">
        <f t="shared" si="165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63"/>
        <v>-210221180434.46121</v>
      </c>
      <c r="J3256" s="444">
        <f t="array" ref="J3256">IFERROR(INDEX('Retirement Calculator'!J:J,MATCH('Isaac 401k'!N3256,'Retirement Calculator'!A:A,0),0),0)</f>
        <v>0</v>
      </c>
      <c r="K3256" s="444">
        <f t="shared" ca="1" si="161"/>
        <v>-875921585.14358842</v>
      </c>
      <c r="L3256" s="444">
        <f t="shared" ca="1" si="162"/>
        <v>-211097102019.6048</v>
      </c>
      <c r="M3256" s="460">
        <f t="shared" si="164"/>
        <v>0.05</v>
      </c>
      <c r="N3256" s="464">
        <f t="shared" si="165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63"/>
        <v>-211097102019.6048</v>
      </c>
      <c r="J3257" s="444">
        <f t="array" ref="J3257">IFERROR(INDEX('Retirement Calculator'!J:J,MATCH('Isaac 401k'!N3257,'Retirement Calculator'!A:A,0),0),0)</f>
        <v>0</v>
      </c>
      <c r="K3257" s="444">
        <f t="shared" ca="1" si="161"/>
        <v>-879571258.41501999</v>
      </c>
      <c r="L3257" s="444">
        <f t="shared" ca="1" si="162"/>
        <v>-211976673278.01981</v>
      </c>
      <c r="M3257" s="460">
        <f t="shared" si="164"/>
        <v>0.05</v>
      </c>
      <c r="N3257" s="464">
        <f t="shared" si="165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63"/>
        <v>-211976673278.01981</v>
      </c>
      <c r="J3258" s="444">
        <f t="array" ref="J3258">IFERROR(INDEX('Retirement Calculator'!J:J,MATCH('Isaac 401k'!N3258,'Retirement Calculator'!A:A,0),0),0)</f>
        <v>0</v>
      </c>
      <c r="K3258" s="444">
        <f t="shared" ca="1" si="161"/>
        <v>-883236138.65841579</v>
      </c>
      <c r="L3258" s="444">
        <f t="shared" ca="1" si="162"/>
        <v>-212859909416.67822</v>
      </c>
      <c r="M3258" s="460">
        <f t="shared" si="164"/>
        <v>0.05</v>
      </c>
      <c r="N3258" s="464">
        <f t="shared" si="165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63"/>
        <v>-212859909416.67822</v>
      </c>
      <c r="J3259" s="444">
        <f t="array" ref="J3259">IFERROR(INDEX('Retirement Calculator'!J:J,MATCH('Isaac 401k'!N3259,'Retirement Calculator'!A:A,0),0),0)</f>
        <v>0</v>
      </c>
      <c r="K3259" s="444">
        <f t="shared" ca="1" si="161"/>
        <v>-886916289.23615921</v>
      </c>
      <c r="L3259" s="444">
        <f t="shared" ca="1" si="162"/>
        <v>-213746825705.91437</v>
      </c>
      <c r="M3259" s="460">
        <f t="shared" si="164"/>
        <v>0.05</v>
      </c>
      <c r="N3259" s="464">
        <f t="shared" si="165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63"/>
        <v>-213746825705.91437</v>
      </c>
      <c r="J3260" s="444">
        <f t="array" ref="J3260">IFERROR(INDEX('Retirement Calculator'!J:J,MATCH('Isaac 401k'!N3260,'Retirement Calculator'!A:A,0),0),0)</f>
        <v>0</v>
      </c>
      <c r="K3260" s="444">
        <f t="shared" ca="1" si="161"/>
        <v>-890611773.77464318</v>
      </c>
      <c r="L3260" s="444">
        <f t="shared" ca="1" si="162"/>
        <v>-214637437479.68903</v>
      </c>
      <c r="M3260" s="460">
        <f t="shared" si="164"/>
        <v>0.05</v>
      </c>
      <c r="N3260" s="464">
        <f t="shared" si="165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63"/>
        <v>-214637437479.68903</v>
      </c>
      <c r="J3261" s="444">
        <f t="array" ref="J3261">IFERROR(INDEX('Retirement Calculator'!J:J,MATCH('Isaac 401k'!N3261,'Retirement Calculator'!A:A,0),0),0)</f>
        <v>0</v>
      </c>
      <c r="K3261" s="444">
        <f t="shared" ca="1" si="161"/>
        <v>-894322656.16537094</v>
      </c>
      <c r="L3261" s="444">
        <f t="shared" ca="1" si="162"/>
        <v>-215531760135.8544</v>
      </c>
      <c r="M3261" s="460">
        <f t="shared" si="164"/>
        <v>0.05</v>
      </c>
      <c r="N3261" s="464">
        <f t="shared" si="165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63"/>
        <v>-215531760135.8544</v>
      </c>
      <c r="J3262" s="444">
        <f t="array" ref="J3262">IFERROR(INDEX('Retirement Calculator'!J:J,MATCH('Isaac 401k'!N3262,'Retirement Calculator'!A:A,0),0),0)</f>
        <v>0</v>
      </c>
      <c r="K3262" s="444">
        <f t="shared" ca="1" si="161"/>
        <v>-898049000.56605995</v>
      </c>
      <c r="L3262" s="444">
        <f t="shared" ca="1" si="162"/>
        <v>-216429809136.42047</v>
      </c>
      <c r="M3262" s="460">
        <f t="shared" si="164"/>
        <v>0.05</v>
      </c>
      <c r="N3262" s="464">
        <f t="shared" si="165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63"/>
        <v>-216429809136.42047</v>
      </c>
      <c r="J3263" s="444">
        <f t="array" ref="J3263">IFERROR(INDEX('Retirement Calculator'!J:J,MATCH('Isaac 401k'!N3263,'Retirement Calculator'!A:A,0),0),0)</f>
        <v>0</v>
      </c>
      <c r="K3263" s="444">
        <f t="shared" ca="1" si="161"/>
        <v>-901790871.401752</v>
      </c>
      <c r="L3263" s="444">
        <f t="shared" ca="1" si="162"/>
        <v>-217331600007.82224</v>
      </c>
      <c r="M3263" s="460">
        <f t="shared" si="164"/>
        <v>0.05</v>
      </c>
      <c r="N3263" s="464">
        <f t="shared" si="165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63"/>
        <v>-217331600007.82224</v>
      </c>
      <c r="J3264" s="444">
        <f t="array" ref="J3264">IFERROR(INDEX('Retirement Calculator'!J:J,MATCH('Isaac 401k'!N3264,'Retirement Calculator'!A:A,0),0),0)</f>
        <v>0</v>
      </c>
      <c r="K3264" s="444">
        <f t="shared" ca="1" si="161"/>
        <v>-905548333.36592591</v>
      </c>
      <c r="L3264" s="444">
        <f t="shared" ca="1" si="162"/>
        <v>-218237148341.18817</v>
      </c>
      <c r="M3264" s="460">
        <f t="shared" si="164"/>
        <v>0.05</v>
      </c>
      <c r="N3264" s="464">
        <f t="shared" si="165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63"/>
        <v>-218237148341.18817</v>
      </c>
      <c r="J3265" s="444">
        <f t="array" ref="J3265">IFERROR(INDEX('Retirement Calculator'!J:J,MATCH('Isaac 401k'!N3265,'Retirement Calculator'!A:A,0),0),0)</f>
        <v>0</v>
      </c>
      <c r="K3265" s="444">
        <f t="shared" ca="1" si="161"/>
        <v>-909321451.42161739</v>
      </c>
      <c r="L3265" s="444">
        <f t="shared" ca="1" si="162"/>
        <v>-219146469792.6098</v>
      </c>
      <c r="M3265" s="460">
        <f t="shared" si="164"/>
        <v>0.05</v>
      </c>
      <c r="N3265" s="464">
        <f t="shared" si="165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63"/>
        <v>-219146469792.6098</v>
      </c>
      <c r="J3266" s="444">
        <f t="array" ref="J3266">IFERROR(INDEX('Retirement Calculator'!J:J,MATCH('Isaac 401k'!N3266,'Retirement Calculator'!A:A,0),0),0)</f>
        <v>0</v>
      </c>
      <c r="K3266" s="444">
        <f t="shared" ca="1" si="161"/>
        <v>-913110290.80254078</v>
      </c>
      <c r="L3266" s="444">
        <f t="shared" ca="1" si="162"/>
        <v>-220059580083.41235</v>
      </c>
      <c r="M3266" s="460">
        <f t="shared" si="164"/>
        <v>0.05</v>
      </c>
      <c r="N3266" s="464">
        <f t="shared" si="165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63"/>
        <v>-220059580083.41235</v>
      </c>
      <c r="J3267" s="444">
        <f t="array" ref="J3267">IFERROR(INDEX('Retirement Calculator'!J:J,MATCH('Isaac 401k'!N3267,'Retirement Calculator'!A:A,0),0),0)</f>
        <v>0</v>
      </c>
      <c r="K3267" s="444">
        <f t="shared" ca="1" si="161"/>
        <v>-916914917.01421821</v>
      </c>
      <c r="L3267" s="444">
        <f t="shared" ca="1" si="162"/>
        <v>-220976495000.42657</v>
      </c>
      <c r="M3267" s="460">
        <f t="shared" si="164"/>
        <v>0.05</v>
      </c>
      <c r="N3267" s="464">
        <f t="shared" si="165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63"/>
        <v>-220976495000.42657</v>
      </c>
      <c r="J3268" s="444">
        <f t="array" ref="J3268">IFERROR(INDEX('Retirement Calculator'!J:J,MATCH('Isaac 401k'!N3268,'Retirement Calculator'!A:A,0),0),0)</f>
        <v>0</v>
      </c>
      <c r="K3268" s="444">
        <f t="shared" ca="1" si="161"/>
        <v>-920735395.83511066</v>
      </c>
      <c r="L3268" s="444">
        <f t="shared" ca="1" si="162"/>
        <v>-221897230396.26169</v>
      </c>
      <c r="M3268" s="460">
        <f t="shared" si="164"/>
        <v>0.05</v>
      </c>
      <c r="N3268" s="464">
        <f t="shared" si="165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63"/>
        <v>-221897230396.26169</v>
      </c>
      <c r="J3269" s="444">
        <f t="array" ref="J3269">IFERROR(INDEX('Retirement Calculator'!J:J,MATCH('Isaac 401k'!N3269,'Retirement Calculator'!A:A,0),0),0)</f>
        <v>0</v>
      </c>
      <c r="K3269" s="444">
        <f t="shared" ca="1" si="161"/>
        <v>-924571793.31775713</v>
      </c>
      <c r="L3269" s="444">
        <f t="shared" ca="1" si="162"/>
        <v>-222821802189.57944</v>
      </c>
      <c r="M3269" s="460">
        <f t="shared" si="164"/>
        <v>0.05</v>
      </c>
      <c r="N3269" s="464">
        <f t="shared" si="165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63"/>
        <v>-222821802189.57944</v>
      </c>
      <c r="J3270" s="444">
        <f t="array" ref="J3270">IFERROR(INDEX('Retirement Calculator'!J:J,MATCH('Isaac 401k'!N3270,'Retirement Calculator'!A:A,0),0),0)</f>
        <v>0</v>
      </c>
      <c r="K3270" s="444">
        <f t="shared" ca="1" si="161"/>
        <v>-928424175.78991425</v>
      </c>
      <c r="L3270" s="444">
        <f t="shared" ca="1" si="162"/>
        <v>-223750226365.36935</v>
      </c>
      <c r="M3270" s="460">
        <f t="shared" si="164"/>
        <v>0.05</v>
      </c>
      <c r="N3270" s="464">
        <f t="shared" si="165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63"/>
        <v>-223750226365.36935</v>
      </c>
      <c r="J3271" s="444">
        <f t="array" ref="J3271">IFERROR(INDEX('Retirement Calculator'!J:J,MATCH('Isaac 401k'!N3271,'Retirement Calculator'!A:A,0),0),0)</f>
        <v>0</v>
      </c>
      <c r="K3271" s="444">
        <f t="shared" ca="1" si="161"/>
        <v>-932292609.8557055</v>
      </c>
      <c r="L3271" s="444">
        <f t="shared" ca="1" si="162"/>
        <v>-224682518975.22507</v>
      </c>
      <c r="M3271" s="460">
        <f t="shared" si="164"/>
        <v>0.05</v>
      </c>
      <c r="N3271" s="464">
        <f t="shared" si="165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63"/>
        <v>-224682518975.22507</v>
      </c>
      <c r="J3272" s="444">
        <f t="array" ref="J3272">IFERROR(INDEX('Retirement Calculator'!J:J,MATCH('Isaac 401k'!N3272,'Retirement Calculator'!A:A,0),0),0)</f>
        <v>0</v>
      </c>
      <c r="K3272" s="444">
        <f t="shared" ca="1" si="161"/>
        <v>-936177162.39677107</v>
      </c>
      <c r="L3272" s="444">
        <f t="shared" ca="1" si="162"/>
        <v>-225618696137.62183</v>
      </c>
      <c r="M3272" s="460">
        <f t="shared" si="164"/>
        <v>0.05</v>
      </c>
      <c r="N3272" s="464">
        <f t="shared" si="165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63"/>
        <v>-225618696137.62183</v>
      </c>
      <c r="J3273" s="444">
        <f t="array" ref="J3273">IFERROR(INDEX('Retirement Calculator'!J:J,MATCH('Isaac 401k'!N3273,'Retirement Calculator'!A:A,0),0),0)</f>
        <v>0</v>
      </c>
      <c r="K3273" s="444">
        <f t="shared" ca="1" si="161"/>
        <v>-940077900.57342422</v>
      </c>
      <c r="L3273" s="444">
        <f t="shared" ca="1" si="162"/>
        <v>-226558774038.19525</v>
      </c>
      <c r="M3273" s="460">
        <f t="shared" si="164"/>
        <v>0.05</v>
      </c>
      <c r="N3273" s="464">
        <f t="shared" si="165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63"/>
        <v>-226558774038.19525</v>
      </c>
      <c r="J3274" s="444">
        <f t="array" ref="J3274">IFERROR(INDEX('Retirement Calculator'!J:J,MATCH('Isaac 401k'!N3274,'Retirement Calculator'!A:A,0),0),0)</f>
        <v>0</v>
      </c>
      <c r="K3274" s="444">
        <f t="shared" ca="1" si="161"/>
        <v>-943994891.82581353</v>
      </c>
      <c r="L3274" s="444">
        <f t="shared" ca="1" si="162"/>
        <v>-227502768930.02106</v>
      </c>
      <c r="M3274" s="460">
        <f t="shared" si="164"/>
        <v>0.05</v>
      </c>
      <c r="N3274" s="464">
        <f t="shared" si="165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63"/>
        <v>-227502768930.02106</v>
      </c>
      <c r="J3275" s="444">
        <f t="array" ref="J3275">IFERROR(INDEX('Retirement Calculator'!J:J,MATCH('Isaac 401k'!N3275,'Retirement Calculator'!A:A,0),0),0)</f>
        <v>0</v>
      </c>
      <c r="K3275" s="444">
        <f t="shared" ca="1" si="161"/>
        <v>-947928203.87508786</v>
      </c>
      <c r="L3275" s="444">
        <f t="shared" ca="1" si="162"/>
        <v>-228450697133.89615</v>
      </c>
      <c r="M3275" s="460">
        <f t="shared" si="164"/>
        <v>0.05</v>
      </c>
      <c r="N3275" s="464">
        <f t="shared" si="165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63"/>
        <v>-228450697133.89615</v>
      </c>
      <c r="J3276" s="444">
        <f t="array" ref="J3276">IFERROR(INDEX('Retirement Calculator'!J:J,MATCH('Isaac 401k'!N3276,'Retirement Calculator'!A:A,0),0),0)</f>
        <v>0</v>
      </c>
      <c r="K3276" s="444">
        <f t="shared" ca="1" si="161"/>
        <v>-951877904.72456717</v>
      </c>
      <c r="L3276" s="444">
        <f t="shared" ca="1" si="162"/>
        <v>-229402575038.62073</v>
      </c>
      <c r="M3276" s="460">
        <f t="shared" si="164"/>
        <v>0.05</v>
      </c>
      <c r="N3276" s="464">
        <f t="shared" si="165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63"/>
        <v>-229402575038.62073</v>
      </c>
      <c r="J3277" s="444">
        <f t="array" ref="J3277">IFERROR(INDEX('Retirement Calculator'!J:J,MATCH('Isaac 401k'!N3277,'Retirement Calculator'!A:A,0),0),0)</f>
        <v>0</v>
      </c>
      <c r="K3277" s="444">
        <f t="shared" ca="1" si="161"/>
        <v>-955844062.66091967</v>
      </c>
      <c r="L3277" s="444">
        <f t="shared" ca="1" si="162"/>
        <v>-230358419101.28165</v>
      </c>
      <c r="M3277" s="460">
        <f t="shared" si="164"/>
        <v>0.05</v>
      </c>
      <c r="N3277" s="464">
        <f t="shared" si="165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63"/>
        <v>-230358419101.28165</v>
      </c>
      <c r="J3278" s="444">
        <f t="array" ref="J3278">IFERROR(INDEX('Retirement Calculator'!J:J,MATCH('Isaac 401k'!N3278,'Retirement Calculator'!A:A,0),0),0)</f>
        <v>0</v>
      </c>
      <c r="K3278" s="444">
        <f t="shared" ca="1" si="161"/>
        <v>-959826746.25534034</v>
      </c>
      <c r="L3278" s="444">
        <f t="shared" ca="1" si="162"/>
        <v>-231318245847.53699</v>
      </c>
      <c r="M3278" s="460">
        <f t="shared" si="164"/>
        <v>0.05</v>
      </c>
      <c r="N3278" s="464">
        <f t="shared" si="165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63"/>
        <v>-231318245847.53699</v>
      </c>
      <c r="J3279" s="444">
        <f t="array" ref="J3279">IFERROR(INDEX('Retirement Calculator'!J:J,MATCH('Isaac 401k'!N3279,'Retirement Calculator'!A:A,0),0),0)</f>
        <v>0</v>
      </c>
      <c r="K3279" s="444">
        <f t="shared" ca="1" si="161"/>
        <v>-963826024.36473751</v>
      </c>
      <c r="L3279" s="444">
        <f t="shared" ca="1" si="162"/>
        <v>-232282071871.90173</v>
      </c>
      <c r="M3279" s="460">
        <f t="shared" si="164"/>
        <v>0.05</v>
      </c>
      <c r="N3279" s="464">
        <f t="shared" si="165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63"/>
        <v>-232282071871.90173</v>
      </c>
      <c r="J3280" s="444">
        <f t="array" ref="J3280">IFERROR(INDEX('Retirement Calculator'!J:J,MATCH('Isaac 401k'!N3280,'Retirement Calculator'!A:A,0),0),0)</f>
        <v>0</v>
      </c>
      <c r="K3280" s="444">
        <f t="shared" ca="1" si="161"/>
        <v>-967841966.13292372</v>
      </c>
      <c r="L3280" s="444">
        <f t="shared" ca="1" si="162"/>
        <v>-233249913838.03467</v>
      </c>
      <c r="M3280" s="460">
        <f t="shared" si="164"/>
        <v>0.05</v>
      </c>
      <c r="N3280" s="464">
        <f t="shared" si="165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63"/>
        <v>-233249913838.03467</v>
      </c>
      <c r="J3281" s="444">
        <f t="array" ref="J3281">IFERROR(INDEX('Retirement Calculator'!J:J,MATCH('Isaac 401k'!N3281,'Retirement Calculator'!A:A,0),0),0)</f>
        <v>0</v>
      </c>
      <c r="K3281" s="444">
        <f t="shared" ca="1" si="161"/>
        <v>-971874640.99181092</v>
      </c>
      <c r="L3281" s="444">
        <f t="shared" ca="1" si="162"/>
        <v>-234221788479.02649</v>
      </c>
      <c r="M3281" s="460">
        <f t="shared" si="164"/>
        <v>0.05</v>
      </c>
      <c r="N3281" s="464">
        <f t="shared" si="165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63"/>
        <v>-234221788479.02649</v>
      </c>
      <c r="J3282" s="444">
        <f t="array" ref="J3282">IFERROR(INDEX('Retirement Calculator'!J:J,MATCH('Isaac 401k'!N3282,'Retirement Calculator'!A:A,0),0),0)</f>
        <v>0</v>
      </c>
      <c r="K3282" s="444">
        <f t="shared" ca="1" si="161"/>
        <v>-975924118.66261041</v>
      </c>
      <c r="L3282" s="444">
        <f t="shared" ca="1" si="162"/>
        <v>-235197712597.68909</v>
      </c>
      <c r="M3282" s="460">
        <f t="shared" si="164"/>
        <v>0.05</v>
      </c>
      <c r="N3282" s="464">
        <f t="shared" si="165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63"/>
        <v>-235197712597.68909</v>
      </c>
      <c r="J3283" s="444">
        <f t="array" ref="J3283">IFERROR(INDEX('Retirement Calculator'!J:J,MATCH('Isaac 401k'!N3283,'Retirement Calculator'!A:A,0),0),0)</f>
        <v>0</v>
      </c>
      <c r="K3283" s="444">
        <f t="shared" ca="1" si="161"/>
        <v>-979990469.15703773</v>
      </c>
      <c r="L3283" s="444">
        <f t="shared" ca="1" si="162"/>
        <v>-236177703066.84613</v>
      </c>
      <c r="M3283" s="460">
        <f t="shared" si="164"/>
        <v>0.05</v>
      </c>
      <c r="N3283" s="464">
        <f t="shared" si="165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63"/>
        <v>-236177703066.84613</v>
      </c>
      <c r="J3284" s="444">
        <f t="array" ref="J3284">IFERROR(INDEX('Retirement Calculator'!J:J,MATCH('Isaac 401k'!N3284,'Retirement Calculator'!A:A,0),0),0)</f>
        <v>0</v>
      </c>
      <c r="K3284" s="444">
        <f t="shared" ca="1" si="161"/>
        <v>-984073762.77852547</v>
      </c>
      <c r="L3284" s="444">
        <f t="shared" ca="1" si="162"/>
        <v>-237161776829.62466</v>
      </c>
      <c r="M3284" s="460">
        <f t="shared" si="164"/>
        <v>0.05</v>
      </c>
      <c r="N3284" s="464">
        <f t="shared" si="165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63"/>
        <v>-237161776829.62466</v>
      </c>
      <c r="J3285" s="444">
        <f t="array" ref="J3285">IFERROR(INDEX('Retirement Calculator'!J:J,MATCH('Isaac 401k'!N3285,'Retirement Calculator'!A:A,0),0),0)</f>
        <v>0</v>
      </c>
      <c r="K3285" s="444">
        <f t="shared" ca="1" si="161"/>
        <v>-988174070.12343597</v>
      </c>
      <c r="L3285" s="444">
        <f t="shared" ca="1" si="162"/>
        <v>-238149950899.74811</v>
      </c>
      <c r="M3285" s="460">
        <f t="shared" si="164"/>
        <v>0.05</v>
      </c>
      <c r="N3285" s="464">
        <f t="shared" si="165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63"/>
        <v>-238149950899.74811</v>
      </c>
      <c r="J3286" s="444">
        <f t="array" ref="J3286">IFERROR(INDEX('Retirement Calculator'!J:J,MATCH('Isaac 401k'!N3286,'Retirement Calculator'!A:A,0),0),0)</f>
        <v>0</v>
      </c>
      <c r="K3286" s="444">
        <f t="shared" ca="1" si="161"/>
        <v>-992291462.08228374</v>
      </c>
      <c r="L3286" s="444">
        <f t="shared" ca="1" si="162"/>
        <v>-239142242361.83038</v>
      </c>
      <c r="M3286" s="460">
        <f t="shared" si="164"/>
        <v>0.05</v>
      </c>
      <c r="N3286" s="464">
        <f t="shared" si="165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63"/>
        <v>-239142242361.83038</v>
      </c>
      <c r="J3287" s="444">
        <f t="array" ref="J3287">IFERROR(INDEX('Retirement Calculator'!J:J,MATCH('Isaac 401k'!N3287,'Retirement Calculator'!A:A,0),0),0)</f>
        <v>0</v>
      </c>
      <c r="K3287" s="444">
        <f t="shared" ca="1" si="161"/>
        <v>-996426009.84095991</v>
      </c>
      <c r="L3287" s="444">
        <f t="shared" ca="1" si="162"/>
        <v>-240138668371.67136</v>
      </c>
      <c r="M3287" s="460">
        <f t="shared" si="164"/>
        <v>0.05</v>
      </c>
      <c r="N3287" s="464">
        <f t="shared" si="165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63"/>
        <v>-240138668371.67136</v>
      </c>
      <c r="J3288" s="444">
        <f t="array" ref="J3288">IFERROR(INDEX('Retirement Calculator'!J:J,MATCH('Isaac 401k'!N3288,'Retirement Calculator'!A:A,0),0),0)</f>
        <v>0</v>
      </c>
      <c r="K3288" s="444">
        <f t="shared" ca="1" si="161"/>
        <v>-1000577784.881964</v>
      </c>
      <c r="L3288" s="444">
        <f t="shared" ca="1" si="162"/>
        <v>-241139246156.55331</v>
      </c>
      <c r="M3288" s="460">
        <f t="shared" si="164"/>
        <v>0.05</v>
      </c>
      <c r="N3288" s="464">
        <f t="shared" si="165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63"/>
        <v>-241139246156.55331</v>
      </c>
      <c r="J3289" s="444">
        <f t="array" ref="J3289">IFERROR(INDEX('Retirement Calculator'!J:J,MATCH('Isaac 401k'!N3289,'Retirement Calculator'!A:A,0),0),0)</f>
        <v>0</v>
      </c>
      <c r="K3289" s="444">
        <f t="shared" ca="1" si="161"/>
        <v>-1004746858.985639</v>
      </c>
      <c r="L3289" s="444">
        <f t="shared" ca="1" si="162"/>
        <v>-242143993015.53894</v>
      </c>
      <c r="M3289" s="460">
        <f t="shared" si="164"/>
        <v>0.05</v>
      </c>
      <c r="N3289" s="464">
        <f t="shared" si="165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63"/>
        <v>-242143993015.53894</v>
      </c>
      <c r="J3290" s="444">
        <f t="array" ref="J3290">IFERROR(INDEX('Retirement Calculator'!J:J,MATCH('Isaac 401k'!N3290,'Retirement Calculator'!A:A,0),0),0)</f>
        <v>0</v>
      </c>
      <c r="K3290" s="444">
        <f t="shared" ca="1" si="161"/>
        <v>-1008933304.2314123</v>
      </c>
      <c r="L3290" s="444">
        <f t="shared" ca="1" si="162"/>
        <v>-243152926319.77036</v>
      </c>
      <c r="M3290" s="460">
        <f t="shared" si="164"/>
        <v>0.05</v>
      </c>
      <c r="N3290" s="464">
        <f t="shared" si="165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63"/>
        <v>-243152926319.77036</v>
      </c>
      <c r="J3291" s="444">
        <f t="array" ref="J3291">IFERROR(INDEX('Retirement Calculator'!J:J,MATCH('Isaac 401k'!N3291,'Retirement Calculator'!A:A,0),0),0)</f>
        <v>0</v>
      </c>
      <c r="K3291" s="444">
        <f t="shared" ca="1" si="161"/>
        <v>-1013137192.9990431</v>
      </c>
      <c r="L3291" s="444">
        <f t="shared" ca="1" si="162"/>
        <v>-244166063512.76941</v>
      </c>
      <c r="M3291" s="460">
        <f t="shared" si="164"/>
        <v>0.05</v>
      </c>
      <c r="N3291" s="464">
        <f t="shared" si="165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63"/>
        <v>-244166063512.76941</v>
      </c>
      <c r="J3292" s="444">
        <f t="array" ref="J3292">IFERROR(INDEX('Retirement Calculator'!J:J,MATCH('Isaac 401k'!N3292,'Retirement Calculator'!A:A,0),0),0)</f>
        <v>0</v>
      </c>
      <c r="K3292" s="444">
        <f t="shared" ca="1" si="161"/>
        <v>-1017358597.9698725</v>
      </c>
      <c r="L3292" s="444">
        <f t="shared" ca="1" si="162"/>
        <v>-245183422110.73929</v>
      </c>
      <c r="M3292" s="460">
        <f t="shared" si="164"/>
        <v>0.05</v>
      </c>
      <c r="N3292" s="464">
        <f t="shared" si="165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63"/>
        <v>-245183422110.73929</v>
      </c>
      <c r="J3293" s="444">
        <f t="array" ref="J3293">IFERROR(INDEX('Retirement Calculator'!J:J,MATCH('Isaac 401k'!N3293,'Retirement Calculator'!A:A,0),0),0)</f>
        <v>0</v>
      </c>
      <c r="K3293" s="444">
        <f t="shared" ca="1" si="161"/>
        <v>-1021597592.1280804</v>
      </c>
      <c r="L3293" s="444">
        <f t="shared" ca="1" si="162"/>
        <v>-246205019702.86737</v>
      </c>
      <c r="M3293" s="460">
        <f t="shared" si="164"/>
        <v>0.05</v>
      </c>
      <c r="N3293" s="464">
        <f t="shared" si="165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63"/>
        <v>-246205019702.86737</v>
      </c>
      <c r="J3294" s="444">
        <f t="array" ref="J3294">IFERROR(INDEX('Retirement Calculator'!J:J,MATCH('Isaac 401k'!N3294,'Retirement Calculator'!A:A,0),0),0)</f>
        <v>0</v>
      </c>
      <c r="K3294" s="444">
        <f t="shared" ca="1" si="161"/>
        <v>-1025854248.7619473</v>
      </c>
      <c r="L3294" s="444">
        <f t="shared" ca="1" si="162"/>
        <v>-247230873951.6293</v>
      </c>
      <c r="M3294" s="460">
        <f t="shared" si="164"/>
        <v>0.05</v>
      </c>
      <c r="N3294" s="464">
        <f t="shared" si="165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63"/>
        <v>-247230873951.6293</v>
      </c>
      <c r="J3295" s="444">
        <f t="array" ref="J3295">IFERROR(INDEX('Retirement Calculator'!J:J,MATCH('Isaac 401k'!N3295,'Retirement Calculator'!A:A,0),0),0)</f>
        <v>0</v>
      </c>
      <c r="K3295" s="444">
        <f t="shared" ca="1" si="161"/>
        <v>-1030128641.4651221</v>
      </c>
      <c r="L3295" s="444">
        <f t="shared" ca="1" si="162"/>
        <v>-248261002593.09442</v>
      </c>
      <c r="M3295" s="460">
        <f t="shared" si="164"/>
        <v>0.05</v>
      </c>
      <c r="N3295" s="464">
        <f t="shared" si="165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63"/>
        <v>-248261002593.09442</v>
      </c>
      <c r="J3296" s="444">
        <f t="array" ref="J3296">IFERROR(INDEX('Retirement Calculator'!J:J,MATCH('Isaac 401k'!N3296,'Retirement Calculator'!A:A,0),0),0)</f>
        <v>0</v>
      </c>
      <c r="K3296" s="444">
        <f t="shared" ca="1" si="161"/>
        <v>-1034420844.1378934</v>
      </c>
      <c r="L3296" s="444">
        <f t="shared" ca="1" si="162"/>
        <v>-249295423437.2323</v>
      </c>
      <c r="M3296" s="460">
        <f t="shared" si="164"/>
        <v>0.05</v>
      </c>
      <c r="N3296" s="464">
        <f t="shared" si="165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63"/>
        <v>-249295423437.2323</v>
      </c>
      <c r="J3297" s="444">
        <f t="array" ref="J3297">IFERROR(INDEX('Retirement Calculator'!J:J,MATCH('Isaac 401k'!N3297,'Retirement Calculator'!A:A,0),0),0)</f>
        <v>0</v>
      </c>
      <c r="K3297" s="444">
        <f t="shared" ca="1" si="161"/>
        <v>-1038730930.9884679</v>
      </c>
      <c r="L3297" s="444">
        <f t="shared" ca="1" si="162"/>
        <v>-250334154368.22076</v>
      </c>
      <c r="M3297" s="460">
        <f t="shared" si="164"/>
        <v>0.05</v>
      </c>
      <c r="N3297" s="464">
        <f t="shared" si="165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63"/>
        <v>-250334154368.22076</v>
      </c>
      <c r="J3298" s="444">
        <f t="array" ref="J3298">IFERROR(INDEX('Retirement Calculator'!J:J,MATCH('Isaac 401k'!N3298,'Retirement Calculator'!A:A,0),0),0)</f>
        <v>0</v>
      </c>
      <c r="K3298" s="444">
        <f t="shared" ca="1" si="161"/>
        <v>-1043058976.534253</v>
      </c>
      <c r="L3298" s="444">
        <f t="shared" ca="1" si="162"/>
        <v>-251377213344.755</v>
      </c>
      <c r="M3298" s="460">
        <f t="shared" si="164"/>
        <v>0.05</v>
      </c>
      <c r="N3298" s="464">
        <f t="shared" si="165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63"/>
        <v>-251377213344.755</v>
      </c>
      <c r="J3299" s="444">
        <f t="array" ref="J3299">IFERROR(INDEX('Retirement Calculator'!J:J,MATCH('Isaac 401k'!N3299,'Retirement Calculator'!A:A,0),0),0)</f>
        <v>0</v>
      </c>
      <c r="K3299" s="444">
        <f t="shared" ca="1" si="161"/>
        <v>-1047405055.6031457</v>
      </c>
      <c r="L3299" s="444">
        <f t="shared" ca="1" si="162"/>
        <v>-252424618400.35815</v>
      </c>
      <c r="M3299" s="460">
        <f t="shared" si="164"/>
        <v>0.05</v>
      </c>
      <c r="N3299" s="464">
        <f t="shared" si="165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63"/>
        <v>-252424618400.35815</v>
      </c>
      <c r="J3300" s="444">
        <f t="array" ref="J3300">IFERROR(INDEX('Retirement Calculator'!J:J,MATCH('Isaac 401k'!N3300,'Retirement Calculator'!A:A,0),0),0)</f>
        <v>0</v>
      </c>
      <c r="K3300" s="444">
        <f t="shared" ca="1" si="161"/>
        <v>-1051769243.3348256</v>
      </c>
      <c r="L3300" s="444">
        <f t="shared" ca="1" si="162"/>
        <v>-253476387643.69299</v>
      </c>
      <c r="M3300" s="460">
        <f t="shared" si="164"/>
        <v>0.05</v>
      </c>
      <c r="N3300" s="464">
        <f t="shared" si="165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63"/>
        <v>-253476387643.69299</v>
      </c>
      <c r="J3301" s="444">
        <f t="array" ref="J3301">IFERROR(INDEX('Retirement Calculator'!J:J,MATCH('Isaac 401k'!N3301,'Retirement Calculator'!A:A,0),0),0)</f>
        <v>0</v>
      </c>
      <c r="K3301" s="444">
        <f t="shared" ca="1" si="161"/>
        <v>-1056151615.1820542</v>
      </c>
      <c r="L3301" s="444">
        <f t="shared" ca="1" si="162"/>
        <v>-254532539258.87506</v>
      </c>
      <c r="M3301" s="460">
        <f t="shared" si="164"/>
        <v>0.05</v>
      </c>
      <c r="N3301" s="464">
        <f t="shared" si="165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63"/>
        <v>-254532539258.87506</v>
      </c>
      <c r="J3302" s="444">
        <f t="array" ref="J3302">IFERROR(INDEX('Retirement Calculator'!J:J,MATCH('Isaac 401k'!N3302,'Retirement Calculator'!A:A,0),0),0)</f>
        <v>0</v>
      </c>
      <c r="K3302" s="444">
        <f t="shared" ca="1" si="161"/>
        <v>-1060552246.9119794</v>
      </c>
      <c r="L3302" s="444">
        <f t="shared" ca="1" si="162"/>
        <v>-255593091505.78705</v>
      </c>
      <c r="M3302" s="460">
        <f t="shared" si="164"/>
        <v>0.05</v>
      </c>
      <c r="N3302" s="464">
        <f t="shared" si="165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63"/>
        <v>-255593091505.78705</v>
      </c>
      <c r="J3303" s="444">
        <f t="array" ref="J3303">IFERROR(INDEX('Retirement Calculator'!J:J,MATCH('Isaac 401k'!N3303,'Retirement Calculator'!A:A,0),0),0)</f>
        <v>0</v>
      </c>
      <c r="K3303" s="444">
        <f t="shared" ca="1" si="161"/>
        <v>-1064971214.6074461</v>
      </c>
      <c r="L3303" s="444">
        <f t="shared" ca="1" si="162"/>
        <v>-256658062720.3945</v>
      </c>
      <c r="M3303" s="460">
        <f t="shared" si="164"/>
        <v>0.05</v>
      </c>
      <c r="N3303" s="464">
        <f t="shared" si="165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63"/>
        <v>-256658062720.3945</v>
      </c>
      <c r="J3304" s="444">
        <f t="array" ref="J3304">IFERROR(INDEX('Retirement Calculator'!J:J,MATCH('Isaac 401k'!N3304,'Retirement Calculator'!A:A,0),0),0)</f>
        <v>0</v>
      </c>
      <c r="K3304" s="444">
        <f t="shared" ca="1" si="161"/>
        <v>-1069408594.6683104</v>
      </c>
      <c r="L3304" s="444">
        <f t="shared" ca="1" si="162"/>
        <v>-257727471315.06281</v>
      </c>
      <c r="M3304" s="460">
        <f t="shared" si="164"/>
        <v>0.05</v>
      </c>
      <c r="N3304" s="464">
        <f t="shared" si="165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63"/>
        <v>-257727471315.06281</v>
      </c>
      <c r="J3305" s="444">
        <f t="array" ref="J3305">IFERROR(INDEX('Retirement Calculator'!J:J,MATCH('Isaac 401k'!N3305,'Retirement Calculator'!A:A,0),0),0)</f>
        <v>0</v>
      </c>
      <c r="K3305" s="444">
        <f t="shared" ca="1" si="161"/>
        <v>-1073864463.8127618</v>
      </c>
      <c r="L3305" s="444">
        <f t="shared" ca="1" si="162"/>
        <v>-258801335778.87558</v>
      </c>
      <c r="M3305" s="460">
        <f t="shared" si="164"/>
        <v>0.05</v>
      </c>
      <c r="N3305" s="464">
        <f t="shared" si="165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63"/>
        <v>-258801335778.87558</v>
      </c>
      <c r="J3306" s="444">
        <f t="array" ref="J3306">IFERROR(INDEX('Retirement Calculator'!J:J,MATCH('Isaac 401k'!N3306,'Retirement Calculator'!A:A,0),0),0)</f>
        <v>0</v>
      </c>
      <c r="K3306" s="444">
        <f t="shared" ca="1" si="161"/>
        <v>-1078338899.0786483</v>
      </c>
      <c r="L3306" s="444">
        <f t="shared" ca="1" si="162"/>
        <v>-259879674677.95422</v>
      </c>
      <c r="M3306" s="460">
        <f t="shared" si="164"/>
        <v>0.05</v>
      </c>
      <c r="N3306" s="464">
        <f t="shared" si="165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63"/>
        <v>-259879674677.95422</v>
      </c>
      <c r="J3307" s="444">
        <f t="array" ref="J3307">IFERROR(INDEX('Retirement Calculator'!J:J,MATCH('Isaac 401k'!N3307,'Retirement Calculator'!A:A,0),0),0)</f>
        <v>0</v>
      </c>
      <c r="K3307" s="444">
        <f t="shared" ca="1" si="161"/>
        <v>-1082831977.8248093</v>
      </c>
      <c r="L3307" s="444">
        <f t="shared" ca="1" si="162"/>
        <v>-260962506655.77902</v>
      </c>
      <c r="M3307" s="460">
        <f t="shared" si="164"/>
        <v>0.05</v>
      </c>
      <c r="N3307" s="464">
        <f t="shared" si="165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63"/>
        <v>-260962506655.77902</v>
      </c>
      <c r="J3308" s="444">
        <f t="array" ref="J3308">IFERROR(INDEX('Retirement Calculator'!J:J,MATCH('Isaac 401k'!N3308,'Retirement Calculator'!A:A,0),0),0)</f>
        <v>0</v>
      </c>
      <c r="K3308" s="444">
        <f t="shared" ca="1" si="161"/>
        <v>-1087343777.7324128</v>
      </c>
      <c r="L3308" s="444">
        <f t="shared" ca="1" si="162"/>
        <v>-262049850433.51144</v>
      </c>
      <c r="M3308" s="460">
        <f t="shared" si="164"/>
        <v>0.05</v>
      </c>
      <c r="N3308" s="464">
        <f t="shared" si="165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63"/>
        <v>-262049850433.51144</v>
      </c>
      <c r="J3309" s="444">
        <f t="array" ref="J3309">IFERROR(INDEX('Retirement Calculator'!J:J,MATCH('Isaac 401k'!N3309,'Retirement Calculator'!A:A,0),0),0)</f>
        <v>0</v>
      </c>
      <c r="K3309" s="444">
        <f t="shared" ca="1" si="161"/>
        <v>-1091874376.8062978</v>
      </c>
      <c r="L3309" s="444">
        <f t="shared" ca="1" si="162"/>
        <v>-263141724810.31775</v>
      </c>
      <c r="M3309" s="460">
        <f t="shared" si="164"/>
        <v>0.05</v>
      </c>
      <c r="N3309" s="464">
        <f t="shared" si="165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63"/>
        <v>-263141724810.31775</v>
      </c>
      <c r="J3310" s="444">
        <f t="array" ref="J3310">IFERROR(INDEX('Retirement Calculator'!J:J,MATCH('Isaac 401k'!N3310,'Retirement Calculator'!A:A,0),0),0)</f>
        <v>0</v>
      </c>
      <c r="K3310" s="444">
        <f t="shared" ca="1" si="161"/>
        <v>-1096423853.3763242</v>
      </c>
      <c r="L3310" s="444">
        <f t="shared" ca="1" si="162"/>
        <v>-264238148663.69406</v>
      </c>
      <c r="M3310" s="460">
        <f t="shared" si="164"/>
        <v>0.05</v>
      </c>
      <c r="N3310" s="464">
        <f t="shared" si="165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63"/>
        <v>-264238148663.69406</v>
      </c>
      <c r="J3311" s="444">
        <f t="array" ref="J3311">IFERROR(INDEX('Retirement Calculator'!J:J,MATCH('Isaac 401k'!N3311,'Retirement Calculator'!A:A,0),0),0)</f>
        <v>0</v>
      </c>
      <c r="K3311" s="444">
        <f t="shared" ca="1" si="161"/>
        <v>-1100992286.0987253</v>
      </c>
      <c r="L3311" s="444">
        <f t="shared" ca="1" si="162"/>
        <v>-265339140949.79279</v>
      </c>
      <c r="M3311" s="460">
        <f t="shared" si="164"/>
        <v>0.05</v>
      </c>
      <c r="N3311" s="464">
        <f t="shared" si="165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63"/>
        <v>-265339140949.79279</v>
      </c>
      <c r="J3312" s="444">
        <f t="array" ref="J3312">IFERROR(INDEX('Retirement Calculator'!J:J,MATCH('Isaac 401k'!N3312,'Retirement Calculator'!A:A,0),0),0)</f>
        <v>0</v>
      </c>
      <c r="K3312" s="444">
        <f t="shared" ca="1" si="161"/>
        <v>-1105579753.9574699</v>
      </c>
      <c r="L3312" s="444">
        <f t="shared" ca="1" si="162"/>
        <v>-266444720703.75024</v>
      </c>
      <c r="M3312" s="460">
        <f t="shared" si="164"/>
        <v>0.05</v>
      </c>
      <c r="N3312" s="464">
        <f t="shared" si="165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63"/>
        <v>-266444720703.75024</v>
      </c>
      <c r="J3313" s="444">
        <f t="array" ref="J3313">IFERROR(INDEX('Retirement Calculator'!J:J,MATCH('Isaac 401k'!N3313,'Retirement Calculator'!A:A,0),0),0)</f>
        <v>0</v>
      </c>
      <c r="K3313" s="444">
        <f t="shared" ca="1" si="161"/>
        <v>-1110186336.265626</v>
      </c>
      <c r="L3313" s="444">
        <f t="shared" ca="1" si="162"/>
        <v>-267554907040.01587</v>
      </c>
      <c r="M3313" s="460">
        <f t="shared" si="164"/>
        <v>0.05</v>
      </c>
      <c r="N3313" s="464">
        <f t="shared" si="165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63"/>
        <v>-267554907040.01587</v>
      </c>
      <c r="J3314" s="444">
        <f t="array" ref="J3314">IFERROR(INDEX('Retirement Calculator'!J:J,MATCH('Isaac 401k'!N3314,'Retirement Calculator'!A:A,0),0),0)</f>
        <v>0</v>
      </c>
      <c r="K3314" s="444">
        <f t="shared" ca="1" si="161"/>
        <v>-1114812112.6667328</v>
      </c>
      <c r="L3314" s="444">
        <f t="shared" ca="1" si="162"/>
        <v>-268669719152.68262</v>
      </c>
      <c r="M3314" s="460">
        <f t="shared" si="164"/>
        <v>0.05</v>
      </c>
      <c r="N3314" s="464">
        <f t="shared" si="165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63"/>
        <v>-268669719152.68262</v>
      </c>
      <c r="J3315" s="444">
        <f t="array" ref="J3315">IFERROR(INDEX('Retirement Calculator'!J:J,MATCH('Isaac 401k'!N3315,'Retirement Calculator'!A:A,0),0),0)</f>
        <v>0</v>
      </c>
      <c r="K3315" s="444">
        <f t="shared" ca="1" si="161"/>
        <v>-1119457163.1361775</v>
      </c>
      <c r="L3315" s="444">
        <f t="shared" ca="1" si="162"/>
        <v>-269789176315.81879</v>
      </c>
      <c r="M3315" s="460">
        <f t="shared" si="164"/>
        <v>0.05</v>
      </c>
      <c r="N3315" s="464">
        <f t="shared" si="165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63"/>
        <v>-269789176315.81879</v>
      </c>
      <c r="J3316" s="444">
        <f t="array" ref="J3316">IFERROR(INDEX('Retirement Calculator'!J:J,MATCH('Isaac 401k'!N3316,'Retirement Calculator'!A:A,0),0),0)</f>
        <v>0</v>
      </c>
      <c r="K3316" s="444">
        <f t="shared" ca="1" si="161"/>
        <v>-1124121567.982578</v>
      </c>
      <c r="L3316" s="444">
        <f t="shared" ca="1" si="162"/>
        <v>-270913297883.80136</v>
      </c>
      <c r="M3316" s="460">
        <f t="shared" si="164"/>
        <v>0.05</v>
      </c>
      <c r="N3316" s="464">
        <f t="shared" si="165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63"/>
        <v>-270913297883.80136</v>
      </c>
      <c r="J3317" s="444">
        <f t="array" ref="J3317">IFERROR(INDEX('Retirement Calculator'!J:J,MATCH('Isaac 401k'!N3317,'Retirement Calculator'!A:A,0),0),0)</f>
        <v>0</v>
      </c>
      <c r="K3317" s="444">
        <f t="shared" ca="1" si="161"/>
        <v>-1128805407.8491724</v>
      </c>
      <c r="L3317" s="444">
        <f t="shared" ca="1" si="162"/>
        <v>-272042103291.65054</v>
      </c>
      <c r="M3317" s="460">
        <f t="shared" si="164"/>
        <v>0.05</v>
      </c>
      <c r="N3317" s="464">
        <f t="shared" si="165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63"/>
        <v>-272042103291.65054</v>
      </c>
      <c r="J3318" s="444">
        <f t="array" ref="J3318">IFERROR(INDEX('Retirement Calculator'!J:J,MATCH('Isaac 401k'!N3318,'Retirement Calculator'!A:A,0),0),0)</f>
        <v>0</v>
      </c>
      <c r="K3318" s="444">
        <f t="shared" ca="1" si="161"/>
        <v>-1133508763.7152107</v>
      </c>
      <c r="L3318" s="444">
        <f t="shared" ca="1" si="162"/>
        <v>-273175612055.36575</v>
      </c>
      <c r="M3318" s="460">
        <f t="shared" si="164"/>
        <v>0.05</v>
      </c>
      <c r="N3318" s="464">
        <f t="shared" si="165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63"/>
        <v>-273175612055.36575</v>
      </c>
      <c r="J3319" s="444">
        <f t="array" ref="J3319">IFERROR(INDEX('Retirement Calculator'!J:J,MATCH('Isaac 401k'!N3319,'Retirement Calculator'!A:A,0),0),0)</f>
        <v>0</v>
      </c>
      <c r="K3319" s="444">
        <f t="shared" ca="1" si="161"/>
        <v>-1138231716.8973572</v>
      </c>
      <c r="L3319" s="444">
        <f t="shared" ca="1" si="162"/>
        <v>-274313843772.26312</v>
      </c>
      <c r="M3319" s="460">
        <f t="shared" si="164"/>
        <v>0.05</v>
      </c>
      <c r="N3319" s="464">
        <f t="shared" si="165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63"/>
        <v>-274313843772.26312</v>
      </c>
      <c r="J3320" s="444">
        <f t="array" ref="J3320">IFERROR(INDEX('Retirement Calculator'!J:J,MATCH('Isaac 401k'!N3320,'Retirement Calculator'!A:A,0),0),0)</f>
        <v>0</v>
      </c>
      <c r="K3320" s="444">
        <f t="shared" ca="1" si="161"/>
        <v>-1142974349.0510962</v>
      </c>
      <c r="L3320" s="444">
        <f t="shared" ca="1" si="162"/>
        <v>-275456818121.31421</v>
      </c>
      <c r="M3320" s="460">
        <f t="shared" si="164"/>
        <v>0.05</v>
      </c>
      <c r="N3320" s="464">
        <f t="shared" si="165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63"/>
        <v>-275456818121.31421</v>
      </c>
      <c r="J3321" s="444">
        <f t="array" ref="J3321">IFERROR(INDEX('Retirement Calculator'!J:J,MATCH('Isaac 401k'!N3321,'Retirement Calculator'!A:A,0),0),0)</f>
        <v>0</v>
      </c>
      <c r="K3321" s="444">
        <f t="shared" ca="1" si="161"/>
        <v>-1147736742.1721425</v>
      </c>
      <c r="L3321" s="444">
        <f t="shared" ca="1" si="162"/>
        <v>-276604554863.48633</v>
      </c>
      <c r="M3321" s="460">
        <f t="shared" si="164"/>
        <v>0.05</v>
      </c>
      <c r="N3321" s="464">
        <f t="shared" si="165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63"/>
        <v>-276604554863.48633</v>
      </c>
      <c r="J3322" s="444">
        <f t="array" ref="J3322">IFERROR(INDEX('Retirement Calculator'!J:J,MATCH('Isaac 401k'!N3322,'Retirement Calculator'!A:A,0),0),0)</f>
        <v>0</v>
      </c>
      <c r="K3322" s="444">
        <f t="shared" ca="1" si="161"/>
        <v>-1152518978.5978596</v>
      </c>
      <c r="L3322" s="444">
        <f t="shared" ca="1" si="162"/>
        <v>-277757073842.08417</v>
      </c>
      <c r="M3322" s="460">
        <f t="shared" si="164"/>
        <v>0.05</v>
      </c>
      <c r="N3322" s="464">
        <f t="shared" si="165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63"/>
        <v>-277757073842.08417</v>
      </c>
      <c r="J3323" s="444">
        <f t="array" ref="J3323">IFERROR(INDEX('Retirement Calculator'!J:J,MATCH('Isaac 401k'!N3323,'Retirement Calculator'!A:A,0),0),0)</f>
        <v>0</v>
      </c>
      <c r="K3323" s="444">
        <f t="shared" ref="K3323:K3577" ca="1" si="166">IPMT(M3323/12,1,12,-I3323+J3323,,0)</f>
        <v>-1157321141.0086839</v>
      </c>
      <c r="L3323" s="444">
        <f t="shared" ref="L3323:L3577" ca="1" si="167">I3323-J3323+K3323</f>
        <v>-278914394983.09283</v>
      </c>
      <c r="M3323" s="460">
        <f t="shared" si="164"/>
        <v>0.05</v>
      </c>
      <c r="N3323" s="464">
        <f t="shared" si="165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68">L3323</f>
        <v>-278914394983.09283</v>
      </c>
      <c r="J3324" s="444">
        <f t="array" ref="J3324">IFERROR(INDEX('Retirement Calculator'!J:J,MATCH('Isaac 401k'!N3324,'Retirement Calculator'!A:A,0),0),0)</f>
        <v>0</v>
      </c>
      <c r="K3324" s="444">
        <f t="shared" ca="1" si="166"/>
        <v>-1162143312.4295535</v>
      </c>
      <c r="L3324" s="444">
        <f t="shared" ca="1" si="167"/>
        <v>-280076538295.5224</v>
      </c>
      <c r="M3324" s="460">
        <f t="shared" ref="M3324:M3578" si="169">M3323</f>
        <v>0.05</v>
      </c>
      <c r="N3324" s="464">
        <f t="shared" ref="N3324:N3578" si="170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68"/>
        <v>-280076538295.5224</v>
      </c>
      <c r="J3325" s="444">
        <f t="array" ref="J3325">IFERROR(INDEX('Retirement Calculator'!J:J,MATCH('Isaac 401k'!N3325,'Retirement Calculator'!A:A,0),0),0)</f>
        <v>0</v>
      </c>
      <c r="K3325" s="444">
        <f t="shared" ca="1" si="166"/>
        <v>-1166985576.2313433</v>
      </c>
      <c r="L3325" s="444">
        <f t="shared" ca="1" si="167"/>
        <v>-281243523871.75372</v>
      </c>
      <c r="M3325" s="460">
        <f t="shared" si="169"/>
        <v>0.05</v>
      </c>
      <c r="N3325" s="464">
        <f t="shared" si="170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68"/>
        <v>-281243523871.75372</v>
      </c>
      <c r="J3326" s="444">
        <f t="array" ref="J3326">IFERROR(INDEX('Retirement Calculator'!J:J,MATCH('Isaac 401k'!N3326,'Retirement Calculator'!A:A,0),0),0)</f>
        <v>0</v>
      </c>
      <c r="K3326" s="444">
        <f t="shared" ca="1" si="166"/>
        <v>-1171848016.1323071</v>
      </c>
      <c r="L3326" s="444">
        <f t="shared" ca="1" si="167"/>
        <v>-282415371887.88605</v>
      </c>
      <c r="M3326" s="460">
        <f t="shared" si="169"/>
        <v>0.05</v>
      </c>
      <c r="N3326" s="464">
        <f t="shared" si="170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68"/>
        <v>-282415371887.88605</v>
      </c>
      <c r="J3327" s="444">
        <f t="array" ref="J3327">IFERROR(INDEX('Retirement Calculator'!J:J,MATCH('Isaac 401k'!N3327,'Retirement Calculator'!A:A,0),0),0)</f>
        <v>0</v>
      </c>
      <c r="K3327" s="444">
        <f t="shared" ca="1" si="166"/>
        <v>-1176730716.1995251</v>
      </c>
      <c r="L3327" s="444">
        <f t="shared" ca="1" si="167"/>
        <v>-283592102604.08557</v>
      </c>
      <c r="M3327" s="460">
        <f t="shared" si="169"/>
        <v>0.05</v>
      </c>
      <c r="N3327" s="464">
        <f t="shared" si="170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68"/>
        <v>-283592102604.08557</v>
      </c>
      <c r="J3328" s="444">
        <f t="array" ref="J3328">IFERROR(INDEX('Retirement Calculator'!J:J,MATCH('Isaac 401k'!N3328,'Retirement Calculator'!A:A,0),0),0)</f>
        <v>0</v>
      </c>
      <c r="K3328" s="444">
        <f t="shared" ca="1" si="166"/>
        <v>-1181633760.8503566</v>
      </c>
      <c r="L3328" s="444">
        <f t="shared" ca="1" si="167"/>
        <v>-284773736364.93591</v>
      </c>
      <c r="M3328" s="460">
        <f t="shared" si="169"/>
        <v>0.05</v>
      </c>
      <c r="N3328" s="464">
        <f t="shared" si="170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68"/>
        <v>-284773736364.93591</v>
      </c>
      <c r="J3329" s="444">
        <f t="array" ref="J3329">IFERROR(INDEX('Retirement Calculator'!J:J,MATCH('Isaac 401k'!N3329,'Retirement Calculator'!A:A,0),0),0)</f>
        <v>0</v>
      </c>
      <c r="K3329" s="444">
        <f t="shared" ca="1" si="166"/>
        <v>-1186557234.8538997</v>
      </c>
      <c r="L3329" s="444">
        <f t="shared" ca="1" si="167"/>
        <v>-285960293599.78979</v>
      </c>
      <c r="M3329" s="460">
        <f t="shared" si="169"/>
        <v>0.05</v>
      </c>
      <c r="N3329" s="464">
        <f t="shared" si="170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68"/>
        <v>-285960293599.78979</v>
      </c>
      <c r="J3330" s="444">
        <f t="array" ref="J3330">IFERROR(INDEX('Retirement Calculator'!J:J,MATCH('Isaac 401k'!N3330,'Retirement Calculator'!A:A,0),0),0)</f>
        <v>0</v>
      </c>
      <c r="K3330" s="444">
        <f t="shared" ca="1" si="166"/>
        <v>-1191501223.3324575</v>
      </c>
      <c r="L3330" s="444">
        <f t="shared" ca="1" si="167"/>
        <v>-287151794823.12225</v>
      </c>
      <c r="M3330" s="460">
        <f t="shared" si="169"/>
        <v>0.05</v>
      </c>
      <c r="N3330" s="464">
        <f t="shared" si="170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68"/>
        <v>-287151794823.12225</v>
      </c>
      <c r="J3331" s="444">
        <f t="array" ref="J3331">IFERROR(INDEX('Retirement Calculator'!J:J,MATCH('Isaac 401k'!N3331,'Retirement Calculator'!A:A,0),0),0)</f>
        <v>0</v>
      </c>
      <c r="K3331" s="444">
        <f t="shared" ca="1" si="166"/>
        <v>-1196465811.7630093</v>
      </c>
      <c r="L3331" s="444">
        <f t="shared" ca="1" si="167"/>
        <v>-288348260634.88525</v>
      </c>
      <c r="M3331" s="460">
        <f t="shared" si="169"/>
        <v>0.05</v>
      </c>
      <c r="N3331" s="464">
        <f t="shared" si="170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68"/>
        <v>-288348260634.88525</v>
      </c>
      <c r="J3332" s="444">
        <f t="array" ref="J3332">IFERROR(INDEX('Retirement Calculator'!J:J,MATCH('Isaac 401k'!N3332,'Retirement Calculator'!A:A,0),0),0)</f>
        <v>0</v>
      </c>
      <c r="K3332" s="444">
        <f t="shared" ca="1" si="166"/>
        <v>-1201451085.9786885</v>
      </c>
      <c r="L3332" s="444">
        <f t="shared" ca="1" si="167"/>
        <v>-289549711720.86395</v>
      </c>
      <c r="M3332" s="460">
        <f t="shared" si="169"/>
        <v>0.05</v>
      </c>
      <c r="N3332" s="464">
        <f t="shared" si="170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68"/>
        <v>-289549711720.86395</v>
      </c>
      <c r="J3333" s="444">
        <f t="array" ref="J3333">IFERROR(INDEX('Retirement Calculator'!J:J,MATCH('Isaac 401k'!N3333,'Retirement Calculator'!A:A,0),0),0)</f>
        <v>0</v>
      </c>
      <c r="K3333" s="444">
        <f t="shared" ca="1" si="166"/>
        <v>-1206457132.1702664</v>
      </c>
      <c r="L3333" s="444">
        <f t="shared" ca="1" si="167"/>
        <v>-290756168853.03424</v>
      </c>
      <c r="M3333" s="460">
        <f t="shared" si="169"/>
        <v>0.05</v>
      </c>
      <c r="N3333" s="464">
        <f t="shared" si="170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68"/>
        <v>-290756168853.03424</v>
      </c>
      <c r="J3334" s="444">
        <f t="array" ref="J3334">IFERROR(INDEX('Retirement Calculator'!J:J,MATCH('Isaac 401k'!N3334,'Retirement Calculator'!A:A,0),0),0)</f>
        <v>0</v>
      </c>
      <c r="K3334" s="444">
        <f t="shared" ca="1" si="166"/>
        <v>-1211484036.8876426</v>
      </c>
      <c r="L3334" s="444">
        <f t="shared" ca="1" si="167"/>
        <v>-291967652889.92188</v>
      </c>
      <c r="M3334" s="460">
        <f t="shared" si="169"/>
        <v>0.05</v>
      </c>
      <c r="N3334" s="464">
        <f t="shared" si="170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68"/>
        <v>-291967652889.92188</v>
      </c>
      <c r="J3335" s="444">
        <f t="array" ref="J3335">IFERROR(INDEX('Retirement Calculator'!J:J,MATCH('Isaac 401k'!N3335,'Retirement Calculator'!A:A,0),0),0)</f>
        <v>0</v>
      </c>
      <c r="K3335" s="444">
        <f t="shared" ca="1" si="166"/>
        <v>-1216531887.0413411</v>
      </c>
      <c r="L3335" s="444">
        <f t="shared" ca="1" si="167"/>
        <v>-293184184776.9632</v>
      </c>
      <c r="M3335" s="460">
        <f t="shared" si="169"/>
        <v>0.05</v>
      </c>
      <c r="N3335" s="464">
        <f t="shared" si="170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68"/>
        <v>-293184184776.9632</v>
      </c>
      <c r="J3336" s="444">
        <f t="array" ref="J3336">IFERROR(INDEX('Retirement Calculator'!J:J,MATCH('Isaac 401k'!N3336,'Retirement Calculator'!A:A,0),0),0)</f>
        <v>0</v>
      </c>
      <c r="K3336" s="444">
        <f t="shared" ca="1" si="166"/>
        <v>-1221600769.9040134</v>
      </c>
      <c r="L3336" s="444">
        <f t="shared" ca="1" si="167"/>
        <v>-294405785546.86719</v>
      </c>
      <c r="M3336" s="460">
        <f t="shared" si="169"/>
        <v>0.05</v>
      </c>
      <c r="N3336" s="464">
        <f t="shared" si="170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68"/>
        <v>-294405785546.86719</v>
      </c>
      <c r="J3337" s="444">
        <f t="array" ref="J3337">IFERROR(INDEX('Retirement Calculator'!J:J,MATCH('Isaac 401k'!N3337,'Retirement Calculator'!A:A,0),0),0)</f>
        <v>0</v>
      </c>
      <c r="K3337" s="444">
        <f t="shared" ca="1" si="166"/>
        <v>-1226690773.1119466</v>
      </c>
      <c r="L3337" s="444">
        <f t="shared" ca="1" si="167"/>
        <v>-295632476319.97913</v>
      </c>
      <c r="M3337" s="460">
        <f t="shared" si="169"/>
        <v>0.05</v>
      </c>
      <c r="N3337" s="464">
        <f t="shared" si="170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68"/>
        <v>-295632476319.97913</v>
      </c>
      <c r="J3338" s="444">
        <f t="array" ref="J3338">IFERROR(INDEX('Retirement Calculator'!J:J,MATCH('Isaac 401k'!N3338,'Retirement Calculator'!A:A,0),0),0)</f>
        <v>0</v>
      </c>
      <c r="K3338" s="444">
        <f t="shared" ca="1" si="166"/>
        <v>-1231801984.6665797</v>
      </c>
      <c r="L3338" s="444">
        <f t="shared" ca="1" si="167"/>
        <v>-296864278304.64569</v>
      </c>
      <c r="M3338" s="460">
        <f t="shared" si="169"/>
        <v>0.05</v>
      </c>
      <c r="N3338" s="464">
        <f t="shared" si="170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68"/>
        <v>-296864278304.64569</v>
      </c>
      <c r="J3339" s="444">
        <f t="array" ref="J3339">IFERROR(INDEX('Retirement Calculator'!J:J,MATCH('Isaac 401k'!N3339,'Retirement Calculator'!A:A,0),0),0)</f>
        <v>0</v>
      </c>
      <c r="K3339" s="444">
        <f t="shared" ca="1" si="166"/>
        <v>-1236934492.9360237</v>
      </c>
      <c r="L3339" s="444">
        <f t="shared" ca="1" si="167"/>
        <v>-298101212797.58173</v>
      </c>
      <c r="M3339" s="460">
        <f t="shared" si="169"/>
        <v>0.05</v>
      </c>
      <c r="N3339" s="464">
        <f t="shared" si="170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68"/>
        <v>-298101212797.58173</v>
      </c>
      <c r="J3340" s="444">
        <f t="array" ref="J3340">IFERROR(INDEX('Retirement Calculator'!J:J,MATCH('Isaac 401k'!N3340,'Retirement Calculator'!A:A,0),0),0)</f>
        <v>0</v>
      </c>
      <c r="K3340" s="444">
        <f t="shared" ca="1" si="166"/>
        <v>-1242088386.6565905</v>
      </c>
      <c r="L3340" s="444">
        <f t="shared" ca="1" si="167"/>
        <v>-299343301184.23834</v>
      </c>
      <c r="M3340" s="460">
        <f t="shared" si="169"/>
        <v>0.05</v>
      </c>
      <c r="N3340" s="464">
        <f t="shared" si="170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68"/>
        <v>-299343301184.23834</v>
      </c>
      <c r="J3341" s="444">
        <f t="array" ref="J3341">IFERROR(INDEX('Retirement Calculator'!J:J,MATCH('Isaac 401k'!N3341,'Retirement Calculator'!A:A,0),0),0)</f>
        <v>0</v>
      </c>
      <c r="K3341" s="444">
        <f t="shared" ca="1" si="166"/>
        <v>-1247263754.9343264</v>
      </c>
      <c r="L3341" s="444">
        <f t="shared" ca="1" si="167"/>
        <v>-300590564939.17267</v>
      </c>
      <c r="M3341" s="460">
        <f t="shared" si="169"/>
        <v>0.05</v>
      </c>
      <c r="N3341" s="464">
        <f t="shared" si="170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68"/>
        <v>-300590564939.17267</v>
      </c>
      <c r="J3342" s="444">
        <f t="array" ref="J3342">IFERROR(INDEX('Retirement Calculator'!J:J,MATCH('Isaac 401k'!N3342,'Retirement Calculator'!A:A,0),0),0)</f>
        <v>0</v>
      </c>
      <c r="K3342" s="444">
        <f t="shared" ca="1" si="166"/>
        <v>-1252460687.2465527</v>
      </c>
      <c r="L3342" s="444">
        <f t="shared" ca="1" si="167"/>
        <v>-301843025626.41925</v>
      </c>
      <c r="M3342" s="460">
        <f t="shared" si="169"/>
        <v>0.05</v>
      </c>
      <c r="N3342" s="464">
        <f t="shared" si="170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68"/>
        <v>-301843025626.41925</v>
      </c>
      <c r="J3343" s="444">
        <f t="array" ref="J3343">IFERROR(INDEX('Retirement Calculator'!J:J,MATCH('Isaac 401k'!N3343,'Retirement Calculator'!A:A,0),0),0)</f>
        <v>0</v>
      </c>
      <c r="K3343" s="444">
        <f t="shared" ca="1" si="166"/>
        <v>-1257679273.4434135</v>
      </c>
      <c r="L3343" s="444">
        <f t="shared" ca="1" si="167"/>
        <v>-303100704899.86267</v>
      </c>
      <c r="M3343" s="460">
        <f t="shared" si="169"/>
        <v>0.05</v>
      </c>
      <c r="N3343" s="464">
        <f t="shared" si="170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68"/>
        <v>-303100704899.86267</v>
      </c>
      <c r="J3344" s="444">
        <f t="array" ref="J3344">IFERROR(INDEX('Retirement Calculator'!J:J,MATCH('Isaac 401k'!N3344,'Retirement Calculator'!A:A,0),0),0)</f>
        <v>0</v>
      </c>
      <c r="K3344" s="444">
        <f t="shared" ca="1" si="166"/>
        <v>-1262919603.7494278</v>
      </c>
      <c r="L3344" s="444">
        <f t="shared" ca="1" si="167"/>
        <v>-304363624503.61212</v>
      </c>
      <c r="M3344" s="460">
        <f t="shared" si="169"/>
        <v>0.05</v>
      </c>
      <c r="N3344" s="464">
        <f t="shared" si="170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68"/>
        <v>-304363624503.61212</v>
      </c>
      <c r="J3345" s="444">
        <f t="array" ref="J3345">IFERROR(INDEX('Retirement Calculator'!J:J,MATCH('Isaac 401k'!N3345,'Retirement Calculator'!A:A,0),0),0)</f>
        <v>0</v>
      </c>
      <c r="K3345" s="444">
        <f t="shared" ca="1" si="166"/>
        <v>-1268181768.7650504</v>
      </c>
      <c r="L3345" s="444">
        <f t="shared" ca="1" si="167"/>
        <v>-305631806272.3772</v>
      </c>
      <c r="M3345" s="460">
        <f t="shared" si="169"/>
        <v>0.05</v>
      </c>
      <c r="N3345" s="464">
        <f t="shared" si="170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68"/>
        <v>-305631806272.3772</v>
      </c>
      <c r="J3346" s="444">
        <f t="array" ref="J3346">IFERROR(INDEX('Retirement Calculator'!J:J,MATCH('Isaac 401k'!N3346,'Retirement Calculator'!A:A,0),0),0)</f>
        <v>0</v>
      </c>
      <c r="K3346" s="444">
        <f t="shared" ca="1" si="166"/>
        <v>-1273465859.4682384</v>
      </c>
      <c r="L3346" s="444">
        <f t="shared" ca="1" si="167"/>
        <v>-306905272131.84546</v>
      </c>
      <c r="M3346" s="460">
        <f t="shared" si="169"/>
        <v>0.05</v>
      </c>
      <c r="N3346" s="464">
        <f t="shared" si="170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68"/>
        <v>-306905272131.84546</v>
      </c>
      <c r="J3347" s="444">
        <f t="array" ref="J3347">IFERROR(INDEX('Retirement Calculator'!J:J,MATCH('Isaac 401k'!N3347,'Retirement Calculator'!A:A,0),0),0)</f>
        <v>0</v>
      </c>
      <c r="K3347" s="444">
        <f t="shared" ca="1" si="166"/>
        <v>-1278771967.2160227</v>
      </c>
      <c r="L3347" s="444">
        <f t="shared" ca="1" si="167"/>
        <v>-308184044099.06146</v>
      </c>
      <c r="M3347" s="460">
        <f t="shared" si="169"/>
        <v>0.05</v>
      </c>
      <c r="N3347" s="464">
        <f t="shared" si="170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68"/>
        <v>-308184044099.06146</v>
      </c>
      <c r="J3348" s="444">
        <f t="array" ref="J3348">IFERROR(INDEX('Retirement Calculator'!J:J,MATCH('Isaac 401k'!N3348,'Retirement Calculator'!A:A,0),0),0)</f>
        <v>0</v>
      </c>
      <c r="K3348" s="444">
        <f t="shared" ca="1" si="166"/>
        <v>-1284100183.7460895</v>
      </c>
      <c r="L3348" s="444">
        <f t="shared" ca="1" si="167"/>
        <v>-309468144282.80756</v>
      </c>
      <c r="M3348" s="460">
        <f t="shared" si="169"/>
        <v>0.05</v>
      </c>
      <c r="N3348" s="464">
        <f t="shared" si="170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68"/>
        <v>-309468144282.80756</v>
      </c>
      <c r="J3349" s="444">
        <f t="array" ref="J3349">IFERROR(INDEX('Retirement Calculator'!J:J,MATCH('Isaac 401k'!N3349,'Retirement Calculator'!A:A,0),0),0)</f>
        <v>0</v>
      </c>
      <c r="K3349" s="444">
        <f t="shared" ca="1" si="166"/>
        <v>-1289450601.1783648</v>
      </c>
      <c r="L3349" s="444">
        <f t="shared" ca="1" si="167"/>
        <v>-310757594883.9859</v>
      </c>
      <c r="M3349" s="460">
        <f t="shared" si="169"/>
        <v>0.05</v>
      </c>
      <c r="N3349" s="464">
        <f t="shared" si="170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68"/>
        <v>-310757594883.9859</v>
      </c>
      <c r="J3350" s="444">
        <f t="array" ref="J3350">IFERROR(INDEX('Retirement Calculator'!J:J,MATCH('Isaac 401k'!N3350,'Retirement Calculator'!A:A,0),0),0)</f>
        <v>0</v>
      </c>
      <c r="K3350" s="444">
        <f t="shared" ca="1" si="166"/>
        <v>-1294823312.016608</v>
      </c>
      <c r="L3350" s="444">
        <f t="shared" ca="1" si="167"/>
        <v>-312052418196.0025</v>
      </c>
      <c r="M3350" s="460">
        <f t="shared" si="169"/>
        <v>0.05</v>
      </c>
      <c r="N3350" s="464">
        <f t="shared" si="170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68"/>
        <v>-312052418196.0025</v>
      </c>
      <c r="J3351" s="444">
        <f t="array" ref="J3351">IFERROR(INDEX('Retirement Calculator'!J:J,MATCH('Isaac 401k'!N3351,'Retirement Calculator'!A:A,0),0),0)</f>
        <v>0</v>
      </c>
      <c r="K3351" s="444">
        <f t="shared" ca="1" si="166"/>
        <v>-1300218409.1500103</v>
      </c>
      <c r="L3351" s="444">
        <f t="shared" ca="1" si="167"/>
        <v>-313352636605.15253</v>
      </c>
      <c r="M3351" s="460">
        <f t="shared" si="169"/>
        <v>0.05</v>
      </c>
      <c r="N3351" s="464">
        <f t="shared" si="170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68"/>
        <v>-313352636605.15253</v>
      </c>
      <c r="J3352" s="444">
        <f t="array" ref="J3352">IFERROR(INDEX('Retirement Calculator'!J:J,MATCH('Isaac 401k'!N3352,'Retirement Calculator'!A:A,0),0),0)</f>
        <v>0</v>
      </c>
      <c r="K3352" s="444">
        <f t="shared" ca="1" si="166"/>
        <v>-1305635985.8548021</v>
      </c>
      <c r="L3352" s="444">
        <f t="shared" ca="1" si="167"/>
        <v>-314658272591.00732</v>
      </c>
      <c r="M3352" s="460">
        <f t="shared" si="169"/>
        <v>0.05</v>
      </c>
      <c r="N3352" s="464">
        <f t="shared" si="170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68"/>
        <v>-314658272591.00732</v>
      </c>
      <c r="J3353" s="444">
        <f t="array" ref="J3353">IFERROR(INDEX('Retirement Calculator'!J:J,MATCH('Isaac 401k'!N3353,'Retirement Calculator'!A:A,0),0),0)</f>
        <v>0</v>
      </c>
      <c r="K3353" s="444">
        <f t="shared" ca="1" si="166"/>
        <v>-1311076135.7958639</v>
      </c>
      <c r="L3353" s="444">
        <f t="shared" ca="1" si="167"/>
        <v>-315969348726.80316</v>
      </c>
      <c r="M3353" s="460">
        <f t="shared" si="169"/>
        <v>0.05</v>
      </c>
      <c r="N3353" s="464">
        <f t="shared" si="170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68"/>
        <v>-315969348726.80316</v>
      </c>
      <c r="J3354" s="444">
        <f t="array" ref="J3354">IFERROR(INDEX('Retirement Calculator'!J:J,MATCH('Isaac 401k'!N3354,'Retirement Calculator'!A:A,0),0),0)</f>
        <v>0</v>
      </c>
      <c r="K3354" s="444">
        <f t="shared" ca="1" si="166"/>
        <v>-1316538953.0283465</v>
      </c>
      <c r="L3354" s="444">
        <f t="shared" ca="1" si="167"/>
        <v>-317285887679.83148</v>
      </c>
      <c r="M3354" s="460">
        <f t="shared" si="169"/>
        <v>0.05</v>
      </c>
      <c r="N3354" s="464">
        <f t="shared" si="170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68"/>
        <v>-317285887679.83148</v>
      </c>
      <c r="J3355" s="444">
        <f t="array" ref="J3355">IFERROR(INDEX('Retirement Calculator'!J:J,MATCH('Isaac 401k'!N3355,'Retirement Calculator'!A:A,0),0),0)</f>
        <v>0</v>
      </c>
      <c r="K3355" s="444">
        <f t="shared" ca="1" si="166"/>
        <v>-1322024531.9992979</v>
      </c>
      <c r="L3355" s="444">
        <f t="shared" ca="1" si="167"/>
        <v>-318607912211.83075</v>
      </c>
      <c r="M3355" s="460">
        <f t="shared" si="169"/>
        <v>0.05</v>
      </c>
      <c r="N3355" s="464">
        <f t="shared" si="170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68"/>
        <v>-318607912211.83075</v>
      </c>
      <c r="J3356" s="444">
        <f t="array" ref="J3356">IFERROR(INDEX('Retirement Calculator'!J:J,MATCH('Isaac 401k'!N3356,'Retirement Calculator'!A:A,0),0),0)</f>
        <v>0</v>
      </c>
      <c r="K3356" s="444">
        <f t="shared" ca="1" si="166"/>
        <v>-1327532967.5492947</v>
      </c>
      <c r="L3356" s="444">
        <f t="shared" ca="1" si="167"/>
        <v>-319935445179.38007</v>
      </c>
      <c r="M3356" s="460">
        <f t="shared" si="169"/>
        <v>0.05</v>
      </c>
      <c r="N3356" s="464">
        <f t="shared" si="170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68"/>
        <v>-319935445179.38007</v>
      </c>
      <c r="J3357" s="444">
        <f t="array" ref="J3357">IFERROR(INDEX('Retirement Calculator'!J:J,MATCH('Isaac 401k'!N3357,'Retirement Calculator'!A:A,0),0),0)</f>
        <v>0</v>
      </c>
      <c r="K3357" s="444">
        <f t="shared" ca="1" si="166"/>
        <v>-1333064354.9140835</v>
      </c>
      <c r="L3357" s="444">
        <f t="shared" ca="1" si="167"/>
        <v>-321268509534.29413</v>
      </c>
      <c r="M3357" s="460">
        <f t="shared" si="169"/>
        <v>0.05</v>
      </c>
      <c r="N3357" s="464">
        <f t="shared" si="170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68"/>
        <v>-321268509534.29413</v>
      </c>
      <c r="J3358" s="444">
        <f t="array" ref="J3358">IFERROR(INDEX('Retirement Calculator'!J:J,MATCH('Isaac 401k'!N3358,'Retirement Calculator'!A:A,0),0),0)</f>
        <v>0</v>
      </c>
      <c r="K3358" s="444">
        <f t="shared" ca="1" si="166"/>
        <v>-1338618789.7262256</v>
      </c>
      <c r="L3358" s="444">
        <f t="shared" ca="1" si="167"/>
        <v>-322607128324.02032</v>
      </c>
      <c r="M3358" s="460">
        <f t="shared" si="169"/>
        <v>0.05</v>
      </c>
      <c r="N3358" s="464">
        <f t="shared" si="170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68"/>
        <v>-322607128324.02032</v>
      </c>
      <c r="J3359" s="444">
        <f t="array" ref="J3359">IFERROR(INDEX('Retirement Calculator'!J:J,MATCH('Isaac 401k'!N3359,'Retirement Calculator'!A:A,0),0),0)</f>
        <v>0</v>
      </c>
      <c r="K3359" s="444">
        <f t="shared" ca="1" si="166"/>
        <v>-1344196368.0167513</v>
      </c>
      <c r="L3359" s="444">
        <f t="shared" ca="1" si="167"/>
        <v>-323951324692.03705</v>
      </c>
      <c r="M3359" s="460">
        <f t="shared" si="169"/>
        <v>0.05</v>
      </c>
      <c r="N3359" s="464">
        <f t="shared" si="170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68"/>
        <v>-323951324692.03705</v>
      </c>
      <c r="J3360" s="444">
        <f t="array" ref="J3360">IFERROR(INDEX('Retirement Calculator'!J:J,MATCH('Isaac 401k'!N3360,'Retirement Calculator'!A:A,0),0),0)</f>
        <v>0</v>
      </c>
      <c r="K3360" s="444">
        <f t="shared" ca="1" si="166"/>
        <v>-1349797186.216821</v>
      </c>
      <c r="L3360" s="444">
        <f t="shared" ca="1" si="167"/>
        <v>-325301121878.25385</v>
      </c>
      <c r="M3360" s="460">
        <f t="shared" si="169"/>
        <v>0.05</v>
      </c>
      <c r="N3360" s="464">
        <f t="shared" si="170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68"/>
        <v>-325301121878.25385</v>
      </c>
      <c r="J3361" s="444">
        <f t="array" ref="J3361">IFERROR(INDEX('Retirement Calculator'!J:J,MATCH('Isaac 401k'!N3361,'Retirement Calculator'!A:A,0),0),0)</f>
        <v>0</v>
      </c>
      <c r="K3361" s="444">
        <f t="shared" ca="1" si="166"/>
        <v>-1355421341.1593909</v>
      </c>
      <c r="L3361" s="444">
        <f t="shared" ca="1" si="167"/>
        <v>-326656543219.41321</v>
      </c>
      <c r="M3361" s="460">
        <f t="shared" si="169"/>
        <v>0.05</v>
      </c>
      <c r="N3361" s="464">
        <f t="shared" si="170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68"/>
        <v>-326656543219.41321</v>
      </c>
      <c r="J3362" s="444">
        <f t="array" ref="J3362">IFERROR(INDEX('Retirement Calculator'!J:J,MATCH('Isaac 401k'!N3362,'Retirement Calculator'!A:A,0),0),0)</f>
        <v>0</v>
      </c>
      <c r="K3362" s="444">
        <f t="shared" ca="1" si="166"/>
        <v>-1361068930.0808883</v>
      </c>
      <c r="L3362" s="444">
        <f t="shared" ca="1" si="167"/>
        <v>-328017612149.49408</v>
      </c>
      <c r="M3362" s="460">
        <f t="shared" si="169"/>
        <v>0.05</v>
      </c>
      <c r="N3362" s="464">
        <f t="shared" si="170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68"/>
        <v>-328017612149.49408</v>
      </c>
      <c r="J3363" s="444">
        <f t="array" ref="J3363">IFERROR(INDEX('Retirement Calculator'!J:J,MATCH('Isaac 401k'!N3363,'Retirement Calculator'!A:A,0),0),0)</f>
        <v>0</v>
      </c>
      <c r="K3363" s="444">
        <f t="shared" ca="1" si="166"/>
        <v>-1366740050.6228919</v>
      </c>
      <c r="L3363" s="444">
        <f t="shared" ca="1" si="167"/>
        <v>-329384352200.11694</v>
      </c>
      <c r="M3363" s="460">
        <f t="shared" si="169"/>
        <v>0.05</v>
      </c>
      <c r="N3363" s="464">
        <f t="shared" si="170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68"/>
        <v>-329384352200.11694</v>
      </c>
      <c r="J3364" s="444">
        <f t="array" ref="J3364">IFERROR(INDEX('Retirement Calculator'!J:J,MATCH('Isaac 401k'!N3364,'Retirement Calculator'!A:A,0),0),0)</f>
        <v>0</v>
      </c>
      <c r="K3364" s="444">
        <f t="shared" ca="1" si="166"/>
        <v>-1372434800.8338206</v>
      </c>
      <c r="L3364" s="444">
        <f t="shared" ca="1" si="167"/>
        <v>-330756787000.95074</v>
      </c>
      <c r="M3364" s="460">
        <f t="shared" si="169"/>
        <v>0.05</v>
      </c>
      <c r="N3364" s="464">
        <f t="shared" si="170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68"/>
        <v>-330756787000.95074</v>
      </c>
      <c r="J3365" s="444">
        <f t="array" ref="J3365">IFERROR(INDEX('Retirement Calculator'!J:J,MATCH('Isaac 401k'!N3365,'Retirement Calculator'!A:A,0),0),0)</f>
        <v>0</v>
      </c>
      <c r="K3365" s="444">
        <f t="shared" ca="1" si="166"/>
        <v>-1378153279.1706281</v>
      </c>
      <c r="L3365" s="444">
        <f t="shared" ca="1" si="167"/>
        <v>-332134940280.1214</v>
      </c>
      <c r="M3365" s="460">
        <f t="shared" si="169"/>
        <v>0.05</v>
      </c>
      <c r="N3365" s="464">
        <f t="shared" si="170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68"/>
        <v>-332134940280.1214</v>
      </c>
      <c r="J3366" s="444">
        <f t="array" ref="J3366">IFERROR(INDEX('Retirement Calculator'!J:J,MATCH('Isaac 401k'!N3366,'Retirement Calculator'!A:A,0),0),0)</f>
        <v>0</v>
      </c>
      <c r="K3366" s="444">
        <f t="shared" ca="1" si="166"/>
        <v>-1383895584.5005059</v>
      </c>
      <c r="L3366" s="444">
        <f t="shared" ca="1" si="167"/>
        <v>-333518835864.62189</v>
      </c>
      <c r="M3366" s="460">
        <f t="shared" si="169"/>
        <v>0.05</v>
      </c>
      <c r="N3366" s="464">
        <f t="shared" si="170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68"/>
        <v>-333518835864.62189</v>
      </c>
      <c r="J3367" s="444">
        <f t="array" ref="J3367">IFERROR(INDEX('Retirement Calculator'!J:J,MATCH('Isaac 401k'!N3367,'Retirement Calculator'!A:A,0),0),0)</f>
        <v>0</v>
      </c>
      <c r="K3367" s="444">
        <f t="shared" ca="1" si="166"/>
        <v>-1389661816.1025913</v>
      </c>
      <c r="L3367" s="444">
        <f t="shared" ca="1" si="167"/>
        <v>-334908497680.72449</v>
      </c>
      <c r="M3367" s="460">
        <f t="shared" si="169"/>
        <v>0.05</v>
      </c>
      <c r="N3367" s="464">
        <f t="shared" si="170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68"/>
        <v>-334908497680.72449</v>
      </c>
      <c r="J3368" s="444">
        <f t="array" ref="J3368">IFERROR(INDEX('Retirement Calculator'!J:J,MATCH('Isaac 401k'!N3368,'Retirement Calculator'!A:A,0),0),0)</f>
        <v>0</v>
      </c>
      <c r="K3368" s="444">
        <f t="shared" ca="1" si="166"/>
        <v>-1395452073.6696854</v>
      </c>
      <c r="L3368" s="444">
        <f t="shared" ca="1" si="167"/>
        <v>-336303949754.39417</v>
      </c>
      <c r="M3368" s="460">
        <f t="shared" si="169"/>
        <v>0.05</v>
      </c>
      <c r="N3368" s="464">
        <f t="shared" si="170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68"/>
        <v>-336303949754.39417</v>
      </c>
      <c r="J3369" s="444">
        <f t="array" ref="J3369">IFERROR(INDEX('Retirement Calculator'!J:J,MATCH('Isaac 401k'!N3369,'Retirement Calculator'!A:A,0),0),0)</f>
        <v>0</v>
      </c>
      <c r="K3369" s="444">
        <f t="shared" ca="1" si="166"/>
        <v>-1401266457.3099756</v>
      </c>
      <c r="L3369" s="444">
        <f t="shared" ca="1" si="167"/>
        <v>-337705216211.70416</v>
      </c>
      <c r="M3369" s="460">
        <f t="shared" si="169"/>
        <v>0.05</v>
      </c>
      <c r="N3369" s="464">
        <f t="shared" si="170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68"/>
        <v>-337705216211.70416</v>
      </c>
      <c r="J3370" s="444">
        <f t="array" ref="J3370">IFERROR(INDEX('Retirement Calculator'!J:J,MATCH('Isaac 401k'!N3370,'Retirement Calculator'!A:A,0),0),0)</f>
        <v>0</v>
      </c>
      <c r="K3370" s="444">
        <f t="shared" ca="1" si="166"/>
        <v>-1407105067.5487673</v>
      </c>
      <c r="L3370" s="444">
        <f t="shared" ca="1" si="167"/>
        <v>-339112321279.25293</v>
      </c>
      <c r="M3370" s="460">
        <f t="shared" si="169"/>
        <v>0.05</v>
      </c>
      <c r="N3370" s="464">
        <f t="shared" si="170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68"/>
        <v>-339112321279.25293</v>
      </c>
      <c r="J3371" s="444">
        <f t="array" ref="J3371">IFERROR(INDEX('Retirement Calculator'!J:J,MATCH('Isaac 401k'!N3371,'Retirement Calculator'!A:A,0),0),0)</f>
        <v>0</v>
      </c>
      <c r="K3371" s="444">
        <f t="shared" ca="1" si="166"/>
        <v>-1412968005.3302205</v>
      </c>
      <c r="L3371" s="444">
        <f t="shared" ca="1" si="167"/>
        <v>-340525289284.58313</v>
      </c>
      <c r="M3371" s="460">
        <f t="shared" si="169"/>
        <v>0.05</v>
      </c>
      <c r="N3371" s="464">
        <f t="shared" si="170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68"/>
        <v>-340525289284.58313</v>
      </c>
      <c r="J3372" s="444">
        <f t="array" ref="J3372">IFERROR(INDEX('Retirement Calculator'!J:J,MATCH('Isaac 401k'!N3372,'Retirement Calculator'!A:A,0),0),0)</f>
        <v>0</v>
      </c>
      <c r="K3372" s="444">
        <f t="shared" ca="1" si="166"/>
        <v>-1418855372.0190964</v>
      </c>
      <c r="L3372" s="444">
        <f t="shared" ca="1" si="167"/>
        <v>-341944144656.60223</v>
      </c>
      <c r="M3372" s="460">
        <f t="shared" si="169"/>
        <v>0.05</v>
      </c>
      <c r="N3372" s="464">
        <f t="shared" si="170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68"/>
        <v>-341944144656.60223</v>
      </c>
      <c r="J3373" s="444">
        <f t="array" ref="J3373">IFERROR(INDEX('Retirement Calculator'!J:J,MATCH('Isaac 401k'!N3373,'Retirement Calculator'!A:A,0),0),0)</f>
        <v>0</v>
      </c>
      <c r="K3373" s="444">
        <f t="shared" ca="1" si="166"/>
        <v>-1424767269.4025092</v>
      </c>
      <c r="L3373" s="444">
        <f t="shared" ca="1" si="167"/>
        <v>-343368911926.00476</v>
      </c>
      <c r="M3373" s="460">
        <f t="shared" si="169"/>
        <v>0.05</v>
      </c>
      <c r="N3373" s="464">
        <f t="shared" si="170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68"/>
        <v>-343368911926.00476</v>
      </c>
      <c r="J3374" s="444">
        <f t="array" ref="J3374">IFERROR(INDEX('Retirement Calculator'!J:J,MATCH('Isaac 401k'!N3374,'Retirement Calculator'!A:A,0),0),0)</f>
        <v>0</v>
      </c>
      <c r="K3374" s="444">
        <f t="shared" ca="1" si="166"/>
        <v>-1430703799.6916864</v>
      </c>
      <c r="L3374" s="444">
        <f t="shared" ca="1" si="167"/>
        <v>-344799615725.69647</v>
      </c>
      <c r="M3374" s="460">
        <f t="shared" si="169"/>
        <v>0.05</v>
      </c>
      <c r="N3374" s="464">
        <f t="shared" si="170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68"/>
        <v>-344799615725.69647</v>
      </c>
      <c r="J3375" s="444">
        <f t="array" ref="J3375">IFERROR(INDEX('Retirement Calculator'!J:J,MATCH('Isaac 401k'!N3375,'Retirement Calculator'!A:A,0),0),0)</f>
        <v>0</v>
      </c>
      <c r="K3375" s="444">
        <f t="shared" ca="1" si="166"/>
        <v>-1436665065.5237353</v>
      </c>
      <c r="L3375" s="444">
        <f t="shared" ca="1" si="167"/>
        <v>-346236280791.22021</v>
      </c>
      <c r="M3375" s="460">
        <f t="shared" si="169"/>
        <v>0.05</v>
      </c>
      <c r="N3375" s="464">
        <f t="shared" si="170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68"/>
        <v>-346236280791.22021</v>
      </c>
      <c r="J3376" s="444">
        <f t="array" ref="J3376">IFERROR(INDEX('Retirement Calculator'!J:J,MATCH('Isaac 401k'!N3376,'Retirement Calculator'!A:A,0),0),0)</f>
        <v>0</v>
      </c>
      <c r="K3376" s="444">
        <f t="shared" ca="1" si="166"/>
        <v>-1442651169.9634175</v>
      </c>
      <c r="L3376" s="444">
        <f t="shared" ca="1" si="167"/>
        <v>-347678931961.18365</v>
      </c>
      <c r="M3376" s="460">
        <f t="shared" si="169"/>
        <v>0.05</v>
      </c>
      <c r="N3376" s="464">
        <f t="shared" si="170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68"/>
        <v>-347678931961.18365</v>
      </c>
      <c r="J3377" s="444">
        <f t="array" ref="J3377">IFERROR(INDEX('Retirement Calculator'!J:J,MATCH('Isaac 401k'!N3377,'Retirement Calculator'!A:A,0),0),0)</f>
        <v>0</v>
      </c>
      <c r="K3377" s="444">
        <f t="shared" ca="1" si="166"/>
        <v>-1448662216.5049319</v>
      </c>
      <c r="L3377" s="444">
        <f t="shared" ca="1" si="167"/>
        <v>-349127594177.6886</v>
      </c>
      <c r="M3377" s="460">
        <f t="shared" si="169"/>
        <v>0.05</v>
      </c>
      <c r="N3377" s="464">
        <f t="shared" si="170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68"/>
        <v>-349127594177.6886</v>
      </c>
      <c r="J3378" s="444">
        <f t="array" ref="J3378">IFERROR(INDEX('Retirement Calculator'!J:J,MATCH('Isaac 401k'!N3378,'Retirement Calculator'!A:A,0),0),0)</f>
        <v>0</v>
      </c>
      <c r="K3378" s="444">
        <f t="shared" ca="1" si="166"/>
        <v>-1454698309.0737026</v>
      </c>
      <c r="L3378" s="444">
        <f t="shared" ca="1" si="167"/>
        <v>-350582292486.76233</v>
      </c>
      <c r="M3378" s="460">
        <f t="shared" si="169"/>
        <v>0.05</v>
      </c>
      <c r="N3378" s="464">
        <f t="shared" si="170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68"/>
        <v>-350582292486.76233</v>
      </c>
      <c r="J3379" s="444">
        <f t="array" ref="J3379">IFERROR(INDEX('Retirement Calculator'!J:J,MATCH('Isaac 401k'!N3379,'Retirement Calculator'!A:A,0),0),0)</f>
        <v>0</v>
      </c>
      <c r="K3379" s="444">
        <f t="shared" ca="1" si="166"/>
        <v>-1460759552.0281763</v>
      </c>
      <c r="L3379" s="444">
        <f t="shared" ca="1" si="167"/>
        <v>-352043052038.79053</v>
      </c>
      <c r="M3379" s="460">
        <f t="shared" si="169"/>
        <v>0.05</v>
      </c>
      <c r="N3379" s="464">
        <f t="shared" si="170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68"/>
        <v>-352043052038.79053</v>
      </c>
      <c r="J3380" s="444">
        <f t="array" ref="J3380">IFERROR(INDEX('Retirement Calculator'!J:J,MATCH('Isaac 401k'!N3380,'Retirement Calculator'!A:A,0),0),0)</f>
        <v>0</v>
      </c>
      <c r="K3380" s="444">
        <f t="shared" ca="1" si="166"/>
        <v>-1466846050.1616273</v>
      </c>
      <c r="L3380" s="444">
        <f t="shared" ca="1" si="167"/>
        <v>-353509898088.95215</v>
      </c>
      <c r="M3380" s="460">
        <f t="shared" si="169"/>
        <v>0.05</v>
      </c>
      <c r="N3380" s="464">
        <f t="shared" si="170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68"/>
        <v>-353509898088.95215</v>
      </c>
      <c r="J3381" s="444">
        <f t="array" ref="J3381">IFERROR(INDEX('Retirement Calculator'!J:J,MATCH('Isaac 401k'!N3381,'Retirement Calculator'!A:A,0),0),0)</f>
        <v>0</v>
      </c>
      <c r="K3381" s="444">
        <f t="shared" ca="1" si="166"/>
        <v>-1472957908.7039673</v>
      </c>
      <c r="L3381" s="444">
        <f t="shared" ca="1" si="167"/>
        <v>-354982855997.65613</v>
      </c>
      <c r="M3381" s="460">
        <f t="shared" si="169"/>
        <v>0.05</v>
      </c>
      <c r="N3381" s="464">
        <f t="shared" si="170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68"/>
        <v>-354982855997.65613</v>
      </c>
      <c r="J3382" s="444">
        <f t="array" ref="J3382">IFERROR(INDEX('Retirement Calculator'!J:J,MATCH('Isaac 401k'!N3382,'Retirement Calculator'!A:A,0),0),0)</f>
        <v>0</v>
      </c>
      <c r="K3382" s="444">
        <f t="shared" ca="1" si="166"/>
        <v>-1479095233.3235672</v>
      </c>
      <c r="L3382" s="444">
        <f t="shared" ca="1" si="167"/>
        <v>-356461951230.97968</v>
      </c>
      <c r="M3382" s="460">
        <f t="shared" si="169"/>
        <v>0.05</v>
      </c>
      <c r="N3382" s="464">
        <f t="shared" si="170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68"/>
        <v>-356461951230.97968</v>
      </c>
      <c r="J3383" s="444">
        <f t="array" ref="J3383">IFERROR(INDEX('Retirement Calculator'!J:J,MATCH('Isaac 401k'!N3383,'Retirement Calculator'!A:A,0),0),0)</f>
        <v>0</v>
      </c>
      <c r="K3383" s="444">
        <f t="shared" ca="1" si="166"/>
        <v>-1485258130.129082</v>
      </c>
      <c r="L3383" s="444">
        <f t="shared" ca="1" si="167"/>
        <v>-357947209361.10876</v>
      </c>
      <c r="M3383" s="460">
        <f t="shared" si="169"/>
        <v>0.05</v>
      </c>
      <c r="N3383" s="464">
        <f t="shared" si="170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68"/>
        <v>-357947209361.10876</v>
      </c>
      <c r="J3384" s="444">
        <f t="array" ref="J3384">IFERROR(INDEX('Retirement Calculator'!J:J,MATCH('Isaac 401k'!N3384,'Retirement Calculator'!A:A,0),0),0)</f>
        <v>0</v>
      </c>
      <c r="K3384" s="444">
        <f t="shared" ca="1" si="166"/>
        <v>-1491446705.6712866</v>
      </c>
      <c r="L3384" s="444">
        <f t="shared" ca="1" si="167"/>
        <v>-359438656066.78003</v>
      </c>
      <c r="M3384" s="460">
        <f t="shared" si="169"/>
        <v>0.05</v>
      </c>
      <c r="N3384" s="464">
        <f t="shared" si="170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68"/>
        <v>-359438656066.78003</v>
      </c>
      <c r="J3385" s="444">
        <f t="array" ref="J3385">IFERROR(INDEX('Retirement Calculator'!J:J,MATCH('Isaac 401k'!N3385,'Retirement Calculator'!A:A,0),0),0)</f>
        <v>0</v>
      </c>
      <c r="K3385" s="444">
        <f t="shared" ca="1" si="166"/>
        <v>-1497661066.9449167</v>
      </c>
      <c r="L3385" s="444">
        <f t="shared" ca="1" si="167"/>
        <v>-360936317133.72498</v>
      </c>
      <c r="M3385" s="460">
        <f t="shared" si="169"/>
        <v>0.05</v>
      </c>
      <c r="N3385" s="464">
        <f t="shared" si="170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68"/>
        <v>-360936317133.72498</v>
      </c>
      <c r="J3386" s="444">
        <f t="array" ref="J3386">IFERROR(INDEX('Retirement Calculator'!J:J,MATCH('Isaac 401k'!N3386,'Retirement Calculator'!A:A,0),0),0)</f>
        <v>0</v>
      </c>
      <c r="K3386" s="444">
        <f t="shared" ca="1" si="166"/>
        <v>-1503901321.3905208</v>
      </c>
      <c r="L3386" s="444">
        <f t="shared" ca="1" si="167"/>
        <v>-362440218455.11548</v>
      </c>
      <c r="M3386" s="460">
        <f t="shared" si="169"/>
        <v>0.05</v>
      </c>
      <c r="N3386" s="464">
        <f t="shared" si="170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68"/>
        <v>-362440218455.11548</v>
      </c>
      <c r="J3387" s="444">
        <f t="array" ref="J3387">IFERROR(INDEX('Retirement Calculator'!J:J,MATCH('Isaac 401k'!N3387,'Retirement Calculator'!A:A,0),0),0)</f>
        <v>0</v>
      </c>
      <c r="K3387" s="444">
        <f t="shared" ca="1" si="166"/>
        <v>-1510167576.8963144</v>
      </c>
      <c r="L3387" s="444">
        <f t="shared" ca="1" si="167"/>
        <v>-363950386032.01178</v>
      </c>
      <c r="M3387" s="460">
        <f t="shared" si="169"/>
        <v>0.05</v>
      </c>
      <c r="N3387" s="464">
        <f t="shared" si="170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68"/>
        <v>-363950386032.01178</v>
      </c>
      <c r="J3388" s="444">
        <f t="array" ref="J3388">IFERROR(INDEX('Retirement Calculator'!J:J,MATCH('Isaac 401k'!N3388,'Retirement Calculator'!A:A,0),0),0)</f>
        <v>0</v>
      </c>
      <c r="K3388" s="444">
        <f t="shared" ca="1" si="166"/>
        <v>-1516459941.8000491</v>
      </c>
      <c r="L3388" s="444">
        <f t="shared" ca="1" si="167"/>
        <v>-365466845973.81183</v>
      </c>
      <c r="M3388" s="460">
        <f t="shared" si="169"/>
        <v>0.05</v>
      </c>
      <c r="N3388" s="464">
        <f t="shared" si="170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68"/>
        <v>-365466845973.81183</v>
      </c>
      <c r="J3389" s="444">
        <f t="array" ref="J3389">IFERROR(INDEX('Retirement Calculator'!J:J,MATCH('Isaac 401k'!N3389,'Retirement Calculator'!A:A,0),0),0)</f>
        <v>0</v>
      </c>
      <c r="K3389" s="444">
        <f t="shared" ca="1" si="166"/>
        <v>-1522778524.8908825</v>
      </c>
      <c r="L3389" s="444">
        <f t="shared" ca="1" si="167"/>
        <v>-366989624498.7027</v>
      </c>
      <c r="M3389" s="460">
        <f t="shared" si="169"/>
        <v>0.05</v>
      </c>
      <c r="N3389" s="464">
        <f t="shared" si="170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68"/>
        <v>-366989624498.7027</v>
      </c>
      <c r="J3390" s="444">
        <f t="array" ref="J3390">IFERROR(INDEX('Retirement Calculator'!J:J,MATCH('Isaac 401k'!N3390,'Retirement Calculator'!A:A,0),0),0)</f>
        <v>0</v>
      </c>
      <c r="K3390" s="444">
        <f t="shared" ca="1" si="166"/>
        <v>-1529123435.4112613</v>
      </c>
      <c r="L3390" s="444">
        <f t="shared" ca="1" si="167"/>
        <v>-368518747934.11395</v>
      </c>
      <c r="M3390" s="460">
        <f t="shared" si="169"/>
        <v>0.05</v>
      </c>
      <c r="N3390" s="464">
        <f t="shared" si="170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68"/>
        <v>-368518747934.11395</v>
      </c>
      <c r="J3391" s="444">
        <f t="array" ref="J3391">IFERROR(INDEX('Retirement Calculator'!J:J,MATCH('Isaac 401k'!N3391,'Retirement Calculator'!A:A,0),0),0)</f>
        <v>0</v>
      </c>
      <c r="K3391" s="444">
        <f t="shared" ca="1" si="166"/>
        <v>-1535494783.0588081</v>
      </c>
      <c r="L3391" s="444">
        <f t="shared" ca="1" si="167"/>
        <v>-370054242717.17279</v>
      </c>
      <c r="M3391" s="460">
        <f t="shared" si="169"/>
        <v>0.05</v>
      </c>
      <c r="N3391" s="464">
        <f t="shared" si="170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68"/>
        <v>-370054242717.17279</v>
      </c>
      <c r="J3392" s="444">
        <f t="array" ref="J3392">IFERROR(INDEX('Retirement Calculator'!J:J,MATCH('Isaac 401k'!N3392,'Retirement Calculator'!A:A,0),0),0)</f>
        <v>0</v>
      </c>
      <c r="K3392" s="444">
        <f t="shared" ca="1" si="166"/>
        <v>-1541892677.98822</v>
      </c>
      <c r="L3392" s="444">
        <f t="shared" ca="1" si="167"/>
        <v>-371596135395.16101</v>
      </c>
      <c r="M3392" s="460">
        <f t="shared" si="169"/>
        <v>0.05</v>
      </c>
      <c r="N3392" s="464">
        <f t="shared" si="170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68"/>
        <v>-371596135395.16101</v>
      </c>
      <c r="J3393" s="444">
        <f t="array" ref="J3393">IFERROR(INDEX('Retirement Calculator'!J:J,MATCH('Isaac 401k'!N3393,'Retirement Calculator'!A:A,0),0),0)</f>
        <v>0</v>
      </c>
      <c r="K3393" s="444">
        <f t="shared" ca="1" si="166"/>
        <v>-1548317230.8131709</v>
      </c>
      <c r="L3393" s="444">
        <f t="shared" ca="1" si="167"/>
        <v>-373144452625.97418</v>
      </c>
      <c r="M3393" s="460">
        <f t="shared" si="169"/>
        <v>0.05</v>
      </c>
      <c r="N3393" s="464">
        <f t="shared" si="170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68"/>
        <v>-373144452625.97418</v>
      </c>
      <c r="J3394" s="444">
        <f t="array" ref="J3394">IFERROR(INDEX('Retirement Calculator'!J:J,MATCH('Isaac 401k'!N3394,'Retirement Calculator'!A:A,0),0),0)</f>
        <v>0</v>
      </c>
      <c r="K3394" s="444">
        <f t="shared" ca="1" si="166"/>
        <v>-1554768552.6082258</v>
      </c>
      <c r="L3394" s="444">
        <f t="shared" ca="1" si="167"/>
        <v>-374699221178.5824</v>
      </c>
      <c r="M3394" s="460">
        <f t="shared" si="169"/>
        <v>0.05</v>
      </c>
      <c r="N3394" s="464">
        <f t="shared" si="170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68"/>
        <v>-374699221178.5824</v>
      </c>
      <c r="J3395" s="444">
        <f t="array" ref="J3395">IFERROR(INDEX('Retirement Calculator'!J:J,MATCH('Isaac 401k'!N3395,'Retirement Calculator'!A:A,0),0),0)</f>
        <v>0</v>
      </c>
      <c r="K3395" s="444">
        <f t="shared" ca="1" si="166"/>
        <v>-1561246754.9107599</v>
      </c>
      <c r="L3395" s="444">
        <f t="shared" ca="1" si="167"/>
        <v>-376260467933.49316</v>
      </c>
      <c r="M3395" s="460">
        <f t="shared" si="169"/>
        <v>0.05</v>
      </c>
      <c r="N3395" s="464">
        <f t="shared" si="170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68"/>
        <v>-376260467933.49316</v>
      </c>
      <c r="J3396" s="444">
        <f t="array" ref="J3396">IFERROR(INDEX('Retirement Calculator'!J:J,MATCH('Isaac 401k'!N3396,'Retirement Calculator'!A:A,0),0),0)</f>
        <v>0</v>
      </c>
      <c r="K3396" s="444">
        <f t="shared" ca="1" si="166"/>
        <v>-1567751949.7228882</v>
      </c>
      <c r="L3396" s="444">
        <f t="shared" ca="1" si="167"/>
        <v>-377828219883.21606</v>
      </c>
      <c r="M3396" s="460">
        <f t="shared" si="169"/>
        <v>0.05</v>
      </c>
      <c r="N3396" s="464">
        <f t="shared" si="170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68"/>
        <v>-377828219883.21606</v>
      </c>
      <c r="J3397" s="444">
        <f t="array" ref="J3397">IFERROR(INDEX('Retirement Calculator'!J:J,MATCH('Isaac 401k'!N3397,'Retirement Calculator'!A:A,0),0),0)</f>
        <v>0</v>
      </c>
      <c r="K3397" s="444">
        <f t="shared" ca="1" si="166"/>
        <v>-1574284249.5134003</v>
      </c>
      <c r="L3397" s="444">
        <f t="shared" ca="1" si="167"/>
        <v>-379402504132.72949</v>
      </c>
      <c r="M3397" s="460">
        <f t="shared" si="169"/>
        <v>0.05</v>
      </c>
      <c r="N3397" s="464">
        <f t="shared" si="170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68"/>
        <v>-379402504132.72949</v>
      </c>
      <c r="J3398" s="444">
        <f t="array" ref="J3398">IFERROR(INDEX('Retirement Calculator'!J:J,MATCH('Isaac 401k'!N3398,'Retirement Calculator'!A:A,0),0),0)</f>
        <v>0</v>
      </c>
      <c r="K3398" s="444">
        <f t="shared" ca="1" si="166"/>
        <v>-1580843767.2197063</v>
      </c>
      <c r="L3398" s="444">
        <f t="shared" ca="1" si="167"/>
        <v>-380983347899.94922</v>
      </c>
      <c r="M3398" s="460">
        <f t="shared" si="169"/>
        <v>0.05</v>
      </c>
      <c r="N3398" s="464">
        <f t="shared" si="170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68"/>
        <v>-380983347899.94922</v>
      </c>
      <c r="J3399" s="444">
        <f t="array" ref="J3399">IFERROR(INDEX('Retirement Calculator'!J:J,MATCH('Isaac 401k'!N3399,'Retirement Calculator'!A:A,0),0),0)</f>
        <v>0</v>
      </c>
      <c r="K3399" s="444">
        <f t="shared" ca="1" si="166"/>
        <v>-1587430616.2497883</v>
      </c>
      <c r="L3399" s="444">
        <f t="shared" ca="1" si="167"/>
        <v>-382570778516.19904</v>
      </c>
      <c r="M3399" s="460">
        <f t="shared" si="169"/>
        <v>0.05</v>
      </c>
      <c r="N3399" s="464">
        <f t="shared" si="170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68"/>
        <v>-382570778516.19904</v>
      </c>
      <c r="J3400" s="444">
        <f t="array" ref="J3400">IFERROR(INDEX('Retirement Calculator'!J:J,MATCH('Isaac 401k'!N3400,'Retirement Calculator'!A:A,0),0),0)</f>
        <v>0</v>
      </c>
      <c r="K3400" s="444">
        <f t="shared" ca="1" si="166"/>
        <v>-1594044910.4841626</v>
      </c>
      <c r="L3400" s="444">
        <f t="shared" ca="1" si="167"/>
        <v>-384164823426.68323</v>
      </c>
      <c r="M3400" s="460">
        <f t="shared" si="169"/>
        <v>0.05</v>
      </c>
      <c r="N3400" s="464">
        <f t="shared" si="170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68"/>
        <v>-384164823426.68323</v>
      </c>
      <c r="J3401" s="444">
        <f t="array" ref="J3401">IFERROR(INDEX('Retirement Calculator'!J:J,MATCH('Isaac 401k'!N3401,'Retirement Calculator'!A:A,0),0),0)</f>
        <v>0</v>
      </c>
      <c r="K3401" s="444">
        <f t="shared" ca="1" si="166"/>
        <v>-1600686764.2778468</v>
      </c>
      <c r="L3401" s="444">
        <f t="shared" ca="1" si="167"/>
        <v>-385765510190.96106</v>
      </c>
      <c r="M3401" s="460">
        <f t="shared" si="169"/>
        <v>0.05</v>
      </c>
      <c r="N3401" s="464">
        <f t="shared" si="170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68"/>
        <v>-385765510190.96106</v>
      </c>
      <c r="J3402" s="444">
        <f t="array" ref="J3402">IFERROR(INDEX('Retirement Calculator'!J:J,MATCH('Isaac 401k'!N3402,'Retirement Calculator'!A:A,0),0),0)</f>
        <v>0</v>
      </c>
      <c r="K3402" s="444">
        <f t="shared" ca="1" si="166"/>
        <v>-1607356292.4623377</v>
      </c>
      <c r="L3402" s="444">
        <f t="shared" ca="1" si="167"/>
        <v>-387372866483.4234</v>
      </c>
      <c r="M3402" s="460">
        <f t="shared" si="169"/>
        <v>0.05</v>
      </c>
      <c r="N3402" s="464">
        <f t="shared" si="170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68"/>
        <v>-387372866483.4234</v>
      </c>
      <c r="J3403" s="444">
        <f t="array" ref="J3403">IFERROR(INDEX('Retirement Calculator'!J:J,MATCH('Isaac 401k'!N3403,'Retirement Calculator'!A:A,0),0),0)</f>
        <v>0</v>
      </c>
      <c r="K3403" s="444">
        <f t="shared" ca="1" si="166"/>
        <v>-1614053610.3475976</v>
      </c>
      <c r="L3403" s="444">
        <f t="shared" ca="1" si="167"/>
        <v>-388986920093.771</v>
      </c>
      <c r="M3403" s="460">
        <f t="shared" si="169"/>
        <v>0.05</v>
      </c>
      <c r="N3403" s="464">
        <f t="shared" si="170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68"/>
        <v>-388986920093.771</v>
      </c>
      <c r="J3404" s="444">
        <f t="array" ref="J3404">IFERROR(INDEX('Retirement Calculator'!J:J,MATCH('Isaac 401k'!N3404,'Retirement Calculator'!A:A,0),0),0)</f>
        <v>0</v>
      </c>
      <c r="K3404" s="444">
        <f t="shared" ca="1" si="166"/>
        <v>-1620778833.7240458</v>
      </c>
      <c r="L3404" s="444">
        <f t="shared" ca="1" si="167"/>
        <v>-390607698927.49506</v>
      </c>
      <c r="M3404" s="460">
        <f t="shared" si="169"/>
        <v>0.05</v>
      </c>
      <c r="N3404" s="464">
        <f t="shared" si="170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68"/>
        <v>-390607698927.49506</v>
      </c>
      <c r="J3405" s="444">
        <f t="array" ref="J3405">IFERROR(INDEX('Retirement Calculator'!J:J,MATCH('Isaac 401k'!N3405,'Retirement Calculator'!A:A,0),0),0)</f>
        <v>0</v>
      </c>
      <c r="K3405" s="444">
        <f t="shared" ca="1" si="166"/>
        <v>-1627532078.8645627</v>
      </c>
      <c r="L3405" s="444">
        <f t="shared" ca="1" si="167"/>
        <v>-392235231006.35962</v>
      </c>
      <c r="M3405" s="460">
        <f t="shared" si="169"/>
        <v>0.05</v>
      </c>
      <c r="N3405" s="464">
        <f t="shared" si="170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68"/>
        <v>-392235231006.35962</v>
      </c>
      <c r="J3406" s="444">
        <f t="array" ref="J3406">IFERROR(INDEX('Retirement Calculator'!J:J,MATCH('Isaac 401k'!N3406,'Retirement Calculator'!A:A,0),0),0)</f>
        <v>0</v>
      </c>
      <c r="K3406" s="444">
        <f t="shared" ca="1" si="166"/>
        <v>-1634313462.5264983</v>
      </c>
      <c r="L3406" s="444">
        <f t="shared" ca="1" si="167"/>
        <v>-393869544468.88611</v>
      </c>
      <c r="M3406" s="460">
        <f t="shared" si="169"/>
        <v>0.05</v>
      </c>
      <c r="N3406" s="464">
        <f t="shared" si="170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68"/>
        <v>-393869544468.88611</v>
      </c>
      <c r="J3407" s="444">
        <f t="array" ref="J3407">IFERROR(INDEX('Retirement Calculator'!J:J,MATCH('Isaac 401k'!N3407,'Retirement Calculator'!A:A,0),0),0)</f>
        <v>0</v>
      </c>
      <c r="K3407" s="444">
        <f t="shared" ca="1" si="166"/>
        <v>-1641123101.9536922</v>
      </c>
      <c r="L3407" s="444">
        <f t="shared" ca="1" si="167"/>
        <v>-395510667570.83978</v>
      </c>
      <c r="M3407" s="460">
        <f t="shared" si="169"/>
        <v>0.05</v>
      </c>
      <c r="N3407" s="464">
        <f t="shared" si="170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68"/>
        <v>-395510667570.83978</v>
      </c>
      <c r="J3408" s="444">
        <f t="array" ref="J3408">IFERROR(INDEX('Retirement Calculator'!J:J,MATCH('Isaac 401k'!N3408,'Retirement Calculator'!A:A,0),0),0)</f>
        <v>0</v>
      </c>
      <c r="K3408" s="444">
        <f t="shared" ca="1" si="166"/>
        <v>-1647961114.878499</v>
      </c>
      <c r="L3408" s="444">
        <f t="shared" ca="1" si="167"/>
        <v>-397158628685.71826</v>
      </c>
      <c r="M3408" s="460">
        <f t="shared" si="169"/>
        <v>0.05</v>
      </c>
      <c r="N3408" s="464">
        <f t="shared" si="170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68"/>
        <v>-397158628685.71826</v>
      </c>
      <c r="J3409" s="444">
        <f t="array" ref="J3409">IFERROR(INDEX('Retirement Calculator'!J:J,MATCH('Isaac 401k'!N3409,'Retirement Calculator'!A:A,0),0),0)</f>
        <v>0</v>
      </c>
      <c r="K3409" s="444">
        <f t="shared" ca="1" si="166"/>
        <v>-1654827619.5238261</v>
      </c>
      <c r="L3409" s="444">
        <f t="shared" ca="1" si="167"/>
        <v>-398813456305.24207</v>
      </c>
      <c r="M3409" s="460">
        <f t="shared" si="169"/>
        <v>0.05</v>
      </c>
      <c r="N3409" s="464">
        <f t="shared" si="170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68"/>
        <v>-398813456305.24207</v>
      </c>
      <c r="J3410" s="444">
        <f t="array" ref="J3410">IFERROR(INDEX('Retirement Calculator'!J:J,MATCH('Isaac 401k'!N3410,'Retirement Calculator'!A:A,0),0),0)</f>
        <v>0</v>
      </c>
      <c r="K3410" s="444">
        <f t="shared" ca="1" si="166"/>
        <v>-1661722734.6051753</v>
      </c>
      <c r="L3410" s="444">
        <f t="shared" ca="1" si="167"/>
        <v>-400475179039.84723</v>
      </c>
      <c r="M3410" s="460">
        <f t="shared" si="169"/>
        <v>0.05</v>
      </c>
      <c r="N3410" s="464">
        <f t="shared" si="170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68"/>
        <v>-400475179039.84723</v>
      </c>
      <c r="J3411" s="444">
        <f t="array" ref="J3411">IFERROR(INDEX('Retirement Calculator'!J:J,MATCH('Isaac 401k'!N3411,'Retirement Calculator'!A:A,0),0),0)</f>
        <v>0</v>
      </c>
      <c r="K3411" s="444">
        <f t="shared" ca="1" si="166"/>
        <v>-1668646579.3326967</v>
      </c>
      <c r="L3411" s="444">
        <f t="shared" ca="1" si="167"/>
        <v>-402143825619.17993</v>
      </c>
      <c r="M3411" s="460">
        <f t="shared" si="169"/>
        <v>0.05</v>
      </c>
      <c r="N3411" s="464">
        <f t="shared" si="170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68"/>
        <v>-402143825619.17993</v>
      </c>
      <c r="J3412" s="444">
        <f t="array" ref="J3412">IFERROR(INDEX('Retirement Calculator'!J:J,MATCH('Isaac 401k'!N3412,'Retirement Calculator'!A:A,0),0),0)</f>
        <v>0</v>
      </c>
      <c r="K3412" s="444">
        <f t="shared" ca="1" si="166"/>
        <v>-1675599273.4132497</v>
      </c>
      <c r="L3412" s="444">
        <f t="shared" ca="1" si="167"/>
        <v>-403819424892.5932</v>
      </c>
      <c r="M3412" s="460">
        <f t="shared" si="169"/>
        <v>0.05</v>
      </c>
      <c r="N3412" s="464">
        <f t="shared" si="170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68"/>
        <v>-403819424892.5932</v>
      </c>
      <c r="J3413" s="444">
        <f t="array" ref="J3413">IFERROR(INDEX('Retirement Calculator'!J:J,MATCH('Isaac 401k'!N3413,'Retirement Calculator'!A:A,0),0),0)</f>
        <v>0</v>
      </c>
      <c r="K3413" s="444">
        <f t="shared" ca="1" si="166"/>
        <v>-1682580937.0524716</v>
      </c>
      <c r="L3413" s="444">
        <f t="shared" ca="1" si="167"/>
        <v>-405502005829.64569</v>
      </c>
      <c r="M3413" s="460">
        <f t="shared" si="169"/>
        <v>0.05</v>
      </c>
      <c r="N3413" s="464">
        <f t="shared" si="170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68"/>
        <v>-405502005829.64569</v>
      </c>
      <c r="J3414" s="444">
        <f t="array" ref="J3414">IFERROR(INDEX('Retirement Calculator'!J:J,MATCH('Isaac 401k'!N3414,'Retirement Calculator'!A:A,0),0),0)</f>
        <v>0</v>
      </c>
      <c r="K3414" s="444">
        <f t="shared" ca="1" si="166"/>
        <v>-1689591690.956857</v>
      </c>
      <c r="L3414" s="444">
        <f t="shared" ca="1" si="167"/>
        <v>-407191597520.60254</v>
      </c>
      <c r="M3414" s="460">
        <f t="shared" si="169"/>
        <v>0.05</v>
      </c>
      <c r="N3414" s="464">
        <f t="shared" si="170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68"/>
        <v>-407191597520.60254</v>
      </c>
      <c r="J3415" s="444">
        <f t="array" ref="J3415">IFERROR(INDEX('Retirement Calculator'!J:J,MATCH('Isaac 401k'!N3415,'Retirement Calculator'!A:A,0),0),0)</f>
        <v>0</v>
      </c>
      <c r="K3415" s="444">
        <f t="shared" ca="1" si="166"/>
        <v>-1696631656.3358438</v>
      </c>
      <c r="L3415" s="444">
        <f t="shared" ca="1" si="167"/>
        <v>-408888229176.93835</v>
      </c>
      <c r="M3415" s="460">
        <f t="shared" si="169"/>
        <v>0.05</v>
      </c>
      <c r="N3415" s="464">
        <f t="shared" si="170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68"/>
        <v>-408888229176.93835</v>
      </c>
      <c r="J3416" s="444">
        <f t="array" ref="J3416">IFERROR(INDEX('Retirement Calculator'!J:J,MATCH('Isaac 401k'!N3416,'Retirement Calculator'!A:A,0),0),0)</f>
        <v>0</v>
      </c>
      <c r="K3416" s="444">
        <f t="shared" ca="1" si="166"/>
        <v>-1703700954.9039097</v>
      </c>
      <c r="L3416" s="444">
        <f t="shared" ca="1" si="167"/>
        <v>-410591930131.84229</v>
      </c>
      <c r="M3416" s="460">
        <f t="shared" si="169"/>
        <v>0.05</v>
      </c>
      <c r="N3416" s="464">
        <f t="shared" si="170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68"/>
        <v>-410591930131.84229</v>
      </c>
      <c r="J3417" s="444">
        <f t="array" ref="J3417">IFERROR(INDEX('Retirement Calculator'!J:J,MATCH('Isaac 401k'!N3417,'Retirement Calculator'!A:A,0),0),0)</f>
        <v>0</v>
      </c>
      <c r="K3417" s="444">
        <f t="shared" ca="1" si="166"/>
        <v>-1710799708.8826761</v>
      </c>
      <c r="L3417" s="444">
        <f t="shared" ca="1" si="167"/>
        <v>-412302729840.72498</v>
      </c>
      <c r="M3417" s="460">
        <f t="shared" si="169"/>
        <v>0.05</v>
      </c>
      <c r="N3417" s="464">
        <f t="shared" si="170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68"/>
        <v>-412302729840.72498</v>
      </c>
      <c r="J3418" s="444">
        <f t="array" ref="J3418">IFERROR(INDEX('Retirement Calculator'!J:J,MATCH('Isaac 401k'!N3418,'Retirement Calculator'!A:A,0),0),0)</f>
        <v>0</v>
      </c>
      <c r="K3418" s="444">
        <f t="shared" ca="1" si="166"/>
        <v>-1717928041.0030208</v>
      </c>
      <c r="L3418" s="444">
        <f t="shared" ca="1" si="167"/>
        <v>-414020657881.72797</v>
      </c>
      <c r="M3418" s="460">
        <f t="shared" si="169"/>
        <v>0.05</v>
      </c>
      <c r="N3418" s="464">
        <f t="shared" si="170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68"/>
        <v>-414020657881.72797</v>
      </c>
      <c r="J3419" s="444">
        <f t="array" ref="J3419">IFERROR(INDEX('Retirement Calculator'!J:J,MATCH('Isaac 401k'!N3419,'Retirement Calculator'!A:A,0),0),0)</f>
        <v>0</v>
      </c>
      <c r="K3419" s="444">
        <f t="shared" ca="1" si="166"/>
        <v>-1725086074.5071998</v>
      </c>
      <c r="L3419" s="444">
        <f t="shared" ca="1" si="167"/>
        <v>-415745743956.23517</v>
      </c>
      <c r="M3419" s="460">
        <f t="shared" si="169"/>
        <v>0.05</v>
      </c>
      <c r="N3419" s="464">
        <f t="shared" si="170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68"/>
        <v>-415745743956.23517</v>
      </c>
      <c r="J3420" s="444">
        <f t="array" ref="J3420">IFERROR(INDEX('Retirement Calculator'!J:J,MATCH('Isaac 401k'!N3420,'Retirement Calculator'!A:A,0),0),0)</f>
        <v>0</v>
      </c>
      <c r="K3420" s="444">
        <f t="shared" ca="1" si="166"/>
        <v>-1732273933.1509798</v>
      </c>
      <c r="L3420" s="444">
        <f t="shared" ca="1" si="167"/>
        <v>-417478017889.38617</v>
      </c>
      <c r="M3420" s="460">
        <f t="shared" si="169"/>
        <v>0.05</v>
      </c>
      <c r="N3420" s="464">
        <f t="shared" si="170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68"/>
        <v>-417478017889.38617</v>
      </c>
      <c r="J3421" s="444">
        <f t="array" ref="J3421">IFERROR(INDEX('Retirement Calculator'!J:J,MATCH('Isaac 401k'!N3421,'Retirement Calculator'!A:A,0),0),0)</f>
        <v>0</v>
      </c>
      <c r="K3421" s="444">
        <f t="shared" ca="1" si="166"/>
        <v>-1739491741.2057757</v>
      </c>
      <c r="L3421" s="444">
        <f t="shared" ca="1" si="167"/>
        <v>-419217509630.59192</v>
      </c>
      <c r="M3421" s="460">
        <f t="shared" si="169"/>
        <v>0.05</v>
      </c>
      <c r="N3421" s="464">
        <f t="shared" si="170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68"/>
        <v>-419217509630.59192</v>
      </c>
      <c r="J3422" s="444">
        <f t="array" ref="J3422">IFERROR(INDEX('Retirement Calculator'!J:J,MATCH('Isaac 401k'!N3422,'Retirement Calculator'!A:A,0),0),0)</f>
        <v>0</v>
      </c>
      <c r="K3422" s="444">
        <f t="shared" ca="1" si="166"/>
        <v>-1746739623.4607997</v>
      </c>
      <c r="L3422" s="444">
        <f t="shared" ca="1" si="167"/>
        <v>-420964249254.05273</v>
      </c>
      <c r="M3422" s="460">
        <f t="shared" si="169"/>
        <v>0.05</v>
      </c>
      <c r="N3422" s="464">
        <f t="shared" si="170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68"/>
        <v>-420964249254.05273</v>
      </c>
      <c r="J3423" s="444">
        <f t="array" ref="J3423">IFERROR(INDEX('Retirement Calculator'!J:J,MATCH('Isaac 401k'!N3423,'Retirement Calculator'!A:A,0),0),0)</f>
        <v>0</v>
      </c>
      <c r="K3423" s="444">
        <f t="shared" ca="1" si="166"/>
        <v>-1754017705.2252197</v>
      </c>
      <c r="L3423" s="444">
        <f t="shared" ca="1" si="167"/>
        <v>-422718266959.27795</v>
      </c>
      <c r="M3423" s="460">
        <f t="shared" si="169"/>
        <v>0.05</v>
      </c>
      <c r="N3423" s="464">
        <f t="shared" si="170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68"/>
        <v>-422718266959.27795</v>
      </c>
      <c r="J3424" s="444">
        <f t="array" ref="J3424">IFERROR(INDEX('Retirement Calculator'!J:J,MATCH('Isaac 401k'!N3424,'Retirement Calculator'!A:A,0),0),0)</f>
        <v>0</v>
      </c>
      <c r="K3424" s="444">
        <f t="shared" ca="1" si="166"/>
        <v>-1761326112.3303249</v>
      </c>
      <c r="L3424" s="444">
        <f t="shared" ca="1" si="167"/>
        <v>-424479593071.60828</v>
      </c>
      <c r="M3424" s="460">
        <f t="shared" si="169"/>
        <v>0.05</v>
      </c>
      <c r="N3424" s="464">
        <f t="shared" si="170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68"/>
        <v>-424479593071.60828</v>
      </c>
      <c r="J3425" s="444">
        <f t="array" ref="J3425">IFERROR(INDEX('Retirement Calculator'!J:J,MATCH('Isaac 401k'!N3425,'Retirement Calculator'!A:A,0),0),0)</f>
        <v>0</v>
      </c>
      <c r="K3425" s="444">
        <f t="shared" ca="1" si="166"/>
        <v>-1768664971.1317012</v>
      </c>
      <c r="L3425" s="444">
        <f t="shared" ca="1" si="167"/>
        <v>-426248258042.73999</v>
      </c>
      <c r="M3425" s="460">
        <f t="shared" si="169"/>
        <v>0.05</v>
      </c>
      <c r="N3425" s="464">
        <f t="shared" si="170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68"/>
        <v>-426248258042.73999</v>
      </c>
      <c r="J3426" s="444">
        <f t="array" ref="J3426">IFERROR(INDEX('Retirement Calculator'!J:J,MATCH('Isaac 401k'!N3426,'Retirement Calculator'!A:A,0),0),0)</f>
        <v>0</v>
      </c>
      <c r="K3426" s="444">
        <f t="shared" ca="1" si="166"/>
        <v>-1776034408.5114167</v>
      </c>
      <c r="L3426" s="444">
        <f t="shared" ca="1" si="167"/>
        <v>-428024292451.2514</v>
      </c>
      <c r="M3426" s="460">
        <f t="shared" si="169"/>
        <v>0.05</v>
      </c>
      <c r="N3426" s="464">
        <f t="shared" si="170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68"/>
        <v>-428024292451.2514</v>
      </c>
      <c r="J3427" s="444">
        <f t="array" ref="J3427">IFERROR(INDEX('Retirement Calculator'!J:J,MATCH('Isaac 401k'!N3427,'Retirement Calculator'!A:A,0),0),0)</f>
        <v>0</v>
      </c>
      <c r="K3427" s="444">
        <f t="shared" ca="1" si="166"/>
        <v>-1783434551.8802142</v>
      </c>
      <c r="L3427" s="444">
        <f t="shared" ca="1" si="167"/>
        <v>-429807727003.13159</v>
      </c>
      <c r="M3427" s="460">
        <f t="shared" si="169"/>
        <v>0.05</v>
      </c>
      <c r="N3427" s="464">
        <f t="shared" si="170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68"/>
        <v>-429807727003.13159</v>
      </c>
      <c r="J3428" s="444">
        <f t="array" ref="J3428">IFERROR(INDEX('Retirement Calculator'!J:J,MATCH('Isaac 401k'!N3428,'Retirement Calculator'!A:A,0),0),0)</f>
        <v>0</v>
      </c>
      <c r="K3428" s="444">
        <f t="shared" ca="1" si="166"/>
        <v>-1790865529.1797149</v>
      </c>
      <c r="L3428" s="444">
        <f t="shared" ca="1" si="167"/>
        <v>-431598592532.31128</v>
      </c>
      <c r="M3428" s="460">
        <f t="shared" si="169"/>
        <v>0.05</v>
      </c>
      <c r="N3428" s="464">
        <f t="shared" si="170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68"/>
        <v>-431598592532.31128</v>
      </c>
      <c r="J3429" s="444">
        <f t="array" ref="J3429">IFERROR(INDEX('Retirement Calculator'!J:J,MATCH('Isaac 401k'!N3429,'Retirement Calculator'!A:A,0),0),0)</f>
        <v>0</v>
      </c>
      <c r="K3429" s="444">
        <f t="shared" ca="1" si="166"/>
        <v>-1798327468.8846302</v>
      </c>
      <c r="L3429" s="444">
        <f t="shared" ca="1" si="167"/>
        <v>-433396920001.19592</v>
      </c>
      <c r="M3429" s="460">
        <f t="shared" si="169"/>
        <v>0.05</v>
      </c>
      <c r="N3429" s="464">
        <f t="shared" si="170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68"/>
        <v>-433396920001.19592</v>
      </c>
      <c r="J3430" s="444">
        <f t="array" ref="J3430">IFERROR(INDEX('Retirement Calculator'!J:J,MATCH('Isaac 401k'!N3430,'Retirement Calculator'!A:A,0),0),0)</f>
        <v>0</v>
      </c>
      <c r="K3430" s="444">
        <f t="shared" ca="1" si="166"/>
        <v>-1805820500.0049829</v>
      </c>
      <c r="L3430" s="444">
        <f t="shared" ca="1" si="167"/>
        <v>-435202740501.20093</v>
      </c>
      <c r="M3430" s="460">
        <f t="shared" si="169"/>
        <v>0.05</v>
      </c>
      <c r="N3430" s="464">
        <f t="shared" si="170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68"/>
        <v>-435202740501.20093</v>
      </c>
      <c r="J3431" s="444">
        <f t="array" ref="J3431">IFERROR(INDEX('Retirement Calculator'!J:J,MATCH('Isaac 401k'!N3431,'Retirement Calculator'!A:A,0),0),0)</f>
        <v>0</v>
      </c>
      <c r="K3431" s="444">
        <f t="shared" ca="1" si="166"/>
        <v>-1813344752.0883372</v>
      </c>
      <c r="L3431" s="444">
        <f t="shared" ca="1" si="167"/>
        <v>-437016085253.28925</v>
      </c>
      <c r="M3431" s="460">
        <f t="shared" si="169"/>
        <v>0.05</v>
      </c>
      <c r="N3431" s="464">
        <f t="shared" si="170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68"/>
        <v>-437016085253.28925</v>
      </c>
      <c r="J3432" s="444">
        <f t="array" ref="J3432">IFERROR(INDEX('Retirement Calculator'!J:J,MATCH('Isaac 401k'!N3432,'Retirement Calculator'!A:A,0),0),0)</f>
        <v>0</v>
      </c>
      <c r="K3432" s="444">
        <f t="shared" ca="1" si="166"/>
        <v>-1820900355.2220385</v>
      </c>
      <c r="L3432" s="444">
        <f t="shared" ca="1" si="167"/>
        <v>-438836985608.51129</v>
      </c>
      <c r="M3432" s="460">
        <f t="shared" si="169"/>
        <v>0.05</v>
      </c>
      <c r="N3432" s="464">
        <f t="shared" si="170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68"/>
        <v>-438836985608.51129</v>
      </c>
      <c r="J3433" s="444">
        <f t="array" ref="J3433">IFERROR(INDEX('Retirement Calculator'!J:J,MATCH('Isaac 401k'!N3433,'Retirement Calculator'!A:A,0),0),0)</f>
        <v>0</v>
      </c>
      <c r="K3433" s="444">
        <f t="shared" ca="1" si="166"/>
        <v>-1828487440.0354636</v>
      </c>
      <c r="L3433" s="444">
        <f t="shared" ca="1" si="167"/>
        <v>-440665473048.54675</v>
      </c>
      <c r="M3433" s="460">
        <f t="shared" si="169"/>
        <v>0.05</v>
      </c>
      <c r="N3433" s="464">
        <f t="shared" si="170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68"/>
        <v>-440665473048.54675</v>
      </c>
      <c r="J3434" s="444">
        <f t="array" ref="J3434">IFERROR(INDEX('Retirement Calculator'!J:J,MATCH('Isaac 401k'!N3434,'Retirement Calculator'!A:A,0),0),0)</f>
        <v>0</v>
      </c>
      <c r="K3434" s="444">
        <f t="shared" ca="1" si="166"/>
        <v>-1836106137.7022781</v>
      </c>
      <c r="L3434" s="444">
        <f t="shared" ca="1" si="167"/>
        <v>-442501579186.24902</v>
      </c>
      <c r="M3434" s="460">
        <f t="shared" si="169"/>
        <v>0.05</v>
      </c>
      <c r="N3434" s="464">
        <f t="shared" si="170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68"/>
        <v>-442501579186.24902</v>
      </c>
      <c r="J3435" s="444">
        <f t="array" ref="J3435">IFERROR(INDEX('Retirement Calculator'!J:J,MATCH('Isaac 401k'!N3435,'Retirement Calculator'!A:A,0),0),0)</f>
        <v>0</v>
      </c>
      <c r="K3435" s="444">
        <f t="shared" ca="1" si="166"/>
        <v>-1843756579.9427042</v>
      </c>
      <c r="L3435" s="444">
        <f t="shared" ca="1" si="167"/>
        <v>-444345335766.19171</v>
      </c>
      <c r="M3435" s="460">
        <f t="shared" si="169"/>
        <v>0.05</v>
      </c>
      <c r="N3435" s="464">
        <f t="shared" si="170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68"/>
        <v>-444345335766.19171</v>
      </c>
      <c r="J3436" s="444">
        <f t="array" ref="J3436">IFERROR(INDEX('Retirement Calculator'!J:J,MATCH('Isaac 401k'!N3436,'Retirement Calculator'!A:A,0),0),0)</f>
        <v>0</v>
      </c>
      <c r="K3436" s="444">
        <f t="shared" ca="1" si="166"/>
        <v>-1851438899.025799</v>
      </c>
      <c r="L3436" s="444">
        <f t="shared" ca="1" si="167"/>
        <v>-446196774665.21753</v>
      </c>
      <c r="M3436" s="460">
        <f t="shared" si="169"/>
        <v>0.05</v>
      </c>
      <c r="N3436" s="464">
        <f t="shared" si="170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68"/>
        <v>-446196774665.21753</v>
      </c>
      <c r="J3437" s="444">
        <f t="array" ref="J3437">IFERROR(INDEX('Retirement Calculator'!J:J,MATCH('Isaac 401k'!N3437,'Retirement Calculator'!A:A,0),0),0)</f>
        <v>0</v>
      </c>
      <c r="K3437" s="444">
        <f t="shared" ca="1" si="166"/>
        <v>-1859153227.7717397</v>
      </c>
      <c r="L3437" s="444">
        <f t="shared" ca="1" si="167"/>
        <v>-448055927892.98926</v>
      </c>
      <c r="M3437" s="460">
        <f t="shared" si="169"/>
        <v>0.05</v>
      </c>
      <c r="N3437" s="464">
        <f t="shared" si="170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68"/>
        <v>-448055927892.98926</v>
      </c>
      <c r="J3438" s="444">
        <f t="array" ref="J3438">IFERROR(INDEX('Retirement Calculator'!J:J,MATCH('Isaac 401k'!N3438,'Retirement Calculator'!A:A,0),0),0)</f>
        <v>0</v>
      </c>
      <c r="K3438" s="444">
        <f t="shared" ca="1" si="166"/>
        <v>-1866899699.554122</v>
      </c>
      <c r="L3438" s="444">
        <f t="shared" ca="1" si="167"/>
        <v>-449922827592.5434</v>
      </c>
      <c r="M3438" s="460">
        <f t="shared" si="169"/>
        <v>0.05</v>
      </c>
      <c r="N3438" s="464">
        <f t="shared" si="170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68"/>
        <v>-449922827592.5434</v>
      </c>
      <c r="J3439" s="444">
        <f t="array" ref="J3439">IFERROR(INDEX('Retirement Calculator'!J:J,MATCH('Isaac 401k'!N3439,'Retirement Calculator'!A:A,0),0),0)</f>
        <v>0</v>
      </c>
      <c r="K3439" s="444">
        <f t="shared" ca="1" si="166"/>
        <v>-1874678448.3022642</v>
      </c>
      <c r="L3439" s="444">
        <f t="shared" ca="1" si="167"/>
        <v>-451797506040.84564</v>
      </c>
      <c r="M3439" s="460">
        <f t="shared" si="169"/>
        <v>0.05</v>
      </c>
      <c r="N3439" s="464">
        <f t="shared" si="170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68"/>
        <v>-451797506040.84564</v>
      </c>
      <c r="J3440" s="444">
        <f t="array" ref="J3440">IFERROR(INDEX('Retirement Calculator'!J:J,MATCH('Isaac 401k'!N3440,'Retirement Calculator'!A:A,0),0),0)</f>
        <v>0</v>
      </c>
      <c r="K3440" s="444">
        <f t="shared" ca="1" si="166"/>
        <v>-1882489608.5035236</v>
      </c>
      <c r="L3440" s="444">
        <f t="shared" ca="1" si="167"/>
        <v>-453679995649.34918</v>
      </c>
      <c r="M3440" s="460">
        <f t="shared" si="169"/>
        <v>0.05</v>
      </c>
      <c r="N3440" s="464">
        <f t="shared" si="170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68"/>
        <v>-453679995649.34918</v>
      </c>
      <c r="J3441" s="444">
        <f t="array" ref="J3441">IFERROR(INDEX('Retirement Calculator'!J:J,MATCH('Isaac 401k'!N3441,'Retirement Calculator'!A:A,0),0),0)</f>
        <v>0</v>
      </c>
      <c r="K3441" s="444">
        <f t="shared" ca="1" si="166"/>
        <v>-1890333315.2056215</v>
      </c>
      <c r="L3441" s="444">
        <f t="shared" ca="1" si="167"/>
        <v>-455570328964.55481</v>
      </c>
      <c r="M3441" s="460">
        <f t="shared" si="169"/>
        <v>0.05</v>
      </c>
      <c r="N3441" s="464">
        <f t="shared" si="170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68"/>
        <v>-455570328964.55481</v>
      </c>
      <c r="J3442" s="444">
        <f t="array" ref="J3442">IFERROR(INDEX('Retirement Calculator'!J:J,MATCH('Isaac 401k'!N3442,'Retirement Calculator'!A:A,0),0),0)</f>
        <v>0</v>
      </c>
      <c r="K3442" s="444">
        <f t="shared" ca="1" si="166"/>
        <v>-1898209704.0189784</v>
      </c>
      <c r="L3442" s="444">
        <f t="shared" ca="1" si="167"/>
        <v>-457468538668.57379</v>
      </c>
      <c r="M3442" s="460">
        <f t="shared" si="169"/>
        <v>0.05</v>
      </c>
      <c r="N3442" s="464">
        <f t="shared" si="170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68"/>
        <v>-457468538668.57379</v>
      </c>
      <c r="J3443" s="444">
        <f t="array" ref="J3443">IFERROR(INDEX('Retirement Calculator'!J:J,MATCH('Isaac 401k'!N3443,'Retirement Calculator'!A:A,0),0),0)</f>
        <v>0</v>
      </c>
      <c r="K3443" s="444">
        <f t="shared" ca="1" si="166"/>
        <v>-1906118911.1190574</v>
      </c>
      <c r="L3443" s="444">
        <f t="shared" ca="1" si="167"/>
        <v>-459374657579.69287</v>
      </c>
      <c r="M3443" s="460">
        <f t="shared" si="169"/>
        <v>0.05</v>
      </c>
      <c r="N3443" s="464">
        <f t="shared" si="170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68"/>
        <v>-459374657579.69287</v>
      </c>
      <c r="J3444" s="444">
        <f t="array" ref="J3444">IFERROR(INDEX('Retirement Calculator'!J:J,MATCH('Isaac 401k'!N3444,'Retirement Calculator'!A:A,0),0),0)</f>
        <v>0</v>
      </c>
      <c r="K3444" s="444">
        <f t="shared" ca="1" si="166"/>
        <v>-1914061073.2487202</v>
      </c>
      <c r="L3444" s="444">
        <f t="shared" ca="1" si="167"/>
        <v>-461288718652.94159</v>
      </c>
      <c r="M3444" s="460">
        <f t="shared" si="169"/>
        <v>0.05</v>
      </c>
      <c r="N3444" s="464">
        <f t="shared" si="170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68"/>
        <v>-461288718652.94159</v>
      </c>
      <c r="J3445" s="444">
        <f t="array" ref="J3445">IFERROR(INDEX('Retirement Calculator'!J:J,MATCH('Isaac 401k'!N3445,'Retirement Calculator'!A:A,0),0),0)</f>
        <v>0</v>
      </c>
      <c r="K3445" s="444">
        <f t="shared" ca="1" si="166"/>
        <v>-1922036327.7205896</v>
      </c>
      <c r="L3445" s="444">
        <f t="shared" ca="1" si="167"/>
        <v>-463210754980.66217</v>
      </c>
      <c r="M3445" s="460">
        <f t="shared" si="169"/>
        <v>0.05</v>
      </c>
      <c r="N3445" s="464">
        <f t="shared" si="170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68"/>
        <v>-463210754980.66217</v>
      </c>
      <c r="J3446" s="444">
        <f t="array" ref="J3446">IFERROR(INDEX('Retirement Calculator'!J:J,MATCH('Isaac 401k'!N3446,'Retirement Calculator'!A:A,0),0),0)</f>
        <v>0</v>
      </c>
      <c r="K3446" s="444">
        <f t="shared" ca="1" si="166"/>
        <v>-1930044812.419426</v>
      </c>
      <c r="L3446" s="444">
        <f t="shared" ca="1" si="167"/>
        <v>-465140799793.0816</v>
      </c>
      <c r="M3446" s="460">
        <f t="shared" si="169"/>
        <v>0.05</v>
      </c>
      <c r="N3446" s="464">
        <f t="shared" si="170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68"/>
        <v>-465140799793.0816</v>
      </c>
      <c r="J3447" s="444">
        <f t="array" ref="J3447">IFERROR(INDEX('Retirement Calculator'!J:J,MATCH('Isaac 401k'!N3447,'Retirement Calculator'!A:A,0),0),0)</f>
        <v>0</v>
      </c>
      <c r="K3447" s="444">
        <f t="shared" ca="1" si="166"/>
        <v>-1938086665.8045065</v>
      </c>
      <c r="L3447" s="444">
        <f t="shared" ca="1" si="167"/>
        <v>-467078886458.88611</v>
      </c>
      <c r="M3447" s="460">
        <f t="shared" si="169"/>
        <v>0.05</v>
      </c>
      <c r="N3447" s="464">
        <f t="shared" si="170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68"/>
        <v>-467078886458.88611</v>
      </c>
      <c r="J3448" s="444">
        <f t="array" ref="J3448">IFERROR(INDEX('Retirement Calculator'!J:J,MATCH('Isaac 401k'!N3448,'Retirement Calculator'!A:A,0),0),0)</f>
        <v>0</v>
      </c>
      <c r="K3448" s="444">
        <f t="shared" ca="1" si="166"/>
        <v>-1946162026.9120255</v>
      </c>
      <c r="L3448" s="444">
        <f t="shared" ca="1" si="167"/>
        <v>-469025048485.79816</v>
      </c>
      <c r="M3448" s="460">
        <f t="shared" si="169"/>
        <v>0.05</v>
      </c>
      <c r="N3448" s="464">
        <f t="shared" si="170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68"/>
        <v>-469025048485.79816</v>
      </c>
      <c r="J3449" s="444">
        <f t="array" ref="J3449">IFERROR(INDEX('Retirement Calculator'!J:J,MATCH('Isaac 401k'!N3449,'Retirement Calculator'!A:A,0),0),0)</f>
        <v>0</v>
      </c>
      <c r="K3449" s="444">
        <f t="shared" ca="1" si="166"/>
        <v>-1954271035.3574922</v>
      </c>
      <c r="L3449" s="444">
        <f t="shared" ca="1" si="167"/>
        <v>-470979319521.15564</v>
      </c>
      <c r="M3449" s="460">
        <f t="shared" si="169"/>
        <v>0.05</v>
      </c>
      <c r="N3449" s="464">
        <f t="shared" si="170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68"/>
        <v>-470979319521.15564</v>
      </c>
      <c r="J3450" s="444">
        <f t="array" ref="J3450">IFERROR(INDEX('Retirement Calculator'!J:J,MATCH('Isaac 401k'!N3450,'Retirement Calculator'!A:A,0),0),0)</f>
        <v>0</v>
      </c>
      <c r="K3450" s="444">
        <f t="shared" ca="1" si="166"/>
        <v>-1962413831.3381481</v>
      </c>
      <c r="L3450" s="444">
        <f t="shared" ca="1" si="167"/>
        <v>-472941733352.49377</v>
      </c>
      <c r="M3450" s="460">
        <f t="shared" si="169"/>
        <v>0.05</v>
      </c>
      <c r="N3450" s="464">
        <f t="shared" si="170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68"/>
        <v>-472941733352.49377</v>
      </c>
      <c r="J3451" s="444">
        <f t="array" ref="J3451">IFERROR(INDEX('Retirement Calculator'!J:J,MATCH('Isaac 401k'!N3451,'Retirement Calculator'!A:A,0),0),0)</f>
        <v>0</v>
      </c>
      <c r="K3451" s="444">
        <f t="shared" ca="1" si="166"/>
        <v>-1970590555.6353908</v>
      </c>
      <c r="L3451" s="444">
        <f t="shared" ca="1" si="167"/>
        <v>-474912323908.12915</v>
      </c>
      <c r="M3451" s="460">
        <f t="shared" si="169"/>
        <v>0.05</v>
      </c>
      <c r="N3451" s="464">
        <f t="shared" si="170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68"/>
        <v>-474912323908.12915</v>
      </c>
      <c r="J3452" s="444">
        <f t="array" ref="J3452">IFERROR(INDEX('Retirement Calculator'!J:J,MATCH('Isaac 401k'!N3452,'Retirement Calculator'!A:A,0),0),0)</f>
        <v>0</v>
      </c>
      <c r="K3452" s="444">
        <f t="shared" ca="1" si="166"/>
        <v>-1978801349.6172049</v>
      </c>
      <c r="L3452" s="444">
        <f t="shared" ca="1" si="167"/>
        <v>-476891125257.74634</v>
      </c>
      <c r="M3452" s="460">
        <f t="shared" si="169"/>
        <v>0.05</v>
      </c>
      <c r="N3452" s="464">
        <f t="shared" si="170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68"/>
        <v>-476891125257.74634</v>
      </c>
      <c r="J3453" s="444">
        <f t="array" ref="J3453">IFERROR(INDEX('Retirement Calculator'!J:J,MATCH('Isaac 401k'!N3453,'Retirement Calculator'!A:A,0),0),0)</f>
        <v>0</v>
      </c>
      <c r="K3453" s="444">
        <f t="shared" ca="1" si="166"/>
        <v>-1987046355.2406096</v>
      </c>
      <c r="L3453" s="444">
        <f t="shared" ca="1" si="167"/>
        <v>-478878171612.98694</v>
      </c>
      <c r="M3453" s="460">
        <f t="shared" si="169"/>
        <v>0.05</v>
      </c>
      <c r="N3453" s="464">
        <f t="shared" si="170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68"/>
        <v>-478878171612.98694</v>
      </c>
      <c r="J3454" s="444">
        <f t="array" ref="J3454">IFERROR(INDEX('Retirement Calculator'!J:J,MATCH('Isaac 401k'!N3454,'Retirement Calculator'!A:A,0),0),0)</f>
        <v>0</v>
      </c>
      <c r="K3454" s="444">
        <f t="shared" ca="1" si="166"/>
        <v>-1995325715.0541122</v>
      </c>
      <c r="L3454" s="444">
        <f t="shared" ca="1" si="167"/>
        <v>-480873497328.04108</v>
      </c>
      <c r="M3454" s="460">
        <f t="shared" si="169"/>
        <v>0.05</v>
      </c>
      <c r="N3454" s="464">
        <f t="shared" si="170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68"/>
        <v>-480873497328.04108</v>
      </c>
      <c r="J3455" s="444">
        <f t="array" ref="J3455">IFERROR(INDEX('Retirement Calculator'!J:J,MATCH('Isaac 401k'!N3455,'Retirement Calculator'!A:A,0),0),0)</f>
        <v>0</v>
      </c>
      <c r="K3455" s="444">
        <f t="shared" ca="1" si="166"/>
        <v>-2003639572.2001712</v>
      </c>
      <c r="L3455" s="444">
        <f t="shared" ca="1" si="167"/>
        <v>-482877136900.24127</v>
      </c>
      <c r="M3455" s="460">
        <f t="shared" si="169"/>
        <v>0.05</v>
      </c>
      <c r="N3455" s="464">
        <f t="shared" si="170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68"/>
        <v>-482877136900.24127</v>
      </c>
      <c r="J3456" s="444">
        <f t="array" ref="J3456">IFERROR(INDEX('Retirement Calculator'!J:J,MATCH('Isaac 401k'!N3456,'Retirement Calculator'!A:A,0),0),0)</f>
        <v>0</v>
      </c>
      <c r="K3456" s="444">
        <f t="shared" ca="1" si="166"/>
        <v>-2011988070.4176722</v>
      </c>
      <c r="L3456" s="444">
        <f t="shared" ca="1" si="167"/>
        <v>-484889124970.65894</v>
      </c>
      <c r="M3456" s="460">
        <f t="shared" si="169"/>
        <v>0.05</v>
      </c>
      <c r="N3456" s="464">
        <f t="shared" si="170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68"/>
        <v>-484889124970.65894</v>
      </c>
      <c r="J3457" s="444">
        <f t="array" ref="J3457">IFERROR(INDEX('Retirement Calculator'!J:J,MATCH('Isaac 401k'!N3457,'Retirement Calculator'!A:A,0),0),0)</f>
        <v>0</v>
      </c>
      <c r="K3457" s="444">
        <f t="shared" ca="1" si="166"/>
        <v>-2020371354.0444121</v>
      </c>
      <c r="L3457" s="444">
        <f t="shared" ca="1" si="167"/>
        <v>-486909496324.70337</v>
      </c>
      <c r="M3457" s="460">
        <f t="shared" si="169"/>
        <v>0.05</v>
      </c>
      <c r="N3457" s="464">
        <f t="shared" si="170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68"/>
        <v>-486909496324.70337</v>
      </c>
      <c r="J3458" s="444">
        <f t="array" ref="J3458">IFERROR(INDEX('Retirement Calculator'!J:J,MATCH('Isaac 401k'!N3458,'Retirement Calculator'!A:A,0),0),0)</f>
        <v>0</v>
      </c>
      <c r="K3458" s="444">
        <f t="shared" ca="1" si="166"/>
        <v>-2028789568.0195973</v>
      </c>
      <c r="L3458" s="444">
        <f t="shared" ca="1" si="167"/>
        <v>-488938285892.72296</v>
      </c>
      <c r="M3458" s="460">
        <f t="shared" si="169"/>
        <v>0.05</v>
      </c>
      <c r="N3458" s="464">
        <f t="shared" si="170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68"/>
        <v>-488938285892.72296</v>
      </c>
      <c r="J3459" s="444">
        <f t="array" ref="J3459">IFERROR(INDEX('Retirement Calculator'!J:J,MATCH('Isaac 401k'!N3459,'Retirement Calculator'!A:A,0),0),0)</f>
        <v>0</v>
      </c>
      <c r="K3459" s="444">
        <f t="shared" ca="1" si="166"/>
        <v>-2037242857.8863456</v>
      </c>
      <c r="L3459" s="444">
        <f t="shared" ca="1" si="167"/>
        <v>-490975528750.60931</v>
      </c>
      <c r="M3459" s="460">
        <f t="shared" si="169"/>
        <v>0.05</v>
      </c>
      <c r="N3459" s="464">
        <f t="shared" si="170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68"/>
        <v>-490975528750.60931</v>
      </c>
      <c r="J3460" s="444">
        <f t="array" ref="J3460">IFERROR(INDEX('Retirement Calculator'!J:J,MATCH('Isaac 401k'!N3460,'Retirement Calculator'!A:A,0),0),0)</f>
        <v>0</v>
      </c>
      <c r="K3460" s="444">
        <f t="shared" ca="1" si="166"/>
        <v>-2045731369.7942054</v>
      </c>
      <c r="L3460" s="444">
        <f t="shared" ca="1" si="167"/>
        <v>-493021260120.4035</v>
      </c>
      <c r="M3460" s="460">
        <f t="shared" si="169"/>
        <v>0.05</v>
      </c>
      <c r="N3460" s="464">
        <f t="shared" si="170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68"/>
        <v>-493021260120.4035</v>
      </c>
      <c r="J3461" s="444">
        <f t="array" ref="J3461">IFERROR(INDEX('Retirement Calculator'!J:J,MATCH('Isaac 401k'!N3461,'Retirement Calculator'!A:A,0),0),0)</f>
        <v>0</v>
      </c>
      <c r="K3461" s="444">
        <f t="shared" ca="1" si="166"/>
        <v>-2054255250.5016816</v>
      </c>
      <c r="L3461" s="444">
        <f t="shared" ca="1" si="167"/>
        <v>-495075515370.90521</v>
      </c>
      <c r="M3461" s="460">
        <f t="shared" si="169"/>
        <v>0.05</v>
      </c>
      <c r="N3461" s="464">
        <f t="shared" si="170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68"/>
        <v>-495075515370.90521</v>
      </c>
      <c r="J3462" s="444">
        <f t="array" ref="J3462">IFERROR(INDEX('Retirement Calculator'!J:J,MATCH('Isaac 401k'!N3462,'Retirement Calculator'!A:A,0),0),0)</f>
        <v>0</v>
      </c>
      <c r="K3462" s="444">
        <f t="shared" ca="1" si="166"/>
        <v>-2062814647.3787718</v>
      </c>
      <c r="L3462" s="444">
        <f t="shared" ca="1" si="167"/>
        <v>-497138330018.284</v>
      </c>
      <c r="M3462" s="460">
        <f t="shared" si="169"/>
        <v>0.05</v>
      </c>
      <c r="N3462" s="464">
        <f t="shared" si="170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68"/>
        <v>-497138330018.284</v>
      </c>
      <c r="J3463" s="444">
        <f t="array" ref="J3463">IFERROR(INDEX('Retirement Calculator'!J:J,MATCH('Isaac 401k'!N3463,'Retirement Calculator'!A:A,0),0),0)</f>
        <v>0</v>
      </c>
      <c r="K3463" s="444">
        <f t="shared" ca="1" si="166"/>
        <v>-2071409708.4095166</v>
      </c>
      <c r="L3463" s="444">
        <f t="shared" ca="1" si="167"/>
        <v>-499209739726.69354</v>
      </c>
      <c r="M3463" s="460">
        <f t="shared" si="169"/>
        <v>0.05</v>
      </c>
      <c r="N3463" s="464">
        <f t="shared" si="170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68"/>
        <v>-499209739726.69354</v>
      </c>
      <c r="J3464" s="444">
        <f t="array" ref="J3464">IFERROR(INDEX('Retirement Calculator'!J:J,MATCH('Isaac 401k'!N3464,'Retirement Calculator'!A:A,0),0),0)</f>
        <v>0</v>
      </c>
      <c r="K3464" s="444">
        <f t="shared" ca="1" si="166"/>
        <v>-2080040582.1945567</v>
      </c>
      <c r="L3464" s="444">
        <f t="shared" ca="1" si="167"/>
        <v>-501289780308.88812</v>
      </c>
      <c r="M3464" s="460">
        <f t="shared" si="169"/>
        <v>0.05</v>
      </c>
      <c r="N3464" s="464">
        <f t="shared" si="170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68"/>
        <v>-501289780308.88812</v>
      </c>
      <c r="J3465" s="444">
        <f t="array" ref="J3465">IFERROR(INDEX('Retirement Calculator'!J:J,MATCH('Isaac 401k'!N3465,'Retirement Calculator'!A:A,0),0),0)</f>
        <v>0</v>
      </c>
      <c r="K3465" s="444">
        <f t="shared" ca="1" si="166"/>
        <v>-2088707417.9537003</v>
      </c>
      <c r="L3465" s="444">
        <f t="shared" ca="1" si="167"/>
        <v>-503378487726.8418</v>
      </c>
      <c r="M3465" s="460">
        <f t="shared" si="169"/>
        <v>0.05</v>
      </c>
      <c r="N3465" s="464">
        <f t="shared" si="170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68"/>
        <v>-503378487726.8418</v>
      </c>
      <c r="J3466" s="444">
        <f t="array" ref="J3466">IFERROR(INDEX('Retirement Calculator'!J:J,MATCH('Isaac 401k'!N3466,'Retirement Calculator'!A:A,0),0),0)</f>
        <v>0</v>
      </c>
      <c r="K3466" s="444">
        <f t="shared" ca="1" si="166"/>
        <v>-2097410365.5285072</v>
      </c>
      <c r="L3466" s="444">
        <f t="shared" ca="1" si="167"/>
        <v>-505475898092.3703</v>
      </c>
      <c r="M3466" s="460">
        <f t="shared" si="169"/>
        <v>0.05</v>
      </c>
      <c r="N3466" s="464">
        <f t="shared" si="170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68"/>
        <v>-505475898092.3703</v>
      </c>
      <c r="J3467" s="444">
        <f t="array" ref="J3467">IFERROR(INDEX('Retirement Calculator'!J:J,MATCH('Isaac 401k'!N3467,'Retirement Calculator'!A:A,0),0),0)</f>
        <v>0</v>
      </c>
      <c r="K3467" s="444">
        <f t="shared" ca="1" si="166"/>
        <v>-2106149575.3848765</v>
      </c>
      <c r="L3467" s="444">
        <f t="shared" ca="1" si="167"/>
        <v>-507582047667.75519</v>
      </c>
      <c r="M3467" s="460">
        <f t="shared" si="169"/>
        <v>0.05</v>
      </c>
      <c r="N3467" s="464">
        <f t="shared" si="170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68"/>
        <v>-507582047667.75519</v>
      </c>
      <c r="J3468" s="444">
        <f t="array" ref="J3468">IFERROR(INDEX('Retirement Calculator'!J:J,MATCH('Isaac 401k'!N3468,'Retirement Calculator'!A:A,0),0),0)</f>
        <v>0</v>
      </c>
      <c r="K3468" s="444">
        <f t="shared" ca="1" si="166"/>
        <v>-2114925198.6156466</v>
      </c>
      <c r="L3468" s="444">
        <f t="shared" ca="1" si="167"/>
        <v>-509696972866.37085</v>
      </c>
      <c r="M3468" s="460">
        <f t="shared" si="169"/>
        <v>0.05</v>
      </c>
      <c r="N3468" s="464">
        <f t="shared" si="170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68"/>
        <v>-509696972866.37085</v>
      </c>
      <c r="J3469" s="444">
        <f t="array" ref="J3469">IFERROR(INDEX('Retirement Calculator'!J:J,MATCH('Isaac 401k'!N3469,'Retirement Calculator'!A:A,0),0),0)</f>
        <v>0</v>
      </c>
      <c r="K3469" s="444">
        <f t="shared" ca="1" si="166"/>
        <v>-2123737386.9432118</v>
      </c>
      <c r="L3469" s="444">
        <f t="shared" ca="1" si="167"/>
        <v>-511820710253.31409</v>
      </c>
      <c r="M3469" s="460">
        <f t="shared" si="169"/>
        <v>0.05</v>
      </c>
      <c r="N3469" s="464">
        <f t="shared" si="170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68"/>
        <v>-511820710253.31409</v>
      </c>
      <c r="J3470" s="444">
        <f t="array" ref="J3470">IFERROR(INDEX('Retirement Calculator'!J:J,MATCH('Isaac 401k'!N3470,'Retirement Calculator'!A:A,0),0),0)</f>
        <v>0</v>
      </c>
      <c r="K3470" s="444">
        <f t="shared" ca="1" si="166"/>
        <v>-2132586292.722142</v>
      </c>
      <c r="L3470" s="444">
        <f t="shared" ca="1" si="167"/>
        <v>-513953296546.03625</v>
      </c>
      <c r="M3470" s="460">
        <f t="shared" si="169"/>
        <v>0.05</v>
      </c>
      <c r="N3470" s="464">
        <f t="shared" si="170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68"/>
        <v>-513953296546.03625</v>
      </c>
      <c r="J3471" s="444">
        <f t="array" ref="J3471">IFERROR(INDEX('Retirement Calculator'!J:J,MATCH('Isaac 401k'!N3471,'Retirement Calculator'!A:A,0),0),0)</f>
        <v>0</v>
      </c>
      <c r="K3471" s="444">
        <f t="shared" ca="1" si="166"/>
        <v>-2141472068.9418178</v>
      </c>
      <c r="L3471" s="444">
        <f t="shared" ca="1" si="167"/>
        <v>-516094768614.97809</v>
      </c>
      <c r="M3471" s="460">
        <f t="shared" si="169"/>
        <v>0.05</v>
      </c>
      <c r="N3471" s="464">
        <f t="shared" si="170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68"/>
        <v>-516094768614.97809</v>
      </c>
      <c r="J3472" s="444">
        <f t="array" ref="J3472">IFERROR(INDEX('Retirement Calculator'!J:J,MATCH('Isaac 401k'!N3472,'Retirement Calculator'!A:A,0),0),0)</f>
        <v>0</v>
      </c>
      <c r="K3472" s="444">
        <f t="shared" ca="1" si="166"/>
        <v>-2150394869.229075</v>
      </c>
      <c r="L3472" s="444">
        <f t="shared" ca="1" si="167"/>
        <v>-518245163484.20715</v>
      </c>
      <c r="M3472" s="460">
        <f t="shared" si="169"/>
        <v>0.05</v>
      </c>
      <c r="N3472" s="464">
        <f t="shared" si="170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68"/>
        <v>-518245163484.20715</v>
      </c>
      <c r="J3473" s="444">
        <f t="array" ref="J3473">IFERROR(INDEX('Retirement Calculator'!J:J,MATCH('Isaac 401k'!N3473,'Retirement Calculator'!A:A,0),0),0)</f>
        <v>0</v>
      </c>
      <c r="K3473" s="444">
        <f t="shared" ca="1" si="166"/>
        <v>-2159354847.850863</v>
      </c>
      <c r="L3473" s="444">
        <f t="shared" ca="1" si="167"/>
        <v>-520404518332.05804</v>
      </c>
      <c r="M3473" s="460">
        <f t="shared" si="169"/>
        <v>0.05</v>
      </c>
      <c r="N3473" s="464">
        <f t="shared" si="170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68"/>
        <v>-520404518332.05804</v>
      </c>
      <c r="J3474" s="444">
        <f t="array" ref="J3474">IFERROR(INDEX('Retirement Calculator'!J:J,MATCH('Isaac 401k'!N3474,'Retirement Calculator'!A:A,0),0),0)</f>
        <v>0</v>
      </c>
      <c r="K3474" s="444">
        <f t="shared" ca="1" si="166"/>
        <v>-2168352159.7169085</v>
      </c>
      <c r="L3474" s="444">
        <f t="shared" ca="1" si="167"/>
        <v>-522572870491.77496</v>
      </c>
      <c r="M3474" s="460">
        <f t="shared" si="169"/>
        <v>0.05</v>
      </c>
      <c r="N3474" s="464">
        <f t="shared" si="170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68"/>
        <v>-522572870491.77496</v>
      </c>
      <c r="J3475" s="444">
        <f t="array" ref="J3475">IFERROR(INDEX('Retirement Calculator'!J:J,MATCH('Isaac 401k'!N3475,'Retirement Calculator'!A:A,0),0),0)</f>
        <v>0</v>
      </c>
      <c r="K3475" s="444">
        <f t="shared" ca="1" si="166"/>
        <v>-2177386960.3823957</v>
      </c>
      <c r="L3475" s="444">
        <f t="shared" ca="1" si="167"/>
        <v>-524750257452.15735</v>
      </c>
      <c r="M3475" s="460">
        <f t="shared" si="169"/>
        <v>0.05</v>
      </c>
      <c r="N3475" s="464">
        <f t="shared" si="170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68"/>
        <v>-524750257452.15735</v>
      </c>
      <c r="J3476" s="444">
        <f t="array" ref="J3476">IFERROR(INDEX('Retirement Calculator'!J:J,MATCH('Isaac 401k'!N3476,'Retirement Calculator'!A:A,0),0),0)</f>
        <v>0</v>
      </c>
      <c r="K3476" s="444">
        <f t="shared" ca="1" si="166"/>
        <v>-2186459406.0506554</v>
      </c>
      <c r="L3476" s="444">
        <f t="shared" ca="1" si="167"/>
        <v>-526936716858.20801</v>
      </c>
      <c r="M3476" s="460">
        <f t="shared" si="169"/>
        <v>0.05</v>
      </c>
      <c r="N3476" s="464">
        <f t="shared" si="170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68"/>
        <v>-526936716858.20801</v>
      </c>
      <c r="J3477" s="444">
        <f t="array" ref="J3477">IFERROR(INDEX('Retirement Calculator'!J:J,MATCH('Isaac 401k'!N3477,'Retirement Calculator'!A:A,0),0),0)</f>
        <v>0</v>
      </c>
      <c r="K3477" s="444">
        <f t="shared" ca="1" si="166"/>
        <v>-2195569653.5758667</v>
      </c>
      <c r="L3477" s="444">
        <f t="shared" ca="1" si="167"/>
        <v>-529132286511.78387</v>
      </c>
      <c r="M3477" s="460">
        <f t="shared" si="169"/>
        <v>0.05</v>
      </c>
      <c r="N3477" s="464">
        <f t="shared" si="170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68"/>
        <v>-529132286511.78387</v>
      </c>
      <c r="J3478" s="444">
        <f t="array" ref="J3478">IFERROR(INDEX('Retirement Calculator'!J:J,MATCH('Isaac 401k'!N3478,'Retirement Calculator'!A:A,0),0),0)</f>
        <v>0</v>
      </c>
      <c r="K3478" s="444">
        <f t="shared" ca="1" si="166"/>
        <v>-2204717860.465766</v>
      </c>
      <c r="L3478" s="444">
        <f t="shared" ca="1" si="167"/>
        <v>-531337004372.24963</v>
      </c>
      <c r="M3478" s="460">
        <f t="shared" si="169"/>
        <v>0.05</v>
      </c>
      <c r="N3478" s="464">
        <f t="shared" si="170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68"/>
        <v>-531337004372.24963</v>
      </c>
      <c r="J3479" s="444">
        <f t="array" ref="J3479">IFERROR(INDEX('Retirement Calculator'!J:J,MATCH('Isaac 401k'!N3479,'Retirement Calculator'!A:A,0),0),0)</f>
        <v>0</v>
      </c>
      <c r="K3479" s="444">
        <f t="shared" ca="1" si="166"/>
        <v>-2213904184.8843737</v>
      </c>
      <c r="L3479" s="444">
        <f t="shared" ca="1" si="167"/>
        <v>-533550908557.13403</v>
      </c>
      <c r="M3479" s="460">
        <f t="shared" si="169"/>
        <v>0.05</v>
      </c>
      <c r="N3479" s="464">
        <f t="shared" si="170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68"/>
        <v>-533550908557.13403</v>
      </c>
      <c r="J3480" s="444">
        <f t="array" ref="J3480">IFERROR(INDEX('Retirement Calculator'!J:J,MATCH('Isaac 401k'!N3480,'Retirement Calculator'!A:A,0),0),0)</f>
        <v>0</v>
      </c>
      <c r="K3480" s="444">
        <f t="shared" ca="1" si="166"/>
        <v>-2223128785.6547251</v>
      </c>
      <c r="L3480" s="444">
        <f t="shared" ca="1" si="167"/>
        <v>-535774037342.78876</v>
      </c>
      <c r="M3480" s="460">
        <f t="shared" si="169"/>
        <v>0.05</v>
      </c>
      <c r="N3480" s="464">
        <f t="shared" si="170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68"/>
        <v>-535774037342.78876</v>
      </c>
      <c r="J3481" s="444">
        <f t="array" ref="J3481">IFERROR(INDEX('Retirement Calculator'!J:J,MATCH('Isaac 401k'!N3481,'Retirement Calculator'!A:A,0),0),0)</f>
        <v>0</v>
      </c>
      <c r="K3481" s="444">
        <f t="shared" ca="1" si="166"/>
        <v>-2232391822.2616196</v>
      </c>
      <c r="L3481" s="444">
        <f t="shared" ca="1" si="167"/>
        <v>-538006429165.05035</v>
      </c>
      <c r="M3481" s="460">
        <f t="shared" si="169"/>
        <v>0.05</v>
      </c>
      <c r="N3481" s="464">
        <f t="shared" si="170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68"/>
        <v>-538006429165.05035</v>
      </c>
      <c r="J3482" s="444">
        <f t="array" ref="J3482">IFERROR(INDEX('Retirement Calculator'!J:J,MATCH('Isaac 401k'!N3482,'Retirement Calculator'!A:A,0),0),0)</f>
        <v>0</v>
      </c>
      <c r="K3482" s="444">
        <f t="shared" ca="1" si="166"/>
        <v>-2241693454.8543763</v>
      </c>
      <c r="L3482" s="444">
        <f t="shared" ca="1" si="167"/>
        <v>-540248122619.90472</v>
      </c>
      <c r="M3482" s="460">
        <f t="shared" si="169"/>
        <v>0.05</v>
      </c>
      <c r="N3482" s="464">
        <f t="shared" si="170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68"/>
        <v>-540248122619.90472</v>
      </c>
      <c r="J3483" s="444">
        <f t="array" ref="J3483">IFERROR(INDEX('Retirement Calculator'!J:J,MATCH('Isaac 401k'!N3483,'Retirement Calculator'!A:A,0),0),0)</f>
        <v>0</v>
      </c>
      <c r="K3483" s="444">
        <f t="shared" ca="1" si="166"/>
        <v>-2251033844.2496028</v>
      </c>
      <c r="L3483" s="444">
        <f t="shared" ca="1" si="167"/>
        <v>-542499156464.1543</v>
      </c>
      <c r="M3483" s="460">
        <f t="shared" si="169"/>
        <v>0.05</v>
      </c>
      <c r="N3483" s="464">
        <f t="shared" si="170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68"/>
        <v>-542499156464.1543</v>
      </c>
      <c r="J3484" s="444">
        <f t="array" ref="J3484">IFERROR(INDEX('Retirement Calculator'!J:J,MATCH('Isaac 401k'!N3484,'Retirement Calculator'!A:A,0),0),0)</f>
        <v>0</v>
      </c>
      <c r="K3484" s="444">
        <f t="shared" ca="1" si="166"/>
        <v>-2260413151.9339762</v>
      </c>
      <c r="L3484" s="444">
        <f t="shared" ca="1" si="167"/>
        <v>-544759569616.08826</v>
      </c>
      <c r="M3484" s="460">
        <f t="shared" si="169"/>
        <v>0.05</v>
      </c>
      <c r="N3484" s="464">
        <f t="shared" si="170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68"/>
        <v>-544759569616.08826</v>
      </c>
      <c r="J3485" s="444">
        <f t="array" ref="J3485">IFERROR(INDEX('Retirement Calculator'!J:J,MATCH('Isaac 401k'!N3485,'Retirement Calculator'!A:A,0),0),0)</f>
        <v>0</v>
      </c>
      <c r="K3485" s="444">
        <f t="shared" ca="1" si="166"/>
        <v>-2269831540.0670342</v>
      </c>
      <c r="L3485" s="444">
        <f t="shared" ca="1" si="167"/>
        <v>-547029401156.15527</v>
      </c>
      <c r="M3485" s="460">
        <f t="shared" si="169"/>
        <v>0.05</v>
      </c>
      <c r="N3485" s="464">
        <f t="shared" si="170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68"/>
        <v>-547029401156.15527</v>
      </c>
      <c r="J3486" s="444">
        <f t="array" ref="J3486">IFERROR(INDEX('Retirement Calculator'!J:J,MATCH('Isaac 401k'!N3486,'Retirement Calculator'!A:A,0),0),0)</f>
        <v>0</v>
      </c>
      <c r="K3486" s="444">
        <f t="shared" ca="1" si="166"/>
        <v>-2279289171.4839802</v>
      </c>
      <c r="L3486" s="444">
        <f t="shared" ca="1" si="167"/>
        <v>-549308690327.63928</v>
      </c>
      <c r="M3486" s="460">
        <f t="shared" si="169"/>
        <v>0.05</v>
      </c>
      <c r="N3486" s="464">
        <f t="shared" si="170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68"/>
        <v>-549308690327.63928</v>
      </c>
      <c r="J3487" s="444">
        <f t="array" ref="J3487">IFERROR(INDEX('Retirement Calculator'!J:J,MATCH('Isaac 401k'!N3487,'Retirement Calculator'!A:A,0),0),0)</f>
        <v>0</v>
      </c>
      <c r="K3487" s="444">
        <f t="shared" ca="1" si="166"/>
        <v>-2288786209.6984968</v>
      </c>
      <c r="L3487" s="444">
        <f t="shared" ca="1" si="167"/>
        <v>-551597476537.33777</v>
      </c>
      <c r="M3487" s="460">
        <f t="shared" si="169"/>
        <v>0.05</v>
      </c>
      <c r="N3487" s="464">
        <f t="shared" si="170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68"/>
        <v>-551597476537.33777</v>
      </c>
      <c r="J3488" s="444">
        <f t="array" ref="J3488">IFERROR(INDEX('Retirement Calculator'!J:J,MATCH('Isaac 401k'!N3488,'Retirement Calculator'!A:A,0),0),0)</f>
        <v>0</v>
      </c>
      <c r="K3488" s="444">
        <f t="shared" ca="1" si="166"/>
        <v>-2298322818.9055738</v>
      </c>
      <c r="L3488" s="444">
        <f t="shared" ca="1" si="167"/>
        <v>-553895799356.24329</v>
      </c>
      <c r="M3488" s="460">
        <f t="shared" si="169"/>
        <v>0.05</v>
      </c>
      <c r="N3488" s="464">
        <f t="shared" si="170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68"/>
        <v>-553895799356.24329</v>
      </c>
      <c r="J3489" s="444">
        <f t="array" ref="J3489">IFERROR(INDEX('Retirement Calculator'!J:J,MATCH('Isaac 401k'!N3489,'Retirement Calculator'!A:A,0),0),0)</f>
        <v>0</v>
      </c>
      <c r="K3489" s="444">
        <f t="shared" ca="1" si="166"/>
        <v>-2307899163.9843469</v>
      </c>
      <c r="L3489" s="444">
        <f t="shared" ca="1" si="167"/>
        <v>-556203698520.22766</v>
      </c>
      <c r="M3489" s="460">
        <f t="shared" si="169"/>
        <v>0.05</v>
      </c>
      <c r="N3489" s="464">
        <f t="shared" si="170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68"/>
        <v>-556203698520.22766</v>
      </c>
      <c r="J3490" s="444">
        <f t="array" ref="J3490">IFERROR(INDEX('Retirement Calculator'!J:J,MATCH('Isaac 401k'!N3490,'Retirement Calculator'!A:A,0),0),0)</f>
        <v>0</v>
      </c>
      <c r="K3490" s="444">
        <f t="shared" ca="1" si="166"/>
        <v>-2317515410.5009484</v>
      </c>
      <c r="L3490" s="444">
        <f t="shared" ca="1" si="167"/>
        <v>-558521213930.72864</v>
      </c>
      <c r="M3490" s="460">
        <f t="shared" si="169"/>
        <v>0.05</v>
      </c>
      <c r="N3490" s="464">
        <f t="shared" si="170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68"/>
        <v>-558521213930.72864</v>
      </c>
      <c r="J3491" s="444">
        <f t="array" ref="J3491">IFERROR(INDEX('Retirement Calculator'!J:J,MATCH('Isaac 401k'!N3491,'Retirement Calculator'!A:A,0),0),0)</f>
        <v>0</v>
      </c>
      <c r="K3491" s="444">
        <f t="shared" ca="1" si="166"/>
        <v>-2327171724.7113695</v>
      </c>
      <c r="L3491" s="444">
        <f t="shared" ca="1" si="167"/>
        <v>-560848385655.44006</v>
      </c>
      <c r="M3491" s="460">
        <f t="shared" si="169"/>
        <v>0.05</v>
      </c>
      <c r="N3491" s="464">
        <f t="shared" si="170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68"/>
        <v>-560848385655.44006</v>
      </c>
      <c r="J3492" s="444">
        <f t="array" ref="J3492">IFERROR(INDEX('Retirement Calculator'!J:J,MATCH('Isaac 401k'!N3492,'Retirement Calculator'!A:A,0),0),0)</f>
        <v>0</v>
      </c>
      <c r="K3492" s="444">
        <f t="shared" ca="1" si="166"/>
        <v>-2336868273.5643334</v>
      </c>
      <c r="L3492" s="444">
        <f t="shared" ca="1" si="167"/>
        <v>-563185253929.00439</v>
      </c>
      <c r="M3492" s="460">
        <f t="shared" si="169"/>
        <v>0.05</v>
      </c>
      <c r="N3492" s="464">
        <f t="shared" si="170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68"/>
        <v>-563185253929.00439</v>
      </c>
      <c r="J3493" s="444">
        <f t="array" ref="J3493">IFERROR(INDEX('Retirement Calculator'!J:J,MATCH('Isaac 401k'!N3493,'Retirement Calculator'!A:A,0),0),0)</f>
        <v>0</v>
      </c>
      <c r="K3493" s="444">
        <f t="shared" ca="1" si="166"/>
        <v>-2346605224.704185</v>
      </c>
      <c r="L3493" s="444">
        <f t="shared" ca="1" si="167"/>
        <v>-565531859153.70862</v>
      </c>
      <c r="M3493" s="460">
        <f t="shared" si="169"/>
        <v>0.05</v>
      </c>
      <c r="N3493" s="464">
        <f t="shared" si="170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68"/>
        <v>-565531859153.70862</v>
      </c>
      <c r="J3494" s="444">
        <f t="array" ref="J3494">IFERROR(INDEX('Retirement Calculator'!J:J,MATCH('Isaac 401k'!N3494,'Retirement Calculator'!A:A,0),0),0)</f>
        <v>0</v>
      </c>
      <c r="K3494" s="444">
        <f t="shared" ca="1" si="166"/>
        <v>-2356382746.4737859</v>
      </c>
      <c r="L3494" s="444">
        <f t="shared" ca="1" si="167"/>
        <v>-567888241900.18237</v>
      </c>
      <c r="M3494" s="460">
        <f t="shared" si="169"/>
        <v>0.05</v>
      </c>
      <c r="N3494" s="464">
        <f t="shared" si="170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68"/>
        <v>-567888241900.18237</v>
      </c>
      <c r="J3495" s="444">
        <f t="array" ref="J3495">IFERROR(INDEX('Retirement Calculator'!J:J,MATCH('Isaac 401k'!N3495,'Retirement Calculator'!A:A,0),0),0)</f>
        <v>0</v>
      </c>
      <c r="K3495" s="444">
        <f t="shared" ca="1" si="166"/>
        <v>-2366201007.9174266</v>
      </c>
      <c r="L3495" s="444">
        <f t="shared" ca="1" si="167"/>
        <v>-570254442908.09985</v>
      </c>
      <c r="M3495" s="460">
        <f t="shared" si="169"/>
        <v>0.05</v>
      </c>
      <c r="N3495" s="464">
        <f t="shared" si="170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68"/>
        <v>-570254442908.09985</v>
      </c>
      <c r="J3496" s="444">
        <f t="array" ref="J3496">IFERROR(INDEX('Retirement Calculator'!J:J,MATCH('Isaac 401k'!N3496,'Retirement Calculator'!A:A,0),0),0)</f>
        <v>0</v>
      </c>
      <c r="K3496" s="444">
        <f t="shared" ca="1" si="166"/>
        <v>-2376060178.7837496</v>
      </c>
      <c r="L3496" s="444">
        <f t="shared" ca="1" si="167"/>
        <v>-572630503086.88354</v>
      </c>
      <c r="M3496" s="460">
        <f t="shared" si="169"/>
        <v>0.05</v>
      </c>
      <c r="N3496" s="464">
        <f t="shared" si="170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68"/>
        <v>-572630503086.88354</v>
      </c>
      <c r="J3497" s="444">
        <f t="array" ref="J3497">IFERROR(INDEX('Retirement Calculator'!J:J,MATCH('Isaac 401k'!N3497,'Retirement Calculator'!A:A,0),0),0)</f>
        <v>0</v>
      </c>
      <c r="K3497" s="444">
        <f t="shared" ca="1" si="166"/>
        <v>-2385960429.5286813</v>
      </c>
      <c r="L3497" s="444">
        <f t="shared" ca="1" si="167"/>
        <v>-575016463516.41223</v>
      </c>
      <c r="M3497" s="460">
        <f t="shared" si="169"/>
        <v>0.05</v>
      </c>
      <c r="N3497" s="464">
        <f t="shared" si="170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68"/>
        <v>-575016463516.41223</v>
      </c>
      <c r="J3498" s="444">
        <f t="array" ref="J3498">IFERROR(INDEX('Retirement Calculator'!J:J,MATCH('Isaac 401k'!N3498,'Retirement Calculator'!A:A,0),0),0)</f>
        <v>0</v>
      </c>
      <c r="K3498" s="444">
        <f t="shared" ca="1" si="166"/>
        <v>-2395901931.3183842</v>
      </c>
      <c r="L3498" s="444">
        <f t="shared" ca="1" si="167"/>
        <v>-577412365447.73059</v>
      </c>
      <c r="M3498" s="460">
        <f t="shared" si="169"/>
        <v>0.05</v>
      </c>
      <c r="N3498" s="464">
        <f t="shared" si="170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68"/>
        <v>-577412365447.73059</v>
      </c>
      <c r="J3499" s="444">
        <f t="array" ref="J3499">IFERROR(INDEX('Retirement Calculator'!J:J,MATCH('Isaac 401k'!N3499,'Retirement Calculator'!A:A,0),0),0)</f>
        <v>0</v>
      </c>
      <c r="K3499" s="444">
        <f t="shared" ca="1" si="166"/>
        <v>-2405884856.0322108</v>
      </c>
      <c r="L3499" s="444">
        <f t="shared" ca="1" si="167"/>
        <v>-579818250303.76282</v>
      </c>
      <c r="M3499" s="460">
        <f t="shared" si="169"/>
        <v>0.05</v>
      </c>
      <c r="N3499" s="464">
        <f t="shared" si="170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68"/>
        <v>-579818250303.76282</v>
      </c>
      <c r="J3500" s="444">
        <f t="array" ref="J3500">IFERROR(INDEX('Retirement Calculator'!J:J,MATCH('Isaac 401k'!N3500,'Retirement Calculator'!A:A,0),0),0)</f>
        <v>0</v>
      </c>
      <c r="K3500" s="444">
        <f t="shared" ca="1" si="166"/>
        <v>-2415909376.2656784</v>
      </c>
      <c r="L3500" s="444">
        <f t="shared" ca="1" si="167"/>
        <v>-582234159680.02844</v>
      </c>
      <c r="M3500" s="460">
        <f t="shared" si="169"/>
        <v>0.05</v>
      </c>
      <c r="N3500" s="464">
        <f t="shared" si="170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68"/>
        <v>-582234159680.02844</v>
      </c>
      <c r="J3501" s="444">
        <f t="array" ref="J3501">IFERROR(INDEX('Retirement Calculator'!J:J,MATCH('Isaac 401k'!N3501,'Retirement Calculator'!A:A,0),0),0)</f>
        <v>0</v>
      </c>
      <c r="K3501" s="444">
        <f t="shared" ca="1" si="166"/>
        <v>-2425975665.3334517</v>
      </c>
      <c r="L3501" s="444">
        <f t="shared" ca="1" si="167"/>
        <v>-584660135345.36194</v>
      </c>
      <c r="M3501" s="460">
        <f t="shared" si="169"/>
        <v>0.05</v>
      </c>
      <c r="N3501" s="464">
        <f t="shared" si="170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68"/>
        <v>-584660135345.36194</v>
      </c>
      <c r="J3502" s="444">
        <f t="array" ref="J3502">IFERROR(INDEX('Retirement Calculator'!J:J,MATCH('Isaac 401k'!N3502,'Retirement Calculator'!A:A,0),0),0)</f>
        <v>0</v>
      </c>
      <c r="K3502" s="444">
        <f t="shared" ca="1" si="166"/>
        <v>-2436083897.2723413</v>
      </c>
      <c r="L3502" s="444">
        <f t="shared" ca="1" si="167"/>
        <v>-587096219242.63428</v>
      </c>
      <c r="M3502" s="460">
        <f t="shared" si="169"/>
        <v>0.05</v>
      </c>
      <c r="N3502" s="464">
        <f t="shared" si="170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68"/>
        <v>-587096219242.63428</v>
      </c>
      <c r="J3503" s="444">
        <f t="array" ref="J3503">IFERROR(INDEX('Retirement Calculator'!J:J,MATCH('Isaac 401k'!N3503,'Retirement Calculator'!A:A,0),0),0)</f>
        <v>0</v>
      </c>
      <c r="K3503" s="444">
        <f t="shared" ca="1" si="166"/>
        <v>-2446234246.8443093</v>
      </c>
      <c r="L3503" s="444">
        <f t="shared" ca="1" si="167"/>
        <v>-589542453489.47864</v>
      </c>
      <c r="M3503" s="460">
        <f t="shared" si="169"/>
        <v>0.05</v>
      </c>
      <c r="N3503" s="464">
        <f t="shared" si="170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68"/>
        <v>-589542453489.47864</v>
      </c>
      <c r="J3504" s="444">
        <f t="array" ref="J3504">IFERROR(INDEX('Retirement Calculator'!J:J,MATCH('Isaac 401k'!N3504,'Retirement Calculator'!A:A,0),0),0)</f>
        <v>0</v>
      </c>
      <c r="K3504" s="444">
        <f t="shared" ca="1" si="166"/>
        <v>-2456426889.5394945</v>
      </c>
      <c r="L3504" s="444">
        <f t="shared" ca="1" si="167"/>
        <v>-591998880379.01819</v>
      </c>
      <c r="M3504" s="460">
        <f t="shared" si="169"/>
        <v>0.05</v>
      </c>
      <c r="N3504" s="464">
        <f t="shared" si="170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68"/>
        <v>-591998880379.01819</v>
      </c>
      <c r="J3505" s="444">
        <f t="array" ref="J3505">IFERROR(INDEX('Retirement Calculator'!J:J,MATCH('Isaac 401k'!N3505,'Retirement Calculator'!A:A,0),0),0)</f>
        <v>0</v>
      </c>
      <c r="K3505" s="444">
        <f t="shared" ca="1" si="166"/>
        <v>-2466662001.5792422</v>
      </c>
      <c r="L3505" s="444">
        <f t="shared" ca="1" si="167"/>
        <v>-594465542380.59741</v>
      </c>
      <c r="M3505" s="460">
        <f t="shared" si="169"/>
        <v>0.05</v>
      </c>
      <c r="N3505" s="464">
        <f t="shared" si="170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68"/>
        <v>-594465542380.59741</v>
      </c>
      <c r="J3506" s="444">
        <f t="array" ref="J3506">IFERROR(INDEX('Retirement Calculator'!J:J,MATCH('Isaac 401k'!N3506,'Retirement Calculator'!A:A,0),0),0)</f>
        <v>0</v>
      </c>
      <c r="K3506" s="444">
        <f t="shared" ca="1" si="166"/>
        <v>-2476939759.9191561</v>
      </c>
      <c r="L3506" s="444">
        <f t="shared" ca="1" si="167"/>
        <v>-596942482140.5166</v>
      </c>
      <c r="M3506" s="460">
        <f t="shared" si="169"/>
        <v>0.05</v>
      </c>
      <c r="N3506" s="464">
        <f t="shared" si="170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68"/>
        <v>-596942482140.5166</v>
      </c>
      <c r="J3507" s="444">
        <f t="array" ref="J3507">IFERROR(INDEX('Retirement Calculator'!J:J,MATCH('Isaac 401k'!N3507,'Retirement Calculator'!A:A,0),0),0)</f>
        <v>0</v>
      </c>
      <c r="K3507" s="444">
        <f t="shared" ca="1" si="166"/>
        <v>-2487260342.2521524</v>
      </c>
      <c r="L3507" s="444">
        <f t="shared" ca="1" si="167"/>
        <v>-599429742482.7688</v>
      </c>
      <c r="M3507" s="460">
        <f t="shared" si="169"/>
        <v>0.05</v>
      </c>
      <c r="N3507" s="464">
        <f t="shared" si="170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68"/>
        <v>-599429742482.7688</v>
      </c>
      <c r="J3508" s="444">
        <f t="array" ref="J3508">IFERROR(INDEX('Retirement Calculator'!J:J,MATCH('Isaac 401k'!N3508,'Retirement Calculator'!A:A,0),0),0)</f>
        <v>0</v>
      </c>
      <c r="K3508" s="444">
        <f t="shared" ca="1" si="166"/>
        <v>-2497623927.0115366</v>
      </c>
      <c r="L3508" s="444">
        <f t="shared" ca="1" si="167"/>
        <v>-601927366409.7804</v>
      </c>
      <c r="M3508" s="460">
        <f t="shared" si="169"/>
        <v>0.05</v>
      </c>
      <c r="N3508" s="464">
        <f t="shared" si="170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68"/>
        <v>-601927366409.7804</v>
      </c>
      <c r="J3509" s="444">
        <f t="array" ref="J3509">IFERROR(INDEX('Retirement Calculator'!J:J,MATCH('Isaac 401k'!N3509,'Retirement Calculator'!A:A,0),0),0)</f>
        <v>0</v>
      </c>
      <c r="K3509" s="444">
        <f t="shared" ca="1" si="166"/>
        <v>-2508030693.3740849</v>
      </c>
      <c r="L3509" s="444">
        <f t="shared" ca="1" si="167"/>
        <v>-604435397103.15454</v>
      </c>
      <c r="M3509" s="460">
        <f t="shared" si="169"/>
        <v>0.05</v>
      </c>
      <c r="N3509" s="464">
        <f t="shared" si="170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68"/>
        <v>-604435397103.15454</v>
      </c>
      <c r="J3510" s="444">
        <f t="array" ref="J3510">IFERROR(INDEX('Retirement Calculator'!J:J,MATCH('Isaac 401k'!N3510,'Retirement Calculator'!A:A,0),0),0)</f>
        <v>0</v>
      </c>
      <c r="K3510" s="444">
        <f t="shared" ca="1" si="166"/>
        <v>-2518480821.263144</v>
      </c>
      <c r="L3510" s="444">
        <f t="shared" ca="1" si="167"/>
        <v>-606953877924.41772</v>
      </c>
      <c r="M3510" s="460">
        <f t="shared" si="169"/>
        <v>0.05</v>
      </c>
      <c r="N3510" s="464">
        <f t="shared" si="170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68"/>
        <v>-606953877924.41772</v>
      </c>
      <c r="J3511" s="444">
        <f t="array" ref="J3511">IFERROR(INDEX('Retirement Calculator'!J:J,MATCH('Isaac 401k'!N3511,'Retirement Calculator'!A:A,0),0),0)</f>
        <v>0</v>
      </c>
      <c r="K3511" s="444">
        <f t="shared" ca="1" si="166"/>
        <v>-2528974491.3517404</v>
      </c>
      <c r="L3511" s="444">
        <f t="shared" ca="1" si="167"/>
        <v>-609482852415.76941</v>
      </c>
      <c r="M3511" s="460">
        <f t="shared" si="169"/>
        <v>0.05</v>
      </c>
      <c r="N3511" s="464">
        <f t="shared" si="170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68"/>
        <v>-609482852415.76941</v>
      </c>
      <c r="J3512" s="444">
        <f t="array" ref="J3512">IFERROR(INDEX('Retirement Calculator'!J:J,MATCH('Isaac 401k'!N3512,'Retirement Calculator'!A:A,0),0),0)</f>
        <v>0</v>
      </c>
      <c r="K3512" s="444">
        <f t="shared" ca="1" si="166"/>
        <v>-2539511885.0657058</v>
      </c>
      <c r="L3512" s="444">
        <f t="shared" ca="1" si="167"/>
        <v>-612022364300.83508</v>
      </c>
      <c r="M3512" s="460">
        <f t="shared" si="169"/>
        <v>0.05</v>
      </c>
      <c r="N3512" s="464">
        <f t="shared" si="170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68"/>
        <v>-612022364300.83508</v>
      </c>
      <c r="J3513" s="444">
        <f t="array" ref="J3513">IFERROR(INDEX('Retirement Calculator'!J:J,MATCH('Isaac 401k'!N3513,'Retirement Calculator'!A:A,0),0),0)</f>
        <v>0</v>
      </c>
      <c r="K3513" s="444">
        <f t="shared" ca="1" si="166"/>
        <v>-2550093184.586813</v>
      </c>
      <c r="L3513" s="444">
        <f t="shared" ca="1" si="167"/>
        <v>-614572457485.42188</v>
      </c>
      <c r="M3513" s="460">
        <f t="shared" si="169"/>
        <v>0.05</v>
      </c>
      <c r="N3513" s="464">
        <f t="shared" si="170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68"/>
        <v>-614572457485.42188</v>
      </c>
      <c r="J3514" s="444">
        <f t="array" ref="J3514">IFERROR(INDEX('Retirement Calculator'!J:J,MATCH('Isaac 401k'!N3514,'Retirement Calculator'!A:A,0),0),0)</f>
        <v>0</v>
      </c>
      <c r="K3514" s="444">
        <f t="shared" ca="1" si="166"/>
        <v>-2560718572.8559246</v>
      </c>
      <c r="L3514" s="444">
        <f t="shared" ca="1" si="167"/>
        <v>-617133176058.27783</v>
      </c>
      <c r="M3514" s="460">
        <f t="shared" si="169"/>
        <v>0.05</v>
      </c>
      <c r="N3514" s="464">
        <f t="shared" si="170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68"/>
        <v>-617133176058.27783</v>
      </c>
      <c r="J3515" s="444">
        <f t="array" ref="J3515">IFERROR(INDEX('Retirement Calculator'!J:J,MATCH('Isaac 401k'!N3515,'Retirement Calculator'!A:A,0),0),0)</f>
        <v>0</v>
      </c>
      <c r="K3515" s="444">
        <f t="shared" ca="1" si="166"/>
        <v>-2571388233.5761576</v>
      </c>
      <c r="L3515" s="444">
        <f t="shared" ca="1" si="167"/>
        <v>-619704564291.854</v>
      </c>
      <c r="M3515" s="460">
        <f t="shared" si="169"/>
        <v>0.05</v>
      </c>
      <c r="N3515" s="464">
        <f t="shared" si="170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68"/>
        <v>-619704564291.854</v>
      </c>
      <c r="J3516" s="444">
        <f t="array" ref="J3516">IFERROR(INDEX('Retirement Calculator'!J:J,MATCH('Isaac 401k'!N3516,'Retirement Calculator'!A:A,0),0),0)</f>
        <v>0</v>
      </c>
      <c r="K3516" s="444">
        <f t="shared" ca="1" si="166"/>
        <v>-2582102351.2160583</v>
      </c>
      <c r="L3516" s="444">
        <f t="shared" ca="1" si="167"/>
        <v>-622286666643.07007</v>
      </c>
      <c r="M3516" s="460">
        <f t="shared" si="169"/>
        <v>0.05</v>
      </c>
      <c r="N3516" s="464">
        <f t="shared" si="170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68"/>
        <v>-622286666643.07007</v>
      </c>
      <c r="J3517" s="444">
        <f t="array" ref="J3517">IFERROR(INDEX('Retirement Calculator'!J:J,MATCH('Isaac 401k'!N3517,'Retirement Calculator'!A:A,0),0),0)</f>
        <v>0</v>
      </c>
      <c r="K3517" s="444">
        <f t="shared" ca="1" si="166"/>
        <v>-2592861111.0127921</v>
      </c>
      <c r="L3517" s="444">
        <f t="shared" ca="1" si="167"/>
        <v>-624879527754.08289</v>
      </c>
      <c r="M3517" s="460">
        <f t="shared" si="169"/>
        <v>0.05</v>
      </c>
      <c r="N3517" s="464">
        <f t="shared" si="170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68"/>
        <v>-624879527754.08289</v>
      </c>
      <c r="J3518" s="444">
        <f t="array" ref="J3518">IFERROR(INDEX('Retirement Calculator'!J:J,MATCH('Isaac 401k'!N3518,'Retirement Calculator'!A:A,0),0),0)</f>
        <v>0</v>
      </c>
      <c r="K3518" s="444">
        <f t="shared" ca="1" si="166"/>
        <v>-2603664698.9753451</v>
      </c>
      <c r="L3518" s="444">
        <f t="shared" ca="1" si="167"/>
        <v>-627483192453.05823</v>
      </c>
      <c r="M3518" s="460">
        <f t="shared" si="169"/>
        <v>0.05</v>
      </c>
      <c r="N3518" s="464">
        <f t="shared" si="170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68"/>
        <v>-627483192453.05823</v>
      </c>
      <c r="J3519" s="444">
        <f t="array" ref="J3519">IFERROR(INDEX('Retirement Calculator'!J:J,MATCH('Isaac 401k'!N3519,'Retirement Calculator'!A:A,0),0),0)</f>
        <v>0</v>
      </c>
      <c r="K3519" s="444">
        <f t="shared" ca="1" si="166"/>
        <v>-2614513301.8877425</v>
      </c>
      <c r="L3519" s="444">
        <f t="shared" ca="1" si="167"/>
        <v>-630097705754.94592</v>
      </c>
      <c r="M3519" s="460">
        <f t="shared" si="169"/>
        <v>0.05</v>
      </c>
      <c r="N3519" s="464">
        <f t="shared" si="170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68"/>
        <v>-630097705754.94592</v>
      </c>
      <c r="J3520" s="444">
        <f t="array" ref="J3520">IFERROR(INDEX('Retirement Calculator'!J:J,MATCH('Isaac 401k'!N3520,'Retirement Calculator'!A:A,0),0),0)</f>
        <v>0</v>
      </c>
      <c r="K3520" s="444">
        <f t="shared" ca="1" si="166"/>
        <v>-2625407107.3122745</v>
      </c>
      <c r="L3520" s="444">
        <f t="shared" ca="1" si="167"/>
        <v>-632723112862.25818</v>
      </c>
      <c r="M3520" s="460">
        <f t="shared" si="169"/>
        <v>0.05</v>
      </c>
      <c r="N3520" s="464">
        <f t="shared" si="170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68"/>
        <v>-632723112862.25818</v>
      </c>
      <c r="J3521" s="444">
        <f t="array" ref="J3521">IFERROR(INDEX('Retirement Calculator'!J:J,MATCH('Isaac 401k'!N3521,'Retirement Calculator'!A:A,0),0),0)</f>
        <v>0</v>
      </c>
      <c r="K3521" s="444">
        <f t="shared" ca="1" si="166"/>
        <v>-2636346303.5927424</v>
      </c>
      <c r="L3521" s="444">
        <f t="shared" ca="1" si="167"/>
        <v>-635359459165.85095</v>
      </c>
      <c r="M3521" s="460">
        <f t="shared" si="169"/>
        <v>0.05</v>
      </c>
      <c r="N3521" s="464">
        <f t="shared" si="170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68"/>
        <v>-635359459165.85095</v>
      </c>
      <c r="J3522" s="444">
        <f t="array" ref="J3522">IFERROR(INDEX('Retirement Calculator'!J:J,MATCH('Isaac 401k'!N3522,'Retirement Calculator'!A:A,0),0),0)</f>
        <v>0</v>
      </c>
      <c r="K3522" s="444">
        <f t="shared" ca="1" si="166"/>
        <v>-2647331079.8577123</v>
      </c>
      <c r="L3522" s="444">
        <f t="shared" ca="1" si="167"/>
        <v>-638006790245.70862</v>
      </c>
      <c r="M3522" s="460">
        <f t="shared" si="169"/>
        <v>0.05</v>
      </c>
      <c r="N3522" s="464">
        <f t="shared" si="170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68"/>
        <v>-638006790245.70862</v>
      </c>
      <c r="J3523" s="444">
        <f t="array" ref="J3523">IFERROR(INDEX('Retirement Calculator'!J:J,MATCH('Isaac 401k'!N3523,'Retirement Calculator'!A:A,0),0),0)</f>
        <v>0</v>
      </c>
      <c r="K3523" s="444">
        <f t="shared" ca="1" si="166"/>
        <v>-2658361626.0237861</v>
      </c>
      <c r="L3523" s="444">
        <f t="shared" ca="1" si="167"/>
        <v>-640665151871.73242</v>
      </c>
      <c r="M3523" s="460">
        <f t="shared" si="169"/>
        <v>0.05</v>
      </c>
      <c r="N3523" s="464">
        <f t="shared" si="170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68"/>
        <v>-640665151871.73242</v>
      </c>
      <c r="J3524" s="444">
        <f t="array" ref="J3524">IFERROR(INDEX('Retirement Calculator'!J:J,MATCH('Isaac 401k'!N3524,'Retirement Calculator'!A:A,0),0),0)</f>
        <v>0</v>
      </c>
      <c r="K3524" s="444">
        <f t="shared" ca="1" si="166"/>
        <v>-2669438132.7988849</v>
      </c>
      <c r="L3524" s="444">
        <f t="shared" ca="1" si="167"/>
        <v>-643334590004.53125</v>
      </c>
      <c r="M3524" s="460">
        <f t="shared" si="169"/>
        <v>0.05</v>
      </c>
      <c r="N3524" s="464">
        <f t="shared" si="170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68"/>
        <v>-643334590004.53125</v>
      </c>
      <c r="J3525" s="444">
        <f t="array" ref="J3525">IFERROR(INDEX('Retirement Calculator'!J:J,MATCH('Isaac 401k'!N3525,'Retirement Calculator'!A:A,0),0),0)</f>
        <v>0</v>
      </c>
      <c r="K3525" s="444">
        <f t="shared" ca="1" si="166"/>
        <v>-2680560791.6855469</v>
      </c>
      <c r="L3525" s="444">
        <f t="shared" ca="1" si="167"/>
        <v>-646015150796.2168</v>
      </c>
      <c r="M3525" s="460">
        <f t="shared" si="169"/>
        <v>0.05</v>
      </c>
      <c r="N3525" s="464">
        <f t="shared" si="170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68"/>
        <v>-646015150796.2168</v>
      </c>
      <c r="J3526" s="444">
        <f t="array" ref="J3526">IFERROR(INDEX('Retirement Calculator'!J:J,MATCH('Isaac 401k'!N3526,'Retirement Calculator'!A:A,0),0),0)</f>
        <v>0</v>
      </c>
      <c r="K3526" s="444">
        <f t="shared" ca="1" si="166"/>
        <v>-2691729794.9842367</v>
      </c>
      <c r="L3526" s="444">
        <f t="shared" ca="1" si="167"/>
        <v>-648706880591.20105</v>
      </c>
      <c r="M3526" s="460">
        <f t="shared" si="169"/>
        <v>0.05</v>
      </c>
      <c r="N3526" s="464">
        <f t="shared" si="170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68"/>
        <v>-648706880591.20105</v>
      </c>
      <c r="J3527" s="444">
        <f t="array" ref="J3527">IFERROR(INDEX('Retirement Calculator'!J:J,MATCH('Isaac 401k'!N3527,'Retirement Calculator'!A:A,0),0),0)</f>
        <v>0</v>
      </c>
      <c r="K3527" s="444">
        <f t="shared" ca="1" si="166"/>
        <v>-2702945335.7966709</v>
      </c>
      <c r="L3527" s="444">
        <f t="shared" ca="1" si="167"/>
        <v>-651409825926.99768</v>
      </c>
      <c r="M3527" s="460">
        <f t="shared" si="169"/>
        <v>0.05</v>
      </c>
      <c r="N3527" s="464">
        <f t="shared" si="170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68"/>
        <v>-651409825926.99768</v>
      </c>
      <c r="J3528" s="444">
        <f t="array" ref="J3528">IFERROR(INDEX('Retirement Calculator'!J:J,MATCH('Isaac 401k'!N3528,'Retirement Calculator'!A:A,0),0),0)</f>
        <v>0</v>
      </c>
      <c r="K3528" s="444">
        <f t="shared" ca="1" si="166"/>
        <v>-2714207608.0291572</v>
      </c>
      <c r="L3528" s="444">
        <f t="shared" ca="1" si="167"/>
        <v>-654124033535.02686</v>
      </c>
      <c r="M3528" s="460">
        <f t="shared" si="169"/>
        <v>0.05</v>
      </c>
      <c r="N3528" s="464">
        <f t="shared" si="170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68"/>
        <v>-654124033535.02686</v>
      </c>
      <c r="J3529" s="444">
        <f t="array" ref="J3529">IFERROR(INDEX('Retirement Calculator'!J:J,MATCH('Isaac 401k'!N3529,'Retirement Calculator'!A:A,0),0),0)</f>
        <v>0</v>
      </c>
      <c r="K3529" s="444">
        <f t="shared" ca="1" si="166"/>
        <v>-2725516806.3959451</v>
      </c>
      <c r="L3529" s="444">
        <f t="shared" ca="1" si="167"/>
        <v>-656849550341.42285</v>
      </c>
      <c r="M3529" s="460">
        <f t="shared" si="169"/>
        <v>0.05</v>
      </c>
      <c r="N3529" s="464">
        <f t="shared" si="170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68"/>
        <v>-656849550341.42285</v>
      </c>
      <c r="J3530" s="444">
        <f t="array" ref="J3530">IFERROR(INDEX('Retirement Calculator'!J:J,MATCH('Isaac 401k'!N3530,'Retirement Calculator'!A:A,0),0),0)</f>
        <v>0</v>
      </c>
      <c r="K3530" s="444">
        <f t="shared" ca="1" si="166"/>
        <v>-2736873126.422595</v>
      </c>
      <c r="L3530" s="444">
        <f t="shared" ca="1" si="167"/>
        <v>-659586423467.84546</v>
      </c>
      <c r="M3530" s="460">
        <f t="shared" si="169"/>
        <v>0.05</v>
      </c>
      <c r="N3530" s="464">
        <f t="shared" si="170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68"/>
        <v>-659586423467.84546</v>
      </c>
      <c r="J3531" s="444">
        <f t="array" ref="J3531">IFERROR(INDEX('Retirement Calculator'!J:J,MATCH('Isaac 401k'!N3531,'Retirement Calculator'!A:A,0),0),0)</f>
        <v>0</v>
      </c>
      <c r="K3531" s="444">
        <f t="shared" ca="1" si="166"/>
        <v>-2748276764.4493561</v>
      </c>
      <c r="L3531" s="444">
        <f t="shared" ca="1" si="167"/>
        <v>-662334700232.2948</v>
      </c>
      <c r="M3531" s="460">
        <f t="shared" si="169"/>
        <v>0.05</v>
      </c>
      <c r="N3531" s="464">
        <f t="shared" si="170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68"/>
        <v>-662334700232.2948</v>
      </c>
      <c r="J3532" s="444">
        <f t="array" ref="J3532">IFERROR(INDEX('Retirement Calculator'!J:J,MATCH('Isaac 401k'!N3532,'Retirement Calculator'!A:A,0),0),0)</f>
        <v>0</v>
      </c>
      <c r="K3532" s="444">
        <f t="shared" ca="1" si="166"/>
        <v>-2759727917.6345615</v>
      </c>
      <c r="L3532" s="444">
        <f t="shared" ca="1" si="167"/>
        <v>-665094428149.92932</v>
      </c>
      <c r="M3532" s="460">
        <f t="shared" si="169"/>
        <v>0.05</v>
      </c>
      <c r="N3532" s="464">
        <f t="shared" si="170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68"/>
        <v>-665094428149.92932</v>
      </c>
      <c r="J3533" s="444">
        <f t="array" ref="J3533">IFERROR(INDEX('Retirement Calculator'!J:J,MATCH('Isaac 401k'!N3533,'Retirement Calculator'!A:A,0),0),0)</f>
        <v>0</v>
      </c>
      <c r="K3533" s="444">
        <f t="shared" ca="1" si="166"/>
        <v>-2771226783.9580388</v>
      </c>
      <c r="L3533" s="444">
        <f t="shared" ca="1" si="167"/>
        <v>-667865654933.88733</v>
      </c>
      <c r="M3533" s="460">
        <f t="shared" si="169"/>
        <v>0.05</v>
      </c>
      <c r="N3533" s="464">
        <f t="shared" si="170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68"/>
        <v>-667865654933.88733</v>
      </c>
      <c r="J3534" s="444">
        <f t="array" ref="J3534">IFERROR(INDEX('Retirement Calculator'!J:J,MATCH('Isaac 401k'!N3534,'Retirement Calculator'!A:A,0),0),0)</f>
        <v>0</v>
      </c>
      <c r="K3534" s="444">
        <f t="shared" ca="1" si="166"/>
        <v>-2782773562.2245307</v>
      </c>
      <c r="L3534" s="444">
        <f t="shared" ca="1" si="167"/>
        <v>-670648428496.11182</v>
      </c>
      <c r="M3534" s="460">
        <f t="shared" si="169"/>
        <v>0.05</v>
      </c>
      <c r="N3534" s="464">
        <f t="shared" si="170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68"/>
        <v>-670648428496.11182</v>
      </c>
      <c r="J3535" s="444">
        <f t="array" ref="J3535">IFERROR(INDEX('Retirement Calculator'!J:J,MATCH('Isaac 401k'!N3535,'Retirement Calculator'!A:A,0),0),0)</f>
        <v>0</v>
      </c>
      <c r="K3535" s="444">
        <f t="shared" ca="1" si="166"/>
        <v>-2794368452.0671325</v>
      </c>
      <c r="L3535" s="444">
        <f t="shared" ca="1" si="167"/>
        <v>-673442796948.17896</v>
      </c>
      <c r="M3535" s="460">
        <f t="shared" si="169"/>
        <v>0.05</v>
      </c>
      <c r="N3535" s="464">
        <f t="shared" si="170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68"/>
        <v>-673442796948.17896</v>
      </c>
      <c r="J3536" s="444">
        <f t="array" ref="J3536">IFERROR(INDEX('Retirement Calculator'!J:J,MATCH('Isaac 401k'!N3536,'Retirement Calculator'!A:A,0),0),0)</f>
        <v>0</v>
      </c>
      <c r="K3536" s="444">
        <f t="shared" ca="1" si="166"/>
        <v>-2806011653.9507456</v>
      </c>
      <c r="L3536" s="444">
        <f t="shared" ca="1" si="167"/>
        <v>-676248808602.12976</v>
      </c>
      <c r="M3536" s="460">
        <f t="shared" si="169"/>
        <v>0.05</v>
      </c>
      <c r="N3536" s="464">
        <f t="shared" si="170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68"/>
        <v>-676248808602.12976</v>
      </c>
      <c r="J3537" s="444">
        <f t="array" ref="J3537">IFERROR(INDEX('Retirement Calculator'!J:J,MATCH('Isaac 401k'!N3537,'Retirement Calculator'!A:A,0),0),0)</f>
        <v>0</v>
      </c>
      <c r="K3537" s="444">
        <f t="shared" ca="1" si="166"/>
        <v>-2817703369.1755404</v>
      </c>
      <c r="L3537" s="444">
        <f t="shared" ca="1" si="167"/>
        <v>-679066511971.3053</v>
      </c>
      <c r="M3537" s="460">
        <f t="shared" si="169"/>
        <v>0.05</v>
      </c>
      <c r="N3537" s="464">
        <f t="shared" si="170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68"/>
        <v>-679066511971.3053</v>
      </c>
      <c r="J3538" s="444">
        <f t="array" ref="J3538">IFERROR(INDEX('Retirement Calculator'!J:J,MATCH('Isaac 401k'!N3538,'Retirement Calculator'!A:A,0),0),0)</f>
        <v>0</v>
      </c>
      <c r="K3538" s="444">
        <f t="shared" ca="1" si="166"/>
        <v>-2829443799.8804388</v>
      </c>
      <c r="L3538" s="444">
        <f t="shared" ca="1" si="167"/>
        <v>-681895955771.18579</v>
      </c>
      <c r="M3538" s="460">
        <f t="shared" si="169"/>
        <v>0.05</v>
      </c>
      <c r="N3538" s="464">
        <f t="shared" si="170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68"/>
        <v>-681895955771.18579</v>
      </c>
      <c r="J3539" s="444">
        <f t="array" ref="J3539">IFERROR(INDEX('Retirement Calculator'!J:J,MATCH('Isaac 401k'!N3539,'Retirement Calculator'!A:A,0),0),0)</f>
        <v>0</v>
      </c>
      <c r="K3539" s="444">
        <f t="shared" ca="1" si="166"/>
        <v>-2841233149.0466075</v>
      </c>
      <c r="L3539" s="444">
        <f t="shared" ca="1" si="167"/>
        <v>-684737188920.23242</v>
      </c>
      <c r="M3539" s="460">
        <f t="shared" si="169"/>
        <v>0.05</v>
      </c>
      <c r="N3539" s="464">
        <f t="shared" si="170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68"/>
        <v>-684737188920.23242</v>
      </c>
      <c r="J3540" s="444">
        <f t="array" ref="J3540">IFERROR(INDEX('Retirement Calculator'!J:J,MATCH('Isaac 401k'!N3540,'Retirement Calculator'!A:A,0),0),0)</f>
        <v>0</v>
      </c>
      <c r="K3540" s="444">
        <f t="shared" ca="1" si="166"/>
        <v>-2853071620.5009685</v>
      </c>
      <c r="L3540" s="444">
        <f t="shared" ca="1" si="167"/>
        <v>-687590260540.7334</v>
      </c>
      <c r="M3540" s="460">
        <f t="shared" si="169"/>
        <v>0.05</v>
      </c>
      <c r="N3540" s="464">
        <f t="shared" si="170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68"/>
        <v>-687590260540.7334</v>
      </c>
      <c r="J3541" s="444">
        <f t="array" ref="J3541">IFERROR(INDEX('Retirement Calculator'!J:J,MATCH('Isaac 401k'!N3541,'Retirement Calculator'!A:A,0),0),0)</f>
        <v>0</v>
      </c>
      <c r="K3541" s="444">
        <f t="shared" ca="1" si="166"/>
        <v>-2864959418.9197226</v>
      </c>
      <c r="L3541" s="444">
        <f t="shared" ca="1" si="167"/>
        <v>-690455219959.65308</v>
      </c>
      <c r="M3541" s="460">
        <f t="shared" si="169"/>
        <v>0.05</v>
      </c>
      <c r="N3541" s="464">
        <f t="shared" si="170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68"/>
        <v>-690455219959.65308</v>
      </c>
      <c r="J3542" s="444">
        <f t="array" ref="J3542">IFERROR(INDEX('Retirement Calculator'!J:J,MATCH('Isaac 401k'!N3542,'Retirement Calculator'!A:A,0),0),0)</f>
        <v>0</v>
      </c>
      <c r="K3542" s="444">
        <f t="shared" ca="1" si="166"/>
        <v>-2876896749.8318877</v>
      </c>
      <c r="L3542" s="444">
        <f t="shared" ca="1" si="167"/>
        <v>-693332116709.48499</v>
      </c>
      <c r="M3542" s="460">
        <f t="shared" si="169"/>
        <v>0.05</v>
      </c>
      <c r="N3542" s="464">
        <f t="shared" si="170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68"/>
        <v>-693332116709.48499</v>
      </c>
      <c r="J3543" s="444">
        <f t="array" ref="J3543">IFERROR(INDEX('Retirement Calculator'!J:J,MATCH('Isaac 401k'!N3543,'Retirement Calculator'!A:A,0),0),0)</f>
        <v>0</v>
      </c>
      <c r="K3543" s="444">
        <f t="shared" ca="1" si="166"/>
        <v>-2888883819.6228542</v>
      </c>
      <c r="L3543" s="444">
        <f t="shared" ca="1" si="167"/>
        <v>-696221000529.10779</v>
      </c>
      <c r="M3543" s="460">
        <f t="shared" si="169"/>
        <v>0.05</v>
      </c>
      <c r="N3543" s="464">
        <f t="shared" si="170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68"/>
        <v>-696221000529.10779</v>
      </c>
      <c r="J3544" s="444">
        <f t="array" ref="J3544">IFERROR(INDEX('Retirement Calculator'!J:J,MATCH('Isaac 401k'!N3544,'Retirement Calculator'!A:A,0),0),0)</f>
        <v>0</v>
      </c>
      <c r="K3544" s="444">
        <f t="shared" ca="1" si="166"/>
        <v>-2900920835.5379491</v>
      </c>
      <c r="L3544" s="444">
        <f t="shared" ca="1" si="167"/>
        <v>-699121921364.64575</v>
      </c>
      <c r="M3544" s="460">
        <f t="shared" si="169"/>
        <v>0.05</v>
      </c>
      <c r="N3544" s="464">
        <f t="shared" si="170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68"/>
        <v>-699121921364.64575</v>
      </c>
      <c r="J3545" s="444">
        <f t="array" ref="J3545">IFERROR(INDEX('Retirement Calculator'!J:J,MATCH('Isaac 401k'!N3545,'Retirement Calculator'!A:A,0),0),0)</f>
        <v>0</v>
      </c>
      <c r="K3545" s="444">
        <f t="shared" ca="1" si="166"/>
        <v>-2913008005.6860237</v>
      </c>
      <c r="L3545" s="444">
        <f t="shared" ca="1" si="167"/>
        <v>-702034929370.33179</v>
      </c>
      <c r="M3545" s="460">
        <f t="shared" si="169"/>
        <v>0.05</v>
      </c>
      <c r="N3545" s="464">
        <f t="shared" si="170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68"/>
        <v>-702034929370.33179</v>
      </c>
      <c r="J3546" s="444">
        <f t="array" ref="J3546">IFERROR(INDEX('Retirement Calculator'!J:J,MATCH('Isaac 401k'!N3546,'Retirement Calculator'!A:A,0),0),0)</f>
        <v>0</v>
      </c>
      <c r="K3546" s="444">
        <f t="shared" ca="1" si="166"/>
        <v>-2925145539.0430489</v>
      </c>
      <c r="L3546" s="444">
        <f t="shared" ca="1" si="167"/>
        <v>-704960074909.37488</v>
      </c>
      <c r="M3546" s="460">
        <f t="shared" si="169"/>
        <v>0.05</v>
      </c>
      <c r="N3546" s="464">
        <f t="shared" si="170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68"/>
        <v>-704960074909.37488</v>
      </c>
      <c r="J3547" s="444">
        <f t="array" ref="J3547">IFERROR(INDEX('Retirement Calculator'!J:J,MATCH('Isaac 401k'!N3547,'Retirement Calculator'!A:A,0),0),0)</f>
        <v>0</v>
      </c>
      <c r="K3547" s="444">
        <f t="shared" ca="1" si="166"/>
        <v>-2937333645.4557285</v>
      </c>
      <c r="L3547" s="444">
        <f t="shared" ca="1" si="167"/>
        <v>-707897408554.83057</v>
      </c>
      <c r="M3547" s="460">
        <f t="shared" si="169"/>
        <v>0.05</v>
      </c>
      <c r="N3547" s="464">
        <f t="shared" si="170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68"/>
        <v>-707897408554.83057</v>
      </c>
      <c r="J3548" s="444">
        <f t="array" ref="J3548">IFERROR(INDEX('Retirement Calculator'!J:J,MATCH('Isaac 401k'!N3548,'Retirement Calculator'!A:A,0),0),0)</f>
        <v>0</v>
      </c>
      <c r="K3548" s="444">
        <f t="shared" ca="1" si="166"/>
        <v>-2949572535.6451273</v>
      </c>
      <c r="L3548" s="444">
        <f t="shared" ca="1" si="167"/>
        <v>-710846981090.47571</v>
      </c>
      <c r="M3548" s="460">
        <f t="shared" si="169"/>
        <v>0.05</v>
      </c>
      <c r="N3548" s="464">
        <f t="shared" si="170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68"/>
        <v>-710846981090.47571</v>
      </c>
      <c r="J3549" s="444">
        <f t="array" ref="J3549">IFERROR(INDEX('Retirement Calculator'!J:J,MATCH('Isaac 401k'!N3549,'Retirement Calculator'!A:A,0),0),0)</f>
        <v>0</v>
      </c>
      <c r="K3549" s="444">
        <f t="shared" ca="1" si="166"/>
        <v>-2961862421.2103152</v>
      </c>
      <c r="L3549" s="444">
        <f t="shared" ca="1" si="167"/>
        <v>-713808843511.68604</v>
      </c>
      <c r="M3549" s="460">
        <f t="shared" si="169"/>
        <v>0.05</v>
      </c>
      <c r="N3549" s="464">
        <f t="shared" si="170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68"/>
        <v>-713808843511.68604</v>
      </c>
      <c r="J3550" s="444">
        <f t="array" ref="J3550">IFERROR(INDEX('Retirement Calculator'!J:J,MATCH('Isaac 401k'!N3550,'Retirement Calculator'!A:A,0),0),0)</f>
        <v>0</v>
      </c>
      <c r="K3550" s="444">
        <f t="shared" ca="1" si="166"/>
        <v>-2974203514.6320252</v>
      </c>
      <c r="L3550" s="444">
        <f t="shared" ca="1" si="167"/>
        <v>-716783047026.31812</v>
      </c>
      <c r="M3550" s="460">
        <f t="shared" si="169"/>
        <v>0.05</v>
      </c>
      <c r="N3550" s="464">
        <f t="shared" si="170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68"/>
        <v>-716783047026.31812</v>
      </c>
      <c r="J3551" s="444">
        <f t="array" ref="J3551">IFERROR(INDEX('Retirement Calculator'!J:J,MATCH('Isaac 401k'!N3551,'Retirement Calculator'!A:A,0),0),0)</f>
        <v>0</v>
      </c>
      <c r="K3551" s="444">
        <f t="shared" ca="1" si="166"/>
        <v>-2986596029.2763252</v>
      </c>
      <c r="L3551" s="444">
        <f t="shared" ca="1" si="167"/>
        <v>-719769643055.59448</v>
      </c>
      <c r="M3551" s="460">
        <f t="shared" si="169"/>
        <v>0.05</v>
      </c>
      <c r="N3551" s="464">
        <f t="shared" si="170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68"/>
        <v>-719769643055.59448</v>
      </c>
      <c r="J3552" s="444">
        <f t="array" ref="J3552">IFERROR(INDEX('Retirement Calculator'!J:J,MATCH('Isaac 401k'!N3552,'Retirement Calculator'!A:A,0),0),0)</f>
        <v>0</v>
      </c>
      <c r="K3552" s="444">
        <f t="shared" ca="1" si="166"/>
        <v>-2999040179.3983102</v>
      </c>
      <c r="L3552" s="444">
        <f t="shared" ca="1" si="167"/>
        <v>-722768683234.9928</v>
      </c>
      <c r="M3552" s="460">
        <f t="shared" si="169"/>
        <v>0.05</v>
      </c>
      <c r="N3552" s="464">
        <f t="shared" si="170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68"/>
        <v>-722768683234.9928</v>
      </c>
      <c r="J3553" s="444">
        <f t="array" ref="J3553">IFERROR(INDEX('Retirement Calculator'!J:J,MATCH('Isaac 401k'!N3553,'Retirement Calculator'!A:A,0),0),0)</f>
        <v>0</v>
      </c>
      <c r="K3553" s="444">
        <f t="shared" ca="1" si="166"/>
        <v>-3011536180.1458035</v>
      </c>
      <c r="L3553" s="444">
        <f t="shared" ca="1" si="167"/>
        <v>-725780219415.13855</v>
      </c>
      <c r="M3553" s="460">
        <f t="shared" si="169"/>
        <v>0.05</v>
      </c>
      <c r="N3553" s="464">
        <f t="shared" si="170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68"/>
        <v>-725780219415.13855</v>
      </c>
      <c r="J3554" s="444">
        <f t="array" ref="J3554">IFERROR(INDEX('Retirement Calculator'!J:J,MATCH('Isaac 401k'!N3554,'Retirement Calculator'!A:A,0),0),0)</f>
        <v>0</v>
      </c>
      <c r="K3554" s="444">
        <f t="shared" ca="1" si="166"/>
        <v>-3024084247.5630774</v>
      </c>
      <c r="L3554" s="444">
        <f t="shared" ca="1" si="167"/>
        <v>-728804303662.70166</v>
      </c>
      <c r="M3554" s="460">
        <f t="shared" si="169"/>
        <v>0.05</v>
      </c>
      <c r="N3554" s="464">
        <f t="shared" si="170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68"/>
        <v>-728804303662.70166</v>
      </c>
      <c r="J3555" s="444">
        <f t="array" ref="J3555">IFERROR(INDEX('Retirement Calculator'!J:J,MATCH('Isaac 401k'!N3555,'Retirement Calculator'!A:A,0),0),0)</f>
        <v>0</v>
      </c>
      <c r="K3555" s="444">
        <f t="shared" ca="1" si="166"/>
        <v>-3036684598.5945902</v>
      </c>
      <c r="L3555" s="444">
        <f t="shared" ca="1" si="167"/>
        <v>-731840988261.29626</v>
      </c>
      <c r="M3555" s="460">
        <f t="shared" si="169"/>
        <v>0.05</v>
      </c>
      <c r="N3555" s="464">
        <f t="shared" si="170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68"/>
        <v>-731840988261.29626</v>
      </c>
      <c r="J3556" s="444">
        <f t="array" ref="J3556">IFERROR(INDEX('Retirement Calculator'!J:J,MATCH('Isaac 401k'!N3556,'Retirement Calculator'!A:A,0),0),0)</f>
        <v>0</v>
      </c>
      <c r="K3556" s="444">
        <f t="shared" ca="1" si="166"/>
        <v>-3049337451.0887346</v>
      </c>
      <c r="L3556" s="444">
        <f t="shared" ca="1" si="167"/>
        <v>-734890325712.38501</v>
      </c>
      <c r="M3556" s="460">
        <f t="shared" si="169"/>
        <v>0.05</v>
      </c>
      <c r="N3556" s="464">
        <f t="shared" si="170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68"/>
        <v>-734890325712.38501</v>
      </c>
      <c r="J3557" s="444">
        <f t="array" ref="J3557">IFERROR(INDEX('Retirement Calculator'!J:J,MATCH('Isaac 401k'!N3557,'Retirement Calculator'!A:A,0),0),0)</f>
        <v>0</v>
      </c>
      <c r="K3557" s="444">
        <f t="shared" ca="1" si="166"/>
        <v>-3062043023.8016043</v>
      </c>
      <c r="L3557" s="444">
        <f t="shared" ca="1" si="167"/>
        <v>-737952368736.18665</v>
      </c>
      <c r="M3557" s="460">
        <f t="shared" si="169"/>
        <v>0.05</v>
      </c>
      <c r="N3557" s="464">
        <f t="shared" si="170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68"/>
        <v>-737952368736.18665</v>
      </c>
      <c r="J3558" s="444">
        <f t="array" ref="J3558">IFERROR(INDEX('Retirement Calculator'!J:J,MATCH('Isaac 401k'!N3558,'Retirement Calculator'!A:A,0),0),0)</f>
        <v>0</v>
      </c>
      <c r="K3558" s="444">
        <f t="shared" ca="1" si="166"/>
        <v>-3074801536.4007778</v>
      </c>
      <c r="L3558" s="444">
        <f t="shared" ca="1" si="167"/>
        <v>-741027170272.5874</v>
      </c>
      <c r="M3558" s="460">
        <f t="shared" si="169"/>
        <v>0.05</v>
      </c>
      <c r="N3558" s="464">
        <f t="shared" si="170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68"/>
        <v>-741027170272.5874</v>
      </c>
      <c r="J3559" s="444">
        <f t="array" ref="J3559">IFERROR(INDEX('Retirement Calculator'!J:J,MATCH('Isaac 401k'!N3559,'Retirement Calculator'!A:A,0),0),0)</f>
        <v>0</v>
      </c>
      <c r="K3559" s="444">
        <f t="shared" ca="1" si="166"/>
        <v>-3087613209.4691143</v>
      </c>
      <c r="L3559" s="444">
        <f t="shared" ca="1" si="167"/>
        <v>-744114783482.05652</v>
      </c>
      <c r="M3559" s="460">
        <f t="shared" si="169"/>
        <v>0.05</v>
      </c>
      <c r="N3559" s="464">
        <f t="shared" si="170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68"/>
        <v>-744114783482.05652</v>
      </c>
      <c r="J3560" s="444">
        <f t="array" ref="J3560">IFERROR(INDEX('Retirement Calculator'!J:J,MATCH('Isaac 401k'!N3560,'Retirement Calculator'!A:A,0),0),0)</f>
        <v>0</v>
      </c>
      <c r="K3560" s="444">
        <f t="shared" ca="1" si="166"/>
        <v>-3100478264.5085688</v>
      </c>
      <c r="L3560" s="444">
        <f t="shared" ca="1" si="167"/>
        <v>-747215261746.56506</v>
      </c>
      <c r="M3560" s="460">
        <f t="shared" si="169"/>
        <v>0.05</v>
      </c>
      <c r="N3560" s="464">
        <f t="shared" si="170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68"/>
        <v>-747215261746.56506</v>
      </c>
      <c r="J3561" s="444">
        <f t="array" ref="J3561">IFERROR(INDEX('Retirement Calculator'!J:J,MATCH('Isaac 401k'!N3561,'Retirement Calculator'!A:A,0),0),0)</f>
        <v>0</v>
      </c>
      <c r="K3561" s="444">
        <f t="shared" ca="1" si="166"/>
        <v>-3113396923.9440212</v>
      </c>
      <c r="L3561" s="444">
        <f t="shared" ca="1" si="167"/>
        <v>-750328658670.50903</v>
      </c>
      <c r="M3561" s="460">
        <f t="shared" si="169"/>
        <v>0.05</v>
      </c>
      <c r="N3561" s="464">
        <f t="shared" si="170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68"/>
        <v>-750328658670.50903</v>
      </c>
      <c r="J3562" s="444">
        <f t="array" ref="J3562">IFERROR(INDEX('Retirement Calculator'!J:J,MATCH('Isaac 401k'!N3562,'Retirement Calculator'!A:A,0),0),0)</f>
        <v>0</v>
      </c>
      <c r="K3562" s="444">
        <f t="shared" ca="1" si="166"/>
        <v>-3126369411.127121</v>
      </c>
      <c r="L3562" s="444">
        <f t="shared" ca="1" si="167"/>
        <v>-753455028081.63611</v>
      </c>
      <c r="M3562" s="460">
        <f t="shared" si="169"/>
        <v>0.05</v>
      </c>
      <c r="N3562" s="464">
        <f t="shared" si="170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68"/>
        <v>-753455028081.63611</v>
      </c>
      <c r="J3563" s="444">
        <f t="array" ref="J3563">IFERROR(INDEX('Retirement Calculator'!J:J,MATCH('Isaac 401k'!N3563,'Retirement Calculator'!A:A,0),0),0)</f>
        <v>0</v>
      </c>
      <c r="K3563" s="444">
        <f t="shared" ca="1" si="166"/>
        <v>-3139395950.3401504</v>
      </c>
      <c r="L3563" s="444">
        <f t="shared" ca="1" si="167"/>
        <v>-756594424031.97632</v>
      </c>
      <c r="M3563" s="460">
        <f t="shared" si="169"/>
        <v>0.05</v>
      </c>
      <c r="N3563" s="464">
        <f t="shared" si="170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68"/>
        <v>-756594424031.97632</v>
      </c>
      <c r="J3564" s="444">
        <f t="array" ref="J3564">IFERROR(INDEX('Retirement Calculator'!J:J,MATCH('Isaac 401k'!N3564,'Retirement Calculator'!A:A,0),0),0)</f>
        <v>0</v>
      </c>
      <c r="K3564" s="444">
        <f t="shared" ca="1" si="166"/>
        <v>-3152476766.7999015</v>
      </c>
      <c r="L3564" s="444">
        <f t="shared" ca="1" si="167"/>
        <v>-759746900798.77625</v>
      </c>
      <c r="M3564" s="460">
        <f t="shared" si="169"/>
        <v>0.05</v>
      </c>
      <c r="N3564" s="464">
        <f t="shared" si="170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68"/>
        <v>-759746900798.77625</v>
      </c>
      <c r="J3565" s="444">
        <f t="array" ref="J3565">IFERROR(INDEX('Retirement Calculator'!J:J,MATCH('Isaac 401k'!N3565,'Retirement Calculator'!A:A,0),0),0)</f>
        <v>0</v>
      </c>
      <c r="K3565" s="444">
        <f t="shared" ca="1" si="166"/>
        <v>-3165612086.6615677</v>
      </c>
      <c r="L3565" s="444">
        <f t="shared" ca="1" si="167"/>
        <v>-762912512885.43787</v>
      </c>
      <c r="M3565" s="460">
        <f t="shared" si="169"/>
        <v>0.05</v>
      </c>
      <c r="N3565" s="464">
        <f t="shared" si="170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68"/>
        <v>-762912512885.43787</v>
      </c>
      <c r="J3566" s="444">
        <f t="array" ref="J3566">IFERROR(INDEX('Retirement Calculator'!J:J,MATCH('Isaac 401k'!N3566,'Retirement Calculator'!A:A,0),0),0)</f>
        <v>0</v>
      </c>
      <c r="K3566" s="444">
        <f t="shared" ca="1" si="166"/>
        <v>-3178802137.0226579</v>
      </c>
      <c r="L3566" s="444">
        <f t="shared" ca="1" si="167"/>
        <v>-766091315022.46057</v>
      </c>
      <c r="M3566" s="460">
        <f t="shared" si="169"/>
        <v>0.05</v>
      </c>
      <c r="N3566" s="464">
        <f t="shared" si="170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68"/>
        <v>-766091315022.46057</v>
      </c>
      <c r="J3567" s="444">
        <f t="array" ref="J3567">IFERROR(INDEX('Retirement Calculator'!J:J,MATCH('Isaac 401k'!N3567,'Retirement Calculator'!A:A,0),0),0)</f>
        <v>0</v>
      </c>
      <c r="K3567" s="444">
        <f t="shared" ca="1" si="166"/>
        <v>-3192047145.926919</v>
      </c>
      <c r="L3567" s="444">
        <f t="shared" ca="1" si="167"/>
        <v>-769283362168.38745</v>
      </c>
      <c r="M3567" s="460">
        <f t="shared" si="169"/>
        <v>0.05</v>
      </c>
      <c r="N3567" s="464">
        <f t="shared" si="170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68"/>
        <v>-769283362168.38745</v>
      </c>
      <c r="J3568" s="444">
        <f t="array" ref="J3568">IFERROR(INDEX('Retirement Calculator'!J:J,MATCH('Isaac 401k'!N3568,'Retirement Calculator'!A:A,0),0),0)</f>
        <v>0</v>
      </c>
      <c r="K3568" s="444">
        <f t="shared" ca="1" si="166"/>
        <v>-3205347342.3682809</v>
      </c>
      <c r="L3568" s="444">
        <f t="shared" ca="1" si="167"/>
        <v>-772488709510.75574</v>
      </c>
      <c r="M3568" s="460">
        <f t="shared" si="169"/>
        <v>0.05</v>
      </c>
      <c r="N3568" s="464">
        <f t="shared" si="170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68"/>
        <v>-772488709510.75574</v>
      </c>
      <c r="J3569" s="444">
        <f t="array" ref="J3569">IFERROR(INDEX('Retirement Calculator'!J:J,MATCH('Isaac 401k'!N3569,'Retirement Calculator'!A:A,0),0),0)</f>
        <v>0</v>
      </c>
      <c r="K3569" s="444">
        <f t="shared" ca="1" si="166"/>
        <v>-3218702956.2948155</v>
      </c>
      <c r="L3569" s="444">
        <f t="shared" ca="1" si="167"/>
        <v>-775707412467.05054</v>
      </c>
      <c r="M3569" s="460">
        <f t="shared" si="169"/>
        <v>0.05</v>
      </c>
      <c r="N3569" s="464">
        <f t="shared" si="170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68"/>
        <v>-775707412467.05054</v>
      </c>
      <c r="J3570" s="444">
        <f t="array" ref="J3570">IFERROR(INDEX('Retirement Calculator'!J:J,MATCH('Isaac 401k'!N3570,'Retirement Calculator'!A:A,0),0),0)</f>
        <v>0</v>
      </c>
      <c r="K3570" s="444">
        <f t="shared" ca="1" si="166"/>
        <v>-3232114218.6127105</v>
      </c>
      <c r="L3570" s="444">
        <f t="shared" ca="1" si="167"/>
        <v>-778939526685.66321</v>
      </c>
      <c r="M3570" s="460">
        <f t="shared" si="169"/>
        <v>0.05</v>
      </c>
      <c r="N3570" s="464">
        <f t="shared" si="170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68"/>
        <v>-778939526685.66321</v>
      </c>
      <c r="J3571" s="444">
        <f t="array" ref="J3571">IFERROR(INDEX('Retirement Calculator'!J:J,MATCH('Isaac 401k'!N3571,'Retirement Calculator'!A:A,0),0),0)</f>
        <v>0</v>
      </c>
      <c r="K3571" s="444">
        <f t="shared" ca="1" si="166"/>
        <v>-3245581361.1902633</v>
      </c>
      <c r="L3571" s="444">
        <f t="shared" ca="1" si="167"/>
        <v>-782185108046.85352</v>
      </c>
      <c r="M3571" s="460">
        <f t="shared" si="169"/>
        <v>0.05</v>
      </c>
      <c r="N3571" s="464">
        <f t="shared" si="170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68"/>
        <v>-782185108046.85352</v>
      </c>
      <c r="J3572" s="444">
        <f t="array" ref="J3572">IFERROR(INDEX('Retirement Calculator'!J:J,MATCH('Isaac 401k'!N3572,'Retirement Calculator'!A:A,0),0),0)</f>
        <v>0</v>
      </c>
      <c r="K3572" s="444">
        <f t="shared" ca="1" si="166"/>
        <v>-3259104616.8618898</v>
      </c>
      <c r="L3572" s="444">
        <f t="shared" ca="1" si="167"/>
        <v>-785444212663.71545</v>
      </c>
      <c r="M3572" s="460">
        <f t="shared" si="169"/>
        <v>0.05</v>
      </c>
      <c r="N3572" s="464">
        <f t="shared" si="170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68"/>
        <v>-785444212663.71545</v>
      </c>
      <c r="J3573" s="444">
        <f t="array" ref="J3573">IFERROR(INDEX('Retirement Calculator'!J:J,MATCH('Isaac 401k'!N3573,'Retirement Calculator'!A:A,0),0),0)</f>
        <v>0</v>
      </c>
      <c r="K3573" s="444">
        <f t="shared" ca="1" si="166"/>
        <v>-3272684219.4321475</v>
      </c>
      <c r="L3573" s="444">
        <f t="shared" ca="1" si="167"/>
        <v>-788716896883.14758</v>
      </c>
      <c r="M3573" s="460">
        <f t="shared" si="169"/>
        <v>0.05</v>
      </c>
      <c r="N3573" s="464">
        <f t="shared" si="170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68"/>
        <v>-788716896883.14758</v>
      </c>
      <c r="J3574" s="444">
        <f t="array" ref="J3574">IFERROR(INDEX('Retirement Calculator'!J:J,MATCH('Isaac 401k'!N3574,'Retirement Calculator'!A:A,0),0),0)</f>
        <v>0</v>
      </c>
      <c r="K3574" s="444">
        <f t="shared" ca="1" si="166"/>
        <v>-3286320403.6797814</v>
      </c>
      <c r="L3574" s="444">
        <f t="shared" ca="1" si="167"/>
        <v>-792003217286.82739</v>
      </c>
      <c r="M3574" s="460">
        <f t="shared" si="169"/>
        <v>0.05</v>
      </c>
      <c r="N3574" s="464">
        <f t="shared" si="170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68"/>
        <v>-792003217286.82739</v>
      </c>
      <c r="J3575" s="444">
        <f t="array" ref="J3575">IFERROR(INDEX('Retirement Calculator'!J:J,MATCH('Isaac 401k'!N3575,'Retirement Calculator'!A:A,0),0),0)</f>
        <v>0</v>
      </c>
      <c r="K3575" s="444">
        <f t="shared" ca="1" si="166"/>
        <v>-3300013405.3617806</v>
      </c>
      <c r="L3575" s="444">
        <f t="shared" ca="1" si="167"/>
        <v>-795303230692.18921</v>
      </c>
      <c r="M3575" s="460">
        <f t="shared" si="169"/>
        <v>0.05</v>
      </c>
      <c r="N3575" s="464">
        <f t="shared" si="170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68"/>
        <v>-795303230692.18921</v>
      </c>
      <c r="J3576" s="444">
        <f t="array" ref="J3576">IFERROR(INDEX('Retirement Calculator'!J:J,MATCH('Isaac 401k'!N3576,'Retirement Calculator'!A:A,0),0),0)</f>
        <v>0</v>
      </c>
      <c r="K3576" s="444">
        <f t="shared" ca="1" si="166"/>
        <v>-3313763461.2174549</v>
      </c>
      <c r="L3576" s="444">
        <f t="shared" ca="1" si="167"/>
        <v>-798616994153.40662</v>
      </c>
      <c r="M3576" s="460">
        <f t="shared" si="169"/>
        <v>0.05</v>
      </c>
      <c r="N3576" s="464">
        <f t="shared" si="170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68"/>
        <v>-798616994153.40662</v>
      </c>
      <c r="J3577" s="444">
        <f t="array" ref="J3577">IFERROR(INDEX('Retirement Calculator'!J:J,MATCH('Isaac 401k'!N3577,'Retirement Calculator'!A:A,0),0),0)</f>
        <v>0</v>
      </c>
      <c r="K3577" s="444">
        <f t="shared" ca="1" si="166"/>
        <v>-3327570808.9725275</v>
      </c>
      <c r="L3577" s="444">
        <f t="shared" ca="1" si="167"/>
        <v>-801944564962.37915</v>
      </c>
      <c r="M3577" s="460">
        <f t="shared" si="169"/>
        <v>0.05</v>
      </c>
      <c r="N3577" s="464">
        <f t="shared" si="170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68"/>
        <v>-801944564962.37915</v>
      </c>
      <c r="J3578" s="444">
        <f t="array" ref="J3578">IFERROR(INDEX('Retirement Calculator'!J:J,MATCH('Isaac 401k'!N3578,'Retirement Calculator'!A:A,0),0),0)</f>
        <v>0</v>
      </c>
      <c r="K3578" s="444">
        <f t="shared" ref="K3578:K3832" ca="1" si="171">IPMT(M3578/12,1,12,-I3578+J3578,,0)</f>
        <v>-3341435687.3432465</v>
      </c>
      <c r="L3578" s="444">
        <f t="shared" ref="L3578:L3832" ca="1" si="172">I3578-J3578+K3578</f>
        <v>-805286000649.72241</v>
      </c>
      <c r="M3578" s="460">
        <f t="shared" si="169"/>
        <v>0.05</v>
      </c>
      <c r="N3578" s="464">
        <f t="shared" si="170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73">L3578</f>
        <v>-805286000649.72241</v>
      </c>
      <c r="J3579" s="444">
        <f t="array" ref="J3579">IFERROR(INDEX('Retirement Calculator'!J:J,MATCH('Isaac 401k'!N3579,'Retirement Calculator'!A:A,0),0),0)</f>
        <v>0</v>
      </c>
      <c r="K3579" s="444">
        <f t="shared" ca="1" si="171"/>
        <v>-3355358336.0405102</v>
      </c>
      <c r="L3579" s="444">
        <f t="shared" ca="1" si="172"/>
        <v>-808641358985.76294</v>
      </c>
      <c r="M3579" s="460">
        <f t="shared" ref="M3579:M3833" si="174">M3578</f>
        <v>0.05</v>
      </c>
      <c r="N3579" s="464">
        <f t="shared" ref="N3579:N3833" si="175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73"/>
        <v>-808641358985.76294</v>
      </c>
      <c r="J3580" s="444">
        <f t="array" ref="J3580">IFERROR(INDEX('Retirement Calculator'!J:J,MATCH('Isaac 401k'!N3580,'Retirement Calculator'!A:A,0),0),0)</f>
        <v>0</v>
      </c>
      <c r="K3580" s="444">
        <f t="shared" ca="1" si="171"/>
        <v>-3369338995.7740121</v>
      </c>
      <c r="L3580" s="444">
        <f t="shared" ca="1" si="172"/>
        <v>-812010697981.53699</v>
      </c>
      <c r="M3580" s="460">
        <f t="shared" si="174"/>
        <v>0.05</v>
      </c>
      <c r="N3580" s="464">
        <f t="shared" si="175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73"/>
        <v>-812010697981.53699</v>
      </c>
      <c r="J3581" s="444">
        <f t="array" ref="J3581">IFERROR(INDEX('Retirement Calculator'!J:J,MATCH('Isaac 401k'!N3581,'Retirement Calculator'!A:A,0),0),0)</f>
        <v>0</v>
      </c>
      <c r="K3581" s="444">
        <f t="shared" ca="1" si="171"/>
        <v>-3383377908.2564039</v>
      </c>
      <c r="L3581" s="444">
        <f t="shared" ca="1" si="172"/>
        <v>-815394075889.79333</v>
      </c>
      <c r="M3581" s="460">
        <f t="shared" si="174"/>
        <v>0.05</v>
      </c>
      <c r="N3581" s="464">
        <f t="shared" si="175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73"/>
        <v>-815394075889.79333</v>
      </c>
      <c r="J3582" s="444">
        <f t="array" ref="J3582">IFERROR(INDEX('Retirement Calculator'!J:J,MATCH('Isaac 401k'!N3582,'Retirement Calculator'!A:A,0),0),0)</f>
        <v>0</v>
      </c>
      <c r="K3582" s="444">
        <f t="shared" ca="1" si="171"/>
        <v>-3397475316.2074723</v>
      </c>
      <c r="L3582" s="444">
        <f t="shared" ca="1" si="172"/>
        <v>-818791551206.00085</v>
      </c>
      <c r="M3582" s="460">
        <f t="shared" si="174"/>
        <v>0.05</v>
      </c>
      <c r="N3582" s="464">
        <f t="shared" si="175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73"/>
        <v>-818791551206.00085</v>
      </c>
      <c r="J3583" s="444">
        <f t="array" ref="J3583">IFERROR(INDEX('Retirement Calculator'!J:J,MATCH('Isaac 401k'!N3583,'Retirement Calculator'!A:A,0),0),0)</f>
        <v>0</v>
      </c>
      <c r="K3583" s="444">
        <f t="shared" ca="1" si="171"/>
        <v>-3411631463.3583369</v>
      </c>
      <c r="L3583" s="444">
        <f t="shared" ca="1" si="172"/>
        <v>-822203182669.35913</v>
      </c>
      <c r="M3583" s="460">
        <f t="shared" si="174"/>
        <v>0.05</v>
      </c>
      <c r="N3583" s="464">
        <f t="shared" si="175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73"/>
        <v>-822203182669.35913</v>
      </c>
      <c r="J3584" s="444">
        <f t="array" ref="J3584">IFERROR(INDEX('Retirement Calculator'!J:J,MATCH('Isaac 401k'!N3584,'Retirement Calculator'!A:A,0),0),0)</f>
        <v>0</v>
      </c>
      <c r="K3584" s="444">
        <f t="shared" ca="1" si="171"/>
        <v>-3425846594.4556632</v>
      </c>
      <c r="L3584" s="444">
        <f t="shared" ca="1" si="172"/>
        <v>-825629029263.81482</v>
      </c>
      <c r="M3584" s="460">
        <f t="shared" si="174"/>
        <v>0.05</v>
      </c>
      <c r="N3584" s="464">
        <f t="shared" si="175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73"/>
        <v>-825629029263.81482</v>
      </c>
      <c r="J3585" s="444">
        <f t="array" ref="J3585">IFERROR(INDEX('Retirement Calculator'!J:J,MATCH('Isaac 401k'!N3585,'Retirement Calculator'!A:A,0),0),0)</f>
        <v>0</v>
      </c>
      <c r="K3585" s="444">
        <f t="shared" ca="1" si="171"/>
        <v>-3440120955.2658949</v>
      </c>
      <c r="L3585" s="444">
        <f t="shared" ca="1" si="172"/>
        <v>-829069150219.08069</v>
      </c>
      <c r="M3585" s="460">
        <f t="shared" si="174"/>
        <v>0.05</v>
      </c>
      <c r="N3585" s="464">
        <f t="shared" si="175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73"/>
        <v>-829069150219.08069</v>
      </c>
      <c r="J3586" s="444">
        <f t="array" ref="J3586">IFERROR(INDEX('Retirement Calculator'!J:J,MATCH('Isaac 401k'!N3586,'Retirement Calculator'!A:A,0),0),0)</f>
        <v>0</v>
      </c>
      <c r="K3586" s="444">
        <f t="shared" ca="1" si="171"/>
        <v>-3454454792.5795026</v>
      </c>
      <c r="L3586" s="444">
        <f t="shared" ca="1" si="172"/>
        <v>-832523605011.66016</v>
      </c>
      <c r="M3586" s="460">
        <f t="shared" si="174"/>
        <v>0.05</v>
      </c>
      <c r="N3586" s="464">
        <f t="shared" si="175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73"/>
        <v>-832523605011.66016</v>
      </c>
      <c r="J3587" s="444">
        <f t="array" ref="J3587">IFERROR(INDEX('Retirement Calculator'!J:J,MATCH('Isaac 401k'!N3587,'Retirement Calculator'!A:A,0),0),0)</f>
        <v>0</v>
      </c>
      <c r="K3587" s="444">
        <f t="shared" ca="1" si="171"/>
        <v>-3468848354.2152505</v>
      </c>
      <c r="L3587" s="444">
        <f t="shared" ca="1" si="172"/>
        <v>-835992453365.87537</v>
      </c>
      <c r="M3587" s="460">
        <f t="shared" si="174"/>
        <v>0.05</v>
      </c>
      <c r="N3587" s="464">
        <f t="shared" si="175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73"/>
        <v>-835992453365.87537</v>
      </c>
      <c r="J3588" s="444">
        <f t="array" ref="J3588">IFERROR(INDEX('Retirement Calculator'!J:J,MATCH('Isaac 401k'!N3588,'Retirement Calculator'!A:A,0),0),0)</f>
        <v>0</v>
      </c>
      <c r="K3588" s="444">
        <f t="shared" ca="1" si="171"/>
        <v>-3483301889.0244808</v>
      </c>
      <c r="L3588" s="444">
        <f t="shared" ca="1" si="172"/>
        <v>-839475755254.8999</v>
      </c>
      <c r="M3588" s="460">
        <f t="shared" si="174"/>
        <v>0.05</v>
      </c>
      <c r="N3588" s="464">
        <f t="shared" si="175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73"/>
        <v>-839475755254.8999</v>
      </c>
      <c r="J3589" s="444">
        <f t="array" ref="J3589">IFERROR(INDEX('Retirement Calculator'!J:J,MATCH('Isaac 401k'!N3589,'Retirement Calculator'!A:A,0),0),0)</f>
        <v>0</v>
      </c>
      <c r="K3589" s="444">
        <f t="shared" ca="1" si="171"/>
        <v>-3497815646.8954163</v>
      </c>
      <c r="L3589" s="444">
        <f t="shared" ca="1" si="172"/>
        <v>-842973570901.79529</v>
      </c>
      <c r="M3589" s="460">
        <f t="shared" si="174"/>
        <v>0.05</v>
      </c>
      <c r="N3589" s="464">
        <f t="shared" si="175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73"/>
        <v>-842973570901.79529</v>
      </c>
      <c r="J3590" s="444">
        <f t="array" ref="J3590">IFERROR(INDEX('Retirement Calculator'!J:J,MATCH('Isaac 401k'!N3590,'Retirement Calculator'!A:A,0),0),0)</f>
        <v>0</v>
      </c>
      <c r="K3590" s="444">
        <f t="shared" ca="1" si="171"/>
        <v>-3512389878.7574801</v>
      </c>
      <c r="L3590" s="444">
        <f t="shared" ca="1" si="172"/>
        <v>-846485960780.55273</v>
      </c>
      <c r="M3590" s="460">
        <f t="shared" si="174"/>
        <v>0.05</v>
      </c>
      <c r="N3590" s="464">
        <f t="shared" si="175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73"/>
        <v>-846485960780.55273</v>
      </c>
      <c r="J3591" s="444">
        <f t="array" ref="J3591">IFERROR(INDEX('Retirement Calculator'!J:J,MATCH('Isaac 401k'!N3591,'Retirement Calculator'!A:A,0),0),0)</f>
        <v>0</v>
      </c>
      <c r="K3591" s="444">
        <f t="shared" ca="1" si="171"/>
        <v>-3527024836.5856361</v>
      </c>
      <c r="L3591" s="444">
        <f t="shared" ca="1" si="172"/>
        <v>-850012985617.13843</v>
      </c>
      <c r="M3591" s="460">
        <f t="shared" si="174"/>
        <v>0.05</v>
      </c>
      <c r="N3591" s="464">
        <f t="shared" si="175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73"/>
        <v>-850012985617.13843</v>
      </c>
      <c r="J3592" s="444">
        <f t="array" ref="J3592">IFERROR(INDEX('Retirement Calculator'!J:J,MATCH('Isaac 401k'!N3592,'Retirement Calculator'!A:A,0),0),0)</f>
        <v>0</v>
      </c>
      <c r="K3592" s="444">
        <f t="shared" ca="1" si="171"/>
        <v>-3541720773.4047432</v>
      </c>
      <c r="L3592" s="444">
        <f t="shared" ca="1" si="172"/>
        <v>-853554706390.54321</v>
      </c>
      <c r="M3592" s="460">
        <f t="shared" si="174"/>
        <v>0.05</v>
      </c>
      <c r="N3592" s="464">
        <f t="shared" si="175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73"/>
        <v>-853554706390.54321</v>
      </c>
      <c r="J3593" s="444">
        <f t="array" ref="J3593">IFERROR(INDEX('Retirement Calculator'!J:J,MATCH('Isaac 401k'!N3593,'Retirement Calculator'!A:A,0),0),0)</f>
        <v>0</v>
      </c>
      <c r="K3593" s="444">
        <f t="shared" ca="1" si="171"/>
        <v>-3556477943.2939301</v>
      </c>
      <c r="L3593" s="444">
        <f t="shared" ca="1" si="172"/>
        <v>-857111184333.83716</v>
      </c>
      <c r="M3593" s="460">
        <f t="shared" si="174"/>
        <v>0.05</v>
      </c>
      <c r="N3593" s="464">
        <f t="shared" si="175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73"/>
        <v>-857111184333.83716</v>
      </c>
      <c r="J3594" s="444">
        <f t="array" ref="J3594">IFERROR(INDEX('Retirement Calculator'!J:J,MATCH('Isaac 401k'!N3594,'Retirement Calculator'!A:A,0),0),0)</f>
        <v>0</v>
      </c>
      <c r="K3594" s="444">
        <f t="shared" ca="1" si="171"/>
        <v>-3571296601.3909879</v>
      </c>
      <c r="L3594" s="444">
        <f t="shared" ca="1" si="172"/>
        <v>-860682480935.22815</v>
      </c>
      <c r="M3594" s="460">
        <f t="shared" si="174"/>
        <v>0.05</v>
      </c>
      <c r="N3594" s="464">
        <f t="shared" si="175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73"/>
        <v>-860682480935.22815</v>
      </c>
      <c r="J3595" s="444">
        <f t="array" ref="J3595">IFERROR(INDEX('Retirement Calculator'!J:J,MATCH('Isaac 401k'!N3595,'Retirement Calculator'!A:A,0),0),0)</f>
        <v>0</v>
      </c>
      <c r="K3595" s="444">
        <f t="shared" ca="1" si="171"/>
        <v>-3586177003.8967838</v>
      </c>
      <c r="L3595" s="444">
        <f t="shared" ca="1" si="172"/>
        <v>-864268657939.12488</v>
      </c>
      <c r="M3595" s="460">
        <f t="shared" si="174"/>
        <v>0.05</v>
      </c>
      <c r="N3595" s="464">
        <f t="shared" si="175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73"/>
        <v>-864268657939.12488</v>
      </c>
      <c r="J3596" s="444">
        <f t="array" ref="J3596">IFERROR(INDEX('Retirement Calculator'!J:J,MATCH('Isaac 401k'!N3596,'Retirement Calculator'!A:A,0),0),0)</f>
        <v>0</v>
      </c>
      <c r="K3596" s="444">
        <f t="shared" ca="1" si="171"/>
        <v>-3601119408.0796866</v>
      </c>
      <c r="L3596" s="444">
        <f t="shared" ca="1" si="172"/>
        <v>-867869777347.20459</v>
      </c>
      <c r="M3596" s="460">
        <f t="shared" si="174"/>
        <v>0.05</v>
      </c>
      <c r="N3596" s="464">
        <f t="shared" si="175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73"/>
        <v>-867869777347.20459</v>
      </c>
      <c r="J3597" s="444">
        <f t="array" ref="J3597">IFERROR(INDEX('Retirement Calculator'!J:J,MATCH('Isaac 401k'!N3597,'Retirement Calculator'!A:A,0),0),0)</f>
        <v>0</v>
      </c>
      <c r="K3597" s="444">
        <f t="shared" ca="1" si="171"/>
        <v>-3616124072.2800183</v>
      </c>
      <c r="L3597" s="444">
        <f t="shared" ca="1" si="172"/>
        <v>-871485901419.48462</v>
      </c>
      <c r="M3597" s="460">
        <f t="shared" si="174"/>
        <v>0.05</v>
      </c>
      <c r="N3597" s="464">
        <f t="shared" si="175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73"/>
        <v>-871485901419.48462</v>
      </c>
      <c r="J3598" s="444">
        <f t="array" ref="J3598">IFERROR(INDEX('Retirement Calculator'!J:J,MATCH('Isaac 401k'!N3598,'Retirement Calculator'!A:A,0),0),0)</f>
        <v>0</v>
      </c>
      <c r="K3598" s="444">
        <f t="shared" ca="1" si="171"/>
        <v>-3631191255.9145188</v>
      </c>
      <c r="L3598" s="444">
        <f t="shared" ca="1" si="172"/>
        <v>-875117092675.39917</v>
      </c>
      <c r="M3598" s="460">
        <f t="shared" si="174"/>
        <v>0.05</v>
      </c>
      <c r="N3598" s="464">
        <f t="shared" si="175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73"/>
        <v>-875117092675.39917</v>
      </c>
      <c r="J3599" s="444">
        <f t="array" ref="J3599">IFERROR(INDEX('Retirement Calculator'!J:J,MATCH('Isaac 401k'!N3599,'Retirement Calculator'!A:A,0),0),0)</f>
        <v>0</v>
      </c>
      <c r="K3599" s="444">
        <f t="shared" ca="1" si="171"/>
        <v>-3646321219.4808297</v>
      </c>
      <c r="L3599" s="444">
        <f t="shared" ca="1" si="172"/>
        <v>-878763413894.88</v>
      </c>
      <c r="M3599" s="460">
        <f t="shared" si="174"/>
        <v>0.05</v>
      </c>
      <c r="N3599" s="464">
        <f t="shared" si="175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73"/>
        <v>-878763413894.88</v>
      </c>
      <c r="J3600" s="444">
        <f t="array" ref="J3600">IFERROR(INDEX('Retirement Calculator'!J:J,MATCH('Isaac 401k'!N3600,'Retirement Calculator'!A:A,0),0),0)</f>
        <v>0</v>
      </c>
      <c r="K3600" s="444">
        <f t="shared" ca="1" si="171"/>
        <v>-3661514224.5620003</v>
      </c>
      <c r="L3600" s="444">
        <f t="shared" ca="1" si="172"/>
        <v>-882424928119.44202</v>
      </c>
      <c r="M3600" s="460">
        <f t="shared" si="174"/>
        <v>0.05</v>
      </c>
      <c r="N3600" s="464">
        <f t="shared" si="175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73"/>
        <v>-882424928119.44202</v>
      </c>
      <c r="J3601" s="444">
        <f t="array" ref="J3601">IFERROR(INDEX('Retirement Calculator'!J:J,MATCH('Isaac 401k'!N3601,'Retirement Calculator'!A:A,0),0),0)</f>
        <v>0</v>
      </c>
      <c r="K3601" s="444">
        <f t="shared" ca="1" si="171"/>
        <v>-3676770533.8310084</v>
      </c>
      <c r="L3601" s="444">
        <f t="shared" ca="1" si="172"/>
        <v>-886101698653.27307</v>
      </c>
      <c r="M3601" s="460">
        <f t="shared" si="174"/>
        <v>0.05</v>
      </c>
      <c r="N3601" s="464">
        <f t="shared" si="175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73"/>
        <v>-886101698653.27307</v>
      </c>
      <c r="J3602" s="444">
        <f t="array" ref="J3602">IFERROR(INDEX('Retirement Calculator'!J:J,MATCH('Isaac 401k'!N3602,'Retirement Calculator'!A:A,0),0),0)</f>
        <v>0</v>
      </c>
      <c r="K3602" s="444">
        <f t="shared" ca="1" si="171"/>
        <v>-3692090411.0553045</v>
      </c>
      <c r="L3602" s="444">
        <f t="shared" ca="1" si="172"/>
        <v>-889793789064.32837</v>
      </c>
      <c r="M3602" s="460">
        <f t="shared" si="174"/>
        <v>0.05</v>
      </c>
      <c r="N3602" s="464">
        <f t="shared" si="175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73"/>
        <v>-889793789064.32837</v>
      </c>
      <c r="J3603" s="444">
        <f t="array" ref="J3603">IFERROR(INDEX('Retirement Calculator'!J:J,MATCH('Isaac 401k'!N3603,'Retirement Calculator'!A:A,0),0),0)</f>
        <v>0</v>
      </c>
      <c r="K3603" s="444">
        <f t="shared" ca="1" si="171"/>
        <v>-3707474121.101368</v>
      </c>
      <c r="L3603" s="444">
        <f t="shared" ca="1" si="172"/>
        <v>-893501263185.42969</v>
      </c>
      <c r="M3603" s="460">
        <f t="shared" si="174"/>
        <v>0.05</v>
      </c>
      <c r="N3603" s="464">
        <f t="shared" si="175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73"/>
        <v>-893501263185.42969</v>
      </c>
      <c r="J3604" s="444">
        <f t="array" ref="J3604">IFERROR(INDEX('Retirement Calculator'!J:J,MATCH('Isaac 401k'!N3604,'Retirement Calculator'!A:A,0),0),0)</f>
        <v>0</v>
      </c>
      <c r="K3604" s="444">
        <f t="shared" ca="1" si="171"/>
        <v>-3722921929.9392905</v>
      </c>
      <c r="L3604" s="444">
        <f t="shared" ca="1" si="172"/>
        <v>-897224185115.36902</v>
      </c>
      <c r="M3604" s="460">
        <f t="shared" si="174"/>
        <v>0.05</v>
      </c>
      <c r="N3604" s="464">
        <f t="shared" si="175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73"/>
        <v>-897224185115.36902</v>
      </c>
      <c r="J3605" s="444">
        <f t="array" ref="J3605">IFERROR(INDEX('Retirement Calculator'!J:J,MATCH('Isaac 401k'!N3605,'Retirement Calculator'!A:A,0),0),0)</f>
        <v>0</v>
      </c>
      <c r="K3605" s="444">
        <f t="shared" ca="1" si="171"/>
        <v>-3738434104.6473708</v>
      </c>
      <c r="L3605" s="444">
        <f t="shared" ca="1" si="172"/>
        <v>-900962619220.01636</v>
      </c>
      <c r="M3605" s="460">
        <f t="shared" si="174"/>
        <v>0.05</v>
      </c>
      <c r="N3605" s="464">
        <f t="shared" si="175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73"/>
        <v>-900962619220.01636</v>
      </c>
      <c r="J3606" s="444">
        <f t="array" ref="J3606">IFERROR(INDEX('Retirement Calculator'!J:J,MATCH('Isaac 401k'!N3606,'Retirement Calculator'!A:A,0),0),0)</f>
        <v>0</v>
      </c>
      <c r="K3606" s="444">
        <f t="shared" ca="1" si="171"/>
        <v>-3754010913.4167342</v>
      </c>
      <c r="L3606" s="444">
        <f t="shared" ca="1" si="172"/>
        <v>-904716630133.43311</v>
      </c>
      <c r="M3606" s="460">
        <f t="shared" si="174"/>
        <v>0.05</v>
      </c>
      <c r="N3606" s="464">
        <f t="shared" si="175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73"/>
        <v>-904716630133.43311</v>
      </c>
      <c r="J3607" s="444">
        <f t="array" ref="J3607">IFERROR(INDEX('Retirement Calculator'!J:J,MATCH('Isaac 401k'!N3607,'Retirement Calculator'!A:A,0),0),0)</f>
        <v>0</v>
      </c>
      <c r="K3607" s="444">
        <f t="shared" ca="1" si="171"/>
        <v>-3769652625.5559711</v>
      </c>
      <c r="L3607" s="444">
        <f t="shared" ca="1" si="172"/>
        <v>-908486282758.98914</v>
      </c>
      <c r="M3607" s="460">
        <f t="shared" si="174"/>
        <v>0.05</v>
      </c>
      <c r="N3607" s="464">
        <f t="shared" si="175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73"/>
        <v>-908486282758.98914</v>
      </c>
      <c r="J3608" s="444">
        <f t="array" ref="J3608">IFERROR(INDEX('Retirement Calculator'!J:J,MATCH('Isaac 401k'!N3608,'Retirement Calculator'!A:A,0),0),0)</f>
        <v>0</v>
      </c>
      <c r="K3608" s="444">
        <f t="shared" ca="1" si="171"/>
        <v>-3785359511.4957876</v>
      </c>
      <c r="L3608" s="444">
        <f t="shared" ca="1" si="172"/>
        <v>-912271642270.48486</v>
      </c>
      <c r="M3608" s="460">
        <f t="shared" si="174"/>
        <v>0.05</v>
      </c>
      <c r="N3608" s="464">
        <f t="shared" si="175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73"/>
        <v>-912271642270.48486</v>
      </c>
      <c r="J3609" s="444">
        <f t="array" ref="J3609">IFERROR(INDEX('Retirement Calculator'!J:J,MATCH('Isaac 401k'!N3609,'Retirement Calculator'!A:A,0),0),0)</f>
        <v>0</v>
      </c>
      <c r="K3609" s="444">
        <f t="shared" ca="1" si="171"/>
        <v>-3801131842.7936869</v>
      </c>
      <c r="L3609" s="444">
        <f t="shared" ca="1" si="172"/>
        <v>-916072774113.27856</v>
      </c>
      <c r="M3609" s="460">
        <f t="shared" si="174"/>
        <v>0.05</v>
      </c>
      <c r="N3609" s="464">
        <f t="shared" si="175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73"/>
        <v>-916072774113.27856</v>
      </c>
      <c r="J3610" s="444">
        <f t="array" ref="J3610">IFERROR(INDEX('Retirement Calculator'!J:J,MATCH('Isaac 401k'!N3610,'Retirement Calculator'!A:A,0),0),0)</f>
        <v>0</v>
      </c>
      <c r="K3610" s="444">
        <f t="shared" ca="1" si="171"/>
        <v>-3816969892.1386604</v>
      </c>
      <c r="L3610" s="444">
        <f t="shared" ca="1" si="172"/>
        <v>-919889744005.41724</v>
      </c>
      <c r="M3610" s="460">
        <f t="shared" si="174"/>
        <v>0.05</v>
      </c>
      <c r="N3610" s="464">
        <f t="shared" si="175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73"/>
        <v>-919889744005.41724</v>
      </c>
      <c r="J3611" s="444">
        <f t="array" ref="J3611">IFERROR(INDEX('Retirement Calculator'!J:J,MATCH('Isaac 401k'!N3611,'Retirement Calculator'!A:A,0),0),0)</f>
        <v>0</v>
      </c>
      <c r="K3611" s="444">
        <f t="shared" ca="1" si="171"/>
        <v>-3832873933.3559046</v>
      </c>
      <c r="L3611" s="444">
        <f t="shared" ca="1" si="172"/>
        <v>-923722617938.77319</v>
      </c>
      <c r="M3611" s="460">
        <f t="shared" si="174"/>
        <v>0.05</v>
      </c>
      <c r="N3611" s="464">
        <f t="shared" si="175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73"/>
        <v>-923722617938.77319</v>
      </c>
      <c r="J3612" s="444">
        <f t="array" ref="J3612">IFERROR(INDEX('Retirement Calculator'!J:J,MATCH('Isaac 401k'!N3612,'Retirement Calculator'!A:A,0),0),0)</f>
        <v>0</v>
      </c>
      <c r="K3612" s="444">
        <f t="shared" ca="1" si="171"/>
        <v>-3848844241.4115548</v>
      </c>
      <c r="L3612" s="444">
        <f t="shared" ca="1" si="172"/>
        <v>-927571462180.18469</v>
      </c>
      <c r="M3612" s="460">
        <f t="shared" si="174"/>
        <v>0.05</v>
      </c>
      <c r="N3612" s="464">
        <f t="shared" si="175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73"/>
        <v>-927571462180.18469</v>
      </c>
      <c r="J3613" s="444">
        <f t="array" ref="J3613">IFERROR(INDEX('Retirement Calculator'!J:J,MATCH('Isaac 401k'!N3613,'Retirement Calculator'!A:A,0),0),0)</f>
        <v>0</v>
      </c>
      <c r="K3613" s="444">
        <f t="shared" ca="1" si="171"/>
        <v>-3864881092.4174361</v>
      </c>
      <c r="L3613" s="444">
        <f t="shared" ca="1" si="172"/>
        <v>-931436343272.60217</v>
      </c>
      <c r="M3613" s="460">
        <f t="shared" si="174"/>
        <v>0.05</v>
      </c>
      <c r="N3613" s="464">
        <f t="shared" si="175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73"/>
        <v>-931436343272.60217</v>
      </c>
      <c r="J3614" s="444">
        <f t="array" ref="J3614">IFERROR(INDEX('Retirement Calculator'!J:J,MATCH('Isaac 401k'!N3614,'Retirement Calculator'!A:A,0),0),0)</f>
        <v>0</v>
      </c>
      <c r="K3614" s="444">
        <f t="shared" ca="1" si="171"/>
        <v>-3880984763.6358428</v>
      </c>
      <c r="L3614" s="444">
        <f t="shared" ca="1" si="172"/>
        <v>-935317328036.23804</v>
      </c>
      <c r="M3614" s="460">
        <f t="shared" si="174"/>
        <v>0.05</v>
      </c>
      <c r="N3614" s="464">
        <f t="shared" si="175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73"/>
        <v>-935317328036.23804</v>
      </c>
      <c r="J3615" s="444">
        <f t="array" ref="J3615">IFERROR(INDEX('Retirement Calculator'!J:J,MATCH('Isaac 401k'!N3615,'Retirement Calculator'!A:A,0),0),0)</f>
        <v>0</v>
      </c>
      <c r="K3615" s="444">
        <f t="shared" ca="1" si="171"/>
        <v>-3897155533.4843249</v>
      </c>
      <c r="L3615" s="444">
        <f t="shared" ca="1" si="172"/>
        <v>-939214483569.72241</v>
      </c>
      <c r="M3615" s="460">
        <f t="shared" si="174"/>
        <v>0.05</v>
      </c>
      <c r="N3615" s="464">
        <f t="shared" si="175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73"/>
        <v>-939214483569.72241</v>
      </c>
      <c r="J3616" s="444">
        <f t="array" ref="J3616">IFERROR(INDEX('Retirement Calculator'!J:J,MATCH('Isaac 401k'!N3616,'Retirement Calculator'!A:A,0),0),0)</f>
        <v>0</v>
      </c>
      <c r="K3616" s="444">
        <f t="shared" ca="1" si="171"/>
        <v>-3913393681.5405102</v>
      </c>
      <c r="L3616" s="444">
        <f t="shared" ca="1" si="172"/>
        <v>-943127877251.26294</v>
      </c>
      <c r="M3616" s="460">
        <f t="shared" si="174"/>
        <v>0.05</v>
      </c>
      <c r="N3616" s="464">
        <f t="shared" si="175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73"/>
        <v>-943127877251.26294</v>
      </c>
      <c r="J3617" s="444">
        <f t="array" ref="J3617">IFERROR(INDEX('Retirement Calculator'!J:J,MATCH('Isaac 401k'!N3617,'Retirement Calculator'!A:A,0),0),0)</f>
        <v>0</v>
      </c>
      <c r="K3617" s="444">
        <f t="shared" ca="1" si="171"/>
        <v>-3929699488.5469289</v>
      </c>
      <c r="L3617" s="444">
        <f t="shared" ca="1" si="172"/>
        <v>-947057576739.80981</v>
      </c>
      <c r="M3617" s="460">
        <f t="shared" si="174"/>
        <v>0.05</v>
      </c>
      <c r="N3617" s="464">
        <f t="shared" si="175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73"/>
        <v>-947057576739.80981</v>
      </c>
      <c r="J3618" s="444">
        <f t="array" ref="J3618">IFERROR(INDEX('Retirement Calculator'!J:J,MATCH('Isaac 401k'!N3618,'Retirement Calculator'!A:A,0),0),0)</f>
        <v>0</v>
      </c>
      <c r="K3618" s="444">
        <f t="shared" ca="1" si="171"/>
        <v>-3946073236.4158735</v>
      </c>
      <c r="L3618" s="444">
        <f t="shared" ca="1" si="172"/>
        <v>-951003649976.22571</v>
      </c>
      <c r="M3618" s="460">
        <f t="shared" si="174"/>
        <v>0.05</v>
      </c>
      <c r="N3618" s="464">
        <f t="shared" si="175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73"/>
        <v>-951003649976.22571</v>
      </c>
      <c r="J3619" s="444">
        <f t="array" ref="J3619">IFERROR(INDEX('Retirement Calculator'!J:J,MATCH('Isaac 401k'!N3619,'Retirement Calculator'!A:A,0),0),0)</f>
        <v>0</v>
      </c>
      <c r="K3619" s="444">
        <f t="shared" ca="1" si="171"/>
        <v>-3962515208.2342744</v>
      </c>
      <c r="L3619" s="444">
        <f t="shared" ca="1" si="172"/>
        <v>-954966165184.45996</v>
      </c>
      <c r="M3619" s="460">
        <f t="shared" si="174"/>
        <v>0.05</v>
      </c>
      <c r="N3619" s="464">
        <f t="shared" si="175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73"/>
        <v>-954966165184.45996</v>
      </c>
      <c r="J3620" s="444">
        <f t="array" ref="J3620">IFERROR(INDEX('Retirement Calculator'!J:J,MATCH('Isaac 401k'!N3620,'Retirement Calculator'!A:A,0),0),0)</f>
        <v>0</v>
      </c>
      <c r="K3620" s="444">
        <f t="shared" ca="1" si="171"/>
        <v>-3979025688.2685828</v>
      </c>
      <c r="L3620" s="444">
        <f t="shared" ca="1" si="172"/>
        <v>-958945190872.72852</v>
      </c>
      <c r="M3620" s="460">
        <f t="shared" si="174"/>
        <v>0.05</v>
      </c>
      <c r="N3620" s="464">
        <f t="shared" si="175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73"/>
        <v>-958945190872.72852</v>
      </c>
      <c r="J3621" s="444">
        <f t="array" ref="J3621">IFERROR(INDEX('Retirement Calculator'!J:J,MATCH('Isaac 401k'!N3621,'Retirement Calculator'!A:A,0),0),0)</f>
        <v>0</v>
      </c>
      <c r="K3621" s="444">
        <f t="shared" ca="1" si="171"/>
        <v>-3995604961.9697022</v>
      </c>
      <c r="L3621" s="444">
        <f t="shared" ca="1" si="172"/>
        <v>-962940795834.69824</v>
      </c>
      <c r="M3621" s="460">
        <f t="shared" si="174"/>
        <v>0.05</v>
      </c>
      <c r="N3621" s="464">
        <f t="shared" si="175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73"/>
        <v>-962940795834.69824</v>
      </c>
      <c r="J3622" s="444">
        <f t="array" ref="J3622">IFERROR(INDEX('Retirement Calculator'!J:J,MATCH('Isaac 401k'!N3622,'Retirement Calculator'!A:A,0),0),0)</f>
        <v>0</v>
      </c>
      <c r="K3622" s="444">
        <f t="shared" ca="1" si="171"/>
        <v>-4012253315.9779086</v>
      </c>
      <c r="L3622" s="444">
        <f t="shared" ca="1" si="172"/>
        <v>-966953049150.67615</v>
      </c>
      <c r="M3622" s="460">
        <f t="shared" si="174"/>
        <v>0.05</v>
      </c>
      <c r="N3622" s="464">
        <f t="shared" si="175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73"/>
        <v>-966953049150.67615</v>
      </c>
      <c r="J3623" s="444">
        <f t="array" ref="J3623">IFERROR(INDEX('Retirement Calculator'!J:J,MATCH('Isaac 401k'!N3623,'Retirement Calculator'!A:A,0),0),0)</f>
        <v>0</v>
      </c>
      <c r="K3623" s="444">
        <f t="shared" ca="1" si="171"/>
        <v>-4028971038.1278172</v>
      </c>
      <c r="L3623" s="444">
        <f t="shared" ca="1" si="172"/>
        <v>-970982020188.80396</v>
      </c>
      <c r="M3623" s="460">
        <f t="shared" si="174"/>
        <v>0.05</v>
      </c>
      <c r="N3623" s="464">
        <f t="shared" si="175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73"/>
        <v>-970982020188.80396</v>
      </c>
      <c r="J3624" s="444">
        <f t="array" ref="J3624">IFERROR(INDEX('Retirement Calculator'!J:J,MATCH('Isaac 401k'!N3624,'Retirement Calculator'!A:A,0),0),0)</f>
        <v>0</v>
      </c>
      <c r="K3624" s="444">
        <f t="shared" ca="1" si="171"/>
        <v>-4045758417.4533496</v>
      </c>
      <c r="L3624" s="444">
        <f t="shared" ca="1" si="172"/>
        <v>-975027778606.25732</v>
      </c>
      <c r="M3624" s="460">
        <f t="shared" si="174"/>
        <v>0.05</v>
      </c>
      <c r="N3624" s="464">
        <f t="shared" si="175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73"/>
        <v>-975027778606.25732</v>
      </c>
      <c r="J3625" s="444">
        <f t="array" ref="J3625">IFERROR(INDEX('Retirement Calculator'!J:J,MATCH('Isaac 401k'!N3625,'Retirement Calculator'!A:A,0),0),0)</f>
        <v>0</v>
      </c>
      <c r="K3625" s="444">
        <f t="shared" ca="1" si="171"/>
        <v>-4062615744.192739</v>
      </c>
      <c r="L3625" s="444">
        <f t="shared" ca="1" si="172"/>
        <v>-979090394350.45007</v>
      </c>
      <c r="M3625" s="460">
        <f t="shared" si="174"/>
        <v>0.05</v>
      </c>
      <c r="N3625" s="464">
        <f t="shared" si="175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73"/>
        <v>-979090394350.45007</v>
      </c>
      <c r="J3626" s="444">
        <f t="array" ref="J3626">IFERROR(INDEX('Retirement Calculator'!J:J,MATCH('Isaac 401k'!N3626,'Retirement Calculator'!A:A,0),0),0)</f>
        <v>0</v>
      </c>
      <c r="K3626" s="444">
        <f t="shared" ca="1" si="171"/>
        <v>-4079543309.7935419</v>
      </c>
      <c r="L3626" s="444">
        <f t="shared" ca="1" si="172"/>
        <v>-983169937660.24365</v>
      </c>
      <c r="M3626" s="460">
        <f t="shared" si="174"/>
        <v>0.05</v>
      </c>
      <c r="N3626" s="464">
        <f t="shared" si="175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73"/>
        <v>-983169937660.24365</v>
      </c>
      <c r="J3627" s="444">
        <f t="array" ref="J3627">IFERROR(INDEX('Retirement Calculator'!J:J,MATCH('Isaac 401k'!N3627,'Retirement Calculator'!A:A,0),0),0)</f>
        <v>0</v>
      </c>
      <c r="K3627" s="444">
        <f t="shared" ca="1" si="171"/>
        <v>-4096541406.9176817</v>
      </c>
      <c r="L3627" s="444">
        <f t="shared" ca="1" si="172"/>
        <v>-987266479067.16138</v>
      </c>
      <c r="M3627" s="460">
        <f t="shared" si="174"/>
        <v>0.05</v>
      </c>
      <c r="N3627" s="464">
        <f t="shared" si="175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73"/>
        <v>-987266479067.16138</v>
      </c>
      <c r="J3628" s="444">
        <f t="array" ref="J3628">IFERROR(INDEX('Retirement Calculator'!J:J,MATCH('Isaac 401k'!N3628,'Retirement Calculator'!A:A,0),0),0)</f>
        <v>0</v>
      </c>
      <c r="K3628" s="444">
        <f t="shared" ca="1" si="171"/>
        <v>-4113610329.4465055</v>
      </c>
      <c r="L3628" s="444">
        <f t="shared" ca="1" si="172"/>
        <v>-991380089396.60791</v>
      </c>
      <c r="M3628" s="460">
        <f t="shared" si="174"/>
        <v>0.05</v>
      </c>
      <c r="N3628" s="464">
        <f t="shared" si="175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73"/>
        <v>-991380089396.60791</v>
      </c>
      <c r="J3629" s="444">
        <f t="array" ref="J3629">IFERROR(INDEX('Retirement Calculator'!J:J,MATCH('Isaac 401k'!N3629,'Retirement Calculator'!A:A,0),0),0)</f>
        <v>0</v>
      </c>
      <c r="K3629" s="444">
        <f t="shared" ca="1" si="171"/>
        <v>-4130750372.4858661</v>
      </c>
      <c r="L3629" s="444">
        <f t="shared" ca="1" si="172"/>
        <v>-995510839769.09375</v>
      </c>
      <c r="M3629" s="460">
        <f t="shared" si="174"/>
        <v>0.05</v>
      </c>
      <c r="N3629" s="464">
        <f t="shared" si="175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73"/>
        <v>-995510839769.09375</v>
      </c>
      <c r="J3630" s="444">
        <f t="array" ref="J3630">IFERROR(INDEX('Retirement Calculator'!J:J,MATCH('Isaac 401k'!N3630,'Retirement Calculator'!A:A,0),0),0)</f>
        <v>0</v>
      </c>
      <c r="K3630" s="444">
        <f t="shared" ca="1" si="171"/>
        <v>-4147961832.3712239</v>
      </c>
      <c r="L3630" s="444">
        <f t="shared" ca="1" si="172"/>
        <v>-999658801601.46497</v>
      </c>
      <c r="M3630" s="460">
        <f t="shared" si="174"/>
        <v>0.05</v>
      </c>
      <c r="N3630" s="464">
        <f t="shared" si="175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73"/>
        <v>-999658801601.46497</v>
      </c>
      <c r="J3631" s="444">
        <f t="array" ref="J3631">IFERROR(INDEX('Retirement Calculator'!J:J,MATCH('Isaac 401k'!N3631,'Retirement Calculator'!A:A,0),0),0)</f>
        <v>0</v>
      </c>
      <c r="K3631" s="444">
        <f t="shared" ca="1" si="171"/>
        <v>-4165245006.6727705</v>
      </c>
      <c r="L3631" s="444">
        <f t="shared" ca="1" si="172"/>
        <v>-1003824046608.1377</v>
      </c>
      <c r="M3631" s="460">
        <f t="shared" si="174"/>
        <v>0.05</v>
      </c>
      <c r="N3631" s="464">
        <f t="shared" si="175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73"/>
        <v>-1003824046608.1377</v>
      </c>
      <c r="J3632" s="444">
        <f t="array" ref="J3632">IFERROR(INDEX('Retirement Calculator'!J:J,MATCH('Isaac 401k'!N3632,'Retirement Calculator'!A:A,0),0),0)</f>
        <v>0</v>
      </c>
      <c r="K3632" s="444">
        <f t="shared" ca="1" si="171"/>
        <v>-4182600194.2005734</v>
      </c>
      <c r="L3632" s="444">
        <f t="shared" ca="1" si="172"/>
        <v>-1008006646802.3383</v>
      </c>
      <c r="M3632" s="460">
        <f t="shared" si="174"/>
        <v>0.05</v>
      </c>
      <c r="N3632" s="464">
        <f t="shared" si="175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73"/>
        <v>-1008006646802.3383</v>
      </c>
      <c r="J3633" s="444">
        <f t="array" ref="J3633">IFERROR(INDEX('Retirement Calculator'!J:J,MATCH('Isaac 401k'!N3633,'Retirement Calculator'!A:A,0),0),0)</f>
        <v>0</v>
      </c>
      <c r="K3633" s="444">
        <f t="shared" ca="1" si="171"/>
        <v>-4200027695.0097427</v>
      </c>
      <c r="L3633" s="444">
        <f t="shared" ca="1" si="172"/>
        <v>-1012206674497.348</v>
      </c>
      <c r="M3633" s="460">
        <f t="shared" si="174"/>
        <v>0.05</v>
      </c>
      <c r="N3633" s="464">
        <f t="shared" si="175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73"/>
        <v>-1012206674497.348</v>
      </c>
      <c r="J3634" s="444">
        <f t="array" ref="J3634">IFERROR(INDEX('Retirement Calculator'!J:J,MATCH('Isaac 401k'!N3634,'Retirement Calculator'!A:A,0),0),0)</f>
        <v>0</v>
      </c>
      <c r="K3634" s="444">
        <f t="shared" ca="1" si="171"/>
        <v>-4217527810.4056168</v>
      </c>
      <c r="L3634" s="444">
        <f t="shared" ca="1" si="172"/>
        <v>-1016424202307.7537</v>
      </c>
      <c r="M3634" s="460">
        <f t="shared" si="174"/>
        <v>0.05</v>
      </c>
      <c r="N3634" s="464">
        <f t="shared" si="175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73"/>
        <v>-1016424202307.7537</v>
      </c>
      <c r="J3635" s="444">
        <f t="array" ref="J3635">IFERROR(INDEX('Retirement Calculator'!J:J,MATCH('Isaac 401k'!N3635,'Retirement Calculator'!A:A,0),0),0)</f>
        <v>0</v>
      </c>
      <c r="K3635" s="444">
        <f t="shared" ca="1" si="171"/>
        <v>-4235100842.9489732</v>
      </c>
      <c r="L3635" s="444">
        <f t="shared" ca="1" si="172"/>
        <v>-1020659303150.7026</v>
      </c>
      <c r="M3635" s="460">
        <f t="shared" si="174"/>
        <v>0.05</v>
      </c>
      <c r="N3635" s="464">
        <f t="shared" si="175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73"/>
        <v>-1020659303150.7026</v>
      </c>
      <c r="J3636" s="444">
        <f t="array" ref="J3636">IFERROR(INDEX('Retirement Calculator'!J:J,MATCH('Isaac 401k'!N3636,'Retirement Calculator'!A:A,0),0),0)</f>
        <v>0</v>
      </c>
      <c r="K3636" s="444">
        <f t="shared" ca="1" si="171"/>
        <v>-4252747096.4612603</v>
      </c>
      <c r="L3636" s="444">
        <f t="shared" ca="1" si="172"/>
        <v>-1024912050247.1639</v>
      </c>
      <c r="M3636" s="460">
        <f t="shared" si="174"/>
        <v>0.05</v>
      </c>
      <c r="N3636" s="464">
        <f t="shared" si="175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73"/>
        <v>-1024912050247.1639</v>
      </c>
      <c r="J3637" s="444">
        <f t="array" ref="J3637">IFERROR(INDEX('Retirement Calculator'!J:J,MATCH('Isaac 401k'!N3637,'Retirement Calculator'!A:A,0),0),0)</f>
        <v>0</v>
      </c>
      <c r="K3637" s="444">
        <f t="shared" ca="1" si="171"/>
        <v>-4270466876.0298495</v>
      </c>
      <c r="L3637" s="444">
        <f t="shared" ca="1" si="172"/>
        <v>-1029182517123.1938</v>
      </c>
      <c r="M3637" s="460">
        <f t="shared" si="174"/>
        <v>0.05</v>
      </c>
      <c r="N3637" s="464">
        <f t="shared" si="175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73"/>
        <v>-1029182517123.1938</v>
      </c>
      <c r="J3638" s="444">
        <f t="array" ref="J3638">IFERROR(INDEX('Retirement Calculator'!J:J,MATCH('Isaac 401k'!N3638,'Retirement Calculator'!A:A,0),0),0)</f>
        <v>0</v>
      </c>
      <c r="K3638" s="444">
        <f t="shared" ca="1" si="171"/>
        <v>-4288260488.013308</v>
      </c>
      <c r="L3638" s="444">
        <f t="shared" ca="1" si="172"/>
        <v>-1033470777611.2072</v>
      </c>
      <c r="M3638" s="460">
        <f t="shared" si="174"/>
        <v>0.05</v>
      </c>
      <c r="N3638" s="464">
        <f t="shared" si="175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73"/>
        <v>-1033470777611.2072</v>
      </c>
      <c r="J3639" s="444">
        <f t="array" ref="J3639">IFERROR(INDEX('Retirement Calculator'!J:J,MATCH('Isaac 401k'!N3639,'Retirement Calculator'!A:A,0),0),0)</f>
        <v>0</v>
      </c>
      <c r="K3639" s="444">
        <f t="shared" ca="1" si="171"/>
        <v>-4306128240.0466957</v>
      </c>
      <c r="L3639" s="444">
        <f t="shared" ca="1" si="172"/>
        <v>-1037776905851.2539</v>
      </c>
      <c r="M3639" s="460">
        <f t="shared" si="174"/>
        <v>0.05</v>
      </c>
      <c r="N3639" s="464">
        <f t="shared" si="175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73"/>
        <v>-1037776905851.2539</v>
      </c>
      <c r="J3640" s="444">
        <f t="array" ref="J3640">IFERROR(INDEX('Retirement Calculator'!J:J,MATCH('Isaac 401k'!N3640,'Retirement Calculator'!A:A,0),0),0)</f>
        <v>0</v>
      </c>
      <c r="K3640" s="444">
        <f t="shared" ca="1" si="171"/>
        <v>-4324070441.0468903</v>
      </c>
      <c r="L3640" s="444">
        <f t="shared" ca="1" si="172"/>
        <v>-1042100976292.3008</v>
      </c>
      <c r="M3640" s="460">
        <f t="shared" si="174"/>
        <v>0.05</v>
      </c>
      <c r="N3640" s="464">
        <f t="shared" si="175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73"/>
        <v>-1042100976292.3008</v>
      </c>
      <c r="J3641" s="444">
        <f t="array" ref="J3641">IFERROR(INDEX('Retirement Calculator'!J:J,MATCH('Isaac 401k'!N3641,'Retirement Calculator'!A:A,0),0),0)</f>
        <v>0</v>
      </c>
      <c r="K3641" s="444">
        <f t="shared" ca="1" si="171"/>
        <v>-4342087401.2179203</v>
      </c>
      <c r="L3641" s="444">
        <f t="shared" ca="1" si="172"/>
        <v>-1046443063693.5187</v>
      </c>
      <c r="M3641" s="460">
        <f t="shared" si="174"/>
        <v>0.05</v>
      </c>
      <c r="N3641" s="464">
        <f t="shared" si="175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73"/>
        <v>-1046443063693.5187</v>
      </c>
      <c r="J3642" s="444">
        <f t="array" ref="J3642">IFERROR(INDEX('Retirement Calculator'!J:J,MATCH('Isaac 401k'!N3642,'Retirement Calculator'!A:A,0),0),0)</f>
        <v>0</v>
      </c>
      <c r="K3642" s="444">
        <f t="shared" ca="1" si="171"/>
        <v>-4360179432.0563278</v>
      </c>
      <c r="L3642" s="444">
        <f t="shared" ca="1" si="172"/>
        <v>-1050803243125.575</v>
      </c>
      <c r="M3642" s="460">
        <f t="shared" si="174"/>
        <v>0.05</v>
      </c>
      <c r="N3642" s="464">
        <f t="shared" si="175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73"/>
        <v>-1050803243125.575</v>
      </c>
      <c r="J3643" s="444">
        <f t="array" ref="J3643">IFERROR(INDEX('Retirement Calculator'!J:J,MATCH('Isaac 401k'!N3643,'Retirement Calculator'!A:A,0),0),0)</f>
        <v>0</v>
      </c>
      <c r="K3643" s="444">
        <f t="shared" ca="1" si="171"/>
        <v>-4378346846.3565617</v>
      </c>
      <c r="L3643" s="444">
        <f t="shared" ca="1" si="172"/>
        <v>-1055181589971.9315</v>
      </c>
      <c r="M3643" s="460">
        <f t="shared" si="174"/>
        <v>0.05</v>
      </c>
      <c r="N3643" s="464">
        <f t="shared" si="175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73"/>
        <v>-1055181589971.9315</v>
      </c>
      <c r="J3644" s="444">
        <f t="array" ref="J3644">IFERROR(INDEX('Retirement Calculator'!J:J,MATCH('Isaac 401k'!N3644,'Retirement Calculator'!A:A,0),0),0)</f>
        <v>0</v>
      </c>
      <c r="K3644" s="444">
        <f t="shared" ca="1" si="171"/>
        <v>-4396589958.2163811</v>
      </c>
      <c r="L3644" s="444">
        <f t="shared" ca="1" si="172"/>
        <v>-1059578179930.1479</v>
      </c>
      <c r="M3644" s="460">
        <f t="shared" si="174"/>
        <v>0.05</v>
      </c>
      <c r="N3644" s="464">
        <f t="shared" si="175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73"/>
        <v>-1059578179930.1479</v>
      </c>
      <c r="J3645" s="444">
        <f t="array" ref="J3645">IFERROR(INDEX('Retirement Calculator'!J:J,MATCH('Isaac 401k'!N3645,'Retirement Calculator'!A:A,0),0),0)</f>
        <v>0</v>
      </c>
      <c r="K3645" s="444">
        <f t="shared" ca="1" si="171"/>
        <v>-4414909083.042284</v>
      </c>
      <c r="L3645" s="444">
        <f t="shared" ca="1" si="172"/>
        <v>-1063993089013.1902</v>
      </c>
      <c r="M3645" s="460">
        <f t="shared" si="174"/>
        <v>0.05</v>
      </c>
      <c r="N3645" s="464">
        <f t="shared" si="175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73"/>
        <v>-1063993089013.1902</v>
      </c>
      <c r="J3646" s="444">
        <f t="array" ref="J3646">IFERROR(INDEX('Retirement Calculator'!J:J,MATCH('Isaac 401k'!N3646,'Retirement Calculator'!A:A,0),0),0)</f>
        <v>0</v>
      </c>
      <c r="K3646" s="444">
        <f t="shared" ca="1" si="171"/>
        <v>-4433304537.5549593</v>
      </c>
      <c r="L3646" s="444">
        <f t="shared" ca="1" si="172"/>
        <v>-1068426393550.7451</v>
      </c>
      <c r="M3646" s="460">
        <f t="shared" si="174"/>
        <v>0.05</v>
      </c>
      <c r="N3646" s="464">
        <f t="shared" si="175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73"/>
        <v>-1068426393550.7451</v>
      </c>
      <c r="J3647" s="444">
        <f t="array" ref="J3647">IFERROR(INDEX('Retirement Calculator'!J:J,MATCH('Isaac 401k'!N3647,'Retirement Calculator'!A:A,0),0),0)</f>
        <v>0</v>
      </c>
      <c r="K3647" s="444">
        <f t="shared" ca="1" si="171"/>
        <v>-4451776639.7947712</v>
      </c>
      <c r="L3647" s="444">
        <f t="shared" ca="1" si="172"/>
        <v>-1072878170190.5399</v>
      </c>
      <c r="M3647" s="460">
        <f t="shared" si="174"/>
        <v>0.05</v>
      </c>
      <c r="N3647" s="464">
        <f t="shared" si="175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73"/>
        <v>-1072878170190.5399</v>
      </c>
      <c r="J3648" s="444">
        <f t="array" ref="J3648">IFERROR(INDEX('Retirement Calculator'!J:J,MATCH('Isaac 401k'!N3648,'Retirement Calculator'!A:A,0),0),0)</f>
        <v>0</v>
      </c>
      <c r="K3648" s="444">
        <f t="shared" ca="1" si="171"/>
        <v>-4470325709.1272497</v>
      </c>
      <c r="L3648" s="444">
        <f t="shared" ca="1" si="172"/>
        <v>-1077348495899.6671</v>
      </c>
      <c r="M3648" s="460">
        <f t="shared" si="174"/>
        <v>0.05</v>
      </c>
      <c r="N3648" s="464">
        <f t="shared" si="175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73"/>
        <v>-1077348495899.6671</v>
      </c>
      <c r="J3649" s="444">
        <f t="array" ref="J3649">IFERROR(INDEX('Retirement Calculator'!J:J,MATCH('Isaac 401k'!N3649,'Retirement Calculator'!A:A,0),0),0)</f>
        <v>0</v>
      </c>
      <c r="K3649" s="444">
        <f t="shared" ca="1" si="171"/>
        <v>-4488952066.2486124</v>
      </c>
      <c r="L3649" s="444">
        <f t="shared" ca="1" si="172"/>
        <v>-1081837447965.9158</v>
      </c>
      <c r="M3649" s="460">
        <f t="shared" si="174"/>
        <v>0.05</v>
      </c>
      <c r="N3649" s="464">
        <f t="shared" si="175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73"/>
        <v>-1081837447965.9158</v>
      </c>
      <c r="J3650" s="444">
        <f t="array" ref="J3650">IFERROR(INDEX('Retirement Calculator'!J:J,MATCH('Isaac 401k'!N3650,'Retirement Calculator'!A:A,0),0),0)</f>
        <v>0</v>
      </c>
      <c r="K3650" s="444">
        <f t="shared" ca="1" si="171"/>
        <v>-4507656033.1913157</v>
      </c>
      <c r="L3650" s="444">
        <f t="shared" ca="1" si="172"/>
        <v>-1086345103999.1071</v>
      </c>
      <c r="M3650" s="460">
        <f t="shared" si="174"/>
        <v>0.05</v>
      </c>
      <c r="N3650" s="464">
        <f t="shared" si="175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73"/>
        <v>-1086345103999.1071</v>
      </c>
      <c r="J3651" s="444">
        <f t="array" ref="J3651">IFERROR(INDEX('Retirement Calculator'!J:J,MATCH('Isaac 401k'!N3651,'Retirement Calculator'!A:A,0),0),0)</f>
        <v>0</v>
      </c>
      <c r="K3651" s="444">
        <f t="shared" ca="1" si="171"/>
        <v>-4526437933.3296127</v>
      </c>
      <c r="L3651" s="444">
        <f t="shared" ca="1" si="172"/>
        <v>-1090871541932.4366</v>
      </c>
      <c r="M3651" s="460">
        <f t="shared" si="174"/>
        <v>0.05</v>
      </c>
      <c r="N3651" s="464">
        <f t="shared" si="175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73"/>
        <v>-1090871541932.4366</v>
      </c>
      <c r="J3652" s="444">
        <f t="array" ref="J3652">IFERROR(INDEX('Retirement Calculator'!J:J,MATCH('Isaac 401k'!N3652,'Retirement Calculator'!A:A,0),0),0)</f>
        <v>0</v>
      </c>
      <c r="K3652" s="444">
        <f t="shared" ca="1" si="171"/>
        <v>-4545298091.3851528</v>
      </c>
      <c r="L3652" s="444">
        <f t="shared" ca="1" si="172"/>
        <v>-1095416840023.8218</v>
      </c>
      <c r="M3652" s="460">
        <f t="shared" si="174"/>
        <v>0.05</v>
      </c>
      <c r="N3652" s="464">
        <f t="shared" si="175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73"/>
        <v>-1095416840023.8218</v>
      </c>
      <c r="J3653" s="444">
        <f t="array" ref="J3653">IFERROR(INDEX('Retirement Calculator'!J:J,MATCH('Isaac 401k'!N3653,'Retirement Calculator'!A:A,0),0),0)</f>
        <v>0</v>
      </c>
      <c r="K3653" s="444">
        <f t="shared" ca="1" si="171"/>
        <v>-4564236833.4325905</v>
      </c>
      <c r="L3653" s="444">
        <f t="shared" ca="1" si="172"/>
        <v>-1099981076857.2544</v>
      </c>
      <c r="M3653" s="460">
        <f t="shared" si="174"/>
        <v>0.05</v>
      </c>
      <c r="N3653" s="464">
        <f t="shared" si="175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73"/>
        <v>-1099981076857.2544</v>
      </c>
      <c r="J3654" s="444">
        <f t="array" ref="J3654">IFERROR(INDEX('Retirement Calculator'!J:J,MATCH('Isaac 401k'!N3654,'Retirement Calculator'!A:A,0),0),0)</f>
        <v>0</v>
      </c>
      <c r="K3654" s="444">
        <f t="shared" ca="1" si="171"/>
        <v>-4583254486.9052267</v>
      </c>
      <c r="L3654" s="444">
        <f t="shared" ca="1" si="172"/>
        <v>-1104564331344.1597</v>
      </c>
      <c r="M3654" s="460">
        <f t="shared" si="174"/>
        <v>0.05</v>
      </c>
      <c r="N3654" s="464">
        <f t="shared" si="175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73"/>
        <v>-1104564331344.1597</v>
      </c>
      <c r="J3655" s="444">
        <f t="array" ref="J3655">IFERROR(INDEX('Retirement Calculator'!J:J,MATCH('Isaac 401k'!N3655,'Retirement Calculator'!A:A,0),0),0)</f>
        <v>0</v>
      </c>
      <c r="K3655" s="444">
        <f t="shared" ca="1" si="171"/>
        <v>-4602351380.6006651</v>
      </c>
      <c r="L3655" s="444">
        <f t="shared" ca="1" si="172"/>
        <v>-1109166682724.7603</v>
      </c>
      <c r="M3655" s="460">
        <f t="shared" si="174"/>
        <v>0.05</v>
      </c>
      <c r="N3655" s="464">
        <f t="shared" si="175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73"/>
        <v>-1109166682724.7603</v>
      </c>
      <c r="J3656" s="444">
        <f t="array" ref="J3656">IFERROR(INDEX('Retirement Calculator'!J:J,MATCH('Isaac 401k'!N3656,'Retirement Calculator'!A:A,0),0),0)</f>
        <v>0</v>
      </c>
      <c r="K3656" s="444">
        <f t="shared" ca="1" si="171"/>
        <v>-4621527844.6865005</v>
      </c>
      <c r="L3656" s="444">
        <f t="shared" ca="1" si="172"/>
        <v>-1113788210569.4468</v>
      </c>
      <c r="M3656" s="460">
        <f t="shared" si="174"/>
        <v>0.05</v>
      </c>
      <c r="N3656" s="464">
        <f t="shared" si="175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73"/>
        <v>-1113788210569.4468</v>
      </c>
      <c r="J3657" s="444">
        <f t="array" ref="J3657">IFERROR(INDEX('Retirement Calculator'!J:J,MATCH('Isaac 401k'!N3657,'Retirement Calculator'!A:A,0),0),0)</f>
        <v>0</v>
      </c>
      <c r="K3657" s="444">
        <f t="shared" ca="1" si="171"/>
        <v>-4640784210.706028</v>
      </c>
      <c r="L3657" s="444">
        <f t="shared" ca="1" si="172"/>
        <v>-1118428994780.1528</v>
      </c>
      <c r="M3657" s="460">
        <f t="shared" si="174"/>
        <v>0.05</v>
      </c>
      <c r="N3657" s="464">
        <f t="shared" si="175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73"/>
        <v>-1118428994780.1528</v>
      </c>
      <c r="J3658" s="444">
        <f t="array" ref="J3658">IFERROR(INDEX('Retirement Calculator'!J:J,MATCH('Isaac 401k'!N3658,'Retirement Calculator'!A:A,0),0),0)</f>
        <v>0</v>
      </c>
      <c r="K3658" s="444">
        <f t="shared" ca="1" si="171"/>
        <v>-4660120811.5839701</v>
      </c>
      <c r="L3658" s="444">
        <f t="shared" ca="1" si="172"/>
        <v>-1123089115591.7368</v>
      </c>
      <c r="M3658" s="460">
        <f t="shared" si="174"/>
        <v>0.05</v>
      </c>
      <c r="N3658" s="464">
        <f t="shared" si="175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73"/>
        <v>-1123089115591.7368</v>
      </c>
      <c r="J3659" s="444">
        <f t="array" ref="J3659">IFERROR(INDEX('Retirement Calculator'!J:J,MATCH('Isaac 401k'!N3659,'Retirement Calculator'!A:A,0),0),0)</f>
        <v>0</v>
      </c>
      <c r="K3659" s="444">
        <f t="shared" ca="1" si="171"/>
        <v>-4679537981.6322365</v>
      </c>
      <c r="L3659" s="444">
        <f t="shared" ca="1" si="172"/>
        <v>-1127768653573.3691</v>
      </c>
      <c r="M3659" s="460">
        <f t="shared" si="174"/>
        <v>0.05</v>
      </c>
      <c r="N3659" s="464">
        <f t="shared" si="175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73"/>
        <v>-1127768653573.3691</v>
      </c>
      <c r="J3660" s="444">
        <f t="array" ref="J3660">IFERROR(INDEX('Retirement Calculator'!J:J,MATCH('Isaac 401k'!N3660,'Retirement Calculator'!A:A,0),0),0)</f>
        <v>0</v>
      </c>
      <c r="K3660" s="444">
        <f t="shared" ca="1" si="171"/>
        <v>-4699036056.5557051</v>
      </c>
      <c r="L3660" s="444">
        <f t="shared" ca="1" si="172"/>
        <v>-1132467689629.9248</v>
      </c>
      <c r="M3660" s="460">
        <f t="shared" si="174"/>
        <v>0.05</v>
      </c>
      <c r="N3660" s="464">
        <f t="shared" si="175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73"/>
        <v>-1132467689629.9248</v>
      </c>
      <c r="J3661" s="444">
        <f t="array" ref="J3661">IFERROR(INDEX('Retirement Calculator'!J:J,MATCH('Isaac 401k'!N3661,'Retirement Calculator'!A:A,0),0),0)</f>
        <v>0</v>
      </c>
      <c r="K3661" s="444">
        <f t="shared" ca="1" si="171"/>
        <v>-4718615373.4580202</v>
      </c>
      <c r="L3661" s="444">
        <f t="shared" ca="1" si="172"/>
        <v>-1137186305003.3828</v>
      </c>
      <c r="M3661" s="460">
        <f t="shared" si="174"/>
        <v>0.05</v>
      </c>
      <c r="N3661" s="464">
        <f t="shared" si="175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73"/>
        <v>-1137186305003.3828</v>
      </c>
      <c r="J3662" s="444">
        <f t="array" ref="J3662">IFERROR(INDEX('Retirement Calculator'!J:J,MATCH('Isaac 401k'!N3662,'Retirement Calculator'!A:A,0),0),0)</f>
        <v>0</v>
      </c>
      <c r="K3662" s="444">
        <f t="shared" ca="1" si="171"/>
        <v>-4738276270.8474283</v>
      </c>
      <c r="L3662" s="444">
        <f t="shared" ca="1" si="172"/>
        <v>-1141924581274.2302</v>
      </c>
      <c r="M3662" s="460">
        <f t="shared" si="174"/>
        <v>0.05</v>
      </c>
      <c r="N3662" s="464">
        <f t="shared" si="175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73"/>
        <v>-1141924581274.2302</v>
      </c>
      <c r="J3663" s="444">
        <f t="array" ref="J3663">IFERROR(INDEX('Retirement Calculator'!J:J,MATCH('Isaac 401k'!N3663,'Retirement Calculator'!A:A,0),0),0)</f>
        <v>0</v>
      </c>
      <c r="K3663" s="444">
        <f t="shared" ca="1" si="171"/>
        <v>-4758019088.6426258</v>
      </c>
      <c r="L3663" s="444">
        <f t="shared" ca="1" si="172"/>
        <v>-1146682600362.8728</v>
      </c>
      <c r="M3663" s="460">
        <f t="shared" si="174"/>
        <v>0.05</v>
      </c>
      <c r="N3663" s="464">
        <f t="shared" si="175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73"/>
        <v>-1146682600362.8728</v>
      </c>
      <c r="J3664" s="444">
        <f t="array" ref="J3664">IFERROR(INDEX('Retirement Calculator'!J:J,MATCH('Isaac 401k'!N3664,'Retirement Calculator'!A:A,0),0),0)</f>
        <v>0</v>
      </c>
      <c r="K3664" s="444">
        <f t="shared" ca="1" si="171"/>
        <v>-4777844168.1786366</v>
      </c>
      <c r="L3664" s="444">
        <f t="shared" ca="1" si="172"/>
        <v>-1151460444531.0515</v>
      </c>
      <c r="M3664" s="460">
        <f t="shared" si="174"/>
        <v>0.05</v>
      </c>
      <c r="N3664" s="464">
        <f t="shared" si="175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73"/>
        <v>-1151460444531.0515</v>
      </c>
      <c r="J3665" s="444">
        <f t="array" ref="J3665">IFERROR(INDEX('Retirement Calculator'!J:J,MATCH('Isaac 401k'!N3665,'Retirement Calculator'!A:A,0),0),0)</f>
        <v>0</v>
      </c>
      <c r="K3665" s="444">
        <f t="shared" ca="1" si="171"/>
        <v>-4797751852.2127142</v>
      </c>
      <c r="L3665" s="444">
        <f t="shared" ca="1" si="172"/>
        <v>-1156258196383.2642</v>
      </c>
      <c r="M3665" s="460">
        <f t="shared" si="174"/>
        <v>0.05</v>
      </c>
      <c r="N3665" s="464">
        <f t="shared" si="175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73"/>
        <v>-1156258196383.2642</v>
      </c>
      <c r="J3666" s="444">
        <f t="array" ref="J3666">IFERROR(INDEX('Retirement Calculator'!J:J,MATCH('Isaac 401k'!N3666,'Retirement Calculator'!A:A,0),0),0)</f>
        <v>0</v>
      </c>
      <c r="K3666" s="444">
        <f t="shared" ca="1" si="171"/>
        <v>-4817742484.9302673</v>
      </c>
      <c r="L3666" s="444">
        <f t="shared" ca="1" si="172"/>
        <v>-1161075938868.1943</v>
      </c>
      <c r="M3666" s="460">
        <f t="shared" si="174"/>
        <v>0.05</v>
      </c>
      <c r="N3666" s="464">
        <f t="shared" si="175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73"/>
        <v>-1161075938868.1943</v>
      </c>
      <c r="J3667" s="444">
        <f t="array" ref="J3667">IFERROR(INDEX('Retirement Calculator'!J:J,MATCH('Isaac 401k'!N3667,'Retirement Calculator'!A:A,0),0),0)</f>
        <v>0</v>
      </c>
      <c r="K3667" s="444">
        <f t="shared" ca="1" si="171"/>
        <v>-4837816411.9508095</v>
      </c>
      <c r="L3667" s="444">
        <f t="shared" ca="1" si="172"/>
        <v>-1165913755280.1453</v>
      </c>
      <c r="M3667" s="460">
        <f t="shared" si="174"/>
        <v>0.05</v>
      </c>
      <c r="N3667" s="464">
        <f t="shared" si="175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73"/>
        <v>-1165913755280.1453</v>
      </c>
      <c r="J3668" s="444">
        <f t="array" ref="J3668">IFERROR(INDEX('Retirement Calculator'!J:J,MATCH('Isaac 401k'!N3668,'Retirement Calculator'!A:A,0),0),0)</f>
        <v>0</v>
      </c>
      <c r="K3668" s="444">
        <f t="shared" ca="1" si="171"/>
        <v>-4857973980.3339386</v>
      </c>
      <c r="L3668" s="444">
        <f t="shared" ca="1" si="172"/>
        <v>-1170771729260.4792</v>
      </c>
      <c r="M3668" s="460">
        <f t="shared" si="174"/>
        <v>0.05</v>
      </c>
      <c r="N3668" s="464">
        <f t="shared" si="175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73"/>
        <v>-1170771729260.4792</v>
      </c>
      <c r="J3669" s="444">
        <f t="array" ref="J3669">IFERROR(INDEX('Retirement Calculator'!J:J,MATCH('Isaac 401k'!N3669,'Retirement Calculator'!A:A,0),0),0)</f>
        <v>0</v>
      </c>
      <c r="K3669" s="444">
        <f t="shared" ca="1" si="171"/>
        <v>-4878215538.58533</v>
      </c>
      <c r="L3669" s="444">
        <f t="shared" ca="1" si="172"/>
        <v>-1175649944799.0647</v>
      </c>
      <c r="M3669" s="460">
        <f t="shared" si="174"/>
        <v>0.05</v>
      </c>
      <c r="N3669" s="464">
        <f t="shared" si="175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73"/>
        <v>-1175649944799.0647</v>
      </c>
      <c r="J3670" s="444">
        <f t="array" ref="J3670">IFERROR(INDEX('Retirement Calculator'!J:J,MATCH('Isaac 401k'!N3670,'Retirement Calculator'!A:A,0),0),0)</f>
        <v>0</v>
      </c>
      <c r="K3670" s="444">
        <f t="shared" ca="1" si="171"/>
        <v>-4898541436.6627693</v>
      </c>
      <c r="L3670" s="444">
        <f t="shared" ca="1" si="172"/>
        <v>-1180548486235.7275</v>
      </c>
      <c r="M3670" s="460">
        <f t="shared" si="174"/>
        <v>0.05</v>
      </c>
      <c r="N3670" s="464">
        <f t="shared" si="175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73"/>
        <v>-1180548486235.7275</v>
      </c>
      <c r="J3671" s="444">
        <f t="array" ref="J3671">IFERROR(INDEX('Retirement Calculator'!J:J,MATCH('Isaac 401k'!N3671,'Retirement Calculator'!A:A,0),0),0)</f>
        <v>0</v>
      </c>
      <c r="K3671" s="444">
        <f t="shared" ca="1" si="171"/>
        <v>-4918952025.9821978</v>
      </c>
      <c r="L3671" s="444">
        <f t="shared" ca="1" si="172"/>
        <v>-1185467438261.7097</v>
      </c>
      <c r="M3671" s="460">
        <f t="shared" si="174"/>
        <v>0.05</v>
      </c>
      <c r="N3671" s="464">
        <f t="shared" si="175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73"/>
        <v>-1185467438261.7097</v>
      </c>
      <c r="J3672" s="444">
        <f t="array" ref="J3672">IFERROR(INDEX('Retirement Calculator'!J:J,MATCH('Isaac 401k'!N3672,'Retirement Calculator'!A:A,0),0),0)</f>
        <v>0</v>
      </c>
      <c r="K3672" s="444">
        <f t="shared" ca="1" si="171"/>
        <v>-4939447659.42379</v>
      </c>
      <c r="L3672" s="444">
        <f t="shared" ca="1" si="172"/>
        <v>-1190406885921.1335</v>
      </c>
      <c r="M3672" s="460">
        <f t="shared" si="174"/>
        <v>0.05</v>
      </c>
      <c r="N3672" s="464">
        <f t="shared" si="175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73"/>
        <v>-1190406885921.1335</v>
      </c>
      <c r="J3673" s="444">
        <f t="array" ref="J3673">IFERROR(INDEX('Retirement Calculator'!J:J,MATCH('Isaac 401k'!N3673,'Retirement Calculator'!A:A,0),0),0)</f>
        <v>0</v>
      </c>
      <c r="K3673" s="444">
        <f t="shared" ca="1" si="171"/>
        <v>-4960028691.3380566</v>
      </c>
      <c r="L3673" s="444">
        <f t="shared" ca="1" si="172"/>
        <v>-1195366914612.4717</v>
      </c>
      <c r="M3673" s="460">
        <f t="shared" si="174"/>
        <v>0.05</v>
      </c>
      <c r="N3673" s="464">
        <f t="shared" si="175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73"/>
        <v>-1195366914612.4717</v>
      </c>
      <c r="J3674" s="444">
        <f t="array" ref="J3674">IFERROR(INDEX('Retirement Calculator'!J:J,MATCH('Isaac 401k'!N3674,'Retirement Calculator'!A:A,0),0),0)</f>
        <v>0</v>
      </c>
      <c r="K3674" s="444">
        <f t="shared" ca="1" si="171"/>
        <v>-4980695477.5519657</v>
      </c>
      <c r="L3674" s="444">
        <f t="shared" ca="1" si="172"/>
        <v>-1200347610090.0237</v>
      </c>
      <c r="M3674" s="460">
        <f t="shared" si="174"/>
        <v>0.05</v>
      </c>
      <c r="N3674" s="464">
        <f t="shared" si="175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73"/>
        <v>-1200347610090.0237</v>
      </c>
      <c r="J3675" s="444">
        <f t="array" ref="J3675">IFERROR(INDEX('Retirement Calculator'!J:J,MATCH('Isaac 401k'!N3675,'Retirement Calculator'!A:A,0),0),0)</f>
        <v>0</v>
      </c>
      <c r="K3675" s="444">
        <f t="shared" ca="1" si="171"/>
        <v>-5001448375.3750982</v>
      </c>
      <c r="L3675" s="444">
        <f t="shared" ca="1" si="172"/>
        <v>-1205349058465.3987</v>
      </c>
      <c r="M3675" s="460">
        <f t="shared" si="174"/>
        <v>0.05</v>
      </c>
      <c r="N3675" s="464">
        <f t="shared" si="175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73"/>
        <v>-1205349058465.3987</v>
      </c>
      <c r="J3676" s="444">
        <f t="array" ref="J3676">IFERROR(INDEX('Retirement Calculator'!J:J,MATCH('Isaac 401k'!N3676,'Retirement Calculator'!A:A,0),0),0)</f>
        <v>0</v>
      </c>
      <c r="K3676" s="444">
        <f t="shared" ca="1" si="171"/>
        <v>-5022287743.6058273</v>
      </c>
      <c r="L3676" s="444">
        <f t="shared" ca="1" si="172"/>
        <v>-1210371346209.0044</v>
      </c>
      <c r="M3676" s="460">
        <f t="shared" si="174"/>
        <v>0.05</v>
      </c>
      <c r="N3676" s="464">
        <f t="shared" si="175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73"/>
        <v>-1210371346209.0044</v>
      </c>
      <c r="J3677" s="444">
        <f t="array" ref="J3677">IFERROR(INDEX('Retirement Calculator'!J:J,MATCH('Isaac 401k'!N3677,'Retirement Calculator'!A:A,0),0),0)</f>
        <v>0</v>
      </c>
      <c r="K3677" s="444">
        <f t="shared" ca="1" si="171"/>
        <v>-5043213942.5375185</v>
      </c>
      <c r="L3677" s="444">
        <f t="shared" ca="1" si="172"/>
        <v>-1215414560151.542</v>
      </c>
      <c r="M3677" s="460">
        <f t="shared" si="174"/>
        <v>0.05</v>
      </c>
      <c r="N3677" s="464">
        <f t="shared" si="175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73"/>
        <v>-1215414560151.542</v>
      </c>
      <c r="J3678" s="444">
        <f t="array" ref="J3678">IFERROR(INDEX('Retirement Calculator'!J:J,MATCH('Isaac 401k'!N3678,'Retirement Calculator'!A:A,0),0),0)</f>
        <v>0</v>
      </c>
      <c r="K3678" s="444">
        <f t="shared" ca="1" si="171"/>
        <v>-5064227333.9647579</v>
      </c>
      <c r="L3678" s="444">
        <f t="shared" ca="1" si="172"/>
        <v>-1220478787485.5068</v>
      </c>
      <c r="M3678" s="460">
        <f t="shared" si="174"/>
        <v>0.05</v>
      </c>
      <c r="N3678" s="464">
        <f t="shared" si="175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73"/>
        <v>-1220478787485.5068</v>
      </c>
      <c r="J3679" s="444">
        <f t="array" ref="J3679">IFERROR(INDEX('Retirement Calculator'!J:J,MATCH('Isaac 401k'!N3679,'Retirement Calculator'!A:A,0),0),0)</f>
        <v>0</v>
      </c>
      <c r="K3679" s="444">
        <f t="shared" ca="1" si="171"/>
        <v>-5085328281.1896114</v>
      </c>
      <c r="L3679" s="444">
        <f t="shared" ca="1" si="172"/>
        <v>-1225564115766.6965</v>
      </c>
      <c r="M3679" s="460">
        <f t="shared" si="174"/>
        <v>0.05</v>
      </c>
      <c r="N3679" s="464">
        <f t="shared" si="175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73"/>
        <v>-1225564115766.6965</v>
      </c>
      <c r="J3680" s="444">
        <f t="array" ref="J3680">IFERROR(INDEX('Retirement Calculator'!J:J,MATCH('Isaac 401k'!N3680,'Retirement Calculator'!A:A,0),0),0)</f>
        <v>0</v>
      </c>
      <c r="K3680" s="444">
        <f t="shared" ca="1" si="171"/>
        <v>-5106517149.0279026</v>
      </c>
      <c r="L3680" s="444">
        <f t="shared" ca="1" si="172"/>
        <v>-1230670632915.7244</v>
      </c>
      <c r="M3680" s="460">
        <f t="shared" si="174"/>
        <v>0.05</v>
      </c>
      <c r="N3680" s="464">
        <f t="shared" si="175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73"/>
        <v>-1230670632915.7244</v>
      </c>
      <c r="J3681" s="444">
        <f t="array" ref="J3681">IFERROR(INDEX('Retirement Calculator'!J:J,MATCH('Isaac 401k'!N3681,'Retirement Calculator'!A:A,0),0),0)</f>
        <v>0</v>
      </c>
      <c r="K3681" s="444">
        <f t="shared" ca="1" si="171"/>
        <v>-5127794303.8155184</v>
      </c>
      <c r="L3681" s="444">
        <f t="shared" ca="1" si="172"/>
        <v>-1235798427219.5398</v>
      </c>
      <c r="M3681" s="460">
        <f t="shared" si="174"/>
        <v>0.05</v>
      </c>
      <c r="N3681" s="464">
        <f t="shared" si="175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73"/>
        <v>-1235798427219.5398</v>
      </c>
      <c r="J3682" s="444">
        <f t="array" ref="J3682">IFERROR(INDEX('Retirement Calculator'!J:J,MATCH('Isaac 401k'!N3682,'Retirement Calculator'!A:A,0),0),0)</f>
        <v>0</v>
      </c>
      <c r="K3682" s="444">
        <f t="shared" ca="1" si="171"/>
        <v>-5149160113.4147491</v>
      </c>
      <c r="L3682" s="444">
        <f t="shared" ca="1" si="172"/>
        <v>-1240947587332.9546</v>
      </c>
      <c r="M3682" s="460">
        <f t="shared" si="174"/>
        <v>0.05</v>
      </c>
      <c r="N3682" s="464">
        <f t="shared" si="175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73"/>
        <v>-1240947587332.9546</v>
      </c>
      <c r="J3683" s="444">
        <f t="array" ref="J3683">IFERROR(INDEX('Retirement Calculator'!J:J,MATCH('Isaac 401k'!N3683,'Retirement Calculator'!A:A,0),0),0)</f>
        <v>0</v>
      </c>
      <c r="K3683" s="444">
        <f t="shared" ca="1" si="171"/>
        <v>-5170614947.220644</v>
      </c>
      <c r="L3683" s="444">
        <f t="shared" ca="1" si="172"/>
        <v>-1246118202280.1753</v>
      </c>
      <c r="M3683" s="460">
        <f t="shared" si="174"/>
        <v>0.05</v>
      </c>
      <c r="N3683" s="464">
        <f t="shared" si="175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73"/>
        <v>-1246118202280.1753</v>
      </c>
      <c r="J3684" s="444">
        <f t="array" ref="J3684">IFERROR(INDEX('Retirement Calculator'!J:J,MATCH('Isaac 401k'!N3684,'Retirement Calculator'!A:A,0),0),0)</f>
        <v>0</v>
      </c>
      <c r="K3684" s="444">
        <f t="shared" ca="1" si="171"/>
        <v>-5192159176.1673965</v>
      </c>
      <c r="L3684" s="444">
        <f t="shared" ca="1" si="172"/>
        <v>-1251310361456.3428</v>
      </c>
      <c r="M3684" s="460">
        <f t="shared" si="174"/>
        <v>0.05</v>
      </c>
      <c r="N3684" s="464">
        <f t="shared" si="175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73"/>
        <v>-1251310361456.3428</v>
      </c>
      <c r="J3685" s="444">
        <f t="array" ref="J3685">IFERROR(INDEX('Retirement Calculator'!J:J,MATCH('Isaac 401k'!N3685,'Retirement Calculator'!A:A,0),0),0)</f>
        <v>0</v>
      </c>
      <c r="K3685" s="444">
        <f t="shared" ca="1" si="171"/>
        <v>-5213793172.7347612</v>
      </c>
      <c r="L3685" s="444">
        <f t="shared" ca="1" si="172"/>
        <v>-1256524154629.0776</v>
      </c>
      <c r="M3685" s="460">
        <f t="shared" si="174"/>
        <v>0.05</v>
      </c>
      <c r="N3685" s="464">
        <f t="shared" si="175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73"/>
        <v>-1256524154629.0776</v>
      </c>
      <c r="J3686" s="444">
        <f t="array" ref="J3686">IFERROR(INDEX('Retirement Calculator'!J:J,MATCH('Isaac 401k'!N3686,'Retirement Calculator'!A:A,0),0),0)</f>
        <v>0</v>
      </c>
      <c r="K3686" s="444">
        <f t="shared" ca="1" si="171"/>
        <v>-5235517310.9544897</v>
      </c>
      <c r="L3686" s="444">
        <f t="shared" ca="1" si="172"/>
        <v>-1261759671940.0322</v>
      </c>
      <c r="M3686" s="460">
        <f t="shared" si="174"/>
        <v>0.05</v>
      </c>
      <c r="N3686" s="464">
        <f t="shared" si="175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73"/>
        <v>-1261759671940.0322</v>
      </c>
      <c r="J3687" s="444">
        <f t="array" ref="J3687">IFERROR(INDEX('Retirement Calculator'!J:J,MATCH('Isaac 401k'!N3687,'Retirement Calculator'!A:A,0),0),0)</f>
        <v>0</v>
      </c>
      <c r="K3687" s="444">
        <f t="shared" ca="1" si="171"/>
        <v>-5257331966.4168005</v>
      </c>
      <c r="L3687" s="444">
        <f t="shared" ca="1" si="172"/>
        <v>-1267017003906.449</v>
      </c>
      <c r="M3687" s="460">
        <f t="shared" si="174"/>
        <v>0.05</v>
      </c>
      <c r="N3687" s="464">
        <f t="shared" si="175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73"/>
        <v>-1267017003906.449</v>
      </c>
      <c r="J3688" s="444">
        <f t="array" ref="J3688">IFERROR(INDEX('Retirement Calculator'!J:J,MATCH('Isaac 401k'!N3688,'Retirement Calculator'!A:A,0),0),0)</f>
        <v>0</v>
      </c>
      <c r="K3688" s="444">
        <f t="shared" ca="1" si="171"/>
        <v>-5279237516.2768707</v>
      </c>
      <c r="L3688" s="444">
        <f t="shared" ca="1" si="172"/>
        <v>-1272296241422.7258</v>
      </c>
      <c r="M3688" s="460">
        <f t="shared" si="174"/>
        <v>0.05</v>
      </c>
      <c r="N3688" s="464">
        <f t="shared" si="175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73"/>
        <v>-1272296241422.7258</v>
      </c>
      <c r="J3689" s="444">
        <f t="array" ref="J3689">IFERROR(INDEX('Retirement Calculator'!J:J,MATCH('Isaac 401k'!N3689,'Retirement Calculator'!A:A,0),0),0)</f>
        <v>0</v>
      </c>
      <c r="K3689" s="444">
        <f t="shared" ca="1" si="171"/>
        <v>-5301234339.2613573</v>
      </c>
      <c r="L3689" s="444">
        <f t="shared" ca="1" si="172"/>
        <v>-1277597475761.9873</v>
      </c>
      <c r="M3689" s="460">
        <f t="shared" si="174"/>
        <v>0.05</v>
      </c>
      <c r="N3689" s="464">
        <f t="shared" si="175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73"/>
        <v>-1277597475761.9873</v>
      </c>
      <c r="J3690" s="444">
        <f t="array" ref="J3690">IFERROR(INDEX('Retirement Calculator'!J:J,MATCH('Isaac 401k'!N3690,'Retirement Calculator'!A:A,0),0),0)</f>
        <v>0</v>
      </c>
      <c r="K3690" s="444">
        <f t="shared" ca="1" si="171"/>
        <v>-5323322815.6749468</v>
      </c>
      <c r="L3690" s="444">
        <f t="shared" ca="1" si="172"/>
        <v>-1282920798577.6624</v>
      </c>
      <c r="M3690" s="460">
        <f t="shared" si="174"/>
        <v>0.05</v>
      </c>
      <c r="N3690" s="464">
        <f t="shared" si="175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73"/>
        <v>-1282920798577.6624</v>
      </c>
      <c r="J3691" s="444">
        <f t="array" ref="J3691">IFERROR(INDEX('Retirement Calculator'!J:J,MATCH('Isaac 401k'!N3691,'Retirement Calculator'!A:A,0),0),0)</f>
        <v>0</v>
      </c>
      <c r="K3691" s="444">
        <f t="shared" ca="1" si="171"/>
        <v>-5345503327.4069262</v>
      </c>
      <c r="L3691" s="444">
        <f t="shared" ca="1" si="172"/>
        <v>-1288266301905.0693</v>
      </c>
      <c r="M3691" s="460">
        <f t="shared" si="174"/>
        <v>0.05</v>
      </c>
      <c r="N3691" s="464">
        <f t="shared" si="175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73"/>
        <v>-1288266301905.0693</v>
      </c>
      <c r="J3692" s="444">
        <f t="array" ref="J3692">IFERROR(INDEX('Retirement Calculator'!J:J,MATCH('Isaac 401k'!N3692,'Retirement Calculator'!A:A,0),0),0)</f>
        <v>0</v>
      </c>
      <c r="K3692" s="444">
        <f t="shared" ca="1" si="171"/>
        <v>-5367776257.937789</v>
      </c>
      <c r="L3692" s="444">
        <f t="shared" ca="1" si="172"/>
        <v>-1293634078163.0071</v>
      </c>
      <c r="M3692" s="460">
        <f t="shared" si="174"/>
        <v>0.05</v>
      </c>
      <c r="N3692" s="464">
        <f t="shared" si="175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73"/>
        <v>-1293634078163.0071</v>
      </c>
      <c r="J3693" s="444">
        <f t="array" ref="J3693">IFERROR(INDEX('Retirement Calculator'!J:J,MATCH('Isaac 401k'!N3693,'Retirement Calculator'!A:A,0),0),0)</f>
        <v>0</v>
      </c>
      <c r="K3693" s="444">
        <f t="shared" ca="1" si="171"/>
        <v>-5390141992.3458624</v>
      </c>
      <c r="L3693" s="444">
        <f t="shared" ca="1" si="172"/>
        <v>-1299024220155.353</v>
      </c>
      <c r="M3693" s="460">
        <f t="shared" si="174"/>
        <v>0.05</v>
      </c>
      <c r="N3693" s="464">
        <f t="shared" si="175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73"/>
        <v>-1299024220155.353</v>
      </c>
      <c r="J3694" s="444">
        <f t="array" ref="J3694">IFERROR(INDEX('Retirement Calculator'!J:J,MATCH('Isaac 401k'!N3694,'Retirement Calculator'!A:A,0),0),0)</f>
        <v>0</v>
      </c>
      <c r="K3694" s="444">
        <f t="shared" ca="1" si="171"/>
        <v>-5412600917.3139706</v>
      </c>
      <c r="L3694" s="444">
        <f t="shared" ca="1" si="172"/>
        <v>-1304436821072.667</v>
      </c>
      <c r="M3694" s="460">
        <f t="shared" si="174"/>
        <v>0.05</v>
      </c>
      <c r="N3694" s="464">
        <f t="shared" si="175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73"/>
        <v>-1304436821072.667</v>
      </c>
      <c r="J3695" s="444">
        <f t="array" ref="J3695">IFERROR(INDEX('Retirement Calculator'!J:J,MATCH('Isaac 401k'!N3695,'Retirement Calculator'!A:A,0),0),0)</f>
        <v>0</v>
      </c>
      <c r="K3695" s="444">
        <f t="shared" ca="1" si="171"/>
        <v>-5435153421.1361122</v>
      </c>
      <c r="L3695" s="444">
        <f t="shared" ca="1" si="172"/>
        <v>-1309871974493.8032</v>
      </c>
      <c r="M3695" s="460">
        <f t="shared" si="174"/>
        <v>0.05</v>
      </c>
      <c r="N3695" s="464">
        <f t="shared" si="175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73"/>
        <v>-1309871974493.8032</v>
      </c>
      <c r="J3696" s="444">
        <f t="array" ref="J3696">IFERROR(INDEX('Retirement Calculator'!J:J,MATCH('Isaac 401k'!N3696,'Retirement Calculator'!A:A,0),0),0)</f>
        <v>0</v>
      </c>
      <c r="K3696" s="444">
        <f t="shared" ca="1" si="171"/>
        <v>-5457799893.7241802</v>
      </c>
      <c r="L3696" s="444">
        <f t="shared" ca="1" si="172"/>
        <v>-1315329774387.5273</v>
      </c>
      <c r="M3696" s="460">
        <f t="shared" si="174"/>
        <v>0.05</v>
      </c>
      <c r="N3696" s="464">
        <f t="shared" si="175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73"/>
        <v>-1315329774387.5273</v>
      </c>
      <c r="J3697" s="444">
        <f t="array" ref="J3697">IFERROR(INDEX('Retirement Calculator'!J:J,MATCH('Isaac 401k'!N3697,'Retirement Calculator'!A:A,0),0),0)</f>
        <v>0</v>
      </c>
      <c r="K3697" s="444">
        <f t="shared" ca="1" si="171"/>
        <v>-5480540726.6146975</v>
      </c>
      <c r="L3697" s="444">
        <f t="shared" ca="1" si="172"/>
        <v>-1320810315114.1421</v>
      </c>
      <c r="M3697" s="460">
        <f t="shared" si="174"/>
        <v>0.05</v>
      </c>
      <c r="N3697" s="464">
        <f t="shared" si="175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73"/>
        <v>-1320810315114.1421</v>
      </c>
      <c r="J3698" s="444">
        <f t="array" ref="J3698">IFERROR(INDEX('Retirement Calculator'!J:J,MATCH('Isaac 401k'!N3698,'Retirement Calculator'!A:A,0),0),0)</f>
        <v>0</v>
      </c>
      <c r="K3698" s="444">
        <f t="shared" ca="1" si="171"/>
        <v>-5503376312.9755917</v>
      </c>
      <c r="L3698" s="444">
        <f t="shared" ca="1" si="172"/>
        <v>-1326313691427.1177</v>
      </c>
      <c r="M3698" s="460">
        <f t="shared" si="174"/>
        <v>0.05</v>
      </c>
      <c r="N3698" s="464">
        <f t="shared" si="175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73"/>
        <v>-1326313691427.1177</v>
      </c>
      <c r="J3699" s="444">
        <f t="array" ref="J3699">IFERROR(INDEX('Retirement Calculator'!J:J,MATCH('Isaac 401k'!N3699,'Retirement Calculator'!A:A,0),0),0)</f>
        <v>0</v>
      </c>
      <c r="K3699" s="444">
        <f t="shared" ca="1" si="171"/>
        <v>-5526307047.6129904</v>
      </c>
      <c r="L3699" s="444">
        <f t="shared" ca="1" si="172"/>
        <v>-1331839998474.7307</v>
      </c>
      <c r="M3699" s="460">
        <f t="shared" si="174"/>
        <v>0.05</v>
      </c>
      <c r="N3699" s="464">
        <f t="shared" si="175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73"/>
        <v>-1331839998474.7307</v>
      </c>
      <c r="J3700" s="444">
        <f t="array" ref="J3700">IFERROR(INDEX('Retirement Calculator'!J:J,MATCH('Isaac 401k'!N3700,'Retirement Calculator'!A:A,0),0),0)</f>
        <v>0</v>
      </c>
      <c r="K3700" s="444">
        <f t="shared" ca="1" si="171"/>
        <v>-5549333326.9780445</v>
      </c>
      <c r="L3700" s="444">
        <f t="shared" ca="1" si="172"/>
        <v>-1337389331801.7087</v>
      </c>
      <c r="M3700" s="460">
        <f t="shared" si="174"/>
        <v>0.05</v>
      </c>
      <c r="N3700" s="464">
        <f t="shared" si="175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73"/>
        <v>-1337389331801.7087</v>
      </c>
      <c r="J3701" s="444">
        <f t="array" ref="J3701">IFERROR(INDEX('Retirement Calculator'!J:J,MATCH('Isaac 401k'!N3701,'Retirement Calculator'!A:A,0),0),0)</f>
        <v>0</v>
      </c>
      <c r="K3701" s="444">
        <f t="shared" ca="1" si="171"/>
        <v>-5572455549.1737862</v>
      </c>
      <c r="L3701" s="444">
        <f t="shared" ca="1" si="172"/>
        <v>-1342961787350.8826</v>
      </c>
      <c r="M3701" s="460">
        <f t="shared" si="174"/>
        <v>0.05</v>
      </c>
      <c r="N3701" s="464">
        <f t="shared" si="175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73"/>
        <v>-1342961787350.8826</v>
      </c>
      <c r="J3702" s="444">
        <f t="array" ref="J3702">IFERROR(INDEX('Retirement Calculator'!J:J,MATCH('Isaac 401k'!N3702,'Retirement Calculator'!A:A,0),0),0)</f>
        <v>0</v>
      </c>
      <c r="K3702" s="444">
        <f t="shared" ca="1" si="171"/>
        <v>-5595674113.9620104</v>
      </c>
      <c r="L3702" s="444">
        <f t="shared" ca="1" si="172"/>
        <v>-1348557461464.8445</v>
      </c>
      <c r="M3702" s="460">
        <f t="shared" si="174"/>
        <v>0.05</v>
      </c>
      <c r="N3702" s="464">
        <f t="shared" si="175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73"/>
        <v>-1348557461464.8445</v>
      </c>
      <c r="J3703" s="444">
        <f t="array" ref="J3703">IFERROR(INDEX('Retirement Calculator'!J:J,MATCH('Isaac 401k'!N3703,'Retirement Calculator'!A:A,0),0),0)</f>
        <v>0</v>
      </c>
      <c r="K3703" s="444">
        <f t="shared" ca="1" si="171"/>
        <v>-5618989422.7701855</v>
      </c>
      <c r="L3703" s="444">
        <f t="shared" ca="1" si="172"/>
        <v>-1354176450887.6147</v>
      </c>
      <c r="M3703" s="460">
        <f t="shared" si="174"/>
        <v>0.05</v>
      </c>
      <c r="N3703" s="464">
        <f t="shared" si="175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73"/>
        <v>-1354176450887.6147</v>
      </c>
      <c r="J3704" s="444">
        <f t="array" ref="J3704">IFERROR(INDEX('Retirement Calculator'!J:J,MATCH('Isaac 401k'!N3704,'Retirement Calculator'!A:A,0),0),0)</f>
        <v>0</v>
      </c>
      <c r="K3704" s="444">
        <f t="shared" ca="1" si="171"/>
        <v>-5642401878.6983948</v>
      </c>
      <c r="L3704" s="444">
        <f t="shared" ca="1" si="172"/>
        <v>-1359818852766.3132</v>
      </c>
      <c r="M3704" s="460">
        <f t="shared" si="174"/>
        <v>0.05</v>
      </c>
      <c r="N3704" s="464">
        <f t="shared" si="175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73"/>
        <v>-1359818852766.3132</v>
      </c>
      <c r="J3705" s="444">
        <f t="array" ref="J3705">IFERROR(INDEX('Retirement Calculator'!J:J,MATCH('Isaac 401k'!N3705,'Retirement Calculator'!A:A,0),0),0)</f>
        <v>0</v>
      </c>
      <c r="K3705" s="444">
        <f t="shared" ca="1" si="171"/>
        <v>-5665911886.5263052</v>
      </c>
      <c r="L3705" s="444">
        <f t="shared" ca="1" si="172"/>
        <v>-1365484764652.8396</v>
      </c>
      <c r="M3705" s="460">
        <f t="shared" si="174"/>
        <v>0.05</v>
      </c>
      <c r="N3705" s="464">
        <f t="shared" si="175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73"/>
        <v>-1365484764652.8396</v>
      </c>
      <c r="J3706" s="444">
        <f t="array" ref="J3706">IFERROR(INDEX('Retirement Calculator'!J:J,MATCH('Isaac 401k'!N3706,'Retirement Calculator'!A:A,0),0),0)</f>
        <v>0</v>
      </c>
      <c r="K3706" s="444">
        <f t="shared" ca="1" si="171"/>
        <v>-5689519852.7201653</v>
      </c>
      <c r="L3706" s="444">
        <f t="shared" ca="1" si="172"/>
        <v>-1371174284505.5598</v>
      </c>
      <c r="M3706" s="460">
        <f t="shared" si="174"/>
        <v>0.05</v>
      </c>
      <c r="N3706" s="464">
        <f t="shared" si="175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73"/>
        <v>-1371174284505.5598</v>
      </c>
      <c r="J3707" s="444">
        <f t="array" ref="J3707">IFERROR(INDEX('Retirement Calculator'!J:J,MATCH('Isaac 401k'!N3707,'Retirement Calculator'!A:A,0),0),0)</f>
        <v>0</v>
      </c>
      <c r="K3707" s="444">
        <f t="shared" ca="1" si="171"/>
        <v>-5713226185.4398327</v>
      </c>
      <c r="L3707" s="444">
        <f t="shared" ca="1" si="172"/>
        <v>-1376887510690.9998</v>
      </c>
      <c r="M3707" s="460">
        <f t="shared" si="174"/>
        <v>0.05</v>
      </c>
      <c r="N3707" s="464">
        <f t="shared" si="175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73"/>
        <v>-1376887510690.9998</v>
      </c>
      <c r="J3708" s="444">
        <f t="array" ref="J3708">IFERROR(INDEX('Retirement Calculator'!J:J,MATCH('Isaac 401k'!N3708,'Retirement Calculator'!A:A,0),0),0)</f>
        <v>0</v>
      </c>
      <c r="K3708" s="444">
        <f t="shared" ca="1" si="171"/>
        <v>-5737031294.5458326</v>
      </c>
      <c r="L3708" s="444">
        <f t="shared" ca="1" si="172"/>
        <v>-1382624541985.5457</v>
      </c>
      <c r="M3708" s="460">
        <f t="shared" si="174"/>
        <v>0.05</v>
      </c>
      <c r="N3708" s="464">
        <f t="shared" si="175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73"/>
        <v>-1382624541985.5457</v>
      </c>
      <c r="J3709" s="444">
        <f t="array" ref="J3709">IFERROR(INDEX('Retirement Calculator'!J:J,MATCH('Isaac 401k'!N3709,'Retirement Calculator'!A:A,0),0),0)</f>
        <v>0</v>
      </c>
      <c r="K3709" s="444">
        <f t="shared" ca="1" si="171"/>
        <v>-5760935591.6064405</v>
      </c>
      <c r="L3709" s="444">
        <f t="shared" ca="1" si="172"/>
        <v>-1388385477577.1521</v>
      </c>
      <c r="M3709" s="460">
        <f t="shared" si="174"/>
        <v>0.05</v>
      </c>
      <c r="N3709" s="464">
        <f t="shared" si="175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73"/>
        <v>-1388385477577.1521</v>
      </c>
      <c r="J3710" s="444">
        <f t="array" ref="J3710">IFERROR(INDEX('Retirement Calculator'!J:J,MATCH('Isaac 401k'!N3710,'Retirement Calculator'!A:A,0),0),0)</f>
        <v>0</v>
      </c>
      <c r="K3710" s="444">
        <f t="shared" ca="1" si="171"/>
        <v>-5784939489.9048004</v>
      </c>
      <c r="L3710" s="444">
        <f t="shared" ca="1" si="172"/>
        <v>-1394170417067.0569</v>
      </c>
      <c r="M3710" s="460">
        <f t="shared" si="174"/>
        <v>0.05</v>
      </c>
      <c r="N3710" s="464">
        <f t="shared" si="175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73"/>
        <v>-1394170417067.0569</v>
      </c>
      <c r="J3711" s="444">
        <f t="array" ref="J3711">IFERROR(INDEX('Retirement Calculator'!J:J,MATCH('Isaac 401k'!N3711,'Retirement Calculator'!A:A,0),0),0)</f>
        <v>0</v>
      </c>
      <c r="K3711" s="444">
        <f t="shared" ca="1" si="171"/>
        <v>-5809043404.4460707</v>
      </c>
      <c r="L3711" s="444">
        <f t="shared" ca="1" si="172"/>
        <v>-1399979460471.5029</v>
      </c>
      <c r="M3711" s="460">
        <f t="shared" si="174"/>
        <v>0.05</v>
      </c>
      <c r="N3711" s="464">
        <f t="shared" si="175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73"/>
        <v>-1399979460471.5029</v>
      </c>
      <c r="J3712" s="444">
        <f t="array" ref="J3712">IFERROR(INDEX('Retirement Calculator'!J:J,MATCH('Isaac 401k'!N3712,'Retirement Calculator'!A:A,0),0),0)</f>
        <v>0</v>
      </c>
      <c r="K3712" s="444">
        <f t="shared" ca="1" si="171"/>
        <v>-5833247751.9645958</v>
      </c>
      <c r="L3712" s="444">
        <f t="shared" ca="1" si="172"/>
        <v>-1405812708223.4675</v>
      </c>
      <c r="M3712" s="460">
        <f t="shared" si="174"/>
        <v>0.05</v>
      </c>
      <c r="N3712" s="464">
        <f t="shared" si="175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73"/>
        <v>-1405812708223.4675</v>
      </c>
      <c r="J3713" s="444">
        <f t="array" ref="J3713">IFERROR(INDEX('Retirement Calculator'!J:J,MATCH('Isaac 401k'!N3713,'Retirement Calculator'!A:A,0),0),0)</f>
        <v>0</v>
      </c>
      <c r="K3713" s="444">
        <f t="shared" ca="1" si="171"/>
        <v>-5857552950.9311142</v>
      </c>
      <c r="L3713" s="444">
        <f t="shared" ca="1" si="172"/>
        <v>-1411670261174.3987</v>
      </c>
      <c r="M3713" s="460">
        <f t="shared" si="174"/>
        <v>0.05</v>
      </c>
      <c r="N3713" s="464">
        <f t="shared" si="175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73"/>
        <v>-1411670261174.3987</v>
      </c>
      <c r="J3714" s="444">
        <f t="array" ref="J3714">IFERROR(INDEX('Retirement Calculator'!J:J,MATCH('Isaac 401k'!N3714,'Retirement Calculator'!A:A,0),0),0)</f>
        <v>0</v>
      </c>
      <c r="K3714" s="444">
        <f t="shared" ca="1" si="171"/>
        <v>-5881959421.5599947</v>
      </c>
      <c r="L3714" s="444">
        <f t="shared" ca="1" si="172"/>
        <v>-1417552220595.9587</v>
      </c>
      <c r="M3714" s="460">
        <f t="shared" si="174"/>
        <v>0.05</v>
      </c>
      <c r="N3714" s="464">
        <f t="shared" si="175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73"/>
        <v>-1417552220595.9587</v>
      </c>
      <c r="J3715" s="444">
        <f t="array" ref="J3715">IFERROR(INDEX('Retirement Calculator'!J:J,MATCH('Isaac 401k'!N3715,'Retirement Calculator'!A:A,0),0),0)</f>
        <v>0</v>
      </c>
      <c r="K3715" s="444">
        <f t="shared" ca="1" si="171"/>
        <v>-5906467585.8164949</v>
      </c>
      <c r="L3715" s="444">
        <f t="shared" ca="1" si="172"/>
        <v>-1423458688181.7751</v>
      </c>
      <c r="M3715" s="460">
        <f t="shared" si="174"/>
        <v>0.05</v>
      </c>
      <c r="N3715" s="464">
        <f t="shared" si="175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73"/>
        <v>-1423458688181.7751</v>
      </c>
      <c r="J3716" s="444">
        <f t="array" ref="J3716">IFERROR(INDEX('Retirement Calculator'!J:J,MATCH('Isaac 401k'!N3716,'Retirement Calculator'!A:A,0),0),0)</f>
        <v>0</v>
      </c>
      <c r="K3716" s="444">
        <f t="shared" ca="1" si="171"/>
        <v>-5931077867.4240627</v>
      </c>
      <c r="L3716" s="444">
        <f t="shared" ca="1" si="172"/>
        <v>-1429389766049.1992</v>
      </c>
      <c r="M3716" s="460">
        <f t="shared" si="174"/>
        <v>0.05</v>
      </c>
      <c r="N3716" s="464">
        <f t="shared" si="175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73"/>
        <v>-1429389766049.1992</v>
      </c>
      <c r="J3717" s="444">
        <f t="array" ref="J3717">IFERROR(INDEX('Retirement Calculator'!J:J,MATCH('Isaac 401k'!N3717,'Retirement Calculator'!A:A,0),0),0)</f>
        <v>0</v>
      </c>
      <c r="K3717" s="444">
        <f t="shared" ca="1" si="171"/>
        <v>-5955790691.8716631</v>
      </c>
      <c r="L3717" s="444">
        <f t="shared" ca="1" si="172"/>
        <v>-1435345556741.0708</v>
      </c>
      <c r="M3717" s="460">
        <f t="shared" si="174"/>
        <v>0.05</v>
      </c>
      <c r="N3717" s="464">
        <f t="shared" si="175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73"/>
        <v>-1435345556741.0708</v>
      </c>
      <c r="J3718" s="444">
        <f t="array" ref="J3718">IFERROR(INDEX('Retirement Calculator'!J:J,MATCH('Isaac 401k'!N3718,'Retirement Calculator'!A:A,0),0),0)</f>
        <v>0</v>
      </c>
      <c r="K3718" s="444">
        <f t="shared" ca="1" si="171"/>
        <v>-5980606486.4211283</v>
      </c>
      <c r="L3718" s="444">
        <f t="shared" ca="1" si="172"/>
        <v>-1441326163227.4919</v>
      </c>
      <c r="M3718" s="460">
        <f t="shared" si="174"/>
        <v>0.05</v>
      </c>
      <c r="N3718" s="464">
        <f t="shared" si="175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73"/>
        <v>-1441326163227.4919</v>
      </c>
      <c r="J3719" s="444">
        <f t="array" ref="J3719">IFERROR(INDEX('Retirement Calculator'!J:J,MATCH('Isaac 401k'!N3719,'Retirement Calculator'!A:A,0),0),0)</f>
        <v>0</v>
      </c>
      <c r="K3719" s="444">
        <f t="shared" ca="1" si="171"/>
        <v>-6005525680.1145496</v>
      </c>
      <c r="L3719" s="444">
        <f t="shared" ca="1" si="172"/>
        <v>-1447331688907.6064</v>
      </c>
      <c r="M3719" s="460">
        <f t="shared" si="174"/>
        <v>0.05</v>
      </c>
      <c r="N3719" s="464">
        <f t="shared" si="175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73"/>
        <v>-1447331688907.6064</v>
      </c>
      <c r="J3720" s="444">
        <f t="array" ref="J3720">IFERROR(INDEX('Retirement Calculator'!J:J,MATCH('Isaac 401k'!N3720,'Retirement Calculator'!A:A,0),0),0)</f>
        <v>0</v>
      </c>
      <c r="K3720" s="444">
        <f t="shared" ca="1" si="171"/>
        <v>-6030548703.7816935</v>
      </c>
      <c r="L3720" s="444">
        <f t="shared" ca="1" si="172"/>
        <v>-1453362237611.3882</v>
      </c>
      <c r="M3720" s="460">
        <f t="shared" si="174"/>
        <v>0.05</v>
      </c>
      <c r="N3720" s="464">
        <f t="shared" si="175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73"/>
        <v>-1453362237611.3882</v>
      </c>
      <c r="J3721" s="444">
        <f t="array" ref="J3721">IFERROR(INDEX('Retirement Calculator'!J:J,MATCH('Isaac 401k'!N3721,'Retirement Calculator'!A:A,0),0),0)</f>
        <v>0</v>
      </c>
      <c r="K3721" s="444">
        <f t="shared" ca="1" si="171"/>
        <v>-6055675990.047451</v>
      </c>
      <c r="L3721" s="444">
        <f t="shared" ca="1" si="172"/>
        <v>-1459417913601.4355</v>
      </c>
      <c r="M3721" s="460">
        <f t="shared" si="174"/>
        <v>0.05</v>
      </c>
      <c r="N3721" s="464">
        <f t="shared" si="175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73"/>
        <v>-1459417913601.4355</v>
      </c>
      <c r="J3722" s="444">
        <f t="array" ref="J3722">IFERROR(INDEX('Retirement Calculator'!J:J,MATCH('Isaac 401k'!N3722,'Retirement Calculator'!A:A,0),0),0)</f>
        <v>0</v>
      </c>
      <c r="K3722" s="444">
        <f t="shared" ca="1" si="171"/>
        <v>-6080907973.3393145</v>
      </c>
      <c r="L3722" s="444">
        <f t="shared" ca="1" si="172"/>
        <v>-1465498821574.7749</v>
      </c>
      <c r="M3722" s="460">
        <f t="shared" si="174"/>
        <v>0.05</v>
      </c>
      <c r="N3722" s="464">
        <f t="shared" si="175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73"/>
        <v>-1465498821574.7749</v>
      </c>
      <c r="J3723" s="444">
        <f t="array" ref="J3723">IFERROR(INDEX('Retirement Calculator'!J:J,MATCH('Isaac 401k'!N3723,'Retirement Calculator'!A:A,0),0),0)</f>
        <v>0</v>
      </c>
      <c r="K3723" s="444">
        <f t="shared" ca="1" si="171"/>
        <v>-6106245089.8948956</v>
      </c>
      <c r="L3723" s="444">
        <f t="shared" ca="1" si="172"/>
        <v>-1471605066664.6697</v>
      </c>
      <c r="M3723" s="460">
        <f t="shared" si="174"/>
        <v>0.05</v>
      </c>
      <c r="N3723" s="464">
        <f t="shared" si="175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73"/>
        <v>-1471605066664.6697</v>
      </c>
      <c r="J3724" s="444">
        <f t="array" ref="J3724">IFERROR(INDEX('Retirement Calculator'!J:J,MATCH('Isaac 401k'!N3724,'Retirement Calculator'!A:A,0),0),0)</f>
        <v>0</v>
      </c>
      <c r="K3724" s="444">
        <f t="shared" ca="1" si="171"/>
        <v>-6131687777.7694569</v>
      </c>
      <c r="L3724" s="444">
        <f t="shared" ca="1" si="172"/>
        <v>-1477736754442.4392</v>
      </c>
      <c r="M3724" s="460">
        <f t="shared" si="174"/>
        <v>0.05</v>
      </c>
      <c r="N3724" s="464">
        <f t="shared" si="175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73"/>
        <v>-1477736754442.4392</v>
      </c>
      <c r="J3725" s="444">
        <f t="array" ref="J3725">IFERROR(INDEX('Retirement Calculator'!J:J,MATCH('Isaac 401k'!N3725,'Retirement Calculator'!A:A,0),0),0)</f>
        <v>0</v>
      </c>
      <c r="K3725" s="444">
        <f t="shared" ca="1" si="171"/>
        <v>-6157236476.8434963</v>
      </c>
      <c r="L3725" s="444">
        <f t="shared" ca="1" si="172"/>
        <v>-1483893990919.2827</v>
      </c>
      <c r="M3725" s="460">
        <f t="shared" si="174"/>
        <v>0.05</v>
      </c>
      <c r="N3725" s="464">
        <f t="shared" si="175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73"/>
        <v>-1483893990919.2827</v>
      </c>
      <c r="J3726" s="444">
        <f t="array" ref="J3726">IFERROR(INDEX('Retirement Calculator'!J:J,MATCH('Isaac 401k'!N3726,'Retirement Calculator'!A:A,0),0),0)</f>
        <v>0</v>
      </c>
      <c r="K3726" s="444">
        <f t="shared" ca="1" si="171"/>
        <v>-6182891628.8303442</v>
      </c>
      <c r="L3726" s="444">
        <f t="shared" ca="1" si="172"/>
        <v>-1490076882548.113</v>
      </c>
      <c r="M3726" s="460">
        <f t="shared" si="174"/>
        <v>0.05</v>
      </c>
      <c r="N3726" s="464">
        <f t="shared" si="175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73"/>
        <v>-1490076882548.113</v>
      </c>
      <c r="J3727" s="444">
        <f t="array" ref="J3727">IFERROR(INDEX('Retirement Calculator'!J:J,MATCH('Isaac 401k'!N3727,'Retirement Calculator'!A:A,0),0),0)</f>
        <v>0</v>
      </c>
      <c r="K3727" s="444">
        <f t="shared" ca="1" si="171"/>
        <v>-6208653677.2838039</v>
      </c>
      <c r="L3727" s="444">
        <f t="shared" ca="1" si="172"/>
        <v>-1496285536225.3967</v>
      </c>
      <c r="M3727" s="460">
        <f t="shared" si="174"/>
        <v>0.05</v>
      </c>
      <c r="N3727" s="464">
        <f t="shared" si="175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73"/>
        <v>-1496285536225.3967</v>
      </c>
      <c r="J3728" s="444">
        <f t="array" ref="J3728">IFERROR(INDEX('Retirement Calculator'!J:J,MATCH('Isaac 401k'!N3728,'Retirement Calculator'!A:A,0),0),0)</f>
        <v>0</v>
      </c>
      <c r="K3728" s="444">
        <f t="shared" ca="1" si="171"/>
        <v>-6234523067.6058197</v>
      </c>
      <c r="L3728" s="444">
        <f t="shared" ca="1" si="172"/>
        <v>-1502520059293.0024</v>
      </c>
      <c r="M3728" s="460">
        <f t="shared" si="174"/>
        <v>0.05</v>
      </c>
      <c r="N3728" s="464">
        <f t="shared" si="175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73"/>
        <v>-1502520059293.0024</v>
      </c>
      <c r="J3729" s="444">
        <f t="array" ref="J3729">IFERROR(INDEX('Retirement Calculator'!J:J,MATCH('Isaac 401k'!N3729,'Retirement Calculator'!A:A,0),0),0)</f>
        <v>0</v>
      </c>
      <c r="K3729" s="444">
        <f t="shared" ca="1" si="171"/>
        <v>-6260500247.0541763</v>
      </c>
      <c r="L3729" s="444">
        <f t="shared" ca="1" si="172"/>
        <v>-1508780559540.0566</v>
      </c>
      <c r="M3729" s="460">
        <f t="shared" si="174"/>
        <v>0.05</v>
      </c>
      <c r="N3729" s="464">
        <f t="shared" si="175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73"/>
        <v>-1508780559540.0566</v>
      </c>
      <c r="J3730" s="444">
        <f t="array" ref="J3730">IFERROR(INDEX('Retirement Calculator'!J:J,MATCH('Isaac 401k'!N3730,'Retirement Calculator'!A:A,0),0),0)</f>
        <v>0</v>
      </c>
      <c r="K3730" s="444">
        <f t="shared" ca="1" si="171"/>
        <v>-6286585664.7502356</v>
      </c>
      <c r="L3730" s="444">
        <f t="shared" ca="1" si="172"/>
        <v>-1515067145204.8069</v>
      </c>
      <c r="M3730" s="460">
        <f t="shared" si="174"/>
        <v>0.05</v>
      </c>
      <c r="N3730" s="464">
        <f t="shared" si="175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73"/>
        <v>-1515067145204.8069</v>
      </c>
      <c r="J3731" s="444">
        <f t="array" ref="J3731">IFERROR(INDEX('Retirement Calculator'!J:J,MATCH('Isaac 401k'!N3731,'Retirement Calculator'!A:A,0),0),0)</f>
        <v>0</v>
      </c>
      <c r="K3731" s="444">
        <f t="shared" ca="1" si="171"/>
        <v>-6312779771.6866951</v>
      </c>
      <c r="L3731" s="444">
        <f t="shared" ca="1" si="172"/>
        <v>-1521379924976.4937</v>
      </c>
      <c r="M3731" s="460">
        <f t="shared" si="174"/>
        <v>0.05</v>
      </c>
      <c r="N3731" s="464">
        <f t="shared" si="175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73"/>
        <v>-1521379924976.4937</v>
      </c>
      <c r="J3732" s="444">
        <f t="array" ref="J3732">IFERROR(INDEX('Retirement Calculator'!J:J,MATCH('Isaac 401k'!N3732,'Retirement Calculator'!A:A,0),0),0)</f>
        <v>0</v>
      </c>
      <c r="K3732" s="444">
        <f t="shared" ca="1" si="171"/>
        <v>-6339083020.7353897</v>
      </c>
      <c r="L3732" s="444">
        <f t="shared" ca="1" si="172"/>
        <v>-1527719007997.229</v>
      </c>
      <c r="M3732" s="460">
        <f t="shared" si="174"/>
        <v>0.05</v>
      </c>
      <c r="N3732" s="464">
        <f t="shared" si="175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73"/>
        <v>-1527719007997.229</v>
      </c>
      <c r="J3733" s="444">
        <f t="array" ref="J3733">IFERROR(INDEX('Retirement Calculator'!J:J,MATCH('Isaac 401k'!N3733,'Retirement Calculator'!A:A,0),0),0)</f>
        <v>0</v>
      </c>
      <c r="K3733" s="444">
        <f t="shared" ca="1" si="171"/>
        <v>-6365495866.6551208</v>
      </c>
      <c r="L3733" s="444">
        <f t="shared" ca="1" si="172"/>
        <v>-1534084503863.884</v>
      </c>
      <c r="M3733" s="460">
        <f t="shared" si="174"/>
        <v>0.05</v>
      </c>
      <c r="N3733" s="464">
        <f t="shared" si="175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73"/>
        <v>-1534084503863.884</v>
      </c>
      <c r="J3734" s="444">
        <f t="array" ref="J3734">IFERROR(INDEX('Retirement Calculator'!J:J,MATCH('Isaac 401k'!N3734,'Retirement Calculator'!A:A,0),0),0)</f>
        <v>0</v>
      </c>
      <c r="K3734" s="444">
        <f t="shared" ca="1" si="171"/>
        <v>-6392018766.0995169</v>
      </c>
      <c r="L3734" s="444">
        <f t="shared" ca="1" si="172"/>
        <v>-1540476522629.9836</v>
      </c>
      <c r="M3734" s="460">
        <f t="shared" si="174"/>
        <v>0.05</v>
      </c>
      <c r="N3734" s="464">
        <f t="shared" si="175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73"/>
        <v>-1540476522629.9836</v>
      </c>
      <c r="J3735" s="444">
        <f t="array" ref="J3735">IFERROR(INDEX('Retirement Calculator'!J:J,MATCH('Isaac 401k'!N3735,'Retirement Calculator'!A:A,0),0),0)</f>
        <v>0</v>
      </c>
      <c r="K3735" s="444">
        <f t="shared" ca="1" si="171"/>
        <v>-6418652177.6249313</v>
      </c>
      <c r="L3735" s="444">
        <f t="shared" ca="1" si="172"/>
        <v>-1546895174807.6086</v>
      </c>
      <c r="M3735" s="460">
        <f t="shared" si="174"/>
        <v>0.05</v>
      </c>
      <c r="N3735" s="464">
        <f t="shared" si="175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73"/>
        <v>-1546895174807.6086</v>
      </c>
      <c r="J3736" s="444">
        <f t="array" ref="J3736">IFERROR(INDEX('Retirement Calculator'!J:J,MATCH('Isaac 401k'!N3736,'Retirement Calculator'!A:A,0),0),0)</f>
        <v>0</v>
      </c>
      <c r="K3736" s="444">
        <f t="shared" ca="1" si="171"/>
        <v>-6445396561.698369</v>
      </c>
      <c r="L3736" s="444">
        <f t="shared" ca="1" si="172"/>
        <v>-1553340571369.3071</v>
      </c>
      <c r="M3736" s="460">
        <f t="shared" si="174"/>
        <v>0.05</v>
      </c>
      <c r="N3736" s="464">
        <f t="shared" si="175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73"/>
        <v>-1553340571369.3071</v>
      </c>
      <c r="J3737" s="444">
        <f t="array" ref="J3737">IFERROR(INDEX('Retirement Calculator'!J:J,MATCH('Isaac 401k'!N3737,'Retirement Calculator'!A:A,0),0),0)</f>
        <v>0</v>
      </c>
      <c r="K3737" s="444">
        <f t="shared" ca="1" si="171"/>
        <v>-6472252380.7054462</v>
      </c>
      <c r="L3737" s="444">
        <f t="shared" ca="1" si="172"/>
        <v>-1559812823750.0127</v>
      </c>
      <c r="M3737" s="460">
        <f t="shared" si="174"/>
        <v>0.05</v>
      </c>
      <c r="N3737" s="464">
        <f t="shared" si="175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73"/>
        <v>-1559812823750.0127</v>
      </c>
      <c r="J3738" s="444">
        <f t="array" ref="J3738">IFERROR(INDEX('Retirement Calculator'!J:J,MATCH('Isaac 401k'!N3738,'Retirement Calculator'!A:A,0),0),0)</f>
        <v>0</v>
      </c>
      <c r="K3738" s="444">
        <f t="shared" ca="1" si="171"/>
        <v>-6499220098.9583864</v>
      </c>
      <c r="L3738" s="444">
        <f t="shared" ca="1" si="172"/>
        <v>-1566312043848.9712</v>
      </c>
      <c r="M3738" s="460">
        <f t="shared" si="174"/>
        <v>0.05</v>
      </c>
      <c r="N3738" s="464">
        <f t="shared" si="175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73"/>
        <v>-1566312043848.9712</v>
      </c>
      <c r="J3739" s="444">
        <f t="array" ref="J3739">IFERROR(INDEX('Retirement Calculator'!J:J,MATCH('Isaac 401k'!N3739,'Retirement Calculator'!A:A,0),0),0)</f>
        <v>0</v>
      </c>
      <c r="K3739" s="444">
        <f t="shared" ca="1" si="171"/>
        <v>-6526300182.7040462</v>
      </c>
      <c r="L3739" s="444">
        <f t="shared" ca="1" si="172"/>
        <v>-1572838344031.6753</v>
      </c>
      <c r="M3739" s="460">
        <f t="shared" si="174"/>
        <v>0.05</v>
      </c>
      <c r="N3739" s="464">
        <f t="shared" si="175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73"/>
        <v>-1572838344031.6753</v>
      </c>
      <c r="J3740" s="444">
        <f t="array" ref="J3740">IFERROR(INDEX('Retirement Calculator'!J:J,MATCH('Isaac 401k'!N3740,'Retirement Calculator'!A:A,0),0),0)</f>
        <v>0</v>
      </c>
      <c r="K3740" s="444">
        <f t="shared" ca="1" si="171"/>
        <v>-6553493100.1319799</v>
      </c>
      <c r="L3740" s="444">
        <f t="shared" ca="1" si="172"/>
        <v>-1579391837131.8074</v>
      </c>
      <c r="M3740" s="460">
        <f t="shared" si="174"/>
        <v>0.05</v>
      </c>
      <c r="N3740" s="464">
        <f t="shared" si="175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73"/>
        <v>-1579391837131.8074</v>
      </c>
      <c r="J3741" s="444">
        <f t="array" ref="J3741">IFERROR(INDEX('Retirement Calculator'!J:J,MATCH('Isaac 401k'!N3741,'Retirement Calculator'!A:A,0),0),0)</f>
        <v>0</v>
      </c>
      <c r="K3741" s="444">
        <f t="shared" ca="1" si="171"/>
        <v>-6580799321.3825302</v>
      </c>
      <c r="L3741" s="444">
        <f t="shared" ca="1" si="172"/>
        <v>-1585972636453.1899</v>
      </c>
      <c r="M3741" s="460">
        <f t="shared" si="174"/>
        <v>0.05</v>
      </c>
      <c r="N3741" s="464">
        <f t="shared" si="175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73"/>
        <v>-1585972636453.1899</v>
      </c>
      <c r="J3742" s="444">
        <f t="array" ref="J3742">IFERROR(INDEX('Retirement Calculator'!J:J,MATCH('Isaac 401k'!N3742,'Retirement Calculator'!A:A,0),0),0)</f>
        <v>0</v>
      </c>
      <c r="K3742" s="444">
        <f t="shared" ca="1" si="171"/>
        <v>-6608219318.5549583</v>
      </c>
      <c r="L3742" s="444">
        <f t="shared" ca="1" si="172"/>
        <v>-1592580855771.7449</v>
      </c>
      <c r="M3742" s="460">
        <f t="shared" si="174"/>
        <v>0.05</v>
      </c>
      <c r="N3742" s="464">
        <f t="shared" si="175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73"/>
        <v>-1592580855771.7449</v>
      </c>
      <c r="J3743" s="444">
        <f t="array" ref="J3743">IFERROR(INDEX('Retirement Calculator'!J:J,MATCH('Isaac 401k'!N3743,'Retirement Calculator'!A:A,0),0),0)</f>
        <v>0</v>
      </c>
      <c r="K3743" s="444">
        <f t="shared" ca="1" si="171"/>
        <v>-6635753565.7156038</v>
      </c>
      <c r="L3743" s="444">
        <f t="shared" ca="1" si="172"/>
        <v>-1599216609337.4604</v>
      </c>
      <c r="M3743" s="460">
        <f t="shared" si="174"/>
        <v>0.05</v>
      </c>
      <c r="N3743" s="464">
        <f t="shared" si="175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73"/>
        <v>-1599216609337.4604</v>
      </c>
      <c r="J3744" s="444">
        <f t="array" ref="J3744">IFERROR(INDEX('Retirement Calculator'!J:J,MATCH('Isaac 401k'!N3744,'Retirement Calculator'!A:A,0),0),0)</f>
        <v>0</v>
      </c>
      <c r="K3744" s="444">
        <f t="shared" ca="1" si="171"/>
        <v>-6663402538.906085</v>
      </c>
      <c r="L3744" s="444">
        <f t="shared" ca="1" si="172"/>
        <v>-1605880011876.3665</v>
      </c>
      <c r="M3744" s="460">
        <f t="shared" si="174"/>
        <v>0.05</v>
      </c>
      <c r="N3744" s="464">
        <f t="shared" si="175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73"/>
        <v>-1605880011876.3665</v>
      </c>
      <c r="J3745" s="444">
        <f t="array" ref="J3745">IFERROR(INDEX('Retirement Calculator'!J:J,MATCH('Isaac 401k'!N3745,'Retirement Calculator'!A:A,0),0),0)</f>
        <v>0</v>
      </c>
      <c r="K3745" s="444">
        <f t="shared" ca="1" si="171"/>
        <v>-6691166716.1515265</v>
      </c>
      <c r="L3745" s="444">
        <f t="shared" ca="1" si="172"/>
        <v>-1612571178592.5181</v>
      </c>
      <c r="M3745" s="460">
        <f t="shared" si="174"/>
        <v>0.05</v>
      </c>
      <c r="N3745" s="464">
        <f t="shared" si="175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73"/>
        <v>-1612571178592.5181</v>
      </c>
      <c r="J3746" s="444">
        <f t="array" ref="J3746">IFERROR(INDEX('Retirement Calculator'!J:J,MATCH('Isaac 401k'!N3746,'Retirement Calculator'!A:A,0),0),0)</f>
        <v>0</v>
      </c>
      <c r="K3746" s="444">
        <f t="shared" ca="1" si="171"/>
        <v>-6719046577.4688253</v>
      </c>
      <c r="L3746" s="444">
        <f t="shared" ca="1" si="172"/>
        <v>-1619290225169.9868</v>
      </c>
      <c r="M3746" s="460">
        <f t="shared" si="174"/>
        <v>0.05</v>
      </c>
      <c r="N3746" s="464">
        <f t="shared" si="175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73"/>
        <v>-1619290225169.9868</v>
      </c>
      <c r="J3747" s="444">
        <f t="array" ref="J3747">IFERROR(INDEX('Retirement Calculator'!J:J,MATCH('Isaac 401k'!N3747,'Retirement Calculator'!A:A,0),0),0)</f>
        <v>0</v>
      </c>
      <c r="K3747" s="444">
        <f t="shared" ca="1" si="171"/>
        <v>-6747042604.8749447</v>
      </c>
      <c r="L3747" s="444">
        <f t="shared" ca="1" si="172"/>
        <v>-1626037267774.8618</v>
      </c>
      <c r="M3747" s="460">
        <f t="shared" si="174"/>
        <v>0.05</v>
      </c>
      <c r="N3747" s="464">
        <f t="shared" si="175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73"/>
        <v>-1626037267774.8618</v>
      </c>
      <c r="J3748" s="444">
        <f t="array" ref="J3748">IFERROR(INDEX('Retirement Calculator'!J:J,MATCH('Isaac 401k'!N3748,'Retirement Calculator'!A:A,0),0),0)</f>
        <v>0</v>
      </c>
      <c r="K3748" s="444">
        <f t="shared" ca="1" si="171"/>
        <v>-6775155282.3952579</v>
      </c>
      <c r="L3748" s="444">
        <f t="shared" ca="1" si="172"/>
        <v>-1632812423057.2571</v>
      </c>
      <c r="M3748" s="460">
        <f t="shared" si="174"/>
        <v>0.05</v>
      </c>
      <c r="N3748" s="464">
        <f t="shared" si="175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73"/>
        <v>-1632812423057.2571</v>
      </c>
      <c r="J3749" s="444">
        <f t="array" ref="J3749">IFERROR(INDEX('Retirement Calculator'!J:J,MATCH('Isaac 401k'!N3749,'Retirement Calculator'!A:A,0),0),0)</f>
        <v>0</v>
      </c>
      <c r="K3749" s="444">
        <f t="shared" ca="1" si="171"/>
        <v>-6803385096.0719042</v>
      </c>
      <c r="L3749" s="444">
        <f t="shared" ca="1" si="172"/>
        <v>-1639615808153.3291</v>
      </c>
      <c r="M3749" s="460">
        <f t="shared" si="174"/>
        <v>0.05</v>
      </c>
      <c r="N3749" s="464">
        <f t="shared" si="175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73"/>
        <v>-1639615808153.3291</v>
      </c>
      <c r="J3750" s="444">
        <f t="array" ref="J3750">IFERROR(INDEX('Retirement Calculator'!J:J,MATCH('Isaac 401k'!N3750,'Retirement Calculator'!A:A,0),0),0)</f>
        <v>0</v>
      </c>
      <c r="K3750" s="444">
        <f t="shared" ca="1" si="171"/>
        <v>-6831732533.9722042</v>
      </c>
      <c r="L3750" s="444">
        <f t="shared" ca="1" si="172"/>
        <v>-1646447540687.3013</v>
      </c>
      <c r="M3750" s="460">
        <f t="shared" si="174"/>
        <v>0.05</v>
      </c>
      <c r="N3750" s="464">
        <f t="shared" si="175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73"/>
        <v>-1646447540687.3013</v>
      </c>
      <c r="J3751" s="444">
        <f t="array" ref="J3751">IFERROR(INDEX('Retirement Calculator'!J:J,MATCH('Isaac 401k'!N3751,'Retirement Calculator'!A:A,0),0),0)</f>
        <v>0</v>
      </c>
      <c r="K3751" s="444">
        <f t="shared" ca="1" si="171"/>
        <v>-6860198086.1970882</v>
      </c>
      <c r="L3751" s="444">
        <f t="shared" ca="1" si="172"/>
        <v>-1653307738773.4983</v>
      </c>
      <c r="M3751" s="460">
        <f t="shared" si="174"/>
        <v>0.05</v>
      </c>
      <c r="N3751" s="464">
        <f t="shared" si="175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73"/>
        <v>-1653307738773.4983</v>
      </c>
      <c r="J3752" s="444">
        <f t="array" ref="J3752">IFERROR(INDEX('Retirement Calculator'!J:J,MATCH('Isaac 401k'!N3752,'Retirement Calculator'!A:A,0),0),0)</f>
        <v>0</v>
      </c>
      <c r="K3752" s="444">
        <f t="shared" ca="1" si="171"/>
        <v>-6888782244.889576</v>
      </c>
      <c r="L3752" s="444">
        <f t="shared" ca="1" si="172"/>
        <v>-1660196521018.3879</v>
      </c>
      <c r="M3752" s="460">
        <f t="shared" si="174"/>
        <v>0.05</v>
      </c>
      <c r="N3752" s="464">
        <f t="shared" si="175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73"/>
        <v>-1660196521018.3879</v>
      </c>
      <c r="J3753" s="444">
        <f t="array" ref="J3753">IFERROR(INDEX('Retirement Calculator'!J:J,MATCH('Isaac 401k'!N3753,'Retirement Calculator'!A:A,0),0),0)</f>
        <v>0</v>
      </c>
      <c r="K3753" s="444">
        <f t="shared" ca="1" si="171"/>
        <v>-6917485504.2432833</v>
      </c>
      <c r="L3753" s="444">
        <f t="shared" ca="1" si="172"/>
        <v>-1667114006522.6311</v>
      </c>
      <c r="M3753" s="460">
        <f t="shared" si="174"/>
        <v>0.05</v>
      </c>
      <c r="N3753" s="464">
        <f t="shared" si="175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73"/>
        <v>-1667114006522.6311</v>
      </c>
      <c r="J3754" s="444">
        <f t="array" ref="J3754">IFERROR(INDEX('Retirement Calculator'!J:J,MATCH('Isaac 401k'!N3754,'Retirement Calculator'!A:A,0),0),0)</f>
        <v>0</v>
      </c>
      <c r="K3754" s="444">
        <f t="shared" ca="1" si="171"/>
        <v>-6946308360.5109625</v>
      </c>
      <c r="L3754" s="444">
        <f t="shared" ca="1" si="172"/>
        <v>-1674060314883.1421</v>
      </c>
      <c r="M3754" s="460">
        <f t="shared" si="174"/>
        <v>0.05</v>
      </c>
      <c r="N3754" s="464">
        <f t="shared" si="175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73"/>
        <v>-1674060314883.1421</v>
      </c>
      <c r="J3755" s="444">
        <f t="array" ref="J3755">IFERROR(INDEX('Retirement Calculator'!J:J,MATCH('Isaac 401k'!N3755,'Retirement Calculator'!A:A,0),0),0)</f>
        <v>0</v>
      </c>
      <c r="K3755" s="444">
        <f t="shared" ca="1" si="171"/>
        <v>-6975251312.013092</v>
      </c>
      <c r="L3755" s="444">
        <f t="shared" ca="1" si="172"/>
        <v>-1681035566195.1553</v>
      </c>
      <c r="M3755" s="460">
        <f t="shared" si="174"/>
        <v>0.05</v>
      </c>
      <c r="N3755" s="464">
        <f t="shared" si="175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73"/>
        <v>-1681035566195.1553</v>
      </c>
      <c r="J3756" s="444">
        <f t="array" ref="J3756">IFERROR(INDEX('Retirement Calculator'!J:J,MATCH('Isaac 401k'!N3756,'Retirement Calculator'!A:A,0),0),0)</f>
        <v>0</v>
      </c>
      <c r="K3756" s="444">
        <f t="shared" ca="1" si="171"/>
        <v>-7004314859.1464806</v>
      </c>
      <c r="L3756" s="444">
        <f t="shared" ca="1" si="172"/>
        <v>-1688039881054.3018</v>
      </c>
      <c r="M3756" s="460">
        <f t="shared" si="174"/>
        <v>0.05</v>
      </c>
      <c r="N3756" s="464">
        <f t="shared" si="175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73"/>
        <v>-1688039881054.3018</v>
      </c>
      <c r="J3757" s="444">
        <f t="array" ref="J3757">IFERROR(INDEX('Retirement Calculator'!J:J,MATCH('Isaac 401k'!N3757,'Retirement Calculator'!A:A,0),0),0)</f>
        <v>0</v>
      </c>
      <c r="K3757" s="444">
        <f t="shared" ca="1" si="171"/>
        <v>-7033499504.3929243</v>
      </c>
      <c r="L3757" s="444">
        <f t="shared" ca="1" si="172"/>
        <v>-1695073380558.6946</v>
      </c>
      <c r="M3757" s="460">
        <f t="shared" si="174"/>
        <v>0.05</v>
      </c>
      <c r="N3757" s="464">
        <f t="shared" si="175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73"/>
        <v>-1695073380558.6946</v>
      </c>
      <c r="J3758" s="444">
        <f t="array" ref="J3758">IFERROR(INDEX('Retirement Calculator'!J:J,MATCH('Isaac 401k'!N3758,'Retirement Calculator'!A:A,0),0),0)</f>
        <v>0</v>
      </c>
      <c r="K3758" s="444">
        <f t="shared" ca="1" si="171"/>
        <v>-7062805752.3278942</v>
      </c>
      <c r="L3758" s="444">
        <f t="shared" ca="1" si="172"/>
        <v>-1702136186311.0225</v>
      </c>
      <c r="M3758" s="460">
        <f t="shared" si="174"/>
        <v>0.05</v>
      </c>
      <c r="N3758" s="464">
        <f t="shared" si="175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73"/>
        <v>-1702136186311.0225</v>
      </c>
      <c r="J3759" s="444">
        <f t="array" ref="J3759">IFERROR(INDEX('Retirement Calculator'!J:J,MATCH('Isaac 401k'!N3759,'Retirement Calculator'!A:A,0),0),0)</f>
        <v>0</v>
      </c>
      <c r="K3759" s="444">
        <f t="shared" ca="1" si="171"/>
        <v>-7092234109.6292601</v>
      </c>
      <c r="L3759" s="444">
        <f t="shared" ca="1" si="172"/>
        <v>-1709228420420.6516</v>
      </c>
      <c r="M3759" s="460">
        <f t="shared" si="174"/>
        <v>0.05</v>
      </c>
      <c r="N3759" s="464">
        <f t="shared" si="175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73"/>
        <v>-1709228420420.6516</v>
      </c>
      <c r="J3760" s="444">
        <f t="array" ref="J3760">IFERROR(INDEX('Retirement Calculator'!J:J,MATCH('Isaac 401k'!N3760,'Retirement Calculator'!A:A,0),0),0)</f>
        <v>0</v>
      </c>
      <c r="K3760" s="444">
        <f t="shared" ca="1" si="171"/>
        <v>-7121785085.0860481</v>
      </c>
      <c r="L3760" s="444">
        <f t="shared" ca="1" si="172"/>
        <v>-1716350205505.7375</v>
      </c>
      <c r="M3760" s="460">
        <f t="shared" si="174"/>
        <v>0.05</v>
      </c>
      <c r="N3760" s="464">
        <f t="shared" si="175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73"/>
        <v>-1716350205505.7375</v>
      </c>
      <c r="J3761" s="444">
        <f t="array" ref="J3761">IFERROR(INDEX('Retirement Calculator'!J:J,MATCH('Isaac 401k'!N3761,'Retirement Calculator'!A:A,0),0),0)</f>
        <v>0</v>
      </c>
      <c r="K3761" s="444">
        <f t="shared" ca="1" si="171"/>
        <v>-7151459189.6072407</v>
      </c>
      <c r="L3761" s="444">
        <f t="shared" ca="1" si="172"/>
        <v>-1723501664695.3447</v>
      </c>
      <c r="M3761" s="460">
        <f t="shared" si="174"/>
        <v>0.05</v>
      </c>
      <c r="N3761" s="464">
        <f t="shared" si="175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73"/>
        <v>-1723501664695.3447</v>
      </c>
      <c r="J3762" s="444">
        <f t="array" ref="J3762">IFERROR(INDEX('Retirement Calculator'!J:J,MATCH('Isaac 401k'!N3762,'Retirement Calculator'!A:A,0),0),0)</f>
        <v>0</v>
      </c>
      <c r="K3762" s="444">
        <f t="shared" ca="1" si="171"/>
        <v>-7181256936.2306032</v>
      </c>
      <c r="L3762" s="444">
        <f t="shared" ca="1" si="172"/>
        <v>-1730682921631.5754</v>
      </c>
      <c r="M3762" s="460">
        <f t="shared" si="174"/>
        <v>0.05</v>
      </c>
      <c r="N3762" s="464">
        <f t="shared" si="175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73"/>
        <v>-1730682921631.5754</v>
      </c>
      <c r="J3763" s="444">
        <f t="array" ref="J3763">IFERROR(INDEX('Retirement Calculator'!J:J,MATCH('Isaac 401k'!N3763,'Retirement Calculator'!A:A,0),0),0)</f>
        <v>0</v>
      </c>
      <c r="K3763" s="444">
        <f t="shared" ca="1" si="171"/>
        <v>-7211178840.1315632</v>
      </c>
      <c r="L3763" s="444">
        <f t="shared" ca="1" si="172"/>
        <v>-1737894100471.707</v>
      </c>
      <c r="M3763" s="460">
        <f t="shared" si="174"/>
        <v>0.05</v>
      </c>
      <c r="N3763" s="464">
        <f t="shared" si="175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73"/>
        <v>-1737894100471.707</v>
      </c>
      <c r="J3764" s="444">
        <f t="array" ref="J3764">IFERROR(INDEX('Retirement Calculator'!J:J,MATCH('Isaac 401k'!N3764,'Retirement Calculator'!A:A,0),0),0)</f>
        <v>0</v>
      </c>
      <c r="K3764" s="444">
        <f t="shared" ca="1" si="171"/>
        <v>-7241225418.6321125</v>
      </c>
      <c r="L3764" s="444">
        <f t="shared" ca="1" si="172"/>
        <v>-1745135325890.3391</v>
      </c>
      <c r="M3764" s="460">
        <f t="shared" si="174"/>
        <v>0.05</v>
      </c>
      <c r="N3764" s="464">
        <f t="shared" si="175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73"/>
        <v>-1745135325890.3391</v>
      </c>
      <c r="J3765" s="444">
        <f t="array" ref="J3765">IFERROR(INDEX('Retirement Calculator'!J:J,MATCH('Isaac 401k'!N3765,'Retirement Calculator'!A:A,0),0),0)</f>
        <v>0</v>
      </c>
      <c r="K3765" s="444">
        <f t="shared" ca="1" si="171"/>
        <v>-7271397191.2097454</v>
      </c>
      <c r="L3765" s="444">
        <f t="shared" ca="1" si="172"/>
        <v>-1752406723081.5488</v>
      </c>
      <c r="M3765" s="460">
        <f t="shared" si="174"/>
        <v>0.05</v>
      </c>
      <c r="N3765" s="464">
        <f t="shared" si="175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73"/>
        <v>-1752406723081.5488</v>
      </c>
      <c r="J3766" s="444">
        <f t="array" ref="J3766">IFERROR(INDEX('Retirement Calculator'!J:J,MATCH('Isaac 401k'!N3766,'Retirement Calculator'!A:A,0),0),0)</f>
        <v>0</v>
      </c>
      <c r="K3766" s="444">
        <f t="shared" ca="1" si="171"/>
        <v>-7301694679.5064535</v>
      </c>
      <c r="L3766" s="444">
        <f t="shared" ca="1" si="172"/>
        <v>-1759708417761.0552</v>
      </c>
      <c r="M3766" s="460">
        <f t="shared" si="174"/>
        <v>0.05</v>
      </c>
      <c r="N3766" s="464">
        <f t="shared" si="175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73"/>
        <v>-1759708417761.0552</v>
      </c>
      <c r="J3767" s="444">
        <f t="array" ref="J3767">IFERROR(INDEX('Retirement Calculator'!J:J,MATCH('Isaac 401k'!N3767,'Retirement Calculator'!A:A,0),0),0)</f>
        <v>0</v>
      </c>
      <c r="K3767" s="444">
        <f t="shared" ca="1" si="171"/>
        <v>-7332118407.3377295</v>
      </c>
      <c r="L3767" s="444">
        <f t="shared" ca="1" si="172"/>
        <v>-1767040536168.3928</v>
      </c>
      <c r="M3767" s="460">
        <f t="shared" si="174"/>
        <v>0.05</v>
      </c>
      <c r="N3767" s="464">
        <f t="shared" si="175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73"/>
        <v>-1767040536168.3928</v>
      </c>
      <c r="J3768" s="444">
        <f t="array" ref="J3768">IFERROR(INDEX('Retirement Calculator'!J:J,MATCH('Isaac 401k'!N3768,'Retirement Calculator'!A:A,0),0),0)</f>
        <v>0</v>
      </c>
      <c r="K3768" s="444">
        <f t="shared" ca="1" si="171"/>
        <v>-7362668900.7016363</v>
      </c>
      <c r="L3768" s="444">
        <f t="shared" ca="1" si="172"/>
        <v>-1774403205069.0945</v>
      </c>
      <c r="M3768" s="460">
        <f t="shared" si="174"/>
        <v>0.05</v>
      </c>
      <c r="N3768" s="464">
        <f t="shared" si="175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73"/>
        <v>-1774403205069.0945</v>
      </c>
      <c r="J3769" s="444">
        <f t="array" ref="J3769">IFERROR(INDEX('Retirement Calculator'!J:J,MATCH('Isaac 401k'!N3769,'Retirement Calculator'!A:A,0),0),0)</f>
        <v>0</v>
      </c>
      <c r="K3769" s="444">
        <f t="shared" ca="1" si="171"/>
        <v>-7393346687.7878923</v>
      </c>
      <c r="L3769" s="444">
        <f t="shared" ca="1" si="172"/>
        <v>-1781796551756.8823</v>
      </c>
      <c r="M3769" s="460">
        <f t="shared" si="174"/>
        <v>0.05</v>
      </c>
      <c r="N3769" s="464">
        <f t="shared" si="175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73"/>
        <v>-1781796551756.8823</v>
      </c>
      <c r="J3770" s="444">
        <f t="array" ref="J3770">IFERROR(INDEX('Retirement Calculator'!J:J,MATCH('Isaac 401k'!N3770,'Retirement Calculator'!A:A,0),0),0)</f>
        <v>0</v>
      </c>
      <c r="K3770" s="444">
        <f t="shared" ca="1" si="171"/>
        <v>-7424152298.98701</v>
      </c>
      <c r="L3770" s="444">
        <f t="shared" ca="1" si="172"/>
        <v>-1789220704055.8694</v>
      </c>
      <c r="M3770" s="460">
        <f t="shared" si="174"/>
        <v>0.05</v>
      </c>
      <c r="N3770" s="464">
        <f t="shared" si="175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73"/>
        <v>-1789220704055.8694</v>
      </c>
      <c r="J3771" s="444">
        <f t="array" ref="J3771">IFERROR(INDEX('Retirement Calculator'!J:J,MATCH('Isaac 401k'!N3771,'Retirement Calculator'!A:A,0),0),0)</f>
        <v>0</v>
      </c>
      <c r="K3771" s="444">
        <f t="shared" ca="1" si="171"/>
        <v>-7455086266.899456</v>
      </c>
      <c r="L3771" s="444">
        <f t="shared" ca="1" si="172"/>
        <v>-1796675790322.7688</v>
      </c>
      <c r="M3771" s="460">
        <f t="shared" si="174"/>
        <v>0.05</v>
      </c>
      <c r="N3771" s="464">
        <f t="shared" si="175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73"/>
        <v>-1796675790322.7688</v>
      </c>
      <c r="J3772" s="444">
        <f t="array" ref="J3772">IFERROR(INDEX('Retirement Calculator'!J:J,MATCH('Isaac 401k'!N3772,'Retirement Calculator'!A:A,0),0),0)</f>
        <v>0</v>
      </c>
      <c r="K3772" s="444">
        <f t="shared" ca="1" si="171"/>
        <v>-7486149126.3448706</v>
      </c>
      <c r="L3772" s="444">
        <f t="shared" ca="1" si="172"/>
        <v>-1804161939449.1138</v>
      </c>
      <c r="M3772" s="460">
        <f t="shared" si="174"/>
        <v>0.05</v>
      </c>
      <c r="N3772" s="464">
        <f t="shared" si="175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73"/>
        <v>-1804161939449.1138</v>
      </c>
      <c r="J3773" s="444">
        <f t="array" ref="J3773">IFERROR(INDEX('Retirement Calculator'!J:J,MATCH('Isaac 401k'!N3773,'Retirement Calculator'!A:A,0),0),0)</f>
        <v>0</v>
      </c>
      <c r="K3773" s="444">
        <f t="shared" ca="1" si="171"/>
        <v>-7517341414.3713074</v>
      </c>
      <c r="L3773" s="444">
        <f t="shared" ca="1" si="172"/>
        <v>-1811679280863.4851</v>
      </c>
      <c r="M3773" s="460">
        <f t="shared" si="174"/>
        <v>0.05</v>
      </c>
      <c r="N3773" s="464">
        <f t="shared" si="175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73"/>
        <v>-1811679280863.4851</v>
      </c>
      <c r="J3774" s="444">
        <f t="array" ref="J3774">IFERROR(INDEX('Retirement Calculator'!J:J,MATCH('Isaac 401k'!N3774,'Retirement Calculator'!A:A,0),0),0)</f>
        <v>0</v>
      </c>
      <c r="K3774" s="444">
        <f t="shared" ca="1" si="171"/>
        <v>-7548663670.2645216</v>
      </c>
      <c r="L3774" s="444">
        <f t="shared" ca="1" si="172"/>
        <v>-1819227944533.7495</v>
      </c>
      <c r="M3774" s="460">
        <f t="shared" si="174"/>
        <v>0.05</v>
      </c>
      <c r="N3774" s="464">
        <f t="shared" si="175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73"/>
        <v>-1819227944533.7495</v>
      </c>
      <c r="J3775" s="444">
        <f t="array" ref="J3775">IFERROR(INDEX('Retirement Calculator'!J:J,MATCH('Isaac 401k'!N3775,'Retirement Calculator'!A:A,0),0),0)</f>
        <v>0</v>
      </c>
      <c r="K3775" s="444">
        <f t="shared" ca="1" si="171"/>
        <v>-7580116435.5572891</v>
      </c>
      <c r="L3775" s="444">
        <f t="shared" ca="1" si="172"/>
        <v>-1826808060969.3069</v>
      </c>
      <c r="M3775" s="460">
        <f t="shared" si="174"/>
        <v>0.05</v>
      </c>
      <c r="N3775" s="464">
        <f t="shared" si="175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73"/>
        <v>-1826808060969.3069</v>
      </c>
      <c r="J3776" s="444">
        <f t="array" ref="J3776">IFERROR(INDEX('Retirement Calculator'!J:J,MATCH('Isaac 401k'!N3776,'Retirement Calculator'!A:A,0),0),0)</f>
        <v>0</v>
      </c>
      <c r="K3776" s="444">
        <f t="shared" ca="1" si="171"/>
        <v>-7611700254.0387783</v>
      </c>
      <c r="L3776" s="444">
        <f t="shared" ca="1" si="172"/>
        <v>-1834419761223.3457</v>
      </c>
      <c r="M3776" s="460">
        <f t="shared" si="174"/>
        <v>0.05</v>
      </c>
      <c r="N3776" s="464">
        <f t="shared" si="175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73"/>
        <v>-1834419761223.3457</v>
      </c>
      <c r="J3777" s="444">
        <f t="array" ref="J3777">IFERROR(INDEX('Retirement Calculator'!J:J,MATCH('Isaac 401k'!N3777,'Retirement Calculator'!A:A,0),0),0)</f>
        <v>0</v>
      </c>
      <c r="K3777" s="444">
        <f t="shared" ca="1" si="171"/>
        <v>-7643415671.7639418</v>
      </c>
      <c r="L3777" s="444">
        <f t="shared" ca="1" si="172"/>
        <v>-1842063176895.1096</v>
      </c>
      <c r="M3777" s="460">
        <f t="shared" si="174"/>
        <v>0.05</v>
      </c>
      <c r="N3777" s="464">
        <f t="shared" si="175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73"/>
        <v>-1842063176895.1096</v>
      </c>
      <c r="J3778" s="444">
        <f t="array" ref="J3778">IFERROR(INDEX('Retirement Calculator'!J:J,MATCH('Isaac 401k'!N3778,'Retirement Calculator'!A:A,0),0),0)</f>
        <v>0</v>
      </c>
      <c r="K3778" s="444">
        <f t="shared" ca="1" si="171"/>
        <v>-7675263237.0629568</v>
      </c>
      <c r="L3778" s="444">
        <f t="shared" ca="1" si="172"/>
        <v>-1849738440132.1726</v>
      </c>
      <c r="M3778" s="460">
        <f t="shared" si="174"/>
        <v>0.05</v>
      </c>
      <c r="N3778" s="464">
        <f t="shared" si="175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73"/>
        <v>-1849738440132.1726</v>
      </c>
      <c r="J3779" s="444">
        <f t="array" ref="J3779">IFERROR(INDEX('Retirement Calculator'!J:J,MATCH('Isaac 401k'!N3779,'Retirement Calculator'!A:A,0),0),0)</f>
        <v>0</v>
      </c>
      <c r="K3779" s="444">
        <f t="shared" ca="1" si="171"/>
        <v>-7707243500.5507202</v>
      </c>
      <c r="L3779" s="444">
        <f t="shared" ca="1" si="172"/>
        <v>-1857445683632.7234</v>
      </c>
      <c r="M3779" s="460">
        <f t="shared" si="174"/>
        <v>0.05</v>
      </c>
      <c r="N3779" s="464">
        <f t="shared" si="175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73"/>
        <v>-1857445683632.7234</v>
      </c>
      <c r="J3780" s="444">
        <f t="array" ref="J3780">IFERROR(INDEX('Retirement Calculator'!J:J,MATCH('Isaac 401k'!N3780,'Retirement Calculator'!A:A,0),0),0)</f>
        <v>0</v>
      </c>
      <c r="K3780" s="444">
        <f t="shared" ca="1" si="171"/>
        <v>-7739357015.1363478</v>
      </c>
      <c r="L3780" s="444">
        <f t="shared" ca="1" si="172"/>
        <v>-1865185040647.8596</v>
      </c>
      <c r="M3780" s="460">
        <f t="shared" si="174"/>
        <v>0.05</v>
      </c>
      <c r="N3780" s="464">
        <f t="shared" si="175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73"/>
        <v>-1865185040647.8596</v>
      </c>
      <c r="J3781" s="444">
        <f t="array" ref="J3781">IFERROR(INDEX('Retirement Calculator'!J:J,MATCH('Isaac 401k'!N3781,'Retirement Calculator'!A:A,0),0),0)</f>
        <v>0</v>
      </c>
      <c r="K3781" s="444">
        <f t="shared" ca="1" si="171"/>
        <v>-7771604336.0327482</v>
      </c>
      <c r="L3781" s="444">
        <f t="shared" ca="1" si="172"/>
        <v>-1872956644983.8923</v>
      </c>
      <c r="M3781" s="460">
        <f t="shared" si="174"/>
        <v>0.05</v>
      </c>
      <c r="N3781" s="464">
        <f t="shared" si="175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73"/>
        <v>-1872956644983.8923</v>
      </c>
      <c r="J3782" s="444">
        <f t="array" ref="J3782">IFERROR(INDEX('Retirement Calculator'!J:J,MATCH('Isaac 401k'!N3782,'Retirement Calculator'!A:A,0),0),0)</f>
        <v>0</v>
      </c>
      <c r="K3782" s="444">
        <f t="shared" ca="1" si="171"/>
        <v>-7803986020.7662191</v>
      </c>
      <c r="L3782" s="444">
        <f t="shared" ca="1" si="172"/>
        <v>-1880760631004.6584</v>
      </c>
      <c r="M3782" s="460">
        <f t="shared" si="174"/>
        <v>0.05</v>
      </c>
      <c r="N3782" s="464">
        <f t="shared" si="175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73"/>
        <v>-1880760631004.6584</v>
      </c>
      <c r="J3783" s="444">
        <f t="array" ref="J3783">IFERROR(INDEX('Retirement Calculator'!J:J,MATCH('Isaac 401k'!N3783,'Retirement Calculator'!A:A,0),0),0)</f>
        <v>0</v>
      </c>
      <c r="K3783" s="444">
        <f t="shared" ca="1" si="171"/>
        <v>-7836502629.1860762</v>
      </c>
      <c r="L3783" s="444">
        <f t="shared" ca="1" si="172"/>
        <v>-1888597133633.8445</v>
      </c>
      <c r="M3783" s="460">
        <f t="shared" si="174"/>
        <v>0.05</v>
      </c>
      <c r="N3783" s="464">
        <f t="shared" si="175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73"/>
        <v>-1888597133633.8445</v>
      </c>
      <c r="J3784" s="444">
        <f t="array" ref="J3784">IFERROR(INDEX('Retirement Calculator'!J:J,MATCH('Isaac 401k'!N3784,'Retirement Calculator'!A:A,0),0),0)</f>
        <v>0</v>
      </c>
      <c r="K3784" s="444">
        <f t="shared" ca="1" si="171"/>
        <v>-7869154723.4743509</v>
      </c>
      <c r="L3784" s="444">
        <f t="shared" ca="1" si="172"/>
        <v>-1896466288357.3188</v>
      </c>
      <c r="M3784" s="460">
        <f t="shared" si="174"/>
        <v>0.05</v>
      </c>
      <c r="N3784" s="464">
        <f t="shared" si="175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73"/>
        <v>-1896466288357.3188</v>
      </c>
      <c r="J3785" s="444">
        <f t="array" ref="J3785">IFERROR(INDEX('Retirement Calculator'!J:J,MATCH('Isaac 401k'!N3785,'Retirement Calculator'!A:A,0),0),0)</f>
        <v>0</v>
      </c>
      <c r="K3785" s="444">
        <f t="shared" ca="1" si="171"/>
        <v>-7901942868.1554947</v>
      </c>
      <c r="L3785" s="444">
        <f t="shared" ca="1" si="172"/>
        <v>-1904368231225.4744</v>
      </c>
      <c r="M3785" s="460">
        <f t="shared" si="174"/>
        <v>0.05</v>
      </c>
      <c r="N3785" s="464">
        <f t="shared" si="175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73"/>
        <v>-1904368231225.4744</v>
      </c>
      <c r="J3786" s="444">
        <f t="array" ref="J3786">IFERROR(INDEX('Retirement Calculator'!J:J,MATCH('Isaac 401k'!N3786,'Retirement Calculator'!A:A,0),0),0)</f>
        <v>0</v>
      </c>
      <c r="K3786" s="444">
        <f t="shared" ca="1" si="171"/>
        <v>-7934867630.106143</v>
      </c>
      <c r="L3786" s="444">
        <f t="shared" ca="1" si="172"/>
        <v>-1912303098855.5806</v>
      </c>
      <c r="M3786" s="460">
        <f t="shared" si="174"/>
        <v>0.05</v>
      </c>
      <c r="N3786" s="464">
        <f t="shared" si="175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73"/>
        <v>-1912303098855.5806</v>
      </c>
      <c r="J3787" s="444">
        <f t="array" ref="J3787">IFERROR(INDEX('Retirement Calculator'!J:J,MATCH('Isaac 401k'!N3787,'Retirement Calculator'!A:A,0),0),0)</f>
        <v>0</v>
      </c>
      <c r="K3787" s="444">
        <f t="shared" ca="1" si="171"/>
        <v>-7967929578.5649185</v>
      </c>
      <c r="L3787" s="444">
        <f t="shared" ca="1" si="172"/>
        <v>-1920271028434.1455</v>
      </c>
      <c r="M3787" s="460">
        <f t="shared" si="174"/>
        <v>0.05</v>
      </c>
      <c r="N3787" s="464">
        <f t="shared" si="175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73"/>
        <v>-1920271028434.1455</v>
      </c>
      <c r="J3788" s="444">
        <f t="array" ref="J3788">IFERROR(INDEX('Retirement Calculator'!J:J,MATCH('Isaac 401k'!N3788,'Retirement Calculator'!A:A,0),0),0)</f>
        <v>0</v>
      </c>
      <c r="K3788" s="444">
        <f t="shared" ca="1" si="171"/>
        <v>-8001129285.1422739</v>
      </c>
      <c r="L3788" s="444">
        <f t="shared" ca="1" si="172"/>
        <v>-1928272157719.2878</v>
      </c>
      <c r="M3788" s="460">
        <f t="shared" si="174"/>
        <v>0.05</v>
      </c>
      <c r="N3788" s="464">
        <f t="shared" si="175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73"/>
        <v>-1928272157719.2878</v>
      </c>
      <c r="J3789" s="444">
        <f t="array" ref="J3789">IFERROR(INDEX('Retirement Calculator'!J:J,MATCH('Isaac 401k'!N3789,'Retirement Calculator'!A:A,0),0),0)</f>
        <v>0</v>
      </c>
      <c r="K3789" s="444">
        <f t="shared" ca="1" si="171"/>
        <v>-8034467323.8303661</v>
      </c>
      <c r="L3789" s="444">
        <f t="shared" ca="1" si="172"/>
        <v>-1936306625043.1182</v>
      </c>
      <c r="M3789" s="460">
        <f t="shared" si="174"/>
        <v>0.05</v>
      </c>
      <c r="N3789" s="464">
        <f t="shared" si="175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73"/>
        <v>-1936306625043.1182</v>
      </c>
      <c r="J3790" s="444">
        <f t="array" ref="J3790">IFERROR(INDEX('Retirement Calculator'!J:J,MATCH('Isaac 401k'!N3790,'Retirement Calculator'!A:A,0),0),0)</f>
        <v>0</v>
      </c>
      <c r="K3790" s="444">
        <f t="shared" ca="1" si="171"/>
        <v>-8067944271.0129919</v>
      </c>
      <c r="L3790" s="444">
        <f t="shared" ca="1" si="172"/>
        <v>-1944374569314.1311</v>
      </c>
      <c r="M3790" s="460">
        <f t="shared" si="174"/>
        <v>0.05</v>
      </c>
      <c r="N3790" s="464">
        <f t="shared" si="175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73"/>
        <v>-1944374569314.1311</v>
      </c>
      <c r="J3791" s="444">
        <f t="array" ref="J3791">IFERROR(INDEX('Retirement Calculator'!J:J,MATCH('Isaac 401k'!N3791,'Retirement Calculator'!A:A,0),0),0)</f>
        <v>0</v>
      </c>
      <c r="K3791" s="444">
        <f t="shared" ca="1" si="171"/>
        <v>-8101560705.4755459</v>
      </c>
      <c r="L3791" s="444">
        <f t="shared" ca="1" si="172"/>
        <v>-1952476130019.6067</v>
      </c>
      <c r="M3791" s="460">
        <f t="shared" si="174"/>
        <v>0.05</v>
      </c>
      <c r="N3791" s="464">
        <f t="shared" si="175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73"/>
        <v>-1952476130019.6067</v>
      </c>
      <c r="J3792" s="444">
        <f t="array" ref="J3792">IFERROR(INDEX('Retirement Calculator'!J:J,MATCH('Isaac 401k'!N3792,'Retirement Calculator'!A:A,0),0),0)</f>
        <v>0</v>
      </c>
      <c r="K3792" s="444">
        <f t="shared" ca="1" si="171"/>
        <v>-8135317208.4150267</v>
      </c>
      <c r="L3792" s="444">
        <f t="shared" ca="1" si="172"/>
        <v>-1960611447228.0217</v>
      </c>
      <c r="M3792" s="460">
        <f t="shared" si="174"/>
        <v>0.05</v>
      </c>
      <c r="N3792" s="464">
        <f t="shared" si="175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73"/>
        <v>-1960611447228.0217</v>
      </c>
      <c r="J3793" s="444">
        <f t="array" ref="J3793">IFERROR(INDEX('Retirement Calculator'!J:J,MATCH('Isaac 401k'!N3793,'Retirement Calculator'!A:A,0),0),0)</f>
        <v>0</v>
      </c>
      <c r="K3793" s="444">
        <f t="shared" ca="1" si="171"/>
        <v>-8169214363.4500895</v>
      </c>
      <c r="L3793" s="444">
        <f t="shared" ca="1" si="172"/>
        <v>-1968780661591.4719</v>
      </c>
      <c r="M3793" s="460">
        <f t="shared" si="174"/>
        <v>0.05</v>
      </c>
      <c r="N3793" s="464">
        <f t="shared" si="175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73"/>
        <v>-1968780661591.4719</v>
      </c>
      <c r="J3794" s="444">
        <f t="array" ref="J3794">IFERROR(INDEX('Retirement Calculator'!J:J,MATCH('Isaac 401k'!N3794,'Retirement Calculator'!A:A,0),0),0)</f>
        <v>0</v>
      </c>
      <c r="K3794" s="444">
        <f t="shared" ca="1" si="171"/>
        <v>-8203252756.6311331</v>
      </c>
      <c r="L3794" s="444">
        <f t="shared" ca="1" si="172"/>
        <v>-1976983914348.103</v>
      </c>
      <c r="M3794" s="460">
        <f t="shared" si="174"/>
        <v>0.05</v>
      </c>
      <c r="N3794" s="464">
        <f t="shared" si="175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73"/>
        <v>-1976983914348.103</v>
      </c>
      <c r="J3795" s="444">
        <f t="array" ref="J3795">IFERROR(INDEX('Retirement Calculator'!J:J,MATCH('Isaac 401k'!N3795,'Retirement Calculator'!A:A,0),0),0)</f>
        <v>0</v>
      </c>
      <c r="K3795" s="444">
        <f t="shared" ca="1" si="171"/>
        <v>-8237432976.450429</v>
      </c>
      <c r="L3795" s="444">
        <f t="shared" ca="1" si="172"/>
        <v>-1985221347324.5535</v>
      </c>
      <c r="M3795" s="460">
        <f t="shared" si="174"/>
        <v>0.05</v>
      </c>
      <c r="N3795" s="464">
        <f t="shared" si="175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73"/>
        <v>-1985221347324.5535</v>
      </c>
      <c r="J3796" s="444">
        <f t="array" ref="J3796">IFERROR(INDEX('Retirement Calculator'!J:J,MATCH('Isaac 401k'!N3796,'Retirement Calculator'!A:A,0),0),0)</f>
        <v>0</v>
      </c>
      <c r="K3796" s="444">
        <f t="shared" ca="1" si="171"/>
        <v>-8271755613.8523064</v>
      </c>
      <c r="L3796" s="444">
        <f t="shared" ca="1" si="172"/>
        <v>-1993493102938.4058</v>
      </c>
      <c r="M3796" s="460">
        <f t="shared" si="174"/>
        <v>0.05</v>
      </c>
      <c r="N3796" s="464">
        <f t="shared" si="175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73"/>
        <v>-1993493102938.4058</v>
      </c>
      <c r="J3797" s="444">
        <f t="array" ref="J3797">IFERROR(INDEX('Retirement Calculator'!J:J,MATCH('Isaac 401k'!N3797,'Retirement Calculator'!A:A,0),0),0)</f>
        <v>0</v>
      </c>
      <c r="K3797" s="444">
        <f t="shared" ca="1" si="171"/>
        <v>-8306221262.2433577</v>
      </c>
      <c r="L3797" s="444">
        <f t="shared" ca="1" si="172"/>
        <v>-2001799324200.6492</v>
      </c>
      <c r="M3797" s="460">
        <f t="shared" si="174"/>
        <v>0.05</v>
      </c>
      <c r="N3797" s="464">
        <f t="shared" si="175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73"/>
        <v>-2001799324200.6492</v>
      </c>
      <c r="J3798" s="444">
        <f t="array" ref="J3798">IFERROR(INDEX('Retirement Calculator'!J:J,MATCH('Isaac 401k'!N3798,'Retirement Calculator'!A:A,0),0),0)</f>
        <v>0</v>
      </c>
      <c r="K3798" s="444">
        <f t="shared" ca="1" si="171"/>
        <v>-8340830517.5027046</v>
      </c>
      <c r="L3798" s="444">
        <f t="shared" ca="1" si="172"/>
        <v>-2010140154718.1519</v>
      </c>
      <c r="M3798" s="460">
        <f t="shared" si="174"/>
        <v>0.05</v>
      </c>
      <c r="N3798" s="464">
        <f t="shared" si="175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73"/>
        <v>-2010140154718.1519</v>
      </c>
      <c r="J3799" s="444">
        <f t="array" ref="J3799">IFERROR(INDEX('Retirement Calculator'!J:J,MATCH('Isaac 401k'!N3799,'Retirement Calculator'!A:A,0),0),0)</f>
        <v>0</v>
      </c>
      <c r="K3799" s="444">
        <f t="shared" ca="1" si="171"/>
        <v>-8375583977.9922991</v>
      </c>
      <c r="L3799" s="444">
        <f t="shared" ca="1" si="172"/>
        <v>-2018515738696.144</v>
      </c>
      <c r="M3799" s="460">
        <f t="shared" si="174"/>
        <v>0.05</v>
      </c>
      <c r="N3799" s="464">
        <f t="shared" si="175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73"/>
        <v>-2018515738696.144</v>
      </c>
      <c r="J3800" s="444">
        <f t="array" ref="J3800">IFERROR(INDEX('Retirement Calculator'!J:J,MATCH('Isaac 401k'!N3800,'Retirement Calculator'!A:A,0),0),0)</f>
        <v>0</v>
      </c>
      <c r="K3800" s="444">
        <f t="shared" ca="1" si="171"/>
        <v>-8410482244.5672665</v>
      </c>
      <c r="L3800" s="444">
        <f t="shared" ca="1" si="172"/>
        <v>-2026926220940.7114</v>
      </c>
      <c r="M3800" s="460">
        <f t="shared" si="174"/>
        <v>0.05</v>
      </c>
      <c r="N3800" s="464">
        <f t="shared" si="175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73"/>
        <v>-2026926220940.7114</v>
      </c>
      <c r="J3801" s="444">
        <f t="array" ref="J3801">IFERROR(INDEX('Retirement Calculator'!J:J,MATCH('Isaac 401k'!N3801,'Retirement Calculator'!A:A,0),0),0)</f>
        <v>0</v>
      </c>
      <c r="K3801" s="444">
        <f t="shared" ca="1" si="171"/>
        <v>-8445525920.5862989</v>
      </c>
      <c r="L3801" s="444">
        <f t="shared" ca="1" si="172"/>
        <v>-2035371746861.2976</v>
      </c>
      <c r="M3801" s="460">
        <f t="shared" si="174"/>
        <v>0.05</v>
      </c>
      <c r="N3801" s="464">
        <f t="shared" si="175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73"/>
        <v>-2035371746861.2976</v>
      </c>
      <c r="J3802" s="444">
        <f t="array" ref="J3802">IFERROR(INDEX('Retirement Calculator'!J:J,MATCH('Isaac 401k'!N3802,'Retirement Calculator'!A:A,0),0),0)</f>
        <v>0</v>
      </c>
      <c r="K3802" s="444">
        <f t="shared" ca="1" si="171"/>
        <v>-8480715611.9220734</v>
      </c>
      <c r="L3802" s="444">
        <f t="shared" ca="1" si="172"/>
        <v>-2043852462473.2197</v>
      </c>
      <c r="M3802" s="460">
        <f t="shared" si="174"/>
        <v>0.05</v>
      </c>
      <c r="N3802" s="464">
        <f t="shared" si="175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73"/>
        <v>-2043852462473.2197</v>
      </c>
      <c r="J3803" s="444">
        <f t="array" ref="J3803">IFERROR(INDEX('Retirement Calculator'!J:J,MATCH('Isaac 401k'!N3803,'Retirement Calculator'!A:A,0),0),0)</f>
        <v>0</v>
      </c>
      <c r="K3803" s="444">
        <f t="shared" ca="1" si="171"/>
        <v>-8516051926.9717474</v>
      </c>
      <c r="L3803" s="444">
        <f t="shared" ca="1" si="172"/>
        <v>-2052368514400.1914</v>
      </c>
      <c r="M3803" s="460">
        <f t="shared" si="174"/>
        <v>0.05</v>
      </c>
      <c r="N3803" s="464">
        <f t="shared" si="175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73"/>
        <v>-2052368514400.1914</v>
      </c>
      <c r="J3804" s="444">
        <f t="array" ref="J3804">IFERROR(INDEX('Retirement Calculator'!J:J,MATCH('Isaac 401k'!N3804,'Retirement Calculator'!A:A,0),0),0)</f>
        <v>0</v>
      </c>
      <c r="K3804" s="444">
        <f t="shared" ca="1" si="171"/>
        <v>-8551535476.6674643</v>
      </c>
      <c r="L3804" s="444">
        <f t="shared" ca="1" si="172"/>
        <v>-2060920049876.8589</v>
      </c>
      <c r="M3804" s="460">
        <f t="shared" si="174"/>
        <v>0.05</v>
      </c>
      <c r="N3804" s="464">
        <f t="shared" si="175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73"/>
        <v>-2060920049876.8589</v>
      </c>
      <c r="J3805" s="444">
        <f t="array" ref="J3805">IFERROR(INDEX('Retirement Calculator'!J:J,MATCH('Isaac 401k'!N3805,'Retirement Calculator'!A:A,0),0),0)</f>
        <v>0</v>
      </c>
      <c r="K3805" s="444">
        <f t="shared" ca="1" si="171"/>
        <v>-8587166874.4869108</v>
      </c>
      <c r="L3805" s="444">
        <f t="shared" ca="1" si="172"/>
        <v>-2069507216751.3457</v>
      </c>
      <c r="M3805" s="460">
        <f t="shared" si="174"/>
        <v>0.05</v>
      </c>
      <c r="N3805" s="464">
        <f t="shared" si="175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73"/>
        <v>-2069507216751.3457</v>
      </c>
      <c r="J3806" s="444">
        <f t="array" ref="J3806">IFERROR(INDEX('Retirement Calculator'!J:J,MATCH('Isaac 401k'!N3806,'Retirement Calculator'!A:A,0),0),0)</f>
        <v>0</v>
      </c>
      <c r="K3806" s="444">
        <f t="shared" ca="1" si="171"/>
        <v>-8622946736.4639397</v>
      </c>
      <c r="L3806" s="444">
        <f t="shared" ca="1" si="172"/>
        <v>-2078130163487.8096</v>
      </c>
      <c r="M3806" s="460">
        <f t="shared" si="174"/>
        <v>0.05</v>
      </c>
      <c r="N3806" s="464">
        <f t="shared" si="175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73"/>
        <v>-2078130163487.8096</v>
      </c>
      <c r="J3807" s="444">
        <f t="array" ref="J3807">IFERROR(INDEX('Retirement Calculator'!J:J,MATCH('Isaac 401k'!N3807,'Retirement Calculator'!A:A,0),0),0)</f>
        <v>0</v>
      </c>
      <c r="K3807" s="444">
        <f t="shared" ca="1" si="171"/>
        <v>-8658875681.1992073</v>
      </c>
      <c r="L3807" s="444">
        <f t="shared" ca="1" si="172"/>
        <v>-2086789039169.0088</v>
      </c>
      <c r="M3807" s="460">
        <f t="shared" si="174"/>
        <v>0.05</v>
      </c>
      <c r="N3807" s="464">
        <f t="shared" si="175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73"/>
        <v>-2086789039169.0088</v>
      </c>
      <c r="J3808" s="444">
        <f t="array" ref="J3808">IFERROR(INDEX('Retirement Calculator'!J:J,MATCH('Isaac 401k'!N3808,'Retirement Calculator'!A:A,0),0),0)</f>
        <v>0</v>
      </c>
      <c r="K3808" s="444">
        <f t="shared" ca="1" si="171"/>
        <v>-8694954329.8708687</v>
      </c>
      <c r="L3808" s="444">
        <f t="shared" ca="1" si="172"/>
        <v>-2095483993498.8796</v>
      </c>
      <c r="M3808" s="460">
        <f t="shared" si="174"/>
        <v>0.05</v>
      </c>
      <c r="N3808" s="464">
        <f t="shared" si="175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73"/>
        <v>-2095483993498.8796</v>
      </c>
      <c r="J3809" s="444">
        <f t="array" ref="J3809">IFERROR(INDEX('Retirement Calculator'!J:J,MATCH('Isaac 401k'!N3809,'Retirement Calculator'!A:A,0),0),0)</f>
        <v>0</v>
      </c>
      <c r="K3809" s="444">
        <f t="shared" ca="1" si="171"/>
        <v>-8731183306.2453308</v>
      </c>
      <c r="L3809" s="444">
        <f t="shared" ca="1" si="172"/>
        <v>-2104215176805.125</v>
      </c>
      <c r="M3809" s="460">
        <f t="shared" si="174"/>
        <v>0.05</v>
      </c>
      <c r="N3809" s="464">
        <f t="shared" si="175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73"/>
        <v>-2104215176805.125</v>
      </c>
      <c r="J3810" s="444">
        <f t="array" ref="J3810">IFERROR(INDEX('Retirement Calculator'!J:J,MATCH('Isaac 401k'!N3810,'Retirement Calculator'!A:A,0),0),0)</f>
        <v>0</v>
      </c>
      <c r="K3810" s="444">
        <f t="shared" ca="1" si="171"/>
        <v>-8767563236.6880207</v>
      </c>
      <c r="L3810" s="444">
        <f t="shared" ca="1" si="172"/>
        <v>-2112982740041.813</v>
      </c>
      <c r="M3810" s="460">
        <f t="shared" si="174"/>
        <v>0.05</v>
      </c>
      <c r="N3810" s="464">
        <f t="shared" si="175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73"/>
        <v>-2112982740041.813</v>
      </c>
      <c r="J3811" s="444">
        <f t="array" ref="J3811">IFERROR(INDEX('Retirement Calculator'!J:J,MATCH('Isaac 401k'!N3811,'Retirement Calculator'!A:A,0),0),0)</f>
        <v>0</v>
      </c>
      <c r="K3811" s="444">
        <f t="shared" ca="1" si="171"/>
        <v>-8804094750.174221</v>
      </c>
      <c r="L3811" s="444">
        <f t="shared" ca="1" si="172"/>
        <v>-2121786834791.9873</v>
      </c>
      <c r="M3811" s="460">
        <f t="shared" si="174"/>
        <v>0.05</v>
      </c>
      <c r="N3811" s="464">
        <f t="shared" si="175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73"/>
        <v>-2121786834791.9873</v>
      </c>
      <c r="J3812" s="444">
        <f t="array" ref="J3812">IFERROR(INDEX('Retirement Calculator'!J:J,MATCH('Isaac 401k'!N3812,'Retirement Calculator'!A:A,0),0),0)</f>
        <v>0</v>
      </c>
      <c r="K3812" s="444">
        <f t="shared" ca="1" si="171"/>
        <v>-8840778478.2999458</v>
      </c>
      <c r="L3812" s="444">
        <f t="shared" ca="1" si="172"/>
        <v>-2130627613270.2874</v>
      </c>
      <c r="M3812" s="460">
        <f t="shared" si="174"/>
        <v>0.05</v>
      </c>
      <c r="N3812" s="464">
        <f t="shared" si="175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73"/>
        <v>-2130627613270.2874</v>
      </c>
      <c r="J3813" s="444">
        <f t="array" ref="J3813">IFERROR(INDEX('Retirement Calculator'!J:J,MATCH('Isaac 401k'!N3813,'Retirement Calculator'!A:A,0),0),0)</f>
        <v>0</v>
      </c>
      <c r="K3813" s="444">
        <f t="shared" ca="1" si="171"/>
        <v>-8877615055.2928638</v>
      </c>
      <c r="L3813" s="444">
        <f t="shared" ca="1" si="172"/>
        <v>-2139505228325.5803</v>
      </c>
      <c r="M3813" s="460">
        <f t="shared" si="174"/>
        <v>0.05</v>
      </c>
      <c r="N3813" s="464">
        <f t="shared" si="175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73"/>
        <v>-2139505228325.5803</v>
      </c>
      <c r="J3814" s="444">
        <f t="array" ref="J3814">IFERROR(INDEX('Retirement Calculator'!J:J,MATCH('Isaac 401k'!N3814,'Retirement Calculator'!A:A,0),0),0)</f>
        <v>0</v>
      </c>
      <c r="K3814" s="444">
        <f t="shared" ca="1" si="171"/>
        <v>-8914605118.0232525</v>
      </c>
      <c r="L3814" s="444">
        <f t="shared" ca="1" si="172"/>
        <v>-2148419833443.6035</v>
      </c>
      <c r="M3814" s="460">
        <f t="shared" si="174"/>
        <v>0.05</v>
      </c>
      <c r="N3814" s="464">
        <f t="shared" si="175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73"/>
        <v>-2148419833443.6035</v>
      </c>
      <c r="J3815" s="444">
        <f t="array" ref="J3815">IFERROR(INDEX('Retirement Calculator'!J:J,MATCH('Isaac 401k'!N3815,'Retirement Calculator'!A:A,0),0),0)</f>
        <v>0</v>
      </c>
      <c r="K3815" s="444">
        <f t="shared" ca="1" si="171"/>
        <v>-8951749306.0150146</v>
      </c>
      <c r="L3815" s="444">
        <f t="shared" ca="1" si="172"/>
        <v>-2157371582749.6187</v>
      </c>
      <c r="M3815" s="460">
        <f t="shared" si="174"/>
        <v>0.05</v>
      </c>
      <c r="N3815" s="464">
        <f t="shared" si="175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73"/>
        <v>-2157371582749.6187</v>
      </c>
      <c r="J3816" s="444">
        <f t="array" ref="J3816">IFERROR(INDEX('Retirement Calculator'!J:J,MATCH('Isaac 401k'!N3816,'Retirement Calculator'!A:A,0),0),0)</f>
        <v>0</v>
      </c>
      <c r="K3816" s="444">
        <f t="shared" ca="1" si="171"/>
        <v>-8989048261.4567451</v>
      </c>
      <c r="L3816" s="444">
        <f t="shared" ca="1" si="172"/>
        <v>-2166360631011.0754</v>
      </c>
      <c r="M3816" s="460">
        <f t="shared" si="174"/>
        <v>0.05</v>
      </c>
      <c r="N3816" s="464">
        <f t="shared" si="175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73"/>
        <v>-2166360631011.0754</v>
      </c>
      <c r="J3817" s="444">
        <f t="array" ref="J3817">IFERROR(INDEX('Retirement Calculator'!J:J,MATCH('Isaac 401k'!N3817,'Retirement Calculator'!A:A,0),0),0)</f>
        <v>0</v>
      </c>
      <c r="K3817" s="444">
        <f t="shared" ca="1" si="171"/>
        <v>-9026502629.2128143</v>
      </c>
      <c r="L3817" s="444">
        <f t="shared" ca="1" si="172"/>
        <v>-2175387133640.2883</v>
      </c>
      <c r="M3817" s="460">
        <f t="shared" si="174"/>
        <v>0.05</v>
      </c>
      <c r="N3817" s="464">
        <f t="shared" si="175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73"/>
        <v>-2175387133640.2883</v>
      </c>
      <c r="J3818" s="444">
        <f t="array" ref="J3818">IFERROR(INDEX('Retirement Calculator'!J:J,MATCH('Isaac 401k'!N3818,'Retirement Calculator'!A:A,0),0),0)</f>
        <v>0</v>
      </c>
      <c r="K3818" s="444">
        <f t="shared" ca="1" si="171"/>
        <v>-9064113056.8345337</v>
      </c>
      <c r="L3818" s="444">
        <f t="shared" ca="1" si="172"/>
        <v>-2184451246697.1228</v>
      </c>
      <c r="M3818" s="460">
        <f t="shared" si="174"/>
        <v>0.05</v>
      </c>
      <c r="N3818" s="464">
        <f t="shared" si="175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73"/>
        <v>-2184451246697.1228</v>
      </c>
      <c r="J3819" s="444">
        <f t="array" ref="J3819">IFERROR(INDEX('Retirement Calculator'!J:J,MATCH('Isaac 401k'!N3819,'Retirement Calculator'!A:A,0),0),0)</f>
        <v>0</v>
      </c>
      <c r="K3819" s="444">
        <f t="shared" ca="1" si="171"/>
        <v>-9101880194.5713444</v>
      </c>
      <c r="L3819" s="444">
        <f t="shared" ca="1" si="172"/>
        <v>-2193553126891.6941</v>
      </c>
      <c r="M3819" s="460">
        <f t="shared" si="174"/>
        <v>0.05</v>
      </c>
      <c r="N3819" s="464">
        <f t="shared" si="175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73"/>
        <v>-2193553126891.6941</v>
      </c>
      <c r="J3820" s="444">
        <f t="array" ref="J3820">IFERROR(INDEX('Retirement Calculator'!J:J,MATCH('Isaac 401k'!N3820,'Retirement Calculator'!A:A,0),0),0)</f>
        <v>0</v>
      </c>
      <c r="K3820" s="444">
        <f t="shared" ca="1" si="171"/>
        <v>-9139804695.3820591</v>
      </c>
      <c r="L3820" s="444">
        <f t="shared" ca="1" si="172"/>
        <v>-2202692931587.0762</v>
      </c>
      <c r="M3820" s="460">
        <f t="shared" si="174"/>
        <v>0.05</v>
      </c>
      <c r="N3820" s="464">
        <f t="shared" si="175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73"/>
        <v>-2202692931587.0762</v>
      </c>
      <c r="J3821" s="444">
        <f t="array" ref="J3821">IFERROR(INDEX('Retirement Calculator'!J:J,MATCH('Isaac 401k'!N3821,'Retirement Calculator'!A:A,0),0),0)</f>
        <v>0</v>
      </c>
      <c r="K3821" s="444">
        <f t="shared" ca="1" si="171"/>
        <v>-9177887214.9461498</v>
      </c>
      <c r="L3821" s="444">
        <f t="shared" ca="1" si="172"/>
        <v>-2211870818802.0225</v>
      </c>
      <c r="M3821" s="460">
        <f t="shared" si="174"/>
        <v>0.05</v>
      </c>
      <c r="N3821" s="464">
        <f t="shared" si="175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73"/>
        <v>-2211870818802.0225</v>
      </c>
      <c r="J3822" s="444">
        <f t="array" ref="J3822">IFERROR(INDEX('Retirement Calculator'!J:J,MATCH('Isaac 401k'!N3822,'Retirement Calculator'!A:A,0),0),0)</f>
        <v>0</v>
      </c>
      <c r="K3822" s="444">
        <f t="shared" ca="1" si="171"/>
        <v>-9216128411.6750927</v>
      </c>
      <c r="L3822" s="444">
        <f t="shared" ca="1" si="172"/>
        <v>-2221086947213.6978</v>
      </c>
      <c r="M3822" s="460">
        <f t="shared" si="174"/>
        <v>0.05</v>
      </c>
      <c r="N3822" s="464">
        <f t="shared" si="175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73"/>
        <v>-2221086947213.6978</v>
      </c>
      <c r="J3823" s="444">
        <f t="array" ref="J3823">IFERROR(INDEX('Retirement Calculator'!J:J,MATCH('Isaac 401k'!N3823,'Retirement Calculator'!A:A,0),0),0)</f>
        <v>0</v>
      </c>
      <c r="K3823" s="444">
        <f t="shared" ca="1" si="171"/>
        <v>-9254528946.7237396</v>
      </c>
      <c r="L3823" s="444">
        <f t="shared" ca="1" si="172"/>
        <v>-2230341476160.4214</v>
      </c>
      <c r="M3823" s="460">
        <f t="shared" si="174"/>
        <v>0.05</v>
      </c>
      <c r="N3823" s="464">
        <f t="shared" si="175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73"/>
        <v>-2230341476160.4214</v>
      </c>
      <c r="J3824" s="444">
        <f t="array" ref="J3824">IFERROR(INDEX('Retirement Calculator'!J:J,MATCH('Isaac 401k'!N3824,'Retirement Calculator'!A:A,0),0),0)</f>
        <v>0</v>
      </c>
      <c r="K3824" s="444">
        <f t="shared" ca="1" si="171"/>
        <v>-9293089484.0017548</v>
      </c>
      <c r="L3824" s="444">
        <f t="shared" ca="1" si="172"/>
        <v>-2239634565644.4233</v>
      </c>
      <c r="M3824" s="460">
        <f t="shared" si="174"/>
        <v>0.05</v>
      </c>
      <c r="N3824" s="464">
        <f t="shared" si="175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73"/>
        <v>-2239634565644.4233</v>
      </c>
      <c r="J3825" s="444">
        <f t="array" ref="J3825">IFERROR(INDEX('Retirement Calculator'!J:J,MATCH('Isaac 401k'!N3825,'Retirement Calculator'!A:A,0),0),0)</f>
        <v>0</v>
      </c>
      <c r="K3825" s="444">
        <f t="shared" ca="1" si="171"/>
        <v>-9331810690.1850967</v>
      </c>
      <c r="L3825" s="444">
        <f t="shared" ca="1" si="172"/>
        <v>-2248966376334.6084</v>
      </c>
      <c r="M3825" s="460">
        <f t="shared" si="174"/>
        <v>0.05</v>
      </c>
      <c r="N3825" s="464">
        <f t="shared" si="175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73"/>
        <v>-2248966376334.6084</v>
      </c>
      <c r="J3826" s="444">
        <f t="array" ref="J3826">IFERROR(INDEX('Retirement Calculator'!J:J,MATCH('Isaac 401k'!N3826,'Retirement Calculator'!A:A,0),0),0)</f>
        <v>0</v>
      </c>
      <c r="K3826" s="444">
        <f t="shared" ca="1" si="171"/>
        <v>-9370693234.7275352</v>
      </c>
      <c r="L3826" s="444">
        <f t="shared" ca="1" si="172"/>
        <v>-2258337069569.3359</v>
      </c>
      <c r="M3826" s="460">
        <f t="shared" si="174"/>
        <v>0.05</v>
      </c>
      <c r="N3826" s="464">
        <f t="shared" si="175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73"/>
        <v>-2258337069569.3359</v>
      </c>
      <c r="J3827" s="444">
        <f t="array" ref="J3827">IFERROR(INDEX('Retirement Calculator'!J:J,MATCH('Isaac 401k'!N3827,'Retirement Calculator'!A:A,0),0),0)</f>
        <v>0</v>
      </c>
      <c r="K3827" s="444">
        <f t="shared" ca="1" si="171"/>
        <v>-9409737789.8722324</v>
      </c>
      <c r="L3827" s="444">
        <f t="shared" ca="1" si="172"/>
        <v>-2267746807359.208</v>
      </c>
      <c r="M3827" s="460">
        <f t="shared" si="174"/>
        <v>0.05</v>
      </c>
      <c r="N3827" s="464">
        <f t="shared" si="175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73"/>
        <v>-2267746807359.208</v>
      </c>
      <c r="J3828" s="444">
        <f t="array" ref="J3828">IFERROR(INDEX('Retirement Calculator'!J:J,MATCH('Isaac 401k'!N3828,'Retirement Calculator'!A:A,0),0),0)</f>
        <v>0</v>
      </c>
      <c r="K3828" s="444">
        <f t="shared" ca="1" si="171"/>
        <v>-9448945030.6633663</v>
      </c>
      <c r="L3828" s="444">
        <f t="shared" ca="1" si="172"/>
        <v>-2277195752389.8716</v>
      </c>
      <c r="M3828" s="460">
        <f t="shared" si="174"/>
        <v>0.05</v>
      </c>
      <c r="N3828" s="464">
        <f t="shared" si="175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73"/>
        <v>-2277195752389.8716</v>
      </c>
      <c r="J3829" s="444">
        <f t="array" ref="J3829">IFERROR(INDEX('Retirement Calculator'!J:J,MATCH('Isaac 401k'!N3829,'Retirement Calculator'!A:A,0),0),0)</f>
        <v>0</v>
      </c>
      <c r="K3829" s="444">
        <f t="shared" ca="1" si="171"/>
        <v>-9488315634.957798</v>
      </c>
      <c r="L3829" s="444">
        <f t="shared" ca="1" si="172"/>
        <v>-2286684068024.8296</v>
      </c>
      <c r="M3829" s="460">
        <f t="shared" si="174"/>
        <v>0.05</v>
      </c>
      <c r="N3829" s="464">
        <f t="shared" si="175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73"/>
        <v>-2286684068024.8296</v>
      </c>
      <c r="J3830" s="444">
        <f t="array" ref="J3830">IFERROR(INDEX('Retirement Calculator'!J:J,MATCH('Isaac 401k'!N3830,'Retirement Calculator'!A:A,0),0),0)</f>
        <v>0</v>
      </c>
      <c r="K3830" s="444">
        <f t="shared" ca="1" si="171"/>
        <v>-9527850283.4367905</v>
      </c>
      <c r="L3830" s="444">
        <f t="shared" ca="1" si="172"/>
        <v>-2296211918308.2666</v>
      </c>
      <c r="M3830" s="460">
        <f t="shared" si="174"/>
        <v>0.05</v>
      </c>
      <c r="N3830" s="464">
        <f t="shared" si="175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73"/>
        <v>-2296211918308.2666</v>
      </c>
      <c r="J3831" s="444">
        <f t="array" ref="J3831">IFERROR(INDEX('Retirement Calculator'!J:J,MATCH('Isaac 401k'!N3831,'Retirement Calculator'!A:A,0),0),0)</f>
        <v>0</v>
      </c>
      <c r="K3831" s="444">
        <f t="shared" ca="1" si="171"/>
        <v>-9567549659.6177769</v>
      </c>
      <c r="L3831" s="444">
        <f t="shared" ca="1" si="172"/>
        <v>-2305779467967.8843</v>
      </c>
      <c r="M3831" s="460">
        <f t="shared" si="174"/>
        <v>0.05</v>
      </c>
      <c r="N3831" s="464">
        <f t="shared" si="175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73"/>
        <v>-2305779467967.8843</v>
      </c>
      <c r="J3832" s="444">
        <f t="array" ref="J3832">IFERROR(INDEX('Retirement Calculator'!J:J,MATCH('Isaac 401k'!N3832,'Retirement Calculator'!A:A,0),0),0)</f>
        <v>0</v>
      </c>
      <c r="K3832" s="444">
        <f t="shared" ca="1" si="171"/>
        <v>-9607414449.8661842</v>
      </c>
      <c r="L3832" s="444">
        <f t="shared" ca="1" si="172"/>
        <v>-2315386882417.7505</v>
      </c>
      <c r="M3832" s="460">
        <f t="shared" si="174"/>
        <v>0.05</v>
      </c>
      <c r="N3832" s="464">
        <f t="shared" si="175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73"/>
        <v>-2315386882417.7505</v>
      </c>
      <c r="J3833" s="444">
        <f t="array" ref="J3833">IFERROR(INDEX('Retirement Calculator'!J:J,MATCH('Isaac 401k'!N3833,'Retirement Calculator'!A:A,0),0),0)</f>
        <v>0</v>
      </c>
      <c r="K3833" s="444">
        <f t="shared" ref="K3833:K4087" ca="1" si="176">IPMT(M3833/12,1,12,-I3833+J3833,,0)</f>
        <v>-9647445343.4072933</v>
      </c>
      <c r="L3833" s="444">
        <f t="shared" ref="L3833:L4087" ca="1" si="177">I3833-J3833+K3833</f>
        <v>-2325034327761.1577</v>
      </c>
      <c r="M3833" s="460">
        <f t="shared" si="174"/>
        <v>0.05</v>
      </c>
      <c r="N3833" s="464">
        <f t="shared" si="175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78">L3833</f>
        <v>-2325034327761.1577</v>
      </c>
      <c r="J3834" s="444">
        <f t="array" ref="J3834">IFERROR(INDEX('Retirement Calculator'!J:J,MATCH('Isaac 401k'!N3834,'Retirement Calculator'!A:A,0),0),0)</f>
        <v>0</v>
      </c>
      <c r="K3834" s="444">
        <f t="shared" ca="1" si="176"/>
        <v>-9687643032.3381577</v>
      </c>
      <c r="L3834" s="444">
        <f t="shared" ca="1" si="177"/>
        <v>-2334721970793.4961</v>
      </c>
      <c r="M3834" s="460">
        <f t="shared" ref="M3834:M4088" si="179">M3833</f>
        <v>0.05</v>
      </c>
      <c r="N3834" s="464">
        <f t="shared" ref="N3834:N4088" si="180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78"/>
        <v>-2334721970793.4961</v>
      </c>
      <c r="J3835" s="444">
        <f t="array" ref="J3835">IFERROR(INDEX('Retirement Calculator'!J:J,MATCH('Isaac 401k'!N3835,'Retirement Calculator'!A:A,0),0),0)</f>
        <v>0</v>
      </c>
      <c r="K3835" s="444">
        <f t="shared" ca="1" si="176"/>
        <v>-9728008211.6395664</v>
      </c>
      <c r="L3835" s="444">
        <f t="shared" ca="1" si="177"/>
        <v>-2344449979005.1357</v>
      </c>
      <c r="M3835" s="460">
        <f t="shared" si="179"/>
        <v>0.05</v>
      </c>
      <c r="N3835" s="464">
        <f t="shared" si="180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78"/>
        <v>-2344449979005.1357</v>
      </c>
      <c r="J3836" s="444">
        <f t="array" ref="J3836">IFERROR(INDEX('Retirement Calculator'!J:J,MATCH('Isaac 401k'!N3836,'Retirement Calculator'!A:A,0),0),0)</f>
        <v>0</v>
      </c>
      <c r="K3836" s="444">
        <f t="shared" ca="1" si="176"/>
        <v>-9768541579.1880646</v>
      </c>
      <c r="L3836" s="444">
        <f t="shared" ca="1" si="177"/>
        <v>-2354218520584.3237</v>
      </c>
      <c r="M3836" s="460">
        <f t="shared" si="179"/>
        <v>0.05</v>
      </c>
      <c r="N3836" s="464">
        <f t="shared" si="180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78"/>
        <v>-2354218520584.3237</v>
      </c>
      <c r="J3837" s="444">
        <f t="array" ref="J3837">IFERROR(INDEX('Retirement Calculator'!J:J,MATCH('Isaac 401k'!N3837,'Retirement Calculator'!A:A,0),0),0)</f>
        <v>0</v>
      </c>
      <c r="K3837" s="444">
        <f t="shared" ca="1" si="176"/>
        <v>-9809243835.7680149</v>
      </c>
      <c r="L3837" s="444">
        <f t="shared" ca="1" si="177"/>
        <v>-2364027764420.0918</v>
      </c>
      <c r="M3837" s="460">
        <f t="shared" si="179"/>
        <v>0.05</v>
      </c>
      <c r="N3837" s="464">
        <f t="shared" si="180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78"/>
        <v>-2364027764420.0918</v>
      </c>
      <c r="J3838" s="444">
        <f t="array" ref="J3838">IFERROR(INDEX('Retirement Calculator'!J:J,MATCH('Isaac 401k'!N3838,'Retirement Calculator'!A:A,0),0),0)</f>
        <v>0</v>
      </c>
      <c r="K3838" s="444">
        <f t="shared" ca="1" si="176"/>
        <v>-9850115685.0837154</v>
      </c>
      <c r="L3838" s="444">
        <f t="shared" ca="1" si="177"/>
        <v>-2373877880105.1753</v>
      </c>
      <c r="M3838" s="460">
        <f t="shared" si="179"/>
        <v>0.05</v>
      </c>
      <c r="N3838" s="464">
        <f t="shared" si="180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78"/>
        <v>-2373877880105.1753</v>
      </c>
      <c r="J3839" s="444">
        <f t="array" ref="J3839">IFERROR(INDEX('Retirement Calculator'!J:J,MATCH('Isaac 401k'!N3839,'Retirement Calculator'!A:A,0),0),0)</f>
        <v>0</v>
      </c>
      <c r="K3839" s="444">
        <f t="shared" ca="1" si="176"/>
        <v>-9891157833.7715645</v>
      </c>
      <c r="L3839" s="444">
        <f t="shared" ca="1" si="177"/>
        <v>-2383769037938.9468</v>
      </c>
      <c r="M3839" s="460">
        <f t="shared" si="179"/>
        <v>0.05</v>
      </c>
      <c r="N3839" s="464">
        <f t="shared" si="180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78"/>
        <v>-2383769037938.9468</v>
      </c>
      <c r="J3840" s="444">
        <f t="array" ref="J3840">IFERROR(INDEX('Retirement Calculator'!J:J,MATCH('Isaac 401k'!N3840,'Retirement Calculator'!A:A,0),0),0)</f>
        <v>0</v>
      </c>
      <c r="K3840" s="444">
        <f t="shared" ca="1" si="176"/>
        <v>-9932370991.4122772</v>
      </c>
      <c r="L3840" s="444">
        <f t="shared" ca="1" si="177"/>
        <v>-2393701408930.3589</v>
      </c>
      <c r="M3840" s="460">
        <f t="shared" si="179"/>
        <v>0.05</v>
      </c>
      <c r="N3840" s="464">
        <f t="shared" si="180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78"/>
        <v>-2393701408930.3589</v>
      </c>
      <c r="J3841" s="444">
        <f t="array" ref="J3841">IFERROR(INDEX('Retirement Calculator'!J:J,MATCH('Isaac 401k'!N3841,'Retirement Calculator'!A:A,0),0),0)</f>
        <v>0</v>
      </c>
      <c r="K3841" s="444">
        <f t="shared" ca="1" si="176"/>
        <v>-9973755870.5431614</v>
      </c>
      <c r="L3841" s="444">
        <f t="shared" ca="1" si="177"/>
        <v>-2403675164800.9019</v>
      </c>
      <c r="M3841" s="460">
        <f t="shared" si="179"/>
        <v>0.05</v>
      </c>
      <c r="N3841" s="464">
        <f t="shared" si="180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78"/>
        <v>-2403675164800.9019</v>
      </c>
      <c r="J3842" s="444">
        <f t="array" ref="J3842">IFERROR(INDEX('Retirement Calculator'!J:J,MATCH('Isaac 401k'!N3842,'Retirement Calculator'!A:A,0),0),0)</f>
        <v>0</v>
      </c>
      <c r="K3842" s="444">
        <f t="shared" ca="1" si="176"/>
        <v>-10015313186.670424</v>
      </c>
      <c r="L3842" s="444">
        <f t="shared" ca="1" si="177"/>
        <v>-2413690477987.5723</v>
      </c>
      <c r="M3842" s="460">
        <f t="shared" si="179"/>
        <v>0.05</v>
      </c>
      <c r="N3842" s="464">
        <f t="shared" si="180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78"/>
        <v>-2413690477987.5723</v>
      </c>
      <c r="J3843" s="444">
        <f t="array" ref="J3843">IFERROR(INDEX('Retirement Calculator'!J:J,MATCH('Isaac 401k'!N3843,'Retirement Calculator'!A:A,0),0),0)</f>
        <v>0</v>
      </c>
      <c r="K3843" s="444">
        <f t="shared" ca="1" si="176"/>
        <v>-10057043658.281551</v>
      </c>
      <c r="L3843" s="444">
        <f t="shared" ca="1" si="177"/>
        <v>-2423747521645.854</v>
      </c>
      <c r="M3843" s="460">
        <f t="shared" si="179"/>
        <v>0.05</v>
      </c>
      <c r="N3843" s="464">
        <f t="shared" si="180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78"/>
        <v>-2423747521645.854</v>
      </c>
      <c r="J3844" s="444">
        <f t="array" ref="J3844">IFERROR(INDEX('Retirement Calculator'!J:J,MATCH('Isaac 401k'!N3844,'Retirement Calculator'!A:A,0),0),0)</f>
        <v>0</v>
      </c>
      <c r="K3844" s="444">
        <f t="shared" ca="1" si="176"/>
        <v>-10098948006.857725</v>
      </c>
      <c r="L3844" s="444">
        <f t="shared" ca="1" si="177"/>
        <v>-2433846469652.7119</v>
      </c>
      <c r="M3844" s="460">
        <f t="shared" si="179"/>
        <v>0.05</v>
      </c>
      <c r="N3844" s="464">
        <f t="shared" si="180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78"/>
        <v>-2433846469652.7119</v>
      </c>
      <c r="J3845" s="444">
        <f t="array" ref="J3845">IFERROR(INDEX('Retirement Calculator'!J:J,MATCH('Isaac 401k'!N3845,'Retirement Calculator'!A:A,0),0),0)</f>
        <v>0</v>
      </c>
      <c r="K3845" s="444">
        <f t="shared" ca="1" si="176"/>
        <v>-10141026956.886299</v>
      </c>
      <c r="L3845" s="444">
        <f t="shared" ca="1" si="177"/>
        <v>-2443987496609.5981</v>
      </c>
      <c r="M3845" s="460">
        <f t="shared" si="179"/>
        <v>0.05</v>
      </c>
      <c r="N3845" s="464">
        <f t="shared" si="180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78"/>
        <v>-2443987496609.5981</v>
      </c>
      <c r="J3846" s="444">
        <f t="array" ref="J3846">IFERROR(INDEX('Retirement Calculator'!J:J,MATCH('Isaac 401k'!N3846,'Retirement Calculator'!A:A,0),0),0)</f>
        <v>0</v>
      </c>
      <c r="K3846" s="444">
        <f t="shared" ca="1" si="176"/>
        <v>-10183281235.873325</v>
      </c>
      <c r="L3846" s="444">
        <f t="shared" ca="1" si="177"/>
        <v>-2454170777845.4717</v>
      </c>
      <c r="M3846" s="460">
        <f t="shared" si="179"/>
        <v>0.05</v>
      </c>
      <c r="N3846" s="464">
        <f t="shared" si="180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78"/>
        <v>-2454170777845.4717</v>
      </c>
      <c r="J3847" s="444">
        <f t="array" ref="J3847">IFERROR(INDEX('Retirement Calculator'!J:J,MATCH('Isaac 401k'!N3847,'Retirement Calculator'!A:A,0),0),0)</f>
        <v>0</v>
      </c>
      <c r="K3847" s="444">
        <f t="shared" ca="1" si="176"/>
        <v>-10225711574.356133</v>
      </c>
      <c r="L3847" s="444">
        <f t="shared" ca="1" si="177"/>
        <v>-2464396489419.8276</v>
      </c>
      <c r="M3847" s="460">
        <f t="shared" si="179"/>
        <v>0.05</v>
      </c>
      <c r="N3847" s="464">
        <f t="shared" si="180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78"/>
        <v>-2464396489419.8276</v>
      </c>
      <c r="J3848" s="444">
        <f t="array" ref="J3848">IFERROR(INDEX('Retirement Calculator'!J:J,MATCH('Isaac 401k'!N3848,'Retirement Calculator'!A:A,0),0),0)</f>
        <v>0</v>
      </c>
      <c r="K3848" s="444">
        <f t="shared" ca="1" si="176"/>
        <v>-10268318705.915949</v>
      </c>
      <c r="L3848" s="444">
        <f t="shared" ca="1" si="177"/>
        <v>-2474664808125.7437</v>
      </c>
      <c r="M3848" s="460">
        <f t="shared" si="179"/>
        <v>0.05</v>
      </c>
      <c r="N3848" s="464">
        <f t="shared" si="180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78"/>
        <v>-2474664808125.7437</v>
      </c>
      <c r="J3849" s="444">
        <f t="array" ref="J3849">IFERROR(INDEX('Retirement Calculator'!J:J,MATCH('Isaac 401k'!N3849,'Retirement Calculator'!A:A,0),0),0)</f>
        <v>0</v>
      </c>
      <c r="K3849" s="444">
        <f t="shared" ca="1" si="176"/>
        <v>-10311103367.190598</v>
      </c>
      <c r="L3849" s="444">
        <f t="shared" ca="1" si="177"/>
        <v>-2484975911492.9341</v>
      </c>
      <c r="M3849" s="460">
        <f t="shared" si="179"/>
        <v>0.05</v>
      </c>
      <c r="N3849" s="464">
        <f t="shared" si="180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78"/>
        <v>-2484975911492.9341</v>
      </c>
      <c r="J3850" s="444">
        <f t="array" ref="J3850">IFERROR(INDEX('Retirement Calculator'!J:J,MATCH('Isaac 401k'!N3850,'Retirement Calculator'!A:A,0),0),0)</f>
        <v>0</v>
      </c>
      <c r="K3850" s="444">
        <f t="shared" ca="1" si="176"/>
        <v>-10354066297.887226</v>
      </c>
      <c r="L3850" s="444">
        <f t="shared" ca="1" si="177"/>
        <v>-2495329977790.8213</v>
      </c>
      <c r="M3850" s="460">
        <f t="shared" si="179"/>
        <v>0.05</v>
      </c>
      <c r="N3850" s="464">
        <f t="shared" si="180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78"/>
        <v>-2495329977790.8213</v>
      </c>
      <c r="J3851" s="444">
        <f t="array" ref="J3851">IFERROR(INDEX('Retirement Calculator'!J:J,MATCH('Isaac 401k'!N3851,'Retirement Calculator'!A:A,0),0),0)</f>
        <v>0</v>
      </c>
      <c r="K3851" s="444">
        <f t="shared" ca="1" si="176"/>
        <v>-10397208240.795088</v>
      </c>
      <c r="L3851" s="444">
        <f t="shared" ca="1" si="177"/>
        <v>-2505727186031.6162</v>
      </c>
      <c r="M3851" s="460">
        <f t="shared" si="179"/>
        <v>0.05</v>
      </c>
      <c r="N3851" s="464">
        <f t="shared" si="180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78"/>
        <v>-2505727186031.6162</v>
      </c>
      <c r="J3852" s="444">
        <f t="array" ref="J3852">IFERROR(INDEX('Retirement Calculator'!J:J,MATCH('Isaac 401k'!N3852,'Retirement Calculator'!A:A,0),0),0)</f>
        <v>0</v>
      </c>
      <c r="K3852" s="444">
        <f t="shared" ca="1" si="176"/>
        <v>-10440529941.798401</v>
      </c>
      <c r="L3852" s="444">
        <f t="shared" ca="1" si="177"/>
        <v>-2516167715973.4146</v>
      </c>
      <c r="M3852" s="460">
        <f t="shared" si="179"/>
        <v>0.05</v>
      </c>
      <c r="N3852" s="464">
        <f t="shared" si="180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78"/>
        <v>-2516167715973.4146</v>
      </c>
      <c r="J3853" s="444">
        <f t="array" ref="J3853">IFERROR(INDEX('Retirement Calculator'!J:J,MATCH('Isaac 401k'!N3853,'Retirement Calculator'!A:A,0),0),0)</f>
        <v>0</v>
      </c>
      <c r="K3853" s="444">
        <f t="shared" ca="1" si="176"/>
        <v>-10484032149.889227</v>
      </c>
      <c r="L3853" s="444">
        <f t="shared" ca="1" si="177"/>
        <v>-2526651748123.3037</v>
      </c>
      <c r="M3853" s="460">
        <f t="shared" si="179"/>
        <v>0.05</v>
      </c>
      <c r="N3853" s="464">
        <f t="shared" si="180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78"/>
        <v>-2526651748123.3037</v>
      </c>
      <c r="J3854" s="444">
        <f t="array" ref="J3854">IFERROR(INDEX('Retirement Calculator'!J:J,MATCH('Isaac 401k'!N3854,'Retirement Calculator'!A:A,0),0),0)</f>
        <v>0</v>
      </c>
      <c r="K3854" s="444">
        <f t="shared" ca="1" si="176"/>
        <v>-10527715617.180431</v>
      </c>
      <c r="L3854" s="444">
        <f t="shared" ca="1" si="177"/>
        <v>-2537179463740.4844</v>
      </c>
      <c r="M3854" s="460">
        <f t="shared" si="179"/>
        <v>0.05</v>
      </c>
      <c r="N3854" s="464">
        <f t="shared" si="180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78"/>
        <v>-2537179463740.4844</v>
      </c>
      <c r="J3855" s="444">
        <f t="array" ref="J3855">IFERROR(INDEX('Retirement Calculator'!J:J,MATCH('Isaac 401k'!N3855,'Retirement Calculator'!A:A,0),0),0)</f>
        <v>0</v>
      </c>
      <c r="K3855" s="444">
        <f t="shared" ca="1" si="176"/>
        <v>-10571581098.918684</v>
      </c>
      <c r="L3855" s="444">
        <f t="shared" ca="1" si="177"/>
        <v>-2547751044839.4028</v>
      </c>
      <c r="M3855" s="460">
        <f t="shared" si="179"/>
        <v>0.05</v>
      </c>
      <c r="N3855" s="464">
        <f t="shared" si="180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78"/>
        <v>-2547751044839.4028</v>
      </c>
      <c r="J3856" s="444">
        <f t="array" ref="J3856">IFERROR(INDEX('Retirement Calculator'!J:J,MATCH('Isaac 401k'!N3856,'Retirement Calculator'!A:A,0),0),0)</f>
        <v>0</v>
      </c>
      <c r="K3856" s="444">
        <f t="shared" ca="1" si="176"/>
        <v>-10615629353.497511</v>
      </c>
      <c r="L3856" s="444">
        <f t="shared" ca="1" si="177"/>
        <v>-2558366674192.9004</v>
      </c>
      <c r="M3856" s="460">
        <f t="shared" si="179"/>
        <v>0.05</v>
      </c>
      <c r="N3856" s="464">
        <f t="shared" si="180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78"/>
        <v>-2558366674192.9004</v>
      </c>
      <c r="J3857" s="444">
        <f t="array" ref="J3857">IFERROR(INDEX('Retirement Calculator'!J:J,MATCH('Isaac 401k'!N3857,'Retirement Calculator'!A:A,0),0),0)</f>
        <v>0</v>
      </c>
      <c r="K3857" s="444">
        <f t="shared" ca="1" si="176"/>
        <v>-10659861142.470419</v>
      </c>
      <c r="L3857" s="444">
        <f t="shared" ca="1" si="177"/>
        <v>-2569026535335.3706</v>
      </c>
      <c r="M3857" s="460">
        <f t="shared" si="179"/>
        <v>0.05</v>
      </c>
      <c r="N3857" s="464">
        <f t="shared" si="180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78"/>
        <v>-2569026535335.3706</v>
      </c>
      <c r="J3858" s="444">
        <f t="array" ref="J3858">IFERROR(INDEX('Retirement Calculator'!J:J,MATCH('Isaac 401k'!N3858,'Retirement Calculator'!A:A,0),0),0)</f>
        <v>0</v>
      </c>
      <c r="K3858" s="444">
        <f t="shared" ca="1" si="176"/>
        <v>-10704277230.564045</v>
      </c>
      <c r="L3858" s="444">
        <f t="shared" ca="1" si="177"/>
        <v>-2579730812565.9346</v>
      </c>
      <c r="M3858" s="460">
        <f t="shared" si="179"/>
        <v>0.05</v>
      </c>
      <c r="N3858" s="464">
        <f t="shared" si="180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78"/>
        <v>-2579730812565.9346</v>
      </c>
      <c r="J3859" s="444">
        <f t="array" ref="J3859">IFERROR(INDEX('Retirement Calculator'!J:J,MATCH('Isaac 401k'!N3859,'Retirement Calculator'!A:A,0),0),0)</f>
        <v>0</v>
      </c>
      <c r="K3859" s="444">
        <f t="shared" ca="1" si="176"/>
        <v>-10748878385.691395</v>
      </c>
      <c r="L3859" s="444">
        <f t="shared" ca="1" si="177"/>
        <v>-2590479690951.626</v>
      </c>
      <c r="M3859" s="460">
        <f t="shared" si="179"/>
        <v>0.05</v>
      </c>
      <c r="N3859" s="464">
        <f t="shared" si="180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78"/>
        <v>-2590479690951.626</v>
      </c>
      <c r="J3860" s="444">
        <f t="array" ref="J3860">IFERROR(INDEX('Retirement Calculator'!J:J,MATCH('Isaac 401k'!N3860,'Retirement Calculator'!A:A,0),0),0)</f>
        <v>0</v>
      </c>
      <c r="K3860" s="444">
        <f t="shared" ca="1" si="176"/>
        <v>-10793665378.965109</v>
      </c>
      <c r="L3860" s="444">
        <f t="shared" ca="1" si="177"/>
        <v>-2601273356330.5913</v>
      </c>
      <c r="M3860" s="460">
        <f t="shared" si="179"/>
        <v>0.05</v>
      </c>
      <c r="N3860" s="464">
        <f t="shared" si="180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78"/>
        <v>-2601273356330.5913</v>
      </c>
      <c r="J3861" s="444">
        <f t="array" ref="J3861">IFERROR(INDEX('Retirement Calculator'!J:J,MATCH('Isaac 401k'!N3861,'Retirement Calculator'!A:A,0),0),0)</f>
        <v>0</v>
      </c>
      <c r="K3861" s="444">
        <f t="shared" ca="1" si="176"/>
        <v>-10838638984.710796</v>
      </c>
      <c r="L3861" s="444">
        <f t="shared" ca="1" si="177"/>
        <v>-2612111995315.3022</v>
      </c>
      <c r="M3861" s="460">
        <f t="shared" si="179"/>
        <v>0.05</v>
      </c>
      <c r="N3861" s="464">
        <f t="shared" si="180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78"/>
        <v>-2612111995315.3022</v>
      </c>
      <c r="J3862" s="444">
        <f t="array" ref="J3862">IFERROR(INDEX('Retirement Calculator'!J:J,MATCH('Isaac 401k'!N3862,'Retirement Calculator'!A:A,0),0),0)</f>
        <v>0</v>
      </c>
      <c r="K3862" s="444">
        <f t="shared" ca="1" si="176"/>
        <v>-10883799980.480427</v>
      </c>
      <c r="L3862" s="444">
        <f t="shared" ca="1" si="177"/>
        <v>-2622995795295.7827</v>
      </c>
      <c r="M3862" s="460">
        <f t="shared" si="179"/>
        <v>0.05</v>
      </c>
      <c r="N3862" s="464">
        <f t="shared" si="180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78"/>
        <v>-2622995795295.7827</v>
      </c>
      <c r="J3863" s="444">
        <f t="array" ref="J3863">IFERROR(INDEX('Retirement Calculator'!J:J,MATCH('Isaac 401k'!N3863,'Retirement Calculator'!A:A,0),0),0)</f>
        <v>0</v>
      </c>
      <c r="K3863" s="444">
        <f t="shared" ca="1" si="176"/>
        <v>-10929149147.065762</v>
      </c>
      <c r="L3863" s="444">
        <f t="shared" ca="1" si="177"/>
        <v>-2633924944442.8486</v>
      </c>
      <c r="M3863" s="460">
        <f t="shared" si="179"/>
        <v>0.05</v>
      </c>
      <c r="N3863" s="464">
        <f t="shared" si="180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78"/>
        <v>-2633924944442.8486</v>
      </c>
      <c r="J3864" s="444">
        <f t="array" ref="J3864">IFERROR(INDEX('Retirement Calculator'!J:J,MATCH('Isaac 401k'!N3864,'Retirement Calculator'!A:A,0),0),0)</f>
        <v>0</v>
      </c>
      <c r="K3864" s="444">
        <f t="shared" ca="1" si="176"/>
        <v>-10974687268.511869</v>
      </c>
      <c r="L3864" s="444">
        <f t="shared" ca="1" si="177"/>
        <v>-2644899631711.3604</v>
      </c>
      <c r="M3864" s="460">
        <f t="shared" si="179"/>
        <v>0.05</v>
      </c>
      <c r="N3864" s="464">
        <f t="shared" si="180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78"/>
        <v>-2644899631711.3604</v>
      </c>
      <c r="J3865" s="444">
        <f t="array" ref="J3865">IFERROR(INDEX('Retirement Calculator'!J:J,MATCH('Isaac 401k'!N3865,'Retirement Calculator'!A:A,0),0),0)</f>
        <v>0</v>
      </c>
      <c r="K3865" s="444">
        <f t="shared" ca="1" si="176"/>
        <v>-11020415132.130669</v>
      </c>
      <c r="L3865" s="444">
        <f t="shared" ca="1" si="177"/>
        <v>-2655920046843.4912</v>
      </c>
      <c r="M3865" s="460">
        <f t="shared" si="179"/>
        <v>0.05</v>
      </c>
      <c r="N3865" s="464">
        <f t="shared" si="180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78"/>
        <v>-2655920046843.4912</v>
      </c>
      <c r="J3866" s="444">
        <f t="array" ref="J3866">IFERROR(INDEX('Retirement Calculator'!J:J,MATCH('Isaac 401k'!N3866,'Retirement Calculator'!A:A,0),0),0)</f>
        <v>0</v>
      </c>
      <c r="K3866" s="444">
        <f t="shared" ca="1" si="176"/>
        <v>-11066333528.514547</v>
      </c>
      <c r="L3866" s="444">
        <f t="shared" ca="1" si="177"/>
        <v>-2666986380372.0059</v>
      </c>
      <c r="M3866" s="460">
        <f t="shared" si="179"/>
        <v>0.05</v>
      </c>
      <c r="N3866" s="464">
        <f t="shared" si="180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78"/>
        <v>-2666986380372.0059</v>
      </c>
      <c r="J3867" s="444">
        <f t="array" ref="J3867">IFERROR(INDEX('Retirement Calculator'!J:J,MATCH('Isaac 401k'!N3867,'Retirement Calculator'!A:A,0),0),0)</f>
        <v>0</v>
      </c>
      <c r="K3867" s="444">
        <f t="shared" ca="1" si="176"/>
        <v>-11112443251.550024</v>
      </c>
      <c r="L3867" s="444">
        <f t="shared" ca="1" si="177"/>
        <v>-2678098823623.5557</v>
      </c>
      <c r="M3867" s="460">
        <f t="shared" si="179"/>
        <v>0.05</v>
      </c>
      <c r="N3867" s="464">
        <f t="shared" si="180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78"/>
        <v>-2678098823623.5557</v>
      </c>
      <c r="J3868" s="444">
        <f t="array" ref="J3868">IFERROR(INDEX('Retirement Calculator'!J:J,MATCH('Isaac 401k'!N3868,'Retirement Calculator'!A:A,0),0),0)</f>
        <v>0</v>
      </c>
      <c r="K3868" s="444">
        <f t="shared" ca="1" si="176"/>
        <v>-11158745098.431482</v>
      </c>
      <c r="L3868" s="444">
        <f t="shared" ca="1" si="177"/>
        <v>-2689257568721.9873</v>
      </c>
      <c r="M3868" s="460">
        <f t="shared" si="179"/>
        <v>0.05</v>
      </c>
      <c r="N3868" s="464">
        <f t="shared" si="180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78"/>
        <v>-2689257568721.9873</v>
      </c>
      <c r="J3869" s="444">
        <f t="array" ref="J3869">IFERROR(INDEX('Retirement Calculator'!J:J,MATCH('Isaac 401k'!N3869,'Retirement Calculator'!A:A,0),0),0)</f>
        <v>0</v>
      </c>
      <c r="K3869" s="444">
        <f t="shared" ca="1" si="176"/>
        <v>-11205239869.674948</v>
      </c>
      <c r="L3869" s="444">
        <f t="shared" ca="1" si="177"/>
        <v>-2700462808591.6621</v>
      </c>
      <c r="M3869" s="460">
        <f t="shared" si="179"/>
        <v>0.05</v>
      </c>
      <c r="N3869" s="464">
        <f t="shared" si="180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78"/>
        <v>-2700462808591.6621</v>
      </c>
      <c r="J3870" s="444">
        <f t="array" ref="J3870">IFERROR(INDEX('Retirement Calculator'!J:J,MATCH('Isaac 401k'!N3870,'Retirement Calculator'!A:A,0),0),0)</f>
        <v>0</v>
      </c>
      <c r="K3870" s="444">
        <f t="shared" ca="1" si="176"/>
        <v>-11251928369.131926</v>
      </c>
      <c r="L3870" s="444">
        <f t="shared" ca="1" si="177"/>
        <v>-2711714736960.7939</v>
      </c>
      <c r="M3870" s="460">
        <f t="shared" si="179"/>
        <v>0.05</v>
      </c>
      <c r="N3870" s="464">
        <f t="shared" si="180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78"/>
        <v>-2711714736960.7939</v>
      </c>
      <c r="J3871" s="444">
        <f t="array" ref="J3871">IFERROR(INDEX('Retirement Calculator'!J:J,MATCH('Isaac 401k'!N3871,'Retirement Calculator'!A:A,0),0),0)</f>
        <v>0</v>
      </c>
      <c r="K3871" s="444">
        <f t="shared" ca="1" si="176"/>
        <v>-11298811404.003307</v>
      </c>
      <c r="L3871" s="444">
        <f t="shared" ca="1" si="177"/>
        <v>-2723013548364.7974</v>
      </c>
      <c r="M3871" s="460">
        <f t="shared" si="179"/>
        <v>0.05</v>
      </c>
      <c r="N3871" s="464">
        <f t="shared" si="180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78"/>
        <v>-2723013548364.7974</v>
      </c>
      <c r="J3872" s="444">
        <f t="array" ref="J3872">IFERROR(INDEX('Retirement Calculator'!J:J,MATCH('Isaac 401k'!N3872,'Retirement Calculator'!A:A,0),0),0)</f>
        <v>0</v>
      </c>
      <c r="K3872" s="444">
        <f t="shared" ca="1" si="176"/>
        <v>-11345889784.853323</v>
      </c>
      <c r="L3872" s="444">
        <f t="shared" ca="1" si="177"/>
        <v>-2734359438149.6509</v>
      </c>
      <c r="M3872" s="460">
        <f t="shared" si="179"/>
        <v>0.05</v>
      </c>
      <c r="N3872" s="464">
        <f t="shared" si="180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78"/>
        <v>-2734359438149.6509</v>
      </c>
      <c r="J3873" s="444">
        <f t="array" ref="J3873">IFERROR(INDEX('Retirement Calculator'!J:J,MATCH('Isaac 401k'!N3873,'Retirement Calculator'!A:A,0),0),0)</f>
        <v>0</v>
      </c>
      <c r="K3873" s="444">
        <f t="shared" ca="1" si="176"/>
        <v>-11393164325.623545</v>
      </c>
      <c r="L3873" s="444">
        <f t="shared" ca="1" si="177"/>
        <v>-2745752602475.2744</v>
      </c>
      <c r="M3873" s="460">
        <f t="shared" si="179"/>
        <v>0.05</v>
      </c>
      <c r="N3873" s="464">
        <f t="shared" si="180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78"/>
        <v>-2745752602475.2744</v>
      </c>
      <c r="J3874" s="444">
        <f t="array" ref="J3874">IFERROR(INDEX('Retirement Calculator'!J:J,MATCH('Isaac 401k'!N3874,'Retirement Calculator'!A:A,0),0),0)</f>
        <v>0</v>
      </c>
      <c r="K3874" s="444">
        <f t="shared" ca="1" si="176"/>
        <v>-11440635843.646976</v>
      </c>
      <c r="L3874" s="444">
        <f t="shared" ca="1" si="177"/>
        <v>-2757193238318.9214</v>
      </c>
      <c r="M3874" s="460">
        <f t="shared" si="179"/>
        <v>0.05</v>
      </c>
      <c r="N3874" s="464">
        <f t="shared" si="180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78"/>
        <v>-2757193238318.9214</v>
      </c>
      <c r="J3875" s="444">
        <f t="array" ref="J3875">IFERROR(INDEX('Retirement Calculator'!J:J,MATCH('Isaac 401k'!N3875,'Retirement Calculator'!A:A,0),0),0)</f>
        <v>0</v>
      </c>
      <c r="K3875" s="444">
        <f t="shared" ca="1" si="176"/>
        <v>-11488305159.662172</v>
      </c>
      <c r="L3875" s="444">
        <f t="shared" ca="1" si="177"/>
        <v>-2768681543478.5835</v>
      </c>
      <c r="M3875" s="460">
        <f t="shared" si="179"/>
        <v>0.05</v>
      </c>
      <c r="N3875" s="464">
        <f t="shared" si="180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78"/>
        <v>-2768681543478.5835</v>
      </c>
      <c r="J3876" s="444">
        <f t="array" ref="J3876">IFERROR(INDEX('Retirement Calculator'!J:J,MATCH('Isaac 401k'!N3876,'Retirement Calculator'!A:A,0),0),0)</f>
        <v>0</v>
      </c>
      <c r="K3876" s="444">
        <f t="shared" ca="1" si="176"/>
        <v>-11536173097.827431</v>
      </c>
      <c r="L3876" s="444">
        <f t="shared" ca="1" si="177"/>
        <v>-2780217716576.4111</v>
      </c>
      <c r="M3876" s="460">
        <f t="shared" si="179"/>
        <v>0.05</v>
      </c>
      <c r="N3876" s="464">
        <f t="shared" si="180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78"/>
        <v>-2780217716576.4111</v>
      </c>
      <c r="J3877" s="444">
        <f t="array" ref="J3877">IFERROR(INDEX('Retirement Calculator'!J:J,MATCH('Isaac 401k'!N3877,'Retirement Calculator'!A:A,0),0),0)</f>
        <v>0</v>
      </c>
      <c r="K3877" s="444">
        <f t="shared" ca="1" si="176"/>
        <v>-11584240485.735046</v>
      </c>
      <c r="L3877" s="444">
        <f t="shared" ca="1" si="177"/>
        <v>-2791801957062.146</v>
      </c>
      <c r="M3877" s="460">
        <f t="shared" si="179"/>
        <v>0.05</v>
      </c>
      <c r="N3877" s="464">
        <f t="shared" si="180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78"/>
        <v>-2791801957062.146</v>
      </c>
      <c r="J3878" s="444">
        <f t="array" ref="J3878">IFERROR(INDEX('Retirement Calculator'!J:J,MATCH('Isaac 401k'!N3878,'Retirement Calculator'!A:A,0),0),0)</f>
        <v>0</v>
      </c>
      <c r="K3878" s="444">
        <f t="shared" ca="1" si="176"/>
        <v>-11632508154.425608</v>
      </c>
      <c r="L3878" s="444">
        <f t="shared" ca="1" si="177"/>
        <v>-2803434465216.5718</v>
      </c>
      <c r="M3878" s="460">
        <f t="shared" si="179"/>
        <v>0.05</v>
      </c>
      <c r="N3878" s="464">
        <f t="shared" si="180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78"/>
        <v>-2803434465216.5718</v>
      </c>
      <c r="J3879" s="444">
        <f t="array" ref="J3879">IFERROR(INDEX('Retirement Calculator'!J:J,MATCH('Isaac 401k'!N3879,'Retirement Calculator'!A:A,0),0),0)</f>
        <v>0</v>
      </c>
      <c r="K3879" s="444">
        <f t="shared" ca="1" si="176"/>
        <v>-11680976938.402382</v>
      </c>
      <c r="L3879" s="444">
        <f t="shared" ca="1" si="177"/>
        <v>-2815115442154.9741</v>
      </c>
      <c r="M3879" s="460">
        <f t="shared" si="179"/>
        <v>0.05</v>
      </c>
      <c r="N3879" s="464">
        <f t="shared" si="180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78"/>
        <v>-2815115442154.9741</v>
      </c>
      <c r="J3880" s="444">
        <f t="array" ref="J3880">IFERROR(INDEX('Retirement Calculator'!J:J,MATCH('Isaac 401k'!N3880,'Retirement Calculator'!A:A,0),0),0)</f>
        <v>0</v>
      </c>
      <c r="K3880" s="444">
        <f t="shared" ca="1" si="176"/>
        <v>-11729647675.645725</v>
      </c>
      <c r="L3880" s="444">
        <f t="shared" ca="1" si="177"/>
        <v>-2826845089830.6196</v>
      </c>
      <c r="M3880" s="460">
        <f t="shared" si="179"/>
        <v>0.05</v>
      </c>
      <c r="N3880" s="464">
        <f t="shared" si="180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78"/>
        <v>-2826845089830.6196</v>
      </c>
      <c r="J3881" s="444">
        <f t="array" ref="J3881">IFERROR(INDEX('Retirement Calculator'!J:J,MATCH('Isaac 401k'!N3881,'Retirement Calculator'!A:A,0),0),0)</f>
        <v>0</v>
      </c>
      <c r="K3881" s="444">
        <f t="shared" ca="1" si="176"/>
        <v>-11778521207.627583</v>
      </c>
      <c r="L3881" s="444">
        <f t="shared" ca="1" si="177"/>
        <v>-2838623611038.2471</v>
      </c>
      <c r="M3881" s="460">
        <f t="shared" si="179"/>
        <v>0.05</v>
      </c>
      <c r="N3881" s="464">
        <f t="shared" si="180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78"/>
        <v>-2838623611038.2471</v>
      </c>
      <c r="J3882" s="444">
        <f t="array" ref="J3882">IFERROR(INDEX('Retirement Calculator'!J:J,MATCH('Isaac 401k'!N3882,'Retirement Calculator'!A:A,0),0),0)</f>
        <v>0</v>
      </c>
      <c r="K3882" s="444">
        <f t="shared" ca="1" si="176"/>
        <v>-11827598379.326029</v>
      </c>
      <c r="L3882" s="444">
        <f t="shared" ca="1" si="177"/>
        <v>-2850451209417.5732</v>
      </c>
      <c r="M3882" s="460">
        <f t="shared" si="179"/>
        <v>0.05</v>
      </c>
      <c r="N3882" s="464">
        <f t="shared" si="180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78"/>
        <v>-2850451209417.5732</v>
      </c>
      <c r="J3883" s="444">
        <f t="array" ref="J3883">IFERROR(INDEX('Retirement Calculator'!J:J,MATCH('Isaac 401k'!N3883,'Retirement Calculator'!A:A,0),0),0)</f>
        <v>0</v>
      </c>
      <c r="K3883" s="444">
        <f t="shared" ca="1" si="176"/>
        <v>-11876880039.239889</v>
      </c>
      <c r="L3883" s="444">
        <f t="shared" ca="1" si="177"/>
        <v>-2862328089456.813</v>
      </c>
      <c r="M3883" s="460">
        <f t="shared" si="179"/>
        <v>0.05</v>
      </c>
      <c r="N3883" s="464">
        <f t="shared" si="180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78"/>
        <v>-2862328089456.813</v>
      </c>
      <c r="J3884" s="444">
        <f t="array" ref="J3884">IFERROR(INDEX('Retirement Calculator'!J:J,MATCH('Isaac 401k'!N3884,'Retirement Calculator'!A:A,0),0),0)</f>
        <v>0</v>
      </c>
      <c r="K3884" s="444">
        <f t="shared" ca="1" si="176"/>
        <v>-11926367039.403387</v>
      </c>
      <c r="L3884" s="444">
        <f t="shared" ca="1" si="177"/>
        <v>-2874254456496.2163</v>
      </c>
      <c r="M3884" s="460">
        <f t="shared" si="179"/>
        <v>0.05</v>
      </c>
      <c r="N3884" s="464">
        <f t="shared" si="180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78"/>
        <v>-2874254456496.2163</v>
      </c>
      <c r="J3885" s="444">
        <f t="array" ref="J3885">IFERROR(INDEX('Retirement Calculator'!J:J,MATCH('Isaac 401k'!N3885,'Retirement Calculator'!A:A,0),0),0)</f>
        <v>0</v>
      </c>
      <c r="K3885" s="444">
        <f t="shared" ca="1" si="176"/>
        <v>-11976060235.400902</v>
      </c>
      <c r="L3885" s="444">
        <f t="shared" ca="1" si="177"/>
        <v>-2886230516731.6172</v>
      </c>
      <c r="M3885" s="460">
        <f t="shared" si="179"/>
        <v>0.05</v>
      </c>
      <c r="N3885" s="464">
        <f t="shared" si="180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78"/>
        <v>-2886230516731.6172</v>
      </c>
      <c r="J3886" s="444">
        <f t="array" ref="J3886">IFERROR(INDEX('Retirement Calculator'!J:J,MATCH('Isaac 401k'!N3886,'Retirement Calculator'!A:A,0),0),0)</f>
        <v>0</v>
      </c>
      <c r="K3886" s="444">
        <f t="shared" ca="1" si="176"/>
        <v>-12025960486.381739</v>
      </c>
      <c r="L3886" s="444">
        <f t="shared" ca="1" si="177"/>
        <v>-2898256477217.999</v>
      </c>
      <c r="M3886" s="460">
        <f t="shared" si="179"/>
        <v>0.05</v>
      </c>
      <c r="N3886" s="464">
        <f t="shared" si="180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78"/>
        <v>-2898256477217.999</v>
      </c>
      <c r="J3887" s="444">
        <f t="array" ref="J3887">IFERROR(INDEX('Retirement Calculator'!J:J,MATCH('Isaac 401k'!N3887,'Retirement Calculator'!A:A,0),0),0)</f>
        <v>0</v>
      </c>
      <c r="K3887" s="444">
        <f t="shared" ca="1" si="176"/>
        <v>-12076068655.074995</v>
      </c>
      <c r="L3887" s="444">
        <f t="shared" ca="1" si="177"/>
        <v>-2910332545873.0742</v>
      </c>
      <c r="M3887" s="460">
        <f t="shared" si="179"/>
        <v>0.05</v>
      </c>
      <c r="N3887" s="464">
        <f t="shared" si="180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78"/>
        <v>-2910332545873.0742</v>
      </c>
      <c r="J3888" s="444">
        <f t="array" ref="J3888">IFERROR(INDEX('Retirement Calculator'!J:J,MATCH('Isaac 401k'!N3888,'Retirement Calculator'!A:A,0),0),0)</f>
        <v>0</v>
      </c>
      <c r="K3888" s="444">
        <f t="shared" ca="1" si="176"/>
        <v>-12126385607.804476</v>
      </c>
      <c r="L3888" s="444">
        <f t="shared" ca="1" si="177"/>
        <v>-2922458931480.8789</v>
      </c>
      <c r="M3888" s="460">
        <f t="shared" si="179"/>
        <v>0.05</v>
      </c>
      <c r="N3888" s="464">
        <f t="shared" si="180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78"/>
        <v>-2922458931480.8789</v>
      </c>
      <c r="J3889" s="444">
        <f t="array" ref="J3889">IFERROR(INDEX('Retirement Calculator'!J:J,MATCH('Isaac 401k'!N3889,'Retirement Calculator'!A:A,0),0),0)</f>
        <v>0</v>
      </c>
      <c r="K3889" s="444">
        <f t="shared" ca="1" si="176"/>
        <v>-12176912214.503662</v>
      </c>
      <c r="L3889" s="444">
        <f t="shared" ca="1" si="177"/>
        <v>-2934635843695.3828</v>
      </c>
      <c r="M3889" s="460">
        <f t="shared" si="179"/>
        <v>0.05</v>
      </c>
      <c r="N3889" s="464">
        <f t="shared" si="180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78"/>
        <v>-2934635843695.3828</v>
      </c>
      <c r="J3890" s="444">
        <f t="array" ref="J3890">IFERROR(INDEX('Retirement Calculator'!J:J,MATCH('Isaac 401k'!N3890,'Retirement Calculator'!A:A,0),0),0)</f>
        <v>0</v>
      </c>
      <c r="K3890" s="444">
        <f t="shared" ca="1" si="176"/>
        <v>-12227649348.730762</v>
      </c>
      <c r="L3890" s="444">
        <f t="shared" ca="1" si="177"/>
        <v>-2946863493044.1138</v>
      </c>
      <c r="M3890" s="460">
        <f t="shared" si="179"/>
        <v>0.05</v>
      </c>
      <c r="N3890" s="464">
        <f t="shared" si="180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78"/>
        <v>-2946863493044.1138</v>
      </c>
      <c r="J3891" s="444">
        <f t="array" ref="J3891">IFERROR(INDEX('Retirement Calculator'!J:J,MATCH('Isaac 401k'!N3891,'Retirement Calculator'!A:A,0),0),0)</f>
        <v>0</v>
      </c>
      <c r="K3891" s="444">
        <f t="shared" ca="1" si="176"/>
        <v>-12278597887.683807</v>
      </c>
      <c r="L3891" s="444">
        <f t="shared" ca="1" si="177"/>
        <v>-2959142090931.7974</v>
      </c>
      <c r="M3891" s="460">
        <f t="shared" si="179"/>
        <v>0.05</v>
      </c>
      <c r="N3891" s="464">
        <f t="shared" si="180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78"/>
        <v>-2959142090931.7974</v>
      </c>
      <c r="J3892" s="444">
        <f t="array" ref="J3892">IFERROR(INDEX('Retirement Calculator'!J:J,MATCH('Isaac 401k'!N3892,'Retirement Calculator'!A:A,0),0),0)</f>
        <v>0</v>
      </c>
      <c r="K3892" s="444">
        <f t="shared" ca="1" si="176"/>
        <v>-12329758712.215822</v>
      </c>
      <c r="L3892" s="444">
        <f t="shared" ca="1" si="177"/>
        <v>-2971471849644.0132</v>
      </c>
      <c r="M3892" s="460">
        <f t="shared" si="179"/>
        <v>0.05</v>
      </c>
      <c r="N3892" s="464">
        <f t="shared" si="180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78"/>
        <v>-2971471849644.0132</v>
      </c>
      <c r="J3893" s="444">
        <f t="array" ref="J3893">IFERROR(INDEX('Retirement Calculator'!J:J,MATCH('Isaac 401k'!N3893,'Retirement Calculator'!A:A,0),0),0)</f>
        <v>0</v>
      </c>
      <c r="K3893" s="444">
        <f t="shared" ca="1" si="176"/>
        <v>-12381132706.850056</v>
      </c>
      <c r="L3893" s="444">
        <f t="shared" ca="1" si="177"/>
        <v>-2983852982350.8633</v>
      </c>
      <c r="M3893" s="460">
        <f t="shared" si="179"/>
        <v>0.05</v>
      </c>
      <c r="N3893" s="464">
        <f t="shared" si="180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78"/>
        <v>-2983852982350.8633</v>
      </c>
      <c r="J3894" s="444">
        <f t="array" ref="J3894">IFERROR(INDEX('Retirement Calculator'!J:J,MATCH('Isaac 401k'!N3894,'Retirement Calculator'!A:A,0),0),0)</f>
        <v>0</v>
      </c>
      <c r="K3894" s="444">
        <f t="shared" ca="1" si="176"/>
        <v>-12432720759.795263</v>
      </c>
      <c r="L3894" s="444">
        <f t="shared" ca="1" si="177"/>
        <v>-2996285703110.6587</v>
      </c>
      <c r="M3894" s="460">
        <f t="shared" si="179"/>
        <v>0.05</v>
      </c>
      <c r="N3894" s="464">
        <f t="shared" si="180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78"/>
        <v>-2996285703110.6587</v>
      </c>
      <c r="J3895" s="444">
        <f t="array" ref="J3895">IFERROR(INDEX('Retirement Calculator'!J:J,MATCH('Isaac 401k'!N3895,'Retirement Calculator'!A:A,0),0),0)</f>
        <v>0</v>
      </c>
      <c r="K3895" s="444">
        <f t="shared" ca="1" si="176"/>
        <v>-12484523762.961079</v>
      </c>
      <c r="L3895" s="444">
        <f t="shared" ca="1" si="177"/>
        <v>-3008770226873.6196</v>
      </c>
      <c r="M3895" s="460">
        <f t="shared" si="179"/>
        <v>0.05</v>
      </c>
      <c r="N3895" s="464">
        <f t="shared" si="180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78"/>
        <v>-3008770226873.6196</v>
      </c>
      <c r="J3896" s="444">
        <f t="array" ref="J3896">IFERROR(INDEX('Retirement Calculator'!J:J,MATCH('Isaac 401k'!N3896,'Retirement Calculator'!A:A,0),0),0)</f>
        <v>0</v>
      </c>
      <c r="K3896" s="444">
        <f t="shared" ca="1" si="176"/>
        <v>-12536542611.973415</v>
      </c>
      <c r="L3896" s="444">
        <f t="shared" ca="1" si="177"/>
        <v>-3021306769485.5933</v>
      </c>
      <c r="M3896" s="460">
        <f t="shared" si="179"/>
        <v>0.05</v>
      </c>
      <c r="N3896" s="464">
        <f t="shared" si="180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78"/>
        <v>-3021306769485.5933</v>
      </c>
      <c r="J3897" s="444">
        <f t="array" ref="J3897">IFERROR(INDEX('Retirement Calculator'!J:J,MATCH('Isaac 401k'!N3897,'Retirement Calculator'!A:A,0),0),0)</f>
        <v>0</v>
      </c>
      <c r="K3897" s="444">
        <f t="shared" ca="1" si="176"/>
        <v>-12588778206.189972</v>
      </c>
      <c r="L3897" s="444">
        <f t="shared" ca="1" si="177"/>
        <v>-3033895547691.7832</v>
      </c>
      <c r="M3897" s="460">
        <f t="shared" si="179"/>
        <v>0.05</v>
      </c>
      <c r="N3897" s="464">
        <f t="shared" si="180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78"/>
        <v>-3033895547691.7832</v>
      </c>
      <c r="J3898" s="444">
        <f t="array" ref="J3898">IFERROR(INDEX('Retirement Calculator'!J:J,MATCH('Isaac 401k'!N3898,'Retirement Calculator'!A:A,0),0),0)</f>
        <v>0</v>
      </c>
      <c r="K3898" s="444">
        <f t="shared" ca="1" si="176"/>
        <v>-12641231448.715763</v>
      </c>
      <c r="L3898" s="444">
        <f t="shared" ca="1" si="177"/>
        <v>-3046536779140.499</v>
      </c>
      <c r="M3898" s="460">
        <f t="shared" si="179"/>
        <v>0.05</v>
      </c>
      <c r="N3898" s="464">
        <f t="shared" si="180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78"/>
        <v>-3046536779140.499</v>
      </c>
      <c r="J3899" s="444">
        <f t="array" ref="J3899">IFERROR(INDEX('Retirement Calculator'!J:J,MATCH('Isaac 401k'!N3899,'Retirement Calculator'!A:A,0),0),0)</f>
        <v>0</v>
      </c>
      <c r="K3899" s="444">
        <f t="shared" ca="1" si="176"/>
        <v>-12693903246.418745</v>
      </c>
      <c r="L3899" s="444">
        <f t="shared" ca="1" si="177"/>
        <v>-3059230682386.918</v>
      </c>
      <c r="M3899" s="460">
        <f t="shared" si="179"/>
        <v>0.05</v>
      </c>
      <c r="N3899" s="464">
        <f t="shared" si="180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78"/>
        <v>-3059230682386.918</v>
      </c>
      <c r="J3900" s="444">
        <f t="array" ref="J3900">IFERROR(INDEX('Retirement Calculator'!J:J,MATCH('Isaac 401k'!N3900,'Retirement Calculator'!A:A,0),0),0)</f>
        <v>0</v>
      </c>
      <c r="K3900" s="444">
        <f t="shared" ca="1" si="176"/>
        <v>-12746794509.945492</v>
      </c>
      <c r="L3900" s="444">
        <f t="shared" ca="1" si="177"/>
        <v>-3071977476896.8633</v>
      </c>
      <c r="M3900" s="460">
        <f t="shared" si="179"/>
        <v>0.05</v>
      </c>
      <c r="N3900" s="464">
        <f t="shared" si="180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78"/>
        <v>-3071977476896.8633</v>
      </c>
      <c r="J3901" s="444">
        <f t="array" ref="J3901">IFERROR(INDEX('Retirement Calculator'!J:J,MATCH('Isaac 401k'!N3901,'Retirement Calculator'!A:A,0),0),0)</f>
        <v>0</v>
      </c>
      <c r="K3901" s="444">
        <f t="shared" ca="1" si="176"/>
        <v>-12799906153.736931</v>
      </c>
      <c r="L3901" s="444">
        <f t="shared" ca="1" si="177"/>
        <v>-3084777383050.6001</v>
      </c>
      <c r="M3901" s="460">
        <f t="shared" si="179"/>
        <v>0.05</v>
      </c>
      <c r="N3901" s="464">
        <f t="shared" si="180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78"/>
        <v>-3084777383050.6001</v>
      </c>
      <c r="J3902" s="444">
        <f t="array" ref="J3902">IFERROR(INDEX('Retirement Calculator'!J:J,MATCH('Isaac 401k'!N3902,'Retirement Calculator'!A:A,0),0),0)</f>
        <v>0</v>
      </c>
      <c r="K3902" s="444">
        <f t="shared" ca="1" si="176"/>
        <v>-12853239096.044167</v>
      </c>
      <c r="L3902" s="444">
        <f t="shared" ca="1" si="177"/>
        <v>-3097630622146.644</v>
      </c>
      <c r="M3902" s="460">
        <f t="shared" si="179"/>
        <v>0.05</v>
      </c>
      <c r="N3902" s="464">
        <f t="shared" si="180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78"/>
        <v>-3097630622146.644</v>
      </c>
      <c r="J3903" s="444">
        <f t="array" ref="J3903">IFERROR(INDEX('Retirement Calculator'!J:J,MATCH('Isaac 401k'!N3903,'Retirement Calculator'!A:A,0),0),0)</f>
        <v>0</v>
      </c>
      <c r="K3903" s="444">
        <f t="shared" ca="1" si="176"/>
        <v>-12906794258.944349</v>
      </c>
      <c r="L3903" s="444">
        <f t="shared" ca="1" si="177"/>
        <v>-3110537416405.5884</v>
      </c>
      <c r="M3903" s="460">
        <f t="shared" si="179"/>
        <v>0.05</v>
      </c>
      <c r="N3903" s="464">
        <f t="shared" si="180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78"/>
        <v>-3110537416405.5884</v>
      </c>
      <c r="J3904" s="444">
        <f t="array" ref="J3904">IFERROR(INDEX('Retirement Calculator'!J:J,MATCH('Isaac 401k'!N3904,'Retirement Calculator'!A:A,0),0),0)</f>
        <v>0</v>
      </c>
      <c r="K3904" s="444">
        <f t="shared" ca="1" si="176"/>
        <v>-12960572568.356619</v>
      </c>
      <c r="L3904" s="444">
        <f t="shared" ca="1" si="177"/>
        <v>-3123497988973.9448</v>
      </c>
      <c r="M3904" s="460">
        <f t="shared" si="179"/>
        <v>0.05</v>
      </c>
      <c r="N3904" s="464">
        <f t="shared" si="180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78"/>
        <v>-3123497988973.9448</v>
      </c>
      <c r="J3905" s="444">
        <f t="array" ref="J3905">IFERROR(INDEX('Retirement Calculator'!J:J,MATCH('Isaac 401k'!N3905,'Retirement Calculator'!A:A,0),0),0)</f>
        <v>0</v>
      </c>
      <c r="K3905" s="444">
        <f t="shared" ca="1" si="176"/>
        <v>-13014574954.058104</v>
      </c>
      <c r="L3905" s="444">
        <f t="shared" ca="1" si="177"/>
        <v>-3136512563928.0029</v>
      </c>
      <c r="M3905" s="460">
        <f t="shared" si="179"/>
        <v>0.05</v>
      </c>
      <c r="N3905" s="464">
        <f t="shared" si="180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78"/>
        <v>-3136512563928.0029</v>
      </c>
      <c r="J3906" s="444">
        <f t="array" ref="J3906">IFERROR(INDEX('Retirement Calculator'!J:J,MATCH('Isaac 401k'!N3906,'Retirement Calculator'!A:A,0),0),0)</f>
        <v>0</v>
      </c>
      <c r="K3906" s="444">
        <f t="shared" ca="1" si="176"/>
        <v>-13068802349.700012</v>
      </c>
      <c r="L3906" s="444">
        <f t="shared" ca="1" si="177"/>
        <v>-3149581366277.7031</v>
      </c>
      <c r="M3906" s="460">
        <f t="shared" si="179"/>
        <v>0.05</v>
      </c>
      <c r="N3906" s="464">
        <f t="shared" si="180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78"/>
        <v>-3149581366277.7031</v>
      </c>
      <c r="J3907" s="444">
        <f t="array" ref="J3907">IFERROR(INDEX('Retirement Calculator'!J:J,MATCH('Isaac 401k'!N3907,'Retirement Calculator'!A:A,0),0),0)</f>
        <v>0</v>
      </c>
      <c r="K3907" s="444">
        <f t="shared" ca="1" si="176"/>
        <v>-13123255692.823763</v>
      </c>
      <c r="L3907" s="444">
        <f t="shared" ca="1" si="177"/>
        <v>-3162704621970.5269</v>
      </c>
      <c r="M3907" s="460">
        <f t="shared" si="179"/>
        <v>0.05</v>
      </c>
      <c r="N3907" s="464">
        <f t="shared" si="180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78"/>
        <v>-3162704621970.5269</v>
      </c>
      <c r="J3908" s="444">
        <f t="array" ref="J3908">IFERROR(INDEX('Retirement Calculator'!J:J,MATCH('Isaac 401k'!N3908,'Retirement Calculator'!A:A,0),0),0)</f>
        <v>0</v>
      </c>
      <c r="K3908" s="444">
        <f t="shared" ca="1" si="176"/>
        <v>-13177935924.877195</v>
      </c>
      <c r="L3908" s="444">
        <f t="shared" ca="1" si="177"/>
        <v>-3175882557895.4038</v>
      </c>
      <c r="M3908" s="460">
        <f t="shared" si="179"/>
        <v>0.05</v>
      </c>
      <c r="N3908" s="464">
        <f t="shared" si="180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78"/>
        <v>-3175882557895.4038</v>
      </c>
      <c r="J3909" s="444">
        <f t="array" ref="J3909">IFERROR(INDEX('Retirement Calculator'!J:J,MATCH('Isaac 401k'!N3909,'Retirement Calculator'!A:A,0),0),0)</f>
        <v>0</v>
      </c>
      <c r="K3909" s="444">
        <f t="shared" ca="1" si="176"/>
        <v>-13232843991.230848</v>
      </c>
      <c r="L3909" s="444">
        <f t="shared" ca="1" si="177"/>
        <v>-3189115401886.6348</v>
      </c>
      <c r="M3909" s="460">
        <f t="shared" si="179"/>
        <v>0.05</v>
      </c>
      <c r="N3909" s="464">
        <f t="shared" si="180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78"/>
        <v>-3189115401886.6348</v>
      </c>
      <c r="J3910" s="444">
        <f t="array" ref="J3910">IFERROR(INDEX('Retirement Calculator'!J:J,MATCH('Isaac 401k'!N3910,'Retirement Calculator'!A:A,0),0),0)</f>
        <v>0</v>
      </c>
      <c r="K3910" s="444">
        <f t="shared" ca="1" si="176"/>
        <v>-13287980841.194311</v>
      </c>
      <c r="L3910" s="444">
        <f t="shared" ca="1" si="177"/>
        <v>-3202403382727.8291</v>
      </c>
      <c r="M3910" s="460">
        <f t="shared" si="179"/>
        <v>0.05</v>
      </c>
      <c r="N3910" s="464">
        <f t="shared" si="180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78"/>
        <v>-3202403382727.8291</v>
      </c>
      <c r="J3911" s="444">
        <f t="array" ref="J3911">IFERROR(INDEX('Retirement Calculator'!J:J,MATCH('Isaac 401k'!N3911,'Retirement Calculator'!A:A,0),0),0)</f>
        <v>0</v>
      </c>
      <c r="K3911" s="444">
        <f t="shared" ca="1" si="176"/>
        <v>-13343347428.032621</v>
      </c>
      <c r="L3911" s="444">
        <f t="shared" ca="1" si="177"/>
        <v>-3215746730155.8618</v>
      </c>
      <c r="M3911" s="460">
        <f t="shared" si="179"/>
        <v>0.05</v>
      </c>
      <c r="N3911" s="464">
        <f t="shared" si="180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78"/>
        <v>-3215746730155.8618</v>
      </c>
      <c r="J3912" s="444">
        <f t="array" ref="J3912">IFERROR(INDEX('Retirement Calculator'!J:J,MATCH('Isaac 401k'!N3912,'Retirement Calculator'!A:A,0),0),0)</f>
        <v>0</v>
      </c>
      <c r="K3912" s="444">
        <f t="shared" ca="1" si="176"/>
        <v>-13398944708.982758</v>
      </c>
      <c r="L3912" s="444">
        <f t="shared" ca="1" si="177"/>
        <v>-3229145674864.8447</v>
      </c>
      <c r="M3912" s="460">
        <f t="shared" si="179"/>
        <v>0.05</v>
      </c>
      <c r="N3912" s="464">
        <f t="shared" si="180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78"/>
        <v>-3229145674864.8447</v>
      </c>
      <c r="J3913" s="444">
        <f t="array" ref="J3913">IFERROR(INDEX('Retirement Calculator'!J:J,MATCH('Isaac 401k'!N3913,'Retirement Calculator'!A:A,0),0),0)</f>
        <v>0</v>
      </c>
      <c r="K3913" s="444">
        <f t="shared" ca="1" si="176"/>
        <v>-13454773645.270185</v>
      </c>
      <c r="L3913" s="444">
        <f t="shared" ca="1" si="177"/>
        <v>-3242600448510.1147</v>
      </c>
      <c r="M3913" s="460">
        <f t="shared" si="179"/>
        <v>0.05</v>
      </c>
      <c r="N3913" s="464">
        <f t="shared" si="180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78"/>
        <v>-3242600448510.1147</v>
      </c>
      <c r="J3914" s="444">
        <f t="array" ref="J3914">IFERROR(INDEX('Retirement Calculator'!J:J,MATCH('Isaac 401k'!N3914,'Retirement Calculator'!A:A,0),0),0)</f>
        <v>0</v>
      </c>
      <c r="K3914" s="444">
        <f t="shared" ca="1" si="176"/>
        <v>-13510835202.125479</v>
      </c>
      <c r="L3914" s="444">
        <f t="shared" ca="1" si="177"/>
        <v>-3256111283712.2402</v>
      </c>
      <c r="M3914" s="460">
        <f t="shared" si="179"/>
        <v>0.05</v>
      </c>
      <c r="N3914" s="464">
        <f t="shared" si="180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78"/>
        <v>-3256111283712.2402</v>
      </c>
      <c r="J3915" s="444">
        <f t="array" ref="J3915">IFERROR(INDEX('Retirement Calculator'!J:J,MATCH('Isaac 401k'!N3915,'Retirement Calculator'!A:A,0),0),0)</f>
        <v>0</v>
      </c>
      <c r="K3915" s="444">
        <f t="shared" ca="1" si="176"/>
        <v>-13567130348.801001</v>
      </c>
      <c r="L3915" s="444">
        <f t="shared" ca="1" si="177"/>
        <v>-3269678414061.041</v>
      </c>
      <c r="M3915" s="460">
        <f t="shared" si="179"/>
        <v>0.05</v>
      </c>
      <c r="N3915" s="464">
        <f t="shared" si="180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78"/>
        <v>-3269678414061.041</v>
      </c>
      <c r="J3916" s="444">
        <f t="array" ref="J3916">IFERROR(INDEX('Retirement Calculator'!J:J,MATCH('Isaac 401k'!N3916,'Retirement Calculator'!A:A,0),0),0)</f>
        <v>0</v>
      </c>
      <c r="K3916" s="444">
        <f t="shared" ca="1" si="176"/>
        <v>-13623660058.587671</v>
      </c>
      <c r="L3916" s="444">
        <f t="shared" ca="1" si="177"/>
        <v>-3283302074119.6289</v>
      </c>
      <c r="M3916" s="460">
        <f t="shared" si="179"/>
        <v>0.05</v>
      </c>
      <c r="N3916" s="464">
        <f t="shared" si="180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78"/>
        <v>-3283302074119.6289</v>
      </c>
      <c r="J3917" s="444">
        <f t="array" ref="J3917">IFERROR(INDEX('Retirement Calculator'!J:J,MATCH('Isaac 401k'!N3917,'Retirement Calculator'!A:A,0),0),0)</f>
        <v>0</v>
      </c>
      <c r="K3917" s="444">
        <f t="shared" ca="1" si="176"/>
        <v>-13680425308.831787</v>
      </c>
      <c r="L3917" s="444">
        <f t="shared" ca="1" si="177"/>
        <v>-3296982499428.4609</v>
      </c>
      <c r="M3917" s="460">
        <f t="shared" si="179"/>
        <v>0.05</v>
      </c>
      <c r="N3917" s="464">
        <f t="shared" si="180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78"/>
        <v>-3296982499428.4609</v>
      </c>
      <c r="J3918" s="444">
        <f t="array" ref="J3918">IFERROR(INDEX('Retirement Calculator'!J:J,MATCH('Isaac 401k'!N3918,'Retirement Calculator'!A:A,0),0),0)</f>
        <v>0</v>
      </c>
      <c r="K3918" s="444">
        <f t="shared" ca="1" si="176"/>
        <v>-13737427080.95192</v>
      </c>
      <c r="L3918" s="444">
        <f t="shared" ca="1" si="177"/>
        <v>-3310719926509.4131</v>
      </c>
      <c r="M3918" s="460">
        <f t="shared" si="179"/>
        <v>0.05</v>
      </c>
      <c r="N3918" s="464">
        <f t="shared" si="180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78"/>
        <v>-3310719926509.4131</v>
      </c>
      <c r="J3919" s="444">
        <f t="array" ref="J3919">IFERROR(INDEX('Retirement Calculator'!J:J,MATCH('Isaac 401k'!N3919,'Retirement Calculator'!A:A,0),0),0)</f>
        <v>0</v>
      </c>
      <c r="K3919" s="444">
        <f t="shared" ca="1" si="176"/>
        <v>-13794666360.455887</v>
      </c>
      <c r="L3919" s="444">
        <f t="shared" ca="1" si="177"/>
        <v>-3324514592869.8691</v>
      </c>
      <c r="M3919" s="460">
        <f t="shared" si="179"/>
        <v>0.05</v>
      </c>
      <c r="N3919" s="464">
        <f t="shared" si="180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78"/>
        <v>-3324514592869.8691</v>
      </c>
      <c r="J3920" s="444">
        <f t="array" ref="J3920">IFERROR(INDEX('Retirement Calculator'!J:J,MATCH('Isaac 401k'!N3920,'Retirement Calculator'!A:A,0),0),0)</f>
        <v>0</v>
      </c>
      <c r="K3920" s="444">
        <f t="shared" ca="1" si="176"/>
        <v>-13852144136.957788</v>
      </c>
      <c r="L3920" s="444">
        <f t="shared" ca="1" si="177"/>
        <v>-3338366737006.8271</v>
      </c>
      <c r="M3920" s="460">
        <f t="shared" si="179"/>
        <v>0.05</v>
      </c>
      <c r="N3920" s="464">
        <f t="shared" si="180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78"/>
        <v>-3338366737006.8271</v>
      </c>
      <c r="J3921" s="444">
        <f t="array" ref="J3921">IFERROR(INDEX('Retirement Calculator'!J:J,MATCH('Isaac 401k'!N3921,'Retirement Calculator'!A:A,0),0),0)</f>
        <v>0</v>
      </c>
      <c r="K3921" s="444">
        <f t="shared" ca="1" si="176"/>
        <v>-13909861404.195112</v>
      </c>
      <c r="L3921" s="444">
        <f t="shared" ca="1" si="177"/>
        <v>-3352276598411.0225</v>
      </c>
      <c r="M3921" s="460">
        <f t="shared" si="179"/>
        <v>0.05</v>
      </c>
      <c r="N3921" s="464">
        <f t="shared" si="180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78"/>
        <v>-3352276598411.0225</v>
      </c>
      <c r="J3922" s="444">
        <f t="array" ref="J3922">IFERROR(INDEX('Retirement Calculator'!J:J,MATCH('Isaac 401k'!N3922,'Retirement Calculator'!A:A,0),0),0)</f>
        <v>0</v>
      </c>
      <c r="K3922" s="444">
        <f t="shared" ca="1" si="176"/>
        <v>-13967819160.045927</v>
      </c>
      <c r="L3922" s="444">
        <f t="shared" ca="1" si="177"/>
        <v>-3366244417571.0684</v>
      </c>
      <c r="M3922" s="460">
        <f t="shared" si="179"/>
        <v>0.05</v>
      </c>
      <c r="N3922" s="464">
        <f t="shared" si="180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78"/>
        <v>-3366244417571.0684</v>
      </c>
      <c r="J3923" s="444">
        <f t="array" ref="J3923">IFERROR(INDEX('Retirement Calculator'!J:J,MATCH('Isaac 401k'!N3923,'Retirement Calculator'!A:A,0),0),0)</f>
        <v>0</v>
      </c>
      <c r="K3923" s="444">
        <f t="shared" ca="1" si="176"/>
        <v>-14026018406.546118</v>
      </c>
      <c r="L3923" s="444">
        <f t="shared" ca="1" si="177"/>
        <v>-3380270435977.6143</v>
      </c>
      <c r="M3923" s="460">
        <f t="shared" si="179"/>
        <v>0.05</v>
      </c>
      <c r="N3923" s="464">
        <f t="shared" si="180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78"/>
        <v>-3380270435977.6143</v>
      </c>
      <c r="J3924" s="444">
        <f t="array" ref="J3924">IFERROR(INDEX('Retirement Calculator'!J:J,MATCH('Isaac 401k'!N3924,'Retirement Calculator'!A:A,0),0),0)</f>
        <v>0</v>
      </c>
      <c r="K3924" s="444">
        <f t="shared" ca="1" si="176"/>
        <v>-14084460149.906725</v>
      </c>
      <c r="L3924" s="444">
        <f t="shared" ca="1" si="177"/>
        <v>-3394354896127.521</v>
      </c>
      <c r="M3924" s="460">
        <f t="shared" si="179"/>
        <v>0.05</v>
      </c>
      <c r="N3924" s="464">
        <f t="shared" si="180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78"/>
        <v>-3394354896127.521</v>
      </c>
      <c r="J3925" s="444">
        <f t="array" ref="J3925">IFERROR(INDEX('Retirement Calculator'!J:J,MATCH('Isaac 401k'!N3925,'Retirement Calculator'!A:A,0),0),0)</f>
        <v>0</v>
      </c>
      <c r="K3925" s="444">
        <f t="shared" ca="1" si="176"/>
        <v>-14143145400.531338</v>
      </c>
      <c r="L3925" s="444">
        <f t="shared" ca="1" si="177"/>
        <v>-3408498041528.0522</v>
      </c>
      <c r="M3925" s="460">
        <f t="shared" si="179"/>
        <v>0.05</v>
      </c>
      <c r="N3925" s="464">
        <f t="shared" si="180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78"/>
        <v>-3408498041528.0522</v>
      </c>
      <c r="J3926" s="444">
        <f t="array" ref="J3926">IFERROR(INDEX('Retirement Calculator'!J:J,MATCH('Isaac 401k'!N3926,'Retirement Calculator'!A:A,0),0),0)</f>
        <v>0</v>
      </c>
      <c r="K3926" s="444">
        <f t="shared" ca="1" si="176"/>
        <v>-14202075173.03355</v>
      </c>
      <c r="L3926" s="444">
        <f t="shared" ca="1" si="177"/>
        <v>-3422700116701.0859</v>
      </c>
      <c r="M3926" s="460">
        <f t="shared" si="179"/>
        <v>0.05</v>
      </c>
      <c r="N3926" s="464">
        <f t="shared" si="180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78"/>
        <v>-3422700116701.0859</v>
      </c>
      <c r="J3927" s="444">
        <f t="array" ref="J3927">IFERROR(INDEX('Retirement Calculator'!J:J,MATCH('Isaac 401k'!N3927,'Retirement Calculator'!A:A,0),0),0)</f>
        <v>0</v>
      </c>
      <c r="K3927" s="444">
        <f t="shared" ca="1" si="176"/>
        <v>-14261250486.254524</v>
      </c>
      <c r="L3927" s="444">
        <f t="shared" ca="1" si="177"/>
        <v>-3436961367187.3403</v>
      </c>
      <c r="M3927" s="460">
        <f t="shared" si="179"/>
        <v>0.05</v>
      </c>
      <c r="N3927" s="464">
        <f t="shared" si="180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78"/>
        <v>-3436961367187.3403</v>
      </c>
      <c r="J3928" s="444">
        <f t="array" ref="J3928">IFERROR(INDEX('Retirement Calculator'!J:J,MATCH('Isaac 401k'!N3928,'Retirement Calculator'!A:A,0),0),0)</f>
        <v>0</v>
      </c>
      <c r="K3928" s="444">
        <f t="shared" ca="1" si="176"/>
        <v>-14320672363.280584</v>
      </c>
      <c r="L3928" s="444">
        <f t="shared" ca="1" si="177"/>
        <v>-3451282039550.6211</v>
      </c>
      <c r="M3928" s="460">
        <f t="shared" si="179"/>
        <v>0.05</v>
      </c>
      <c r="N3928" s="464">
        <f t="shared" si="180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78"/>
        <v>-3451282039550.6211</v>
      </c>
      <c r="J3929" s="444">
        <f t="array" ref="J3929">IFERROR(INDEX('Retirement Calculator'!J:J,MATCH('Isaac 401k'!N3929,'Retirement Calculator'!A:A,0),0),0)</f>
        <v>0</v>
      </c>
      <c r="K3929" s="444">
        <f t="shared" ca="1" si="176"/>
        <v>-14380341831.46092</v>
      </c>
      <c r="L3929" s="444">
        <f t="shared" ca="1" si="177"/>
        <v>-3465662381382.082</v>
      </c>
      <c r="M3929" s="460">
        <f t="shared" si="179"/>
        <v>0.05</v>
      </c>
      <c r="N3929" s="464">
        <f t="shared" si="180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78"/>
        <v>-3465662381382.082</v>
      </c>
      <c r="J3930" s="444">
        <f t="array" ref="J3930">IFERROR(INDEX('Retirement Calculator'!J:J,MATCH('Isaac 401k'!N3930,'Retirement Calculator'!A:A,0),0),0)</f>
        <v>0</v>
      </c>
      <c r="K3930" s="444">
        <f t="shared" ca="1" si="176"/>
        <v>-14440259922.425339</v>
      </c>
      <c r="L3930" s="444">
        <f t="shared" ca="1" si="177"/>
        <v>-3480102641304.5073</v>
      </c>
      <c r="M3930" s="460">
        <f t="shared" si="179"/>
        <v>0.05</v>
      </c>
      <c r="N3930" s="464">
        <f t="shared" si="180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78"/>
        <v>-3480102641304.5073</v>
      </c>
      <c r="J3931" s="444">
        <f t="array" ref="J3931">IFERROR(INDEX('Retirement Calculator'!J:J,MATCH('Isaac 401k'!N3931,'Retirement Calculator'!A:A,0),0),0)</f>
        <v>0</v>
      </c>
      <c r="K3931" s="444">
        <f t="shared" ca="1" si="176"/>
        <v>-14500427672.102112</v>
      </c>
      <c r="L3931" s="444">
        <f t="shared" ca="1" si="177"/>
        <v>-3494603068976.6094</v>
      </c>
      <c r="M3931" s="460">
        <f t="shared" si="179"/>
        <v>0.05</v>
      </c>
      <c r="N3931" s="464">
        <f t="shared" si="180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78"/>
        <v>-3494603068976.6094</v>
      </c>
      <c r="J3932" s="444">
        <f t="array" ref="J3932">IFERROR(INDEX('Retirement Calculator'!J:J,MATCH('Isaac 401k'!N3932,'Retirement Calculator'!A:A,0),0),0)</f>
        <v>0</v>
      </c>
      <c r="K3932" s="444">
        <f t="shared" ca="1" si="176"/>
        <v>-14560846120.735874</v>
      </c>
      <c r="L3932" s="444">
        <f t="shared" ca="1" si="177"/>
        <v>-3509163915097.3452</v>
      </c>
      <c r="M3932" s="460">
        <f t="shared" si="179"/>
        <v>0.05</v>
      </c>
      <c r="N3932" s="464">
        <f t="shared" si="180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78"/>
        <v>-3509163915097.3452</v>
      </c>
      <c r="J3933" s="444">
        <f t="array" ref="J3933">IFERROR(INDEX('Retirement Calculator'!J:J,MATCH('Isaac 401k'!N3933,'Retirement Calculator'!A:A,0),0),0)</f>
        <v>0</v>
      </c>
      <c r="K3933" s="444">
        <f t="shared" ca="1" si="176"/>
        <v>-14621516312.905605</v>
      </c>
      <c r="L3933" s="444">
        <f t="shared" ca="1" si="177"/>
        <v>-3523785431410.251</v>
      </c>
      <c r="M3933" s="460">
        <f t="shared" si="179"/>
        <v>0.05</v>
      </c>
      <c r="N3933" s="464">
        <f t="shared" si="180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78"/>
        <v>-3523785431410.251</v>
      </c>
      <c r="J3934" s="444">
        <f t="array" ref="J3934">IFERROR(INDEX('Retirement Calculator'!J:J,MATCH('Isaac 401k'!N3934,'Retirement Calculator'!A:A,0),0),0)</f>
        <v>0</v>
      </c>
      <c r="K3934" s="444">
        <f t="shared" ca="1" si="176"/>
        <v>-14682439297.542709</v>
      </c>
      <c r="L3934" s="444">
        <f t="shared" ca="1" si="177"/>
        <v>-3538467870707.7935</v>
      </c>
      <c r="M3934" s="460">
        <f t="shared" si="179"/>
        <v>0.05</v>
      </c>
      <c r="N3934" s="464">
        <f t="shared" si="180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78"/>
        <v>-3538467870707.7935</v>
      </c>
      <c r="J3935" s="444">
        <f t="array" ref="J3935">IFERROR(INDEX('Retirement Calculator'!J:J,MATCH('Isaac 401k'!N3935,'Retirement Calculator'!A:A,0),0),0)</f>
        <v>0</v>
      </c>
      <c r="K3935" s="444">
        <f t="shared" ca="1" si="176"/>
        <v>-14743616127.949139</v>
      </c>
      <c r="L3935" s="444">
        <f t="shared" ca="1" si="177"/>
        <v>-3553211486835.7427</v>
      </c>
      <c r="M3935" s="460">
        <f t="shared" si="179"/>
        <v>0.05</v>
      </c>
      <c r="N3935" s="464">
        <f t="shared" si="180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78"/>
        <v>-3553211486835.7427</v>
      </c>
      <c r="J3936" s="444">
        <f t="array" ref="J3936">IFERROR(INDEX('Retirement Calculator'!J:J,MATCH('Isaac 401k'!N3936,'Retirement Calculator'!A:A,0),0),0)</f>
        <v>0</v>
      </c>
      <c r="K3936" s="444">
        <f t="shared" ca="1" si="176"/>
        <v>-14805047861.815592</v>
      </c>
      <c r="L3936" s="444">
        <f t="shared" ca="1" si="177"/>
        <v>-3568016534697.5581</v>
      </c>
      <c r="M3936" s="460">
        <f t="shared" si="179"/>
        <v>0.05</v>
      </c>
      <c r="N3936" s="464">
        <f t="shared" si="180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78"/>
        <v>-3568016534697.5581</v>
      </c>
      <c r="J3937" s="444">
        <f t="array" ref="J3937">IFERROR(INDEX('Retirement Calculator'!J:J,MATCH('Isaac 401k'!N3937,'Retirement Calculator'!A:A,0),0),0)</f>
        <v>0</v>
      </c>
      <c r="K3937" s="444">
        <f t="shared" ca="1" si="176"/>
        <v>-14866735561.239828</v>
      </c>
      <c r="L3937" s="444">
        <f t="shared" ca="1" si="177"/>
        <v>-3582883270258.7979</v>
      </c>
      <c r="M3937" s="460">
        <f t="shared" si="179"/>
        <v>0.05</v>
      </c>
      <c r="N3937" s="464">
        <f t="shared" si="180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78"/>
        <v>-3582883270258.7979</v>
      </c>
      <c r="J3938" s="444">
        <f t="array" ref="J3938">IFERROR(INDEX('Retirement Calculator'!J:J,MATCH('Isaac 401k'!N3938,'Retirement Calculator'!A:A,0),0),0)</f>
        <v>0</v>
      </c>
      <c r="K3938" s="444">
        <f t="shared" ca="1" si="176"/>
        <v>-14928680292.744991</v>
      </c>
      <c r="L3938" s="444">
        <f t="shared" ca="1" si="177"/>
        <v>-3597811950551.543</v>
      </c>
      <c r="M3938" s="460">
        <f t="shared" si="179"/>
        <v>0.05</v>
      </c>
      <c r="N3938" s="464">
        <f t="shared" si="180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78"/>
        <v>-3597811950551.543</v>
      </c>
      <c r="J3939" s="444">
        <f t="array" ref="J3939">IFERROR(INDEX('Retirement Calculator'!J:J,MATCH('Isaac 401k'!N3939,'Retirement Calculator'!A:A,0),0),0)</f>
        <v>0</v>
      </c>
      <c r="K3939" s="444">
        <f t="shared" ca="1" si="176"/>
        <v>-14990883127.298098</v>
      </c>
      <c r="L3939" s="444">
        <f t="shared" ca="1" si="177"/>
        <v>-3612802833678.8413</v>
      </c>
      <c r="M3939" s="460">
        <f t="shared" si="179"/>
        <v>0.05</v>
      </c>
      <c r="N3939" s="464">
        <f t="shared" si="180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78"/>
        <v>-3612802833678.8413</v>
      </c>
      <c r="J3940" s="444">
        <f t="array" ref="J3940">IFERROR(INDEX('Retirement Calculator'!J:J,MATCH('Isaac 401k'!N3940,'Retirement Calculator'!A:A,0),0),0)</f>
        <v>0</v>
      </c>
      <c r="K3940" s="444">
        <f t="shared" ca="1" si="176"/>
        <v>-15053345140.328505</v>
      </c>
      <c r="L3940" s="444">
        <f t="shared" ca="1" si="177"/>
        <v>-3627856178819.1699</v>
      </c>
      <c r="M3940" s="460">
        <f t="shared" si="179"/>
        <v>0.05</v>
      </c>
      <c r="N3940" s="464">
        <f t="shared" si="180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78"/>
        <v>-3627856178819.1699</v>
      </c>
      <c r="J3941" s="444">
        <f t="array" ref="J3941">IFERROR(INDEX('Retirement Calculator'!J:J,MATCH('Isaac 401k'!N3941,'Retirement Calculator'!A:A,0),0),0)</f>
        <v>0</v>
      </c>
      <c r="K3941" s="444">
        <f t="shared" ca="1" si="176"/>
        <v>-15116067411.746542</v>
      </c>
      <c r="L3941" s="444">
        <f t="shared" ca="1" si="177"/>
        <v>-3642972246230.9165</v>
      </c>
      <c r="M3941" s="460">
        <f t="shared" si="179"/>
        <v>0.05</v>
      </c>
      <c r="N3941" s="464">
        <f t="shared" si="180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78"/>
        <v>-3642972246230.9165</v>
      </c>
      <c r="J3942" s="444">
        <f t="array" ref="J3942">IFERROR(INDEX('Retirement Calculator'!J:J,MATCH('Isaac 401k'!N3942,'Retirement Calculator'!A:A,0),0),0)</f>
        <v>0</v>
      </c>
      <c r="K3942" s="444">
        <f t="shared" ca="1" si="176"/>
        <v>-15179051025.962152</v>
      </c>
      <c r="L3942" s="444">
        <f t="shared" ca="1" si="177"/>
        <v>-3658151297256.8784</v>
      </c>
      <c r="M3942" s="460">
        <f t="shared" si="179"/>
        <v>0.05</v>
      </c>
      <c r="N3942" s="464">
        <f t="shared" si="180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78"/>
        <v>-3658151297256.8784</v>
      </c>
      <c r="J3943" s="444">
        <f t="array" ref="J3943">IFERROR(INDEX('Retirement Calculator'!J:J,MATCH('Isaac 401k'!N3943,'Retirement Calculator'!A:A,0),0),0)</f>
        <v>0</v>
      </c>
      <c r="K3943" s="444">
        <f t="shared" ca="1" si="176"/>
        <v>-15242297071.903662</v>
      </c>
      <c r="L3943" s="444">
        <f t="shared" ca="1" si="177"/>
        <v>-3673393594328.7822</v>
      </c>
      <c r="M3943" s="460">
        <f t="shared" si="179"/>
        <v>0.05</v>
      </c>
      <c r="N3943" s="464">
        <f t="shared" si="180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78"/>
        <v>-3673393594328.7822</v>
      </c>
      <c r="J3944" s="444">
        <f t="array" ref="J3944">IFERROR(INDEX('Retirement Calculator'!J:J,MATCH('Isaac 401k'!N3944,'Retirement Calculator'!A:A,0),0),0)</f>
        <v>0</v>
      </c>
      <c r="K3944" s="444">
        <f t="shared" ca="1" si="176"/>
        <v>-15305806643.036592</v>
      </c>
      <c r="L3944" s="444">
        <f t="shared" ca="1" si="177"/>
        <v>-3688699400971.8188</v>
      </c>
      <c r="M3944" s="460">
        <f t="shared" si="179"/>
        <v>0.05</v>
      </c>
      <c r="N3944" s="464">
        <f t="shared" si="180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78"/>
        <v>-3688699400971.8188</v>
      </c>
      <c r="J3945" s="444">
        <f t="array" ref="J3945">IFERROR(INDEX('Retirement Calculator'!J:J,MATCH('Isaac 401k'!N3945,'Retirement Calculator'!A:A,0),0),0)</f>
        <v>0</v>
      </c>
      <c r="K3945" s="444">
        <f t="shared" ca="1" si="176"/>
        <v>-15369580837.382578</v>
      </c>
      <c r="L3945" s="444">
        <f t="shared" ca="1" si="177"/>
        <v>-3704068981809.2017</v>
      </c>
      <c r="M3945" s="460">
        <f t="shared" si="179"/>
        <v>0.05</v>
      </c>
      <c r="N3945" s="464">
        <f t="shared" si="180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78"/>
        <v>-3704068981809.2017</v>
      </c>
      <c r="J3946" s="444">
        <f t="array" ref="J3946">IFERROR(INDEX('Retirement Calculator'!J:J,MATCH('Isaac 401k'!N3946,'Retirement Calculator'!A:A,0),0),0)</f>
        <v>0</v>
      </c>
      <c r="K3946" s="444">
        <f t="shared" ca="1" si="176"/>
        <v>-15433620757.53834</v>
      </c>
      <c r="L3946" s="444">
        <f t="shared" ca="1" si="177"/>
        <v>-3719502602566.7402</v>
      </c>
      <c r="M3946" s="460">
        <f t="shared" si="179"/>
        <v>0.05</v>
      </c>
      <c r="N3946" s="464">
        <f t="shared" si="180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78"/>
        <v>-3719502602566.7402</v>
      </c>
      <c r="J3947" s="444">
        <f t="array" ref="J3947">IFERROR(INDEX('Retirement Calculator'!J:J,MATCH('Isaac 401k'!N3947,'Retirement Calculator'!A:A,0),0),0)</f>
        <v>0</v>
      </c>
      <c r="K3947" s="444">
        <f t="shared" ca="1" si="176"/>
        <v>-15497927510.694748</v>
      </c>
      <c r="L3947" s="444">
        <f t="shared" ca="1" si="177"/>
        <v>-3735000530077.4351</v>
      </c>
      <c r="M3947" s="460">
        <f t="shared" si="179"/>
        <v>0.05</v>
      </c>
      <c r="N3947" s="464">
        <f t="shared" si="180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78"/>
        <v>-3735000530077.4351</v>
      </c>
      <c r="J3948" s="444">
        <f t="array" ref="J3948">IFERROR(INDEX('Retirement Calculator'!J:J,MATCH('Isaac 401k'!N3948,'Retirement Calculator'!A:A,0),0),0)</f>
        <v>0</v>
      </c>
      <c r="K3948" s="444">
        <f t="shared" ca="1" si="176"/>
        <v>-15562502208.655977</v>
      </c>
      <c r="L3948" s="444">
        <f t="shared" ca="1" si="177"/>
        <v>-3750563032286.0908</v>
      </c>
      <c r="M3948" s="460">
        <f t="shared" si="179"/>
        <v>0.05</v>
      </c>
      <c r="N3948" s="464">
        <f t="shared" si="180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78"/>
        <v>-3750563032286.0908</v>
      </c>
      <c r="J3949" s="444">
        <f t="array" ref="J3949">IFERROR(INDEX('Retirement Calculator'!J:J,MATCH('Isaac 401k'!N3949,'Retirement Calculator'!A:A,0),0),0)</f>
        <v>0</v>
      </c>
      <c r="K3949" s="444">
        <f t="shared" ca="1" si="176"/>
        <v>-15627345967.858711</v>
      </c>
      <c r="L3949" s="444">
        <f t="shared" ca="1" si="177"/>
        <v>-3766190378253.9497</v>
      </c>
      <c r="M3949" s="460">
        <f t="shared" si="179"/>
        <v>0.05</v>
      </c>
      <c r="N3949" s="464">
        <f t="shared" si="180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78"/>
        <v>-3766190378253.9497</v>
      </c>
      <c r="J3950" s="444">
        <f t="array" ref="J3950">IFERROR(INDEX('Retirement Calculator'!J:J,MATCH('Isaac 401k'!N3950,'Retirement Calculator'!A:A,0),0),0)</f>
        <v>0</v>
      </c>
      <c r="K3950" s="444">
        <f t="shared" ca="1" si="176"/>
        <v>-15692459909.391457</v>
      </c>
      <c r="L3950" s="444">
        <f t="shared" ca="1" si="177"/>
        <v>-3781882838163.3413</v>
      </c>
      <c r="M3950" s="460">
        <f t="shared" si="179"/>
        <v>0.05</v>
      </c>
      <c r="N3950" s="464">
        <f t="shared" si="180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78"/>
        <v>-3781882838163.3413</v>
      </c>
      <c r="J3951" s="444">
        <f t="array" ref="J3951">IFERROR(INDEX('Retirement Calculator'!J:J,MATCH('Isaac 401k'!N3951,'Retirement Calculator'!A:A,0),0),0)</f>
        <v>0</v>
      </c>
      <c r="K3951" s="444">
        <f t="shared" ca="1" si="176"/>
        <v>-15757845159.013922</v>
      </c>
      <c r="L3951" s="444">
        <f t="shared" ca="1" si="177"/>
        <v>-3797640683322.3555</v>
      </c>
      <c r="M3951" s="460">
        <f t="shared" si="179"/>
        <v>0.05</v>
      </c>
      <c r="N3951" s="464">
        <f t="shared" si="180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78"/>
        <v>-3797640683322.3555</v>
      </c>
      <c r="J3952" s="444">
        <f t="array" ref="J3952">IFERROR(INDEX('Retirement Calculator'!J:J,MATCH('Isaac 401k'!N3952,'Retirement Calculator'!A:A,0),0),0)</f>
        <v>0</v>
      </c>
      <c r="K3952" s="444">
        <f t="shared" ca="1" si="176"/>
        <v>-15823502847.176481</v>
      </c>
      <c r="L3952" s="444">
        <f t="shared" ca="1" si="177"/>
        <v>-3813464186169.5317</v>
      </c>
      <c r="M3952" s="460">
        <f t="shared" si="179"/>
        <v>0.05</v>
      </c>
      <c r="N3952" s="464">
        <f t="shared" si="180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78"/>
        <v>-3813464186169.5317</v>
      </c>
      <c r="J3953" s="444">
        <f t="array" ref="J3953">IFERROR(INDEX('Retirement Calculator'!J:J,MATCH('Isaac 401k'!N3953,'Retirement Calculator'!A:A,0),0),0)</f>
        <v>0</v>
      </c>
      <c r="K3953" s="444">
        <f t="shared" ca="1" si="176"/>
        <v>-15889434109.039715</v>
      </c>
      <c r="L3953" s="444">
        <f t="shared" ca="1" si="177"/>
        <v>-3829353620278.5713</v>
      </c>
      <c r="M3953" s="460">
        <f t="shared" si="179"/>
        <v>0.05</v>
      </c>
      <c r="N3953" s="464">
        <f t="shared" si="180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78"/>
        <v>-3829353620278.5713</v>
      </c>
      <c r="J3954" s="444">
        <f t="array" ref="J3954">IFERROR(INDEX('Retirement Calculator'!J:J,MATCH('Isaac 401k'!N3954,'Retirement Calculator'!A:A,0),0),0)</f>
        <v>0</v>
      </c>
      <c r="K3954" s="444">
        <f t="shared" ca="1" si="176"/>
        <v>-15955640084.494045</v>
      </c>
      <c r="L3954" s="444">
        <f t="shared" ca="1" si="177"/>
        <v>-3845309260363.0654</v>
      </c>
      <c r="M3954" s="460">
        <f t="shared" si="179"/>
        <v>0.05</v>
      </c>
      <c r="N3954" s="464">
        <f t="shared" si="180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78"/>
        <v>-3845309260363.0654</v>
      </c>
      <c r="J3955" s="444">
        <f t="array" ref="J3955">IFERROR(INDEX('Retirement Calculator'!J:J,MATCH('Isaac 401k'!N3955,'Retirement Calculator'!A:A,0),0),0)</f>
        <v>0</v>
      </c>
      <c r="K3955" s="444">
        <f t="shared" ca="1" si="176"/>
        <v>-16022121918.17944</v>
      </c>
      <c r="L3955" s="444">
        <f t="shared" ca="1" si="177"/>
        <v>-3861331382281.2446</v>
      </c>
      <c r="M3955" s="460">
        <f t="shared" si="179"/>
        <v>0.05</v>
      </c>
      <c r="N3955" s="464">
        <f t="shared" si="180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78"/>
        <v>-3861331382281.2446</v>
      </c>
      <c r="J3956" s="444">
        <f t="array" ref="J3956">IFERROR(INDEX('Retirement Calculator'!J:J,MATCH('Isaac 401k'!N3956,'Retirement Calculator'!A:A,0),0),0)</f>
        <v>0</v>
      </c>
      <c r="K3956" s="444">
        <f t="shared" ca="1" si="176"/>
        <v>-16088880759.505186</v>
      </c>
      <c r="L3956" s="444">
        <f t="shared" ca="1" si="177"/>
        <v>-3877420263040.75</v>
      </c>
      <c r="M3956" s="460">
        <f t="shared" si="179"/>
        <v>0.05</v>
      </c>
      <c r="N3956" s="464">
        <f t="shared" si="180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78"/>
        <v>-3877420263040.75</v>
      </c>
      <c r="J3957" s="444">
        <f t="array" ref="J3957">IFERROR(INDEX('Retirement Calculator'!J:J,MATCH('Isaac 401k'!N3957,'Retirement Calculator'!A:A,0),0),0)</f>
        <v>0</v>
      </c>
      <c r="K3957" s="444">
        <f t="shared" ca="1" si="176"/>
        <v>-16155917762.66979</v>
      </c>
      <c r="L3957" s="444">
        <f t="shared" ca="1" si="177"/>
        <v>-3893576180803.4199</v>
      </c>
      <c r="M3957" s="460">
        <f t="shared" si="179"/>
        <v>0.05</v>
      </c>
      <c r="N3957" s="464">
        <f t="shared" si="180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78"/>
        <v>-3893576180803.4199</v>
      </c>
      <c r="J3958" s="444">
        <f t="array" ref="J3958">IFERROR(INDEX('Retirement Calculator'!J:J,MATCH('Isaac 401k'!N3958,'Retirement Calculator'!A:A,0),0),0)</f>
        <v>0</v>
      </c>
      <c r="K3958" s="444">
        <f t="shared" ca="1" si="176"/>
        <v>-16223234086.680916</v>
      </c>
      <c r="L3958" s="444">
        <f t="shared" ca="1" si="177"/>
        <v>-3909799414890.1011</v>
      </c>
      <c r="M3958" s="460">
        <f t="shared" si="179"/>
        <v>0.05</v>
      </c>
      <c r="N3958" s="464">
        <f t="shared" si="180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78"/>
        <v>-3909799414890.1011</v>
      </c>
      <c r="J3959" s="444">
        <f t="array" ref="J3959">IFERROR(INDEX('Retirement Calculator'!J:J,MATCH('Isaac 401k'!N3959,'Retirement Calculator'!A:A,0),0),0)</f>
        <v>0</v>
      </c>
      <c r="K3959" s="444">
        <f t="shared" ca="1" si="176"/>
        <v>-16290830895.37542</v>
      </c>
      <c r="L3959" s="444">
        <f t="shared" ca="1" si="177"/>
        <v>-3926090245785.4766</v>
      </c>
      <c r="M3959" s="460">
        <f t="shared" si="179"/>
        <v>0.05</v>
      </c>
      <c r="N3959" s="464">
        <f t="shared" si="180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78"/>
        <v>-3926090245785.4766</v>
      </c>
      <c r="J3960" s="444">
        <f t="array" ref="J3960">IFERROR(INDEX('Retirement Calculator'!J:J,MATCH('Isaac 401k'!N3960,'Retirement Calculator'!A:A,0),0),0)</f>
        <v>0</v>
      </c>
      <c r="K3960" s="444">
        <f t="shared" ca="1" si="176"/>
        <v>-16358709357.439484</v>
      </c>
      <c r="L3960" s="444">
        <f t="shared" ca="1" si="177"/>
        <v>-3942448955142.916</v>
      </c>
      <c r="M3960" s="460">
        <f t="shared" si="179"/>
        <v>0.05</v>
      </c>
      <c r="N3960" s="464">
        <f t="shared" si="180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78"/>
        <v>-3942448955142.916</v>
      </c>
      <c r="J3961" s="444">
        <f t="array" ref="J3961">IFERROR(INDEX('Retirement Calculator'!J:J,MATCH('Isaac 401k'!N3961,'Retirement Calculator'!A:A,0),0),0)</f>
        <v>0</v>
      </c>
      <c r="K3961" s="444">
        <f t="shared" ca="1" si="176"/>
        <v>-16426870646.428816</v>
      </c>
      <c r="L3961" s="444">
        <f t="shared" ca="1" si="177"/>
        <v>-3958875825789.3447</v>
      </c>
      <c r="M3961" s="460">
        <f t="shared" si="179"/>
        <v>0.05</v>
      </c>
      <c r="N3961" s="464">
        <f t="shared" si="180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78"/>
        <v>-3958875825789.3447</v>
      </c>
      <c r="J3962" s="444">
        <f t="array" ref="J3962">IFERROR(INDEX('Retirement Calculator'!J:J,MATCH('Isaac 401k'!N3962,'Retirement Calculator'!A:A,0),0),0)</f>
        <v>0</v>
      </c>
      <c r="K3962" s="444">
        <f t="shared" ca="1" si="176"/>
        <v>-16495315940.788939</v>
      </c>
      <c r="L3962" s="444">
        <f t="shared" ca="1" si="177"/>
        <v>-3975371141730.1338</v>
      </c>
      <c r="M3962" s="460">
        <f t="shared" si="179"/>
        <v>0.05</v>
      </c>
      <c r="N3962" s="464">
        <f t="shared" si="180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78"/>
        <v>-3975371141730.1338</v>
      </c>
      <c r="J3963" s="444">
        <f t="array" ref="J3963">IFERROR(INDEX('Retirement Calculator'!J:J,MATCH('Isaac 401k'!N3963,'Retirement Calculator'!A:A,0),0),0)</f>
        <v>0</v>
      </c>
      <c r="K3963" s="444">
        <f t="shared" ca="1" si="176"/>
        <v>-16564046423.875557</v>
      </c>
      <c r="L3963" s="444">
        <f t="shared" ca="1" si="177"/>
        <v>-3991935188154.0093</v>
      </c>
      <c r="M3963" s="460">
        <f t="shared" si="179"/>
        <v>0.05</v>
      </c>
      <c r="N3963" s="464">
        <f t="shared" si="180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78"/>
        <v>-3991935188154.0093</v>
      </c>
      <c r="J3964" s="444">
        <f t="array" ref="J3964">IFERROR(INDEX('Retirement Calculator'!J:J,MATCH('Isaac 401k'!N3964,'Retirement Calculator'!A:A,0),0),0)</f>
        <v>0</v>
      </c>
      <c r="K3964" s="444">
        <f t="shared" ca="1" si="176"/>
        <v>-16633063283.97504</v>
      </c>
      <c r="L3964" s="444">
        <f t="shared" ca="1" si="177"/>
        <v>-4008568251437.9844</v>
      </c>
      <c r="M3964" s="460">
        <f t="shared" si="179"/>
        <v>0.05</v>
      </c>
      <c r="N3964" s="464">
        <f t="shared" si="180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78"/>
        <v>-4008568251437.9844</v>
      </c>
      <c r="J3965" s="444">
        <f t="array" ref="J3965">IFERROR(INDEX('Retirement Calculator'!J:J,MATCH('Isaac 401k'!N3965,'Retirement Calculator'!A:A,0),0),0)</f>
        <v>0</v>
      </c>
      <c r="K3965" s="444">
        <f t="shared" ca="1" si="176"/>
        <v>-16702367714.324934</v>
      </c>
      <c r="L3965" s="444">
        <f t="shared" ca="1" si="177"/>
        <v>-4025270619152.3091</v>
      </c>
      <c r="M3965" s="460">
        <f t="shared" si="179"/>
        <v>0.05</v>
      </c>
      <c r="N3965" s="464">
        <f t="shared" si="180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78"/>
        <v>-4025270619152.3091</v>
      </c>
      <c r="J3966" s="444">
        <f t="array" ref="J3966">IFERROR(INDEX('Retirement Calculator'!J:J,MATCH('Isaac 401k'!N3966,'Retirement Calculator'!A:A,0),0),0)</f>
        <v>0</v>
      </c>
      <c r="K3966" s="444">
        <f t="shared" ca="1" si="176"/>
        <v>-16771960913.134623</v>
      </c>
      <c r="L3966" s="444">
        <f t="shared" ca="1" si="177"/>
        <v>-4042042580065.4438</v>
      </c>
      <c r="M3966" s="460">
        <f t="shared" si="179"/>
        <v>0.05</v>
      </c>
      <c r="N3966" s="464">
        <f t="shared" si="180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78"/>
        <v>-4042042580065.4438</v>
      </c>
      <c r="J3967" s="444">
        <f t="array" ref="J3967">IFERROR(INDEX('Retirement Calculator'!J:J,MATCH('Isaac 401k'!N3967,'Retirement Calculator'!A:A,0),0),0)</f>
        <v>0</v>
      </c>
      <c r="K3967" s="444">
        <f t="shared" ca="1" si="176"/>
        <v>-16841844083.606018</v>
      </c>
      <c r="L3967" s="444">
        <f t="shared" ca="1" si="177"/>
        <v>-4058884424149.0498</v>
      </c>
      <c r="M3967" s="460">
        <f t="shared" si="179"/>
        <v>0.05</v>
      </c>
      <c r="N3967" s="464">
        <f t="shared" si="180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78"/>
        <v>-4058884424149.0498</v>
      </c>
      <c r="J3968" s="444">
        <f t="array" ref="J3968">IFERROR(INDEX('Retirement Calculator'!J:J,MATCH('Isaac 401k'!N3968,'Retirement Calculator'!A:A,0),0),0)</f>
        <v>0</v>
      </c>
      <c r="K3968" s="444">
        <f t="shared" ca="1" si="176"/>
        <v>-16912018433.954374</v>
      </c>
      <c r="L3968" s="444">
        <f t="shared" ca="1" si="177"/>
        <v>-4075796442583.0044</v>
      </c>
      <c r="M3968" s="460">
        <f t="shared" si="179"/>
        <v>0.05</v>
      </c>
      <c r="N3968" s="464">
        <f t="shared" si="180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78"/>
        <v>-4075796442583.0044</v>
      </c>
      <c r="J3969" s="444">
        <f t="array" ref="J3969">IFERROR(INDEX('Retirement Calculator'!J:J,MATCH('Isaac 401k'!N3969,'Retirement Calculator'!A:A,0),0),0)</f>
        <v>0</v>
      </c>
      <c r="K3969" s="444">
        <f t="shared" ca="1" si="176"/>
        <v>-16982485177.429182</v>
      </c>
      <c r="L3969" s="444">
        <f t="shared" ca="1" si="177"/>
        <v>-4092778927760.4336</v>
      </c>
      <c r="M3969" s="460">
        <f t="shared" si="179"/>
        <v>0.05</v>
      </c>
      <c r="N3969" s="464">
        <f t="shared" si="180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78"/>
        <v>-4092778927760.4336</v>
      </c>
      <c r="J3970" s="444">
        <f t="array" ref="J3970">IFERROR(INDEX('Retirement Calculator'!J:J,MATCH('Isaac 401k'!N3970,'Retirement Calculator'!A:A,0),0),0)</f>
        <v>0</v>
      </c>
      <c r="K3970" s="444">
        <f t="shared" ca="1" si="176"/>
        <v>-17053245532.335142</v>
      </c>
      <c r="L3970" s="444">
        <f t="shared" ca="1" si="177"/>
        <v>-4109832173292.7686</v>
      </c>
      <c r="M3970" s="460">
        <f t="shared" si="179"/>
        <v>0.05</v>
      </c>
      <c r="N3970" s="464">
        <f t="shared" si="180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78"/>
        <v>-4109832173292.7686</v>
      </c>
      <c r="J3971" s="444">
        <f t="array" ref="J3971">IFERROR(INDEX('Retirement Calculator'!J:J,MATCH('Isaac 401k'!N3971,'Retirement Calculator'!A:A,0),0),0)</f>
        <v>0</v>
      </c>
      <c r="K3971" s="444">
        <f t="shared" ca="1" si="176"/>
        <v>-17124300722.053204</v>
      </c>
      <c r="L3971" s="444">
        <f t="shared" ca="1" si="177"/>
        <v>-4126956474014.8218</v>
      </c>
      <c r="M3971" s="460">
        <f t="shared" si="179"/>
        <v>0.05</v>
      </c>
      <c r="N3971" s="464">
        <f t="shared" si="180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78"/>
        <v>-4126956474014.8218</v>
      </c>
      <c r="J3972" s="444">
        <f t="array" ref="J3972">IFERROR(INDEX('Retirement Calculator'!J:J,MATCH('Isaac 401k'!N3972,'Retirement Calculator'!A:A,0),0),0)</f>
        <v>0</v>
      </c>
      <c r="K3972" s="444">
        <f t="shared" ca="1" si="176"/>
        <v>-17195651975.061756</v>
      </c>
      <c r="L3972" s="444">
        <f t="shared" ca="1" si="177"/>
        <v>-4144152125989.8833</v>
      </c>
      <c r="M3972" s="460">
        <f t="shared" si="179"/>
        <v>0.05</v>
      </c>
      <c r="N3972" s="464">
        <f t="shared" si="180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78"/>
        <v>-4144152125989.8833</v>
      </c>
      <c r="J3973" s="444">
        <f t="array" ref="J3973">IFERROR(INDEX('Retirement Calculator'!J:J,MATCH('Isaac 401k'!N3973,'Retirement Calculator'!A:A,0),0),0)</f>
        <v>0</v>
      </c>
      <c r="K3973" s="444">
        <f t="shared" ca="1" si="176"/>
        <v>-17267300524.957848</v>
      </c>
      <c r="L3973" s="444">
        <f t="shared" ca="1" si="177"/>
        <v>-4161419426514.8413</v>
      </c>
      <c r="M3973" s="460">
        <f t="shared" si="179"/>
        <v>0.05</v>
      </c>
      <c r="N3973" s="464">
        <f t="shared" si="180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78"/>
        <v>-4161419426514.8413</v>
      </c>
      <c r="J3974" s="444">
        <f t="array" ref="J3974">IFERROR(INDEX('Retirement Calculator'!J:J,MATCH('Isaac 401k'!N3974,'Retirement Calculator'!A:A,0),0),0)</f>
        <v>0</v>
      </c>
      <c r="K3974" s="444">
        <f t="shared" ca="1" si="176"/>
        <v>-17339247610.478504</v>
      </c>
      <c r="L3974" s="444">
        <f t="shared" ca="1" si="177"/>
        <v>-4178758674125.3198</v>
      </c>
      <c r="M3974" s="460">
        <f t="shared" si="179"/>
        <v>0.05</v>
      </c>
      <c r="N3974" s="464">
        <f t="shared" si="180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78"/>
        <v>-4178758674125.3198</v>
      </c>
      <c r="J3975" s="444">
        <f t="array" ref="J3975">IFERROR(INDEX('Retirement Calculator'!J:J,MATCH('Isaac 401k'!N3975,'Retirement Calculator'!A:A,0),0),0)</f>
        <v>0</v>
      </c>
      <c r="K3975" s="444">
        <f t="shared" ca="1" si="176"/>
        <v>-17411494475.522167</v>
      </c>
      <c r="L3975" s="444">
        <f t="shared" ca="1" si="177"/>
        <v>-4196170168600.8418</v>
      </c>
      <c r="M3975" s="460">
        <f t="shared" si="179"/>
        <v>0.05</v>
      </c>
      <c r="N3975" s="464">
        <f t="shared" si="180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78"/>
        <v>-4196170168600.8418</v>
      </c>
      <c r="J3976" s="444">
        <f t="array" ref="J3976">IFERROR(INDEX('Retirement Calculator'!J:J,MATCH('Isaac 401k'!N3976,'Retirement Calculator'!A:A,0),0),0)</f>
        <v>0</v>
      </c>
      <c r="K3976" s="444">
        <f t="shared" ca="1" si="176"/>
        <v>-17484042369.170174</v>
      </c>
      <c r="L3976" s="444">
        <f t="shared" ca="1" si="177"/>
        <v>-4213654210970.0122</v>
      </c>
      <c r="M3976" s="460">
        <f t="shared" si="179"/>
        <v>0.05</v>
      </c>
      <c r="N3976" s="464">
        <f t="shared" si="180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78"/>
        <v>-4213654210970.0122</v>
      </c>
      <c r="J3977" s="444">
        <f t="array" ref="J3977">IFERROR(INDEX('Retirement Calculator'!J:J,MATCH('Isaac 401k'!N3977,'Retirement Calculator'!A:A,0),0),0)</f>
        <v>0</v>
      </c>
      <c r="K3977" s="444">
        <f t="shared" ca="1" si="176"/>
        <v>-17556892545.708385</v>
      </c>
      <c r="L3977" s="444">
        <f t="shared" ca="1" si="177"/>
        <v>-4231211103515.7207</v>
      </c>
      <c r="M3977" s="460">
        <f t="shared" si="179"/>
        <v>0.05</v>
      </c>
      <c r="N3977" s="464">
        <f t="shared" si="180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78"/>
        <v>-4231211103515.7207</v>
      </c>
      <c r="J3978" s="444">
        <f t="array" ref="J3978">IFERROR(INDEX('Retirement Calculator'!J:J,MATCH('Isaac 401k'!N3978,'Retirement Calculator'!A:A,0),0),0)</f>
        <v>0</v>
      </c>
      <c r="K3978" s="444">
        <f t="shared" ca="1" si="176"/>
        <v>-17630046264.648834</v>
      </c>
      <c r="L3978" s="444">
        <f t="shared" ca="1" si="177"/>
        <v>-4248841149780.3696</v>
      </c>
      <c r="M3978" s="460">
        <f t="shared" si="179"/>
        <v>0.05</v>
      </c>
      <c r="N3978" s="464">
        <f t="shared" si="180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78"/>
        <v>-4248841149780.3696</v>
      </c>
      <c r="J3979" s="444">
        <f t="array" ref="J3979">IFERROR(INDEX('Retirement Calculator'!J:J,MATCH('Isaac 401k'!N3979,'Retirement Calculator'!A:A,0),0),0)</f>
        <v>0</v>
      </c>
      <c r="K3979" s="444">
        <f t="shared" ca="1" si="176"/>
        <v>-17703504790.751541</v>
      </c>
      <c r="L3979" s="444">
        <f t="shared" ca="1" si="177"/>
        <v>-4266544654571.1211</v>
      </c>
      <c r="M3979" s="460">
        <f t="shared" si="179"/>
        <v>0.05</v>
      </c>
      <c r="N3979" s="464">
        <f t="shared" si="180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78"/>
        <v>-4266544654571.1211</v>
      </c>
      <c r="J3980" s="444">
        <f t="array" ref="J3980">IFERROR(INDEX('Retirement Calculator'!J:J,MATCH('Isaac 401k'!N3980,'Retirement Calculator'!A:A,0),0),0)</f>
        <v>0</v>
      </c>
      <c r="K3980" s="444">
        <f t="shared" ca="1" si="176"/>
        <v>-17777269394.046337</v>
      </c>
      <c r="L3980" s="444">
        <f t="shared" ca="1" si="177"/>
        <v>-4284321923965.1675</v>
      </c>
      <c r="M3980" s="460">
        <f t="shared" si="179"/>
        <v>0.05</v>
      </c>
      <c r="N3980" s="464">
        <f t="shared" si="180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78"/>
        <v>-4284321923965.1675</v>
      </c>
      <c r="J3981" s="444">
        <f t="array" ref="J3981">IFERROR(INDEX('Retirement Calculator'!J:J,MATCH('Isaac 401k'!N3981,'Retirement Calculator'!A:A,0),0),0)</f>
        <v>0</v>
      </c>
      <c r="K3981" s="444">
        <f t="shared" ca="1" si="176"/>
        <v>-17851341349.854866</v>
      </c>
      <c r="L3981" s="444">
        <f t="shared" ca="1" si="177"/>
        <v>-4302173265315.0225</v>
      </c>
      <c r="M3981" s="460">
        <f t="shared" si="179"/>
        <v>0.05</v>
      </c>
      <c r="N3981" s="464">
        <f t="shared" si="180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78"/>
        <v>-4302173265315.0225</v>
      </c>
      <c r="J3982" s="444">
        <f t="array" ref="J3982">IFERROR(INDEX('Retirement Calculator'!J:J,MATCH('Isaac 401k'!N3982,'Retirement Calculator'!A:A,0),0),0)</f>
        <v>0</v>
      </c>
      <c r="K3982" s="444">
        <f t="shared" ca="1" si="176"/>
        <v>-17925721938.812592</v>
      </c>
      <c r="L3982" s="444">
        <f t="shared" ca="1" si="177"/>
        <v>-4320098987253.835</v>
      </c>
      <c r="M3982" s="460">
        <f t="shared" si="179"/>
        <v>0.05</v>
      </c>
      <c r="N3982" s="464">
        <f t="shared" si="180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78"/>
        <v>-4320098987253.835</v>
      </c>
      <c r="J3983" s="444">
        <f t="array" ref="J3983">IFERROR(INDEX('Retirement Calculator'!J:J,MATCH('Isaac 401k'!N3983,'Retirement Calculator'!A:A,0),0),0)</f>
        <v>0</v>
      </c>
      <c r="K3983" s="444">
        <f t="shared" ca="1" si="176"/>
        <v>-18000412446.890976</v>
      </c>
      <c r="L3983" s="444">
        <f t="shared" ca="1" si="177"/>
        <v>-4338099399700.7261</v>
      </c>
      <c r="M3983" s="460">
        <f t="shared" si="179"/>
        <v>0.05</v>
      </c>
      <c r="N3983" s="464">
        <f t="shared" si="180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78"/>
        <v>-4338099399700.7261</v>
      </c>
      <c r="J3984" s="444">
        <f t="array" ref="J3984">IFERROR(INDEX('Retirement Calculator'!J:J,MATCH('Isaac 401k'!N3984,'Retirement Calculator'!A:A,0),0),0)</f>
        <v>0</v>
      </c>
      <c r="K3984" s="444">
        <f t="shared" ca="1" si="176"/>
        <v>-18075414165.419693</v>
      </c>
      <c r="L3984" s="444">
        <f t="shared" ca="1" si="177"/>
        <v>-4356174813866.146</v>
      </c>
      <c r="M3984" s="460">
        <f t="shared" si="179"/>
        <v>0.05</v>
      </c>
      <c r="N3984" s="464">
        <f t="shared" si="180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78"/>
        <v>-4356174813866.146</v>
      </c>
      <c r="J3985" s="444">
        <f t="array" ref="J3985">IFERROR(INDEX('Retirement Calculator'!J:J,MATCH('Isaac 401k'!N3985,'Retirement Calculator'!A:A,0),0),0)</f>
        <v>0</v>
      </c>
      <c r="K3985" s="444">
        <f t="shared" ca="1" si="176"/>
        <v>-18150728391.10894</v>
      </c>
      <c r="L3985" s="444">
        <f t="shared" ca="1" si="177"/>
        <v>-4374325542257.2549</v>
      </c>
      <c r="M3985" s="460">
        <f t="shared" si="179"/>
        <v>0.05</v>
      </c>
      <c r="N3985" s="464">
        <f t="shared" si="180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78"/>
        <v>-4374325542257.2549</v>
      </c>
      <c r="J3986" s="444">
        <f t="array" ref="J3986">IFERROR(INDEX('Retirement Calculator'!J:J,MATCH('Isaac 401k'!N3986,'Retirement Calculator'!A:A,0),0),0)</f>
        <v>0</v>
      </c>
      <c r="K3986" s="444">
        <f t="shared" ca="1" si="176"/>
        <v>-18226356426.071892</v>
      </c>
      <c r="L3986" s="444">
        <f t="shared" ca="1" si="177"/>
        <v>-4392551898683.3267</v>
      </c>
      <c r="M3986" s="460">
        <f t="shared" si="179"/>
        <v>0.05</v>
      </c>
      <c r="N3986" s="464">
        <f t="shared" si="180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78"/>
        <v>-4392551898683.3267</v>
      </c>
      <c r="J3987" s="444">
        <f t="array" ref="J3987">IFERROR(INDEX('Retirement Calculator'!J:J,MATCH('Isaac 401k'!N3987,'Retirement Calculator'!A:A,0),0),0)</f>
        <v>0</v>
      </c>
      <c r="K3987" s="444">
        <f t="shared" ca="1" si="176"/>
        <v>-18302299577.847195</v>
      </c>
      <c r="L3987" s="444">
        <f t="shared" ca="1" si="177"/>
        <v>-4410854198261.1738</v>
      </c>
      <c r="M3987" s="460">
        <f t="shared" si="179"/>
        <v>0.05</v>
      </c>
      <c r="N3987" s="464">
        <f t="shared" si="180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78"/>
        <v>-4410854198261.1738</v>
      </c>
      <c r="J3988" s="444">
        <f t="array" ref="J3988">IFERROR(INDEX('Retirement Calculator'!J:J,MATCH('Isaac 401k'!N3988,'Retirement Calculator'!A:A,0),0),0)</f>
        <v>0</v>
      </c>
      <c r="K3988" s="444">
        <f t="shared" ca="1" si="176"/>
        <v>-18378559159.421558</v>
      </c>
      <c r="L3988" s="444">
        <f t="shared" ca="1" si="177"/>
        <v>-4429232757420.5957</v>
      </c>
      <c r="M3988" s="460">
        <f t="shared" si="179"/>
        <v>0.05</v>
      </c>
      <c r="N3988" s="464">
        <f t="shared" si="180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78"/>
        <v>-4429232757420.5957</v>
      </c>
      <c r="J3989" s="444">
        <f t="array" ref="J3989">IFERROR(INDEX('Retirement Calculator'!J:J,MATCH('Isaac 401k'!N3989,'Retirement Calculator'!A:A,0),0),0)</f>
        <v>0</v>
      </c>
      <c r="K3989" s="444">
        <f t="shared" ca="1" si="176"/>
        <v>-18455136489.252483</v>
      </c>
      <c r="L3989" s="444">
        <f t="shared" ca="1" si="177"/>
        <v>-4447687893909.8486</v>
      </c>
      <c r="M3989" s="460">
        <f t="shared" si="179"/>
        <v>0.05</v>
      </c>
      <c r="N3989" s="464">
        <f t="shared" si="180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78"/>
        <v>-4447687893909.8486</v>
      </c>
      <c r="J3990" s="444">
        <f t="array" ref="J3990">IFERROR(INDEX('Retirement Calculator'!J:J,MATCH('Isaac 401k'!N3990,'Retirement Calculator'!A:A,0),0),0)</f>
        <v>0</v>
      </c>
      <c r="K3990" s="444">
        <f t="shared" ca="1" si="176"/>
        <v>-18532032891.291035</v>
      </c>
      <c r="L3990" s="444">
        <f t="shared" ca="1" si="177"/>
        <v>-4466219926801.1396</v>
      </c>
      <c r="M3990" s="460">
        <f t="shared" si="179"/>
        <v>0.05</v>
      </c>
      <c r="N3990" s="464">
        <f t="shared" si="180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78"/>
        <v>-4466219926801.1396</v>
      </c>
      <c r="J3991" s="444">
        <f t="array" ref="J3991">IFERROR(INDEX('Retirement Calculator'!J:J,MATCH('Isaac 401k'!N3991,'Retirement Calculator'!A:A,0),0),0)</f>
        <v>0</v>
      </c>
      <c r="K3991" s="444">
        <f t="shared" ca="1" si="176"/>
        <v>-18609249695.004749</v>
      </c>
      <c r="L3991" s="444">
        <f t="shared" ca="1" si="177"/>
        <v>-4484829176496.1445</v>
      </c>
      <c r="M3991" s="460">
        <f t="shared" si="179"/>
        <v>0.05</v>
      </c>
      <c r="N3991" s="464">
        <f t="shared" si="180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78"/>
        <v>-4484829176496.1445</v>
      </c>
      <c r="J3992" s="444">
        <f t="array" ref="J3992">IFERROR(INDEX('Retirement Calculator'!J:J,MATCH('Isaac 401k'!N3992,'Retirement Calculator'!A:A,0),0),0)</f>
        <v>0</v>
      </c>
      <c r="K3992" s="444">
        <f t="shared" ca="1" si="176"/>
        <v>-18686788235.4006</v>
      </c>
      <c r="L3992" s="444">
        <f t="shared" ca="1" si="177"/>
        <v>-4503515964731.5449</v>
      </c>
      <c r="M3992" s="460">
        <f t="shared" si="179"/>
        <v>0.05</v>
      </c>
      <c r="N3992" s="464">
        <f t="shared" si="180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78"/>
        <v>-4503515964731.5449</v>
      </c>
      <c r="J3993" s="444">
        <f t="array" ref="J3993">IFERROR(INDEX('Retirement Calculator'!J:J,MATCH('Isaac 401k'!N3993,'Retirement Calculator'!A:A,0),0),0)</f>
        <v>0</v>
      </c>
      <c r="K3993" s="444">
        <f t="shared" ca="1" si="176"/>
        <v>-18764649853.048103</v>
      </c>
      <c r="L3993" s="444">
        <f t="shared" ca="1" si="177"/>
        <v>-4522280614584.5928</v>
      </c>
      <c r="M3993" s="460">
        <f t="shared" si="179"/>
        <v>0.05</v>
      </c>
      <c r="N3993" s="464">
        <f t="shared" si="180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78"/>
        <v>-4522280614584.5928</v>
      </c>
      <c r="J3994" s="444">
        <f t="array" ref="J3994">IFERROR(INDEX('Retirement Calculator'!J:J,MATCH('Isaac 401k'!N3994,'Retirement Calculator'!A:A,0),0),0)</f>
        <v>0</v>
      </c>
      <c r="K3994" s="444">
        <f t="shared" ca="1" si="176"/>
        <v>-18842835894.10247</v>
      </c>
      <c r="L3994" s="444">
        <f t="shared" ca="1" si="177"/>
        <v>-4541123450478.6953</v>
      </c>
      <c r="M3994" s="460">
        <f t="shared" si="179"/>
        <v>0.05</v>
      </c>
      <c r="N3994" s="464">
        <f t="shared" si="180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78"/>
        <v>-4541123450478.6953</v>
      </c>
      <c r="J3995" s="444">
        <f t="array" ref="J3995">IFERROR(INDEX('Retirement Calculator'!J:J,MATCH('Isaac 401k'!N3995,'Retirement Calculator'!A:A,0),0),0)</f>
        <v>0</v>
      </c>
      <c r="K3995" s="444">
        <f t="shared" ca="1" si="176"/>
        <v>-18921347710.327896</v>
      </c>
      <c r="L3995" s="444">
        <f t="shared" ca="1" si="177"/>
        <v>-4560044798189.0234</v>
      </c>
      <c r="M3995" s="460">
        <f t="shared" si="179"/>
        <v>0.05</v>
      </c>
      <c r="N3995" s="464">
        <f t="shared" si="180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78"/>
        <v>-4560044798189.0234</v>
      </c>
      <c r="J3996" s="444">
        <f t="array" ref="J3996">IFERROR(INDEX('Retirement Calculator'!J:J,MATCH('Isaac 401k'!N3996,'Retirement Calculator'!A:A,0),0),0)</f>
        <v>0</v>
      </c>
      <c r="K3996" s="444">
        <f t="shared" ca="1" si="176"/>
        <v>-19000186659.12093</v>
      </c>
      <c r="L3996" s="444">
        <f t="shared" ca="1" si="177"/>
        <v>-4579044984848.1445</v>
      </c>
      <c r="M3996" s="460">
        <f t="shared" si="179"/>
        <v>0.05</v>
      </c>
      <c r="N3996" s="464">
        <f t="shared" si="180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78"/>
        <v>-4579044984848.1445</v>
      </c>
      <c r="J3997" s="444">
        <f t="array" ref="J3997">IFERROR(INDEX('Retirement Calculator'!J:J,MATCH('Isaac 401k'!N3997,'Retirement Calculator'!A:A,0),0),0)</f>
        <v>0</v>
      </c>
      <c r="K3997" s="444">
        <f t="shared" ca="1" si="176"/>
        <v>-19079354103.533936</v>
      </c>
      <c r="L3997" s="444">
        <f t="shared" ca="1" si="177"/>
        <v>-4598124338951.6787</v>
      </c>
      <c r="M3997" s="460">
        <f t="shared" si="179"/>
        <v>0.05</v>
      </c>
      <c r="N3997" s="464">
        <f t="shared" si="180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78"/>
        <v>-4598124338951.6787</v>
      </c>
      <c r="J3998" s="444">
        <f t="array" ref="J3998">IFERROR(INDEX('Retirement Calculator'!J:J,MATCH('Isaac 401k'!N3998,'Retirement Calculator'!A:A,0),0),0)</f>
        <v>0</v>
      </c>
      <c r="K3998" s="444">
        <f t="shared" ca="1" si="176"/>
        <v>-19158851412.29866</v>
      </c>
      <c r="L3998" s="444">
        <f t="shared" ca="1" si="177"/>
        <v>-4617283190363.9775</v>
      </c>
      <c r="M3998" s="460">
        <f t="shared" si="179"/>
        <v>0.05</v>
      </c>
      <c r="N3998" s="464">
        <f t="shared" si="180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78"/>
        <v>-4617283190363.9775</v>
      </c>
      <c r="J3999" s="444">
        <f t="array" ref="J3999">IFERROR(INDEX('Retirement Calculator'!J:J,MATCH('Isaac 401k'!N3999,'Retirement Calculator'!A:A,0),0),0)</f>
        <v>0</v>
      </c>
      <c r="K3999" s="444">
        <f t="shared" ca="1" si="176"/>
        <v>-19238679959.849907</v>
      </c>
      <c r="L3999" s="444">
        <f t="shared" ca="1" si="177"/>
        <v>-4636521870323.8271</v>
      </c>
      <c r="M3999" s="460">
        <f t="shared" si="179"/>
        <v>0.05</v>
      </c>
      <c r="N3999" s="464">
        <f t="shared" si="180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78"/>
        <v>-4636521870323.8271</v>
      </c>
      <c r="J4000" s="444">
        <f t="array" ref="J4000">IFERROR(INDEX('Retirement Calculator'!J:J,MATCH('Isaac 401k'!N4000,'Retirement Calculator'!A:A,0),0),0)</f>
        <v>0</v>
      </c>
      <c r="K4000" s="444">
        <f t="shared" ca="1" si="176"/>
        <v>-19318841126.349281</v>
      </c>
      <c r="L4000" s="444">
        <f t="shared" ca="1" si="177"/>
        <v>-4655840711450.1768</v>
      </c>
      <c r="M4000" s="460">
        <f t="shared" si="179"/>
        <v>0.05</v>
      </c>
      <c r="N4000" s="464">
        <f t="shared" si="180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78"/>
        <v>-4655840711450.1768</v>
      </c>
      <c r="J4001" s="444">
        <f t="array" ref="J4001">IFERROR(INDEX('Retirement Calculator'!J:J,MATCH('Isaac 401k'!N4001,'Retirement Calculator'!A:A,0),0),0)</f>
        <v>0</v>
      </c>
      <c r="K4001" s="444">
        <f t="shared" ca="1" si="176"/>
        <v>-19399336297.709068</v>
      </c>
      <c r="L4001" s="444">
        <f t="shared" ca="1" si="177"/>
        <v>-4675240047747.8857</v>
      </c>
      <c r="M4001" s="460">
        <f t="shared" si="179"/>
        <v>0.05</v>
      </c>
      <c r="N4001" s="464">
        <f t="shared" si="180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78"/>
        <v>-4675240047747.8857</v>
      </c>
      <c r="J4002" s="444">
        <f t="array" ref="J4002">IFERROR(INDEX('Retirement Calculator'!J:J,MATCH('Isaac 401k'!N4002,'Retirement Calculator'!A:A,0),0),0)</f>
        <v>0</v>
      </c>
      <c r="K4002" s="444">
        <f t="shared" ca="1" si="176"/>
        <v>-19480166865.616192</v>
      </c>
      <c r="L4002" s="444">
        <f t="shared" ca="1" si="177"/>
        <v>-4694720214613.502</v>
      </c>
      <c r="M4002" s="460">
        <f t="shared" si="179"/>
        <v>0.05</v>
      </c>
      <c r="N4002" s="464">
        <f t="shared" si="180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78"/>
        <v>-4694720214613.502</v>
      </c>
      <c r="J4003" s="444">
        <f t="array" ref="J4003">IFERROR(INDEX('Retirement Calculator'!J:J,MATCH('Isaac 401k'!N4003,'Retirement Calculator'!A:A,0),0),0)</f>
        <v>0</v>
      </c>
      <c r="K4003" s="444">
        <f t="shared" ca="1" si="176"/>
        <v>-19561334227.556259</v>
      </c>
      <c r="L4003" s="444">
        <f t="shared" ca="1" si="177"/>
        <v>-4714281548841.0586</v>
      </c>
      <c r="M4003" s="460">
        <f t="shared" si="179"/>
        <v>0.05</v>
      </c>
      <c r="N4003" s="464">
        <f t="shared" si="180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78"/>
        <v>-4714281548841.0586</v>
      </c>
      <c r="J4004" s="444">
        <f t="array" ref="J4004">IFERROR(INDEX('Retirement Calculator'!J:J,MATCH('Isaac 401k'!N4004,'Retirement Calculator'!A:A,0),0),0)</f>
        <v>0</v>
      </c>
      <c r="K4004" s="444">
        <f t="shared" ca="1" si="176"/>
        <v>-19642839786.837746</v>
      </c>
      <c r="L4004" s="444">
        <f t="shared" ca="1" si="177"/>
        <v>-4733924388627.8965</v>
      </c>
      <c r="M4004" s="460">
        <f t="shared" si="179"/>
        <v>0.05</v>
      </c>
      <c r="N4004" s="464">
        <f t="shared" si="180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78"/>
        <v>-4733924388627.8965</v>
      </c>
      <c r="J4005" s="444">
        <f t="array" ref="J4005">IFERROR(INDEX('Retirement Calculator'!J:J,MATCH('Isaac 401k'!N4005,'Retirement Calculator'!A:A,0),0),0)</f>
        <v>0</v>
      </c>
      <c r="K4005" s="444">
        <f t="shared" ca="1" si="176"/>
        <v>-19724684952.616234</v>
      </c>
      <c r="L4005" s="444">
        <f t="shared" ca="1" si="177"/>
        <v>-4753649073580.5127</v>
      </c>
      <c r="M4005" s="460">
        <f t="shared" si="179"/>
        <v>0.05</v>
      </c>
      <c r="N4005" s="464">
        <f t="shared" si="180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78"/>
        <v>-4753649073580.5127</v>
      </c>
      <c r="J4006" s="444">
        <f t="array" ref="J4006">IFERROR(INDEX('Retirement Calculator'!J:J,MATCH('Isaac 401k'!N4006,'Retirement Calculator'!A:A,0),0),0)</f>
        <v>0</v>
      </c>
      <c r="K4006" s="444">
        <f t="shared" ca="1" si="176"/>
        <v>-19806871139.918804</v>
      </c>
      <c r="L4006" s="444">
        <f t="shared" ca="1" si="177"/>
        <v>-4773455944720.4316</v>
      </c>
      <c r="M4006" s="460">
        <f t="shared" si="179"/>
        <v>0.05</v>
      </c>
      <c r="N4006" s="464">
        <f t="shared" si="180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78"/>
        <v>-4773455944720.4316</v>
      </c>
      <c r="J4007" s="444">
        <f t="array" ref="J4007">IFERROR(INDEX('Retirement Calculator'!J:J,MATCH('Isaac 401k'!N4007,'Retirement Calculator'!A:A,0),0),0)</f>
        <v>0</v>
      </c>
      <c r="K4007" s="444">
        <f t="shared" ca="1" si="176"/>
        <v>-19889399769.668465</v>
      </c>
      <c r="L4007" s="444">
        <f t="shared" ca="1" si="177"/>
        <v>-4793345344490.1006</v>
      </c>
      <c r="M4007" s="460">
        <f t="shared" si="179"/>
        <v>0.05</v>
      </c>
      <c r="N4007" s="464">
        <f t="shared" si="180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78"/>
        <v>-4793345344490.1006</v>
      </c>
      <c r="J4008" s="444">
        <f t="array" ref="J4008">IFERROR(INDEX('Retirement Calculator'!J:J,MATCH('Isaac 401k'!N4008,'Retirement Calculator'!A:A,0),0),0)</f>
        <v>0</v>
      </c>
      <c r="K4008" s="444">
        <f t="shared" ca="1" si="176"/>
        <v>-19972272268.708752</v>
      </c>
      <c r="L4008" s="444">
        <f t="shared" ca="1" si="177"/>
        <v>-4813317616758.8096</v>
      </c>
      <c r="M4008" s="460">
        <f t="shared" si="179"/>
        <v>0.05</v>
      </c>
      <c r="N4008" s="464">
        <f t="shared" si="180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78"/>
        <v>-4813317616758.8096</v>
      </c>
      <c r="J4009" s="444">
        <f t="array" ref="J4009">IFERROR(INDEX('Retirement Calculator'!J:J,MATCH('Isaac 401k'!N4009,'Retirement Calculator'!A:A,0),0),0)</f>
        <v>0</v>
      </c>
      <c r="K4009" s="444">
        <f t="shared" ca="1" si="176"/>
        <v>-20055490069.828373</v>
      </c>
      <c r="L4009" s="444">
        <f t="shared" ca="1" si="177"/>
        <v>-4833373106828.6377</v>
      </c>
      <c r="M4009" s="460">
        <f t="shared" si="179"/>
        <v>0.05</v>
      </c>
      <c r="N4009" s="464">
        <f t="shared" si="180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78"/>
        <v>-4833373106828.6377</v>
      </c>
      <c r="J4010" s="444">
        <f t="array" ref="J4010">IFERROR(INDEX('Retirement Calculator'!J:J,MATCH('Isaac 401k'!N4010,'Retirement Calculator'!A:A,0),0),0)</f>
        <v>0</v>
      </c>
      <c r="K4010" s="444">
        <f t="shared" ca="1" si="176"/>
        <v>-20139054611.785992</v>
      </c>
      <c r="L4010" s="444">
        <f t="shared" ca="1" si="177"/>
        <v>-4853512161440.4238</v>
      </c>
      <c r="M4010" s="460">
        <f t="shared" si="179"/>
        <v>0.05</v>
      </c>
      <c r="N4010" s="464">
        <f t="shared" si="180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78"/>
        <v>-4853512161440.4238</v>
      </c>
      <c r="J4011" s="444">
        <f t="array" ref="J4011">IFERROR(INDEX('Retirement Calculator'!J:J,MATCH('Isaac 401k'!N4011,'Retirement Calculator'!A:A,0),0),0)</f>
        <v>0</v>
      </c>
      <c r="K4011" s="444">
        <f t="shared" ca="1" si="176"/>
        <v>-20222967339.335098</v>
      </c>
      <c r="L4011" s="444">
        <f t="shared" ca="1" si="177"/>
        <v>-4873735128779.7588</v>
      </c>
      <c r="M4011" s="460">
        <f t="shared" si="179"/>
        <v>0.05</v>
      </c>
      <c r="N4011" s="464">
        <f t="shared" si="180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78"/>
        <v>-4873735128779.7588</v>
      </c>
      <c r="J4012" s="444">
        <f t="array" ref="J4012">IFERROR(INDEX('Retirement Calculator'!J:J,MATCH('Isaac 401k'!N4012,'Retirement Calculator'!A:A,0),0),0)</f>
        <v>0</v>
      </c>
      <c r="K4012" s="444">
        <f t="shared" ca="1" si="176"/>
        <v>-20307229703.248993</v>
      </c>
      <c r="L4012" s="444">
        <f t="shared" ca="1" si="177"/>
        <v>-4894042358483.0078</v>
      </c>
      <c r="M4012" s="460">
        <f t="shared" si="179"/>
        <v>0.05</v>
      </c>
      <c r="N4012" s="464">
        <f t="shared" si="180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78"/>
        <v>-4894042358483.0078</v>
      </c>
      <c r="J4013" s="444">
        <f t="array" ref="J4013">IFERROR(INDEX('Retirement Calculator'!J:J,MATCH('Isaac 401k'!N4013,'Retirement Calculator'!A:A,0),0),0)</f>
        <v>0</v>
      </c>
      <c r="K4013" s="444">
        <f t="shared" ca="1" si="176"/>
        <v>-20391843160.345867</v>
      </c>
      <c r="L4013" s="444">
        <f t="shared" ca="1" si="177"/>
        <v>-4914434201643.3535</v>
      </c>
      <c r="M4013" s="460">
        <f t="shared" si="179"/>
        <v>0.05</v>
      </c>
      <c r="N4013" s="464">
        <f t="shared" si="180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78"/>
        <v>-4914434201643.3535</v>
      </c>
      <c r="J4014" s="444">
        <f t="array" ref="J4014">IFERROR(INDEX('Retirement Calculator'!J:J,MATCH('Isaac 401k'!N4014,'Retirement Calculator'!A:A,0),0),0)</f>
        <v>0</v>
      </c>
      <c r="K4014" s="444">
        <f t="shared" ca="1" si="176"/>
        <v>-20476809173.513973</v>
      </c>
      <c r="L4014" s="444">
        <f t="shared" ca="1" si="177"/>
        <v>-4934911010816.8672</v>
      </c>
      <c r="M4014" s="460">
        <f t="shared" si="179"/>
        <v>0.05</v>
      </c>
      <c r="N4014" s="464">
        <f t="shared" si="180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78"/>
        <v>-4934911010816.8672</v>
      </c>
      <c r="J4015" s="444">
        <f t="array" ref="J4015">IFERROR(INDEX('Retirement Calculator'!J:J,MATCH('Isaac 401k'!N4015,'Retirement Calculator'!A:A,0),0),0)</f>
        <v>0</v>
      </c>
      <c r="K4015" s="444">
        <f t="shared" ca="1" si="176"/>
        <v>-20562129211.736946</v>
      </c>
      <c r="L4015" s="444">
        <f t="shared" ca="1" si="177"/>
        <v>-4955473140028.6045</v>
      </c>
      <c r="M4015" s="460">
        <f t="shared" si="179"/>
        <v>0.05</v>
      </c>
      <c r="N4015" s="464">
        <f t="shared" si="180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78"/>
        <v>-4955473140028.6045</v>
      </c>
      <c r="J4016" s="444">
        <f t="array" ref="J4016">IFERROR(INDEX('Retirement Calculator'!J:J,MATCH('Isaac 401k'!N4016,'Retirement Calculator'!A:A,0),0),0)</f>
        <v>0</v>
      </c>
      <c r="K4016" s="444">
        <f t="shared" ca="1" si="176"/>
        <v>-20647804750.119186</v>
      </c>
      <c r="L4016" s="444">
        <f t="shared" ca="1" si="177"/>
        <v>-4976120944778.7236</v>
      </c>
      <c r="M4016" s="460">
        <f t="shared" si="179"/>
        <v>0.05</v>
      </c>
      <c r="N4016" s="464">
        <f t="shared" si="180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78"/>
        <v>-4976120944778.7236</v>
      </c>
      <c r="J4017" s="444">
        <f t="array" ref="J4017">IFERROR(INDEX('Retirement Calculator'!J:J,MATCH('Isaac 401k'!N4017,'Retirement Calculator'!A:A,0),0),0)</f>
        <v>0</v>
      </c>
      <c r="K4017" s="444">
        <f t="shared" ca="1" si="176"/>
        <v>-20733837269.911346</v>
      </c>
      <c r="L4017" s="444">
        <f t="shared" ca="1" si="177"/>
        <v>-4996854782048.6348</v>
      </c>
      <c r="M4017" s="460">
        <f t="shared" si="179"/>
        <v>0.05</v>
      </c>
      <c r="N4017" s="464">
        <f t="shared" si="180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78"/>
        <v>-4996854782048.6348</v>
      </c>
      <c r="J4018" s="444">
        <f t="array" ref="J4018">IFERROR(INDEX('Retirement Calculator'!J:J,MATCH('Isaac 401k'!N4018,'Retirement Calculator'!A:A,0),0),0)</f>
        <v>0</v>
      </c>
      <c r="K4018" s="444">
        <f t="shared" ca="1" si="176"/>
        <v>-20820228258.535976</v>
      </c>
      <c r="L4018" s="444">
        <f t="shared" ca="1" si="177"/>
        <v>-5017675010307.1709</v>
      </c>
      <c r="M4018" s="460">
        <f t="shared" si="179"/>
        <v>0.05</v>
      </c>
      <c r="N4018" s="464">
        <f t="shared" si="180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78"/>
        <v>-5017675010307.1709</v>
      </c>
      <c r="J4019" s="444">
        <f t="array" ref="J4019">IFERROR(INDEX('Retirement Calculator'!J:J,MATCH('Isaac 401k'!N4019,'Retirement Calculator'!A:A,0),0),0)</f>
        <v>0</v>
      </c>
      <c r="K4019" s="444">
        <f t="shared" ca="1" si="176"/>
        <v>-20906979209.613213</v>
      </c>
      <c r="L4019" s="444">
        <f t="shared" ca="1" si="177"/>
        <v>-5038581989516.7842</v>
      </c>
      <c r="M4019" s="460">
        <f t="shared" si="179"/>
        <v>0.05</v>
      </c>
      <c r="N4019" s="464">
        <f t="shared" si="180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78"/>
        <v>-5038581989516.7842</v>
      </c>
      <c r="J4020" s="444">
        <f t="array" ref="J4020">IFERROR(INDEX('Retirement Calculator'!J:J,MATCH('Isaac 401k'!N4020,'Retirement Calculator'!A:A,0),0),0)</f>
        <v>0</v>
      </c>
      <c r="K4020" s="444">
        <f t="shared" ca="1" si="176"/>
        <v>-20994091622.986599</v>
      </c>
      <c r="L4020" s="444">
        <f t="shared" ca="1" si="177"/>
        <v>-5059576081139.7705</v>
      </c>
      <c r="M4020" s="460">
        <f t="shared" si="179"/>
        <v>0.05</v>
      </c>
      <c r="N4020" s="464">
        <f t="shared" si="180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78"/>
        <v>-5059576081139.7705</v>
      </c>
      <c r="J4021" s="444">
        <f t="array" ref="J4021">IFERROR(INDEX('Retirement Calculator'!J:J,MATCH('Isaac 401k'!N4021,'Retirement Calculator'!A:A,0),0),0)</f>
        <v>0</v>
      </c>
      <c r="K4021" s="444">
        <f t="shared" ca="1" si="176"/>
        <v>-21081567004.749043</v>
      </c>
      <c r="L4021" s="444">
        <f t="shared" ca="1" si="177"/>
        <v>-5080657648144.5195</v>
      </c>
      <c r="M4021" s="460">
        <f t="shared" si="179"/>
        <v>0.05</v>
      </c>
      <c r="N4021" s="464">
        <f t="shared" si="180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78"/>
        <v>-5080657648144.5195</v>
      </c>
      <c r="J4022" s="444">
        <f t="array" ref="J4022">IFERROR(INDEX('Retirement Calculator'!J:J,MATCH('Isaac 401k'!N4022,'Retirement Calculator'!A:A,0),0),0)</f>
        <v>0</v>
      </c>
      <c r="K4022" s="444">
        <f t="shared" ca="1" si="176"/>
        <v>-21169406867.268829</v>
      </c>
      <c r="L4022" s="444">
        <f t="shared" ca="1" si="177"/>
        <v>-5101827055011.7881</v>
      </c>
      <c r="M4022" s="460">
        <f t="shared" si="179"/>
        <v>0.05</v>
      </c>
      <c r="N4022" s="464">
        <f t="shared" si="180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78"/>
        <v>-5101827055011.7881</v>
      </c>
      <c r="J4023" s="444">
        <f t="array" ref="J4023">IFERROR(INDEX('Retirement Calculator'!J:J,MATCH('Isaac 401k'!N4023,'Retirement Calculator'!A:A,0),0),0)</f>
        <v>0</v>
      </c>
      <c r="K4023" s="444">
        <f t="shared" ca="1" si="176"/>
        <v>-21257612729.215782</v>
      </c>
      <c r="L4023" s="444">
        <f t="shared" ca="1" si="177"/>
        <v>-5123084667741.0039</v>
      </c>
      <c r="M4023" s="460">
        <f t="shared" si="179"/>
        <v>0.05</v>
      </c>
      <c r="N4023" s="464">
        <f t="shared" si="180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78"/>
        <v>-5123084667741.0039</v>
      </c>
      <c r="J4024" s="444">
        <f t="array" ref="J4024">IFERROR(INDEX('Retirement Calculator'!J:J,MATCH('Isaac 401k'!N4024,'Retirement Calculator'!A:A,0),0),0)</f>
        <v>0</v>
      </c>
      <c r="K4024" s="444">
        <f t="shared" ca="1" si="176"/>
        <v>-21346186115.587517</v>
      </c>
      <c r="L4024" s="444">
        <f t="shared" ca="1" si="177"/>
        <v>-5144430853856.5918</v>
      </c>
      <c r="M4024" s="460">
        <f t="shared" si="179"/>
        <v>0.05</v>
      </c>
      <c r="N4024" s="464">
        <f t="shared" si="180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78"/>
        <v>-5144430853856.5918</v>
      </c>
      <c r="J4025" s="444">
        <f t="array" ref="J4025">IFERROR(INDEX('Retirement Calculator'!J:J,MATCH('Isaac 401k'!N4025,'Retirement Calculator'!A:A,0),0),0)</f>
        <v>0</v>
      </c>
      <c r="K4025" s="444">
        <f t="shared" ca="1" si="176"/>
        <v>-21435128557.735798</v>
      </c>
      <c r="L4025" s="444">
        <f t="shared" ca="1" si="177"/>
        <v>-5165865982414.3271</v>
      </c>
      <c r="M4025" s="460">
        <f t="shared" si="179"/>
        <v>0.05</v>
      </c>
      <c r="N4025" s="464">
        <f t="shared" si="180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78"/>
        <v>-5165865982414.3271</v>
      </c>
      <c r="J4026" s="444">
        <f t="array" ref="J4026">IFERROR(INDEX('Retirement Calculator'!J:J,MATCH('Isaac 401k'!N4026,'Retirement Calculator'!A:A,0),0),0)</f>
        <v>0</v>
      </c>
      <c r="K4026" s="444">
        <f t="shared" ca="1" si="176"/>
        <v>-21524441593.393028</v>
      </c>
      <c r="L4026" s="444">
        <f t="shared" ca="1" si="177"/>
        <v>-5187390424007.7197</v>
      </c>
      <c r="M4026" s="460">
        <f t="shared" si="179"/>
        <v>0.05</v>
      </c>
      <c r="N4026" s="464">
        <f t="shared" si="180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78"/>
        <v>-5187390424007.7197</v>
      </c>
      <c r="J4027" s="444">
        <f t="array" ref="J4027">IFERROR(INDEX('Retirement Calculator'!J:J,MATCH('Isaac 401k'!N4027,'Retirement Calculator'!A:A,0),0),0)</f>
        <v>0</v>
      </c>
      <c r="K4027" s="444">
        <f t="shared" ca="1" si="176"/>
        <v>-21614126766.698833</v>
      </c>
      <c r="L4027" s="444">
        <f t="shared" ca="1" si="177"/>
        <v>-5209004550774.4189</v>
      </c>
      <c r="M4027" s="460">
        <f t="shared" si="179"/>
        <v>0.05</v>
      </c>
      <c r="N4027" s="464">
        <f t="shared" si="180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78"/>
        <v>-5209004550774.4189</v>
      </c>
      <c r="J4028" s="444">
        <f t="array" ref="J4028">IFERROR(INDEX('Retirement Calculator'!J:J,MATCH('Isaac 401k'!N4028,'Retirement Calculator'!A:A,0),0),0)</f>
        <v>0</v>
      </c>
      <c r="K4028" s="444">
        <f t="shared" ca="1" si="176"/>
        <v>-21704185628.226746</v>
      </c>
      <c r="L4028" s="444">
        <f t="shared" ca="1" si="177"/>
        <v>-5230708736402.6455</v>
      </c>
      <c r="M4028" s="460">
        <f t="shared" si="179"/>
        <v>0.05</v>
      </c>
      <c r="N4028" s="464">
        <f t="shared" si="180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78"/>
        <v>-5230708736402.6455</v>
      </c>
      <c r="J4029" s="444">
        <f t="array" ref="J4029">IFERROR(INDEX('Retirement Calculator'!J:J,MATCH('Isaac 401k'!N4029,'Retirement Calculator'!A:A,0),0),0)</f>
        <v>0</v>
      </c>
      <c r="K4029" s="444">
        <f t="shared" ca="1" si="176"/>
        <v>-21794619735.011024</v>
      </c>
      <c r="L4029" s="444">
        <f t="shared" ca="1" si="177"/>
        <v>-5252503356137.6563</v>
      </c>
      <c r="M4029" s="460">
        <f t="shared" si="179"/>
        <v>0.05</v>
      </c>
      <c r="N4029" s="464">
        <f t="shared" si="180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78"/>
        <v>-5252503356137.6563</v>
      </c>
      <c r="J4030" s="444">
        <f t="array" ref="J4030">IFERROR(INDEX('Retirement Calculator'!J:J,MATCH('Isaac 401k'!N4030,'Retirement Calculator'!A:A,0),0),0)</f>
        <v>0</v>
      </c>
      <c r="K4030" s="444">
        <f t="shared" ca="1" si="176"/>
        <v>-21885430650.573566</v>
      </c>
      <c r="L4030" s="444">
        <f t="shared" ca="1" si="177"/>
        <v>-5274388786788.2295</v>
      </c>
      <c r="M4030" s="460">
        <f t="shared" si="179"/>
        <v>0.05</v>
      </c>
      <c r="N4030" s="464">
        <f t="shared" si="180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78"/>
        <v>-5274388786788.2295</v>
      </c>
      <c r="J4031" s="444">
        <f t="array" ref="J4031">IFERROR(INDEX('Retirement Calculator'!J:J,MATCH('Isaac 401k'!N4031,'Retirement Calculator'!A:A,0),0),0)</f>
        <v>0</v>
      </c>
      <c r="K4031" s="444">
        <f t="shared" ca="1" si="176"/>
        <v>-21976619944.950954</v>
      </c>
      <c r="L4031" s="444">
        <f t="shared" ca="1" si="177"/>
        <v>-5296365406733.1807</v>
      </c>
      <c r="M4031" s="460">
        <f t="shared" si="179"/>
        <v>0.05</v>
      </c>
      <c r="N4031" s="464">
        <f t="shared" si="180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78"/>
        <v>-5296365406733.1807</v>
      </c>
      <c r="J4032" s="444">
        <f t="array" ref="J4032">IFERROR(INDEX('Retirement Calculator'!J:J,MATCH('Isaac 401k'!N4032,'Retirement Calculator'!A:A,0),0),0)</f>
        <v>0</v>
      </c>
      <c r="K4032" s="444">
        <f t="shared" ca="1" si="176"/>
        <v>-22068189194.721584</v>
      </c>
      <c r="L4032" s="444">
        <f t="shared" ca="1" si="177"/>
        <v>-5318433595927.9023</v>
      </c>
      <c r="M4032" s="460">
        <f t="shared" si="179"/>
        <v>0.05</v>
      </c>
      <c r="N4032" s="464">
        <f t="shared" si="180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78"/>
        <v>-5318433595927.9023</v>
      </c>
      <c r="J4033" s="444">
        <f t="array" ref="J4033">IFERROR(INDEX('Retirement Calculator'!J:J,MATCH('Isaac 401k'!N4033,'Retirement Calculator'!A:A,0),0),0)</f>
        <v>0</v>
      </c>
      <c r="K4033" s="444">
        <f t="shared" ca="1" si="176"/>
        <v>-22160139983.032925</v>
      </c>
      <c r="L4033" s="444">
        <f t="shared" ca="1" si="177"/>
        <v>-5340593735910.9355</v>
      </c>
      <c r="M4033" s="460">
        <f t="shared" si="179"/>
        <v>0.05</v>
      </c>
      <c r="N4033" s="464">
        <f t="shared" si="180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78"/>
        <v>-5340593735910.9355</v>
      </c>
      <c r="J4034" s="444">
        <f t="array" ref="J4034">IFERROR(INDEX('Retirement Calculator'!J:J,MATCH('Isaac 401k'!N4034,'Retirement Calculator'!A:A,0),0),0)</f>
        <v>0</v>
      </c>
      <c r="K4034" s="444">
        <f t="shared" ca="1" si="176"/>
        <v>-22252473899.628899</v>
      </c>
      <c r="L4034" s="444">
        <f t="shared" ca="1" si="177"/>
        <v>-5362846209810.5645</v>
      </c>
      <c r="M4034" s="460">
        <f t="shared" si="179"/>
        <v>0.05</v>
      </c>
      <c r="N4034" s="464">
        <f t="shared" si="180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78"/>
        <v>-5362846209810.5645</v>
      </c>
      <c r="J4035" s="444">
        <f t="array" ref="J4035">IFERROR(INDEX('Retirement Calculator'!J:J,MATCH('Isaac 401k'!N4035,'Retirement Calculator'!A:A,0),0),0)</f>
        <v>0</v>
      </c>
      <c r="K4035" s="444">
        <f t="shared" ca="1" si="176"/>
        <v>-22345192540.87735</v>
      </c>
      <c r="L4035" s="444">
        <f t="shared" ca="1" si="177"/>
        <v>-5385191402351.4414</v>
      </c>
      <c r="M4035" s="460">
        <f t="shared" si="179"/>
        <v>0.05</v>
      </c>
      <c r="N4035" s="464">
        <f t="shared" si="180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78"/>
        <v>-5385191402351.4414</v>
      </c>
      <c r="J4036" s="444">
        <f t="array" ref="J4036">IFERROR(INDEX('Retirement Calculator'!J:J,MATCH('Isaac 401k'!N4036,'Retirement Calculator'!A:A,0),0),0)</f>
        <v>0</v>
      </c>
      <c r="K4036" s="444">
        <f t="shared" ca="1" si="176"/>
        <v>-22438297509.797672</v>
      </c>
      <c r="L4036" s="444">
        <f t="shared" ca="1" si="177"/>
        <v>-5407629699861.2393</v>
      </c>
      <c r="M4036" s="460">
        <f t="shared" si="179"/>
        <v>0.05</v>
      </c>
      <c r="N4036" s="464">
        <f t="shared" si="180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78"/>
        <v>-5407629699861.2393</v>
      </c>
      <c r="J4037" s="444">
        <f t="array" ref="J4037">IFERROR(INDEX('Retirement Calculator'!J:J,MATCH('Isaac 401k'!N4037,'Retirement Calculator'!A:A,0),0),0)</f>
        <v>0</v>
      </c>
      <c r="K4037" s="444">
        <f t="shared" ca="1" si="176"/>
        <v>-22531790416.088497</v>
      </c>
      <c r="L4037" s="444">
        <f t="shared" ca="1" si="177"/>
        <v>-5430161490277.3281</v>
      </c>
      <c r="M4037" s="460">
        <f t="shared" si="179"/>
        <v>0.05</v>
      </c>
      <c r="N4037" s="464">
        <f t="shared" si="180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78"/>
        <v>-5430161490277.3281</v>
      </c>
      <c r="J4038" s="444">
        <f t="array" ref="J4038">IFERROR(INDEX('Retirement Calculator'!J:J,MATCH('Isaac 401k'!N4038,'Retirement Calculator'!A:A,0),0),0)</f>
        <v>0</v>
      </c>
      <c r="K4038" s="444">
        <f t="shared" ca="1" si="176"/>
        <v>-22625672876.155533</v>
      </c>
      <c r="L4038" s="444">
        <f t="shared" ca="1" si="177"/>
        <v>-5452787163153.4834</v>
      </c>
      <c r="M4038" s="460">
        <f t="shared" si="179"/>
        <v>0.05</v>
      </c>
      <c r="N4038" s="464">
        <f t="shared" si="180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78"/>
        <v>-5452787163153.4834</v>
      </c>
      <c r="J4039" s="444">
        <f t="array" ref="J4039">IFERROR(INDEX('Retirement Calculator'!J:J,MATCH('Isaac 401k'!N4039,'Retirement Calculator'!A:A,0),0),0)</f>
        <v>0</v>
      </c>
      <c r="K4039" s="444">
        <f t="shared" ca="1" si="176"/>
        <v>-22719946513.139515</v>
      </c>
      <c r="L4039" s="444">
        <f t="shared" ca="1" si="177"/>
        <v>-5475507109666.623</v>
      </c>
      <c r="M4039" s="460">
        <f t="shared" si="179"/>
        <v>0.05</v>
      </c>
      <c r="N4039" s="464">
        <f t="shared" si="180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78"/>
        <v>-5475507109666.623</v>
      </c>
      <c r="J4040" s="444">
        <f t="array" ref="J4040">IFERROR(INDEX('Retirement Calculator'!J:J,MATCH('Isaac 401k'!N4040,'Retirement Calculator'!A:A,0),0),0)</f>
        <v>0</v>
      </c>
      <c r="K4040" s="444">
        <f t="shared" ca="1" si="176"/>
        <v>-22814612956.944263</v>
      </c>
      <c r="L4040" s="444">
        <f t="shared" ca="1" si="177"/>
        <v>-5498321722623.5674</v>
      </c>
      <c r="M4040" s="460">
        <f t="shared" si="179"/>
        <v>0.05</v>
      </c>
      <c r="N4040" s="464">
        <f t="shared" si="180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78"/>
        <v>-5498321722623.5674</v>
      </c>
      <c r="J4041" s="444">
        <f t="array" ref="J4041">IFERROR(INDEX('Retirement Calculator'!J:J,MATCH('Isaac 401k'!N4041,'Retirement Calculator'!A:A,0),0),0)</f>
        <v>0</v>
      </c>
      <c r="K4041" s="444">
        <f t="shared" ca="1" si="176"/>
        <v>-22909673844.264862</v>
      </c>
      <c r="L4041" s="444">
        <f t="shared" ca="1" si="177"/>
        <v>-5521231396467.832</v>
      </c>
      <c r="M4041" s="460">
        <f t="shared" si="179"/>
        <v>0.05</v>
      </c>
      <c r="N4041" s="464">
        <f t="shared" si="180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78"/>
        <v>-5521231396467.832</v>
      </c>
      <c r="J4042" s="444">
        <f t="array" ref="J4042">IFERROR(INDEX('Retirement Calculator'!J:J,MATCH('Isaac 401k'!N4042,'Retirement Calculator'!A:A,0),0),0)</f>
        <v>0</v>
      </c>
      <c r="K4042" s="444">
        <f t="shared" ca="1" si="176"/>
        <v>-23005130818.615967</v>
      </c>
      <c r="L4042" s="444">
        <f t="shared" ca="1" si="177"/>
        <v>-5544236527286.4482</v>
      </c>
      <c r="M4042" s="460">
        <f t="shared" si="179"/>
        <v>0.05</v>
      </c>
      <c r="N4042" s="464">
        <f t="shared" si="180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78"/>
        <v>-5544236527286.4482</v>
      </c>
      <c r="J4043" s="444">
        <f t="array" ref="J4043">IFERROR(INDEX('Retirement Calculator'!J:J,MATCH('Isaac 401k'!N4043,'Retirement Calculator'!A:A,0),0),0)</f>
        <v>0</v>
      </c>
      <c r="K4043" s="444">
        <f t="shared" ca="1" si="176"/>
        <v>-23100985530.360199</v>
      </c>
      <c r="L4043" s="444">
        <f t="shared" ca="1" si="177"/>
        <v>-5567337512816.8086</v>
      </c>
      <c r="M4043" s="460">
        <f t="shared" si="179"/>
        <v>0.05</v>
      </c>
      <c r="N4043" s="464">
        <f t="shared" si="180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78"/>
        <v>-5567337512816.8086</v>
      </c>
      <c r="J4044" s="444">
        <f t="array" ref="J4044">IFERROR(INDEX('Retirement Calculator'!J:J,MATCH('Isaac 401k'!N4044,'Retirement Calculator'!A:A,0),0),0)</f>
        <v>0</v>
      </c>
      <c r="K4044" s="444">
        <f t="shared" ca="1" si="176"/>
        <v>-23197239636.736702</v>
      </c>
      <c r="L4044" s="444">
        <f t="shared" ca="1" si="177"/>
        <v>-5590534752453.5449</v>
      </c>
      <c r="M4044" s="460">
        <f t="shared" si="179"/>
        <v>0.05</v>
      </c>
      <c r="N4044" s="464">
        <f t="shared" si="180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78"/>
        <v>-5590534752453.5449</v>
      </c>
      <c r="J4045" s="444">
        <f t="array" ref="J4045">IFERROR(INDEX('Retirement Calculator'!J:J,MATCH('Isaac 401k'!N4045,'Retirement Calculator'!A:A,0),0),0)</f>
        <v>0</v>
      </c>
      <c r="K4045" s="444">
        <f t="shared" ca="1" si="176"/>
        <v>-23293894801.889771</v>
      </c>
      <c r="L4045" s="444">
        <f t="shared" ca="1" si="177"/>
        <v>-5613828647255.4346</v>
      </c>
      <c r="M4045" s="460">
        <f t="shared" si="179"/>
        <v>0.05</v>
      </c>
      <c r="N4045" s="464">
        <f t="shared" si="180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78"/>
        <v>-5613828647255.4346</v>
      </c>
      <c r="J4046" s="444">
        <f t="array" ref="J4046">IFERROR(INDEX('Retirement Calculator'!J:J,MATCH('Isaac 401k'!N4046,'Retirement Calculator'!A:A,0),0),0)</f>
        <v>0</v>
      </c>
      <c r="K4046" s="444">
        <f t="shared" ca="1" si="176"/>
        <v>-23390952696.897644</v>
      </c>
      <c r="L4046" s="444">
        <f t="shared" ca="1" si="177"/>
        <v>-5637219599952.332</v>
      </c>
      <c r="M4046" s="460">
        <f t="shared" si="179"/>
        <v>0.05</v>
      </c>
      <c r="N4046" s="464">
        <f t="shared" si="180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78"/>
        <v>-5637219599952.332</v>
      </c>
      <c r="J4047" s="444">
        <f t="array" ref="J4047">IFERROR(INDEX('Retirement Calculator'!J:J,MATCH('Isaac 401k'!N4047,'Retirement Calculator'!A:A,0),0),0)</f>
        <v>0</v>
      </c>
      <c r="K4047" s="444">
        <f t="shared" ca="1" si="176"/>
        <v>-23488414999.801384</v>
      </c>
      <c r="L4047" s="444">
        <f t="shared" ca="1" si="177"/>
        <v>-5660708014952.1338</v>
      </c>
      <c r="M4047" s="460">
        <f t="shared" si="179"/>
        <v>0.05</v>
      </c>
      <c r="N4047" s="464">
        <f t="shared" si="180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78"/>
        <v>-5660708014952.1338</v>
      </c>
      <c r="J4048" s="444">
        <f t="array" ref="J4048">IFERROR(INDEX('Retirement Calculator'!J:J,MATCH('Isaac 401k'!N4048,'Retirement Calculator'!A:A,0),0),0)</f>
        <v>0</v>
      </c>
      <c r="K4048" s="444">
        <f t="shared" ca="1" si="176"/>
        <v>-23586283395.633892</v>
      </c>
      <c r="L4048" s="444">
        <f t="shared" ca="1" si="177"/>
        <v>-5684294298347.7676</v>
      </c>
      <c r="M4048" s="460">
        <f t="shared" si="179"/>
        <v>0.05</v>
      </c>
      <c r="N4048" s="464">
        <f t="shared" si="180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78"/>
        <v>-5684294298347.7676</v>
      </c>
      <c r="J4049" s="444">
        <f t="array" ref="J4049">IFERROR(INDEX('Retirement Calculator'!J:J,MATCH('Isaac 401k'!N4049,'Retirement Calculator'!A:A,0),0),0)</f>
        <v>0</v>
      </c>
      <c r="K4049" s="444">
        <f t="shared" ca="1" si="176"/>
        <v>-23684559576.449032</v>
      </c>
      <c r="L4049" s="444">
        <f t="shared" ca="1" si="177"/>
        <v>-5707978857924.2168</v>
      </c>
      <c r="M4049" s="460">
        <f t="shared" si="179"/>
        <v>0.05</v>
      </c>
      <c r="N4049" s="464">
        <f t="shared" si="180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78"/>
        <v>-5707978857924.2168</v>
      </c>
      <c r="J4050" s="444">
        <f t="array" ref="J4050">IFERROR(INDEX('Retirement Calculator'!J:J,MATCH('Isaac 401k'!N4050,'Retirement Calculator'!A:A,0),0),0)</f>
        <v>0</v>
      </c>
      <c r="K4050" s="444">
        <f t="shared" ca="1" si="176"/>
        <v>-23783245241.350903</v>
      </c>
      <c r="L4050" s="444">
        <f t="shared" ca="1" si="177"/>
        <v>-5731762103165.5674</v>
      </c>
      <c r="M4050" s="460">
        <f t="shared" si="179"/>
        <v>0.05</v>
      </c>
      <c r="N4050" s="464">
        <f t="shared" si="180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78"/>
        <v>-5731762103165.5674</v>
      </c>
      <c r="J4051" s="444">
        <f t="array" ref="J4051">IFERROR(INDEX('Retirement Calculator'!J:J,MATCH('Isaac 401k'!N4051,'Retirement Calculator'!A:A,0),0),0)</f>
        <v>0</v>
      </c>
      <c r="K4051" s="444">
        <f t="shared" ca="1" si="176"/>
        <v>-23882342096.523197</v>
      </c>
      <c r="L4051" s="444">
        <f t="shared" ca="1" si="177"/>
        <v>-5755644445262.0908</v>
      </c>
      <c r="M4051" s="460">
        <f t="shared" si="179"/>
        <v>0.05</v>
      </c>
      <c r="N4051" s="464">
        <f t="shared" si="180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78"/>
        <v>-5755644445262.0908</v>
      </c>
      <c r="J4052" s="444">
        <f t="array" ref="J4052">IFERROR(INDEX('Retirement Calculator'!J:J,MATCH('Isaac 401k'!N4052,'Retirement Calculator'!A:A,0),0),0)</f>
        <v>0</v>
      </c>
      <c r="K4052" s="444">
        <f t="shared" ca="1" si="176"/>
        <v>-23981851855.258713</v>
      </c>
      <c r="L4052" s="444">
        <f t="shared" ca="1" si="177"/>
        <v>-5779626297117.3496</v>
      </c>
      <c r="M4052" s="460">
        <f t="shared" si="179"/>
        <v>0.05</v>
      </c>
      <c r="N4052" s="464">
        <f t="shared" si="180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78"/>
        <v>-5779626297117.3496</v>
      </c>
      <c r="J4053" s="444">
        <f t="array" ref="J4053">IFERROR(INDEX('Retirement Calculator'!J:J,MATCH('Isaac 401k'!N4053,'Retirement Calculator'!A:A,0),0),0)</f>
        <v>0</v>
      </c>
      <c r="K4053" s="444">
        <f t="shared" ca="1" si="176"/>
        <v>-24081776237.988956</v>
      </c>
      <c r="L4053" s="444">
        <f t="shared" ca="1" si="177"/>
        <v>-5803708073355.3389</v>
      </c>
      <c r="M4053" s="460">
        <f t="shared" si="179"/>
        <v>0.05</v>
      </c>
      <c r="N4053" s="464">
        <f t="shared" si="180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78"/>
        <v>-5803708073355.3389</v>
      </c>
      <c r="J4054" s="444">
        <f t="array" ref="J4054">IFERROR(INDEX('Retirement Calculator'!J:J,MATCH('Isaac 401k'!N4054,'Retirement Calculator'!A:A,0),0),0)</f>
        <v>0</v>
      </c>
      <c r="K4054" s="444">
        <f t="shared" ca="1" si="176"/>
        <v>-24182116972.313911</v>
      </c>
      <c r="L4054" s="444">
        <f t="shared" ca="1" si="177"/>
        <v>-5827890190327.6523</v>
      </c>
      <c r="M4054" s="460">
        <f t="shared" si="179"/>
        <v>0.05</v>
      </c>
      <c r="N4054" s="464">
        <f t="shared" si="180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78"/>
        <v>-5827890190327.6523</v>
      </c>
      <c r="J4055" s="444">
        <f t="array" ref="J4055">IFERROR(INDEX('Retirement Calculator'!J:J,MATCH('Isaac 401k'!N4055,'Retirement Calculator'!A:A,0),0),0)</f>
        <v>0</v>
      </c>
      <c r="K4055" s="444">
        <f t="shared" ca="1" si="176"/>
        <v>-24282875793.031883</v>
      </c>
      <c r="L4055" s="444">
        <f t="shared" ca="1" si="177"/>
        <v>-5852173066120.6846</v>
      </c>
      <c r="M4055" s="460">
        <f t="shared" si="179"/>
        <v>0.05</v>
      </c>
      <c r="N4055" s="464">
        <f t="shared" si="180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78"/>
        <v>-5852173066120.6846</v>
      </c>
      <c r="J4056" s="444">
        <f t="array" ref="J4056">IFERROR(INDEX('Retirement Calculator'!J:J,MATCH('Isaac 401k'!N4056,'Retirement Calculator'!A:A,0),0),0)</f>
        <v>0</v>
      </c>
      <c r="K4056" s="444">
        <f t="shared" ca="1" si="176"/>
        <v>-24384054442.169518</v>
      </c>
      <c r="L4056" s="444">
        <f t="shared" ca="1" si="177"/>
        <v>-5876557120562.8545</v>
      </c>
      <c r="M4056" s="460">
        <f t="shared" si="179"/>
        <v>0.05</v>
      </c>
      <c r="N4056" s="464">
        <f t="shared" si="180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78"/>
        <v>-5876557120562.8545</v>
      </c>
      <c r="J4057" s="444">
        <f t="array" ref="J4057">IFERROR(INDEX('Retirement Calculator'!J:J,MATCH('Isaac 401k'!N4057,'Retirement Calculator'!A:A,0),0),0)</f>
        <v>0</v>
      </c>
      <c r="K4057" s="444">
        <f t="shared" ca="1" si="176"/>
        <v>-24485654669.011894</v>
      </c>
      <c r="L4057" s="444">
        <f t="shared" ca="1" si="177"/>
        <v>-5901042775231.8662</v>
      </c>
      <c r="M4057" s="460">
        <f t="shared" si="179"/>
        <v>0.05</v>
      </c>
      <c r="N4057" s="464">
        <f t="shared" si="180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78"/>
        <v>-5901042775231.8662</v>
      </c>
      <c r="J4058" s="444">
        <f t="array" ref="J4058">IFERROR(INDEX('Retirement Calculator'!J:J,MATCH('Isaac 401k'!N4058,'Retirement Calculator'!A:A,0),0),0)</f>
        <v>0</v>
      </c>
      <c r="K4058" s="444">
        <f t="shared" ca="1" si="176"/>
        <v>-24587678230.132774</v>
      </c>
      <c r="L4058" s="444">
        <f t="shared" ca="1" si="177"/>
        <v>-5925630453461.999</v>
      </c>
      <c r="M4058" s="460">
        <f t="shared" si="179"/>
        <v>0.05</v>
      </c>
      <c r="N4058" s="464">
        <f t="shared" si="180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78"/>
        <v>-5925630453461.999</v>
      </c>
      <c r="J4059" s="444">
        <f t="array" ref="J4059">IFERROR(INDEX('Retirement Calculator'!J:J,MATCH('Isaac 401k'!N4059,'Retirement Calculator'!A:A,0),0),0)</f>
        <v>0</v>
      </c>
      <c r="K4059" s="444">
        <f t="shared" ca="1" si="176"/>
        <v>-24690126889.424995</v>
      </c>
      <c r="L4059" s="444">
        <f t="shared" ca="1" si="177"/>
        <v>-5950320580351.4238</v>
      </c>
      <c r="M4059" s="460">
        <f t="shared" si="179"/>
        <v>0.05</v>
      </c>
      <c r="N4059" s="464">
        <f t="shared" si="180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78"/>
        <v>-5950320580351.4238</v>
      </c>
      <c r="J4060" s="444">
        <f t="array" ref="J4060">IFERROR(INDEX('Retirement Calculator'!J:J,MATCH('Isaac 401k'!N4060,'Retirement Calculator'!A:A,0),0),0)</f>
        <v>0</v>
      </c>
      <c r="K4060" s="444">
        <f t="shared" ca="1" si="176"/>
        <v>-24793002418.130932</v>
      </c>
      <c r="L4060" s="444">
        <f t="shared" ca="1" si="177"/>
        <v>-5975113582769.5547</v>
      </c>
      <c r="M4060" s="460">
        <f t="shared" si="179"/>
        <v>0.05</v>
      </c>
      <c r="N4060" s="464">
        <f t="shared" si="180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78"/>
        <v>-5975113582769.5547</v>
      </c>
      <c r="J4061" s="444">
        <f t="array" ref="J4061">IFERROR(INDEX('Retirement Calculator'!J:J,MATCH('Isaac 401k'!N4061,'Retirement Calculator'!A:A,0),0),0)</f>
        <v>0</v>
      </c>
      <c r="K4061" s="444">
        <f t="shared" ca="1" si="176"/>
        <v>-24896306594.873146</v>
      </c>
      <c r="L4061" s="444">
        <f t="shared" ca="1" si="177"/>
        <v>-6000009889364.4277</v>
      </c>
      <c r="M4061" s="460">
        <f t="shared" si="179"/>
        <v>0.05</v>
      </c>
      <c r="N4061" s="464">
        <f t="shared" si="180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78"/>
        <v>-6000009889364.4277</v>
      </c>
      <c r="J4062" s="444">
        <f t="array" ref="J4062">IFERROR(INDEX('Retirement Calculator'!J:J,MATCH('Isaac 401k'!N4062,'Retirement Calculator'!A:A,0),0),0)</f>
        <v>0</v>
      </c>
      <c r="K4062" s="444">
        <f t="shared" ca="1" si="176"/>
        <v>-25000041205.685116</v>
      </c>
      <c r="L4062" s="444">
        <f t="shared" ca="1" si="177"/>
        <v>-6025009930570.1133</v>
      </c>
      <c r="M4062" s="460">
        <f t="shared" si="179"/>
        <v>0.05</v>
      </c>
      <c r="N4062" s="464">
        <f t="shared" si="180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78"/>
        <v>-6025009930570.1133</v>
      </c>
      <c r="J4063" s="444">
        <f t="array" ref="J4063">IFERROR(INDEX('Retirement Calculator'!J:J,MATCH('Isaac 401k'!N4063,'Retirement Calculator'!A:A,0),0),0)</f>
        <v>0</v>
      </c>
      <c r="K4063" s="444">
        <f t="shared" ca="1" si="176"/>
        <v>-25104208044.042137</v>
      </c>
      <c r="L4063" s="444">
        <f t="shared" ca="1" si="177"/>
        <v>-6050114138614.1553</v>
      </c>
      <c r="M4063" s="460">
        <f t="shared" si="179"/>
        <v>0.05</v>
      </c>
      <c r="N4063" s="464">
        <f t="shared" si="180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78"/>
        <v>-6050114138614.1553</v>
      </c>
      <c r="J4064" s="444">
        <f t="array" ref="J4064">IFERROR(INDEX('Retirement Calculator'!J:J,MATCH('Isaac 401k'!N4064,'Retirement Calculator'!A:A,0),0),0)</f>
        <v>0</v>
      </c>
      <c r="K4064" s="444">
        <f t="shared" ca="1" si="176"/>
        <v>-25208808910.892315</v>
      </c>
      <c r="L4064" s="444">
        <f t="shared" ca="1" si="177"/>
        <v>-6075322947525.0479</v>
      </c>
      <c r="M4064" s="460">
        <f t="shared" si="179"/>
        <v>0.05</v>
      </c>
      <c r="N4064" s="464">
        <f t="shared" si="180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78"/>
        <v>-6075322947525.0479</v>
      </c>
      <c r="J4065" s="444">
        <f t="array" ref="J4065">IFERROR(INDEX('Retirement Calculator'!J:J,MATCH('Isaac 401k'!N4065,'Retirement Calculator'!A:A,0),0),0)</f>
        <v>0</v>
      </c>
      <c r="K4065" s="444">
        <f t="shared" ca="1" si="176"/>
        <v>-25313845614.687698</v>
      </c>
      <c r="L4065" s="444">
        <f t="shared" ca="1" si="177"/>
        <v>-6100636793139.7354</v>
      </c>
      <c r="M4065" s="460">
        <f t="shared" si="179"/>
        <v>0.05</v>
      </c>
      <c r="N4065" s="464">
        <f t="shared" si="180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78"/>
        <v>-6100636793139.7354</v>
      </c>
      <c r="J4066" s="444">
        <f t="array" ref="J4066">IFERROR(INDEX('Retirement Calculator'!J:J,MATCH('Isaac 401k'!N4066,'Retirement Calculator'!A:A,0),0),0)</f>
        <v>0</v>
      </c>
      <c r="K4066" s="444">
        <f t="shared" ca="1" si="176"/>
        <v>-25419319971.415565</v>
      </c>
      <c r="L4066" s="444">
        <f t="shared" ca="1" si="177"/>
        <v>-6126056113111.1514</v>
      </c>
      <c r="M4066" s="460">
        <f t="shared" si="179"/>
        <v>0.05</v>
      </c>
      <c r="N4066" s="464">
        <f t="shared" si="180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78"/>
        <v>-6126056113111.1514</v>
      </c>
      <c r="J4067" s="444">
        <f t="array" ref="J4067">IFERROR(INDEX('Retirement Calculator'!J:J,MATCH('Isaac 401k'!N4067,'Retirement Calculator'!A:A,0),0),0)</f>
        <v>0</v>
      </c>
      <c r="K4067" s="444">
        <f t="shared" ca="1" si="176"/>
        <v>-25525233804.629799</v>
      </c>
      <c r="L4067" s="444">
        <f t="shared" ca="1" si="177"/>
        <v>-6151581346915.7813</v>
      </c>
      <c r="M4067" s="460">
        <f t="shared" si="179"/>
        <v>0.05</v>
      </c>
      <c r="N4067" s="464">
        <f t="shared" si="180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78"/>
        <v>-6151581346915.7813</v>
      </c>
      <c r="J4068" s="444">
        <f t="array" ref="J4068">IFERROR(INDEX('Retirement Calculator'!J:J,MATCH('Isaac 401k'!N4068,'Retirement Calculator'!A:A,0),0),0)</f>
        <v>0</v>
      </c>
      <c r="K4068" s="444">
        <f t="shared" ca="1" si="176"/>
        <v>-25631588945.482422</v>
      </c>
      <c r="L4068" s="444">
        <f t="shared" ca="1" si="177"/>
        <v>-6177212935861.2637</v>
      </c>
      <c r="M4068" s="460">
        <f t="shared" si="179"/>
        <v>0.05</v>
      </c>
      <c r="N4068" s="464">
        <f t="shared" si="180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78"/>
        <v>-6177212935861.2637</v>
      </c>
      <c r="J4069" s="444">
        <f t="array" ref="J4069">IFERROR(INDEX('Retirement Calculator'!J:J,MATCH('Isaac 401k'!N4069,'Retirement Calculator'!A:A,0),0),0)</f>
        <v>0</v>
      </c>
      <c r="K4069" s="444">
        <f t="shared" ca="1" si="176"/>
        <v>-25738387232.755264</v>
      </c>
      <c r="L4069" s="444">
        <f t="shared" ca="1" si="177"/>
        <v>-6202951323094.0186</v>
      </c>
      <c r="M4069" s="460">
        <f t="shared" si="179"/>
        <v>0.05</v>
      </c>
      <c r="N4069" s="464">
        <f t="shared" si="180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78"/>
        <v>-6202951323094.0186</v>
      </c>
      <c r="J4070" s="444">
        <f t="array" ref="J4070">IFERROR(INDEX('Retirement Calculator'!J:J,MATCH('Isaac 401k'!N4070,'Retirement Calculator'!A:A,0),0),0)</f>
        <v>0</v>
      </c>
      <c r="K4070" s="444">
        <f t="shared" ca="1" si="176"/>
        <v>-25845630512.891743</v>
      </c>
      <c r="L4070" s="444">
        <f t="shared" ca="1" si="177"/>
        <v>-6228796953606.9102</v>
      </c>
      <c r="M4070" s="460">
        <f t="shared" si="179"/>
        <v>0.05</v>
      </c>
      <c r="N4070" s="464">
        <f t="shared" si="180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78"/>
        <v>-6228796953606.9102</v>
      </c>
      <c r="J4071" s="444">
        <f t="array" ref="J4071">IFERROR(INDEX('Retirement Calculator'!J:J,MATCH('Isaac 401k'!N4071,'Retirement Calculator'!A:A,0),0),0)</f>
        <v>0</v>
      </c>
      <c r="K4071" s="444">
        <f t="shared" ca="1" si="176"/>
        <v>-25953320640.028793</v>
      </c>
      <c r="L4071" s="444">
        <f t="shared" ca="1" si="177"/>
        <v>-6254750274246.9385</v>
      </c>
      <c r="M4071" s="460">
        <f t="shared" si="179"/>
        <v>0.05</v>
      </c>
      <c r="N4071" s="464">
        <f t="shared" si="180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78"/>
        <v>-6254750274246.9385</v>
      </c>
      <c r="J4072" s="444">
        <f t="array" ref="J4072">IFERROR(INDEX('Retirement Calculator'!J:J,MATCH('Isaac 401k'!N4072,'Retirement Calculator'!A:A,0),0),0)</f>
        <v>0</v>
      </c>
      <c r="K4072" s="444">
        <f t="shared" ca="1" si="176"/>
        <v>-26061459476.028912</v>
      </c>
      <c r="L4072" s="444">
        <f t="shared" ca="1" si="177"/>
        <v>-6280811733722.9678</v>
      </c>
      <c r="M4072" s="460">
        <f t="shared" si="179"/>
        <v>0.05</v>
      </c>
      <c r="N4072" s="464">
        <f t="shared" si="180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78"/>
        <v>-6280811733722.9678</v>
      </c>
      <c r="J4073" s="444">
        <f t="array" ref="J4073">IFERROR(INDEX('Retirement Calculator'!J:J,MATCH('Isaac 401k'!N4073,'Retirement Calculator'!A:A,0),0),0)</f>
        <v>0</v>
      </c>
      <c r="K4073" s="444">
        <f t="shared" ca="1" si="176"/>
        <v>-26170048890.512367</v>
      </c>
      <c r="L4073" s="444">
        <f t="shared" ca="1" si="177"/>
        <v>-6306981782613.4805</v>
      </c>
      <c r="M4073" s="460">
        <f t="shared" si="179"/>
        <v>0.05</v>
      </c>
      <c r="N4073" s="464">
        <f t="shared" si="180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78"/>
        <v>-6306981782613.4805</v>
      </c>
      <c r="J4074" s="444">
        <f t="array" ref="J4074">IFERROR(INDEX('Retirement Calculator'!J:J,MATCH('Isaac 401k'!N4074,'Retirement Calculator'!A:A,0),0),0)</f>
        <v>0</v>
      </c>
      <c r="K4074" s="444">
        <f t="shared" ca="1" si="176"/>
        <v>-26279090760.889503</v>
      </c>
      <c r="L4074" s="444">
        <f t="shared" ca="1" si="177"/>
        <v>-6333260873374.3701</v>
      </c>
      <c r="M4074" s="460">
        <f t="shared" si="179"/>
        <v>0.05</v>
      </c>
      <c r="N4074" s="464">
        <f t="shared" si="180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78"/>
        <v>-6333260873374.3701</v>
      </c>
      <c r="J4075" s="444">
        <f t="array" ref="J4075">IFERROR(INDEX('Retirement Calculator'!J:J,MATCH('Isaac 401k'!N4075,'Retirement Calculator'!A:A,0),0),0)</f>
        <v>0</v>
      </c>
      <c r="K4075" s="444">
        <f t="shared" ca="1" si="176"/>
        <v>-26388586972.393208</v>
      </c>
      <c r="L4075" s="444">
        <f t="shared" ca="1" si="177"/>
        <v>-6359649460346.7637</v>
      </c>
      <c r="M4075" s="460">
        <f t="shared" si="179"/>
        <v>0.05</v>
      </c>
      <c r="N4075" s="464">
        <f t="shared" si="180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78"/>
        <v>-6359649460346.7637</v>
      </c>
      <c r="J4076" s="444">
        <f t="array" ref="J4076">IFERROR(INDEX('Retirement Calculator'!J:J,MATCH('Isaac 401k'!N4076,'Retirement Calculator'!A:A,0),0),0)</f>
        <v>0</v>
      </c>
      <c r="K4076" s="444">
        <f t="shared" ca="1" si="176"/>
        <v>-26498539418.111515</v>
      </c>
      <c r="L4076" s="444">
        <f t="shared" ca="1" si="177"/>
        <v>-6386147999764.875</v>
      </c>
      <c r="M4076" s="460">
        <f t="shared" si="179"/>
        <v>0.05</v>
      </c>
      <c r="N4076" s="464">
        <f t="shared" si="180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78"/>
        <v>-6386147999764.875</v>
      </c>
      <c r="J4077" s="444">
        <f t="array" ref="J4077">IFERROR(INDEX('Retirement Calculator'!J:J,MATCH('Isaac 401k'!N4077,'Retirement Calculator'!A:A,0),0),0)</f>
        <v>0</v>
      </c>
      <c r="K4077" s="444">
        <f t="shared" ca="1" si="176"/>
        <v>-26608949999.020313</v>
      </c>
      <c r="L4077" s="444">
        <f t="shared" ca="1" si="177"/>
        <v>-6412756949763.8955</v>
      </c>
      <c r="M4077" s="460">
        <f t="shared" si="179"/>
        <v>0.05</v>
      </c>
      <c r="N4077" s="464">
        <f t="shared" si="180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78"/>
        <v>-6412756949763.8955</v>
      </c>
      <c r="J4078" s="444">
        <f t="array" ref="J4078">IFERROR(INDEX('Retirement Calculator'!J:J,MATCH('Isaac 401k'!N4078,'Retirement Calculator'!A:A,0),0),0)</f>
        <v>0</v>
      </c>
      <c r="K4078" s="444">
        <f t="shared" ca="1" si="176"/>
        <v>-26719820624.016232</v>
      </c>
      <c r="L4078" s="444">
        <f t="shared" ca="1" si="177"/>
        <v>-6439476770387.9121</v>
      </c>
      <c r="M4078" s="460">
        <f t="shared" si="179"/>
        <v>0.05</v>
      </c>
      <c r="N4078" s="464">
        <f t="shared" si="180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78"/>
        <v>-6439476770387.9121</v>
      </c>
      <c r="J4079" s="444">
        <f t="array" ref="J4079">IFERROR(INDEX('Retirement Calculator'!J:J,MATCH('Isaac 401k'!N4079,'Retirement Calculator'!A:A,0),0),0)</f>
        <v>0</v>
      </c>
      <c r="K4079" s="444">
        <f t="shared" ca="1" si="176"/>
        <v>-26831153209.949635</v>
      </c>
      <c r="L4079" s="444">
        <f t="shared" ca="1" si="177"/>
        <v>-6466307923597.8613</v>
      </c>
      <c r="M4079" s="460">
        <f t="shared" si="179"/>
        <v>0.05</v>
      </c>
      <c r="N4079" s="464">
        <f t="shared" si="180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78"/>
        <v>-6466307923597.8613</v>
      </c>
      <c r="J4080" s="444">
        <f t="array" ref="J4080">IFERROR(INDEX('Retirement Calculator'!J:J,MATCH('Isaac 401k'!N4080,'Retirement Calculator'!A:A,0),0),0)</f>
        <v>0</v>
      </c>
      <c r="K4080" s="444">
        <f t="shared" ca="1" si="176"/>
        <v>-26942949681.657757</v>
      </c>
      <c r="L4080" s="444">
        <f t="shared" ca="1" si="177"/>
        <v>-6493250873279.5195</v>
      </c>
      <c r="M4080" s="460">
        <f t="shared" si="179"/>
        <v>0.05</v>
      </c>
      <c r="N4080" s="464">
        <f t="shared" si="180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78"/>
        <v>-6493250873279.5195</v>
      </c>
      <c r="J4081" s="444">
        <f t="array" ref="J4081">IFERROR(INDEX('Retirement Calculator'!J:J,MATCH('Isaac 401k'!N4081,'Retirement Calculator'!A:A,0),0),0)</f>
        <v>0</v>
      </c>
      <c r="K4081" s="444">
        <f t="shared" ca="1" si="176"/>
        <v>-27055211971.997997</v>
      </c>
      <c r="L4081" s="444">
        <f t="shared" ca="1" si="177"/>
        <v>-6520306085251.5176</v>
      </c>
      <c r="M4081" s="460">
        <f t="shared" si="179"/>
        <v>0.05</v>
      </c>
      <c r="N4081" s="464">
        <f t="shared" si="180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78"/>
        <v>-6520306085251.5176</v>
      </c>
      <c r="J4082" s="444">
        <f t="array" ref="J4082">IFERROR(INDEX('Retirement Calculator'!J:J,MATCH('Isaac 401k'!N4082,'Retirement Calculator'!A:A,0),0),0)</f>
        <v>0</v>
      </c>
      <c r="K4082" s="444">
        <f t="shared" ca="1" si="176"/>
        <v>-27167942021.881325</v>
      </c>
      <c r="L4082" s="444">
        <f t="shared" ca="1" si="177"/>
        <v>-6547474027273.3984</v>
      </c>
      <c r="M4082" s="460">
        <f t="shared" si="179"/>
        <v>0.05</v>
      </c>
      <c r="N4082" s="464">
        <f t="shared" si="180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78"/>
        <v>-6547474027273.3984</v>
      </c>
      <c r="J4083" s="444">
        <f t="array" ref="J4083">IFERROR(INDEX('Retirement Calculator'!J:J,MATCH('Isaac 401k'!N4083,'Retirement Calculator'!A:A,0),0),0)</f>
        <v>0</v>
      </c>
      <c r="K4083" s="444">
        <f t="shared" ca="1" si="176"/>
        <v>-27281141780.305828</v>
      </c>
      <c r="L4083" s="444">
        <f t="shared" ca="1" si="177"/>
        <v>-6574755169053.7041</v>
      </c>
      <c r="M4083" s="460">
        <f t="shared" si="179"/>
        <v>0.05</v>
      </c>
      <c r="N4083" s="464">
        <f t="shared" si="180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78"/>
        <v>-6574755169053.7041</v>
      </c>
      <c r="J4084" s="444">
        <f t="array" ref="J4084">IFERROR(INDEX('Retirement Calculator'!J:J,MATCH('Isaac 401k'!N4084,'Retirement Calculator'!A:A,0),0),0)</f>
        <v>0</v>
      </c>
      <c r="K4084" s="444">
        <f t="shared" ca="1" si="176"/>
        <v>-27394813204.390434</v>
      </c>
      <c r="L4084" s="444">
        <f t="shared" ca="1" si="177"/>
        <v>-6602149982258.0947</v>
      </c>
      <c r="M4084" s="460">
        <f t="shared" si="179"/>
        <v>0.05</v>
      </c>
      <c r="N4084" s="464">
        <f t="shared" si="180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78"/>
        <v>-6602149982258.0947</v>
      </c>
      <c r="J4085" s="444">
        <f t="array" ref="J4085">IFERROR(INDEX('Retirement Calculator'!J:J,MATCH('Isaac 401k'!N4085,'Retirement Calculator'!A:A,0),0),0)</f>
        <v>0</v>
      </c>
      <c r="K4085" s="444">
        <f t="shared" ca="1" si="176"/>
        <v>-27508958259.40873</v>
      </c>
      <c r="L4085" s="444">
        <f t="shared" ca="1" si="177"/>
        <v>-6629658940517.5039</v>
      </c>
      <c r="M4085" s="460">
        <f t="shared" si="179"/>
        <v>0.05</v>
      </c>
      <c r="N4085" s="464">
        <f t="shared" si="180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78"/>
        <v>-6629658940517.5039</v>
      </c>
      <c r="J4086" s="444">
        <f t="array" ref="J4086">IFERROR(INDEX('Retirement Calculator'!J:J,MATCH('Isaac 401k'!N4086,'Retirement Calculator'!A:A,0),0),0)</f>
        <v>0</v>
      </c>
      <c r="K4086" s="444">
        <f t="shared" ca="1" si="176"/>
        <v>-27623578918.822933</v>
      </c>
      <c r="L4086" s="444">
        <f t="shared" ca="1" si="177"/>
        <v>-6657282519436.3271</v>
      </c>
      <c r="M4086" s="460">
        <f t="shared" si="179"/>
        <v>0.05</v>
      </c>
      <c r="N4086" s="464">
        <f t="shared" si="180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78"/>
        <v>-6657282519436.3271</v>
      </c>
      <c r="J4087" s="444">
        <f t="array" ref="J4087">IFERROR(INDEX('Retirement Calculator'!J:J,MATCH('Isaac 401k'!N4087,'Retirement Calculator'!A:A,0),0),0)</f>
        <v>0</v>
      </c>
      <c r="K4087" s="444">
        <f t="shared" ca="1" si="176"/>
        <v>-27738677164.318027</v>
      </c>
      <c r="L4087" s="444">
        <f t="shared" ca="1" si="177"/>
        <v>-6685021196600.6455</v>
      </c>
      <c r="M4087" s="460">
        <f t="shared" si="179"/>
        <v>0.05</v>
      </c>
      <c r="N4087" s="464">
        <f t="shared" si="180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78"/>
        <v>-6685021196600.6455</v>
      </c>
      <c r="J4088" s="444">
        <f t="array" ref="J4088">IFERROR(INDEX('Retirement Calculator'!J:J,MATCH('Isaac 401k'!N4088,'Retirement Calculator'!A:A,0),0),0)</f>
        <v>0</v>
      </c>
      <c r="K4088" s="444">
        <f t="shared" ref="K4088:K4342" ca="1" si="181">IPMT(M4088/12,1,12,-I4088+J4088,,0)</f>
        <v>-27854254985.836021</v>
      </c>
      <c r="L4088" s="444">
        <f t="shared" ref="L4088:L4342" ca="1" si="182">I4088-J4088+K4088</f>
        <v>-6712875451586.4814</v>
      </c>
      <c r="M4088" s="460">
        <f t="shared" si="179"/>
        <v>0.05</v>
      </c>
      <c r="N4088" s="464">
        <f t="shared" si="180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83">L4088</f>
        <v>-6712875451586.4814</v>
      </c>
      <c r="J4089" s="444">
        <f t="array" ref="J4089">IFERROR(INDEX('Retirement Calculator'!J:J,MATCH('Isaac 401k'!N4089,'Retirement Calculator'!A:A,0),0),0)</f>
        <v>0</v>
      </c>
      <c r="K4089" s="444">
        <f t="shared" ca="1" si="181"/>
        <v>-27970314381.61034</v>
      </c>
      <c r="L4089" s="444">
        <f t="shared" ca="1" si="182"/>
        <v>-6740845765968.0918</v>
      </c>
      <c r="M4089" s="460">
        <f t="shared" ref="M4089:M4343" si="184">M4088</f>
        <v>0.05</v>
      </c>
      <c r="N4089" s="464">
        <f t="shared" ref="N4089:N4343" si="185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83"/>
        <v>-6740845765968.0918</v>
      </c>
      <c r="J4090" s="444">
        <f t="array" ref="J4090">IFERROR(INDEX('Retirement Calculator'!J:J,MATCH('Isaac 401k'!N4090,'Retirement Calculator'!A:A,0),0),0)</f>
        <v>0</v>
      </c>
      <c r="K4090" s="444">
        <f t="shared" ca="1" si="181"/>
        <v>-28086857358.200382</v>
      </c>
      <c r="L4090" s="444">
        <f t="shared" ca="1" si="182"/>
        <v>-6768932623326.292</v>
      </c>
      <c r="M4090" s="460">
        <f t="shared" si="184"/>
        <v>0.05</v>
      </c>
      <c r="N4090" s="464">
        <f t="shared" si="185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83"/>
        <v>-6768932623326.292</v>
      </c>
      <c r="J4091" s="444">
        <f t="array" ref="J4091">IFERROR(INDEX('Retirement Calculator'!J:J,MATCH('Isaac 401k'!N4091,'Retirement Calculator'!A:A,0),0),0)</f>
        <v>0</v>
      </c>
      <c r="K4091" s="444">
        <f t="shared" ca="1" si="181"/>
        <v>-28203885930.526215</v>
      </c>
      <c r="L4091" s="444">
        <f t="shared" ca="1" si="182"/>
        <v>-6797136509256.8184</v>
      </c>
      <c r="M4091" s="460">
        <f t="shared" si="184"/>
        <v>0.05</v>
      </c>
      <c r="N4091" s="464">
        <f t="shared" si="185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83"/>
        <v>-6797136509256.8184</v>
      </c>
      <c r="J4092" s="444">
        <f t="array" ref="J4092">IFERROR(INDEX('Retirement Calculator'!J:J,MATCH('Isaac 401k'!N4092,'Retirement Calculator'!A:A,0),0),0)</f>
        <v>0</v>
      </c>
      <c r="K4092" s="444">
        <f t="shared" ca="1" si="181"/>
        <v>-28321402121.903408</v>
      </c>
      <c r="L4092" s="444">
        <f t="shared" ca="1" si="182"/>
        <v>-6825457911378.7217</v>
      </c>
      <c r="M4092" s="460">
        <f t="shared" si="184"/>
        <v>0.05</v>
      </c>
      <c r="N4092" s="464">
        <f t="shared" si="185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83"/>
        <v>-6825457911378.7217</v>
      </c>
      <c r="J4093" s="444">
        <f t="array" ref="J4093">IFERROR(INDEX('Retirement Calculator'!J:J,MATCH('Isaac 401k'!N4093,'Retirement Calculator'!A:A,0),0),0)</f>
        <v>0</v>
      </c>
      <c r="K4093" s="444">
        <f t="shared" ca="1" si="181"/>
        <v>-28439407964.078007</v>
      </c>
      <c r="L4093" s="444">
        <f t="shared" ca="1" si="182"/>
        <v>-6853897319342.7998</v>
      </c>
      <c r="M4093" s="460">
        <f t="shared" si="184"/>
        <v>0.05</v>
      </c>
      <c r="N4093" s="464">
        <f t="shared" si="185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83"/>
        <v>-6853897319342.7998</v>
      </c>
      <c r="J4094" s="444">
        <f t="array" ref="J4094">IFERROR(INDEX('Retirement Calculator'!J:J,MATCH('Isaac 401k'!N4094,'Retirement Calculator'!A:A,0),0),0)</f>
        <v>0</v>
      </c>
      <c r="K4094" s="444">
        <f t="shared" ca="1" si="181"/>
        <v>-28557905497.261665</v>
      </c>
      <c r="L4094" s="444">
        <f t="shared" ca="1" si="182"/>
        <v>-6882455224840.0615</v>
      </c>
      <c r="M4094" s="460">
        <f t="shared" si="184"/>
        <v>0.05</v>
      </c>
      <c r="N4094" s="464">
        <f t="shared" si="185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83"/>
        <v>-6882455224840.0615</v>
      </c>
      <c r="J4095" s="444">
        <f t="array" ref="J4095">IFERROR(INDEX('Retirement Calculator'!J:J,MATCH('Isaac 401k'!N4095,'Retirement Calculator'!A:A,0),0),0)</f>
        <v>0</v>
      </c>
      <c r="K4095" s="444">
        <f t="shared" ca="1" si="181"/>
        <v>-28676896770.166927</v>
      </c>
      <c r="L4095" s="444">
        <f t="shared" ca="1" si="182"/>
        <v>-6911132121610.2285</v>
      </c>
      <c r="M4095" s="460">
        <f t="shared" si="184"/>
        <v>0.05</v>
      </c>
      <c r="N4095" s="464">
        <f t="shared" si="185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83"/>
        <v>-6911132121610.2285</v>
      </c>
      <c r="J4096" s="444">
        <f t="array" ref="J4096">IFERROR(INDEX('Retirement Calculator'!J:J,MATCH('Isaac 401k'!N4096,'Retirement Calculator'!A:A,0),0),0)</f>
        <v>0</v>
      </c>
      <c r="K4096" s="444">
        <f t="shared" ca="1" si="181"/>
        <v>-28796383840.042622</v>
      </c>
      <c r="L4096" s="444">
        <f t="shared" ca="1" si="182"/>
        <v>-6939928505450.2715</v>
      </c>
      <c r="M4096" s="460">
        <f t="shared" si="184"/>
        <v>0.05</v>
      </c>
      <c r="N4096" s="464">
        <f t="shared" si="185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83"/>
        <v>-6939928505450.2715</v>
      </c>
      <c r="J4097" s="444">
        <f t="array" ref="J4097">IFERROR(INDEX('Retirement Calculator'!J:J,MATCH('Isaac 401k'!N4097,'Retirement Calculator'!A:A,0),0),0)</f>
        <v>0</v>
      </c>
      <c r="K4097" s="444">
        <f t="shared" ca="1" si="181"/>
        <v>-28916368772.709465</v>
      </c>
      <c r="L4097" s="444">
        <f t="shared" ca="1" si="182"/>
        <v>-6968844874222.9805</v>
      </c>
      <c r="M4097" s="460">
        <f t="shared" si="184"/>
        <v>0.05</v>
      </c>
      <c r="N4097" s="464">
        <f t="shared" si="185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83"/>
        <v>-6968844874222.9805</v>
      </c>
      <c r="J4098" s="444">
        <f t="array" ref="J4098">IFERROR(INDEX('Retirement Calculator'!J:J,MATCH('Isaac 401k'!N4098,'Retirement Calculator'!A:A,0),0),0)</f>
        <v>0</v>
      </c>
      <c r="K4098" s="444">
        <f t="shared" ca="1" si="181"/>
        <v>-29036853642.595757</v>
      </c>
      <c r="L4098" s="444">
        <f t="shared" ca="1" si="182"/>
        <v>-6997881727865.5762</v>
      </c>
      <c r="M4098" s="460">
        <f t="shared" si="184"/>
        <v>0.05</v>
      </c>
      <c r="N4098" s="464">
        <f t="shared" si="185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83"/>
        <v>-6997881727865.5762</v>
      </c>
      <c r="J4099" s="444">
        <f t="array" ref="J4099">IFERROR(INDEX('Retirement Calculator'!J:J,MATCH('Isaac 401k'!N4099,'Retirement Calculator'!A:A,0),0),0)</f>
        <v>0</v>
      </c>
      <c r="K4099" s="444">
        <f t="shared" ca="1" si="181"/>
        <v>-29157840532.773235</v>
      </c>
      <c r="L4099" s="444">
        <f t="shared" ca="1" si="182"/>
        <v>-7027039568398.3496</v>
      </c>
      <c r="M4099" s="460">
        <f t="shared" si="184"/>
        <v>0.05</v>
      </c>
      <c r="N4099" s="464">
        <f t="shared" si="185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83"/>
        <v>-7027039568398.3496</v>
      </c>
      <c r="J4100" s="444">
        <f t="array" ref="J4100">IFERROR(INDEX('Retirement Calculator'!J:J,MATCH('Isaac 401k'!N4100,'Retirement Calculator'!A:A,0),0),0)</f>
        <v>0</v>
      </c>
      <c r="K4100" s="444">
        <f t="shared" ca="1" si="181"/>
        <v>-29279331534.993122</v>
      </c>
      <c r="L4100" s="444">
        <f t="shared" ca="1" si="182"/>
        <v>-7056318899933.3428</v>
      </c>
      <c r="M4100" s="460">
        <f t="shared" si="184"/>
        <v>0.05</v>
      </c>
      <c r="N4100" s="464">
        <f t="shared" si="185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83"/>
        <v>-7056318899933.3428</v>
      </c>
      <c r="J4101" s="444">
        <f t="array" ref="J4101">IFERROR(INDEX('Retirement Calculator'!J:J,MATCH('Isaac 401k'!N4101,'Retirement Calculator'!A:A,0),0),0)</f>
        <v>0</v>
      </c>
      <c r="K4101" s="444">
        <f t="shared" ca="1" si="181"/>
        <v>-29401328749.72226</v>
      </c>
      <c r="L4101" s="444">
        <f t="shared" ca="1" si="182"/>
        <v>-7085720228683.0654</v>
      </c>
      <c r="M4101" s="460">
        <f t="shared" si="184"/>
        <v>0.05</v>
      </c>
      <c r="N4101" s="464">
        <f t="shared" si="185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83"/>
        <v>-7085720228683.0654</v>
      </c>
      <c r="J4102" s="444">
        <f t="array" ref="J4102">IFERROR(INDEX('Retirement Calculator'!J:J,MATCH('Isaac 401k'!N4102,'Retirement Calculator'!A:A,0),0),0)</f>
        <v>0</v>
      </c>
      <c r="K4102" s="444">
        <f t="shared" ca="1" si="181"/>
        <v>-29523834286.179443</v>
      </c>
      <c r="L4102" s="444">
        <f t="shared" ca="1" si="182"/>
        <v>-7115244062969.2451</v>
      </c>
      <c r="M4102" s="460">
        <f t="shared" si="184"/>
        <v>0.05</v>
      </c>
      <c r="N4102" s="464">
        <f t="shared" si="185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83"/>
        <v>-7115244062969.2451</v>
      </c>
      <c r="J4103" s="444">
        <f t="array" ref="J4103">IFERROR(INDEX('Retirement Calculator'!J:J,MATCH('Isaac 401k'!N4103,'Retirement Calculator'!A:A,0),0),0)</f>
        <v>0</v>
      </c>
      <c r="K4103" s="444">
        <f t="shared" ca="1" si="181"/>
        <v>-29646850262.371853</v>
      </c>
      <c r="L4103" s="444">
        <f t="shared" ca="1" si="182"/>
        <v>-7144890913231.6172</v>
      </c>
      <c r="M4103" s="460">
        <f t="shared" si="184"/>
        <v>0.05</v>
      </c>
      <c r="N4103" s="464">
        <f t="shared" si="185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83"/>
        <v>-7144890913231.6172</v>
      </c>
      <c r="J4104" s="444">
        <f t="array" ref="J4104">IFERROR(INDEX('Retirement Calculator'!J:J,MATCH('Isaac 401k'!N4104,'Retirement Calculator'!A:A,0),0),0)</f>
        <v>0</v>
      </c>
      <c r="K4104" s="444">
        <f t="shared" ca="1" si="181"/>
        <v>-29770378805.131733</v>
      </c>
      <c r="L4104" s="444">
        <f t="shared" ca="1" si="182"/>
        <v>-7174661292036.749</v>
      </c>
      <c r="M4104" s="460">
        <f t="shared" si="184"/>
        <v>0.05</v>
      </c>
      <c r="N4104" s="464">
        <f t="shared" si="185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83"/>
        <v>-7174661292036.749</v>
      </c>
      <c r="J4105" s="444">
        <f t="array" ref="J4105">IFERROR(INDEX('Retirement Calculator'!J:J,MATCH('Isaac 401k'!N4105,'Retirement Calculator'!A:A,0),0),0)</f>
        <v>0</v>
      </c>
      <c r="K4105" s="444">
        <f t="shared" ca="1" si="181"/>
        <v>-29894422050.153118</v>
      </c>
      <c r="L4105" s="444">
        <f t="shared" ca="1" si="182"/>
        <v>-7204555714086.9023</v>
      </c>
      <c r="M4105" s="460">
        <f t="shared" si="184"/>
        <v>0.05</v>
      </c>
      <c r="N4105" s="464">
        <f t="shared" si="185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83"/>
        <v>-7204555714086.9023</v>
      </c>
      <c r="J4106" s="444">
        <f t="array" ref="J4106">IFERROR(INDEX('Retirement Calculator'!J:J,MATCH('Isaac 401k'!N4106,'Retirement Calculator'!A:A,0),0),0)</f>
        <v>0</v>
      </c>
      <c r="K4106" s="444">
        <f t="shared" ca="1" si="181"/>
        <v>-30018982142.028759</v>
      </c>
      <c r="L4106" s="444">
        <f t="shared" ca="1" si="182"/>
        <v>-7234574696228.9307</v>
      </c>
      <c r="M4106" s="460">
        <f t="shared" si="184"/>
        <v>0.05</v>
      </c>
      <c r="N4106" s="464">
        <f t="shared" si="185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83"/>
        <v>-7234574696228.9307</v>
      </c>
      <c r="J4107" s="444">
        <f t="array" ref="J4107">IFERROR(INDEX('Retirement Calculator'!J:J,MATCH('Isaac 401k'!N4107,'Retirement Calculator'!A:A,0),0),0)</f>
        <v>0</v>
      </c>
      <c r="K4107" s="444">
        <f t="shared" ca="1" si="181"/>
        <v>-30144061234.287212</v>
      </c>
      <c r="L4107" s="444">
        <f t="shared" ca="1" si="182"/>
        <v>-7264718757463.2178</v>
      </c>
      <c r="M4107" s="460">
        <f t="shared" si="184"/>
        <v>0.05</v>
      </c>
      <c r="N4107" s="464">
        <f t="shared" si="185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83"/>
        <v>-7264718757463.2178</v>
      </c>
      <c r="J4108" s="444">
        <f t="array" ref="J4108">IFERROR(INDEX('Retirement Calculator'!J:J,MATCH('Isaac 401k'!N4108,'Retirement Calculator'!A:A,0),0),0)</f>
        <v>0</v>
      </c>
      <c r="K4108" s="444">
        <f t="shared" ca="1" si="181"/>
        <v>-30269661489.430073</v>
      </c>
      <c r="L4108" s="444">
        <f t="shared" ca="1" si="182"/>
        <v>-7294988418952.6475</v>
      </c>
      <c r="M4108" s="460">
        <f t="shared" si="184"/>
        <v>0.05</v>
      </c>
      <c r="N4108" s="464">
        <f t="shared" si="185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83"/>
        <v>-7294988418952.6475</v>
      </c>
      <c r="J4109" s="444">
        <f t="array" ref="J4109">IFERROR(INDEX('Retirement Calculator'!J:J,MATCH('Isaac 401k'!N4109,'Retirement Calculator'!A:A,0),0),0)</f>
        <v>0</v>
      </c>
      <c r="K4109" s="444">
        <f t="shared" ca="1" si="181"/>
        <v>-30395785078.969368</v>
      </c>
      <c r="L4109" s="444">
        <f t="shared" ca="1" si="182"/>
        <v>-7325384204031.6172</v>
      </c>
      <c r="M4109" s="460">
        <f t="shared" si="184"/>
        <v>0.05</v>
      </c>
      <c r="N4109" s="464">
        <f t="shared" si="185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83"/>
        <v>-7325384204031.6172</v>
      </c>
      <c r="J4110" s="444">
        <f t="array" ref="J4110">IFERROR(INDEX('Retirement Calculator'!J:J,MATCH('Isaac 401k'!N4110,'Retirement Calculator'!A:A,0),0),0)</f>
        <v>0</v>
      </c>
      <c r="K4110" s="444">
        <f t="shared" ca="1" si="181"/>
        <v>-30522434183.465073</v>
      </c>
      <c r="L4110" s="444">
        <f t="shared" ca="1" si="182"/>
        <v>-7355906638215.082</v>
      </c>
      <c r="M4110" s="460">
        <f t="shared" si="184"/>
        <v>0.05</v>
      </c>
      <c r="N4110" s="464">
        <f t="shared" si="185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83"/>
        <v>-7355906638215.082</v>
      </c>
      <c r="J4111" s="444">
        <f t="array" ref="J4111">IFERROR(INDEX('Retirement Calculator'!J:J,MATCH('Isaac 401k'!N4111,'Retirement Calculator'!A:A,0),0),0)</f>
        <v>0</v>
      </c>
      <c r="K4111" s="444">
        <f t="shared" ca="1" si="181"/>
        <v>-30649610992.56284</v>
      </c>
      <c r="L4111" s="444">
        <f t="shared" ca="1" si="182"/>
        <v>-7386556249207.6445</v>
      </c>
      <c r="M4111" s="460">
        <f t="shared" si="184"/>
        <v>0.05</v>
      </c>
      <c r="N4111" s="464">
        <f t="shared" si="185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83"/>
        <v>-7386556249207.6445</v>
      </c>
      <c r="J4112" s="444">
        <f t="array" ref="J4112">IFERROR(INDEX('Retirement Calculator'!J:J,MATCH('Isaac 401k'!N4112,'Retirement Calculator'!A:A,0),0),0)</f>
        <v>0</v>
      </c>
      <c r="K4112" s="444">
        <f t="shared" ca="1" si="181"/>
        <v>-30777317705.031853</v>
      </c>
      <c r="L4112" s="444">
        <f t="shared" ca="1" si="182"/>
        <v>-7417333566912.6768</v>
      </c>
      <c r="M4112" s="460">
        <f t="shared" si="184"/>
        <v>0.05</v>
      </c>
      <c r="N4112" s="464">
        <f t="shared" si="185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83"/>
        <v>-7417333566912.6768</v>
      </c>
      <c r="J4113" s="444">
        <f t="array" ref="J4113">IFERROR(INDEX('Retirement Calculator'!J:J,MATCH('Isaac 401k'!N4113,'Retirement Calculator'!A:A,0),0),0)</f>
        <v>0</v>
      </c>
      <c r="K4113" s="444">
        <f t="shared" ca="1" si="181"/>
        <v>-30905556528.802818</v>
      </c>
      <c r="L4113" s="444">
        <f t="shared" ca="1" si="182"/>
        <v>-7448239123441.4795</v>
      </c>
      <c r="M4113" s="460">
        <f t="shared" si="184"/>
        <v>0.05</v>
      </c>
      <c r="N4113" s="464">
        <f t="shared" si="185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83"/>
        <v>-7448239123441.4795</v>
      </c>
      <c r="J4114" s="444">
        <f t="array" ref="J4114">IFERROR(INDEX('Retirement Calculator'!J:J,MATCH('Isaac 401k'!N4114,'Retirement Calculator'!A:A,0),0),0)</f>
        <v>0</v>
      </c>
      <c r="K4114" s="444">
        <f t="shared" ca="1" si="181"/>
        <v>-31034329681.006165</v>
      </c>
      <c r="L4114" s="444">
        <f t="shared" ca="1" si="182"/>
        <v>-7479273453122.4854</v>
      </c>
      <c r="M4114" s="460">
        <f t="shared" si="184"/>
        <v>0.05</v>
      </c>
      <c r="N4114" s="464">
        <f t="shared" si="185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83"/>
        <v>-7479273453122.4854</v>
      </c>
      <c r="J4115" s="444">
        <f t="array" ref="J4115">IFERROR(INDEX('Retirement Calculator'!J:J,MATCH('Isaac 401k'!N4115,'Retirement Calculator'!A:A,0),0),0)</f>
        <v>0</v>
      </c>
      <c r="K4115" s="444">
        <f t="shared" ca="1" si="181"/>
        <v>-31163639388.010357</v>
      </c>
      <c r="L4115" s="444">
        <f t="shared" ca="1" si="182"/>
        <v>-7510437092510.4961</v>
      </c>
      <c r="M4115" s="460">
        <f t="shared" si="184"/>
        <v>0.05</v>
      </c>
      <c r="N4115" s="464">
        <f t="shared" si="185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83"/>
        <v>-7510437092510.4961</v>
      </c>
      <c r="J4116" s="444">
        <f t="array" ref="J4116">IFERROR(INDEX('Retirement Calculator'!J:J,MATCH('Isaac 401k'!N4116,'Retirement Calculator'!A:A,0),0),0)</f>
        <v>0</v>
      </c>
      <c r="K4116" s="444">
        <f t="shared" ca="1" si="181"/>
        <v>-31293487885.4604</v>
      </c>
      <c r="L4116" s="444">
        <f t="shared" ca="1" si="182"/>
        <v>-7541730580395.9561</v>
      </c>
      <c r="M4116" s="460">
        <f t="shared" si="184"/>
        <v>0.05</v>
      </c>
      <c r="N4116" s="464">
        <f t="shared" si="185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83"/>
        <v>-7541730580395.9561</v>
      </c>
      <c r="J4117" s="444">
        <f t="array" ref="J4117">IFERROR(INDEX('Retirement Calculator'!J:J,MATCH('Isaac 401k'!N4117,'Retirement Calculator'!A:A,0),0),0)</f>
        <v>0</v>
      </c>
      <c r="K4117" s="444">
        <f t="shared" ca="1" si="181"/>
        <v>-31423877418.316479</v>
      </c>
      <c r="L4117" s="444">
        <f t="shared" ca="1" si="182"/>
        <v>-7573154457814.2725</v>
      </c>
      <c r="M4117" s="460">
        <f t="shared" si="184"/>
        <v>0.05</v>
      </c>
      <c r="N4117" s="464">
        <f t="shared" si="185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83"/>
        <v>-7573154457814.2725</v>
      </c>
      <c r="J4118" s="444">
        <f t="array" ref="J4118">IFERROR(INDEX('Retirement Calculator'!J:J,MATCH('Isaac 401k'!N4118,'Retirement Calculator'!A:A,0),0),0)</f>
        <v>0</v>
      </c>
      <c r="K4118" s="444">
        <f t="shared" ca="1" si="181"/>
        <v>-31554810240.892803</v>
      </c>
      <c r="L4118" s="444">
        <f t="shared" ca="1" si="182"/>
        <v>-7604709268055.165</v>
      </c>
      <c r="M4118" s="460">
        <f t="shared" si="184"/>
        <v>0.05</v>
      </c>
      <c r="N4118" s="464">
        <f t="shared" si="185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83"/>
        <v>-7604709268055.165</v>
      </c>
      <c r="J4119" s="444">
        <f t="array" ref="J4119">IFERROR(INDEX('Retirement Calculator'!J:J,MATCH('Isaac 401k'!N4119,'Retirement Calculator'!A:A,0),0),0)</f>
        <v>0</v>
      </c>
      <c r="K4119" s="444">
        <f t="shared" ca="1" si="181"/>
        <v>-31686288616.896526</v>
      </c>
      <c r="L4119" s="444">
        <f t="shared" ca="1" si="182"/>
        <v>-7636395556672.0615</v>
      </c>
      <c r="M4119" s="460">
        <f t="shared" si="184"/>
        <v>0.05</v>
      </c>
      <c r="N4119" s="464">
        <f t="shared" si="185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83"/>
        <v>-7636395556672.0615</v>
      </c>
      <c r="J4120" s="444">
        <f t="array" ref="J4120">IFERROR(INDEX('Retirement Calculator'!J:J,MATCH('Isaac 401k'!N4120,'Retirement Calculator'!A:A,0),0),0)</f>
        <v>0</v>
      </c>
      <c r="K4120" s="444">
        <f t="shared" ca="1" si="181"/>
        <v>-31818314819.466919</v>
      </c>
      <c r="L4120" s="444">
        <f t="shared" ca="1" si="182"/>
        <v>-7668213871491.5283</v>
      </c>
      <c r="M4120" s="460">
        <f t="shared" si="184"/>
        <v>0.05</v>
      </c>
      <c r="N4120" s="464">
        <f t="shared" si="185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83"/>
        <v>-7668213871491.5283</v>
      </c>
      <c r="J4121" s="444">
        <f t="array" ref="J4121">IFERROR(INDEX('Retirement Calculator'!J:J,MATCH('Isaac 401k'!N4121,'Retirement Calculator'!A:A,0),0),0)</f>
        <v>0</v>
      </c>
      <c r="K4121" s="444">
        <f t="shared" ca="1" si="181"/>
        <v>-31950891131.214703</v>
      </c>
      <c r="L4121" s="444">
        <f t="shared" ca="1" si="182"/>
        <v>-7700164762622.7432</v>
      </c>
      <c r="M4121" s="460">
        <f t="shared" si="184"/>
        <v>0.05</v>
      </c>
      <c r="N4121" s="464">
        <f t="shared" si="185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83"/>
        <v>-7700164762622.7432</v>
      </c>
      <c r="J4122" s="444">
        <f t="array" ref="J4122">IFERROR(INDEX('Retirement Calculator'!J:J,MATCH('Isaac 401k'!N4122,'Retirement Calculator'!A:A,0),0),0)</f>
        <v>0</v>
      </c>
      <c r="K4122" s="444">
        <f t="shared" ca="1" si="181"/>
        <v>-32084019844.261429</v>
      </c>
      <c r="L4122" s="444">
        <f t="shared" ca="1" si="182"/>
        <v>-7732248782467.0049</v>
      </c>
      <c r="M4122" s="460">
        <f t="shared" si="184"/>
        <v>0.05</v>
      </c>
      <c r="N4122" s="464">
        <f t="shared" si="185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83"/>
        <v>-7732248782467.0049</v>
      </c>
      <c r="J4123" s="444">
        <f t="array" ref="J4123">IFERROR(INDEX('Retirement Calculator'!J:J,MATCH('Isaac 401k'!N4123,'Retirement Calculator'!A:A,0),0),0)</f>
        <v>0</v>
      </c>
      <c r="K4123" s="444">
        <f t="shared" ca="1" si="181"/>
        <v>-32217703260.279186</v>
      </c>
      <c r="L4123" s="444">
        <f t="shared" ca="1" si="182"/>
        <v>-7764466485727.2842</v>
      </c>
      <c r="M4123" s="460">
        <f t="shared" si="184"/>
        <v>0.05</v>
      </c>
      <c r="N4123" s="464">
        <f t="shared" si="185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83"/>
        <v>-7764466485727.2842</v>
      </c>
      <c r="J4124" s="444">
        <f t="array" ref="J4124">IFERROR(INDEX('Retirement Calculator'!J:J,MATCH('Isaac 401k'!N4124,'Retirement Calculator'!A:A,0),0),0)</f>
        <v>0</v>
      </c>
      <c r="K4124" s="444">
        <f t="shared" ca="1" si="181"/>
        <v>-32351943690.53035</v>
      </c>
      <c r="L4124" s="444">
        <f t="shared" ca="1" si="182"/>
        <v>-7796818429417.8145</v>
      </c>
      <c r="M4124" s="460">
        <f t="shared" si="184"/>
        <v>0.05</v>
      </c>
      <c r="N4124" s="464">
        <f t="shared" si="185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83"/>
        <v>-7796818429417.8145</v>
      </c>
      <c r="J4125" s="444">
        <f t="array" ref="J4125">IFERROR(INDEX('Retirement Calculator'!J:J,MATCH('Isaac 401k'!N4125,'Retirement Calculator'!A:A,0),0),0)</f>
        <v>0</v>
      </c>
      <c r="K4125" s="444">
        <f t="shared" ca="1" si="181"/>
        <v>-32486743455.907558</v>
      </c>
      <c r="L4125" s="444">
        <f t="shared" ca="1" si="182"/>
        <v>-7829305172873.7217</v>
      </c>
      <c r="M4125" s="460">
        <f t="shared" si="184"/>
        <v>0.05</v>
      </c>
      <c r="N4125" s="464">
        <f t="shared" si="185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83"/>
        <v>-7829305172873.7217</v>
      </c>
      <c r="J4126" s="444">
        <f t="array" ref="J4126">IFERROR(INDEX('Retirement Calculator'!J:J,MATCH('Isaac 401k'!N4126,'Retirement Calculator'!A:A,0),0),0)</f>
        <v>0</v>
      </c>
      <c r="K4126" s="444">
        <f t="shared" ca="1" si="181"/>
        <v>-32622104886.973843</v>
      </c>
      <c r="L4126" s="444">
        <f t="shared" ca="1" si="182"/>
        <v>-7861927277760.6953</v>
      </c>
      <c r="M4126" s="460">
        <f t="shared" si="184"/>
        <v>0.05</v>
      </c>
      <c r="N4126" s="464">
        <f t="shared" si="185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83"/>
        <v>-7861927277760.6953</v>
      </c>
      <c r="J4127" s="444">
        <f t="array" ref="J4127">IFERROR(INDEX('Retirement Calculator'!J:J,MATCH('Isaac 401k'!N4127,'Retirement Calculator'!A:A,0),0),0)</f>
        <v>0</v>
      </c>
      <c r="K4127" s="444">
        <f t="shared" ca="1" si="181"/>
        <v>-32758030324.002895</v>
      </c>
      <c r="L4127" s="444">
        <f t="shared" ca="1" si="182"/>
        <v>-7894685308084.6982</v>
      </c>
      <c r="M4127" s="460">
        <f t="shared" si="184"/>
        <v>0.05</v>
      </c>
      <c r="N4127" s="464">
        <f t="shared" si="185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83"/>
        <v>-7894685308084.6982</v>
      </c>
      <c r="J4128" s="444">
        <f t="array" ref="J4128">IFERROR(INDEX('Retirement Calculator'!J:J,MATCH('Isaac 401k'!N4128,'Retirement Calculator'!A:A,0),0),0)</f>
        <v>0</v>
      </c>
      <c r="K4128" s="444">
        <f t="shared" ca="1" si="181"/>
        <v>-32894522117.019577</v>
      </c>
      <c r="L4128" s="444">
        <f t="shared" ca="1" si="182"/>
        <v>-7927579830201.7178</v>
      </c>
      <c r="M4128" s="460">
        <f t="shared" si="184"/>
        <v>0.05</v>
      </c>
      <c r="N4128" s="464">
        <f t="shared" si="185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83"/>
        <v>-7927579830201.7178</v>
      </c>
      <c r="J4129" s="444">
        <f t="array" ref="J4129">IFERROR(INDEX('Retirement Calculator'!J:J,MATCH('Isaac 401k'!N4129,'Retirement Calculator'!A:A,0),0),0)</f>
        <v>0</v>
      </c>
      <c r="K4129" s="444">
        <f t="shared" ca="1" si="181"/>
        <v>-33031582625.840488</v>
      </c>
      <c r="L4129" s="444">
        <f t="shared" ca="1" si="182"/>
        <v>-7960611412827.5586</v>
      </c>
      <c r="M4129" s="460">
        <f t="shared" si="184"/>
        <v>0.05</v>
      </c>
      <c r="N4129" s="464">
        <f t="shared" si="185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83"/>
        <v>-7960611412827.5586</v>
      </c>
      <c r="J4130" s="444">
        <f t="array" ref="J4130">IFERROR(INDEX('Retirement Calculator'!J:J,MATCH('Isaac 401k'!N4130,'Retirement Calculator'!A:A,0),0),0)</f>
        <v>0</v>
      </c>
      <c r="K4130" s="444">
        <f t="shared" ca="1" si="181"/>
        <v>-33169214220.114826</v>
      </c>
      <c r="L4130" s="444">
        <f t="shared" ca="1" si="182"/>
        <v>-7993780627047.6738</v>
      </c>
      <c r="M4130" s="460">
        <f t="shared" si="184"/>
        <v>0.05</v>
      </c>
      <c r="N4130" s="464">
        <f t="shared" si="185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83"/>
        <v>-7993780627047.6738</v>
      </c>
      <c r="J4131" s="444">
        <f t="array" ref="J4131">IFERROR(INDEX('Retirement Calculator'!J:J,MATCH('Isaac 401k'!N4131,'Retirement Calculator'!A:A,0),0),0)</f>
        <v>0</v>
      </c>
      <c r="K4131" s="444">
        <f t="shared" ca="1" si="181"/>
        <v>-33307419279.365303</v>
      </c>
      <c r="L4131" s="444">
        <f t="shared" ca="1" si="182"/>
        <v>-8027088046327.0391</v>
      </c>
      <c r="M4131" s="460">
        <f t="shared" si="184"/>
        <v>0.05</v>
      </c>
      <c r="N4131" s="464">
        <f t="shared" si="185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83"/>
        <v>-8027088046327.0391</v>
      </c>
      <c r="J4132" s="444">
        <f t="array" ref="J4132">IFERROR(INDEX('Retirement Calculator'!J:J,MATCH('Isaac 401k'!N4132,'Retirement Calculator'!A:A,0),0),0)</f>
        <v>0</v>
      </c>
      <c r="K4132" s="444">
        <f t="shared" ca="1" si="181"/>
        <v>-33446200193.029327</v>
      </c>
      <c r="L4132" s="444">
        <f t="shared" ca="1" si="182"/>
        <v>-8060534246520.0684</v>
      </c>
      <c r="M4132" s="460">
        <f t="shared" si="184"/>
        <v>0.05</v>
      </c>
      <c r="N4132" s="464">
        <f t="shared" si="185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83"/>
        <v>-8060534246520.0684</v>
      </c>
      <c r="J4133" s="444">
        <f t="array" ref="J4133">IFERROR(INDEX('Retirement Calculator'!J:J,MATCH('Isaac 401k'!N4133,'Retirement Calculator'!A:A,0),0),0)</f>
        <v>0</v>
      </c>
      <c r="K4133" s="444">
        <f t="shared" ca="1" si="181"/>
        <v>-33585559360.50029</v>
      </c>
      <c r="L4133" s="444">
        <f t="shared" ca="1" si="182"/>
        <v>-8094119805880.5684</v>
      </c>
      <c r="M4133" s="460">
        <f t="shared" si="184"/>
        <v>0.05</v>
      </c>
      <c r="N4133" s="464">
        <f t="shared" si="185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83"/>
        <v>-8094119805880.5684</v>
      </c>
      <c r="J4134" s="444">
        <f t="array" ref="J4134">IFERROR(INDEX('Retirement Calculator'!J:J,MATCH('Isaac 401k'!N4134,'Retirement Calculator'!A:A,0),0),0)</f>
        <v>0</v>
      </c>
      <c r="K4134" s="444">
        <f t="shared" ca="1" si="181"/>
        <v>-33725499191.169029</v>
      </c>
      <c r="L4134" s="444">
        <f t="shared" ca="1" si="182"/>
        <v>-8127845305071.7373</v>
      </c>
      <c r="M4134" s="460">
        <f t="shared" si="184"/>
        <v>0.05</v>
      </c>
      <c r="N4134" s="464">
        <f t="shared" si="185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83"/>
        <v>-8127845305071.7373</v>
      </c>
      <c r="J4135" s="444">
        <f t="array" ref="J4135">IFERROR(INDEX('Retirement Calculator'!J:J,MATCH('Isaac 401k'!N4135,'Retirement Calculator'!A:A,0),0),0)</f>
        <v>0</v>
      </c>
      <c r="K4135" s="444">
        <f t="shared" ca="1" si="181"/>
        <v>-33866022104.465572</v>
      </c>
      <c r="L4135" s="444">
        <f t="shared" ca="1" si="182"/>
        <v>-8161711327176.2031</v>
      </c>
      <c r="M4135" s="460">
        <f t="shared" si="184"/>
        <v>0.05</v>
      </c>
      <c r="N4135" s="464">
        <f t="shared" si="185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83"/>
        <v>-8161711327176.2031</v>
      </c>
      <c r="J4136" s="444">
        <f t="array" ref="J4136">IFERROR(INDEX('Retirement Calculator'!J:J,MATCH('Isaac 401k'!N4136,'Retirement Calculator'!A:A,0),0),0)</f>
        <v>0</v>
      </c>
      <c r="K4136" s="444">
        <f t="shared" ca="1" si="181"/>
        <v>-34007130529.900841</v>
      </c>
      <c r="L4136" s="444">
        <f t="shared" ca="1" si="182"/>
        <v>-8195718457706.1035</v>
      </c>
      <c r="M4136" s="460">
        <f t="shared" si="184"/>
        <v>0.05</v>
      </c>
      <c r="N4136" s="464">
        <f t="shared" si="185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83"/>
        <v>-8195718457706.1035</v>
      </c>
      <c r="J4137" s="444">
        <f t="array" ref="J4137">IFERROR(INDEX('Retirement Calculator'!J:J,MATCH('Isaac 401k'!N4137,'Retirement Calculator'!A:A,0),0),0)</f>
        <v>0</v>
      </c>
      <c r="K4137" s="444">
        <f t="shared" ca="1" si="181"/>
        <v>-34148826907.108765</v>
      </c>
      <c r="L4137" s="444">
        <f t="shared" ca="1" si="182"/>
        <v>-8229867284613.2119</v>
      </c>
      <c r="M4137" s="460">
        <f t="shared" si="184"/>
        <v>0.05</v>
      </c>
      <c r="N4137" s="464">
        <f t="shared" si="185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83"/>
        <v>-8229867284613.2119</v>
      </c>
      <c r="J4138" s="444">
        <f t="array" ref="J4138">IFERROR(INDEX('Retirement Calculator'!J:J,MATCH('Isaac 401k'!N4138,'Retirement Calculator'!A:A,0),0),0)</f>
        <v>0</v>
      </c>
      <c r="K4138" s="444">
        <f t="shared" ca="1" si="181"/>
        <v>-34291113685.888382</v>
      </c>
      <c r="L4138" s="444">
        <f t="shared" ca="1" si="182"/>
        <v>-8264158398299.1006</v>
      </c>
      <c r="M4138" s="460">
        <f t="shared" si="184"/>
        <v>0.05</v>
      </c>
      <c r="N4138" s="464">
        <f t="shared" si="185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83"/>
        <v>-8264158398299.1006</v>
      </c>
      <c r="J4139" s="444">
        <f t="array" ref="J4139">IFERROR(INDEX('Retirement Calculator'!J:J,MATCH('Isaac 401k'!N4139,'Retirement Calculator'!A:A,0),0),0)</f>
        <v>0</v>
      </c>
      <c r="K4139" s="444">
        <f t="shared" ca="1" si="181"/>
        <v>-34433993326.246254</v>
      </c>
      <c r="L4139" s="444">
        <f t="shared" ca="1" si="182"/>
        <v>-8298592391625.3467</v>
      </c>
      <c r="M4139" s="460">
        <f t="shared" si="184"/>
        <v>0.05</v>
      </c>
      <c r="N4139" s="464">
        <f t="shared" si="185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83"/>
        <v>-8298592391625.3467</v>
      </c>
      <c r="J4140" s="444">
        <f t="array" ref="J4140">IFERROR(INDEX('Retirement Calculator'!J:J,MATCH('Isaac 401k'!N4140,'Retirement Calculator'!A:A,0),0),0)</f>
        <v>0</v>
      </c>
      <c r="K4140" s="444">
        <f t="shared" ca="1" si="181"/>
        <v>-34577468298.438942</v>
      </c>
      <c r="L4140" s="444">
        <f t="shared" ca="1" si="182"/>
        <v>-8333169859923.7852</v>
      </c>
      <c r="M4140" s="460">
        <f t="shared" si="184"/>
        <v>0.05</v>
      </c>
      <c r="N4140" s="464">
        <f t="shared" si="185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83"/>
        <v>-8333169859923.7852</v>
      </c>
      <c r="J4141" s="444">
        <f t="array" ref="J4141">IFERROR(INDEX('Retirement Calculator'!J:J,MATCH('Isaac 401k'!N4141,'Retirement Calculator'!A:A,0),0),0)</f>
        <v>0</v>
      </c>
      <c r="K4141" s="444">
        <f t="shared" ca="1" si="181"/>
        <v>-34721541083.01577</v>
      </c>
      <c r="L4141" s="444">
        <f t="shared" ca="1" si="182"/>
        <v>-8367891401006.8008</v>
      </c>
      <c r="M4141" s="460">
        <f t="shared" si="184"/>
        <v>0.05</v>
      </c>
      <c r="N4141" s="464">
        <f t="shared" si="185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83"/>
        <v>-8367891401006.8008</v>
      </c>
      <c r="J4142" s="444">
        <f t="array" ref="J4142">IFERROR(INDEX('Retirement Calculator'!J:J,MATCH('Isaac 401k'!N4142,'Retirement Calculator'!A:A,0),0),0)</f>
        <v>0</v>
      </c>
      <c r="K4142" s="444">
        <f t="shared" ca="1" si="181"/>
        <v>-34866214170.861671</v>
      </c>
      <c r="L4142" s="444">
        <f t="shared" ca="1" si="182"/>
        <v>-8402757615177.6621</v>
      </c>
      <c r="M4142" s="460">
        <f t="shared" si="184"/>
        <v>0.05</v>
      </c>
      <c r="N4142" s="464">
        <f t="shared" si="185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83"/>
        <v>-8402757615177.6621</v>
      </c>
      <c r="J4143" s="444">
        <f t="array" ref="J4143">IFERROR(INDEX('Retirement Calculator'!J:J,MATCH('Isaac 401k'!N4143,'Retirement Calculator'!A:A,0),0),0)</f>
        <v>0</v>
      </c>
      <c r="K4143" s="444">
        <f t="shared" ca="1" si="181"/>
        <v>-35011490063.240265</v>
      </c>
      <c r="L4143" s="444">
        <f t="shared" ca="1" si="182"/>
        <v>-8437769105240.9023</v>
      </c>
      <c r="M4143" s="460">
        <f t="shared" si="184"/>
        <v>0.05</v>
      </c>
      <c r="N4143" s="464">
        <f t="shared" si="185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83"/>
        <v>-8437769105240.9023</v>
      </c>
      <c r="J4144" s="444">
        <f t="array" ref="J4144">IFERROR(INDEX('Retirement Calculator'!J:J,MATCH('Isaac 401k'!N4144,'Retirement Calculator'!A:A,0),0),0)</f>
        <v>0</v>
      </c>
      <c r="K4144" s="444">
        <f t="shared" ca="1" si="181"/>
        <v>-35157371271.83709</v>
      </c>
      <c r="L4144" s="444">
        <f t="shared" ca="1" si="182"/>
        <v>-8472926476512.7393</v>
      </c>
      <c r="M4144" s="460">
        <f t="shared" si="184"/>
        <v>0.05</v>
      </c>
      <c r="N4144" s="464">
        <f t="shared" si="185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83"/>
        <v>-8472926476512.7393</v>
      </c>
      <c r="J4145" s="444">
        <f t="array" ref="J4145">IFERROR(INDEX('Retirement Calculator'!J:J,MATCH('Isaac 401k'!N4145,'Retirement Calculator'!A:A,0),0),0)</f>
        <v>0</v>
      </c>
      <c r="K4145" s="444">
        <f t="shared" ca="1" si="181"/>
        <v>-35303860318.803078</v>
      </c>
      <c r="L4145" s="444">
        <f t="shared" ca="1" si="182"/>
        <v>-8508230336831.542</v>
      </c>
      <c r="M4145" s="460">
        <f t="shared" si="184"/>
        <v>0.05</v>
      </c>
      <c r="N4145" s="464">
        <f t="shared" si="185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83"/>
        <v>-8508230336831.542</v>
      </c>
      <c r="J4146" s="444">
        <f t="array" ref="J4146">IFERROR(INDEX('Retirement Calculator'!J:J,MATCH('Isaac 401k'!N4146,'Retirement Calculator'!A:A,0),0),0)</f>
        <v>0</v>
      </c>
      <c r="K4146" s="444">
        <f t="shared" ca="1" si="181"/>
        <v>-35450959736.798096</v>
      </c>
      <c r="L4146" s="444">
        <f t="shared" ca="1" si="182"/>
        <v>-8543681296568.3398</v>
      </c>
      <c r="M4146" s="460">
        <f t="shared" si="184"/>
        <v>0.05</v>
      </c>
      <c r="N4146" s="464">
        <f t="shared" si="185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83"/>
        <v>-8543681296568.3398</v>
      </c>
      <c r="J4147" s="444">
        <f t="array" ref="J4147">IFERROR(INDEX('Retirement Calculator'!J:J,MATCH('Isaac 401k'!N4147,'Retirement Calculator'!A:A,0),0),0)</f>
        <v>0</v>
      </c>
      <c r="K4147" s="444">
        <f t="shared" ca="1" si="181"/>
        <v>-35598672069.034752</v>
      </c>
      <c r="L4147" s="444">
        <f t="shared" ca="1" si="182"/>
        <v>-8579279968637.375</v>
      </c>
      <c r="M4147" s="460">
        <f t="shared" si="184"/>
        <v>0.05</v>
      </c>
      <c r="N4147" s="464">
        <f t="shared" si="185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83"/>
        <v>-8579279968637.375</v>
      </c>
      <c r="J4148" s="444">
        <f t="array" ref="J4148">IFERROR(INDEX('Retirement Calculator'!J:J,MATCH('Isaac 401k'!N4148,'Retirement Calculator'!A:A,0),0),0)</f>
        <v>0</v>
      </c>
      <c r="K4148" s="444">
        <f t="shared" ca="1" si="181"/>
        <v>-35746999869.322395</v>
      </c>
      <c r="L4148" s="444">
        <f t="shared" ca="1" si="182"/>
        <v>-8615026968506.6973</v>
      </c>
      <c r="M4148" s="460">
        <f t="shared" si="184"/>
        <v>0.05</v>
      </c>
      <c r="N4148" s="464">
        <f t="shared" si="185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83"/>
        <v>-8615026968506.6973</v>
      </c>
      <c r="J4149" s="444">
        <f t="array" ref="J4149">IFERROR(INDEX('Retirement Calculator'!J:J,MATCH('Isaac 401k'!N4149,'Retirement Calculator'!A:A,0),0),0)</f>
        <v>0</v>
      </c>
      <c r="K4149" s="444">
        <f t="shared" ca="1" si="181"/>
        <v>-35895945702.111237</v>
      </c>
      <c r="L4149" s="444">
        <f t="shared" ca="1" si="182"/>
        <v>-8650922914208.8086</v>
      </c>
      <c r="M4149" s="460">
        <f t="shared" si="184"/>
        <v>0.05</v>
      </c>
      <c r="N4149" s="464">
        <f t="shared" si="185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83"/>
        <v>-8650922914208.8086</v>
      </c>
      <c r="J4150" s="444">
        <f t="array" ref="J4150">IFERROR(INDEX('Retirement Calculator'!J:J,MATCH('Isaac 401k'!N4150,'Retirement Calculator'!A:A,0),0),0)</f>
        <v>0</v>
      </c>
      <c r="K4150" s="444">
        <f t="shared" ca="1" si="181"/>
        <v>-36045512142.536705</v>
      </c>
      <c r="L4150" s="444">
        <f t="shared" ca="1" si="182"/>
        <v>-8686968426351.3457</v>
      </c>
      <c r="M4150" s="460">
        <f t="shared" si="184"/>
        <v>0.05</v>
      </c>
      <c r="N4150" s="464">
        <f t="shared" si="185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83"/>
        <v>-8686968426351.3457</v>
      </c>
      <c r="J4151" s="444">
        <f t="array" ref="J4151">IFERROR(INDEX('Retirement Calculator'!J:J,MATCH('Isaac 401k'!N4151,'Retirement Calculator'!A:A,0),0),0)</f>
        <v>0</v>
      </c>
      <c r="K4151" s="444">
        <f t="shared" ca="1" si="181"/>
        <v>-36195701776.463943</v>
      </c>
      <c r="L4151" s="444">
        <f t="shared" ca="1" si="182"/>
        <v>-8723164128127.8096</v>
      </c>
      <c r="M4151" s="460">
        <f t="shared" si="184"/>
        <v>0.05</v>
      </c>
      <c r="N4151" s="464">
        <f t="shared" si="185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83"/>
        <v>-8723164128127.8096</v>
      </c>
      <c r="J4152" s="444">
        <f t="array" ref="J4152">IFERROR(INDEX('Retirement Calculator'!J:J,MATCH('Isaac 401k'!N4152,'Retirement Calculator'!A:A,0),0),0)</f>
        <v>0</v>
      </c>
      <c r="K4152" s="444">
        <f t="shared" ca="1" si="181"/>
        <v>-36346517200.532539</v>
      </c>
      <c r="L4152" s="444">
        <f t="shared" ca="1" si="182"/>
        <v>-8759510645328.3418</v>
      </c>
      <c r="M4152" s="460">
        <f t="shared" si="184"/>
        <v>0.05</v>
      </c>
      <c r="N4152" s="464">
        <f t="shared" si="185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83"/>
        <v>-8759510645328.3418</v>
      </c>
      <c r="J4153" s="444">
        <f t="array" ref="J4153">IFERROR(INDEX('Retirement Calculator'!J:J,MATCH('Isaac 401k'!N4153,'Retirement Calculator'!A:A,0),0),0)</f>
        <v>0</v>
      </c>
      <c r="K4153" s="444">
        <f t="shared" ca="1" si="181"/>
        <v>-36497961022.201424</v>
      </c>
      <c r="L4153" s="444">
        <f t="shared" ca="1" si="182"/>
        <v>-8796008606350.543</v>
      </c>
      <c r="M4153" s="460">
        <f t="shared" si="184"/>
        <v>0.05</v>
      </c>
      <c r="N4153" s="464">
        <f t="shared" si="185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83"/>
        <v>-8796008606350.543</v>
      </c>
      <c r="J4154" s="444">
        <f t="array" ref="J4154">IFERROR(INDEX('Retirement Calculator'!J:J,MATCH('Isaac 401k'!N4154,'Retirement Calculator'!A:A,0),0),0)</f>
        <v>0</v>
      </c>
      <c r="K4154" s="444">
        <f t="shared" ca="1" si="181"/>
        <v>-36650035859.79393</v>
      </c>
      <c r="L4154" s="444">
        <f t="shared" ca="1" si="182"/>
        <v>-8832658642210.3359</v>
      </c>
      <c r="M4154" s="460">
        <f t="shared" si="184"/>
        <v>0.05</v>
      </c>
      <c r="N4154" s="464">
        <f t="shared" si="185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83"/>
        <v>-8832658642210.3359</v>
      </c>
      <c r="J4155" s="444">
        <f t="array" ref="J4155">IFERROR(INDEX('Retirement Calculator'!J:J,MATCH('Isaac 401k'!N4155,'Retirement Calculator'!A:A,0),0),0)</f>
        <v>0</v>
      </c>
      <c r="K4155" s="444">
        <f t="shared" ca="1" si="181"/>
        <v>-36802744342.543068</v>
      </c>
      <c r="L4155" s="444">
        <f t="shared" ca="1" si="182"/>
        <v>-8869461386552.8789</v>
      </c>
      <c r="M4155" s="460">
        <f t="shared" si="184"/>
        <v>0.05</v>
      </c>
      <c r="N4155" s="464">
        <f t="shared" si="185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83"/>
        <v>-8869461386552.8789</v>
      </c>
      <c r="J4156" s="444">
        <f t="array" ref="J4156">IFERROR(INDEX('Retirement Calculator'!J:J,MATCH('Isaac 401k'!N4156,'Retirement Calculator'!A:A,0),0),0)</f>
        <v>0</v>
      </c>
      <c r="K4156" s="444">
        <f t="shared" ca="1" si="181"/>
        <v>-36956089110.636993</v>
      </c>
      <c r="L4156" s="444">
        <f t="shared" ca="1" si="182"/>
        <v>-8906417475663.5156</v>
      </c>
      <c r="M4156" s="460">
        <f t="shared" si="184"/>
        <v>0.05</v>
      </c>
      <c r="N4156" s="464">
        <f t="shared" si="185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83"/>
        <v>-8906417475663.5156</v>
      </c>
      <c r="J4157" s="444">
        <f t="array" ref="J4157">IFERROR(INDEX('Retirement Calculator'!J:J,MATCH('Isaac 401k'!N4157,'Retirement Calculator'!A:A,0),0),0)</f>
        <v>0</v>
      </c>
      <c r="K4157" s="444">
        <f t="shared" ca="1" si="181"/>
        <v>-37110072815.264648</v>
      </c>
      <c r="L4157" s="444">
        <f t="shared" ca="1" si="182"/>
        <v>-8943527548478.7813</v>
      </c>
      <c r="M4157" s="460">
        <f t="shared" si="184"/>
        <v>0.05</v>
      </c>
      <c r="N4157" s="464">
        <f t="shared" si="185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83"/>
        <v>-8943527548478.7813</v>
      </c>
      <c r="J4158" s="444">
        <f t="array" ref="J4158">IFERROR(INDEX('Retirement Calculator'!J:J,MATCH('Isaac 401k'!N4158,'Retirement Calculator'!A:A,0),0),0)</f>
        <v>0</v>
      </c>
      <c r="K4158" s="444">
        <f t="shared" ca="1" si="181"/>
        <v>-37264698118.661591</v>
      </c>
      <c r="L4158" s="444">
        <f t="shared" ca="1" si="182"/>
        <v>-8980792246597.4434</v>
      </c>
      <c r="M4158" s="460">
        <f t="shared" si="184"/>
        <v>0.05</v>
      </c>
      <c r="N4158" s="464">
        <f t="shared" si="185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83"/>
        <v>-8980792246597.4434</v>
      </c>
      <c r="J4159" s="444">
        <f t="array" ref="J4159">IFERROR(INDEX('Retirement Calculator'!J:J,MATCH('Isaac 401k'!N4159,'Retirement Calculator'!A:A,0),0),0)</f>
        <v>0</v>
      </c>
      <c r="K4159" s="444">
        <f t="shared" ca="1" si="181"/>
        <v>-37419967694.156013</v>
      </c>
      <c r="L4159" s="444">
        <f t="shared" ca="1" si="182"/>
        <v>-9018212214291.5996</v>
      </c>
      <c r="M4159" s="460">
        <f t="shared" si="184"/>
        <v>0.05</v>
      </c>
      <c r="N4159" s="464">
        <f t="shared" si="185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83"/>
        <v>-9018212214291.5996</v>
      </c>
      <c r="J4160" s="444">
        <f t="array" ref="J4160">IFERROR(INDEX('Retirement Calculator'!J:J,MATCH('Isaac 401k'!N4160,'Retirement Calculator'!A:A,0),0),0)</f>
        <v>0</v>
      </c>
      <c r="K4160" s="444">
        <f t="shared" ca="1" si="181"/>
        <v>-37575884226.214996</v>
      </c>
      <c r="L4160" s="444">
        <f t="shared" ca="1" si="182"/>
        <v>-9055788098517.8145</v>
      </c>
      <c r="M4160" s="460">
        <f t="shared" si="184"/>
        <v>0.05</v>
      </c>
      <c r="N4160" s="464">
        <f t="shared" si="185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83"/>
        <v>-9055788098517.8145</v>
      </c>
      <c r="J4161" s="444">
        <f t="array" ref="J4161">IFERROR(INDEX('Retirement Calculator'!J:J,MATCH('Isaac 401k'!N4161,'Retirement Calculator'!A:A,0),0),0)</f>
        <v>0</v>
      </c>
      <c r="K4161" s="444">
        <f t="shared" ca="1" si="181"/>
        <v>-37732450410.490891</v>
      </c>
      <c r="L4161" s="444">
        <f t="shared" ca="1" si="182"/>
        <v>-9093520548928.3047</v>
      </c>
      <c r="M4161" s="460">
        <f t="shared" si="184"/>
        <v>0.05</v>
      </c>
      <c r="N4161" s="464">
        <f t="shared" si="185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83"/>
        <v>-9093520548928.3047</v>
      </c>
      <c r="J4162" s="444">
        <f t="array" ref="J4162">IFERROR(INDEX('Retirement Calculator'!J:J,MATCH('Isaac 401k'!N4162,'Retirement Calculator'!A:A,0),0),0)</f>
        <v>0</v>
      </c>
      <c r="K4162" s="444">
        <f t="shared" ca="1" si="181"/>
        <v>-37889668953.867935</v>
      </c>
      <c r="L4162" s="444">
        <f t="shared" ca="1" si="182"/>
        <v>-9131410217882.1719</v>
      </c>
      <c r="M4162" s="460">
        <f t="shared" si="184"/>
        <v>0.05</v>
      </c>
      <c r="N4162" s="464">
        <f t="shared" si="185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83"/>
        <v>-9131410217882.1719</v>
      </c>
      <c r="J4163" s="444">
        <f t="array" ref="J4163">IFERROR(INDEX('Retirement Calculator'!J:J,MATCH('Isaac 401k'!N4163,'Retirement Calculator'!A:A,0),0),0)</f>
        <v>0</v>
      </c>
      <c r="K4163" s="444">
        <f t="shared" ca="1" si="181"/>
        <v>-38047542574.509048</v>
      </c>
      <c r="L4163" s="444">
        <f t="shared" ca="1" si="182"/>
        <v>-9169457760456.6816</v>
      </c>
      <c r="M4163" s="460">
        <f t="shared" si="184"/>
        <v>0.05</v>
      </c>
      <c r="N4163" s="464">
        <f t="shared" si="185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83"/>
        <v>-9169457760456.6816</v>
      </c>
      <c r="J4164" s="444">
        <f t="array" ref="J4164">IFERROR(INDEX('Retirement Calculator'!J:J,MATCH('Isaac 401k'!N4164,'Retirement Calculator'!A:A,0),0),0)</f>
        <v>0</v>
      </c>
      <c r="K4164" s="444">
        <f t="shared" ca="1" si="181"/>
        <v>-38206074001.90284</v>
      </c>
      <c r="L4164" s="444">
        <f t="shared" ca="1" si="182"/>
        <v>-9207663834458.584</v>
      </c>
      <c r="M4164" s="460">
        <f t="shared" si="184"/>
        <v>0.05</v>
      </c>
      <c r="N4164" s="464">
        <f t="shared" si="185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83"/>
        <v>-9207663834458.584</v>
      </c>
      <c r="J4165" s="444">
        <f t="array" ref="J4165">IFERROR(INDEX('Retirement Calculator'!J:J,MATCH('Isaac 401k'!N4165,'Retirement Calculator'!A:A,0),0),0)</f>
        <v>0</v>
      </c>
      <c r="K4165" s="444">
        <f t="shared" ca="1" si="181"/>
        <v>-38365265976.910767</v>
      </c>
      <c r="L4165" s="444">
        <f t="shared" ca="1" si="182"/>
        <v>-9246029100435.4941</v>
      </c>
      <c r="M4165" s="460">
        <f t="shared" si="184"/>
        <v>0.05</v>
      </c>
      <c r="N4165" s="464">
        <f t="shared" si="185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83"/>
        <v>-9246029100435.4941</v>
      </c>
      <c r="J4166" s="444">
        <f t="array" ref="J4166">IFERROR(INDEX('Retirement Calculator'!J:J,MATCH('Isaac 401k'!N4166,'Retirement Calculator'!A:A,0),0),0)</f>
        <v>0</v>
      </c>
      <c r="K4166" s="444">
        <f t="shared" ca="1" si="181"/>
        <v>-38525121251.81456</v>
      </c>
      <c r="L4166" s="444">
        <f t="shared" ca="1" si="182"/>
        <v>-9284554221687.3086</v>
      </c>
      <c r="M4166" s="460">
        <f t="shared" si="184"/>
        <v>0.05</v>
      </c>
      <c r="N4166" s="464">
        <f t="shared" si="185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83"/>
        <v>-9284554221687.3086</v>
      </c>
      <c r="J4167" s="444">
        <f t="array" ref="J4167">IFERROR(INDEX('Retirement Calculator'!J:J,MATCH('Isaac 401k'!N4167,'Retirement Calculator'!A:A,0),0),0)</f>
        <v>0</v>
      </c>
      <c r="K4167" s="444">
        <f t="shared" ca="1" si="181"/>
        <v>-38685642590.363785</v>
      </c>
      <c r="L4167" s="444">
        <f t="shared" ca="1" si="182"/>
        <v>-9323239864277.6719</v>
      </c>
      <c r="M4167" s="460">
        <f t="shared" si="184"/>
        <v>0.05</v>
      </c>
      <c r="N4167" s="464">
        <f t="shared" si="185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83"/>
        <v>-9323239864277.6719</v>
      </c>
      <c r="J4168" s="444">
        <f t="array" ref="J4168">IFERROR(INDEX('Retirement Calculator'!J:J,MATCH('Isaac 401k'!N4168,'Retirement Calculator'!A:A,0),0),0)</f>
        <v>0</v>
      </c>
      <c r="K4168" s="444">
        <f t="shared" ca="1" si="181"/>
        <v>-38846832767.823631</v>
      </c>
      <c r="L4168" s="444">
        <f t="shared" ca="1" si="182"/>
        <v>-9362086697045.4961</v>
      </c>
      <c r="M4168" s="460">
        <f t="shared" si="184"/>
        <v>0.05</v>
      </c>
      <c r="N4168" s="464">
        <f t="shared" si="185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83"/>
        <v>-9362086697045.4961</v>
      </c>
      <c r="J4169" s="444">
        <f t="array" ref="J4169">IFERROR(INDEX('Retirement Calculator'!J:J,MATCH('Isaac 401k'!N4169,'Retirement Calculator'!A:A,0),0),0)</f>
        <v>0</v>
      </c>
      <c r="K4169" s="444">
        <f t="shared" ca="1" si="181"/>
        <v>-39008694571.022903</v>
      </c>
      <c r="L4169" s="444">
        <f t="shared" ca="1" si="182"/>
        <v>-9401095391616.5195</v>
      </c>
      <c r="M4169" s="460">
        <f t="shared" si="184"/>
        <v>0.05</v>
      </c>
      <c r="N4169" s="464">
        <f t="shared" si="185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83"/>
        <v>-9401095391616.5195</v>
      </c>
      <c r="J4170" s="444">
        <f t="array" ref="J4170">IFERROR(INDEX('Retirement Calculator'!J:J,MATCH('Isaac 401k'!N4170,'Retirement Calculator'!A:A,0),0),0)</f>
        <v>0</v>
      </c>
      <c r="K4170" s="444">
        <f t="shared" ca="1" si="181"/>
        <v>-39171230798.402161</v>
      </c>
      <c r="L4170" s="444">
        <f t="shared" ca="1" si="182"/>
        <v>-9440266622414.9219</v>
      </c>
      <c r="M4170" s="460">
        <f t="shared" si="184"/>
        <v>0.05</v>
      </c>
      <c r="N4170" s="464">
        <f t="shared" si="185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83"/>
        <v>-9440266622414.9219</v>
      </c>
      <c r="J4171" s="444">
        <f t="array" ref="J4171">IFERROR(INDEX('Retirement Calculator'!J:J,MATCH('Isaac 401k'!N4171,'Retirement Calculator'!A:A,0),0),0)</f>
        <v>0</v>
      </c>
      <c r="K4171" s="444">
        <f t="shared" ca="1" si="181"/>
        <v>-39334444260.062172</v>
      </c>
      <c r="L4171" s="444">
        <f t="shared" ca="1" si="182"/>
        <v>-9479601066674.9844</v>
      </c>
      <c r="M4171" s="460">
        <f t="shared" si="184"/>
        <v>0.05</v>
      </c>
      <c r="N4171" s="464">
        <f t="shared" si="185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83"/>
        <v>-9479601066674.9844</v>
      </c>
      <c r="J4172" s="444">
        <f t="array" ref="J4172">IFERROR(INDEX('Retirement Calculator'!J:J,MATCH('Isaac 401k'!N4172,'Retirement Calculator'!A:A,0),0),0)</f>
        <v>0</v>
      </c>
      <c r="K4172" s="444">
        <f t="shared" ca="1" si="181"/>
        <v>-39498337777.812431</v>
      </c>
      <c r="L4172" s="444">
        <f t="shared" ca="1" si="182"/>
        <v>-9519099404452.7969</v>
      </c>
      <c r="M4172" s="460">
        <f t="shared" si="184"/>
        <v>0.05</v>
      </c>
      <c r="N4172" s="464">
        <f t="shared" si="185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83"/>
        <v>-9519099404452.7969</v>
      </c>
      <c r="J4173" s="444">
        <f t="array" ref="J4173">IFERROR(INDEX('Retirement Calculator'!J:J,MATCH('Isaac 401k'!N4173,'Retirement Calculator'!A:A,0),0),0)</f>
        <v>0</v>
      </c>
      <c r="K4173" s="444">
        <f t="shared" ca="1" si="181"/>
        <v>-39662914185.219986</v>
      </c>
      <c r="L4173" s="444">
        <f t="shared" ca="1" si="182"/>
        <v>-9558762318638.0176</v>
      </c>
      <c r="M4173" s="460">
        <f t="shared" si="184"/>
        <v>0.05</v>
      </c>
      <c r="N4173" s="464">
        <f t="shared" si="185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83"/>
        <v>-9558762318638.0176</v>
      </c>
      <c r="J4174" s="444">
        <f t="array" ref="J4174">IFERROR(INDEX('Retirement Calculator'!J:J,MATCH('Isaac 401k'!N4174,'Retirement Calculator'!A:A,0),0),0)</f>
        <v>0</v>
      </c>
      <c r="K4174" s="444">
        <f t="shared" ca="1" si="181"/>
        <v>-39828176327.658409</v>
      </c>
      <c r="L4174" s="444">
        <f t="shared" ca="1" si="182"/>
        <v>-9598590494965.6758</v>
      </c>
      <c r="M4174" s="460">
        <f t="shared" si="184"/>
        <v>0.05</v>
      </c>
      <c r="N4174" s="464">
        <f t="shared" si="185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83"/>
        <v>-9598590494965.6758</v>
      </c>
      <c r="J4175" s="444">
        <f t="array" ref="J4175">IFERROR(INDEX('Retirement Calculator'!J:J,MATCH('Isaac 401k'!N4175,'Retirement Calculator'!A:A,0),0),0)</f>
        <v>0</v>
      </c>
      <c r="K4175" s="444">
        <f t="shared" ca="1" si="181"/>
        <v>-39994127062.356979</v>
      </c>
      <c r="L4175" s="444">
        <f t="shared" ca="1" si="182"/>
        <v>-9638584622028.0332</v>
      </c>
      <c r="M4175" s="460">
        <f t="shared" si="184"/>
        <v>0.05</v>
      </c>
      <c r="N4175" s="464">
        <f t="shared" si="185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83"/>
        <v>-9638584622028.0332</v>
      </c>
      <c r="J4176" s="444">
        <f t="array" ref="J4176">IFERROR(INDEX('Retirement Calculator'!J:J,MATCH('Isaac 401k'!N4176,'Retirement Calculator'!A:A,0),0),0)</f>
        <v>0</v>
      </c>
      <c r="K4176" s="444">
        <f t="shared" ca="1" si="181"/>
        <v>-40160769258.450134</v>
      </c>
      <c r="L4176" s="444">
        <f t="shared" ca="1" si="182"/>
        <v>-9678745391286.4824</v>
      </c>
      <c r="M4176" s="460">
        <f t="shared" si="184"/>
        <v>0.05</v>
      </c>
      <c r="N4176" s="464">
        <f t="shared" si="185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83"/>
        <v>-9678745391286.4824</v>
      </c>
      <c r="J4177" s="444">
        <f t="array" ref="J4177">IFERROR(INDEX('Retirement Calculator'!J:J,MATCH('Isaac 401k'!N4177,'Retirement Calculator'!A:A,0),0),0)</f>
        <v>0</v>
      </c>
      <c r="K4177" s="444">
        <f t="shared" ca="1" si="181"/>
        <v>-40328105797.027008</v>
      </c>
      <c r="L4177" s="444">
        <f t="shared" ca="1" si="182"/>
        <v>-9719073497083.5098</v>
      </c>
      <c r="M4177" s="460">
        <f t="shared" si="184"/>
        <v>0.05</v>
      </c>
      <c r="N4177" s="464">
        <f t="shared" si="185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83"/>
        <v>-9719073497083.5098</v>
      </c>
      <c r="J4178" s="444">
        <f t="array" ref="J4178">IFERROR(INDEX('Retirement Calculator'!J:J,MATCH('Isaac 401k'!N4178,'Retirement Calculator'!A:A,0),0),0)</f>
        <v>0</v>
      </c>
      <c r="K4178" s="444">
        <f t="shared" ca="1" si="181"/>
        <v>-40496139571.18129</v>
      </c>
      <c r="L4178" s="444">
        <f t="shared" ca="1" si="182"/>
        <v>-9759569636654.6914</v>
      </c>
      <c r="M4178" s="460">
        <f t="shared" si="184"/>
        <v>0.05</v>
      </c>
      <c r="N4178" s="464">
        <f t="shared" si="185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83"/>
        <v>-9759569636654.6914</v>
      </c>
      <c r="J4179" s="444">
        <f t="array" ref="J4179">IFERROR(INDEX('Retirement Calculator'!J:J,MATCH('Isaac 401k'!N4179,'Retirement Calculator'!A:A,0),0),0)</f>
        <v>0</v>
      </c>
      <c r="K4179" s="444">
        <f t="shared" ca="1" si="181"/>
        <v>-40664873486.061211</v>
      </c>
      <c r="L4179" s="444">
        <f t="shared" ca="1" si="182"/>
        <v>-9800234510140.752</v>
      </c>
      <c r="M4179" s="460">
        <f t="shared" si="184"/>
        <v>0.05</v>
      </c>
      <c r="N4179" s="464">
        <f t="shared" si="185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83"/>
        <v>-9800234510140.752</v>
      </c>
      <c r="J4180" s="444">
        <f t="array" ref="J4180">IFERROR(INDEX('Retirement Calculator'!J:J,MATCH('Isaac 401k'!N4180,'Retirement Calculator'!A:A,0),0),0)</f>
        <v>0</v>
      </c>
      <c r="K4180" s="444">
        <f t="shared" ca="1" si="181"/>
        <v>-40834310458.9198</v>
      </c>
      <c r="L4180" s="444">
        <f t="shared" ca="1" si="182"/>
        <v>-9841068820599.6719</v>
      </c>
      <c r="M4180" s="460">
        <f t="shared" si="184"/>
        <v>0.05</v>
      </c>
      <c r="N4180" s="464">
        <f t="shared" si="185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83"/>
        <v>-9841068820599.6719</v>
      </c>
      <c r="J4181" s="444">
        <f t="array" ref="J4181">IFERROR(INDEX('Retirement Calculator'!J:J,MATCH('Isaac 401k'!N4181,'Retirement Calculator'!A:A,0),0),0)</f>
        <v>0</v>
      </c>
      <c r="K4181" s="444">
        <f t="shared" ca="1" si="181"/>
        <v>-41004453419.165298</v>
      </c>
      <c r="L4181" s="444">
        <f t="shared" ca="1" si="182"/>
        <v>-9882073274018.8379</v>
      </c>
      <c r="M4181" s="460">
        <f t="shared" si="184"/>
        <v>0.05</v>
      </c>
      <c r="N4181" s="464">
        <f t="shared" si="185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83"/>
        <v>-9882073274018.8379</v>
      </c>
      <c r="J4182" s="444">
        <f t="array" ref="J4182">IFERROR(INDEX('Retirement Calculator'!J:J,MATCH('Isaac 401k'!N4182,'Retirement Calculator'!A:A,0),0),0)</f>
        <v>0</v>
      </c>
      <c r="K4182" s="444">
        <f t="shared" ca="1" si="181"/>
        <v>-41175305308.411827</v>
      </c>
      <c r="L4182" s="444">
        <f t="shared" ca="1" si="182"/>
        <v>-9923248579327.25</v>
      </c>
      <c r="M4182" s="460">
        <f t="shared" si="184"/>
        <v>0.05</v>
      </c>
      <c r="N4182" s="464">
        <f t="shared" si="185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83"/>
        <v>-9923248579327.25</v>
      </c>
      <c r="J4183" s="444">
        <f t="array" ref="J4183">IFERROR(INDEX('Retirement Calculator'!J:J,MATCH('Isaac 401k'!N4183,'Retirement Calculator'!A:A,0),0),0)</f>
        <v>0</v>
      </c>
      <c r="K4183" s="444">
        <f t="shared" ca="1" si="181"/>
        <v>-41346869080.530205</v>
      </c>
      <c r="L4183" s="444">
        <f t="shared" ca="1" si="182"/>
        <v>-9964595448407.7793</v>
      </c>
      <c r="M4183" s="460">
        <f t="shared" si="184"/>
        <v>0.05</v>
      </c>
      <c r="N4183" s="464">
        <f t="shared" si="185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83"/>
        <v>-9964595448407.7793</v>
      </c>
      <c r="J4184" s="444">
        <f t="array" ref="J4184">IFERROR(INDEX('Retirement Calculator'!J:J,MATCH('Isaac 401k'!N4184,'Retirement Calculator'!A:A,0),0),0)</f>
        <v>0</v>
      </c>
      <c r="K4184" s="444">
        <f t="shared" ca="1" si="181"/>
        <v>-41519147701.699081</v>
      </c>
      <c r="L4184" s="444">
        <f t="shared" ca="1" si="182"/>
        <v>-10006114596109.479</v>
      </c>
      <c r="M4184" s="460">
        <f t="shared" si="184"/>
        <v>0.05</v>
      </c>
      <c r="N4184" s="464">
        <f t="shared" si="185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83"/>
        <v>-10006114596109.479</v>
      </c>
      <c r="J4185" s="444">
        <f t="array" ref="J4185">IFERROR(INDEX('Retirement Calculator'!J:J,MATCH('Isaac 401k'!N4185,'Retirement Calculator'!A:A,0),0),0)</f>
        <v>0</v>
      </c>
      <c r="K4185" s="444">
        <f t="shared" ca="1" si="181"/>
        <v>-41692144150.456161</v>
      </c>
      <c r="L4185" s="444">
        <f t="shared" ca="1" si="182"/>
        <v>-10047806740259.936</v>
      </c>
      <c r="M4185" s="460">
        <f t="shared" si="184"/>
        <v>0.05</v>
      </c>
      <c r="N4185" s="464">
        <f t="shared" si="185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83"/>
        <v>-10047806740259.936</v>
      </c>
      <c r="J4186" s="444">
        <f t="array" ref="J4186">IFERROR(INDEX('Retirement Calculator'!J:J,MATCH('Isaac 401k'!N4186,'Retirement Calculator'!A:A,0),0),0)</f>
        <v>0</v>
      </c>
      <c r="K4186" s="444">
        <f t="shared" ca="1" si="181"/>
        <v>-41865861417.749733</v>
      </c>
      <c r="L4186" s="444">
        <f t="shared" ca="1" si="182"/>
        <v>-10089672601677.686</v>
      </c>
      <c r="M4186" s="460">
        <f t="shared" si="184"/>
        <v>0.05</v>
      </c>
      <c r="N4186" s="464">
        <f t="shared" si="185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83"/>
        <v>-10089672601677.686</v>
      </c>
      <c r="J4187" s="444">
        <f t="array" ref="J4187">IFERROR(INDEX('Retirement Calculator'!J:J,MATCH('Isaac 401k'!N4187,'Retirement Calculator'!A:A,0),0),0)</f>
        <v>0</v>
      </c>
      <c r="K4187" s="444">
        <f t="shared" ca="1" si="181"/>
        <v>-42040302506.990356</v>
      </c>
      <c r="L4187" s="444">
        <f t="shared" ca="1" si="182"/>
        <v>-10131712904184.676</v>
      </c>
      <c r="M4187" s="460">
        <f t="shared" si="184"/>
        <v>0.05</v>
      </c>
      <c r="N4187" s="464">
        <f t="shared" si="185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83"/>
        <v>-10131712904184.676</v>
      </c>
      <c r="J4188" s="444">
        <f t="array" ref="J4188">IFERROR(INDEX('Retirement Calculator'!J:J,MATCH('Isaac 401k'!N4188,'Retirement Calculator'!A:A,0),0),0)</f>
        <v>0</v>
      </c>
      <c r="K4188" s="444">
        <f t="shared" ca="1" si="181"/>
        <v>-42215470434.102814</v>
      </c>
      <c r="L4188" s="444">
        <f t="shared" ca="1" si="182"/>
        <v>-10173928374618.779</v>
      </c>
      <c r="M4188" s="460">
        <f t="shared" si="184"/>
        <v>0.05</v>
      </c>
      <c r="N4188" s="464">
        <f t="shared" si="185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83"/>
        <v>-10173928374618.779</v>
      </c>
      <c r="J4189" s="444">
        <f t="array" ref="J4189">IFERROR(INDEX('Retirement Calculator'!J:J,MATCH('Isaac 401k'!N4189,'Retirement Calculator'!A:A,0),0),0)</f>
        <v>0</v>
      </c>
      <c r="K4189" s="444">
        <f t="shared" ca="1" si="181"/>
        <v>-42391368227.578247</v>
      </c>
      <c r="L4189" s="444">
        <f t="shared" ca="1" si="182"/>
        <v>-10216319742846.357</v>
      </c>
      <c r="M4189" s="460">
        <f t="shared" si="184"/>
        <v>0.05</v>
      </c>
      <c r="N4189" s="464">
        <f t="shared" si="185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83"/>
        <v>-10216319742846.357</v>
      </c>
      <c r="J4190" s="444">
        <f t="array" ref="J4190">IFERROR(INDEX('Retirement Calculator'!J:J,MATCH('Isaac 401k'!N4190,'Retirement Calculator'!A:A,0),0),0)</f>
        <v>0</v>
      </c>
      <c r="K4190" s="444">
        <f t="shared" ca="1" si="181"/>
        <v>-42567998928.526489</v>
      </c>
      <c r="L4190" s="444">
        <f t="shared" ca="1" si="182"/>
        <v>-10258887741774.885</v>
      </c>
      <c r="M4190" s="460">
        <f t="shared" si="184"/>
        <v>0.05</v>
      </c>
      <c r="N4190" s="464">
        <f t="shared" si="185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83"/>
        <v>-10258887741774.885</v>
      </c>
      <c r="J4191" s="444">
        <f t="array" ref="J4191">IFERROR(INDEX('Retirement Calculator'!J:J,MATCH('Isaac 401k'!N4191,'Retirement Calculator'!A:A,0),0),0)</f>
        <v>0</v>
      </c>
      <c r="K4191" s="444">
        <f t="shared" ca="1" si="181"/>
        <v>-42745365590.728683</v>
      </c>
      <c r="L4191" s="444">
        <f t="shared" ca="1" si="182"/>
        <v>-10301633107365.613</v>
      </c>
      <c r="M4191" s="460">
        <f t="shared" si="184"/>
        <v>0.05</v>
      </c>
      <c r="N4191" s="464">
        <f t="shared" si="185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83"/>
        <v>-10301633107365.613</v>
      </c>
      <c r="J4192" s="444">
        <f t="array" ref="J4192">IFERROR(INDEX('Retirement Calculator'!J:J,MATCH('Isaac 401k'!N4192,'Retirement Calculator'!A:A,0),0),0)</f>
        <v>0</v>
      </c>
      <c r="K4192" s="444">
        <f t="shared" ca="1" si="181"/>
        <v>-42923471280.690056</v>
      </c>
      <c r="L4192" s="444">
        <f t="shared" ca="1" si="182"/>
        <v>-10344556578646.303</v>
      </c>
      <c r="M4192" s="460">
        <f t="shared" si="184"/>
        <v>0.05</v>
      </c>
      <c r="N4192" s="464">
        <f t="shared" si="185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83"/>
        <v>-10344556578646.303</v>
      </c>
      <c r="J4193" s="444">
        <f t="array" ref="J4193">IFERROR(INDEX('Retirement Calculator'!J:J,MATCH('Isaac 401k'!N4193,'Retirement Calculator'!A:A,0),0),0)</f>
        <v>0</v>
      </c>
      <c r="K4193" s="444">
        <f t="shared" ca="1" si="181"/>
        <v>-43102319077.692924</v>
      </c>
      <c r="L4193" s="444">
        <f t="shared" ca="1" si="182"/>
        <v>-10387658897723.996</v>
      </c>
      <c r="M4193" s="460">
        <f t="shared" si="184"/>
        <v>0.05</v>
      </c>
      <c r="N4193" s="464">
        <f t="shared" si="185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83"/>
        <v>-10387658897723.996</v>
      </c>
      <c r="J4194" s="444">
        <f t="array" ref="J4194">IFERROR(INDEX('Retirement Calculator'!J:J,MATCH('Isaac 401k'!N4194,'Retirement Calculator'!A:A,0),0),0)</f>
        <v>0</v>
      </c>
      <c r="K4194" s="444">
        <f t="shared" ca="1" si="181"/>
        <v>-43281912073.849983</v>
      </c>
      <c r="L4194" s="444">
        <f t="shared" ca="1" si="182"/>
        <v>-10430940809797.846</v>
      </c>
      <c r="M4194" s="460">
        <f t="shared" si="184"/>
        <v>0.05</v>
      </c>
      <c r="N4194" s="464">
        <f t="shared" si="185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83"/>
        <v>-10430940809797.846</v>
      </c>
      <c r="J4195" s="444">
        <f t="array" ref="J4195">IFERROR(INDEX('Retirement Calculator'!J:J,MATCH('Isaac 401k'!N4195,'Retirement Calculator'!A:A,0),0),0)</f>
        <v>0</v>
      </c>
      <c r="K4195" s="444">
        <f t="shared" ca="1" si="181"/>
        <v>-43462253374.157692</v>
      </c>
      <c r="L4195" s="444">
        <f t="shared" ca="1" si="182"/>
        <v>-10474403063172.004</v>
      </c>
      <c r="M4195" s="460">
        <f t="shared" si="184"/>
        <v>0.05</v>
      </c>
      <c r="N4195" s="464">
        <f t="shared" si="185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83"/>
        <v>-10474403063172.004</v>
      </c>
      <c r="J4196" s="444">
        <f t="array" ref="J4196">IFERROR(INDEX('Retirement Calculator'!J:J,MATCH('Isaac 401k'!N4196,'Retirement Calculator'!A:A,0),0),0)</f>
        <v>0</v>
      </c>
      <c r="K4196" s="444">
        <f t="shared" ca="1" si="181"/>
        <v>-43643346096.550018</v>
      </c>
      <c r="L4196" s="444">
        <f t="shared" ca="1" si="182"/>
        <v>-10518046409268.555</v>
      </c>
      <c r="M4196" s="460">
        <f t="shared" si="184"/>
        <v>0.05</v>
      </c>
      <c r="N4196" s="464">
        <f t="shared" si="185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83"/>
        <v>-10518046409268.555</v>
      </c>
      <c r="J4197" s="444">
        <f t="array" ref="J4197">IFERROR(INDEX('Retirement Calculator'!J:J,MATCH('Isaac 401k'!N4197,'Retirement Calculator'!A:A,0),0),0)</f>
        <v>0</v>
      </c>
      <c r="K4197" s="444">
        <f t="shared" ca="1" si="181"/>
        <v>-43825193371.952309</v>
      </c>
      <c r="L4197" s="444">
        <f t="shared" ca="1" si="182"/>
        <v>-10561871602640.508</v>
      </c>
      <c r="M4197" s="460">
        <f t="shared" si="184"/>
        <v>0.05</v>
      </c>
      <c r="N4197" s="464">
        <f t="shared" si="185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83"/>
        <v>-10561871602640.508</v>
      </c>
      <c r="J4198" s="444">
        <f t="array" ref="J4198">IFERROR(INDEX('Retirement Calculator'!J:J,MATCH('Isaac 401k'!N4198,'Retirement Calculator'!A:A,0),0),0)</f>
        <v>0</v>
      </c>
      <c r="K4198" s="444">
        <f t="shared" ca="1" si="181"/>
        <v>-44007798344.335449</v>
      </c>
      <c r="L4198" s="444">
        <f t="shared" ca="1" si="182"/>
        <v>-10605879400984.844</v>
      </c>
      <c r="M4198" s="460">
        <f t="shared" si="184"/>
        <v>0.05</v>
      </c>
      <c r="N4198" s="464">
        <f t="shared" si="185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83"/>
        <v>-10605879400984.844</v>
      </c>
      <c r="J4199" s="444">
        <f t="array" ref="J4199">IFERROR(INDEX('Retirement Calculator'!J:J,MATCH('Isaac 401k'!N4199,'Retirement Calculator'!A:A,0),0),0)</f>
        <v>0</v>
      </c>
      <c r="K4199" s="444">
        <f t="shared" ca="1" si="181"/>
        <v>-44191164170.77018</v>
      </c>
      <c r="L4199" s="444">
        <f t="shared" ca="1" si="182"/>
        <v>-10650070565155.613</v>
      </c>
      <c r="M4199" s="460">
        <f t="shared" si="184"/>
        <v>0.05</v>
      </c>
      <c r="N4199" s="464">
        <f t="shared" si="185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83"/>
        <v>-10650070565155.613</v>
      </c>
      <c r="J4200" s="444">
        <f t="array" ref="J4200">IFERROR(INDEX('Retirement Calculator'!J:J,MATCH('Isaac 401k'!N4200,'Retirement Calculator'!A:A,0),0),0)</f>
        <v>0</v>
      </c>
      <c r="K4200" s="444">
        <f t="shared" ca="1" si="181"/>
        <v>-44375294021.48172</v>
      </c>
      <c r="L4200" s="444">
        <f t="shared" ca="1" si="182"/>
        <v>-10694445859177.096</v>
      </c>
      <c r="M4200" s="460">
        <f t="shared" si="184"/>
        <v>0.05</v>
      </c>
      <c r="N4200" s="464">
        <f t="shared" si="185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83"/>
        <v>-10694445859177.096</v>
      </c>
      <c r="J4201" s="444">
        <f t="array" ref="J4201">IFERROR(INDEX('Retirement Calculator'!J:J,MATCH('Isaac 401k'!N4201,'Retirement Calculator'!A:A,0),0),0)</f>
        <v>0</v>
      </c>
      <c r="K4201" s="444">
        <f t="shared" ca="1" si="181"/>
        <v>-44560191079.904564</v>
      </c>
      <c r="L4201" s="444">
        <f t="shared" ca="1" si="182"/>
        <v>-10739006050257</v>
      </c>
      <c r="M4201" s="460">
        <f t="shared" si="184"/>
        <v>0.05</v>
      </c>
      <c r="N4201" s="464">
        <f t="shared" si="185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83"/>
        <v>-10739006050257</v>
      </c>
      <c r="J4202" s="444">
        <f t="array" ref="J4202">IFERROR(INDEX('Retirement Calculator'!J:J,MATCH('Isaac 401k'!N4202,'Retirement Calculator'!A:A,0),0),0)</f>
        <v>0</v>
      </c>
      <c r="K4202" s="444">
        <f t="shared" ca="1" si="181"/>
        <v>-44745858542.737503</v>
      </c>
      <c r="L4202" s="444">
        <f t="shared" ca="1" si="182"/>
        <v>-10783751908799.738</v>
      </c>
      <c r="M4202" s="460">
        <f t="shared" si="184"/>
        <v>0.05</v>
      </c>
      <c r="N4202" s="464">
        <f t="shared" si="185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83"/>
        <v>-10783751908799.738</v>
      </c>
      <c r="J4203" s="444">
        <f t="array" ref="J4203">IFERROR(INDEX('Retirement Calculator'!J:J,MATCH('Isaac 401k'!N4203,'Retirement Calculator'!A:A,0),0),0)</f>
        <v>0</v>
      </c>
      <c r="K4203" s="444">
        <f t="shared" ca="1" si="181"/>
        <v>-44932299619.998909</v>
      </c>
      <c r="L4203" s="444">
        <f t="shared" ca="1" si="182"/>
        <v>-10828684208419.736</v>
      </c>
      <c r="M4203" s="460">
        <f t="shared" si="184"/>
        <v>0.05</v>
      </c>
      <c r="N4203" s="464">
        <f t="shared" si="185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83"/>
        <v>-10828684208419.736</v>
      </c>
      <c r="J4204" s="444">
        <f t="array" ref="J4204">IFERROR(INDEX('Retirement Calculator'!J:J,MATCH('Isaac 401k'!N4204,'Retirement Calculator'!A:A,0),0),0)</f>
        <v>0</v>
      </c>
      <c r="K4204" s="444">
        <f t="shared" ca="1" si="181"/>
        <v>-45119517535.082237</v>
      </c>
      <c r="L4204" s="444">
        <f t="shared" ca="1" si="182"/>
        <v>-10873803725954.818</v>
      </c>
      <c r="M4204" s="460">
        <f t="shared" si="184"/>
        <v>0.05</v>
      </c>
      <c r="N4204" s="464">
        <f t="shared" si="185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83"/>
        <v>-10873803725954.818</v>
      </c>
      <c r="J4205" s="444">
        <f t="array" ref="J4205">IFERROR(INDEX('Retirement Calculator'!J:J,MATCH('Isaac 401k'!N4205,'Retirement Calculator'!A:A,0),0),0)</f>
        <v>0</v>
      </c>
      <c r="K4205" s="444">
        <f t="shared" ca="1" si="181"/>
        <v>-45307515524.811745</v>
      </c>
      <c r="L4205" s="444">
        <f t="shared" ca="1" si="182"/>
        <v>-10919111241479.631</v>
      </c>
      <c r="M4205" s="460">
        <f t="shared" si="184"/>
        <v>0.05</v>
      </c>
      <c r="N4205" s="464">
        <f t="shared" si="185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83"/>
        <v>-10919111241479.631</v>
      </c>
      <c r="J4206" s="444">
        <f t="array" ref="J4206">IFERROR(INDEX('Retirement Calculator'!J:J,MATCH('Isaac 401k'!N4206,'Retirement Calculator'!A:A,0),0),0)</f>
        <v>0</v>
      </c>
      <c r="K4206" s="444">
        <f t="shared" ca="1" si="181"/>
        <v>-45496296839.498459</v>
      </c>
      <c r="L4206" s="444">
        <f t="shared" ca="1" si="182"/>
        <v>-10964607538319.129</v>
      </c>
      <c r="M4206" s="460">
        <f t="shared" si="184"/>
        <v>0.05</v>
      </c>
      <c r="N4206" s="464">
        <f t="shared" si="185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83"/>
        <v>-10964607538319.129</v>
      </c>
      <c r="J4207" s="444">
        <f t="array" ref="J4207">IFERROR(INDEX('Retirement Calculator'!J:J,MATCH('Isaac 401k'!N4207,'Retirement Calculator'!A:A,0),0),0)</f>
        <v>0</v>
      </c>
      <c r="K4207" s="444">
        <f t="shared" ca="1" si="181"/>
        <v>-45685864742.996368</v>
      </c>
      <c r="L4207" s="444">
        <f t="shared" ca="1" si="182"/>
        <v>-11010293403062.125</v>
      </c>
      <c r="M4207" s="460">
        <f t="shared" si="184"/>
        <v>0.05</v>
      </c>
      <c r="N4207" s="464">
        <f t="shared" si="185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83"/>
        <v>-11010293403062.125</v>
      </c>
      <c r="J4208" s="444">
        <f t="array" ref="J4208">IFERROR(INDEX('Retirement Calculator'!J:J,MATCH('Isaac 401k'!N4208,'Retirement Calculator'!A:A,0),0),0)</f>
        <v>0</v>
      </c>
      <c r="K4208" s="444">
        <f t="shared" ca="1" si="181"/>
        <v>-45876222512.75885</v>
      </c>
      <c r="L4208" s="444">
        <f t="shared" ca="1" si="182"/>
        <v>-11056169625574.885</v>
      </c>
      <c r="M4208" s="460">
        <f t="shared" si="184"/>
        <v>0.05</v>
      </c>
      <c r="N4208" s="464">
        <f t="shared" si="185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83"/>
        <v>-11056169625574.885</v>
      </c>
      <c r="J4209" s="444">
        <f t="array" ref="J4209">IFERROR(INDEX('Retirement Calculator'!J:J,MATCH('Isaac 401k'!N4209,'Retirement Calculator'!A:A,0),0),0)</f>
        <v>0</v>
      </c>
      <c r="K4209" s="444">
        <f t="shared" ca="1" si="181"/>
        <v>-46067373439.895355</v>
      </c>
      <c r="L4209" s="444">
        <f t="shared" ca="1" si="182"/>
        <v>-11102236999014.779</v>
      </c>
      <c r="M4209" s="460">
        <f t="shared" si="184"/>
        <v>0.05</v>
      </c>
      <c r="N4209" s="464">
        <f t="shared" si="185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83"/>
        <v>-11102236999014.779</v>
      </c>
      <c r="J4210" s="444">
        <f t="array" ref="J4210">IFERROR(INDEX('Retirement Calculator'!J:J,MATCH('Isaac 401k'!N4210,'Retirement Calculator'!A:A,0),0),0)</f>
        <v>0</v>
      </c>
      <c r="K4210" s="444">
        <f t="shared" ca="1" si="181"/>
        <v>-46259320829.228249</v>
      </c>
      <c r="L4210" s="444">
        <f t="shared" ca="1" si="182"/>
        <v>-11148496319844.008</v>
      </c>
      <c r="M4210" s="460">
        <f t="shared" si="184"/>
        <v>0.05</v>
      </c>
      <c r="N4210" s="464">
        <f t="shared" si="185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83"/>
        <v>-11148496319844.008</v>
      </c>
      <c r="J4211" s="444">
        <f t="array" ref="J4211">IFERROR(INDEX('Retirement Calculator'!J:J,MATCH('Isaac 401k'!N4211,'Retirement Calculator'!A:A,0),0),0)</f>
        <v>0</v>
      </c>
      <c r="K4211" s="444">
        <f t="shared" ca="1" si="181"/>
        <v>-46452067999.350029</v>
      </c>
      <c r="L4211" s="444">
        <f t="shared" ca="1" si="182"/>
        <v>-11194948387843.357</v>
      </c>
      <c r="M4211" s="460">
        <f t="shared" si="184"/>
        <v>0.05</v>
      </c>
      <c r="N4211" s="464">
        <f t="shared" si="185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83"/>
        <v>-11194948387843.357</v>
      </c>
      <c r="J4212" s="444">
        <f t="array" ref="J4212">IFERROR(INDEX('Retirement Calculator'!J:J,MATCH('Isaac 401k'!N4212,'Retirement Calculator'!A:A,0),0),0)</f>
        <v>0</v>
      </c>
      <c r="K4212" s="444">
        <f t="shared" ca="1" si="181"/>
        <v>-46645618282.680656</v>
      </c>
      <c r="L4212" s="444">
        <f t="shared" ca="1" si="182"/>
        <v>-11241594006126.037</v>
      </c>
      <c r="M4212" s="460">
        <f t="shared" si="184"/>
        <v>0.05</v>
      </c>
      <c r="N4212" s="464">
        <f t="shared" si="185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83"/>
        <v>-11241594006126.037</v>
      </c>
      <c r="J4213" s="444">
        <f t="array" ref="J4213">IFERROR(INDEX('Retirement Calculator'!J:J,MATCH('Isaac 401k'!N4213,'Retirement Calculator'!A:A,0),0),0)</f>
        <v>0</v>
      </c>
      <c r="K4213" s="444">
        <f t="shared" ca="1" si="181"/>
        <v>-46839975025.525154</v>
      </c>
      <c r="L4213" s="444">
        <f t="shared" ca="1" si="182"/>
        <v>-11288433981151.563</v>
      </c>
      <c r="M4213" s="460">
        <f t="shared" si="184"/>
        <v>0.05</v>
      </c>
      <c r="N4213" s="464">
        <f t="shared" si="185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83"/>
        <v>-11288433981151.563</v>
      </c>
      <c r="J4214" s="444">
        <f t="array" ref="J4214">IFERROR(INDEX('Retirement Calculator'!J:J,MATCH('Isaac 401k'!N4214,'Retirement Calculator'!A:A,0),0),0)</f>
        <v>0</v>
      </c>
      <c r="K4214" s="444">
        <f t="shared" ca="1" si="181"/>
        <v>-47035141588.131508</v>
      </c>
      <c r="L4214" s="444">
        <f t="shared" ca="1" si="182"/>
        <v>-11335469122739.693</v>
      </c>
      <c r="M4214" s="460">
        <f t="shared" si="184"/>
        <v>0.05</v>
      </c>
      <c r="N4214" s="464">
        <f t="shared" si="185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83"/>
        <v>-11335469122739.693</v>
      </c>
      <c r="J4215" s="444">
        <f t="array" ref="J4215">IFERROR(INDEX('Retirement Calculator'!J:J,MATCH('Isaac 401k'!N4215,'Retirement Calculator'!A:A,0),0),0)</f>
        <v>0</v>
      </c>
      <c r="K4215" s="444">
        <f t="shared" ca="1" si="181"/>
        <v>-47231121344.748718</v>
      </c>
      <c r="L4215" s="444">
        <f t="shared" ca="1" si="182"/>
        <v>-11382700244084.441</v>
      </c>
      <c r="M4215" s="460">
        <f t="shared" si="184"/>
        <v>0.05</v>
      </c>
      <c r="N4215" s="464">
        <f t="shared" si="185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83"/>
        <v>-11382700244084.441</v>
      </c>
      <c r="J4216" s="444">
        <f t="array" ref="J4216">IFERROR(INDEX('Retirement Calculator'!J:J,MATCH('Isaac 401k'!N4216,'Retirement Calculator'!A:A,0),0),0)</f>
        <v>0</v>
      </c>
      <c r="K4216" s="444">
        <f t="shared" ca="1" si="181"/>
        <v>-47427917683.685173</v>
      </c>
      <c r="L4216" s="444">
        <f t="shared" ca="1" si="182"/>
        <v>-11430128161768.127</v>
      </c>
      <c r="M4216" s="460">
        <f t="shared" si="184"/>
        <v>0.05</v>
      </c>
      <c r="N4216" s="464">
        <f t="shared" si="185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83"/>
        <v>-11430128161768.127</v>
      </c>
      <c r="J4217" s="444">
        <f t="array" ref="J4217">IFERROR(INDEX('Retirement Calculator'!J:J,MATCH('Isaac 401k'!N4217,'Retirement Calculator'!A:A,0),0),0)</f>
        <v>0</v>
      </c>
      <c r="K4217" s="444">
        <f t="shared" ca="1" si="181"/>
        <v>-47625534007.367195</v>
      </c>
      <c r="L4217" s="444">
        <f t="shared" ca="1" si="182"/>
        <v>-11477753695775.494</v>
      </c>
      <c r="M4217" s="460">
        <f t="shared" si="184"/>
        <v>0.05</v>
      </c>
      <c r="N4217" s="464">
        <f t="shared" si="185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83"/>
        <v>-11477753695775.494</v>
      </c>
      <c r="J4218" s="444">
        <f t="array" ref="J4218">IFERROR(INDEX('Retirement Calculator'!J:J,MATCH('Isaac 401k'!N4218,'Retirement Calculator'!A:A,0),0),0)</f>
        <v>0</v>
      </c>
      <c r="K4218" s="444">
        <f t="shared" ca="1" si="181"/>
        <v>-47823973732.397888</v>
      </c>
      <c r="L4218" s="444">
        <f t="shared" ca="1" si="182"/>
        <v>-11525577669507.893</v>
      </c>
      <c r="M4218" s="460">
        <f t="shared" si="184"/>
        <v>0.05</v>
      </c>
      <c r="N4218" s="464">
        <f t="shared" si="185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83"/>
        <v>-11525577669507.893</v>
      </c>
      <c r="J4219" s="444">
        <f t="array" ref="J4219">IFERROR(INDEX('Retirement Calculator'!J:J,MATCH('Isaac 401k'!N4219,'Retirement Calculator'!A:A,0),0),0)</f>
        <v>0</v>
      </c>
      <c r="K4219" s="444">
        <f t="shared" ca="1" si="181"/>
        <v>-48023240289.616219</v>
      </c>
      <c r="L4219" s="444">
        <f t="shared" ca="1" si="182"/>
        <v>-11573600909797.51</v>
      </c>
      <c r="M4219" s="460">
        <f t="shared" si="184"/>
        <v>0.05</v>
      </c>
      <c r="N4219" s="464">
        <f t="shared" si="185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83"/>
        <v>-11573600909797.51</v>
      </c>
      <c r="J4220" s="444">
        <f t="array" ref="J4220">IFERROR(INDEX('Retirement Calculator'!J:J,MATCH('Isaac 401k'!N4220,'Retirement Calculator'!A:A,0),0),0)</f>
        <v>0</v>
      </c>
      <c r="K4220" s="444">
        <f t="shared" ca="1" si="181"/>
        <v>-48223337124.156288</v>
      </c>
      <c r="L4220" s="444">
        <f t="shared" ca="1" si="182"/>
        <v>-11621824246921.666</v>
      </c>
      <c r="M4220" s="460">
        <f t="shared" si="184"/>
        <v>0.05</v>
      </c>
      <c r="N4220" s="464">
        <f t="shared" si="185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83"/>
        <v>-11621824246921.666</v>
      </c>
      <c r="J4221" s="444">
        <f t="array" ref="J4221">IFERROR(INDEX('Retirement Calculator'!J:J,MATCH('Isaac 401k'!N4221,'Retirement Calculator'!A:A,0),0),0)</f>
        <v>0</v>
      </c>
      <c r="K4221" s="444">
        <f t="shared" ca="1" si="181"/>
        <v>-48424267695.506943</v>
      </c>
      <c r="L4221" s="444">
        <f t="shared" ca="1" si="182"/>
        <v>-11670248514617.174</v>
      </c>
      <c r="M4221" s="460">
        <f t="shared" si="184"/>
        <v>0.05</v>
      </c>
      <c r="N4221" s="464">
        <f t="shared" si="185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83"/>
        <v>-11670248514617.174</v>
      </c>
      <c r="J4222" s="444">
        <f t="array" ref="J4222">IFERROR(INDEX('Retirement Calculator'!J:J,MATCH('Isaac 401k'!N4222,'Retirement Calculator'!A:A,0),0),0)</f>
        <v>0</v>
      </c>
      <c r="K4222" s="444">
        <f t="shared" ca="1" si="181"/>
        <v>-48626035477.571556</v>
      </c>
      <c r="L4222" s="444">
        <f t="shared" ca="1" si="182"/>
        <v>-11718874550094.746</v>
      </c>
      <c r="M4222" s="460">
        <f t="shared" si="184"/>
        <v>0.05</v>
      </c>
      <c r="N4222" s="464">
        <f t="shared" si="185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83"/>
        <v>-11718874550094.746</v>
      </c>
      <c r="J4223" s="444">
        <f t="array" ref="J4223">IFERROR(INDEX('Retirement Calculator'!J:J,MATCH('Isaac 401k'!N4223,'Retirement Calculator'!A:A,0),0),0)</f>
        <v>0</v>
      </c>
      <c r="K4223" s="444">
        <f t="shared" ca="1" si="181"/>
        <v>-48828643958.728111</v>
      </c>
      <c r="L4223" s="444">
        <f t="shared" ca="1" si="182"/>
        <v>-11767703194053.475</v>
      </c>
      <c r="M4223" s="460">
        <f t="shared" si="184"/>
        <v>0.05</v>
      </c>
      <c r="N4223" s="464">
        <f t="shared" si="185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83"/>
        <v>-11767703194053.475</v>
      </c>
      <c r="J4224" s="444">
        <f t="array" ref="J4224">IFERROR(INDEX('Retirement Calculator'!J:J,MATCH('Isaac 401k'!N4224,'Retirement Calculator'!A:A,0),0),0)</f>
        <v>0</v>
      </c>
      <c r="K4224" s="444">
        <f t="shared" ca="1" si="181"/>
        <v>-49032096641.889481</v>
      </c>
      <c r="L4224" s="444">
        <f t="shared" ca="1" si="182"/>
        <v>-11816735290695.363</v>
      </c>
      <c r="M4224" s="460">
        <f t="shared" si="184"/>
        <v>0.05</v>
      </c>
      <c r="N4224" s="464">
        <f t="shared" si="185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83"/>
        <v>-11816735290695.363</v>
      </c>
      <c r="J4225" s="444">
        <f t="array" ref="J4225">IFERROR(INDEX('Retirement Calculator'!J:J,MATCH('Isaac 401k'!N4225,'Retirement Calculator'!A:A,0),0),0)</f>
        <v>0</v>
      </c>
      <c r="K4225" s="444">
        <f t="shared" ca="1" si="181"/>
        <v>-49236397044.564011</v>
      </c>
      <c r="L4225" s="444">
        <f t="shared" ca="1" si="182"/>
        <v>-11865971687739.928</v>
      </c>
      <c r="M4225" s="460">
        <f t="shared" si="184"/>
        <v>0.05</v>
      </c>
      <c r="N4225" s="464">
        <f t="shared" si="185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83"/>
        <v>-11865971687739.928</v>
      </c>
      <c r="J4226" s="444">
        <f t="array" ref="J4226">IFERROR(INDEX('Retirement Calculator'!J:J,MATCH('Isaac 401k'!N4226,'Retirement Calculator'!A:A,0),0),0)</f>
        <v>0</v>
      </c>
      <c r="K4226" s="444">
        <f t="shared" ca="1" si="181"/>
        <v>-49441548698.916367</v>
      </c>
      <c r="L4226" s="444">
        <f t="shared" ca="1" si="182"/>
        <v>-11915413236438.844</v>
      </c>
      <c r="M4226" s="460">
        <f t="shared" si="184"/>
        <v>0.05</v>
      </c>
      <c r="N4226" s="464">
        <f t="shared" si="185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83"/>
        <v>-11915413236438.844</v>
      </c>
      <c r="J4227" s="444">
        <f t="array" ref="J4227">IFERROR(INDEX('Retirement Calculator'!J:J,MATCH('Isaac 401k'!N4227,'Retirement Calculator'!A:A,0),0),0)</f>
        <v>0</v>
      </c>
      <c r="K4227" s="444">
        <f t="shared" ca="1" si="181"/>
        <v>-49647555151.828514</v>
      </c>
      <c r="L4227" s="444">
        <f t="shared" ca="1" si="182"/>
        <v>-11965060791590.672</v>
      </c>
      <c r="M4227" s="460">
        <f t="shared" si="184"/>
        <v>0.05</v>
      </c>
      <c r="N4227" s="464">
        <f t="shared" si="185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83"/>
        <v>-11965060791590.672</v>
      </c>
      <c r="J4228" s="444">
        <f t="array" ref="J4228">IFERROR(INDEX('Retirement Calculator'!J:J,MATCH('Isaac 401k'!N4228,'Retirement Calculator'!A:A,0),0),0)</f>
        <v>0</v>
      </c>
      <c r="K4228" s="444">
        <f t="shared" ca="1" si="181"/>
        <v>-49854419964.961136</v>
      </c>
      <c r="L4228" s="444">
        <f t="shared" ca="1" si="182"/>
        <v>-12014915211555.633</v>
      </c>
      <c r="M4228" s="460">
        <f t="shared" si="184"/>
        <v>0.05</v>
      </c>
      <c r="N4228" s="464">
        <f t="shared" si="185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83"/>
        <v>-12014915211555.633</v>
      </c>
      <c r="J4229" s="444">
        <f t="array" ref="J4229">IFERROR(INDEX('Retirement Calculator'!J:J,MATCH('Isaac 401k'!N4229,'Retirement Calculator'!A:A,0),0),0)</f>
        <v>0</v>
      </c>
      <c r="K4229" s="444">
        <f t="shared" ca="1" si="181"/>
        <v>-50062146714.81514</v>
      </c>
      <c r="L4229" s="444">
        <f t="shared" ca="1" si="182"/>
        <v>-12064977358270.447</v>
      </c>
      <c r="M4229" s="460">
        <f t="shared" si="184"/>
        <v>0.05</v>
      </c>
      <c r="N4229" s="464">
        <f t="shared" si="185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83"/>
        <v>-12064977358270.447</v>
      </c>
      <c r="J4230" s="444">
        <f t="array" ref="J4230">IFERROR(INDEX('Retirement Calculator'!J:J,MATCH('Isaac 401k'!N4230,'Retirement Calculator'!A:A,0),0),0)</f>
        <v>0</v>
      </c>
      <c r="K4230" s="444">
        <f t="shared" ca="1" si="181"/>
        <v>-50270738992.793533</v>
      </c>
      <c r="L4230" s="444">
        <f t="shared" ca="1" si="182"/>
        <v>-12115248097263.24</v>
      </c>
      <c r="M4230" s="460">
        <f t="shared" si="184"/>
        <v>0.05</v>
      </c>
      <c r="N4230" s="464">
        <f t="shared" si="185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83"/>
        <v>-12115248097263.24</v>
      </c>
      <c r="J4231" s="444">
        <f t="array" ref="J4231">IFERROR(INDEX('Retirement Calculator'!J:J,MATCH('Isaac 401k'!N4231,'Retirement Calculator'!A:A,0),0),0)</f>
        <v>0</v>
      </c>
      <c r="K4231" s="444">
        <f t="shared" ca="1" si="181"/>
        <v>-50480200405.263504</v>
      </c>
      <c r="L4231" s="444">
        <f t="shared" ca="1" si="182"/>
        <v>-12165728297668.504</v>
      </c>
      <c r="M4231" s="460">
        <f t="shared" si="184"/>
        <v>0.05</v>
      </c>
      <c r="N4231" s="464">
        <f t="shared" si="185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83"/>
        <v>-12165728297668.504</v>
      </c>
      <c r="J4232" s="444">
        <f t="array" ref="J4232">IFERROR(INDEX('Retirement Calculator'!J:J,MATCH('Isaac 401k'!N4232,'Retirement Calculator'!A:A,0),0),0)</f>
        <v>0</v>
      </c>
      <c r="K4232" s="444">
        <f t="shared" ca="1" si="181"/>
        <v>-50690534573.618767</v>
      </c>
      <c r="L4232" s="444">
        <f t="shared" ca="1" si="182"/>
        <v>-12216418832242.123</v>
      </c>
      <c r="M4232" s="460">
        <f t="shared" si="184"/>
        <v>0.05</v>
      </c>
      <c r="N4232" s="464">
        <f t="shared" si="185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83"/>
        <v>-12216418832242.123</v>
      </c>
      <c r="J4233" s="444">
        <f t="array" ref="J4233">IFERROR(INDEX('Retirement Calculator'!J:J,MATCH('Isaac 401k'!N4233,'Retirement Calculator'!A:A,0),0),0)</f>
        <v>0</v>
      </c>
      <c r="K4233" s="444">
        <f t="shared" ca="1" si="181"/>
        <v>-50901745134.342178</v>
      </c>
      <c r="L4233" s="444">
        <f t="shared" ca="1" si="182"/>
        <v>-12267320577376.465</v>
      </c>
      <c r="M4233" s="460">
        <f t="shared" si="184"/>
        <v>0.05</v>
      </c>
      <c r="N4233" s="464">
        <f t="shared" si="185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83"/>
        <v>-12267320577376.465</v>
      </c>
      <c r="J4234" s="444">
        <f t="array" ref="J4234">IFERROR(INDEX('Retirement Calculator'!J:J,MATCH('Isaac 401k'!N4234,'Retirement Calculator'!A:A,0),0),0)</f>
        <v>0</v>
      </c>
      <c r="K4234" s="444">
        <f t="shared" ca="1" si="181"/>
        <v>-51113835739.068604</v>
      </c>
      <c r="L4234" s="444">
        <f t="shared" ca="1" si="182"/>
        <v>-12318434413115.533</v>
      </c>
      <c r="M4234" s="460">
        <f t="shared" si="184"/>
        <v>0.05</v>
      </c>
      <c r="N4234" s="464">
        <f t="shared" si="185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83"/>
        <v>-12318434413115.533</v>
      </c>
      <c r="J4235" s="444">
        <f t="array" ref="J4235">IFERROR(INDEX('Retirement Calculator'!J:J,MATCH('Isaac 401k'!N4235,'Retirement Calculator'!A:A,0),0),0)</f>
        <v>0</v>
      </c>
      <c r="K4235" s="444">
        <f t="shared" ca="1" si="181"/>
        <v>-51326810054.648056</v>
      </c>
      <c r="L4235" s="444">
        <f t="shared" ca="1" si="182"/>
        <v>-12369761223170.182</v>
      </c>
      <c r="M4235" s="460">
        <f t="shared" si="184"/>
        <v>0.05</v>
      </c>
      <c r="N4235" s="464">
        <f t="shared" si="185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83"/>
        <v>-12369761223170.182</v>
      </c>
      <c r="J4236" s="444">
        <f t="array" ref="J4236">IFERROR(INDEX('Retirement Calculator'!J:J,MATCH('Isaac 401k'!N4236,'Retirement Calculator'!A:A,0),0),0)</f>
        <v>0</v>
      </c>
      <c r="K4236" s="444">
        <f t="shared" ca="1" si="181"/>
        <v>-51540671763.209091</v>
      </c>
      <c r="L4236" s="444">
        <f t="shared" ca="1" si="182"/>
        <v>-12421301894933.391</v>
      </c>
      <c r="M4236" s="460">
        <f t="shared" si="184"/>
        <v>0.05</v>
      </c>
      <c r="N4236" s="464">
        <f t="shared" si="185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83"/>
        <v>-12421301894933.391</v>
      </c>
      <c r="J4237" s="444">
        <f t="array" ref="J4237">IFERROR(INDEX('Retirement Calculator'!J:J,MATCH('Isaac 401k'!N4237,'Retirement Calculator'!A:A,0),0),0)</f>
        <v>0</v>
      </c>
      <c r="K4237" s="444">
        <f t="shared" ca="1" si="181"/>
        <v>-51755424562.222458</v>
      </c>
      <c r="L4237" s="444">
        <f t="shared" ca="1" si="182"/>
        <v>-12473057319495.613</v>
      </c>
      <c r="M4237" s="460">
        <f t="shared" si="184"/>
        <v>0.05</v>
      </c>
      <c r="N4237" s="464">
        <f t="shared" si="185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83"/>
        <v>-12473057319495.613</v>
      </c>
      <c r="J4238" s="444">
        <f t="array" ref="J4238">IFERROR(INDEX('Retirement Calculator'!J:J,MATCH('Isaac 401k'!N4238,'Retirement Calculator'!A:A,0),0),0)</f>
        <v>0</v>
      </c>
      <c r="K4238" s="444">
        <f t="shared" ca="1" si="181"/>
        <v>-51971072164.565056</v>
      </c>
      <c r="L4238" s="444">
        <f t="shared" ca="1" si="182"/>
        <v>-12525028391660.178</v>
      </c>
      <c r="M4238" s="460">
        <f t="shared" si="184"/>
        <v>0.05</v>
      </c>
      <c r="N4238" s="464">
        <f t="shared" si="185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83"/>
        <v>-12525028391660.178</v>
      </c>
      <c r="J4239" s="444">
        <f t="array" ref="J4239">IFERROR(INDEX('Retirement Calculator'!J:J,MATCH('Isaac 401k'!N4239,'Retirement Calculator'!A:A,0),0),0)</f>
        <v>0</v>
      </c>
      <c r="K4239" s="444">
        <f t="shared" ca="1" si="181"/>
        <v>-52187618298.584076</v>
      </c>
      <c r="L4239" s="444">
        <f t="shared" ca="1" si="182"/>
        <v>-12577216009958.762</v>
      </c>
      <c r="M4239" s="460">
        <f t="shared" si="184"/>
        <v>0.05</v>
      </c>
      <c r="N4239" s="464">
        <f t="shared" si="185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83"/>
        <v>-12577216009958.762</v>
      </c>
      <c r="J4240" s="444">
        <f t="array" ref="J4240">IFERROR(INDEX('Retirement Calculator'!J:J,MATCH('Isaac 401k'!N4240,'Retirement Calculator'!A:A,0),0),0)</f>
        <v>0</v>
      </c>
      <c r="K4240" s="444">
        <f t="shared" ca="1" si="181"/>
        <v>-52405066708.161507</v>
      </c>
      <c r="L4240" s="444">
        <f t="shared" ca="1" si="182"/>
        <v>-12629621076666.924</v>
      </c>
      <c r="M4240" s="460">
        <f t="shared" si="184"/>
        <v>0.05</v>
      </c>
      <c r="N4240" s="464">
        <f t="shared" si="185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83"/>
        <v>-12629621076666.924</v>
      </c>
      <c r="J4241" s="444">
        <f t="array" ref="J4241">IFERROR(INDEX('Retirement Calculator'!J:J,MATCH('Isaac 401k'!N4241,'Retirement Calculator'!A:A,0),0),0)</f>
        <v>0</v>
      </c>
      <c r="K4241" s="444">
        <f t="shared" ca="1" si="181"/>
        <v>-52623421152.778847</v>
      </c>
      <c r="L4241" s="444">
        <f t="shared" ca="1" si="182"/>
        <v>-12682244497819.703</v>
      </c>
      <c r="M4241" s="460">
        <f t="shared" si="184"/>
        <v>0.05</v>
      </c>
      <c r="N4241" s="464">
        <f t="shared" si="185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83"/>
        <v>-12682244497819.703</v>
      </c>
      <c r="J4242" s="444">
        <f t="array" ref="J4242">IFERROR(INDEX('Retirement Calculator'!J:J,MATCH('Isaac 401k'!N4242,'Retirement Calculator'!A:A,0),0),0)</f>
        <v>0</v>
      </c>
      <c r="K4242" s="444">
        <f t="shared" ca="1" si="181"/>
        <v>-52842685407.582092</v>
      </c>
      <c r="L4242" s="444">
        <f t="shared" ca="1" si="182"/>
        <v>-12735087183227.285</v>
      </c>
      <c r="M4242" s="460">
        <f t="shared" si="184"/>
        <v>0.05</v>
      </c>
      <c r="N4242" s="464">
        <f t="shared" si="185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83"/>
        <v>-12735087183227.285</v>
      </c>
      <c r="J4243" s="444">
        <f t="array" ref="J4243">IFERROR(INDEX('Retirement Calculator'!J:J,MATCH('Isaac 401k'!N4243,'Retirement Calculator'!A:A,0),0),0)</f>
        <v>0</v>
      </c>
      <c r="K4243" s="444">
        <f t="shared" ca="1" si="181"/>
        <v>-53062863263.447021</v>
      </c>
      <c r="L4243" s="444">
        <f t="shared" ca="1" si="182"/>
        <v>-12788150046490.732</v>
      </c>
      <c r="M4243" s="460">
        <f t="shared" si="184"/>
        <v>0.05</v>
      </c>
      <c r="N4243" s="464">
        <f t="shared" si="185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83"/>
        <v>-12788150046490.732</v>
      </c>
      <c r="J4244" s="444">
        <f t="array" ref="J4244">IFERROR(INDEX('Retirement Calculator'!J:J,MATCH('Isaac 401k'!N4244,'Retirement Calculator'!A:A,0),0),0)</f>
        <v>0</v>
      </c>
      <c r="K4244" s="444">
        <f t="shared" ca="1" si="181"/>
        <v>-53283958527.044716</v>
      </c>
      <c r="L4244" s="444">
        <f t="shared" ca="1" si="182"/>
        <v>-12841434005017.777</v>
      </c>
      <c r="M4244" s="460">
        <f t="shared" si="184"/>
        <v>0.05</v>
      </c>
      <c r="N4244" s="464">
        <f t="shared" si="185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83"/>
        <v>-12841434005017.777</v>
      </c>
      <c r="J4245" s="444">
        <f t="array" ref="J4245">IFERROR(INDEX('Retirement Calculator'!J:J,MATCH('Isaac 401k'!N4245,'Retirement Calculator'!A:A,0),0),0)</f>
        <v>0</v>
      </c>
      <c r="K4245" s="444">
        <f t="shared" ca="1" si="181"/>
        <v>-53505975020.907402</v>
      </c>
      <c r="L4245" s="444">
        <f t="shared" ca="1" si="182"/>
        <v>-12894939980038.686</v>
      </c>
      <c r="M4245" s="460">
        <f t="shared" si="184"/>
        <v>0.05</v>
      </c>
      <c r="N4245" s="464">
        <f t="shared" si="185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83"/>
        <v>-12894939980038.686</v>
      </c>
      <c r="J4246" s="444">
        <f t="array" ref="J4246">IFERROR(INDEX('Retirement Calculator'!J:J,MATCH('Isaac 401k'!N4246,'Retirement Calculator'!A:A,0),0),0)</f>
        <v>0</v>
      </c>
      <c r="K4246" s="444">
        <f t="shared" ca="1" si="181"/>
        <v>-53728916583.494522</v>
      </c>
      <c r="L4246" s="444">
        <f t="shared" ca="1" si="182"/>
        <v>-12948668896622.18</v>
      </c>
      <c r="M4246" s="460">
        <f t="shared" si="184"/>
        <v>0.05</v>
      </c>
      <c r="N4246" s="464">
        <f t="shared" si="185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83"/>
        <v>-12948668896622.18</v>
      </c>
      <c r="J4247" s="444">
        <f t="array" ref="J4247">IFERROR(INDEX('Retirement Calculator'!J:J,MATCH('Isaac 401k'!N4247,'Retirement Calculator'!A:A,0),0),0)</f>
        <v>0</v>
      </c>
      <c r="K4247" s="444">
        <f t="shared" ca="1" si="181"/>
        <v>-53952787069.259079</v>
      </c>
      <c r="L4247" s="444">
        <f t="shared" ca="1" si="182"/>
        <v>-13002621683691.439</v>
      </c>
      <c r="M4247" s="460">
        <f t="shared" si="184"/>
        <v>0.05</v>
      </c>
      <c r="N4247" s="464">
        <f t="shared" si="185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83"/>
        <v>-13002621683691.439</v>
      </c>
      <c r="J4248" s="444">
        <f t="array" ref="J4248">IFERROR(INDEX('Retirement Calculator'!J:J,MATCH('Isaac 401k'!N4248,'Retirement Calculator'!A:A,0),0),0)</f>
        <v>0</v>
      </c>
      <c r="K4248" s="444">
        <f t="shared" ca="1" si="181"/>
        <v>-54177590348.714333</v>
      </c>
      <c r="L4248" s="444">
        <f t="shared" ca="1" si="182"/>
        <v>-13056799274040.154</v>
      </c>
      <c r="M4248" s="460">
        <f t="shared" si="184"/>
        <v>0.05</v>
      </c>
      <c r="N4248" s="464">
        <f t="shared" si="185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83"/>
        <v>-13056799274040.154</v>
      </c>
      <c r="J4249" s="444">
        <f t="array" ref="J4249">IFERROR(INDEX('Retirement Calculator'!J:J,MATCH('Isaac 401k'!N4249,'Retirement Calculator'!A:A,0),0),0)</f>
        <v>0</v>
      </c>
      <c r="K4249" s="444">
        <f t="shared" ca="1" si="181"/>
        <v>-54403330308.500641</v>
      </c>
      <c r="L4249" s="444">
        <f t="shared" ca="1" si="182"/>
        <v>-13111202604348.654</v>
      </c>
      <c r="M4249" s="460">
        <f t="shared" si="184"/>
        <v>0.05</v>
      </c>
      <c r="N4249" s="464">
        <f t="shared" si="185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83"/>
        <v>-13111202604348.654</v>
      </c>
      <c r="J4250" s="444">
        <f t="array" ref="J4250">IFERROR(INDEX('Retirement Calculator'!J:J,MATCH('Isaac 401k'!N4250,'Retirement Calculator'!A:A,0),0),0)</f>
        <v>0</v>
      </c>
      <c r="K4250" s="444">
        <f t="shared" ca="1" si="181"/>
        <v>-54630010851.452728</v>
      </c>
      <c r="L4250" s="444">
        <f t="shared" ca="1" si="182"/>
        <v>-13165832615200.107</v>
      </c>
      <c r="M4250" s="460">
        <f t="shared" si="184"/>
        <v>0.05</v>
      </c>
      <c r="N4250" s="464">
        <f t="shared" si="185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83"/>
        <v>-13165832615200.107</v>
      </c>
      <c r="J4251" s="444">
        <f t="array" ref="J4251">IFERROR(INDEX('Retirement Calculator'!J:J,MATCH('Isaac 401k'!N4251,'Retirement Calculator'!A:A,0),0),0)</f>
        <v>0</v>
      </c>
      <c r="K4251" s="444">
        <f t="shared" ca="1" si="181"/>
        <v>-54857635896.667114</v>
      </c>
      <c r="L4251" s="444">
        <f t="shared" ca="1" si="182"/>
        <v>-13220690251096.775</v>
      </c>
      <c r="M4251" s="460">
        <f t="shared" si="184"/>
        <v>0.05</v>
      </c>
      <c r="N4251" s="464">
        <f t="shared" si="185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83"/>
        <v>-13220690251096.775</v>
      </c>
      <c r="J4252" s="444">
        <f t="array" ref="J4252">IFERROR(INDEX('Retirement Calculator'!J:J,MATCH('Isaac 401k'!N4252,'Retirement Calculator'!A:A,0),0),0)</f>
        <v>0</v>
      </c>
      <c r="K4252" s="444">
        <f t="shared" ca="1" si="181"/>
        <v>-55086209379.569901</v>
      </c>
      <c r="L4252" s="444">
        <f t="shared" ca="1" si="182"/>
        <v>-13275776460476.346</v>
      </c>
      <c r="M4252" s="460">
        <f t="shared" si="184"/>
        <v>0.05</v>
      </c>
      <c r="N4252" s="464">
        <f t="shared" si="185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83"/>
        <v>-13275776460476.346</v>
      </c>
      <c r="J4253" s="444">
        <f t="array" ref="J4253">IFERROR(INDEX('Retirement Calculator'!J:J,MATCH('Isaac 401k'!N4253,'Retirement Calculator'!A:A,0),0),0)</f>
        <v>0</v>
      </c>
      <c r="K4253" s="444">
        <f t="shared" ca="1" si="181"/>
        <v>-55315735251.984772</v>
      </c>
      <c r="L4253" s="444">
        <f t="shared" ca="1" si="182"/>
        <v>-13331092195728.33</v>
      </c>
      <c r="M4253" s="460">
        <f t="shared" si="184"/>
        <v>0.05</v>
      </c>
      <c r="N4253" s="464">
        <f t="shared" si="185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83"/>
        <v>-13331092195728.33</v>
      </c>
      <c r="J4254" s="444">
        <f t="array" ref="J4254">IFERROR(INDEX('Retirement Calculator'!J:J,MATCH('Isaac 401k'!N4254,'Retirement Calculator'!A:A,0),0),0)</f>
        <v>0</v>
      </c>
      <c r="K4254" s="444">
        <f t="shared" ca="1" si="181"/>
        <v>-55546217482.201378</v>
      </c>
      <c r="L4254" s="444">
        <f t="shared" ca="1" si="182"/>
        <v>-13386638413210.531</v>
      </c>
      <c r="M4254" s="460">
        <f t="shared" si="184"/>
        <v>0.05</v>
      </c>
      <c r="N4254" s="464">
        <f t="shared" si="185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83"/>
        <v>-13386638413210.531</v>
      </c>
      <c r="J4255" s="444">
        <f t="array" ref="J4255">IFERROR(INDEX('Retirement Calculator'!J:J,MATCH('Isaac 401k'!N4255,'Retirement Calculator'!A:A,0),0),0)</f>
        <v>0</v>
      </c>
      <c r="K4255" s="444">
        <f t="shared" ca="1" si="181"/>
        <v>-55777660055.043877</v>
      </c>
      <c r="L4255" s="444">
        <f t="shared" ca="1" si="182"/>
        <v>-13442416073265.574</v>
      </c>
      <c r="M4255" s="460">
        <f t="shared" si="184"/>
        <v>0.05</v>
      </c>
      <c r="N4255" s="464">
        <f t="shared" si="185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83"/>
        <v>-13442416073265.574</v>
      </c>
      <c r="J4256" s="444">
        <f t="array" ref="J4256">IFERROR(INDEX('Retirement Calculator'!J:J,MATCH('Isaac 401k'!N4256,'Retirement Calculator'!A:A,0),0),0)</f>
        <v>0</v>
      </c>
      <c r="K4256" s="444">
        <f t="shared" ca="1" si="181"/>
        <v>-56010066971.939888</v>
      </c>
      <c r="L4256" s="444">
        <f t="shared" ca="1" si="182"/>
        <v>-13498426140237.514</v>
      </c>
      <c r="M4256" s="460">
        <f t="shared" si="184"/>
        <v>0.05</v>
      </c>
      <c r="N4256" s="464">
        <f t="shared" si="185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83"/>
        <v>-13498426140237.514</v>
      </c>
      <c r="J4257" s="444">
        <f t="array" ref="J4257">IFERROR(INDEX('Retirement Calculator'!J:J,MATCH('Isaac 401k'!N4257,'Retirement Calculator'!A:A,0),0),0)</f>
        <v>0</v>
      </c>
      <c r="K4257" s="444">
        <f t="shared" ca="1" si="181"/>
        <v>-56243442250.989639</v>
      </c>
      <c r="L4257" s="444">
        <f t="shared" ca="1" si="182"/>
        <v>-13554669582488.504</v>
      </c>
      <c r="M4257" s="460">
        <f t="shared" si="184"/>
        <v>0.05</v>
      </c>
      <c r="N4257" s="464">
        <f t="shared" si="185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83"/>
        <v>-13554669582488.504</v>
      </c>
      <c r="J4258" s="444">
        <f t="array" ref="J4258">IFERROR(INDEX('Retirement Calculator'!J:J,MATCH('Isaac 401k'!N4258,'Retirement Calculator'!A:A,0),0),0)</f>
        <v>0</v>
      </c>
      <c r="K4258" s="444">
        <f t="shared" ca="1" si="181"/>
        <v>-56477789927.035431</v>
      </c>
      <c r="L4258" s="444">
        <f t="shared" ca="1" si="182"/>
        <v>-13611147372415.539</v>
      </c>
      <c r="M4258" s="460">
        <f t="shared" si="184"/>
        <v>0.05</v>
      </c>
      <c r="N4258" s="464">
        <f t="shared" si="185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83"/>
        <v>-13611147372415.539</v>
      </c>
      <c r="J4259" s="444">
        <f t="array" ref="J4259">IFERROR(INDEX('Retirement Calculator'!J:J,MATCH('Isaac 401k'!N4259,'Retirement Calculator'!A:A,0),0),0)</f>
        <v>0</v>
      </c>
      <c r="K4259" s="444">
        <f t="shared" ca="1" si="181"/>
        <v>-56713114051.731415</v>
      </c>
      <c r="L4259" s="444">
        <f t="shared" ca="1" si="182"/>
        <v>-13667860486467.27</v>
      </c>
      <c r="M4259" s="460">
        <f t="shared" si="184"/>
        <v>0.05</v>
      </c>
      <c r="N4259" s="464">
        <f t="shared" si="185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83"/>
        <v>-13667860486467.27</v>
      </c>
      <c r="J4260" s="444">
        <f t="array" ref="J4260">IFERROR(INDEX('Retirement Calculator'!J:J,MATCH('Isaac 401k'!N4260,'Retirement Calculator'!A:A,0),0),0)</f>
        <v>0</v>
      </c>
      <c r="K4260" s="444">
        <f t="shared" ca="1" si="181"/>
        <v>-56949418693.613625</v>
      </c>
      <c r="L4260" s="444">
        <f t="shared" ca="1" si="182"/>
        <v>-13724809905160.883</v>
      </c>
      <c r="M4260" s="460">
        <f t="shared" si="184"/>
        <v>0.05</v>
      </c>
      <c r="N4260" s="464">
        <f t="shared" si="185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83"/>
        <v>-13724809905160.883</v>
      </c>
      <c r="J4261" s="444">
        <f t="array" ref="J4261">IFERROR(INDEX('Retirement Calculator'!J:J,MATCH('Isaac 401k'!N4261,'Retirement Calculator'!A:A,0),0),0)</f>
        <v>0</v>
      </c>
      <c r="K4261" s="444">
        <f t="shared" ca="1" si="181"/>
        <v>-57186707938.170341</v>
      </c>
      <c r="L4261" s="444">
        <f t="shared" ca="1" si="182"/>
        <v>-13781996613099.053</v>
      </c>
      <c r="M4261" s="460">
        <f t="shared" si="184"/>
        <v>0.05</v>
      </c>
      <c r="N4261" s="464">
        <f t="shared" si="185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83"/>
        <v>-13781996613099.053</v>
      </c>
      <c r="J4262" s="444">
        <f t="array" ref="J4262">IFERROR(INDEX('Retirement Calculator'!J:J,MATCH('Isaac 401k'!N4262,'Retirement Calculator'!A:A,0),0),0)</f>
        <v>0</v>
      </c>
      <c r="K4262" s="444">
        <f t="shared" ca="1" si="181"/>
        <v>-57424985887.912712</v>
      </c>
      <c r="L4262" s="444">
        <f t="shared" ca="1" si="182"/>
        <v>-13839421598986.965</v>
      </c>
      <c r="M4262" s="460">
        <f t="shared" si="184"/>
        <v>0.05</v>
      </c>
      <c r="N4262" s="464">
        <f t="shared" si="185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83"/>
        <v>-13839421598986.965</v>
      </c>
      <c r="J4263" s="444">
        <f t="array" ref="J4263">IFERROR(INDEX('Retirement Calculator'!J:J,MATCH('Isaac 401k'!N4263,'Retirement Calculator'!A:A,0),0),0)</f>
        <v>0</v>
      </c>
      <c r="K4263" s="444">
        <f t="shared" ca="1" si="181"/>
        <v>-57664256662.445686</v>
      </c>
      <c r="L4263" s="444">
        <f t="shared" ca="1" si="182"/>
        <v>-13897085855649.41</v>
      </c>
      <c r="M4263" s="460">
        <f t="shared" si="184"/>
        <v>0.05</v>
      </c>
      <c r="N4263" s="464">
        <f t="shared" si="185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83"/>
        <v>-13897085855649.41</v>
      </c>
      <c r="J4264" s="444">
        <f t="array" ref="J4264">IFERROR(INDEX('Retirement Calculator'!J:J,MATCH('Isaac 401k'!N4264,'Retirement Calculator'!A:A,0),0),0)</f>
        <v>0</v>
      </c>
      <c r="K4264" s="444">
        <f t="shared" ca="1" si="181"/>
        <v>-57904524398.539207</v>
      </c>
      <c r="L4264" s="444">
        <f t="shared" ca="1" si="182"/>
        <v>-13954990380047.949</v>
      </c>
      <c r="M4264" s="460">
        <f t="shared" si="184"/>
        <v>0.05</v>
      </c>
      <c r="N4264" s="464">
        <f t="shared" si="185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83"/>
        <v>-13954990380047.949</v>
      </c>
      <c r="J4265" s="444">
        <f t="array" ref="J4265">IFERROR(INDEX('Retirement Calculator'!J:J,MATCH('Isaac 401k'!N4265,'Retirement Calculator'!A:A,0),0),0)</f>
        <v>0</v>
      </c>
      <c r="K4265" s="444">
        <f t="shared" ca="1" si="181"/>
        <v>-58145793250.199791</v>
      </c>
      <c r="L4265" s="444">
        <f t="shared" ca="1" si="182"/>
        <v>-14013136173298.148</v>
      </c>
      <c r="M4265" s="460">
        <f t="shared" si="184"/>
        <v>0.05</v>
      </c>
      <c r="N4265" s="464">
        <f t="shared" si="185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83"/>
        <v>-14013136173298.148</v>
      </c>
      <c r="J4266" s="444">
        <f t="array" ref="J4266">IFERROR(INDEX('Retirement Calculator'!J:J,MATCH('Isaac 401k'!N4266,'Retirement Calculator'!A:A,0),0),0)</f>
        <v>0</v>
      </c>
      <c r="K4266" s="444">
        <f t="shared" ca="1" si="181"/>
        <v>-58388067388.742287</v>
      </c>
      <c r="L4266" s="444">
        <f t="shared" ca="1" si="182"/>
        <v>-14071524240686.891</v>
      </c>
      <c r="M4266" s="460">
        <f t="shared" si="184"/>
        <v>0.05</v>
      </c>
      <c r="N4266" s="464">
        <f t="shared" si="185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83"/>
        <v>-14071524240686.891</v>
      </c>
      <c r="J4267" s="444">
        <f t="array" ref="J4267">IFERROR(INDEX('Retirement Calculator'!J:J,MATCH('Isaac 401k'!N4267,'Retirement Calculator'!A:A,0),0),0)</f>
        <v>0</v>
      </c>
      <c r="K4267" s="444">
        <f t="shared" ca="1" si="181"/>
        <v>-58631351002.862045</v>
      </c>
      <c r="L4267" s="444">
        <f t="shared" ca="1" si="182"/>
        <v>-14130155591689.752</v>
      </c>
      <c r="M4267" s="460">
        <f t="shared" si="184"/>
        <v>0.05</v>
      </c>
      <c r="N4267" s="464">
        <f t="shared" si="185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83"/>
        <v>-14130155591689.752</v>
      </c>
      <c r="J4268" s="444">
        <f t="array" ref="J4268">IFERROR(INDEX('Retirement Calculator'!J:J,MATCH('Isaac 401k'!N4268,'Retirement Calculator'!A:A,0),0),0)</f>
        <v>0</v>
      </c>
      <c r="K4268" s="444">
        <f t="shared" ca="1" si="181"/>
        <v>-58875648298.707306</v>
      </c>
      <c r="L4268" s="444">
        <f t="shared" ca="1" si="182"/>
        <v>-14189031239988.459</v>
      </c>
      <c r="M4268" s="460">
        <f t="shared" si="184"/>
        <v>0.05</v>
      </c>
      <c r="N4268" s="464">
        <f t="shared" si="185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83"/>
        <v>-14189031239988.459</v>
      </c>
      <c r="J4269" s="444">
        <f t="array" ref="J4269">IFERROR(INDEX('Retirement Calculator'!J:J,MATCH('Isaac 401k'!N4269,'Retirement Calculator'!A:A,0),0),0)</f>
        <v>0</v>
      </c>
      <c r="K4269" s="444">
        <f t="shared" ca="1" si="181"/>
        <v>-59120963499.951912</v>
      </c>
      <c r="L4269" s="444">
        <f t="shared" ca="1" si="182"/>
        <v>-14248152203488.41</v>
      </c>
      <c r="M4269" s="460">
        <f t="shared" si="184"/>
        <v>0.05</v>
      </c>
      <c r="N4269" s="464">
        <f t="shared" si="185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83"/>
        <v>-14248152203488.41</v>
      </c>
      <c r="J4270" s="444">
        <f t="array" ref="J4270">IFERROR(INDEX('Retirement Calculator'!J:J,MATCH('Isaac 401k'!N4270,'Retirement Calculator'!A:A,0),0),0)</f>
        <v>0</v>
      </c>
      <c r="K4270" s="444">
        <f t="shared" ca="1" si="181"/>
        <v>-59367300847.868378</v>
      </c>
      <c r="L4270" s="444">
        <f t="shared" ca="1" si="182"/>
        <v>-14307519504336.279</v>
      </c>
      <c r="M4270" s="460">
        <f t="shared" si="184"/>
        <v>0.05</v>
      </c>
      <c r="N4270" s="464">
        <f t="shared" si="185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83"/>
        <v>-14307519504336.279</v>
      </c>
      <c r="J4271" s="444">
        <f t="array" ref="J4271">IFERROR(INDEX('Retirement Calculator'!J:J,MATCH('Isaac 401k'!N4271,'Retirement Calculator'!A:A,0),0),0)</f>
        <v>0</v>
      </c>
      <c r="K4271" s="444">
        <f t="shared" ca="1" si="181"/>
        <v>-59614664601.401161</v>
      </c>
      <c r="L4271" s="444">
        <f t="shared" ca="1" si="182"/>
        <v>-14367134168937.68</v>
      </c>
      <c r="M4271" s="460">
        <f t="shared" si="184"/>
        <v>0.05</v>
      </c>
      <c r="N4271" s="464">
        <f t="shared" si="185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83"/>
        <v>-14367134168937.68</v>
      </c>
      <c r="J4272" s="444">
        <f t="array" ref="J4272">IFERROR(INDEX('Retirement Calculator'!J:J,MATCH('Isaac 401k'!N4272,'Retirement Calculator'!A:A,0),0),0)</f>
        <v>0</v>
      </c>
      <c r="K4272" s="444">
        <f t="shared" ca="1" si="181"/>
        <v>-59863059037.240341</v>
      </c>
      <c r="L4272" s="444">
        <f t="shared" ca="1" si="182"/>
        <v>-14426997227974.92</v>
      </c>
      <c r="M4272" s="460">
        <f t="shared" si="184"/>
        <v>0.05</v>
      </c>
      <c r="N4272" s="464">
        <f t="shared" si="185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83"/>
        <v>-14426997227974.92</v>
      </c>
      <c r="J4273" s="444">
        <f t="array" ref="J4273">IFERROR(INDEX('Retirement Calculator'!J:J,MATCH('Isaac 401k'!N4273,'Retirement Calculator'!A:A,0),0),0)</f>
        <v>0</v>
      </c>
      <c r="K4273" s="444">
        <f t="shared" ca="1" si="181"/>
        <v>-60112488449.8955</v>
      </c>
      <c r="L4273" s="444">
        <f t="shared" ca="1" si="182"/>
        <v>-14487109716424.814</v>
      </c>
      <c r="M4273" s="460">
        <f t="shared" si="184"/>
        <v>0.05</v>
      </c>
      <c r="N4273" s="464">
        <f t="shared" si="185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83"/>
        <v>-14487109716424.814</v>
      </c>
      <c r="J4274" s="444">
        <f t="array" ref="J4274">IFERROR(INDEX('Retirement Calculator'!J:J,MATCH('Isaac 401k'!N4274,'Retirement Calculator'!A:A,0),0),0)</f>
        <v>0</v>
      </c>
      <c r="K4274" s="444">
        <f t="shared" ca="1" si="181"/>
        <v>-60362957151.770058</v>
      </c>
      <c r="L4274" s="444">
        <f t="shared" ca="1" si="182"/>
        <v>-14547472673576.584</v>
      </c>
      <c r="M4274" s="460">
        <f t="shared" si="184"/>
        <v>0.05</v>
      </c>
      <c r="N4274" s="464">
        <f t="shared" si="185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83"/>
        <v>-14547472673576.584</v>
      </c>
      <c r="J4275" s="444">
        <f t="array" ref="J4275">IFERROR(INDEX('Retirement Calculator'!J:J,MATCH('Isaac 401k'!N4275,'Retirement Calculator'!A:A,0),0),0)</f>
        <v>0</v>
      </c>
      <c r="K4275" s="444">
        <f t="shared" ca="1" si="181"/>
        <v>-60614469473.235771</v>
      </c>
      <c r="L4275" s="444">
        <f t="shared" ca="1" si="182"/>
        <v>-14608087143049.82</v>
      </c>
      <c r="M4275" s="460">
        <f t="shared" si="184"/>
        <v>0.05</v>
      </c>
      <c r="N4275" s="464">
        <f t="shared" si="185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83"/>
        <v>-14608087143049.82</v>
      </c>
      <c r="J4276" s="444">
        <f t="array" ref="J4276">IFERROR(INDEX('Retirement Calculator'!J:J,MATCH('Isaac 401k'!N4276,'Retirement Calculator'!A:A,0),0),0)</f>
        <v>0</v>
      </c>
      <c r="K4276" s="444">
        <f t="shared" ca="1" si="181"/>
        <v>-60867029762.707581</v>
      </c>
      <c r="L4276" s="444">
        <f t="shared" ca="1" si="182"/>
        <v>-14668954172812.527</v>
      </c>
      <c r="M4276" s="460">
        <f t="shared" si="184"/>
        <v>0.05</v>
      </c>
      <c r="N4276" s="464">
        <f t="shared" si="185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83"/>
        <v>-14668954172812.527</v>
      </c>
      <c r="J4277" s="444">
        <f t="array" ref="J4277">IFERROR(INDEX('Retirement Calculator'!J:J,MATCH('Isaac 401k'!N4277,'Retirement Calculator'!A:A,0),0),0)</f>
        <v>0</v>
      </c>
      <c r="K4277" s="444">
        <f t="shared" ca="1" si="181"/>
        <v>-61120642386.718864</v>
      </c>
      <c r="L4277" s="444">
        <f t="shared" ca="1" si="182"/>
        <v>-14730074815199.246</v>
      </c>
      <c r="M4277" s="460">
        <f t="shared" si="184"/>
        <v>0.05</v>
      </c>
      <c r="N4277" s="464">
        <f t="shared" si="185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83"/>
        <v>-14730074815199.246</v>
      </c>
      <c r="J4278" s="444">
        <f t="array" ref="J4278">IFERROR(INDEX('Retirement Calculator'!J:J,MATCH('Isaac 401k'!N4278,'Retirement Calculator'!A:A,0),0),0)</f>
        <v>0</v>
      </c>
      <c r="K4278" s="444">
        <f t="shared" ca="1" si="181"/>
        <v>-61375311729.996864</v>
      </c>
      <c r="L4278" s="444">
        <f t="shared" ca="1" si="182"/>
        <v>-14791450126929.242</v>
      </c>
      <c r="M4278" s="460">
        <f t="shared" si="184"/>
        <v>0.05</v>
      </c>
      <c r="N4278" s="464">
        <f t="shared" si="185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83"/>
        <v>-14791450126929.242</v>
      </c>
      <c r="J4279" s="444">
        <f t="array" ref="J4279">IFERROR(INDEX('Retirement Calculator'!J:J,MATCH('Isaac 401k'!N4279,'Retirement Calculator'!A:A,0),0),0)</f>
        <v>0</v>
      </c>
      <c r="K4279" s="444">
        <f t="shared" ca="1" si="181"/>
        <v>-61631042195.538506</v>
      </c>
      <c r="L4279" s="444">
        <f t="shared" ca="1" si="182"/>
        <v>-14853081169124.781</v>
      </c>
      <c r="M4279" s="460">
        <f t="shared" si="184"/>
        <v>0.05</v>
      </c>
      <c r="N4279" s="464">
        <f t="shared" si="185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83"/>
        <v>-14853081169124.781</v>
      </c>
      <c r="J4280" s="444">
        <f t="array" ref="J4280">IFERROR(INDEX('Retirement Calculator'!J:J,MATCH('Isaac 401k'!N4280,'Retirement Calculator'!A:A,0),0),0)</f>
        <v>0</v>
      </c>
      <c r="K4280" s="444">
        <f t="shared" ca="1" si="181"/>
        <v>-61887838204.686584</v>
      </c>
      <c r="L4280" s="444">
        <f t="shared" ca="1" si="182"/>
        <v>-14914969007329.469</v>
      </c>
      <c r="M4280" s="460">
        <f t="shared" si="184"/>
        <v>0.05</v>
      </c>
      <c r="N4280" s="464">
        <f t="shared" si="185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83"/>
        <v>-14914969007329.469</v>
      </c>
      <c r="J4281" s="444">
        <f t="array" ref="J4281">IFERROR(INDEX('Retirement Calculator'!J:J,MATCH('Isaac 401k'!N4281,'Retirement Calculator'!A:A,0),0),0)</f>
        <v>0</v>
      </c>
      <c r="K4281" s="444">
        <f t="shared" ca="1" si="181"/>
        <v>-62145704197.206116</v>
      </c>
      <c r="L4281" s="444">
        <f t="shared" ca="1" si="182"/>
        <v>-14977114711526.676</v>
      </c>
      <c r="M4281" s="460">
        <f t="shared" si="184"/>
        <v>0.05</v>
      </c>
      <c r="N4281" s="464">
        <f t="shared" si="185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83"/>
        <v>-14977114711526.676</v>
      </c>
      <c r="J4282" s="444">
        <f t="array" ref="J4282">IFERROR(INDEX('Retirement Calculator'!J:J,MATCH('Isaac 401k'!N4282,'Retirement Calculator'!A:A,0),0),0)</f>
        <v>0</v>
      </c>
      <c r="K4282" s="444">
        <f t="shared" ca="1" si="181"/>
        <v>-62404644631.361153</v>
      </c>
      <c r="L4282" s="444">
        <f t="shared" ca="1" si="182"/>
        <v>-15039519356158.037</v>
      </c>
      <c r="M4282" s="460">
        <f t="shared" si="184"/>
        <v>0.05</v>
      </c>
      <c r="N4282" s="464">
        <f t="shared" si="185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83"/>
        <v>-15039519356158.037</v>
      </c>
      <c r="J4283" s="444">
        <f t="array" ref="J4283">IFERROR(INDEX('Retirement Calculator'!J:J,MATCH('Isaac 401k'!N4283,'Retirement Calculator'!A:A,0),0),0)</f>
        <v>0</v>
      </c>
      <c r="K4283" s="444">
        <f t="shared" ca="1" si="181"/>
        <v>-62664663983.991829</v>
      </c>
      <c r="L4283" s="444">
        <f t="shared" ca="1" si="182"/>
        <v>-15102184020142.029</v>
      </c>
      <c r="M4283" s="460">
        <f t="shared" si="184"/>
        <v>0.05</v>
      </c>
      <c r="N4283" s="464">
        <f t="shared" si="185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83"/>
        <v>-15102184020142.029</v>
      </c>
      <c r="J4284" s="444">
        <f t="array" ref="J4284">IFERROR(INDEX('Retirement Calculator'!J:J,MATCH('Isaac 401k'!N4284,'Retirement Calculator'!A:A,0),0),0)</f>
        <v>0</v>
      </c>
      <c r="K4284" s="444">
        <f t="shared" ca="1" si="181"/>
        <v>-62925766750.591789</v>
      </c>
      <c r="L4284" s="444">
        <f t="shared" ca="1" si="182"/>
        <v>-15165109786892.621</v>
      </c>
      <c r="M4284" s="460">
        <f t="shared" si="184"/>
        <v>0.05</v>
      </c>
      <c r="N4284" s="464">
        <f t="shared" si="185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83"/>
        <v>-15165109786892.621</v>
      </c>
      <c r="J4285" s="444">
        <f t="array" ref="J4285">IFERROR(INDEX('Retirement Calculator'!J:J,MATCH('Isaac 401k'!N4285,'Retirement Calculator'!A:A,0),0),0)</f>
        <v>0</v>
      </c>
      <c r="K4285" s="444">
        <f t="shared" ca="1" si="181"/>
        <v>-63187957445.38591</v>
      </c>
      <c r="L4285" s="444">
        <f t="shared" ca="1" si="182"/>
        <v>-15228297744338.008</v>
      </c>
      <c r="M4285" s="460">
        <f t="shared" si="184"/>
        <v>0.05</v>
      </c>
      <c r="N4285" s="464">
        <f t="shared" si="185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83"/>
        <v>-15228297744338.008</v>
      </c>
      <c r="J4286" s="444">
        <f t="array" ref="J4286">IFERROR(INDEX('Retirement Calculator'!J:J,MATCH('Isaac 401k'!N4286,'Retirement Calculator'!A:A,0),0),0)</f>
        <v>0</v>
      </c>
      <c r="K4286" s="444">
        <f t="shared" ca="1" si="181"/>
        <v>-63451240601.408363</v>
      </c>
      <c r="L4286" s="444">
        <f t="shared" ca="1" si="182"/>
        <v>-15291748984939.416</v>
      </c>
      <c r="M4286" s="460">
        <f t="shared" si="184"/>
        <v>0.05</v>
      </c>
      <c r="N4286" s="464">
        <f t="shared" si="185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83"/>
        <v>-15291748984939.416</v>
      </c>
      <c r="J4287" s="444">
        <f t="array" ref="J4287">IFERROR(INDEX('Retirement Calculator'!J:J,MATCH('Isaac 401k'!N4287,'Retirement Calculator'!A:A,0),0),0)</f>
        <v>0</v>
      </c>
      <c r="K4287" s="444">
        <f t="shared" ca="1" si="181"/>
        <v>-63715620770.580902</v>
      </c>
      <c r="L4287" s="444">
        <f t="shared" ca="1" si="182"/>
        <v>-15355464605709.996</v>
      </c>
      <c r="M4287" s="460">
        <f t="shared" si="184"/>
        <v>0.05</v>
      </c>
      <c r="N4287" s="464">
        <f t="shared" si="185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83"/>
        <v>-15355464605709.996</v>
      </c>
      <c r="J4288" s="444">
        <f t="array" ref="J4288">IFERROR(INDEX('Retirement Calculator'!J:J,MATCH('Isaac 401k'!N4288,'Retirement Calculator'!A:A,0),0),0)</f>
        <v>0</v>
      </c>
      <c r="K4288" s="444">
        <f t="shared" ca="1" si="181"/>
        <v>-63981102523.791649</v>
      </c>
      <c r="L4288" s="444">
        <f t="shared" ca="1" si="182"/>
        <v>-15419445708233.787</v>
      </c>
      <c r="M4288" s="460">
        <f t="shared" si="184"/>
        <v>0.05</v>
      </c>
      <c r="N4288" s="464">
        <f t="shared" si="185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83"/>
        <v>-15419445708233.787</v>
      </c>
      <c r="J4289" s="444">
        <f t="array" ref="J4289">IFERROR(INDEX('Retirement Calculator'!J:J,MATCH('Isaac 401k'!N4289,'Retirement Calculator'!A:A,0),0),0)</f>
        <v>0</v>
      </c>
      <c r="K4289" s="444">
        <f t="shared" ca="1" si="181"/>
        <v>-64247690450.974113</v>
      </c>
      <c r="L4289" s="444">
        <f t="shared" ca="1" si="182"/>
        <v>-15483693398684.762</v>
      </c>
      <c r="M4289" s="460">
        <f t="shared" si="184"/>
        <v>0.05</v>
      </c>
      <c r="N4289" s="464">
        <f t="shared" si="185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83"/>
        <v>-15483693398684.762</v>
      </c>
      <c r="J4290" s="444">
        <f t="array" ref="J4290">IFERROR(INDEX('Retirement Calculator'!J:J,MATCH('Isaac 401k'!N4290,'Retirement Calculator'!A:A,0),0),0)</f>
        <v>0</v>
      </c>
      <c r="K4290" s="444">
        <f t="shared" ca="1" si="181"/>
        <v>-64515389161.186501</v>
      </c>
      <c r="L4290" s="444">
        <f t="shared" ca="1" si="182"/>
        <v>-15548208787845.947</v>
      </c>
      <c r="M4290" s="460">
        <f t="shared" si="184"/>
        <v>0.05</v>
      </c>
      <c r="N4290" s="464">
        <f t="shared" si="185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83"/>
        <v>-15548208787845.947</v>
      </c>
      <c r="J4291" s="444">
        <f t="array" ref="J4291">IFERROR(INDEX('Retirement Calculator'!J:J,MATCH('Isaac 401k'!N4291,'Retirement Calculator'!A:A,0),0),0)</f>
        <v>0</v>
      </c>
      <c r="K4291" s="444">
        <f t="shared" ca="1" si="181"/>
        <v>-64784203282.691444</v>
      </c>
      <c r="L4291" s="444">
        <f t="shared" ca="1" si="182"/>
        <v>-15612992991128.639</v>
      </c>
      <c r="M4291" s="460">
        <f t="shared" si="184"/>
        <v>0.05</v>
      </c>
      <c r="N4291" s="464">
        <f t="shared" si="185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83"/>
        <v>-15612992991128.639</v>
      </c>
      <c r="J4292" s="444">
        <f t="array" ref="J4292">IFERROR(INDEX('Retirement Calculator'!J:J,MATCH('Isaac 401k'!N4292,'Retirement Calculator'!A:A,0),0),0)</f>
        <v>0</v>
      </c>
      <c r="K4292" s="444">
        <f t="shared" ca="1" si="181"/>
        <v>-65054137463.035995</v>
      </c>
      <c r="L4292" s="444">
        <f t="shared" ca="1" si="182"/>
        <v>-15678047128591.674</v>
      </c>
      <c r="M4292" s="460">
        <f t="shared" si="184"/>
        <v>0.05</v>
      </c>
      <c r="N4292" s="464">
        <f t="shared" si="185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83"/>
        <v>-15678047128591.674</v>
      </c>
      <c r="J4293" s="444">
        <f t="array" ref="J4293">IFERROR(INDEX('Retirement Calculator'!J:J,MATCH('Isaac 401k'!N4293,'Retirement Calculator'!A:A,0),0),0)</f>
        <v>0</v>
      </c>
      <c r="K4293" s="444">
        <f t="shared" ca="1" si="181"/>
        <v>-65325196369.131973</v>
      </c>
      <c r="L4293" s="444">
        <f t="shared" ca="1" si="182"/>
        <v>-15743372324960.807</v>
      </c>
      <c r="M4293" s="460">
        <f t="shared" si="184"/>
        <v>0.05</v>
      </c>
      <c r="N4293" s="464">
        <f t="shared" si="185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83"/>
        <v>-15743372324960.807</v>
      </c>
      <c r="J4294" s="444">
        <f t="array" ref="J4294">IFERROR(INDEX('Retirement Calculator'!J:J,MATCH('Isaac 401k'!N4294,'Retirement Calculator'!A:A,0),0),0)</f>
        <v>0</v>
      </c>
      <c r="K4294" s="444">
        <f t="shared" ca="1" si="181"/>
        <v>-65597384687.336693</v>
      </c>
      <c r="L4294" s="444">
        <f t="shared" ca="1" si="182"/>
        <v>-15808969709648.143</v>
      </c>
      <c r="M4294" s="460">
        <f t="shared" si="184"/>
        <v>0.05</v>
      </c>
      <c r="N4294" s="464">
        <f t="shared" si="185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83"/>
        <v>-15808969709648.143</v>
      </c>
      <c r="J4295" s="444">
        <f t="array" ref="J4295">IFERROR(INDEX('Retirement Calculator'!J:J,MATCH('Isaac 401k'!N4295,'Retirement Calculator'!A:A,0),0),0)</f>
        <v>0</v>
      </c>
      <c r="K4295" s="444">
        <f t="shared" ca="1" si="181"/>
        <v>-65870707123.533928</v>
      </c>
      <c r="L4295" s="444">
        <f t="shared" ca="1" si="182"/>
        <v>-15874840416771.676</v>
      </c>
      <c r="M4295" s="460">
        <f t="shared" si="184"/>
        <v>0.05</v>
      </c>
      <c r="N4295" s="464">
        <f t="shared" si="185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83"/>
        <v>-15874840416771.676</v>
      </c>
      <c r="J4296" s="444">
        <f t="array" ref="J4296">IFERROR(INDEX('Retirement Calculator'!J:J,MATCH('Isaac 401k'!N4296,'Retirement Calculator'!A:A,0),0),0)</f>
        <v>0</v>
      </c>
      <c r="K4296" s="444">
        <f t="shared" ca="1" si="181"/>
        <v>-66145168403.215317</v>
      </c>
      <c r="L4296" s="444">
        <f t="shared" ca="1" si="182"/>
        <v>-15940985585174.891</v>
      </c>
      <c r="M4296" s="460">
        <f t="shared" si="184"/>
        <v>0.05</v>
      </c>
      <c r="N4296" s="464">
        <f t="shared" si="185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83"/>
        <v>-15940985585174.891</v>
      </c>
      <c r="J4297" s="444">
        <f t="array" ref="J4297">IFERROR(INDEX('Retirement Calculator'!J:J,MATCH('Isaac 401k'!N4297,'Retirement Calculator'!A:A,0),0),0)</f>
        <v>0</v>
      </c>
      <c r="K4297" s="444">
        <f t="shared" ca="1" si="181"/>
        <v>-66420773271.56205</v>
      </c>
      <c r="L4297" s="444">
        <f t="shared" ca="1" si="182"/>
        <v>-16007406358446.453</v>
      </c>
      <c r="M4297" s="460">
        <f t="shared" si="184"/>
        <v>0.05</v>
      </c>
      <c r="N4297" s="464">
        <f t="shared" si="185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83"/>
        <v>-16007406358446.453</v>
      </c>
      <c r="J4298" s="444">
        <f t="array" ref="J4298">IFERROR(INDEX('Retirement Calculator'!J:J,MATCH('Isaac 401k'!N4298,'Retirement Calculator'!A:A,0),0),0)</f>
        <v>0</v>
      </c>
      <c r="K4298" s="444">
        <f t="shared" ca="1" si="181"/>
        <v>-66697526493.526886</v>
      </c>
      <c r="L4298" s="444">
        <f t="shared" ca="1" si="182"/>
        <v>-16074103884939.98</v>
      </c>
      <c r="M4298" s="460">
        <f t="shared" si="184"/>
        <v>0.05</v>
      </c>
      <c r="N4298" s="464">
        <f t="shared" si="185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83"/>
        <v>-16074103884939.98</v>
      </c>
      <c r="J4299" s="444">
        <f t="array" ref="J4299">IFERROR(INDEX('Retirement Calculator'!J:J,MATCH('Isaac 401k'!N4299,'Retirement Calculator'!A:A,0),0),0)</f>
        <v>0</v>
      </c>
      <c r="K4299" s="444">
        <f t="shared" ca="1" si="181"/>
        <v>-66975432853.916588</v>
      </c>
      <c r="L4299" s="444">
        <f t="shared" ca="1" si="182"/>
        <v>-16141079317793.896</v>
      </c>
      <c r="M4299" s="460">
        <f t="shared" si="184"/>
        <v>0.05</v>
      </c>
      <c r="N4299" s="464">
        <f t="shared" si="185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83"/>
        <v>-16141079317793.896</v>
      </c>
      <c r="J4300" s="444">
        <f t="array" ref="J4300">IFERROR(INDEX('Retirement Calculator'!J:J,MATCH('Isaac 401k'!N4300,'Retirement Calculator'!A:A,0),0),0)</f>
        <v>0</v>
      </c>
      <c r="K4300" s="444">
        <f t="shared" ca="1" si="181"/>
        <v>-67254497157.474579</v>
      </c>
      <c r="L4300" s="444">
        <f t="shared" ca="1" si="182"/>
        <v>-16208333814951.371</v>
      </c>
      <c r="M4300" s="460">
        <f t="shared" si="184"/>
        <v>0.05</v>
      </c>
      <c r="N4300" s="464">
        <f t="shared" si="185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83"/>
        <v>-16208333814951.371</v>
      </c>
      <c r="J4301" s="444">
        <f t="array" ref="J4301">IFERROR(INDEX('Retirement Calculator'!J:J,MATCH('Isaac 401k'!N4301,'Retirement Calculator'!A:A,0),0),0)</f>
        <v>0</v>
      </c>
      <c r="K4301" s="444">
        <f t="shared" ca="1" si="181"/>
        <v>-67534724228.96405</v>
      </c>
      <c r="L4301" s="444">
        <f t="shared" ca="1" si="182"/>
        <v>-16275868539180.336</v>
      </c>
      <c r="M4301" s="460">
        <f t="shared" si="184"/>
        <v>0.05</v>
      </c>
      <c r="N4301" s="464">
        <f t="shared" si="185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83"/>
        <v>-16275868539180.336</v>
      </c>
      <c r="J4302" s="444">
        <f t="array" ref="J4302">IFERROR(INDEX('Retirement Calculator'!J:J,MATCH('Isaac 401k'!N4302,'Retirement Calculator'!A:A,0),0),0)</f>
        <v>0</v>
      </c>
      <c r="K4302" s="444">
        <f t="shared" ca="1" si="181"/>
        <v>-67816118913.251389</v>
      </c>
      <c r="L4302" s="444">
        <f t="shared" ca="1" si="182"/>
        <v>-16343684658093.588</v>
      </c>
      <c r="M4302" s="460">
        <f t="shared" si="184"/>
        <v>0.05</v>
      </c>
      <c r="N4302" s="464">
        <f t="shared" si="185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83"/>
        <v>-16343684658093.588</v>
      </c>
      <c r="J4303" s="444">
        <f t="array" ref="J4303">IFERROR(INDEX('Retirement Calculator'!J:J,MATCH('Isaac 401k'!N4303,'Retirement Calculator'!A:A,0),0),0)</f>
        <v>0</v>
      </c>
      <c r="K4303" s="444">
        <f t="shared" ca="1" si="181"/>
        <v>-68098686075.389938</v>
      </c>
      <c r="L4303" s="444">
        <f t="shared" ca="1" si="182"/>
        <v>-16411783344168.979</v>
      </c>
      <c r="M4303" s="460">
        <f t="shared" si="184"/>
        <v>0.05</v>
      </c>
      <c r="N4303" s="464">
        <f t="shared" si="185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83"/>
        <v>-16411783344168.979</v>
      </c>
      <c r="J4304" s="444">
        <f t="array" ref="J4304">IFERROR(INDEX('Retirement Calculator'!J:J,MATCH('Isaac 401k'!N4304,'Retirement Calculator'!A:A,0),0),0)</f>
        <v>0</v>
      </c>
      <c r="K4304" s="444">
        <f t="shared" ca="1" si="181"/>
        <v>-68382430600.704079</v>
      </c>
      <c r="L4304" s="444">
        <f t="shared" ca="1" si="182"/>
        <v>-16480165774769.682</v>
      </c>
      <c r="M4304" s="460">
        <f t="shared" si="184"/>
        <v>0.05</v>
      </c>
      <c r="N4304" s="464">
        <f t="shared" si="185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83"/>
        <v>-16480165774769.682</v>
      </c>
      <c r="J4305" s="444">
        <f t="array" ref="J4305">IFERROR(INDEX('Retirement Calculator'!J:J,MATCH('Isaac 401k'!N4305,'Retirement Calculator'!A:A,0),0),0)</f>
        <v>0</v>
      </c>
      <c r="K4305" s="444">
        <f t="shared" ca="1" si="181"/>
        <v>-68667357394.873672</v>
      </c>
      <c r="L4305" s="444">
        <f t="shared" ca="1" si="182"/>
        <v>-16548833132164.555</v>
      </c>
      <c r="M4305" s="460">
        <f t="shared" si="184"/>
        <v>0.05</v>
      </c>
      <c r="N4305" s="464">
        <f t="shared" si="185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83"/>
        <v>-16548833132164.555</v>
      </c>
      <c r="J4306" s="444">
        <f t="array" ref="J4306">IFERROR(INDEX('Retirement Calculator'!J:J,MATCH('Isaac 401k'!N4306,'Retirement Calculator'!A:A,0),0),0)</f>
        <v>0</v>
      </c>
      <c r="K4306" s="444">
        <f t="shared" ca="1" si="181"/>
        <v>-68953471384.018982</v>
      </c>
      <c r="L4306" s="444">
        <f t="shared" ca="1" si="182"/>
        <v>-16617786603548.574</v>
      </c>
      <c r="M4306" s="460">
        <f t="shared" si="184"/>
        <v>0.05</v>
      </c>
      <c r="N4306" s="464">
        <f t="shared" si="185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83"/>
        <v>-16617786603548.574</v>
      </c>
      <c r="J4307" s="444">
        <f t="array" ref="J4307">IFERROR(INDEX('Retirement Calculator'!J:J,MATCH('Isaac 401k'!N4307,'Retirement Calculator'!A:A,0),0),0)</f>
        <v>0</v>
      </c>
      <c r="K4307" s="444">
        <f t="shared" ca="1" si="181"/>
        <v>-69240777514.785736</v>
      </c>
      <c r="L4307" s="444">
        <f t="shared" ca="1" si="182"/>
        <v>-16687027381063.359</v>
      </c>
      <c r="M4307" s="460">
        <f t="shared" si="184"/>
        <v>0.05</v>
      </c>
      <c r="N4307" s="464">
        <f t="shared" si="185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83"/>
        <v>-16687027381063.359</v>
      </c>
      <c r="J4308" s="444">
        <f t="array" ref="J4308">IFERROR(INDEX('Retirement Calculator'!J:J,MATCH('Isaac 401k'!N4308,'Retirement Calculator'!A:A,0),0),0)</f>
        <v>0</v>
      </c>
      <c r="K4308" s="444">
        <f t="shared" ca="1" si="181"/>
        <v>-69529280754.430664</v>
      </c>
      <c r="L4308" s="444">
        <f t="shared" ca="1" si="182"/>
        <v>-16756556661817.789</v>
      </c>
      <c r="M4308" s="460">
        <f t="shared" si="184"/>
        <v>0.05</v>
      </c>
      <c r="N4308" s="464">
        <f t="shared" si="185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83"/>
        <v>-16756556661817.789</v>
      </c>
      <c r="J4309" s="444">
        <f t="array" ref="J4309">IFERROR(INDEX('Retirement Calculator'!J:J,MATCH('Isaac 401k'!N4309,'Retirement Calculator'!A:A,0),0),0)</f>
        <v>0</v>
      </c>
      <c r="K4309" s="444">
        <f t="shared" ca="1" si="181"/>
        <v>-69818986090.907455</v>
      </c>
      <c r="L4309" s="444">
        <f t="shared" ca="1" si="182"/>
        <v>-16826375647908.697</v>
      </c>
      <c r="M4309" s="460">
        <f t="shared" si="184"/>
        <v>0.05</v>
      </c>
      <c r="N4309" s="464">
        <f t="shared" si="185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83"/>
        <v>-16826375647908.697</v>
      </c>
      <c r="J4310" s="444">
        <f t="array" ref="J4310">IFERROR(INDEX('Retirement Calculator'!J:J,MATCH('Isaac 401k'!N4310,'Retirement Calculator'!A:A,0),0),0)</f>
        <v>0</v>
      </c>
      <c r="K4310" s="444">
        <f t="shared" ca="1" si="181"/>
        <v>-70109898532.952911</v>
      </c>
      <c r="L4310" s="444">
        <f t="shared" ca="1" si="182"/>
        <v>-16896485546441.65</v>
      </c>
      <c r="M4310" s="460">
        <f t="shared" si="184"/>
        <v>0.05</v>
      </c>
      <c r="N4310" s="464">
        <f t="shared" si="185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83"/>
        <v>-16896485546441.65</v>
      </c>
      <c r="J4311" s="444">
        <f t="array" ref="J4311">IFERROR(INDEX('Retirement Calculator'!J:J,MATCH('Isaac 401k'!N4311,'Retirement Calculator'!A:A,0),0),0)</f>
        <v>0</v>
      </c>
      <c r="K4311" s="444">
        <f t="shared" ca="1" si="181"/>
        <v>-70402023110.173538</v>
      </c>
      <c r="L4311" s="444">
        <f t="shared" ca="1" si="182"/>
        <v>-16966887569551.824</v>
      </c>
      <c r="M4311" s="460">
        <f t="shared" si="184"/>
        <v>0.05</v>
      </c>
      <c r="N4311" s="464">
        <f t="shared" si="185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83"/>
        <v>-16966887569551.824</v>
      </c>
      <c r="J4312" s="444">
        <f t="array" ref="J4312">IFERROR(INDEX('Retirement Calculator'!J:J,MATCH('Isaac 401k'!N4312,'Retirement Calculator'!A:A,0),0),0)</f>
        <v>0</v>
      </c>
      <c r="K4312" s="444">
        <f t="shared" ca="1" si="181"/>
        <v>-70695364873.132599</v>
      </c>
      <c r="L4312" s="444">
        <f t="shared" ca="1" si="182"/>
        <v>-17037582934424.957</v>
      </c>
      <c r="M4312" s="460">
        <f t="shared" si="184"/>
        <v>0.05</v>
      </c>
      <c r="N4312" s="464">
        <f t="shared" si="185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83"/>
        <v>-17037582934424.957</v>
      </c>
      <c r="J4313" s="444">
        <f t="array" ref="J4313">IFERROR(INDEX('Retirement Calculator'!J:J,MATCH('Isaac 401k'!N4313,'Retirement Calculator'!A:A,0),0),0)</f>
        <v>0</v>
      </c>
      <c r="K4313" s="444">
        <f t="shared" ca="1" si="181"/>
        <v>-70989928893.437317</v>
      </c>
      <c r="L4313" s="444">
        <f t="shared" ca="1" si="182"/>
        <v>-17108572863318.395</v>
      </c>
      <c r="M4313" s="460">
        <f t="shared" si="184"/>
        <v>0.05</v>
      </c>
      <c r="N4313" s="464">
        <f t="shared" si="185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83"/>
        <v>-17108572863318.395</v>
      </c>
      <c r="J4314" s="444">
        <f t="array" ref="J4314">IFERROR(INDEX('Retirement Calculator'!J:J,MATCH('Isaac 401k'!N4314,'Retirement Calculator'!A:A,0),0),0)</f>
        <v>0</v>
      </c>
      <c r="K4314" s="444">
        <f t="shared" ca="1" si="181"/>
        <v>-71285720263.826645</v>
      </c>
      <c r="L4314" s="444">
        <f t="shared" ca="1" si="182"/>
        <v>-17179858583582.221</v>
      </c>
      <c r="M4314" s="460">
        <f t="shared" si="184"/>
        <v>0.05</v>
      </c>
      <c r="N4314" s="464">
        <f t="shared" si="185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83"/>
        <v>-17179858583582.221</v>
      </c>
      <c r="J4315" s="444">
        <f t="array" ref="J4315">IFERROR(INDEX('Retirement Calculator'!J:J,MATCH('Isaac 401k'!N4315,'Retirement Calculator'!A:A,0),0),0)</f>
        <v>0</v>
      </c>
      <c r="K4315" s="444">
        <f t="shared" ca="1" si="181"/>
        <v>-71582744098.259247</v>
      </c>
      <c r="L4315" s="444">
        <f t="shared" ca="1" si="182"/>
        <v>-17251441327680.48</v>
      </c>
      <c r="M4315" s="460">
        <f t="shared" si="184"/>
        <v>0.05</v>
      </c>
      <c r="N4315" s="464">
        <f t="shared" si="185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83"/>
        <v>-17251441327680.48</v>
      </c>
      <c r="J4316" s="444">
        <f t="array" ref="J4316">IFERROR(INDEX('Retirement Calculator'!J:J,MATCH('Isaac 401k'!N4316,'Retirement Calculator'!A:A,0),0),0)</f>
        <v>0</v>
      </c>
      <c r="K4316" s="444">
        <f t="shared" ca="1" si="181"/>
        <v>-71881005532.001999</v>
      </c>
      <c r="L4316" s="444">
        <f t="shared" ca="1" si="182"/>
        <v>-17323322333212.482</v>
      </c>
      <c r="M4316" s="460">
        <f t="shared" si="184"/>
        <v>0.05</v>
      </c>
      <c r="N4316" s="464">
        <f t="shared" si="185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83"/>
        <v>-17323322333212.482</v>
      </c>
      <c r="J4317" s="444">
        <f t="array" ref="J4317">IFERROR(INDEX('Retirement Calculator'!J:J,MATCH('Isaac 401k'!N4317,'Retirement Calculator'!A:A,0),0),0)</f>
        <v>0</v>
      </c>
      <c r="K4317" s="444">
        <f t="shared" ca="1" si="181"/>
        <v>-72180509721.718689</v>
      </c>
      <c r="L4317" s="444">
        <f t="shared" ca="1" si="182"/>
        <v>-17395502842934.201</v>
      </c>
      <c r="M4317" s="460">
        <f t="shared" si="184"/>
        <v>0.05</v>
      </c>
      <c r="N4317" s="464">
        <f t="shared" si="185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83"/>
        <v>-17395502842934.201</v>
      </c>
      <c r="J4318" s="444">
        <f t="array" ref="J4318">IFERROR(INDEX('Retirement Calculator'!J:J,MATCH('Isaac 401k'!N4318,'Retirement Calculator'!A:A,0),0),0)</f>
        <v>0</v>
      </c>
      <c r="K4318" s="444">
        <f t="shared" ca="1" si="181"/>
        <v>-72481261845.559158</v>
      </c>
      <c r="L4318" s="444">
        <f t="shared" ca="1" si="182"/>
        <v>-17467984104779.76</v>
      </c>
      <c r="M4318" s="460">
        <f t="shared" si="184"/>
        <v>0.05</v>
      </c>
      <c r="N4318" s="464">
        <f t="shared" si="185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83"/>
        <v>-17467984104779.76</v>
      </c>
      <c r="J4319" s="444">
        <f t="array" ref="J4319">IFERROR(INDEX('Retirement Calculator'!J:J,MATCH('Isaac 401k'!N4319,'Retirement Calculator'!A:A,0),0),0)</f>
        <v>0</v>
      </c>
      <c r="K4319" s="444">
        <f t="shared" ca="1" si="181"/>
        <v>-72783267103.249008</v>
      </c>
      <c r="L4319" s="444">
        <f t="shared" ca="1" si="182"/>
        <v>-17540767371883.008</v>
      </c>
      <c r="M4319" s="460">
        <f t="shared" si="184"/>
        <v>0.05</v>
      </c>
      <c r="N4319" s="464">
        <f t="shared" si="185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83"/>
        <v>-17540767371883.008</v>
      </c>
      <c r="J4320" s="444">
        <f t="array" ref="J4320">IFERROR(INDEX('Retirement Calculator'!J:J,MATCH('Isaac 401k'!N4320,'Retirement Calculator'!A:A,0),0),0)</f>
        <v>0</v>
      </c>
      <c r="K4320" s="444">
        <f t="shared" ca="1" si="181"/>
        <v>-73086530716.179199</v>
      </c>
      <c r="L4320" s="444">
        <f t="shared" ca="1" si="182"/>
        <v>-17613853902599.188</v>
      </c>
      <c r="M4320" s="460">
        <f t="shared" si="184"/>
        <v>0.05</v>
      </c>
      <c r="N4320" s="464">
        <f t="shared" si="185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83"/>
        <v>-17613853902599.188</v>
      </c>
      <c r="J4321" s="444">
        <f t="array" ref="J4321">IFERROR(INDEX('Retirement Calculator'!J:J,MATCH('Isaac 401k'!N4321,'Retirement Calculator'!A:A,0),0),0)</f>
        <v>0</v>
      </c>
      <c r="K4321" s="444">
        <f t="shared" ca="1" si="181"/>
        <v>-73391057927.496613</v>
      </c>
      <c r="L4321" s="444">
        <f t="shared" ca="1" si="182"/>
        <v>-17687244960526.684</v>
      </c>
      <c r="M4321" s="460">
        <f t="shared" si="184"/>
        <v>0.05</v>
      </c>
      <c r="N4321" s="464">
        <f t="shared" si="185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83"/>
        <v>-17687244960526.684</v>
      </c>
      <c r="J4322" s="444">
        <f t="array" ref="J4322">IFERROR(INDEX('Retirement Calculator'!J:J,MATCH('Isaac 401k'!N4322,'Retirement Calculator'!A:A,0),0),0)</f>
        <v>0</v>
      </c>
      <c r="K4322" s="444">
        <f t="shared" ca="1" si="181"/>
        <v>-73696854002.194519</v>
      </c>
      <c r="L4322" s="444">
        <f t="shared" ca="1" si="182"/>
        <v>-17760941814528.879</v>
      </c>
      <c r="M4322" s="460">
        <f t="shared" si="184"/>
        <v>0.05</v>
      </c>
      <c r="N4322" s="464">
        <f t="shared" si="185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83"/>
        <v>-17760941814528.879</v>
      </c>
      <c r="J4323" s="444">
        <f t="array" ref="J4323">IFERROR(INDEX('Retirement Calculator'!J:J,MATCH('Isaac 401k'!N4323,'Retirement Calculator'!A:A,0),0),0)</f>
        <v>0</v>
      </c>
      <c r="K4323" s="444">
        <f t="shared" ca="1" si="181"/>
        <v>-74003924227.203659</v>
      </c>
      <c r="L4323" s="444">
        <f t="shared" ca="1" si="182"/>
        <v>-17834945738756.082</v>
      </c>
      <c r="M4323" s="460">
        <f t="shared" si="184"/>
        <v>0.05</v>
      </c>
      <c r="N4323" s="464">
        <f t="shared" si="185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83"/>
        <v>-17834945738756.082</v>
      </c>
      <c r="J4324" s="444">
        <f t="array" ref="J4324">IFERROR(INDEX('Retirement Calculator'!J:J,MATCH('Isaac 401k'!N4324,'Retirement Calculator'!A:A,0),0),0)</f>
        <v>0</v>
      </c>
      <c r="K4324" s="444">
        <f t="shared" ca="1" si="181"/>
        <v>-74312273911.483673</v>
      </c>
      <c r="L4324" s="444">
        <f t="shared" ca="1" si="182"/>
        <v>-17909258012667.566</v>
      </c>
      <c r="M4324" s="460">
        <f t="shared" si="184"/>
        <v>0.05</v>
      </c>
      <c r="N4324" s="464">
        <f t="shared" si="185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83"/>
        <v>-17909258012667.566</v>
      </c>
      <c r="J4325" s="444">
        <f t="array" ref="J4325">IFERROR(INDEX('Retirement Calculator'!J:J,MATCH('Isaac 401k'!N4325,'Retirement Calculator'!A:A,0),0),0)</f>
        <v>0</v>
      </c>
      <c r="K4325" s="444">
        <f t="shared" ca="1" si="181"/>
        <v>-74621908386.114853</v>
      </c>
      <c r="L4325" s="444">
        <f t="shared" ca="1" si="182"/>
        <v>-17983879921053.68</v>
      </c>
      <c r="M4325" s="460">
        <f t="shared" si="184"/>
        <v>0.05</v>
      </c>
      <c r="N4325" s="464">
        <f t="shared" si="185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83"/>
        <v>-17983879921053.68</v>
      </c>
      <c r="J4326" s="444">
        <f t="array" ref="J4326">IFERROR(INDEX('Retirement Calculator'!J:J,MATCH('Isaac 401k'!N4326,'Retirement Calculator'!A:A,0),0),0)</f>
        <v>0</v>
      </c>
      <c r="K4326" s="444">
        <f t="shared" ca="1" si="181"/>
        <v>-74932833004.390335</v>
      </c>
      <c r="L4326" s="444">
        <f t="shared" ca="1" si="182"/>
        <v>-18058812754058.07</v>
      </c>
      <c r="M4326" s="460">
        <f t="shared" si="184"/>
        <v>0.05</v>
      </c>
      <c r="N4326" s="464">
        <f t="shared" si="185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83"/>
        <v>-18058812754058.07</v>
      </c>
      <c r="J4327" s="444">
        <f t="array" ref="J4327">IFERROR(INDEX('Retirement Calculator'!J:J,MATCH('Isaac 401k'!N4327,'Retirement Calculator'!A:A,0),0),0)</f>
        <v>0</v>
      </c>
      <c r="K4327" s="444">
        <f t="shared" ca="1" si="181"/>
        <v>-75245053141.90863</v>
      </c>
      <c r="L4327" s="444">
        <f t="shared" ca="1" si="182"/>
        <v>-18134057807199.98</v>
      </c>
      <c r="M4327" s="460">
        <f t="shared" si="184"/>
        <v>0.05</v>
      </c>
      <c r="N4327" s="464">
        <f t="shared" si="185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83"/>
        <v>-18134057807199.98</v>
      </c>
      <c r="J4328" s="444">
        <f t="array" ref="J4328">IFERROR(INDEX('Retirement Calculator'!J:J,MATCH('Isaac 401k'!N4328,'Retirement Calculator'!A:A,0),0),0)</f>
        <v>0</v>
      </c>
      <c r="K4328" s="444">
        <f t="shared" ca="1" si="181"/>
        <v>-75558574196.66658</v>
      </c>
      <c r="L4328" s="444">
        <f t="shared" ca="1" si="182"/>
        <v>-18209616381396.648</v>
      </c>
      <c r="M4328" s="460">
        <f t="shared" si="184"/>
        <v>0.05</v>
      </c>
      <c r="N4328" s="464">
        <f t="shared" si="185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83"/>
        <v>-18209616381396.648</v>
      </c>
      <c r="J4329" s="444">
        <f t="array" ref="J4329">IFERROR(INDEX('Retirement Calculator'!J:J,MATCH('Isaac 401k'!N4329,'Retirement Calculator'!A:A,0),0),0)</f>
        <v>0</v>
      </c>
      <c r="K4329" s="444">
        <f t="shared" ca="1" si="181"/>
        <v>-75873401589.152695</v>
      </c>
      <c r="L4329" s="444">
        <f t="shared" ca="1" si="182"/>
        <v>-18285489782985.801</v>
      </c>
      <c r="M4329" s="460">
        <f t="shared" si="184"/>
        <v>0.05</v>
      </c>
      <c r="N4329" s="464">
        <f t="shared" si="185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83"/>
        <v>-18285489782985.801</v>
      </c>
      <c r="J4330" s="444">
        <f t="array" ref="J4330">IFERROR(INDEX('Retirement Calculator'!J:J,MATCH('Isaac 401k'!N4330,'Retirement Calculator'!A:A,0),0),0)</f>
        <v>0</v>
      </c>
      <c r="K4330" s="444">
        <f t="shared" ca="1" si="181"/>
        <v>-76189540762.440842</v>
      </c>
      <c r="L4330" s="444">
        <f t="shared" ca="1" si="182"/>
        <v>-18361679323748.242</v>
      </c>
      <c r="M4330" s="460">
        <f t="shared" si="184"/>
        <v>0.05</v>
      </c>
      <c r="N4330" s="464">
        <f t="shared" si="185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83"/>
        <v>-18361679323748.242</v>
      </c>
      <c r="J4331" s="444">
        <f t="array" ref="J4331">IFERROR(INDEX('Retirement Calculator'!J:J,MATCH('Isaac 401k'!N4331,'Retirement Calculator'!A:A,0),0),0)</f>
        <v>0</v>
      </c>
      <c r="K4331" s="444">
        <f t="shared" ca="1" si="181"/>
        <v>-76506997182.284348</v>
      </c>
      <c r="L4331" s="444">
        <f t="shared" ca="1" si="182"/>
        <v>-18438186320930.527</v>
      </c>
      <c r="M4331" s="460">
        <f t="shared" si="184"/>
        <v>0.05</v>
      </c>
      <c r="N4331" s="464">
        <f t="shared" si="185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83"/>
        <v>-18438186320930.527</v>
      </c>
      <c r="J4332" s="444">
        <f t="array" ref="J4332">IFERROR(INDEX('Retirement Calculator'!J:J,MATCH('Isaac 401k'!N4332,'Retirement Calculator'!A:A,0),0),0)</f>
        <v>0</v>
      </c>
      <c r="K4332" s="444">
        <f t="shared" ca="1" si="181"/>
        <v>-76825776337.210526</v>
      </c>
      <c r="L4332" s="444">
        <f t="shared" ca="1" si="182"/>
        <v>-18515012097267.738</v>
      </c>
      <c r="M4332" s="460">
        <f t="shared" si="184"/>
        <v>0.05</v>
      </c>
      <c r="N4332" s="464">
        <f t="shared" si="185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83"/>
        <v>-18515012097267.738</v>
      </c>
      <c r="J4333" s="444">
        <f t="array" ref="J4333">IFERROR(INDEX('Retirement Calculator'!J:J,MATCH('Isaac 401k'!N4333,'Retirement Calculator'!A:A,0),0),0)</f>
        <v>0</v>
      </c>
      <c r="K4333" s="444">
        <f t="shared" ca="1" si="181"/>
        <v>-77145883738.61557</v>
      </c>
      <c r="L4333" s="444">
        <f t="shared" ca="1" si="182"/>
        <v>-18592157981006.355</v>
      </c>
      <c r="M4333" s="460">
        <f t="shared" si="184"/>
        <v>0.05</v>
      </c>
      <c r="N4333" s="464">
        <f t="shared" si="185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83"/>
        <v>-18592157981006.355</v>
      </c>
      <c r="J4334" s="444">
        <f t="array" ref="J4334">IFERROR(INDEX('Retirement Calculator'!J:J,MATCH('Isaac 401k'!N4334,'Retirement Calculator'!A:A,0),0),0)</f>
        <v>0</v>
      </c>
      <c r="K4334" s="444">
        <f t="shared" ca="1" si="181"/>
        <v>-77467324920.859818</v>
      </c>
      <c r="L4334" s="444">
        <f t="shared" ca="1" si="182"/>
        <v>-18669625305927.215</v>
      </c>
      <c r="M4334" s="460">
        <f t="shared" si="184"/>
        <v>0.05</v>
      </c>
      <c r="N4334" s="464">
        <f t="shared" si="185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83"/>
        <v>-18669625305927.215</v>
      </c>
      <c r="J4335" s="444">
        <f t="array" ref="J4335">IFERROR(INDEX('Retirement Calculator'!J:J,MATCH('Isaac 401k'!N4335,'Retirement Calculator'!A:A,0),0),0)</f>
        <v>0</v>
      </c>
      <c r="K4335" s="444">
        <f t="shared" ca="1" si="181"/>
        <v>-77790105441.363388</v>
      </c>
      <c r="L4335" s="444">
        <f t="shared" ca="1" si="182"/>
        <v>-18747415411368.578</v>
      </c>
      <c r="M4335" s="460">
        <f t="shared" si="184"/>
        <v>0.05</v>
      </c>
      <c r="N4335" s="464">
        <f t="shared" si="185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83"/>
        <v>-18747415411368.578</v>
      </c>
      <c r="J4336" s="444">
        <f t="array" ref="J4336">IFERROR(INDEX('Retirement Calculator'!J:J,MATCH('Isaac 401k'!N4336,'Retirement Calculator'!A:A,0),0),0)</f>
        <v>0</v>
      </c>
      <c r="K4336" s="444">
        <f t="shared" ca="1" si="181"/>
        <v>-78114230880.702408</v>
      </c>
      <c r="L4336" s="444">
        <f t="shared" ca="1" si="182"/>
        <v>-18825529642249.281</v>
      </c>
      <c r="M4336" s="460">
        <f t="shared" si="184"/>
        <v>0.05</v>
      </c>
      <c r="N4336" s="464">
        <f t="shared" si="185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83"/>
        <v>-18825529642249.281</v>
      </c>
      <c r="J4337" s="444">
        <f t="array" ref="J4337">IFERROR(INDEX('Retirement Calculator'!J:J,MATCH('Isaac 401k'!N4337,'Retirement Calculator'!A:A,0),0),0)</f>
        <v>0</v>
      </c>
      <c r="K4337" s="444">
        <f t="shared" ca="1" si="181"/>
        <v>-78439706842.705338</v>
      </c>
      <c r="L4337" s="444">
        <f t="shared" ca="1" si="182"/>
        <v>-18903969349091.988</v>
      </c>
      <c r="M4337" s="460">
        <f t="shared" si="184"/>
        <v>0.05</v>
      </c>
      <c r="N4337" s="464">
        <f t="shared" si="185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83"/>
        <v>-18903969349091.988</v>
      </c>
      <c r="J4338" s="444">
        <f t="array" ref="J4338">IFERROR(INDEX('Retirement Calculator'!J:J,MATCH('Isaac 401k'!N4338,'Retirement Calculator'!A:A,0),0),0)</f>
        <v>0</v>
      </c>
      <c r="K4338" s="444">
        <f t="shared" ca="1" si="181"/>
        <v>-78766538954.549957</v>
      </c>
      <c r="L4338" s="444">
        <f t="shared" ca="1" si="182"/>
        <v>-18982735888046.539</v>
      </c>
      <c r="M4338" s="460">
        <f t="shared" si="184"/>
        <v>0.05</v>
      </c>
      <c r="N4338" s="464">
        <f t="shared" si="185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83"/>
        <v>-18982735888046.539</v>
      </c>
      <c r="J4339" s="444">
        <f t="array" ref="J4339">IFERROR(INDEX('Retirement Calculator'!J:J,MATCH('Isaac 401k'!N4339,'Retirement Calculator'!A:A,0),0),0)</f>
        <v>0</v>
      </c>
      <c r="K4339" s="444">
        <f t="shared" ca="1" si="181"/>
        <v>-79094732866.86058</v>
      </c>
      <c r="L4339" s="444">
        <f t="shared" ca="1" si="182"/>
        <v>-19061830620913.398</v>
      </c>
      <c r="M4339" s="460">
        <f t="shared" si="184"/>
        <v>0.05</v>
      </c>
      <c r="N4339" s="464">
        <f t="shared" si="185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83"/>
        <v>-19061830620913.398</v>
      </c>
      <c r="J4340" s="444">
        <f t="array" ref="J4340">IFERROR(INDEX('Retirement Calculator'!J:J,MATCH('Isaac 401k'!N4340,'Retirement Calculator'!A:A,0),0),0)</f>
        <v>0</v>
      </c>
      <c r="K4340" s="444">
        <f t="shared" ca="1" si="181"/>
        <v>-79424294253.805832</v>
      </c>
      <c r="L4340" s="444">
        <f t="shared" ca="1" si="182"/>
        <v>-19141254915167.203</v>
      </c>
      <c r="M4340" s="460">
        <f t="shared" si="184"/>
        <v>0.05</v>
      </c>
      <c r="N4340" s="464">
        <f t="shared" si="185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83"/>
        <v>-19141254915167.203</v>
      </c>
      <c r="J4341" s="444">
        <f t="array" ref="J4341">IFERROR(INDEX('Retirement Calculator'!J:J,MATCH('Isaac 401k'!N4341,'Retirement Calculator'!A:A,0),0),0)</f>
        <v>0</v>
      </c>
      <c r="K4341" s="444">
        <f t="shared" ca="1" si="181"/>
        <v>-79755228813.196686</v>
      </c>
      <c r="L4341" s="444">
        <f t="shared" ca="1" si="182"/>
        <v>-19221010143980.398</v>
      </c>
      <c r="M4341" s="460">
        <f t="shared" si="184"/>
        <v>0.05</v>
      </c>
      <c r="N4341" s="464">
        <f t="shared" si="185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83"/>
        <v>-19221010143980.398</v>
      </c>
      <c r="J4342" s="444">
        <f t="array" ref="J4342">IFERROR(INDEX('Retirement Calculator'!J:J,MATCH('Isaac 401k'!N4342,'Retirement Calculator'!A:A,0),0),0)</f>
        <v>0</v>
      </c>
      <c r="K4342" s="444">
        <f t="shared" ca="1" si="181"/>
        <v>-80087542266.584991</v>
      </c>
      <c r="L4342" s="444">
        <f t="shared" ca="1" si="182"/>
        <v>-19301097686246.984</v>
      </c>
      <c r="M4342" s="460">
        <f t="shared" si="184"/>
        <v>0.05</v>
      </c>
      <c r="N4342" s="464">
        <f t="shared" si="185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83"/>
        <v>-19301097686246.984</v>
      </c>
      <c r="J4343" s="444">
        <f t="array" ref="J4343">IFERROR(INDEX('Retirement Calculator'!J:J,MATCH('Isaac 401k'!N4343,'Retirement Calculator'!A:A,0),0),0)</f>
        <v>0</v>
      </c>
      <c r="K4343" s="444">
        <f t="shared" ref="K4343:K4597" ca="1" si="186">IPMT(M4343/12,1,12,-I4343+J4343,,0)</f>
        <v>-80421240359.362427</v>
      </c>
      <c r="L4343" s="444">
        <f t="shared" ref="L4343:L4597" ca="1" si="187">I4343-J4343+K4343</f>
        <v>-19381518926606.348</v>
      </c>
      <c r="M4343" s="460">
        <f t="shared" si="184"/>
        <v>0.05</v>
      </c>
      <c r="N4343" s="464">
        <f t="shared" si="185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88">L4343</f>
        <v>-19381518926606.348</v>
      </c>
      <c r="J4344" s="444">
        <f t="array" ref="J4344">IFERROR(INDEX('Retirement Calculator'!J:J,MATCH('Isaac 401k'!N4344,'Retirement Calculator'!A:A,0),0),0)</f>
        <v>0</v>
      </c>
      <c r="K4344" s="444">
        <f t="shared" ca="1" si="186"/>
        <v>-80756328860.859787</v>
      </c>
      <c r="L4344" s="444">
        <f t="shared" ca="1" si="187"/>
        <v>-19462275255467.207</v>
      </c>
      <c r="M4344" s="460">
        <f t="shared" ref="M4344:M4598" si="189">M4343</f>
        <v>0.05</v>
      </c>
      <c r="N4344" s="464">
        <f t="shared" ref="N4344:N4598" si="190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88"/>
        <v>-19462275255467.207</v>
      </c>
      <c r="J4345" s="444">
        <f t="array" ref="J4345">IFERROR(INDEX('Retirement Calculator'!J:J,MATCH('Isaac 401k'!N4345,'Retirement Calculator'!A:A,0),0),0)</f>
        <v>0</v>
      </c>
      <c r="K4345" s="444">
        <f t="shared" ca="1" si="186"/>
        <v>-81092813564.446701</v>
      </c>
      <c r="L4345" s="444">
        <f t="shared" ca="1" si="187"/>
        <v>-19543368069031.652</v>
      </c>
      <c r="M4345" s="460">
        <f t="shared" si="189"/>
        <v>0.05</v>
      </c>
      <c r="N4345" s="464">
        <f t="shared" si="190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88"/>
        <v>-19543368069031.652</v>
      </c>
      <c r="J4346" s="444">
        <f t="array" ref="J4346">IFERROR(INDEX('Retirement Calculator'!J:J,MATCH('Isaac 401k'!N4346,'Retirement Calculator'!A:A,0),0),0)</f>
        <v>0</v>
      </c>
      <c r="K4346" s="444">
        <f t="shared" ca="1" si="186"/>
        <v>-81430700287.631882</v>
      </c>
      <c r="L4346" s="444">
        <f t="shared" ca="1" si="187"/>
        <v>-19624798769319.285</v>
      </c>
      <c r="M4346" s="460">
        <f t="shared" si="189"/>
        <v>0.05</v>
      </c>
      <c r="N4346" s="464">
        <f t="shared" si="190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88"/>
        <v>-19624798769319.285</v>
      </c>
      <c r="J4347" s="444">
        <f t="array" ref="J4347">IFERROR(INDEX('Retirement Calculator'!J:J,MATCH('Isaac 401k'!N4347,'Retirement Calculator'!A:A,0),0),0)</f>
        <v>0</v>
      </c>
      <c r="K4347" s="444">
        <f t="shared" ca="1" si="186"/>
        <v>-81769994872.163681</v>
      </c>
      <c r="L4347" s="444">
        <f t="shared" ca="1" si="187"/>
        <v>-19706568764191.449</v>
      </c>
      <c r="M4347" s="460">
        <f t="shared" si="189"/>
        <v>0.05</v>
      </c>
      <c r="N4347" s="464">
        <f t="shared" si="190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88"/>
        <v>-19706568764191.449</v>
      </c>
      <c r="J4348" s="444">
        <f t="array" ref="J4348">IFERROR(INDEX('Retirement Calculator'!J:J,MATCH('Isaac 401k'!N4348,'Retirement Calculator'!A:A,0),0),0)</f>
        <v>0</v>
      </c>
      <c r="K4348" s="444">
        <f t="shared" ca="1" si="186"/>
        <v>-82110703184.131042</v>
      </c>
      <c r="L4348" s="444">
        <f t="shared" ca="1" si="187"/>
        <v>-19788679467375.582</v>
      </c>
      <c r="M4348" s="460">
        <f t="shared" si="189"/>
        <v>0.05</v>
      </c>
      <c r="N4348" s="464">
        <f t="shared" si="190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88"/>
        <v>-19788679467375.582</v>
      </c>
      <c r="J4349" s="444">
        <f t="array" ref="J4349">IFERROR(INDEX('Retirement Calculator'!J:J,MATCH('Isaac 401k'!N4349,'Retirement Calculator'!A:A,0),0),0)</f>
        <v>0</v>
      </c>
      <c r="K4349" s="444">
        <f t="shared" ca="1" si="186"/>
        <v>-82452831114.064926</v>
      </c>
      <c r="L4349" s="444">
        <f t="shared" ca="1" si="187"/>
        <v>-19871132298489.648</v>
      </c>
      <c r="M4349" s="460">
        <f t="shared" si="189"/>
        <v>0.05</v>
      </c>
      <c r="N4349" s="464">
        <f t="shared" si="190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88"/>
        <v>-19871132298489.648</v>
      </c>
      <c r="J4350" s="444">
        <f t="array" ref="J4350">IFERROR(INDEX('Retirement Calculator'!J:J,MATCH('Isaac 401k'!N4350,'Retirement Calculator'!A:A,0),0),0)</f>
        <v>0</v>
      </c>
      <c r="K4350" s="444">
        <f t="shared" ca="1" si="186"/>
        <v>-82796384577.040207</v>
      </c>
      <c r="L4350" s="444">
        <f t="shared" ca="1" si="187"/>
        <v>-19953928683066.688</v>
      </c>
      <c r="M4350" s="460">
        <f t="shared" si="189"/>
        <v>0.05</v>
      </c>
      <c r="N4350" s="464">
        <f t="shared" si="190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88"/>
        <v>-19953928683066.688</v>
      </c>
      <c r="J4351" s="444">
        <f t="array" ref="J4351">IFERROR(INDEX('Retirement Calculator'!J:J,MATCH('Isaac 401k'!N4351,'Retirement Calculator'!A:A,0),0),0)</f>
        <v>0</v>
      </c>
      <c r="K4351" s="444">
        <f t="shared" ca="1" si="186"/>
        <v>-83141369512.777863</v>
      </c>
      <c r="L4351" s="444">
        <f t="shared" ca="1" si="187"/>
        <v>-20037070052579.465</v>
      </c>
      <c r="M4351" s="460">
        <f t="shared" si="189"/>
        <v>0.05</v>
      </c>
      <c r="N4351" s="464">
        <f t="shared" si="190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88"/>
        <v>-20037070052579.465</v>
      </c>
      <c r="J4352" s="444">
        <f t="array" ref="J4352">IFERROR(INDEX('Retirement Calculator'!J:J,MATCH('Isaac 401k'!N4352,'Retirement Calculator'!A:A,0),0),0)</f>
        <v>0</v>
      </c>
      <c r="K4352" s="444">
        <f t="shared" ca="1" si="186"/>
        <v>-83487791885.747772</v>
      </c>
      <c r="L4352" s="444">
        <f t="shared" ca="1" si="187"/>
        <v>-20120557844465.211</v>
      </c>
      <c r="M4352" s="460">
        <f t="shared" si="189"/>
        <v>0.05</v>
      </c>
      <c r="N4352" s="464">
        <f t="shared" si="190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88"/>
        <v>-20120557844465.211</v>
      </c>
      <c r="J4353" s="444">
        <f t="array" ref="J4353">IFERROR(INDEX('Retirement Calculator'!J:J,MATCH('Isaac 401k'!N4353,'Retirement Calculator'!A:A,0),0),0)</f>
        <v>0</v>
      </c>
      <c r="K4353" s="444">
        <f t="shared" ca="1" si="186"/>
        <v>-83835657685.271713</v>
      </c>
      <c r="L4353" s="444">
        <f t="shared" ca="1" si="187"/>
        <v>-20204393502150.484</v>
      </c>
      <c r="M4353" s="460">
        <f t="shared" si="189"/>
        <v>0.05</v>
      </c>
      <c r="N4353" s="464">
        <f t="shared" si="190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88"/>
        <v>-20204393502150.484</v>
      </c>
      <c r="J4354" s="444">
        <f t="array" ref="J4354">IFERROR(INDEX('Retirement Calculator'!J:J,MATCH('Isaac 401k'!N4354,'Retirement Calculator'!A:A,0),0),0)</f>
        <v>0</v>
      </c>
      <c r="K4354" s="444">
        <f t="shared" ca="1" si="186"/>
        <v>-84184972925.627014</v>
      </c>
      <c r="L4354" s="444">
        <f t="shared" ca="1" si="187"/>
        <v>-20288578475076.113</v>
      </c>
      <c r="M4354" s="460">
        <f t="shared" si="189"/>
        <v>0.05</v>
      </c>
      <c r="N4354" s="464">
        <f t="shared" si="190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88"/>
        <v>-20288578475076.113</v>
      </c>
      <c r="J4355" s="444">
        <f t="array" ref="J4355">IFERROR(INDEX('Retirement Calculator'!J:J,MATCH('Isaac 401k'!N4355,'Retirement Calculator'!A:A,0),0),0)</f>
        <v>0</v>
      </c>
      <c r="K4355" s="444">
        <f t="shared" ca="1" si="186"/>
        <v>-84535743646.150467</v>
      </c>
      <c r="L4355" s="444">
        <f t="shared" ca="1" si="187"/>
        <v>-20373114218722.266</v>
      </c>
      <c r="M4355" s="460">
        <f t="shared" si="189"/>
        <v>0.05</v>
      </c>
      <c r="N4355" s="464">
        <f t="shared" si="190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88"/>
        <v>-20373114218722.266</v>
      </c>
      <c r="J4356" s="444">
        <f t="array" ref="J4356">IFERROR(INDEX('Retirement Calculator'!J:J,MATCH('Isaac 401k'!N4356,'Retirement Calculator'!A:A,0),0),0)</f>
        <v>0</v>
      </c>
      <c r="K4356" s="444">
        <f t="shared" ca="1" si="186"/>
        <v>-84887975911.342773</v>
      </c>
      <c r="L4356" s="444">
        <f t="shared" ca="1" si="187"/>
        <v>-20458002194633.609</v>
      </c>
      <c r="M4356" s="460">
        <f t="shared" si="189"/>
        <v>0.05</v>
      </c>
      <c r="N4356" s="464">
        <f t="shared" si="190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88"/>
        <v>-20458002194633.609</v>
      </c>
      <c r="J4357" s="444">
        <f t="array" ref="J4357">IFERROR(INDEX('Retirement Calculator'!J:J,MATCH('Isaac 401k'!N4357,'Retirement Calculator'!A:A,0),0),0)</f>
        <v>0</v>
      </c>
      <c r="K4357" s="444">
        <f t="shared" ca="1" si="186"/>
        <v>-85241675810.973373</v>
      </c>
      <c r="L4357" s="444">
        <f t="shared" ca="1" si="187"/>
        <v>-20543243870444.582</v>
      </c>
      <c r="M4357" s="460">
        <f t="shared" si="189"/>
        <v>0.05</v>
      </c>
      <c r="N4357" s="464">
        <f t="shared" si="190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88"/>
        <v>-20543243870444.582</v>
      </c>
      <c r="J4358" s="444">
        <f t="array" ref="J4358">IFERROR(INDEX('Retirement Calculator'!J:J,MATCH('Isaac 401k'!N4358,'Retirement Calculator'!A:A,0),0),0)</f>
        <v>0</v>
      </c>
      <c r="K4358" s="444">
        <f t="shared" ca="1" si="186"/>
        <v>-85596849460.18576</v>
      </c>
      <c r="L4358" s="444">
        <f t="shared" ca="1" si="187"/>
        <v>-20628840719904.77</v>
      </c>
      <c r="M4358" s="460">
        <f t="shared" si="189"/>
        <v>0.05</v>
      </c>
      <c r="N4358" s="464">
        <f t="shared" si="190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88"/>
        <v>-20628840719904.77</v>
      </c>
      <c r="J4359" s="444">
        <f t="array" ref="J4359">IFERROR(INDEX('Retirement Calculator'!J:J,MATCH('Isaac 401k'!N4359,'Retirement Calculator'!A:A,0),0),0)</f>
        <v>0</v>
      </c>
      <c r="K4359" s="444">
        <f t="shared" ca="1" si="186"/>
        <v>-85953502999.60321</v>
      </c>
      <c r="L4359" s="444">
        <f t="shared" ca="1" si="187"/>
        <v>-20714794222904.371</v>
      </c>
      <c r="M4359" s="460">
        <f t="shared" si="189"/>
        <v>0.05</v>
      </c>
      <c r="N4359" s="464">
        <f t="shared" si="190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88"/>
        <v>-20714794222904.371</v>
      </c>
      <c r="J4360" s="444">
        <f t="array" ref="J4360">IFERROR(INDEX('Retirement Calculator'!J:J,MATCH('Isaac 401k'!N4360,'Retirement Calculator'!A:A,0),0),0)</f>
        <v>0</v>
      </c>
      <c r="K4360" s="444">
        <f t="shared" ca="1" si="186"/>
        <v>-86311642595.434875</v>
      </c>
      <c r="L4360" s="444">
        <f t="shared" ca="1" si="187"/>
        <v>-20801105865499.805</v>
      </c>
      <c r="M4360" s="460">
        <f t="shared" si="189"/>
        <v>0.05</v>
      </c>
      <c r="N4360" s="464">
        <f t="shared" si="190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88"/>
        <v>-20801105865499.805</v>
      </c>
      <c r="J4361" s="444">
        <f t="array" ref="J4361">IFERROR(INDEX('Retirement Calculator'!J:J,MATCH('Isaac 401k'!N4361,'Retirement Calculator'!A:A,0),0),0)</f>
        <v>0</v>
      </c>
      <c r="K4361" s="444">
        <f t="shared" ca="1" si="186"/>
        <v>-86671274439.58252</v>
      </c>
      <c r="L4361" s="444">
        <f t="shared" ca="1" si="187"/>
        <v>-20887777139939.387</v>
      </c>
      <c r="M4361" s="460">
        <f t="shared" si="189"/>
        <v>0.05</v>
      </c>
      <c r="N4361" s="464">
        <f t="shared" si="190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88"/>
        <v>-20887777139939.387</v>
      </c>
      <c r="J4362" s="444">
        <f t="array" ref="J4362">IFERROR(INDEX('Retirement Calculator'!J:J,MATCH('Isaac 401k'!N4362,'Retirement Calculator'!A:A,0),0),0)</f>
        <v>0</v>
      </c>
      <c r="K4362" s="444">
        <f t="shared" ca="1" si="186"/>
        <v>-87032404749.747437</v>
      </c>
      <c r="L4362" s="444">
        <f t="shared" ca="1" si="187"/>
        <v>-20974809544689.133</v>
      </c>
      <c r="M4362" s="460">
        <f t="shared" si="189"/>
        <v>0.05</v>
      </c>
      <c r="N4362" s="464">
        <f t="shared" si="190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88"/>
        <v>-20974809544689.133</v>
      </c>
      <c r="J4363" s="444">
        <f t="array" ref="J4363">IFERROR(INDEX('Retirement Calculator'!J:J,MATCH('Isaac 401k'!N4363,'Retirement Calculator'!A:A,0),0),0)</f>
        <v>0</v>
      </c>
      <c r="K4363" s="444">
        <f t="shared" ca="1" si="186"/>
        <v>-87395039769.538055</v>
      </c>
      <c r="L4363" s="444">
        <f t="shared" ca="1" si="187"/>
        <v>-21062204584458.672</v>
      </c>
      <c r="M4363" s="460">
        <f t="shared" si="189"/>
        <v>0.05</v>
      </c>
      <c r="N4363" s="464">
        <f t="shared" si="190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88"/>
        <v>-21062204584458.672</v>
      </c>
      <c r="J4364" s="444">
        <f t="array" ref="J4364">IFERROR(INDEX('Retirement Calculator'!J:J,MATCH('Isaac 401k'!N4364,'Retirement Calculator'!A:A,0),0),0)</f>
        <v>0</v>
      </c>
      <c r="K4364" s="444">
        <f t="shared" ca="1" si="186"/>
        <v>-87759185768.577805</v>
      </c>
      <c r="L4364" s="444">
        <f t="shared" ca="1" si="187"/>
        <v>-21149963770227.25</v>
      </c>
      <c r="M4364" s="460">
        <f t="shared" si="189"/>
        <v>0.05</v>
      </c>
      <c r="N4364" s="464">
        <f t="shared" si="190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88"/>
        <v>-21149963770227.25</v>
      </c>
      <c r="J4365" s="444">
        <f t="array" ref="J4365">IFERROR(INDEX('Retirement Calculator'!J:J,MATCH('Isaac 401k'!N4365,'Retirement Calculator'!A:A,0),0),0)</f>
        <v>0</v>
      </c>
      <c r="K4365" s="444">
        <f t="shared" ca="1" si="186"/>
        <v>-88124849042.613541</v>
      </c>
      <c r="L4365" s="444">
        <f t="shared" ca="1" si="187"/>
        <v>-21238088619269.863</v>
      </c>
      <c r="M4365" s="460">
        <f t="shared" si="189"/>
        <v>0.05</v>
      </c>
      <c r="N4365" s="464">
        <f t="shared" si="190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88"/>
        <v>-21238088619269.863</v>
      </c>
      <c r="J4366" s="444">
        <f t="array" ref="J4366">IFERROR(INDEX('Retirement Calculator'!J:J,MATCH('Isaac 401k'!N4366,'Retirement Calculator'!A:A,0),0),0)</f>
        <v>0</v>
      </c>
      <c r="K4366" s="444">
        <f t="shared" ca="1" si="186"/>
        <v>-88492035913.624435</v>
      </c>
      <c r="L4366" s="444">
        <f t="shared" ca="1" si="187"/>
        <v>-21326580655183.488</v>
      </c>
      <c r="M4366" s="460">
        <f t="shared" si="189"/>
        <v>0.05</v>
      </c>
      <c r="N4366" s="464">
        <f t="shared" si="190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88"/>
        <v>-21326580655183.488</v>
      </c>
      <c r="J4367" s="444">
        <f t="array" ref="J4367">IFERROR(INDEX('Retirement Calculator'!J:J,MATCH('Isaac 401k'!N4367,'Retirement Calculator'!A:A,0),0),0)</f>
        <v>0</v>
      </c>
      <c r="K4367" s="444">
        <f t="shared" ca="1" si="186"/>
        <v>-88860752729.931198</v>
      </c>
      <c r="L4367" s="444">
        <f t="shared" ca="1" si="187"/>
        <v>-21415441407913.418</v>
      </c>
      <c r="M4367" s="460">
        <f t="shared" si="189"/>
        <v>0.05</v>
      </c>
      <c r="N4367" s="464">
        <f t="shared" si="190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88"/>
        <v>-21415441407913.418</v>
      </c>
      <c r="J4368" s="444">
        <f t="array" ref="J4368">IFERROR(INDEX('Retirement Calculator'!J:J,MATCH('Isaac 401k'!N4368,'Retirement Calculator'!A:A,0),0),0)</f>
        <v>0</v>
      </c>
      <c r="K4368" s="444">
        <f t="shared" ca="1" si="186"/>
        <v>-89231005866.305908</v>
      </c>
      <c r="L4368" s="444">
        <f t="shared" ca="1" si="187"/>
        <v>-21504672413779.723</v>
      </c>
      <c r="M4368" s="460">
        <f t="shared" si="189"/>
        <v>0.05</v>
      </c>
      <c r="N4368" s="464">
        <f t="shared" si="190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88"/>
        <v>-21504672413779.723</v>
      </c>
      <c r="J4369" s="444">
        <f t="array" ref="J4369">IFERROR(INDEX('Retirement Calculator'!J:J,MATCH('Isaac 401k'!N4369,'Retirement Calculator'!A:A,0),0),0)</f>
        <v>0</v>
      </c>
      <c r="K4369" s="444">
        <f t="shared" ca="1" si="186"/>
        <v>-89602801724.082184</v>
      </c>
      <c r="L4369" s="444">
        <f t="shared" ca="1" si="187"/>
        <v>-21594275215503.805</v>
      </c>
      <c r="M4369" s="460">
        <f t="shared" si="189"/>
        <v>0.05</v>
      </c>
      <c r="N4369" s="464">
        <f t="shared" si="190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88"/>
        <v>-21594275215503.805</v>
      </c>
      <c r="J4370" s="444">
        <f t="array" ref="J4370">IFERROR(INDEX('Retirement Calculator'!J:J,MATCH('Isaac 401k'!N4370,'Retirement Calculator'!A:A,0),0),0)</f>
        <v>0</v>
      </c>
      <c r="K4370" s="444">
        <f t="shared" ca="1" si="186"/>
        <v>-89976146731.265854</v>
      </c>
      <c r="L4370" s="444">
        <f t="shared" ca="1" si="187"/>
        <v>-21684251362235.07</v>
      </c>
      <c r="M4370" s="460">
        <f t="shared" si="189"/>
        <v>0.05</v>
      </c>
      <c r="N4370" s="464">
        <f t="shared" si="190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88"/>
        <v>-21684251362235.07</v>
      </c>
      <c r="J4371" s="444">
        <f t="array" ref="J4371">IFERROR(INDEX('Retirement Calculator'!J:J,MATCH('Isaac 401k'!N4371,'Retirement Calculator'!A:A,0),0),0)</f>
        <v>0</v>
      </c>
      <c r="K4371" s="444">
        <f t="shared" ca="1" si="186"/>
        <v>-90351047342.646118</v>
      </c>
      <c r="L4371" s="444">
        <f t="shared" ca="1" si="187"/>
        <v>-21774602409577.715</v>
      </c>
      <c r="M4371" s="460">
        <f t="shared" si="189"/>
        <v>0.05</v>
      </c>
      <c r="N4371" s="464">
        <f t="shared" si="190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88"/>
        <v>-21774602409577.715</v>
      </c>
      <c r="J4372" s="444">
        <f t="array" ref="J4372">IFERROR(INDEX('Retirement Calculator'!J:J,MATCH('Isaac 401k'!N4372,'Retirement Calculator'!A:A,0),0),0)</f>
        <v>0</v>
      </c>
      <c r="K4372" s="444">
        <f t="shared" ca="1" si="186"/>
        <v>-90727510039.90715</v>
      </c>
      <c r="L4372" s="444">
        <f t="shared" ca="1" si="187"/>
        <v>-21865329919617.621</v>
      </c>
      <c r="M4372" s="460">
        <f t="shared" si="189"/>
        <v>0.05</v>
      </c>
      <c r="N4372" s="464">
        <f t="shared" si="190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88"/>
        <v>-21865329919617.621</v>
      </c>
      <c r="J4373" s="444">
        <f t="array" ref="J4373">IFERROR(INDEX('Retirement Calculator'!J:J,MATCH('Isaac 401k'!N4373,'Retirement Calculator'!A:A,0),0),0)</f>
        <v>0</v>
      </c>
      <c r="K4373" s="444">
        <f t="shared" ca="1" si="186"/>
        <v>-91105541331.740082</v>
      </c>
      <c r="L4373" s="444">
        <f t="shared" ca="1" si="187"/>
        <v>-21956435460949.359</v>
      </c>
      <c r="M4373" s="460">
        <f t="shared" si="189"/>
        <v>0.05</v>
      </c>
      <c r="N4373" s="464">
        <f t="shared" si="190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88"/>
        <v>-21956435460949.359</v>
      </c>
      <c r="J4374" s="444">
        <f t="array" ref="J4374">IFERROR(INDEX('Retirement Calculator'!J:J,MATCH('Isaac 401k'!N4374,'Retirement Calculator'!A:A,0),0),0)</f>
        <v>0</v>
      </c>
      <c r="K4374" s="444">
        <f t="shared" ca="1" si="186"/>
        <v>-91485147753.955658</v>
      </c>
      <c r="L4374" s="444">
        <f t="shared" ca="1" si="187"/>
        <v>-22047920608703.316</v>
      </c>
      <c r="M4374" s="460">
        <f t="shared" si="189"/>
        <v>0.05</v>
      </c>
      <c r="N4374" s="464">
        <f t="shared" si="190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88"/>
        <v>-22047920608703.316</v>
      </c>
      <c r="J4375" s="444">
        <f t="array" ref="J4375">IFERROR(INDEX('Retirement Calculator'!J:J,MATCH('Isaac 401k'!N4375,'Retirement Calculator'!A:A,0),0),0)</f>
        <v>0</v>
      </c>
      <c r="K4375" s="444">
        <f t="shared" ca="1" si="186"/>
        <v>-91866335869.597153</v>
      </c>
      <c r="L4375" s="444">
        <f t="shared" ca="1" si="187"/>
        <v>-22139786944572.914</v>
      </c>
      <c r="M4375" s="460">
        <f t="shared" si="189"/>
        <v>0.05</v>
      </c>
      <c r="N4375" s="464">
        <f t="shared" si="190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88"/>
        <v>-22139786944572.914</v>
      </c>
      <c r="J4376" s="444">
        <f t="array" ref="J4376">IFERROR(INDEX('Retirement Calculator'!J:J,MATCH('Isaac 401k'!N4376,'Retirement Calculator'!A:A,0),0),0)</f>
        <v>0</v>
      </c>
      <c r="K4376" s="444">
        <f t="shared" ca="1" si="186"/>
        <v>-92249112269.053802</v>
      </c>
      <c r="L4376" s="444">
        <f t="shared" ca="1" si="187"/>
        <v>-22232036056841.969</v>
      </c>
      <c r="M4376" s="460">
        <f t="shared" si="189"/>
        <v>0.05</v>
      </c>
      <c r="N4376" s="464">
        <f t="shared" si="190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88"/>
        <v>-22232036056841.969</v>
      </c>
      <c r="J4377" s="444">
        <f t="array" ref="J4377">IFERROR(INDEX('Retirement Calculator'!J:J,MATCH('Isaac 401k'!N4377,'Retirement Calculator'!A:A,0),0),0)</f>
        <v>0</v>
      </c>
      <c r="K4377" s="444">
        <f t="shared" ca="1" si="186"/>
        <v>-92633483570.174866</v>
      </c>
      <c r="L4377" s="444">
        <f t="shared" ca="1" si="187"/>
        <v>-22324669540412.145</v>
      </c>
      <c r="M4377" s="460">
        <f t="shared" si="189"/>
        <v>0.05</v>
      </c>
      <c r="N4377" s="464">
        <f t="shared" si="190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88"/>
        <v>-22324669540412.145</v>
      </c>
      <c r="J4378" s="444">
        <f t="array" ref="J4378">IFERROR(INDEX('Retirement Calculator'!J:J,MATCH('Isaac 401k'!N4378,'Retirement Calculator'!A:A,0),0),0)</f>
        <v>0</v>
      </c>
      <c r="K4378" s="444">
        <f t="shared" ca="1" si="186"/>
        <v>-93019456418.383942</v>
      </c>
      <c r="L4378" s="444">
        <f t="shared" ca="1" si="187"/>
        <v>-22417688996830.527</v>
      </c>
      <c r="M4378" s="460">
        <f t="shared" si="189"/>
        <v>0.05</v>
      </c>
      <c r="N4378" s="464">
        <f t="shared" si="190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88"/>
        <v>-22417688996830.527</v>
      </c>
      <c r="J4379" s="444">
        <f t="array" ref="J4379">IFERROR(INDEX('Retirement Calculator'!J:J,MATCH('Isaac 401k'!N4379,'Retirement Calculator'!A:A,0),0),0)</f>
        <v>0</v>
      </c>
      <c r="K4379" s="444">
        <f t="shared" ca="1" si="186"/>
        <v>-93407037486.793869</v>
      </c>
      <c r="L4379" s="444">
        <f t="shared" ca="1" si="187"/>
        <v>-22511096034317.32</v>
      </c>
      <c r="M4379" s="460">
        <f t="shared" si="189"/>
        <v>0.05</v>
      </c>
      <c r="N4379" s="464">
        <f t="shared" si="190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88"/>
        <v>-22511096034317.32</v>
      </c>
      <c r="J4380" s="444">
        <f t="array" ref="J4380">IFERROR(INDEX('Retirement Calculator'!J:J,MATCH('Isaac 401k'!N4380,'Retirement Calculator'!A:A,0),0),0)</f>
        <v>0</v>
      </c>
      <c r="K4380" s="444">
        <f t="shared" ca="1" si="186"/>
        <v>-93796233476.322174</v>
      </c>
      <c r="L4380" s="444">
        <f t="shared" ca="1" si="187"/>
        <v>-22604892267793.641</v>
      </c>
      <c r="M4380" s="460">
        <f t="shared" si="189"/>
        <v>0.05</v>
      </c>
      <c r="N4380" s="464">
        <f t="shared" si="190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88"/>
        <v>-22604892267793.641</v>
      </c>
      <c r="J4381" s="444">
        <f t="array" ref="J4381">IFERROR(INDEX('Retirement Calculator'!J:J,MATCH('Isaac 401k'!N4381,'Retirement Calculator'!A:A,0),0),0)</f>
        <v>0</v>
      </c>
      <c r="K4381" s="444">
        <f t="shared" ca="1" si="186"/>
        <v>-94187051115.806839</v>
      </c>
      <c r="L4381" s="444">
        <f t="shared" ca="1" si="187"/>
        <v>-22699079318909.449</v>
      </c>
      <c r="M4381" s="460">
        <f t="shared" si="189"/>
        <v>0.05</v>
      </c>
      <c r="N4381" s="464">
        <f t="shared" si="190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88"/>
        <v>-22699079318909.449</v>
      </c>
      <c r="J4382" s="444">
        <f t="array" ref="J4382">IFERROR(INDEX('Retirement Calculator'!J:J,MATCH('Isaac 401k'!N4382,'Retirement Calculator'!A:A,0),0),0)</f>
        <v>0</v>
      </c>
      <c r="K4382" s="444">
        <f t="shared" ca="1" si="186"/>
        <v>-94579497162.122711</v>
      </c>
      <c r="L4382" s="444">
        <f t="shared" ca="1" si="187"/>
        <v>-22793658816071.57</v>
      </c>
      <c r="M4382" s="460">
        <f t="shared" si="189"/>
        <v>0.05</v>
      </c>
      <c r="N4382" s="464">
        <f t="shared" si="190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88"/>
        <v>-22793658816071.57</v>
      </c>
      <c r="J4383" s="444">
        <f t="array" ref="J4383">IFERROR(INDEX('Retirement Calculator'!J:J,MATCH('Isaac 401k'!N4383,'Retirement Calculator'!A:A,0),0),0)</f>
        <v>0</v>
      </c>
      <c r="K4383" s="444">
        <f t="shared" ca="1" si="186"/>
        <v>-94973578400.298203</v>
      </c>
      <c r="L4383" s="444">
        <f t="shared" ca="1" si="187"/>
        <v>-22888632394471.867</v>
      </c>
      <c r="M4383" s="460">
        <f t="shared" si="189"/>
        <v>0.05</v>
      </c>
      <c r="N4383" s="464">
        <f t="shared" si="190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88"/>
        <v>-22888632394471.867</v>
      </c>
      <c r="J4384" s="444">
        <f t="array" ref="J4384">IFERROR(INDEX('Retirement Calculator'!J:J,MATCH('Isaac 401k'!N4384,'Retirement Calculator'!A:A,0),0),0)</f>
        <v>0</v>
      </c>
      <c r="K4384" s="444">
        <f t="shared" ca="1" si="186"/>
        <v>-95369301643.632782</v>
      </c>
      <c r="L4384" s="444">
        <f t="shared" ca="1" si="187"/>
        <v>-22984001696115.5</v>
      </c>
      <c r="M4384" s="460">
        <f t="shared" si="189"/>
        <v>0.05</v>
      </c>
      <c r="N4384" s="464">
        <f t="shared" si="190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88"/>
        <v>-22984001696115.5</v>
      </c>
      <c r="J4385" s="444">
        <f t="array" ref="J4385">IFERROR(INDEX('Retirement Calculator'!J:J,MATCH('Isaac 401k'!N4385,'Retirement Calculator'!A:A,0),0),0)</f>
        <v>0</v>
      </c>
      <c r="K4385" s="444">
        <f t="shared" ca="1" si="186"/>
        <v>-95766673733.814575</v>
      </c>
      <c r="L4385" s="444">
        <f t="shared" ca="1" si="187"/>
        <v>-23079768369849.316</v>
      </c>
      <c r="M4385" s="460">
        <f t="shared" si="189"/>
        <v>0.05</v>
      </c>
      <c r="N4385" s="464">
        <f t="shared" si="190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88"/>
        <v>-23079768369849.316</v>
      </c>
      <c r="J4386" s="444">
        <f t="array" ref="J4386">IFERROR(INDEX('Retirement Calculator'!J:J,MATCH('Isaac 401k'!N4386,'Retirement Calculator'!A:A,0),0),0)</f>
        <v>0</v>
      </c>
      <c r="K4386" s="444">
        <f t="shared" ca="1" si="186"/>
        <v>-96165701541.038818</v>
      </c>
      <c r="L4386" s="444">
        <f t="shared" ca="1" si="187"/>
        <v>-23175934071390.355</v>
      </c>
      <c r="M4386" s="460">
        <f t="shared" si="189"/>
        <v>0.05</v>
      </c>
      <c r="N4386" s="464">
        <f t="shared" si="190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88"/>
        <v>-23175934071390.355</v>
      </c>
      <c r="J4387" s="444">
        <f t="array" ref="J4387">IFERROR(INDEX('Retirement Calculator'!J:J,MATCH('Isaac 401k'!N4387,'Retirement Calculator'!A:A,0),0),0)</f>
        <v>0</v>
      </c>
      <c r="K4387" s="444">
        <f t="shared" ca="1" si="186"/>
        <v>-96566391964.12648</v>
      </c>
      <c r="L4387" s="444">
        <f t="shared" ca="1" si="187"/>
        <v>-23272500463354.48</v>
      </c>
      <c r="M4387" s="460">
        <f t="shared" si="189"/>
        <v>0.05</v>
      </c>
      <c r="N4387" s="464">
        <f t="shared" si="190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88"/>
        <v>-23272500463354.48</v>
      </c>
      <c r="J4388" s="444">
        <f t="array" ref="J4388">IFERROR(INDEX('Retirement Calculator'!J:J,MATCH('Isaac 401k'!N4388,'Retirement Calculator'!A:A,0),0),0)</f>
        <v>0</v>
      </c>
      <c r="K4388" s="444">
        <f t="shared" ca="1" si="186"/>
        <v>-96968751930.643661</v>
      </c>
      <c r="L4388" s="444">
        <f t="shared" ca="1" si="187"/>
        <v>-23369469215285.125</v>
      </c>
      <c r="M4388" s="460">
        <f t="shared" si="189"/>
        <v>0.05</v>
      </c>
      <c r="N4388" s="464">
        <f t="shared" si="190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88"/>
        <v>-23369469215285.125</v>
      </c>
      <c r="J4389" s="444">
        <f t="array" ref="J4389">IFERROR(INDEX('Retirement Calculator'!J:J,MATCH('Isaac 401k'!N4389,'Retirement Calculator'!A:A,0),0),0)</f>
        <v>0</v>
      </c>
      <c r="K4389" s="444">
        <f t="shared" ca="1" si="186"/>
        <v>-97372788397.021347</v>
      </c>
      <c r="L4389" s="444">
        <f t="shared" ca="1" si="187"/>
        <v>-23466842003682.145</v>
      </c>
      <c r="M4389" s="460">
        <f t="shared" si="189"/>
        <v>0.05</v>
      </c>
      <c r="N4389" s="464">
        <f t="shared" si="190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88"/>
        <v>-23466842003682.145</v>
      </c>
      <c r="J4390" s="444">
        <f t="array" ref="J4390">IFERROR(INDEX('Retirement Calculator'!J:J,MATCH('Isaac 401k'!N4390,'Retirement Calculator'!A:A,0),0),0)</f>
        <v>0</v>
      </c>
      <c r="K4390" s="444">
        <f t="shared" ca="1" si="186"/>
        <v>-97778508348.675598</v>
      </c>
      <c r="L4390" s="444">
        <f t="shared" ca="1" si="187"/>
        <v>-23564620512030.82</v>
      </c>
      <c r="M4390" s="460">
        <f t="shared" si="189"/>
        <v>0.05</v>
      </c>
      <c r="N4390" s="464">
        <f t="shared" si="190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88"/>
        <v>-23564620512030.82</v>
      </c>
      <c r="J4391" s="444">
        <f t="array" ref="J4391">IFERROR(INDEX('Retirement Calculator'!J:J,MATCH('Isaac 401k'!N4391,'Retirement Calculator'!A:A,0),0),0)</f>
        <v>0</v>
      </c>
      <c r="K4391" s="444">
        <f t="shared" ca="1" si="186"/>
        <v>-98185918800.128418</v>
      </c>
      <c r="L4391" s="444">
        <f t="shared" ca="1" si="187"/>
        <v>-23662806430830.949</v>
      </c>
      <c r="M4391" s="460">
        <f t="shared" si="189"/>
        <v>0.05</v>
      </c>
      <c r="N4391" s="464">
        <f t="shared" si="190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88"/>
        <v>-23662806430830.949</v>
      </c>
      <c r="J4392" s="444">
        <f t="array" ref="J4392">IFERROR(INDEX('Retirement Calculator'!J:J,MATCH('Isaac 401k'!N4392,'Retirement Calculator'!A:A,0),0),0)</f>
        <v>0</v>
      </c>
      <c r="K4392" s="444">
        <f t="shared" ca="1" si="186"/>
        <v>-98595026795.128952</v>
      </c>
      <c r="L4392" s="444">
        <f t="shared" ca="1" si="187"/>
        <v>-23761401457626.078</v>
      </c>
      <c r="M4392" s="460">
        <f t="shared" si="189"/>
        <v>0.05</v>
      </c>
      <c r="N4392" s="464">
        <f t="shared" si="190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88"/>
        <v>-23761401457626.078</v>
      </c>
      <c r="J4393" s="444">
        <f t="array" ref="J4393">IFERROR(INDEX('Retirement Calculator'!J:J,MATCH('Isaac 401k'!N4393,'Retirement Calculator'!A:A,0),0),0)</f>
        <v>0</v>
      </c>
      <c r="K4393" s="444">
        <f t="shared" ca="1" si="186"/>
        <v>-99005839406.77533</v>
      </c>
      <c r="L4393" s="444">
        <f t="shared" ca="1" si="187"/>
        <v>-23860407297032.852</v>
      </c>
      <c r="M4393" s="460">
        <f t="shared" si="189"/>
        <v>0.05</v>
      </c>
      <c r="N4393" s="464">
        <f t="shared" si="190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88"/>
        <v>-23860407297032.852</v>
      </c>
      <c r="J4394" s="444">
        <f t="array" ref="J4394">IFERROR(INDEX('Retirement Calculator'!J:J,MATCH('Isaac 401k'!N4394,'Retirement Calculator'!A:A,0),0),0)</f>
        <v>0</v>
      </c>
      <c r="K4394" s="444">
        <f t="shared" ca="1" si="186"/>
        <v>-99418363737.636887</v>
      </c>
      <c r="L4394" s="444">
        <f t="shared" ca="1" si="187"/>
        <v>-23959825660770.488</v>
      </c>
      <c r="M4394" s="460">
        <f t="shared" si="189"/>
        <v>0.05</v>
      </c>
      <c r="N4394" s="464">
        <f t="shared" si="190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88"/>
        <v>-23959825660770.488</v>
      </c>
      <c r="J4395" s="444">
        <f t="array" ref="J4395">IFERROR(INDEX('Retirement Calculator'!J:J,MATCH('Isaac 401k'!N4395,'Retirement Calculator'!A:A,0),0),0)</f>
        <v>0</v>
      </c>
      <c r="K4395" s="444">
        <f t="shared" ca="1" si="186"/>
        <v>-99832606919.877029</v>
      </c>
      <c r="L4395" s="444">
        <f t="shared" ca="1" si="187"/>
        <v>-24059658267690.367</v>
      </c>
      <c r="M4395" s="460">
        <f t="shared" si="189"/>
        <v>0.05</v>
      </c>
      <c r="N4395" s="464">
        <f t="shared" si="190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88"/>
        <v>-24059658267690.367</v>
      </c>
      <c r="J4396" s="444">
        <f t="array" ref="J4396">IFERROR(INDEX('Retirement Calculator'!J:J,MATCH('Isaac 401k'!N4396,'Retirement Calculator'!A:A,0),0),0)</f>
        <v>0</v>
      </c>
      <c r="K4396" s="444">
        <f t="shared" ca="1" si="186"/>
        <v>-100248576115.37653</v>
      </c>
      <c r="L4396" s="444">
        <f t="shared" ca="1" si="187"/>
        <v>-24159906843805.742</v>
      </c>
      <c r="M4396" s="460">
        <f t="shared" si="189"/>
        <v>0.05</v>
      </c>
      <c r="N4396" s="464">
        <f t="shared" si="190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88"/>
        <v>-24159906843805.742</v>
      </c>
      <c r="J4397" s="444">
        <f t="array" ref="J4397">IFERROR(INDEX('Retirement Calculator'!J:J,MATCH('Isaac 401k'!N4397,'Retirement Calculator'!A:A,0),0),0)</f>
        <v>0</v>
      </c>
      <c r="K4397" s="444">
        <f t="shared" ca="1" si="186"/>
        <v>-100666278515.85725</v>
      </c>
      <c r="L4397" s="444">
        <f t="shared" ca="1" si="187"/>
        <v>-24260573122321.598</v>
      </c>
      <c r="M4397" s="460">
        <f t="shared" si="189"/>
        <v>0.05</v>
      </c>
      <c r="N4397" s="464">
        <f t="shared" si="190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88"/>
        <v>-24260573122321.598</v>
      </c>
      <c r="J4398" s="444">
        <f t="array" ref="J4398">IFERROR(INDEX('Retirement Calculator'!J:J,MATCH('Isaac 401k'!N4398,'Retirement Calculator'!A:A,0),0),0)</f>
        <v>0</v>
      </c>
      <c r="K4398" s="444">
        <f t="shared" ca="1" si="186"/>
        <v>-101085721343.00665</v>
      </c>
      <c r="L4398" s="444">
        <f t="shared" ca="1" si="187"/>
        <v>-24361658843664.605</v>
      </c>
      <c r="M4398" s="460">
        <f t="shared" si="189"/>
        <v>0.05</v>
      </c>
      <c r="N4398" s="464">
        <f t="shared" si="190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88"/>
        <v>-24361658843664.605</v>
      </c>
      <c r="J4399" s="444">
        <f t="array" ref="J4399">IFERROR(INDEX('Retirement Calculator'!J:J,MATCH('Isaac 401k'!N4399,'Retirement Calculator'!A:A,0),0),0)</f>
        <v>0</v>
      </c>
      <c r="K4399" s="444">
        <f t="shared" ca="1" si="186"/>
        <v>-101506911848.60252</v>
      </c>
      <c r="L4399" s="444">
        <f t="shared" ca="1" si="187"/>
        <v>-24463165755513.207</v>
      </c>
      <c r="M4399" s="460">
        <f t="shared" si="189"/>
        <v>0.05</v>
      </c>
      <c r="N4399" s="464">
        <f t="shared" si="190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88"/>
        <v>-24463165755513.207</v>
      </c>
      <c r="J4400" s="444">
        <f t="array" ref="J4400">IFERROR(INDEX('Retirement Calculator'!J:J,MATCH('Isaac 401k'!N4400,'Retirement Calculator'!A:A,0),0),0)</f>
        <v>0</v>
      </c>
      <c r="K4400" s="444">
        <f t="shared" ca="1" si="186"/>
        <v>-101929857314.63837</v>
      </c>
      <c r="L4400" s="444">
        <f t="shared" ca="1" si="187"/>
        <v>-24565095612827.844</v>
      </c>
      <c r="M4400" s="460">
        <f t="shared" si="189"/>
        <v>0.05</v>
      </c>
      <c r="N4400" s="464">
        <f t="shared" si="190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88"/>
        <v>-24565095612827.844</v>
      </c>
      <c r="J4401" s="444">
        <f t="array" ref="J4401">IFERROR(INDEX('Retirement Calculator'!J:J,MATCH('Isaac 401k'!N4401,'Retirement Calculator'!A:A,0),0),0)</f>
        <v>0</v>
      </c>
      <c r="K4401" s="444">
        <f t="shared" ca="1" si="186"/>
        <v>-102354565053.44934</v>
      </c>
      <c r="L4401" s="444">
        <f t="shared" ca="1" si="187"/>
        <v>-24667450177881.293</v>
      </c>
      <c r="M4401" s="460">
        <f t="shared" si="189"/>
        <v>0.05</v>
      </c>
      <c r="N4401" s="464">
        <f t="shared" si="190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88"/>
        <v>-24667450177881.293</v>
      </c>
      <c r="J4402" s="444">
        <f t="array" ref="J4402">IFERROR(INDEX('Retirement Calculator'!J:J,MATCH('Isaac 401k'!N4402,'Retirement Calculator'!A:A,0),0),0)</f>
        <v>0</v>
      </c>
      <c r="K4402" s="444">
        <f t="shared" ca="1" si="186"/>
        <v>-102781042407.83871</v>
      </c>
      <c r="L4402" s="444">
        <f t="shared" ca="1" si="187"/>
        <v>-24770231220289.133</v>
      </c>
      <c r="M4402" s="460">
        <f t="shared" si="189"/>
        <v>0.05</v>
      </c>
      <c r="N4402" s="464">
        <f t="shared" si="190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88"/>
        <v>-24770231220289.133</v>
      </c>
      <c r="J4403" s="444">
        <f t="array" ref="J4403">IFERROR(INDEX('Retirement Calculator'!J:J,MATCH('Isaac 401k'!N4403,'Retirement Calculator'!A:A,0),0),0)</f>
        <v>0</v>
      </c>
      <c r="K4403" s="444">
        <f t="shared" ca="1" si="186"/>
        <v>-103209296751.20471</v>
      </c>
      <c r="L4403" s="444">
        <f t="shared" ca="1" si="187"/>
        <v>-24873440517040.336</v>
      </c>
      <c r="M4403" s="460">
        <f t="shared" si="189"/>
        <v>0.05</v>
      </c>
      <c r="N4403" s="464">
        <f t="shared" si="190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88"/>
        <v>-24873440517040.336</v>
      </c>
      <c r="J4404" s="444">
        <f t="array" ref="J4404">IFERROR(INDEX('Retirement Calculator'!J:J,MATCH('Isaac 401k'!N4404,'Retirement Calculator'!A:A,0),0),0)</f>
        <v>0</v>
      </c>
      <c r="K4404" s="444">
        <f t="shared" ca="1" si="186"/>
        <v>-103639335487.66806</v>
      </c>
      <c r="L4404" s="444">
        <f t="shared" ca="1" si="187"/>
        <v>-24977079852528.004</v>
      </c>
      <c r="M4404" s="460">
        <f t="shared" si="189"/>
        <v>0.05</v>
      </c>
      <c r="N4404" s="464">
        <f t="shared" si="190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88"/>
        <v>-24977079852528.004</v>
      </c>
      <c r="J4405" s="444">
        <f t="array" ref="J4405">IFERROR(INDEX('Retirement Calculator'!J:J,MATCH('Isaac 401k'!N4405,'Retirement Calculator'!A:A,0),0),0)</f>
        <v>0</v>
      </c>
      <c r="K4405" s="444">
        <f t="shared" ca="1" si="186"/>
        <v>-104071166052.20001</v>
      </c>
      <c r="L4405" s="444">
        <f t="shared" ca="1" si="187"/>
        <v>-25081151018580.203</v>
      </c>
      <c r="M4405" s="460">
        <f t="shared" si="189"/>
        <v>0.05</v>
      </c>
      <c r="N4405" s="464">
        <f t="shared" si="190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88"/>
        <v>-25081151018580.203</v>
      </c>
      <c r="J4406" s="444">
        <f t="array" ref="J4406">IFERROR(INDEX('Retirement Calculator'!J:J,MATCH('Isaac 401k'!N4406,'Retirement Calculator'!A:A,0),0),0)</f>
        <v>0</v>
      </c>
      <c r="K4406" s="444">
        <f t="shared" ca="1" si="186"/>
        <v>-104504795910.75084</v>
      </c>
      <c r="L4406" s="444">
        <f t="shared" ca="1" si="187"/>
        <v>-25185655814490.953</v>
      </c>
      <c r="M4406" s="460">
        <f t="shared" si="189"/>
        <v>0.05</v>
      </c>
      <c r="N4406" s="464">
        <f t="shared" si="190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88"/>
        <v>-25185655814490.953</v>
      </c>
      <c r="J4407" s="444">
        <f t="array" ref="J4407">IFERROR(INDEX('Retirement Calculator'!J:J,MATCH('Isaac 401k'!N4407,'Retirement Calculator'!A:A,0),0),0)</f>
        <v>0</v>
      </c>
      <c r="K4407" s="444">
        <f t="shared" ca="1" si="186"/>
        <v>-104940232560.37897</v>
      </c>
      <c r="L4407" s="444">
        <f t="shared" ca="1" si="187"/>
        <v>-25290596047051.332</v>
      </c>
      <c r="M4407" s="460">
        <f t="shared" si="189"/>
        <v>0.05</v>
      </c>
      <c r="N4407" s="464">
        <f t="shared" si="190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88"/>
        <v>-25290596047051.332</v>
      </c>
      <c r="J4408" s="444">
        <f t="array" ref="J4408">IFERROR(INDEX('Retirement Calculator'!J:J,MATCH('Isaac 401k'!N4408,'Retirement Calculator'!A:A,0),0),0)</f>
        <v>0</v>
      </c>
      <c r="K4408" s="444">
        <f t="shared" ca="1" si="186"/>
        <v>-105377483529.38055</v>
      </c>
      <c r="L4408" s="444">
        <f t="shared" ca="1" si="187"/>
        <v>-25395973530580.711</v>
      </c>
      <c r="M4408" s="460">
        <f t="shared" si="189"/>
        <v>0.05</v>
      </c>
      <c r="N4408" s="464">
        <f t="shared" si="190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88"/>
        <v>-25395973530580.711</v>
      </c>
      <c r="J4409" s="444">
        <f t="array" ref="J4409">IFERROR(INDEX('Retirement Calculator'!J:J,MATCH('Isaac 401k'!N4409,'Retirement Calculator'!A:A,0),0),0)</f>
        <v>0</v>
      </c>
      <c r="K4409" s="444">
        <f t="shared" ca="1" si="186"/>
        <v>-105816556377.41963</v>
      </c>
      <c r="L4409" s="444">
        <f t="shared" ca="1" si="187"/>
        <v>-25501790086958.129</v>
      </c>
      <c r="M4409" s="460">
        <f t="shared" si="189"/>
        <v>0.05</v>
      </c>
      <c r="N4409" s="464">
        <f t="shared" si="190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88"/>
        <v>-25501790086958.129</v>
      </c>
      <c r="J4410" s="444">
        <f t="array" ref="J4410">IFERROR(INDEX('Retirement Calculator'!J:J,MATCH('Isaac 401k'!N4410,'Retirement Calculator'!A:A,0),0),0)</f>
        <v>0</v>
      </c>
      <c r="K4410" s="444">
        <f t="shared" ca="1" si="186"/>
        <v>-106257458695.65887</v>
      </c>
      <c r="L4410" s="444">
        <f t="shared" ca="1" si="187"/>
        <v>-25608047545653.789</v>
      </c>
      <c r="M4410" s="460">
        <f t="shared" si="189"/>
        <v>0.05</v>
      </c>
      <c r="N4410" s="464">
        <f t="shared" si="190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88"/>
        <v>-25608047545653.789</v>
      </c>
      <c r="J4411" s="444">
        <f t="array" ref="J4411">IFERROR(INDEX('Retirement Calculator'!J:J,MATCH('Isaac 401k'!N4411,'Retirement Calculator'!A:A,0),0),0)</f>
        <v>0</v>
      </c>
      <c r="K4411" s="444">
        <f t="shared" ca="1" si="186"/>
        <v>-106700198106.89079</v>
      </c>
      <c r="L4411" s="444">
        <f t="shared" ca="1" si="187"/>
        <v>-25714747743760.68</v>
      </c>
      <c r="M4411" s="460">
        <f t="shared" si="189"/>
        <v>0.05</v>
      </c>
      <c r="N4411" s="464">
        <f t="shared" si="190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88"/>
        <v>-25714747743760.68</v>
      </c>
      <c r="J4412" s="444">
        <f t="array" ref="J4412">IFERROR(INDEX('Retirement Calculator'!J:J,MATCH('Isaac 401k'!N4412,'Retirement Calculator'!A:A,0),0),0)</f>
        <v>0</v>
      </c>
      <c r="K4412" s="444">
        <f t="shared" ca="1" si="186"/>
        <v>-107144782265.66949</v>
      </c>
      <c r="L4412" s="444">
        <f t="shared" ca="1" si="187"/>
        <v>-25821892526026.348</v>
      </c>
      <c r="M4412" s="460">
        <f t="shared" si="189"/>
        <v>0.05</v>
      </c>
      <c r="N4412" s="464">
        <f t="shared" si="190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88"/>
        <v>-25821892526026.348</v>
      </c>
      <c r="J4413" s="444">
        <f t="array" ref="J4413">IFERROR(INDEX('Retirement Calculator'!J:J,MATCH('Isaac 401k'!N4413,'Retirement Calculator'!A:A,0),0),0)</f>
        <v>0</v>
      </c>
      <c r="K4413" s="444">
        <f t="shared" ca="1" si="186"/>
        <v>-107591218858.44312</v>
      </c>
      <c r="L4413" s="444">
        <f t="shared" ca="1" si="187"/>
        <v>-25929483744884.789</v>
      </c>
      <c r="M4413" s="460">
        <f t="shared" si="189"/>
        <v>0.05</v>
      </c>
      <c r="N4413" s="464">
        <f t="shared" si="190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88"/>
        <v>-25929483744884.789</v>
      </c>
      <c r="J4414" s="444">
        <f t="array" ref="J4414">IFERROR(INDEX('Retirement Calculator'!J:J,MATCH('Isaac 401k'!N4414,'Retirement Calculator'!A:A,0),0),0)</f>
        <v>0</v>
      </c>
      <c r="K4414" s="444">
        <f t="shared" ca="1" si="186"/>
        <v>-108039515603.68661</v>
      </c>
      <c r="L4414" s="444">
        <f t="shared" ca="1" si="187"/>
        <v>-26037523260488.477</v>
      </c>
      <c r="M4414" s="460">
        <f t="shared" si="189"/>
        <v>0.05</v>
      </c>
      <c r="N4414" s="464">
        <f t="shared" si="190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88"/>
        <v>-26037523260488.477</v>
      </c>
      <c r="J4415" s="444">
        <f t="array" ref="J4415">IFERROR(INDEX('Retirement Calculator'!J:J,MATCH('Isaac 401k'!N4415,'Retirement Calculator'!A:A,0),0),0)</f>
        <v>0</v>
      </c>
      <c r="K4415" s="444">
        <f t="shared" ca="1" si="186"/>
        <v>-108489680252.03532</v>
      </c>
      <c r="L4415" s="444">
        <f t="shared" ca="1" si="187"/>
        <v>-26146012940740.512</v>
      </c>
      <c r="M4415" s="460">
        <f t="shared" si="189"/>
        <v>0.05</v>
      </c>
      <c r="N4415" s="464">
        <f t="shared" si="190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88"/>
        <v>-26146012940740.512</v>
      </c>
      <c r="J4416" s="444">
        <f t="array" ref="J4416">IFERROR(INDEX('Retirement Calculator'!J:J,MATCH('Isaac 401k'!N4416,'Retirement Calculator'!A:A,0),0),0)</f>
        <v>0</v>
      </c>
      <c r="K4416" s="444">
        <f t="shared" ca="1" si="186"/>
        <v>-108941720586.41879</v>
      </c>
      <c r="L4416" s="444">
        <f t="shared" ca="1" si="187"/>
        <v>-26254954661326.93</v>
      </c>
      <c r="M4416" s="460">
        <f t="shared" si="189"/>
        <v>0.05</v>
      </c>
      <c r="N4416" s="464">
        <f t="shared" si="190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88"/>
        <v>-26254954661326.93</v>
      </c>
      <c r="J4417" s="444">
        <f t="array" ref="J4417">IFERROR(INDEX('Retirement Calculator'!J:J,MATCH('Isaac 401k'!N4417,'Retirement Calculator'!A:A,0),0),0)</f>
        <v>0</v>
      </c>
      <c r="K4417" s="444">
        <f t="shared" ca="1" si="186"/>
        <v>-109395644422.19554</v>
      </c>
      <c r="L4417" s="444">
        <f t="shared" ca="1" si="187"/>
        <v>-26364350305749.125</v>
      </c>
      <c r="M4417" s="460">
        <f t="shared" si="189"/>
        <v>0.05</v>
      </c>
      <c r="N4417" s="464">
        <f t="shared" si="190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88"/>
        <v>-26364350305749.125</v>
      </c>
      <c r="J4418" s="444">
        <f t="array" ref="J4418">IFERROR(INDEX('Retirement Calculator'!J:J,MATCH('Isaac 401k'!N4418,'Retirement Calculator'!A:A,0),0),0)</f>
        <v>0</v>
      </c>
      <c r="K4418" s="444">
        <f t="shared" ca="1" si="186"/>
        <v>-109851459607.28802</v>
      </c>
      <c r="L4418" s="444">
        <f t="shared" ca="1" si="187"/>
        <v>-26474201765356.414</v>
      </c>
      <c r="M4418" s="460">
        <f t="shared" si="189"/>
        <v>0.05</v>
      </c>
      <c r="N4418" s="464">
        <f t="shared" si="190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88"/>
        <v>-26474201765356.414</v>
      </c>
      <c r="J4419" s="444">
        <f t="array" ref="J4419">IFERROR(INDEX('Retirement Calculator'!J:J,MATCH('Isaac 401k'!N4419,'Retirement Calculator'!A:A,0),0),0)</f>
        <v>0</v>
      </c>
      <c r="K4419" s="444">
        <f t="shared" ca="1" si="186"/>
        <v>-110309174022.31839</v>
      </c>
      <c r="L4419" s="444">
        <f t="shared" ca="1" si="187"/>
        <v>-26584510939378.734</v>
      </c>
      <c r="M4419" s="460">
        <f t="shared" si="189"/>
        <v>0.05</v>
      </c>
      <c r="N4419" s="464">
        <f t="shared" si="190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88"/>
        <v>-26584510939378.734</v>
      </c>
      <c r="J4420" s="444">
        <f t="array" ref="J4420">IFERROR(INDEX('Retirement Calculator'!J:J,MATCH('Isaac 401k'!N4420,'Retirement Calculator'!A:A,0),0),0)</f>
        <v>0</v>
      </c>
      <c r="K4420" s="444">
        <f t="shared" ca="1" si="186"/>
        <v>-110768795580.74472</v>
      </c>
      <c r="L4420" s="444">
        <f t="shared" ca="1" si="187"/>
        <v>-26695279734959.48</v>
      </c>
      <c r="M4420" s="460">
        <f t="shared" si="189"/>
        <v>0.05</v>
      </c>
      <c r="N4420" s="464">
        <f t="shared" si="190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88"/>
        <v>-26695279734959.48</v>
      </c>
      <c r="J4421" s="444">
        <f t="array" ref="J4421">IFERROR(INDEX('Retirement Calculator'!J:J,MATCH('Isaac 401k'!N4421,'Retirement Calculator'!A:A,0),0),0)</f>
        <v>0</v>
      </c>
      <c r="K4421" s="444">
        <f t="shared" ca="1" si="186"/>
        <v>-111230332228.99783</v>
      </c>
      <c r="L4421" s="444">
        <f t="shared" ca="1" si="187"/>
        <v>-26806510067188.477</v>
      </c>
      <c r="M4421" s="460">
        <f t="shared" si="189"/>
        <v>0.05</v>
      </c>
      <c r="N4421" s="464">
        <f t="shared" si="190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88"/>
        <v>-26806510067188.477</v>
      </c>
      <c r="J4422" s="444">
        <f t="array" ref="J4422">IFERROR(INDEX('Retirement Calculator'!J:J,MATCH('Isaac 401k'!N4422,'Retirement Calculator'!A:A,0),0),0)</f>
        <v>0</v>
      </c>
      <c r="K4422" s="444">
        <f t="shared" ca="1" si="186"/>
        <v>-111693791946.61865</v>
      </c>
      <c r="L4422" s="444">
        <f t="shared" ca="1" si="187"/>
        <v>-26918203859135.094</v>
      </c>
      <c r="M4422" s="460">
        <f t="shared" si="189"/>
        <v>0.05</v>
      </c>
      <c r="N4422" s="464">
        <f t="shared" si="190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88"/>
        <v>-26918203859135.094</v>
      </c>
      <c r="J4423" s="444">
        <f t="array" ref="J4423">IFERROR(INDEX('Retirement Calculator'!J:J,MATCH('Isaac 401k'!N4423,'Retirement Calculator'!A:A,0),0),0)</f>
        <v>0</v>
      </c>
      <c r="K4423" s="444">
        <f t="shared" ca="1" si="186"/>
        <v>-112159182746.39622</v>
      </c>
      <c r="L4423" s="444">
        <f t="shared" ca="1" si="187"/>
        <v>-27030363041881.488</v>
      </c>
      <c r="M4423" s="460">
        <f t="shared" si="189"/>
        <v>0.05</v>
      </c>
      <c r="N4423" s="464">
        <f t="shared" si="190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88"/>
        <v>-27030363041881.488</v>
      </c>
      <c r="J4424" s="444">
        <f t="array" ref="J4424">IFERROR(INDEX('Retirement Calculator'!J:J,MATCH('Isaac 401k'!N4424,'Retirement Calculator'!A:A,0),0),0)</f>
        <v>0</v>
      </c>
      <c r="K4424" s="444">
        <f t="shared" ca="1" si="186"/>
        <v>-112626512674.5062</v>
      </c>
      <c r="L4424" s="444">
        <f t="shared" ca="1" si="187"/>
        <v>-27142989554555.996</v>
      </c>
      <c r="M4424" s="460">
        <f t="shared" si="189"/>
        <v>0.05</v>
      </c>
      <c r="N4424" s="464">
        <f t="shared" si="190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88"/>
        <v>-27142989554555.996</v>
      </c>
      <c r="J4425" s="444">
        <f t="array" ref="J4425">IFERROR(INDEX('Retirement Calculator'!J:J,MATCH('Isaac 401k'!N4425,'Retirement Calculator'!A:A,0),0),0)</f>
        <v>0</v>
      </c>
      <c r="K4425" s="444">
        <f t="shared" ca="1" si="186"/>
        <v>-113095789810.64998</v>
      </c>
      <c r="L4425" s="444">
        <f t="shared" ca="1" si="187"/>
        <v>-27256085344366.645</v>
      </c>
      <c r="M4425" s="460">
        <f t="shared" si="189"/>
        <v>0.05</v>
      </c>
      <c r="N4425" s="464">
        <f t="shared" si="190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88"/>
        <v>-27256085344366.645</v>
      </c>
      <c r="J4426" s="444">
        <f t="array" ref="J4426">IFERROR(INDEX('Retirement Calculator'!J:J,MATCH('Isaac 401k'!N4426,'Retirement Calculator'!A:A,0),0),0)</f>
        <v>0</v>
      </c>
      <c r="K4426" s="444">
        <f t="shared" ca="1" si="186"/>
        <v>-113567022268.19435</v>
      </c>
      <c r="L4426" s="444">
        <f t="shared" ca="1" si="187"/>
        <v>-27369652366634.84</v>
      </c>
      <c r="M4426" s="460">
        <f t="shared" si="189"/>
        <v>0.05</v>
      </c>
      <c r="N4426" s="464">
        <f t="shared" si="190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88"/>
        <v>-27369652366634.84</v>
      </c>
      <c r="J4427" s="444">
        <f t="array" ref="J4427">IFERROR(INDEX('Retirement Calculator'!J:J,MATCH('Isaac 401k'!N4427,'Retirement Calculator'!A:A,0),0),0)</f>
        <v>0</v>
      </c>
      <c r="K4427" s="444">
        <f t="shared" ca="1" si="186"/>
        <v>-114040218194.31183</v>
      </c>
      <c r="L4427" s="444">
        <f t="shared" ca="1" si="187"/>
        <v>-27483692584829.152</v>
      </c>
      <c r="M4427" s="460">
        <f t="shared" si="189"/>
        <v>0.05</v>
      </c>
      <c r="N4427" s="464">
        <f t="shared" si="190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88"/>
        <v>-27483692584829.152</v>
      </c>
      <c r="J4428" s="444">
        <f t="array" ref="J4428">IFERROR(INDEX('Retirement Calculator'!J:J,MATCH('Isaac 401k'!N4428,'Retirement Calculator'!A:A,0),0),0)</f>
        <v>0</v>
      </c>
      <c r="K4428" s="444">
        <f t="shared" ca="1" si="186"/>
        <v>-114515385770.12146</v>
      </c>
      <c r="L4428" s="444">
        <f t="shared" ca="1" si="187"/>
        <v>-27598207970599.273</v>
      </c>
      <c r="M4428" s="460">
        <f t="shared" si="189"/>
        <v>0.05</v>
      </c>
      <c r="N4428" s="464">
        <f t="shared" si="190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88"/>
        <v>-27598207970599.273</v>
      </c>
      <c r="J4429" s="444">
        <f t="array" ref="J4429">IFERROR(INDEX('Retirement Calculator'!J:J,MATCH('Isaac 401k'!N4429,'Retirement Calculator'!A:A,0),0),0)</f>
        <v>0</v>
      </c>
      <c r="K4429" s="444">
        <f t="shared" ca="1" si="186"/>
        <v>-114992533210.83031</v>
      </c>
      <c r="L4429" s="444">
        <f t="shared" ca="1" si="187"/>
        <v>-27713200503810.105</v>
      </c>
      <c r="M4429" s="460">
        <f t="shared" si="189"/>
        <v>0.05</v>
      </c>
      <c r="N4429" s="464">
        <f t="shared" si="190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88"/>
        <v>-27713200503810.105</v>
      </c>
      <c r="J4430" s="444">
        <f t="array" ref="J4430">IFERROR(INDEX('Retirement Calculator'!J:J,MATCH('Isaac 401k'!N4430,'Retirement Calculator'!A:A,0),0),0)</f>
        <v>0</v>
      </c>
      <c r="K4430" s="444">
        <f t="shared" ca="1" si="186"/>
        <v>-115471668765.87543</v>
      </c>
      <c r="L4430" s="444">
        <f t="shared" ca="1" si="187"/>
        <v>-27828672172575.98</v>
      </c>
      <c r="M4430" s="460">
        <f t="shared" si="189"/>
        <v>0.05</v>
      </c>
      <c r="N4430" s="464">
        <f t="shared" si="190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88"/>
        <v>-27828672172575.98</v>
      </c>
      <c r="J4431" s="444">
        <f t="array" ref="J4431">IFERROR(INDEX('Retirement Calculator'!J:J,MATCH('Isaac 401k'!N4431,'Retirement Calculator'!A:A,0),0),0)</f>
        <v>0</v>
      </c>
      <c r="K4431" s="444">
        <f t="shared" ca="1" si="186"/>
        <v>-115952800719.06659</v>
      </c>
      <c r="L4431" s="444">
        <f t="shared" ca="1" si="187"/>
        <v>-27944624973295.047</v>
      </c>
      <c r="M4431" s="460">
        <f t="shared" si="189"/>
        <v>0.05</v>
      </c>
      <c r="N4431" s="464">
        <f t="shared" si="190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88"/>
        <v>-27944624973295.047</v>
      </c>
      <c r="J4432" s="444">
        <f t="array" ref="J4432">IFERROR(INDEX('Retirement Calculator'!J:J,MATCH('Isaac 401k'!N4432,'Retirement Calculator'!A:A,0),0),0)</f>
        <v>0</v>
      </c>
      <c r="K4432" s="444">
        <f t="shared" ca="1" si="186"/>
        <v>-116435937388.72935</v>
      </c>
      <c r="L4432" s="444">
        <f t="shared" ca="1" si="187"/>
        <v>-28061060910683.777</v>
      </c>
      <c r="M4432" s="460">
        <f t="shared" si="189"/>
        <v>0.05</v>
      </c>
      <c r="N4432" s="464">
        <f t="shared" si="190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88"/>
        <v>-28061060910683.777</v>
      </c>
      <c r="J4433" s="444">
        <f t="array" ref="J4433">IFERROR(INDEX('Retirement Calculator'!J:J,MATCH('Isaac 401k'!N4433,'Retirement Calculator'!A:A,0),0),0)</f>
        <v>0</v>
      </c>
      <c r="K4433" s="444">
        <f t="shared" ca="1" si="186"/>
        <v>-116921087127.84906</v>
      </c>
      <c r="L4433" s="444">
        <f t="shared" ca="1" si="187"/>
        <v>-28177981997811.625</v>
      </c>
      <c r="M4433" s="460">
        <f t="shared" si="189"/>
        <v>0.05</v>
      </c>
      <c r="N4433" s="464">
        <f t="shared" si="190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88"/>
        <v>-28177981997811.625</v>
      </c>
      <c r="J4434" s="444">
        <f t="array" ref="J4434">IFERROR(INDEX('Retirement Calculator'!J:J,MATCH('Isaac 401k'!N4434,'Retirement Calculator'!A:A,0),0),0)</f>
        <v>0</v>
      </c>
      <c r="K4434" s="444">
        <f t="shared" ca="1" si="186"/>
        <v>-117408258324.21512</v>
      </c>
      <c r="L4434" s="444">
        <f t="shared" ca="1" si="187"/>
        <v>-28295390256135.84</v>
      </c>
      <c r="M4434" s="460">
        <f t="shared" si="189"/>
        <v>0.05</v>
      </c>
      <c r="N4434" s="464">
        <f t="shared" si="190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88"/>
        <v>-28295390256135.84</v>
      </c>
      <c r="J4435" s="444">
        <f t="array" ref="J4435">IFERROR(INDEX('Retirement Calculator'!J:J,MATCH('Isaac 401k'!N4435,'Retirement Calculator'!A:A,0),0),0)</f>
        <v>0</v>
      </c>
      <c r="K4435" s="444">
        <f t="shared" ca="1" si="186"/>
        <v>-117897459400.56599</v>
      </c>
      <c r="L4435" s="444">
        <f t="shared" ca="1" si="187"/>
        <v>-28413287715536.406</v>
      </c>
      <c r="M4435" s="460">
        <f t="shared" si="189"/>
        <v>0.05</v>
      </c>
      <c r="N4435" s="464">
        <f t="shared" si="190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88"/>
        <v>-28413287715536.406</v>
      </c>
      <c r="J4436" s="444">
        <f t="array" ref="J4436">IFERROR(INDEX('Retirement Calculator'!J:J,MATCH('Isaac 401k'!N4436,'Retirement Calculator'!A:A,0),0),0)</f>
        <v>0</v>
      </c>
      <c r="K4436" s="444">
        <f t="shared" ca="1" si="186"/>
        <v>-118388698814.73505</v>
      </c>
      <c r="L4436" s="444">
        <f t="shared" ca="1" si="187"/>
        <v>-28531676414351.141</v>
      </c>
      <c r="M4436" s="460">
        <f t="shared" si="189"/>
        <v>0.05</v>
      </c>
      <c r="N4436" s="464">
        <f t="shared" si="190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88"/>
        <v>-28531676414351.141</v>
      </c>
      <c r="J4437" s="444">
        <f t="array" ref="J4437">IFERROR(INDEX('Retirement Calculator'!J:J,MATCH('Isaac 401k'!N4437,'Retirement Calculator'!A:A,0),0),0)</f>
        <v>0</v>
      </c>
      <c r="K4437" s="444">
        <f t="shared" ca="1" si="186"/>
        <v>-118881985059.79643</v>
      </c>
      <c r="L4437" s="444">
        <f t="shared" ca="1" si="187"/>
        <v>-28650558399410.938</v>
      </c>
      <c r="M4437" s="460">
        <f t="shared" si="189"/>
        <v>0.05</v>
      </c>
      <c r="N4437" s="464">
        <f t="shared" si="190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88"/>
        <v>-28650558399410.938</v>
      </c>
      <c r="J4438" s="444">
        <f t="array" ref="J4438">IFERROR(INDEX('Retirement Calculator'!J:J,MATCH('Isaac 401k'!N4438,'Retirement Calculator'!A:A,0),0),0)</f>
        <v>0</v>
      </c>
      <c r="K4438" s="444">
        <f t="shared" ca="1" si="186"/>
        <v>-119377326664.21223</v>
      </c>
      <c r="L4438" s="444">
        <f t="shared" ca="1" si="187"/>
        <v>-28769935726075.148</v>
      </c>
      <c r="M4438" s="460">
        <f t="shared" si="189"/>
        <v>0.05</v>
      </c>
      <c r="N4438" s="464">
        <f t="shared" si="190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88"/>
        <v>-28769935726075.148</v>
      </c>
      <c r="J4439" s="444">
        <f t="array" ref="J4439">IFERROR(INDEX('Retirement Calculator'!J:J,MATCH('Isaac 401k'!N4439,'Retirement Calculator'!A:A,0),0),0)</f>
        <v>0</v>
      </c>
      <c r="K4439" s="444">
        <f t="shared" ca="1" si="186"/>
        <v>-119874732191.97977</v>
      </c>
      <c r="L4439" s="444">
        <f t="shared" ca="1" si="187"/>
        <v>-28889810458267.129</v>
      </c>
      <c r="M4439" s="460">
        <f t="shared" si="189"/>
        <v>0.05</v>
      </c>
      <c r="N4439" s="464">
        <f t="shared" si="190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88"/>
        <v>-28889810458267.129</v>
      </c>
      <c r="J4440" s="444">
        <f t="array" ref="J4440">IFERROR(INDEX('Retirement Calculator'!J:J,MATCH('Isaac 401k'!N4440,'Retirement Calculator'!A:A,0),0),0)</f>
        <v>0</v>
      </c>
      <c r="K4440" s="444">
        <f t="shared" ca="1" si="186"/>
        <v>-120374210242.77971</v>
      </c>
      <c r="L4440" s="444">
        <f t="shared" ca="1" si="187"/>
        <v>-29010184668509.91</v>
      </c>
      <c r="M4440" s="460">
        <f t="shared" si="189"/>
        <v>0.05</v>
      </c>
      <c r="N4440" s="464">
        <f t="shared" si="190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88"/>
        <v>-29010184668509.91</v>
      </c>
      <c r="J4441" s="444">
        <f t="array" ref="J4441">IFERROR(INDEX('Retirement Calculator'!J:J,MATCH('Isaac 401k'!N4441,'Retirement Calculator'!A:A,0),0),0)</f>
        <v>0</v>
      </c>
      <c r="K4441" s="444">
        <f t="shared" ca="1" si="186"/>
        <v>-120875769452.1246</v>
      </c>
      <c r="L4441" s="444">
        <f t="shared" ca="1" si="187"/>
        <v>-29131060437962.035</v>
      </c>
      <c r="M4441" s="460">
        <f t="shared" si="189"/>
        <v>0.05</v>
      </c>
      <c r="N4441" s="464">
        <f t="shared" si="190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88"/>
        <v>-29131060437962.035</v>
      </c>
      <c r="J4442" s="444">
        <f t="array" ref="J4442">IFERROR(INDEX('Retirement Calculator'!J:J,MATCH('Isaac 401k'!N4442,'Retirement Calculator'!A:A,0),0),0)</f>
        <v>0</v>
      </c>
      <c r="K4442" s="444">
        <f t="shared" ca="1" si="186"/>
        <v>-121379418491.50848</v>
      </c>
      <c r="L4442" s="444">
        <f t="shared" ca="1" si="187"/>
        <v>-29252439856453.543</v>
      </c>
      <c r="M4442" s="460">
        <f t="shared" si="189"/>
        <v>0.05</v>
      </c>
      <c r="N4442" s="464">
        <f t="shared" si="190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88"/>
        <v>-29252439856453.543</v>
      </c>
      <c r="J4443" s="444">
        <f t="array" ref="J4443">IFERROR(INDEX('Retirement Calculator'!J:J,MATCH('Isaac 401k'!N4443,'Retirement Calculator'!A:A,0),0),0)</f>
        <v>0</v>
      </c>
      <c r="K4443" s="444">
        <f t="shared" ca="1" si="186"/>
        <v>-121885166068.55643</v>
      </c>
      <c r="L4443" s="444">
        <f t="shared" ca="1" si="187"/>
        <v>-29374325022522.098</v>
      </c>
      <c r="M4443" s="460">
        <f t="shared" si="189"/>
        <v>0.05</v>
      </c>
      <c r="N4443" s="464">
        <f t="shared" si="190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88"/>
        <v>-29374325022522.098</v>
      </c>
      <c r="J4444" s="444">
        <f t="array" ref="J4444">IFERROR(INDEX('Retirement Calculator'!J:J,MATCH('Isaac 401k'!N4444,'Retirement Calculator'!A:A,0),0),0)</f>
        <v>0</v>
      </c>
      <c r="K4444" s="444">
        <f t="shared" ca="1" si="186"/>
        <v>-122393020927.17542</v>
      </c>
      <c r="L4444" s="444">
        <f t="shared" ca="1" si="187"/>
        <v>-29496718043449.273</v>
      </c>
      <c r="M4444" s="460">
        <f t="shared" si="189"/>
        <v>0.05</v>
      </c>
      <c r="N4444" s="464">
        <f t="shared" si="190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88"/>
        <v>-29496718043449.273</v>
      </c>
      <c r="J4445" s="444">
        <f t="array" ref="J4445">IFERROR(INDEX('Retirement Calculator'!J:J,MATCH('Isaac 401k'!N4445,'Retirement Calculator'!A:A,0),0),0)</f>
        <v>0</v>
      </c>
      <c r="K4445" s="444">
        <f t="shared" ca="1" si="186"/>
        <v>-122902991847.70531</v>
      </c>
      <c r="L4445" s="444">
        <f t="shared" ca="1" si="187"/>
        <v>-29619621035296.98</v>
      </c>
      <c r="M4445" s="460">
        <f t="shared" si="189"/>
        <v>0.05</v>
      </c>
      <c r="N4445" s="464">
        <f t="shared" si="190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88"/>
        <v>-29619621035296.98</v>
      </c>
      <c r="J4446" s="444">
        <f t="array" ref="J4446">IFERROR(INDEX('Retirement Calculator'!J:J,MATCH('Isaac 401k'!N4446,'Retirement Calculator'!A:A,0),0),0)</f>
        <v>0</v>
      </c>
      <c r="K4446" s="444">
        <f t="shared" ca="1" si="186"/>
        <v>-123415087647.07077</v>
      </c>
      <c r="L4446" s="444">
        <f t="shared" ca="1" si="187"/>
        <v>-29743036122944.051</v>
      </c>
      <c r="M4446" s="460">
        <f t="shared" si="189"/>
        <v>0.05</v>
      </c>
      <c r="N4446" s="464">
        <f t="shared" si="190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88"/>
        <v>-29743036122944.051</v>
      </c>
      <c r="J4447" s="444">
        <f t="array" ref="J4447">IFERROR(INDEX('Retirement Calculator'!J:J,MATCH('Isaac 401k'!N4447,'Retirement Calculator'!A:A,0),0),0)</f>
        <v>0</v>
      </c>
      <c r="K4447" s="444">
        <f t="shared" ca="1" si="186"/>
        <v>-123929317178.93353</v>
      </c>
      <c r="L4447" s="444">
        <f t="shared" ca="1" si="187"/>
        <v>-29866965440122.984</v>
      </c>
      <c r="M4447" s="460">
        <f t="shared" si="189"/>
        <v>0.05</v>
      </c>
      <c r="N4447" s="464">
        <f t="shared" si="190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88"/>
        <v>-29866965440122.984</v>
      </c>
      <c r="J4448" s="444">
        <f t="array" ref="J4448">IFERROR(INDEX('Retirement Calculator'!J:J,MATCH('Isaac 401k'!N4448,'Retirement Calculator'!A:A,0),0),0)</f>
        <v>0</v>
      </c>
      <c r="K4448" s="444">
        <f t="shared" ca="1" si="186"/>
        <v>-124445689333.84578</v>
      </c>
      <c r="L4448" s="444">
        <f t="shared" ca="1" si="187"/>
        <v>-29991411129456.832</v>
      </c>
      <c r="M4448" s="460">
        <f t="shared" si="189"/>
        <v>0.05</v>
      </c>
      <c r="N4448" s="464">
        <f t="shared" si="190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88"/>
        <v>-29991411129456.832</v>
      </c>
      <c r="J4449" s="444">
        <f t="array" ref="J4449">IFERROR(INDEX('Retirement Calculator'!J:J,MATCH('Isaac 401k'!N4449,'Retirement Calculator'!A:A,0),0),0)</f>
        <v>0</v>
      </c>
      <c r="K4449" s="444">
        <f t="shared" ca="1" si="186"/>
        <v>-124964213039.40346</v>
      </c>
      <c r="L4449" s="444">
        <f t="shared" ca="1" si="187"/>
        <v>-30116375342496.234</v>
      </c>
      <c r="M4449" s="460">
        <f t="shared" si="189"/>
        <v>0.05</v>
      </c>
      <c r="N4449" s="464">
        <f t="shared" si="190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88"/>
        <v>-30116375342496.234</v>
      </c>
      <c r="J4450" s="444">
        <f t="array" ref="J4450">IFERROR(INDEX('Retirement Calculator'!J:J,MATCH('Isaac 401k'!N4450,'Retirement Calculator'!A:A,0),0),0)</f>
        <v>0</v>
      </c>
      <c r="K4450" s="444">
        <f t="shared" ca="1" si="186"/>
        <v>-125484897260.40097</v>
      </c>
      <c r="L4450" s="444">
        <f t="shared" ca="1" si="187"/>
        <v>-30241860239756.637</v>
      </c>
      <c r="M4450" s="460">
        <f t="shared" si="189"/>
        <v>0.05</v>
      </c>
      <c r="N4450" s="464">
        <f t="shared" si="190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88"/>
        <v>-30241860239756.637</v>
      </c>
      <c r="J4451" s="444">
        <f t="array" ref="J4451">IFERROR(INDEX('Retirement Calculator'!J:J,MATCH('Isaac 401k'!N4451,'Retirement Calculator'!A:A,0),0),0)</f>
        <v>0</v>
      </c>
      <c r="K4451" s="444">
        <f t="shared" ca="1" si="186"/>
        <v>-126007750998.98598</v>
      </c>
      <c r="L4451" s="444">
        <f t="shared" ca="1" si="187"/>
        <v>-30367867990755.621</v>
      </c>
      <c r="M4451" s="460">
        <f t="shared" si="189"/>
        <v>0.05</v>
      </c>
      <c r="N4451" s="464">
        <f t="shared" si="190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88"/>
        <v>-30367867990755.621</v>
      </c>
      <c r="J4452" s="444">
        <f t="array" ref="J4452">IFERROR(INDEX('Retirement Calculator'!J:J,MATCH('Isaac 401k'!N4452,'Retirement Calculator'!A:A,0),0),0)</f>
        <v>0</v>
      </c>
      <c r="K4452" s="444">
        <f t="shared" ca="1" si="186"/>
        <v>-126532783294.81511</v>
      </c>
      <c r="L4452" s="444">
        <f t="shared" ca="1" si="187"/>
        <v>-30494400774050.438</v>
      </c>
      <c r="M4452" s="460">
        <f t="shared" si="189"/>
        <v>0.05</v>
      </c>
      <c r="N4452" s="464">
        <f t="shared" si="190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88"/>
        <v>-30494400774050.438</v>
      </c>
      <c r="J4453" s="444">
        <f t="array" ref="J4453">IFERROR(INDEX('Retirement Calculator'!J:J,MATCH('Isaac 401k'!N4453,'Retirement Calculator'!A:A,0),0),0)</f>
        <v>0</v>
      </c>
      <c r="K4453" s="444">
        <f t="shared" ca="1" si="186"/>
        <v>-127060003225.21016</v>
      </c>
      <c r="L4453" s="444">
        <f t="shared" ca="1" si="187"/>
        <v>-30621460777275.648</v>
      </c>
      <c r="M4453" s="460">
        <f t="shared" si="189"/>
        <v>0.05</v>
      </c>
      <c r="N4453" s="464">
        <f t="shared" si="190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88"/>
        <v>-30621460777275.648</v>
      </c>
      <c r="J4454" s="444">
        <f t="array" ref="J4454">IFERROR(INDEX('Retirement Calculator'!J:J,MATCH('Isaac 401k'!N4454,'Retirement Calculator'!A:A,0),0),0)</f>
        <v>0</v>
      </c>
      <c r="K4454" s="444">
        <f t="shared" ca="1" si="186"/>
        <v>-127589419905.3152</v>
      </c>
      <c r="L4454" s="444">
        <f t="shared" ca="1" si="187"/>
        <v>-30749050197180.965</v>
      </c>
      <c r="M4454" s="460">
        <f t="shared" si="189"/>
        <v>0.05</v>
      </c>
      <c r="N4454" s="464">
        <f t="shared" si="190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88"/>
        <v>-30749050197180.965</v>
      </c>
      <c r="J4455" s="444">
        <f t="array" ref="J4455">IFERROR(INDEX('Retirement Calculator'!J:J,MATCH('Isaac 401k'!N4455,'Retirement Calculator'!A:A,0),0),0)</f>
        <v>0</v>
      </c>
      <c r="K4455" s="444">
        <f t="shared" ca="1" si="186"/>
        <v>-128121042488.25403</v>
      </c>
      <c r="L4455" s="444">
        <f t="shared" ca="1" si="187"/>
        <v>-30877171239669.219</v>
      </c>
      <c r="M4455" s="460">
        <f t="shared" si="189"/>
        <v>0.05</v>
      </c>
      <c r="N4455" s="464">
        <f t="shared" si="190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88"/>
        <v>-30877171239669.219</v>
      </c>
      <c r="J4456" s="444">
        <f t="array" ref="J4456">IFERROR(INDEX('Retirement Calculator'!J:J,MATCH('Isaac 401k'!N4456,'Retirement Calculator'!A:A,0),0),0)</f>
        <v>0</v>
      </c>
      <c r="K4456" s="444">
        <f t="shared" ca="1" si="186"/>
        <v>-128654880165.28841</v>
      </c>
      <c r="L4456" s="444">
        <f t="shared" ca="1" si="187"/>
        <v>-31005826119834.508</v>
      </c>
      <c r="M4456" s="460">
        <f t="shared" si="189"/>
        <v>0.05</v>
      </c>
      <c r="N4456" s="464">
        <f t="shared" si="190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88"/>
        <v>-31005826119834.508</v>
      </c>
      <c r="J4457" s="444">
        <f t="array" ref="J4457">IFERROR(INDEX('Retirement Calculator'!J:J,MATCH('Isaac 401k'!N4457,'Retirement Calculator'!A:A,0),0),0)</f>
        <v>0</v>
      </c>
      <c r="K4457" s="444">
        <f t="shared" ca="1" si="186"/>
        <v>-129190942165.97711</v>
      </c>
      <c r="L4457" s="444">
        <f t="shared" ca="1" si="187"/>
        <v>-31135017062000.484</v>
      </c>
      <c r="M4457" s="460">
        <f t="shared" si="189"/>
        <v>0.05</v>
      </c>
      <c r="N4457" s="464">
        <f t="shared" si="190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88"/>
        <v>-31135017062000.484</v>
      </c>
      <c r="J4458" s="444">
        <f t="array" ref="J4458">IFERROR(INDEX('Retirement Calculator'!J:J,MATCH('Isaac 401k'!N4458,'Retirement Calculator'!A:A,0),0),0)</f>
        <v>0</v>
      </c>
      <c r="K4458" s="444">
        <f t="shared" ca="1" si="186"/>
        <v>-129729237758.33534</v>
      </c>
      <c r="L4458" s="444">
        <f t="shared" ca="1" si="187"/>
        <v>-31264746299758.82</v>
      </c>
      <c r="M4458" s="460">
        <f t="shared" si="189"/>
        <v>0.05</v>
      </c>
      <c r="N4458" s="464">
        <f t="shared" si="190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88"/>
        <v>-31264746299758.82</v>
      </c>
      <c r="J4459" s="444">
        <f t="array" ref="J4459">IFERROR(INDEX('Retirement Calculator'!J:J,MATCH('Isaac 401k'!N4459,'Retirement Calculator'!A:A,0),0),0)</f>
        <v>0</v>
      </c>
      <c r="K4459" s="444">
        <f t="shared" ca="1" si="186"/>
        <v>-130269776248.99509</v>
      </c>
      <c r="L4459" s="444">
        <f t="shared" ca="1" si="187"/>
        <v>-31395016076007.816</v>
      </c>
      <c r="M4459" s="460">
        <f t="shared" si="189"/>
        <v>0.05</v>
      </c>
      <c r="N4459" s="464">
        <f t="shared" si="190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88"/>
        <v>-31395016076007.816</v>
      </c>
      <c r="J4460" s="444">
        <f t="array" ref="J4460">IFERROR(INDEX('Retirement Calculator'!J:J,MATCH('Isaac 401k'!N4460,'Retirement Calculator'!A:A,0),0),0)</f>
        <v>0</v>
      </c>
      <c r="K4460" s="444">
        <f t="shared" ca="1" si="186"/>
        <v>-130812566983.36591</v>
      </c>
      <c r="L4460" s="444">
        <f t="shared" ca="1" si="187"/>
        <v>-31525828642991.184</v>
      </c>
      <c r="M4460" s="460">
        <f t="shared" si="189"/>
        <v>0.05</v>
      </c>
      <c r="N4460" s="464">
        <f t="shared" si="190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88"/>
        <v>-31525828642991.184</v>
      </c>
      <c r="J4461" s="444">
        <f t="array" ref="J4461">IFERROR(INDEX('Retirement Calculator'!J:J,MATCH('Isaac 401k'!N4461,'Retirement Calculator'!A:A,0),0),0)</f>
        <v>0</v>
      </c>
      <c r="K4461" s="444">
        <f t="shared" ca="1" si="186"/>
        <v>-131357619345.7966</v>
      </c>
      <c r="L4461" s="444">
        <f t="shared" ca="1" si="187"/>
        <v>-31657186262336.98</v>
      </c>
      <c r="M4461" s="460">
        <f t="shared" si="189"/>
        <v>0.05</v>
      </c>
      <c r="N4461" s="464">
        <f t="shared" si="190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88"/>
        <v>-31657186262336.98</v>
      </c>
      <c r="J4462" s="444">
        <f t="array" ref="J4462">IFERROR(INDEX('Retirement Calculator'!J:J,MATCH('Isaac 401k'!N4462,'Retirement Calculator'!A:A,0),0),0)</f>
        <v>0</v>
      </c>
      <c r="K4462" s="444">
        <f t="shared" ca="1" si="186"/>
        <v>-131904942759.73741</v>
      </c>
      <c r="L4462" s="444">
        <f t="shared" ca="1" si="187"/>
        <v>-31789091205096.719</v>
      </c>
      <c r="M4462" s="460">
        <f t="shared" si="189"/>
        <v>0.05</v>
      </c>
      <c r="N4462" s="464">
        <f t="shared" si="190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88"/>
        <v>-31789091205096.719</v>
      </c>
      <c r="J4463" s="444">
        <f t="array" ref="J4463">IFERROR(INDEX('Retirement Calculator'!J:J,MATCH('Isaac 401k'!N4463,'Retirement Calculator'!A:A,0),0),0)</f>
        <v>0</v>
      </c>
      <c r="K4463" s="444">
        <f t="shared" ca="1" si="186"/>
        <v>-132454546687.903</v>
      </c>
      <c r="L4463" s="444">
        <f t="shared" ca="1" si="187"/>
        <v>-31921545751784.621</v>
      </c>
      <c r="M4463" s="460">
        <f t="shared" si="189"/>
        <v>0.05</v>
      </c>
      <c r="N4463" s="464">
        <f t="shared" si="190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88"/>
        <v>-31921545751784.621</v>
      </c>
      <c r="J4464" s="444">
        <f t="array" ref="J4464">IFERROR(INDEX('Retirement Calculator'!J:J,MATCH('Isaac 401k'!N4464,'Retirement Calculator'!A:A,0),0),0)</f>
        <v>0</v>
      </c>
      <c r="K4464" s="444">
        <f t="shared" ca="1" si="186"/>
        <v>-133006440632.43593</v>
      </c>
      <c r="L4464" s="444">
        <f t="shared" ca="1" si="187"/>
        <v>-32054552192417.059</v>
      </c>
      <c r="M4464" s="460">
        <f t="shared" si="189"/>
        <v>0.05</v>
      </c>
      <c r="N4464" s="464">
        <f t="shared" si="190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88"/>
        <v>-32054552192417.059</v>
      </c>
      <c r="J4465" s="444">
        <f t="array" ref="J4465">IFERROR(INDEX('Retirement Calculator'!J:J,MATCH('Isaac 401k'!N4465,'Retirement Calculator'!A:A,0),0),0)</f>
        <v>0</v>
      </c>
      <c r="K4465" s="444">
        <f t="shared" ca="1" si="186"/>
        <v>-133560634135.07108</v>
      </c>
      <c r="L4465" s="444">
        <f t="shared" ca="1" si="187"/>
        <v>-32188112826552.129</v>
      </c>
      <c r="M4465" s="460">
        <f t="shared" si="189"/>
        <v>0.05</v>
      </c>
      <c r="N4465" s="464">
        <f t="shared" si="190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88"/>
        <v>-32188112826552.129</v>
      </c>
      <c r="J4466" s="444">
        <f t="array" ref="J4466">IFERROR(INDEX('Retirement Calculator'!J:J,MATCH('Isaac 401k'!N4466,'Retirement Calculator'!A:A,0),0),0)</f>
        <v>0</v>
      </c>
      <c r="K4466" s="444">
        <f t="shared" ca="1" si="186"/>
        <v>-134117136777.30054</v>
      </c>
      <c r="L4466" s="444">
        <f t="shared" ca="1" si="187"/>
        <v>-32322229963329.43</v>
      </c>
      <c r="M4466" s="460">
        <f t="shared" si="189"/>
        <v>0.05</v>
      </c>
      <c r="N4466" s="464">
        <f t="shared" si="190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88"/>
        <v>-32322229963329.43</v>
      </c>
      <c r="J4467" s="444">
        <f t="array" ref="J4467">IFERROR(INDEX('Retirement Calculator'!J:J,MATCH('Isaac 401k'!N4467,'Retirement Calculator'!A:A,0),0),0)</f>
        <v>0</v>
      </c>
      <c r="K4467" s="444">
        <f t="shared" ca="1" si="186"/>
        <v>-134675958180.53929</v>
      </c>
      <c r="L4467" s="444">
        <f t="shared" ca="1" si="187"/>
        <v>-32456905921509.969</v>
      </c>
      <c r="M4467" s="460">
        <f t="shared" si="189"/>
        <v>0.05</v>
      </c>
      <c r="N4467" s="464">
        <f t="shared" si="190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88"/>
        <v>-32456905921509.969</v>
      </c>
      <c r="J4468" s="444">
        <f t="array" ref="J4468">IFERROR(INDEX('Retirement Calculator'!J:J,MATCH('Isaac 401k'!N4468,'Retirement Calculator'!A:A,0),0),0)</f>
        <v>0</v>
      </c>
      <c r="K4468" s="444">
        <f t="shared" ca="1" si="186"/>
        <v>-135237108006.29153</v>
      </c>
      <c r="L4468" s="444">
        <f t="shared" ca="1" si="187"/>
        <v>-32592143029516.262</v>
      </c>
      <c r="M4468" s="460">
        <f t="shared" si="189"/>
        <v>0.05</v>
      </c>
      <c r="N4468" s="464">
        <f t="shared" si="190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88"/>
        <v>-32592143029516.262</v>
      </c>
      <c r="J4469" s="444">
        <f t="array" ref="J4469">IFERROR(INDEX('Retirement Calculator'!J:J,MATCH('Isaac 401k'!N4469,'Retirement Calculator'!A:A,0),0),0)</f>
        <v>0</v>
      </c>
      <c r="K4469" s="444">
        <f t="shared" ca="1" si="186"/>
        <v>-135800595956.31775</v>
      </c>
      <c r="L4469" s="444">
        <f t="shared" ca="1" si="187"/>
        <v>-32727943625472.578</v>
      </c>
      <c r="M4469" s="460">
        <f t="shared" si="189"/>
        <v>0.05</v>
      </c>
      <c r="N4469" s="464">
        <f t="shared" si="190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88"/>
        <v>-32727943625472.578</v>
      </c>
      <c r="J4470" s="444">
        <f t="array" ref="J4470">IFERROR(INDEX('Retirement Calculator'!J:J,MATCH('Isaac 401k'!N4470,'Retirement Calculator'!A:A,0),0),0)</f>
        <v>0</v>
      </c>
      <c r="K4470" s="444">
        <f t="shared" ca="1" si="186"/>
        <v>-136366431772.80238</v>
      </c>
      <c r="L4470" s="444">
        <f t="shared" ca="1" si="187"/>
        <v>-32864310057245.379</v>
      </c>
      <c r="M4470" s="460">
        <f t="shared" si="189"/>
        <v>0.05</v>
      </c>
      <c r="N4470" s="464">
        <f t="shared" si="190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88"/>
        <v>-32864310057245.379</v>
      </c>
      <c r="J4471" s="444">
        <f t="array" ref="J4471">IFERROR(INDEX('Retirement Calculator'!J:J,MATCH('Isaac 401k'!N4471,'Retirement Calculator'!A:A,0),0),0)</f>
        <v>0</v>
      </c>
      <c r="K4471" s="444">
        <f t="shared" ca="1" si="186"/>
        <v>-136934625238.52242</v>
      </c>
      <c r="L4471" s="444">
        <f t="shared" ca="1" si="187"/>
        <v>-33001244682483.902</v>
      </c>
      <c r="M4471" s="460">
        <f t="shared" si="189"/>
        <v>0.05</v>
      </c>
      <c r="N4471" s="464">
        <f t="shared" si="190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88"/>
        <v>-33001244682483.902</v>
      </c>
      <c r="J4472" s="444">
        <f t="array" ref="J4472">IFERROR(INDEX('Retirement Calculator'!J:J,MATCH('Isaac 401k'!N4472,'Retirement Calculator'!A:A,0),0),0)</f>
        <v>0</v>
      </c>
      <c r="K4472" s="444">
        <f t="shared" ca="1" si="186"/>
        <v>-137505186177.01627</v>
      </c>
      <c r="L4472" s="444">
        <f t="shared" ca="1" si="187"/>
        <v>-33138749868660.918</v>
      </c>
      <c r="M4472" s="460">
        <f t="shared" si="189"/>
        <v>0.05</v>
      </c>
      <c r="N4472" s="464">
        <f t="shared" si="190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88"/>
        <v>-33138749868660.918</v>
      </c>
      <c r="J4473" s="444">
        <f t="array" ref="J4473">IFERROR(INDEX('Retirement Calculator'!J:J,MATCH('Isaac 401k'!N4473,'Retirement Calculator'!A:A,0),0),0)</f>
        <v>0</v>
      </c>
      <c r="K4473" s="444">
        <f t="shared" ca="1" si="186"/>
        <v>-138078124452.75381</v>
      </c>
      <c r="L4473" s="444">
        <f t="shared" ca="1" si="187"/>
        <v>-33276827993113.672</v>
      </c>
      <c r="M4473" s="460">
        <f t="shared" si="189"/>
        <v>0.05</v>
      </c>
      <c r="N4473" s="464">
        <f t="shared" si="190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88"/>
        <v>-33276827993113.672</v>
      </c>
      <c r="J4474" s="444">
        <f t="array" ref="J4474">IFERROR(INDEX('Retirement Calculator'!J:J,MATCH('Isaac 401k'!N4474,'Retirement Calculator'!A:A,0),0),0)</f>
        <v>0</v>
      </c>
      <c r="K4474" s="444">
        <f t="shared" ca="1" si="186"/>
        <v>-138653449971.30698</v>
      </c>
      <c r="L4474" s="444">
        <f t="shared" ca="1" si="187"/>
        <v>-33415481443084.98</v>
      </c>
      <c r="M4474" s="460">
        <f t="shared" si="189"/>
        <v>0.05</v>
      </c>
      <c r="N4474" s="464">
        <f t="shared" si="190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88"/>
        <v>-33415481443084.98</v>
      </c>
      <c r="J4475" s="444">
        <f t="array" ref="J4475">IFERROR(INDEX('Retirement Calculator'!J:J,MATCH('Isaac 401k'!N4475,'Retirement Calculator'!A:A,0),0),0)</f>
        <v>0</v>
      </c>
      <c r="K4475" s="444">
        <f t="shared" ca="1" si="186"/>
        <v>-139231172679.52075</v>
      </c>
      <c r="L4475" s="444">
        <f t="shared" ca="1" si="187"/>
        <v>-33554712615764.5</v>
      </c>
      <c r="M4475" s="460">
        <f t="shared" si="189"/>
        <v>0.05</v>
      </c>
      <c r="N4475" s="464">
        <f t="shared" si="190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88"/>
        <v>-33554712615764.5</v>
      </c>
      <c r="J4476" s="444">
        <f t="array" ref="J4476">IFERROR(INDEX('Retirement Calculator'!J:J,MATCH('Isaac 401k'!N4476,'Retirement Calculator'!A:A,0),0),0)</f>
        <v>0</v>
      </c>
      <c r="K4476" s="444">
        <f t="shared" ca="1" si="186"/>
        <v>-139811302565.68542</v>
      </c>
      <c r="L4476" s="444">
        <f t="shared" ca="1" si="187"/>
        <v>-33694523918330.184</v>
      </c>
      <c r="M4476" s="460">
        <f t="shared" si="189"/>
        <v>0.05</v>
      </c>
      <c r="N4476" s="464">
        <f t="shared" si="190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88"/>
        <v>-33694523918330.184</v>
      </c>
      <c r="J4477" s="444">
        <f t="array" ref="J4477">IFERROR(INDEX('Retirement Calculator'!J:J,MATCH('Isaac 401k'!N4477,'Retirement Calculator'!A:A,0),0),0)</f>
        <v>0</v>
      </c>
      <c r="K4477" s="444">
        <f t="shared" ca="1" si="186"/>
        <v>-140393849659.70911</v>
      </c>
      <c r="L4477" s="444">
        <f t="shared" ca="1" si="187"/>
        <v>-33834917767989.895</v>
      </c>
      <c r="M4477" s="460">
        <f t="shared" si="189"/>
        <v>0.05</v>
      </c>
      <c r="N4477" s="464">
        <f t="shared" si="190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88"/>
        <v>-33834917767989.895</v>
      </c>
      <c r="J4478" s="444">
        <f t="array" ref="J4478">IFERROR(INDEX('Retirement Calculator'!J:J,MATCH('Isaac 401k'!N4478,'Retirement Calculator'!A:A,0),0),0)</f>
        <v>0</v>
      </c>
      <c r="K4478" s="444">
        <f t="shared" ca="1" si="186"/>
        <v>-140978824033.2912</v>
      </c>
      <c r="L4478" s="444">
        <f t="shared" ca="1" si="187"/>
        <v>-33975896592023.188</v>
      </c>
      <c r="M4478" s="460">
        <f t="shared" si="189"/>
        <v>0.05</v>
      </c>
      <c r="N4478" s="464">
        <f t="shared" si="190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88"/>
        <v>-33975896592023.188</v>
      </c>
      <c r="J4479" s="444">
        <f t="array" ref="J4479">IFERROR(INDEX('Retirement Calculator'!J:J,MATCH('Isaac 401k'!N4479,'Retirement Calculator'!A:A,0),0),0)</f>
        <v>0</v>
      </c>
      <c r="K4479" s="444">
        <f t="shared" ca="1" si="186"/>
        <v>-141566235800.09659</v>
      </c>
      <c r="L4479" s="444">
        <f t="shared" ca="1" si="187"/>
        <v>-34117462827823.285</v>
      </c>
      <c r="M4479" s="460">
        <f t="shared" si="189"/>
        <v>0.05</v>
      </c>
      <c r="N4479" s="464">
        <f t="shared" si="190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88"/>
        <v>-34117462827823.285</v>
      </c>
      <c r="J4480" s="444">
        <f t="array" ref="J4480">IFERROR(INDEX('Retirement Calculator'!J:J,MATCH('Isaac 401k'!N4480,'Retirement Calculator'!A:A,0),0),0)</f>
        <v>0</v>
      </c>
      <c r="K4480" s="444">
        <f t="shared" ca="1" si="186"/>
        <v>-142156095115.93033</v>
      </c>
      <c r="L4480" s="444">
        <f t="shared" ca="1" si="187"/>
        <v>-34259618922939.215</v>
      </c>
      <c r="M4480" s="460">
        <f t="shared" si="189"/>
        <v>0.05</v>
      </c>
      <c r="N4480" s="464">
        <f t="shared" si="190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88"/>
        <v>-34259618922939.215</v>
      </c>
      <c r="J4481" s="444">
        <f t="array" ref="J4481">IFERROR(INDEX('Retirement Calculator'!J:J,MATCH('Isaac 401k'!N4481,'Retirement Calculator'!A:A,0),0),0)</f>
        <v>0</v>
      </c>
      <c r="K4481" s="444">
        <f t="shared" ca="1" si="186"/>
        <v>-142748412178.91339</v>
      </c>
      <c r="L4481" s="444">
        <f t="shared" ca="1" si="187"/>
        <v>-34402367335118.129</v>
      </c>
      <c r="M4481" s="460">
        <f t="shared" si="189"/>
        <v>0.05</v>
      </c>
      <c r="N4481" s="464">
        <f t="shared" si="190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88"/>
        <v>-34402367335118.129</v>
      </c>
      <c r="J4482" s="444">
        <f t="array" ref="J4482">IFERROR(INDEX('Retirement Calculator'!J:J,MATCH('Isaac 401k'!N4482,'Retirement Calculator'!A:A,0),0),0)</f>
        <v>0</v>
      </c>
      <c r="K4482" s="444">
        <f t="shared" ca="1" si="186"/>
        <v>-143343197229.65887</v>
      </c>
      <c r="L4482" s="444">
        <f t="shared" ca="1" si="187"/>
        <v>-34545710532347.789</v>
      </c>
      <c r="M4482" s="460">
        <f t="shared" si="189"/>
        <v>0.05</v>
      </c>
      <c r="N4482" s="464">
        <f t="shared" si="190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88"/>
        <v>-34545710532347.789</v>
      </c>
      <c r="J4483" s="444">
        <f t="array" ref="J4483">IFERROR(INDEX('Retirement Calculator'!J:J,MATCH('Isaac 401k'!N4483,'Retirement Calculator'!A:A,0),0),0)</f>
        <v>0</v>
      </c>
      <c r="K4483" s="444">
        <f t="shared" ca="1" si="186"/>
        <v>-143940460551.44913</v>
      </c>
      <c r="L4483" s="444">
        <f t="shared" ca="1" si="187"/>
        <v>-34689650992899.238</v>
      </c>
      <c r="M4483" s="460">
        <f t="shared" si="189"/>
        <v>0.05</v>
      </c>
      <c r="N4483" s="464">
        <f t="shared" si="190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88"/>
        <v>-34689650992899.238</v>
      </c>
      <c r="J4484" s="444">
        <f t="array" ref="J4484">IFERROR(INDEX('Retirement Calculator'!J:J,MATCH('Isaac 401k'!N4484,'Retirement Calculator'!A:A,0),0),0)</f>
        <v>0</v>
      </c>
      <c r="K4484" s="444">
        <f t="shared" ca="1" si="186"/>
        <v>-144540212470.41348</v>
      </c>
      <c r="L4484" s="444">
        <f t="shared" ca="1" si="187"/>
        <v>-34834191205369.652</v>
      </c>
      <c r="M4484" s="460">
        <f t="shared" si="189"/>
        <v>0.05</v>
      </c>
      <c r="N4484" s="464">
        <f t="shared" si="190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88"/>
        <v>-34834191205369.652</v>
      </c>
      <c r="J4485" s="444">
        <f t="array" ref="J4485">IFERROR(INDEX('Retirement Calculator'!J:J,MATCH('Isaac 401k'!N4485,'Retirement Calculator'!A:A,0),0),0)</f>
        <v>0</v>
      </c>
      <c r="K4485" s="444">
        <f t="shared" ca="1" si="186"/>
        <v>-145142463355.70691</v>
      </c>
      <c r="L4485" s="444">
        <f t="shared" ca="1" si="187"/>
        <v>-34979333668725.359</v>
      </c>
      <c r="M4485" s="460">
        <f t="shared" si="189"/>
        <v>0.05</v>
      </c>
      <c r="N4485" s="464">
        <f t="shared" si="190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88"/>
        <v>-34979333668725.359</v>
      </c>
      <c r="J4486" s="444">
        <f t="array" ref="J4486">IFERROR(INDEX('Retirement Calculator'!J:J,MATCH('Isaac 401k'!N4486,'Retirement Calculator'!A:A,0),0),0)</f>
        <v>0</v>
      </c>
      <c r="K4486" s="444">
        <f t="shared" ca="1" si="186"/>
        <v>-145747223619.689</v>
      </c>
      <c r="L4486" s="444">
        <f t="shared" ca="1" si="187"/>
        <v>-35125080892345.047</v>
      </c>
      <c r="M4486" s="460">
        <f t="shared" si="189"/>
        <v>0.05</v>
      </c>
      <c r="N4486" s="464">
        <f t="shared" si="190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88"/>
        <v>-35125080892345.047</v>
      </c>
      <c r="J4487" s="444">
        <f t="array" ref="J4487">IFERROR(INDEX('Retirement Calculator'!J:J,MATCH('Isaac 401k'!N4487,'Retirement Calculator'!A:A,0),0),0)</f>
        <v>0</v>
      </c>
      <c r="K4487" s="444">
        <f t="shared" ca="1" si="186"/>
        <v>-146354503718.10437</v>
      </c>
      <c r="L4487" s="444">
        <f t="shared" ca="1" si="187"/>
        <v>-35271435396063.148</v>
      </c>
      <c r="M4487" s="460">
        <f t="shared" si="189"/>
        <v>0.05</v>
      </c>
      <c r="N4487" s="464">
        <f t="shared" si="190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88"/>
        <v>-35271435396063.148</v>
      </c>
      <c r="J4488" s="444">
        <f t="array" ref="J4488">IFERROR(INDEX('Retirement Calculator'!J:J,MATCH('Isaac 401k'!N4488,'Retirement Calculator'!A:A,0),0),0)</f>
        <v>0</v>
      </c>
      <c r="K4488" s="444">
        <f t="shared" ca="1" si="186"/>
        <v>-146964314150.26312</v>
      </c>
      <c r="L4488" s="444">
        <f t="shared" ca="1" si="187"/>
        <v>-35418399710213.414</v>
      </c>
      <c r="M4488" s="460">
        <f t="shared" si="189"/>
        <v>0.05</v>
      </c>
      <c r="N4488" s="464">
        <f t="shared" si="190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88"/>
        <v>-35418399710213.414</v>
      </c>
      <c r="J4489" s="444">
        <f t="array" ref="J4489">IFERROR(INDEX('Retirement Calculator'!J:J,MATCH('Isaac 401k'!N4489,'Retirement Calculator'!A:A,0),0),0)</f>
        <v>0</v>
      </c>
      <c r="K4489" s="444">
        <f t="shared" ca="1" si="186"/>
        <v>-147576665459.22256</v>
      </c>
      <c r="L4489" s="444">
        <f t="shared" ca="1" si="187"/>
        <v>-35565976375672.633</v>
      </c>
      <c r="M4489" s="460">
        <f t="shared" si="189"/>
        <v>0.05</v>
      </c>
      <c r="N4489" s="464">
        <f t="shared" si="190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88"/>
        <v>-35565976375672.633</v>
      </c>
      <c r="J4490" s="444">
        <f t="array" ref="J4490">IFERROR(INDEX('Retirement Calculator'!J:J,MATCH('Isaac 401k'!N4490,'Retirement Calculator'!A:A,0),0),0)</f>
        <v>0</v>
      </c>
      <c r="K4490" s="444">
        <f t="shared" ca="1" si="186"/>
        <v>-148191568231.9693</v>
      </c>
      <c r="L4490" s="444">
        <f t="shared" ca="1" si="187"/>
        <v>-35714167943904.602</v>
      </c>
      <c r="M4490" s="460">
        <f t="shared" si="189"/>
        <v>0.05</v>
      </c>
      <c r="N4490" s="464">
        <f t="shared" si="190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88"/>
        <v>-35714167943904.602</v>
      </c>
      <c r="J4491" s="444">
        <f t="array" ref="J4491">IFERROR(INDEX('Retirement Calculator'!J:J,MATCH('Isaac 401k'!N4491,'Retirement Calculator'!A:A,0),0),0)</f>
        <v>0</v>
      </c>
      <c r="K4491" s="444">
        <f t="shared" ca="1" si="186"/>
        <v>-148809033099.60251</v>
      </c>
      <c r="L4491" s="444">
        <f t="shared" ca="1" si="187"/>
        <v>-35862976977004.203</v>
      </c>
      <c r="M4491" s="460">
        <f t="shared" si="189"/>
        <v>0.05</v>
      </c>
      <c r="N4491" s="464">
        <f t="shared" si="190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88"/>
        <v>-35862976977004.203</v>
      </c>
      <c r="J4492" s="444">
        <f t="array" ref="J4492">IFERROR(INDEX('Retirement Calculator'!J:J,MATCH('Isaac 401k'!N4492,'Retirement Calculator'!A:A,0),0),0)</f>
        <v>0</v>
      </c>
      <c r="K4492" s="444">
        <f t="shared" ca="1" si="186"/>
        <v>-149429070737.51752</v>
      </c>
      <c r="L4492" s="444">
        <f t="shared" ca="1" si="187"/>
        <v>-36012406047741.719</v>
      </c>
      <c r="M4492" s="460">
        <f t="shared" si="189"/>
        <v>0.05</v>
      </c>
      <c r="N4492" s="464">
        <f t="shared" si="190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88"/>
        <v>-36012406047741.719</v>
      </c>
      <c r="J4493" s="444">
        <f t="array" ref="J4493">IFERROR(INDEX('Retirement Calculator'!J:J,MATCH('Isaac 401k'!N4493,'Retirement Calculator'!A:A,0),0),0)</f>
        <v>0</v>
      </c>
      <c r="K4493" s="444">
        <f t="shared" ca="1" si="186"/>
        <v>-150051691865.59048</v>
      </c>
      <c r="L4493" s="444">
        <f t="shared" ca="1" si="187"/>
        <v>-36162457739607.313</v>
      </c>
      <c r="M4493" s="460">
        <f t="shared" si="189"/>
        <v>0.05</v>
      </c>
      <c r="N4493" s="464">
        <f t="shared" si="190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88"/>
        <v>-36162457739607.313</v>
      </c>
      <c r="J4494" s="444">
        <f t="array" ref="J4494">IFERROR(INDEX('Retirement Calculator'!J:J,MATCH('Isaac 401k'!N4494,'Retirement Calculator'!A:A,0),0),0)</f>
        <v>0</v>
      </c>
      <c r="K4494" s="444">
        <f t="shared" ca="1" si="186"/>
        <v>-150676907248.3638</v>
      </c>
      <c r="L4494" s="444">
        <f t="shared" ca="1" si="187"/>
        <v>-36313134646855.68</v>
      </c>
      <c r="M4494" s="460">
        <f t="shared" si="189"/>
        <v>0.05</v>
      </c>
      <c r="N4494" s="464">
        <f t="shared" si="190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88"/>
        <v>-36313134646855.68</v>
      </c>
      <c r="J4495" s="444">
        <f t="array" ref="J4495">IFERROR(INDEX('Retirement Calculator'!J:J,MATCH('Isaac 401k'!N4495,'Retirement Calculator'!A:A,0),0),0)</f>
        <v>0</v>
      </c>
      <c r="K4495" s="444">
        <f t="shared" ca="1" si="186"/>
        <v>-151304727695.23199</v>
      </c>
      <c r="L4495" s="444">
        <f t="shared" ca="1" si="187"/>
        <v>-36464439374550.914</v>
      </c>
      <c r="M4495" s="460">
        <f t="shared" si="189"/>
        <v>0.05</v>
      </c>
      <c r="N4495" s="464">
        <f t="shared" si="190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88"/>
        <v>-36464439374550.914</v>
      </c>
      <c r="J4496" s="444">
        <f t="array" ref="J4496">IFERROR(INDEX('Retirement Calculator'!J:J,MATCH('Isaac 401k'!N4496,'Retirement Calculator'!A:A,0),0),0)</f>
        <v>0</v>
      </c>
      <c r="K4496" s="444">
        <f t="shared" ca="1" si="186"/>
        <v>-151935164060.62881</v>
      </c>
      <c r="L4496" s="444">
        <f t="shared" ca="1" si="187"/>
        <v>-36616374538611.539</v>
      </c>
      <c r="M4496" s="460">
        <f t="shared" si="189"/>
        <v>0.05</v>
      </c>
      <c r="N4496" s="464">
        <f t="shared" si="190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88"/>
        <v>-36616374538611.539</v>
      </c>
      <c r="J4497" s="444">
        <f t="array" ref="J4497">IFERROR(INDEX('Retirement Calculator'!J:J,MATCH('Isaac 401k'!N4497,'Retirement Calculator'!A:A,0),0),0)</f>
        <v>0</v>
      </c>
      <c r="K4497" s="444">
        <f t="shared" ca="1" si="186"/>
        <v>-152568227244.21475</v>
      </c>
      <c r="L4497" s="444">
        <f t="shared" ca="1" si="187"/>
        <v>-36768942765855.75</v>
      </c>
      <c r="M4497" s="460">
        <f t="shared" si="189"/>
        <v>0.05</v>
      </c>
      <c r="N4497" s="464">
        <f t="shared" si="190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88"/>
        <v>-36768942765855.75</v>
      </c>
      <c r="J4498" s="444">
        <f t="array" ref="J4498">IFERROR(INDEX('Retirement Calculator'!J:J,MATCH('Isaac 401k'!N4498,'Retirement Calculator'!A:A,0),0),0)</f>
        <v>0</v>
      </c>
      <c r="K4498" s="444">
        <f t="shared" ca="1" si="186"/>
        <v>-153203928191.06561</v>
      </c>
      <c r="L4498" s="444">
        <f t="shared" ca="1" si="187"/>
        <v>-36922146694046.813</v>
      </c>
      <c r="M4498" s="460">
        <f t="shared" si="189"/>
        <v>0.05</v>
      </c>
      <c r="N4498" s="464">
        <f t="shared" si="190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88"/>
        <v>-36922146694046.813</v>
      </c>
      <c r="J4499" s="444">
        <f t="array" ref="J4499">IFERROR(INDEX('Retirement Calculator'!J:J,MATCH('Isaac 401k'!N4499,'Retirement Calculator'!A:A,0),0),0)</f>
        <v>0</v>
      </c>
      <c r="K4499" s="444">
        <f t="shared" ca="1" si="186"/>
        <v>-153842277891.86172</v>
      </c>
      <c r="L4499" s="444">
        <f t="shared" ca="1" si="187"/>
        <v>-37075988971938.672</v>
      </c>
      <c r="M4499" s="460">
        <f t="shared" si="189"/>
        <v>0.05</v>
      </c>
      <c r="N4499" s="464">
        <f t="shared" si="190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88"/>
        <v>-37075988971938.672</v>
      </c>
      <c r="J4500" s="444">
        <f t="array" ref="J4500">IFERROR(INDEX('Retirement Calculator'!J:J,MATCH('Isaac 401k'!N4500,'Retirement Calculator'!A:A,0),0),0)</f>
        <v>0</v>
      </c>
      <c r="K4500" s="444">
        <f t="shared" ca="1" si="186"/>
        <v>-154483287383.07779</v>
      </c>
      <c r="L4500" s="444">
        <f t="shared" ca="1" si="187"/>
        <v>-37230472259321.75</v>
      </c>
      <c r="M4500" s="460">
        <f t="shared" si="189"/>
        <v>0.05</v>
      </c>
      <c r="N4500" s="464">
        <f t="shared" si="190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88"/>
        <v>-37230472259321.75</v>
      </c>
      <c r="J4501" s="444">
        <f t="array" ref="J4501">IFERROR(INDEX('Retirement Calculator'!J:J,MATCH('Isaac 401k'!N4501,'Retirement Calculator'!A:A,0),0),0)</f>
        <v>0</v>
      </c>
      <c r="K4501" s="444">
        <f t="shared" ca="1" si="186"/>
        <v>-155126967747.17395</v>
      </c>
      <c r="L4501" s="444">
        <f t="shared" ca="1" si="187"/>
        <v>-37385599227068.922</v>
      </c>
      <c r="M4501" s="460">
        <f t="shared" si="189"/>
        <v>0.05</v>
      </c>
      <c r="N4501" s="464">
        <f t="shared" si="190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88"/>
        <v>-37385599227068.922</v>
      </c>
      <c r="J4502" s="444">
        <f t="array" ref="J4502">IFERROR(INDEX('Retirement Calculator'!J:J,MATCH('Isaac 401k'!N4502,'Retirement Calculator'!A:A,0),0),0)</f>
        <v>0</v>
      </c>
      <c r="K4502" s="444">
        <f t="shared" ca="1" si="186"/>
        <v>-155773330112.78717</v>
      </c>
      <c r="L4502" s="444">
        <f t="shared" ca="1" si="187"/>
        <v>-37541372557181.711</v>
      </c>
      <c r="M4502" s="460">
        <f t="shared" si="189"/>
        <v>0.05</v>
      </c>
      <c r="N4502" s="464">
        <f t="shared" si="190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88"/>
        <v>-37541372557181.711</v>
      </c>
      <c r="J4503" s="444">
        <f t="array" ref="J4503">IFERROR(INDEX('Retirement Calculator'!J:J,MATCH('Isaac 401k'!N4503,'Retirement Calculator'!A:A,0),0),0)</f>
        <v>0</v>
      </c>
      <c r="K4503" s="444">
        <f t="shared" ca="1" si="186"/>
        <v>-156422385654.9238</v>
      </c>
      <c r="L4503" s="444">
        <f t="shared" ca="1" si="187"/>
        <v>-37697794942836.633</v>
      </c>
      <c r="M4503" s="460">
        <f t="shared" si="189"/>
        <v>0.05</v>
      </c>
      <c r="N4503" s="464">
        <f t="shared" si="190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88"/>
        <v>-37697794942836.633</v>
      </c>
      <c r="J4504" s="444">
        <f t="array" ref="J4504">IFERROR(INDEX('Retirement Calculator'!J:J,MATCH('Isaac 401k'!N4504,'Retirement Calculator'!A:A,0),0),0)</f>
        <v>0</v>
      </c>
      <c r="K4504" s="444">
        <f t="shared" ca="1" si="186"/>
        <v>-157074145595.15265</v>
      </c>
      <c r="L4504" s="444">
        <f t="shared" ca="1" si="187"/>
        <v>-37854869088431.789</v>
      </c>
      <c r="M4504" s="460">
        <f t="shared" si="189"/>
        <v>0.05</v>
      </c>
      <c r="N4504" s="464">
        <f t="shared" si="190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88"/>
        <v>-37854869088431.789</v>
      </c>
      <c r="J4505" s="444">
        <f t="array" ref="J4505">IFERROR(INDEX('Retirement Calculator'!J:J,MATCH('Isaac 401k'!N4505,'Retirement Calculator'!A:A,0),0),0)</f>
        <v>0</v>
      </c>
      <c r="K4505" s="444">
        <f t="shared" ca="1" si="186"/>
        <v>-157728621201.79913</v>
      </c>
      <c r="L4505" s="444">
        <f t="shared" ca="1" si="187"/>
        <v>-38012597709633.586</v>
      </c>
      <c r="M4505" s="460">
        <f t="shared" si="189"/>
        <v>0.05</v>
      </c>
      <c r="N4505" s="464">
        <f t="shared" si="190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88"/>
        <v>-38012597709633.586</v>
      </c>
      <c r="J4506" s="444">
        <f t="array" ref="J4506">IFERROR(INDEX('Retirement Calculator'!J:J,MATCH('Isaac 401k'!N4506,'Retirement Calculator'!A:A,0),0),0)</f>
        <v>0</v>
      </c>
      <c r="K4506" s="444">
        <f t="shared" ca="1" si="186"/>
        <v>-158385823790.13995</v>
      </c>
      <c r="L4506" s="444">
        <f t="shared" ca="1" si="187"/>
        <v>-38170983533423.727</v>
      </c>
      <c r="M4506" s="460">
        <f t="shared" si="189"/>
        <v>0.05</v>
      </c>
      <c r="N4506" s="464">
        <f t="shared" si="190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88"/>
        <v>-38170983533423.727</v>
      </c>
      <c r="J4507" s="444">
        <f t="array" ref="J4507">IFERROR(INDEX('Retirement Calculator'!J:J,MATCH('Isaac 401k'!N4507,'Retirement Calculator'!A:A,0),0),0)</f>
        <v>0</v>
      </c>
      <c r="K4507" s="444">
        <f t="shared" ca="1" si="186"/>
        <v>-159045764722.59885</v>
      </c>
      <c r="L4507" s="444">
        <f t="shared" ca="1" si="187"/>
        <v>-38330029298146.328</v>
      </c>
      <c r="M4507" s="460">
        <f t="shared" si="189"/>
        <v>0.05</v>
      </c>
      <c r="N4507" s="464">
        <f t="shared" si="190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88"/>
        <v>-38330029298146.328</v>
      </c>
      <c r="J4508" s="444">
        <f t="array" ref="J4508">IFERROR(INDEX('Retirement Calculator'!J:J,MATCH('Isaac 401k'!N4508,'Retirement Calculator'!A:A,0),0),0)</f>
        <v>0</v>
      </c>
      <c r="K4508" s="444">
        <f t="shared" ca="1" si="186"/>
        <v>-159708455408.94302</v>
      </c>
      <c r="L4508" s="444">
        <f t="shared" ca="1" si="187"/>
        <v>-38489737753555.273</v>
      </c>
      <c r="M4508" s="460">
        <f t="shared" si="189"/>
        <v>0.05</v>
      </c>
      <c r="N4508" s="464">
        <f t="shared" si="190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88"/>
        <v>-38489737753555.273</v>
      </c>
      <c r="J4509" s="444">
        <f t="array" ref="J4509">IFERROR(INDEX('Retirement Calculator'!J:J,MATCH('Isaac 401k'!N4509,'Retirement Calculator'!A:A,0),0),0)</f>
        <v>0</v>
      </c>
      <c r="K4509" s="444">
        <f t="shared" ca="1" si="186"/>
        <v>-160373907306.48032</v>
      </c>
      <c r="L4509" s="444">
        <f t="shared" ca="1" si="187"/>
        <v>-38650111660861.75</v>
      </c>
      <c r="M4509" s="460">
        <f t="shared" si="189"/>
        <v>0.05</v>
      </c>
      <c r="N4509" s="464">
        <f t="shared" si="190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88"/>
        <v>-38650111660861.75</v>
      </c>
      <c r="J4510" s="444">
        <f t="array" ref="J4510">IFERROR(INDEX('Retirement Calculator'!J:J,MATCH('Isaac 401k'!N4510,'Retirement Calculator'!A:A,0),0),0)</f>
        <v>0</v>
      </c>
      <c r="K4510" s="444">
        <f t="shared" ca="1" si="186"/>
        <v>-161042131920.25729</v>
      </c>
      <c r="L4510" s="444">
        <f t="shared" ca="1" si="187"/>
        <v>-38811153792782.008</v>
      </c>
      <c r="M4510" s="460">
        <f t="shared" si="189"/>
        <v>0.05</v>
      </c>
      <c r="N4510" s="464">
        <f t="shared" si="190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88"/>
        <v>-38811153792782.008</v>
      </c>
      <c r="J4511" s="444">
        <f t="array" ref="J4511">IFERROR(INDEX('Retirement Calculator'!J:J,MATCH('Isaac 401k'!N4511,'Retirement Calculator'!A:A,0),0),0)</f>
        <v>0</v>
      </c>
      <c r="K4511" s="444">
        <f t="shared" ca="1" si="186"/>
        <v>-161713140803.25836</v>
      </c>
      <c r="L4511" s="444">
        <f t="shared" ca="1" si="187"/>
        <v>-38972866933585.266</v>
      </c>
      <c r="M4511" s="460">
        <f t="shared" si="189"/>
        <v>0.05</v>
      </c>
      <c r="N4511" s="464">
        <f t="shared" si="190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88"/>
        <v>-38972866933585.266</v>
      </c>
      <c r="J4512" s="444">
        <f t="array" ref="J4512">IFERROR(INDEX('Retirement Calculator'!J:J,MATCH('Isaac 401k'!N4512,'Retirement Calculator'!A:A,0),0),0)</f>
        <v>0</v>
      </c>
      <c r="K4512" s="444">
        <f t="shared" ca="1" si="186"/>
        <v>-162386945556.60529</v>
      </c>
      <c r="L4512" s="444">
        <f t="shared" ca="1" si="187"/>
        <v>-39135253879141.867</v>
      </c>
      <c r="M4512" s="460">
        <f t="shared" si="189"/>
        <v>0.05</v>
      </c>
      <c r="N4512" s="464">
        <f t="shared" si="190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88"/>
        <v>-39135253879141.867</v>
      </c>
      <c r="J4513" s="444">
        <f t="array" ref="J4513">IFERROR(INDEX('Retirement Calculator'!J:J,MATCH('Isaac 401k'!N4513,'Retirement Calculator'!A:A,0),0),0)</f>
        <v>0</v>
      </c>
      <c r="K4513" s="444">
        <f t="shared" ca="1" si="186"/>
        <v>-163063557829.75778</v>
      </c>
      <c r="L4513" s="444">
        <f t="shared" ca="1" si="187"/>
        <v>-39298317436971.625</v>
      </c>
      <c r="M4513" s="460">
        <f t="shared" si="189"/>
        <v>0.05</v>
      </c>
      <c r="N4513" s="464">
        <f t="shared" si="190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88"/>
        <v>-39298317436971.625</v>
      </c>
      <c r="J4514" s="444">
        <f t="array" ref="J4514">IFERROR(INDEX('Retirement Calculator'!J:J,MATCH('Isaac 401k'!N4514,'Retirement Calculator'!A:A,0),0),0)</f>
        <v>0</v>
      </c>
      <c r="K4514" s="444">
        <f t="shared" ca="1" si="186"/>
        <v>-163742989320.71509</v>
      </c>
      <c r="L4514" s="444">
        <f t="shared" ca="1" si="187"/>
        <v>-39462060426292.344</v>
      </c>
      <c r="M4514" s="460">
        <f t="shared" si="189"/>
        <v>0.05</v>
      </c>
      <c r="N4514" s="464">
        <f t="shared" si="190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88"/>
        <v>-39462060426292.344</v>
      </c>
      <c r="J4515" s="444">
        <f t="array" ref="J4515">IFERROR(INDEX('Retirement Calculator'!J:J,MATCH('Isaac 401k'!N4515,'Retirement Calculator'!A:A,0),0),0)</f>
        <v>0</v>
      </c>
      <c r="K4515" s="444">
        <f t="shared" ca="1" si="186"/>
        <v>-164425251776.21811</v>
      </c>
      <c r="L4515" s="444">
        <f t="shared" ca="1" si="187"/>
        <v>-39626485678068.563</v>
      </c>
      <c r="M4515" s="460">
        <f t="shared" si="189"/>
        <v>0.05</v>
      </c>
      <c r="N4515" s="464">
        <f t="shared" si="190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88"/>
        <v>-39626485678068.563</v>
      </c>
      <c r="J4516" s="444">
        <f t="array" ref="J4516">IFERROR(INDEX('Retirement Calculator'!J:J,MATCH('Isaac 401k'!N4516,'Retirement Calculator'!A:A,0),0),0)</f>
        <v>0</v>
      </c>
      <c r="K4516" s="444">
        <f t="shared" ca="1" si="186"/>
        <v>-165110356991.95233</v>
      </c>
      <c r="L4516" s="444">
        <f t="shared" ca="1" si="187"/>
        <v>-39791596035060.516</v>
      </c>
      <c r="M4516" s="460">
        <f t="shared" si="189"/>
        <v>0.05</v>
      </c>
      <c r="N4516" s="464">
        <f t="shared" si="190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88"/>
        <v>-39791596035060.516</v>
      </c>
      <c r="J4517" s="444">
        <f t="array" ref="J4517">IFERROR(INDEX('Retirement Calculator'!J:J,MATCH('Isaac 401k'!N4517,'Retirement Calculator'!A:A,0),0),0)</f>
        <v>0</v>
      </c>
      <c r="K4517" s="444">
        <f t="shared" ca="1" si="186"/>
        <v>-165798316812.75214</v>
      </c>
      <c r="L4517" s="444">
        <f t="shared" ca="1" si="187"/>
        <v>-39957394351873.266</v>
      </c>
      <c r="M4517" s="460">
        <f t="shared" si="189"/>
        <v>0.05</v>
      </c>
      <c r="N4517" s="464">
        <f t="shared" si="190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88"/>
        <v>-39957394351873.266</v>
      </c>
      <c r="J4518" s="444">
        <f t="array" ref="J4518">IFERROR(INDEX('Retirement Calculator'!J:J,MATCH('Isaac 401k'!N4518,'Retirement Calculator'!A:A,0),0),0)</f>
        <v>0</v>
      </c>
      <c r="K4518" s="444">
        <f t="shared" ca="1" si="186"/>
        <v>-166489143132.80527</v>
      </c>
      <c r="L4518" s="444">
        <f t="shared" ca="1" si="187"/>
        <v>-40123883495006.07</v>
      </c>
      <c r="M4518" s="460">
        <f t="shared" si="189"/>
        <v>0.05</v>
      </c>
      <c r="N4518" s="464">
        <f t="shared" si="190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88"/>
        <v>-40123883495006.07</v>
      </c>
      <c r="J4519" s="444">
        <f t="array" ref="J4519">IFERROR(INDEX('Retirement Calculator'!J:J,MATCH('Isaac 401k'!N4519,'Retirement Calculator'!A:A,0),0),0)</f>
        <v>0</v>
      </c>
      <c r="K4519" s="444">
        <f t="shared" ca="1" si="186"/>
        <v>-167182847895.85861</v>
      </c>
      <c r="L4519" s="444">
        <f t="shared" ca="1" si="187"/>
        <v>-40291066342901.93</v>
      </c>
      <c r="M4519" s="460">
        <f t="shared" si="189"/>
        <v>0.05</v>
      </c>
      <c r="N4519" s="464">
        <f t="shared" si="190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88"/>
        <v>-40291066342901.93</v>
      </c>
      <c r="J4520" s="444">
        <f t="array" ref="J4520">IFERROR(INDEX('Retirement Calculator'!J:J,MATCH('Isaac 401k'!N4520,'Retirement Calculator'!A:A,0),0),0)</f>
        <v>0</v>
      </c>
      <c r="K4520" s="444">
        <f t="shared" ca="1" si="186"/>
        <v>-167879443095.42471</v>
      </c>
      <c r="L4520" s="444">
        <f t="shared" ca="1" si="187"/>
        <v>-40458945785997.352</v>
      </c>
      <c r="M4520" s="460">
        <f t="shared" si="189"/>
        <v>0.05</v>
      </c>
      <c r="N4520" s="464">
        <f t="shared" si="190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88"/>
        <v>-40458945785997.352</v>
      </c>
      <c r="J4521" s="444">
        <f t="array" ref="J4521">IFERROR(INDEX('Retirement Calculator'!J:J,MATCH('Isaac 401k'!N4521,'Retirement Calculator'!A:A,0),0),0)</f>
        <v>0</v>
      </c>
      <c r="K4521" s="444">
        <f t="shared" ca="1" si="186"/>
        <v>-168578940774.98895</v>
      </c>
      <c r="L4521" s="444">
        <f t="shared" ca="1" si="187"/>
        <v>-40627524726772.344</v>
      </c>
      <c r="M4521" s="460">
        <f t="shared" si="189"/>
        <v>0.05</v>
      </c>
      <c r="N4521" s="464">
        <f t="shared" si="190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88"/>
        <v>-40627524726772.344</v>
      </c>
      <c r="J4522" s="444">
        <f t="array" ref="J4522">IFERROR(INDEX('Retirement Calculator'!J:J,MATCH('Isaac 401k'!N4522,'Retirement Calculator'!A:A,0),0),0)</f>
        <v>0</v>
      </c>
      <c r="K4522" s="444">
        <f t="shared" ca="1" si="186"/>
        <v>-169281353028.21811</v>
      </c>
      <c r="L4522" s="444">
        <f t="shared" ca="1" si="187"/>
        <v>-40796806079800.563</v>
      </c>
      <c r="M4522" s="460">
        <f t="shared" si="189"/>
        <v>0.05</v>
      </c>
      <c r="N4522" s="464">
        <f t="shared" si="190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88"/>
        <v>-40796806079800.563</v>
      </c>
      <c r="J4523" s="444">
        <f t="array" ref="J4523">IFERROR(INDEX('Retirement Calculator'!J:J,MATCH('Isaac 401k'!N4523,'Retirement Calculator'!A:A,0),0),0)</f>
        <v>0</v>
      </c>
      <c r="K4523" s="444">
        <f t="shared" ca="1" si="186"/>
        <v>-169986691999.16901</v>
      </c>
      <c r="L4523" s="444">
        <f t="shared" ca="1" si="187"/>
        <v>-40966792771799.734</v>
      </c>
      <c r="M4523" s="460">
        <f t="shared" si="189"/>
        <v>0.05</v>
      </c>
      <c r="N4523" s="464">
        <f t="shared" si="190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88"/>
        <v>-40966792771799.734</v>
      </c>
      <c r="J4524" s="444">
        <f t="array" ref="J4524">IFERROR(INDEX('Retirement Calculator'!J:J,MATCH('Isaac 401k'!N4524,'Retirement Calculator'!A:A,0),0),0)</f>
        <v>0</v>
      </c>
      <c r="K4524" s="444">
        <f t="shared" ca="1" si="186"/>
        <v>-170694969882.4989</v>
      </c>
      <c r="L4524" s="444">
        <f t="shared" ca="1" si="187"/>
        <v>-41137487741682.234</v>
      </c>
      <c r="M4524" s="460">
        <f t="shared" si="189"/>
        <v>0.05</v>
      </c>
      <c r="N4524" s="464">
        <f t="shared" si="190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88"/>
        <v>-41137487741682.234</v>
      </c>
      <c r="J4525" s="444">
        <f t="array" ref="J4525">IFERROR(INDEX('Retirement Calculator'!J:J,MATCH('Isaac 401k'!N4525,'Retirement Calculator'!A:A,0),0),0)</f>
        <v>0</v>
      </c>
      <c r="K4525" s="444">
        <f t="shared" ca="1" si="186"/>
        <v>-171406198923.67596</v>
      </c>
      <c r="L4525" s="444">
        <f t="shared" ca="1" si="187"/>
        <v>-41308893940605.914</v>
      </c>
      <c r="M4525" s="460">
        <f t="shared" si="189"/>
        <v>0.05</v>
      </c>
      <c r="N4525" s="464">
        <f t="shared" si="190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88"/>
        <v>-41308893940605.914</v>
      </c>
      <c r="J4526" s="444">
        <f t="array" ref="J4526">IFERROR(INDEX('Retirement Calculator'!J:J,MATCH('Isaac 401k'!N4526,'Retirement Calculator'!A:A,0),0),0)</f>
        <v>0</v>
      </c>
      <c r="K4526" s="444">
        <f t="shared" ca="1" si="186"/>
        <v>-172120391419.19131</v>
      </c>
      <c r="L4526" s="444">
        <f t="shared" ca="1" si="187"/>
        <v>-41481014332025.102</v>
      </c>
      <c r="M4526" s="460">
        <f t="shared" si="189"/>
        <v>0.05</v>
      </c>
      <c r="N4526" s="464">
        <f t="shared" si="190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88"/>
        <v>-41481014332025.102</v>
      </c>
      <c r="J4527" s="444">
        <f t="array" ref="J4527">IFERROR(INDEX('Retirement Calculator'!J:J,MATCH('Isaac 401k'!N4527,'Retirement Calculator'!A:A,0),0),0)</f>
        <v>0</v>
      </c>
      <c r="K4527" s="444">
        <f t="shared" ca="1" si="186"/>
        <v>-172837559716.77124</v>
      </c>
      <c r="L4527" s="444">
        <f t="shared" ca="1" si="187"/>
        <v>-41653851891741.875</v>
      </c>
      <c r="M4527" s="460">
        <f t="shared" si="189"/>
        <v>0.05</v>
      </c>
      <c r="N4527" s="464">
        <f t="shared" si="190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88"/>
        <v>-41653851891741.875</v>
      </c>
      <c r="J4528" s="444">
        <f t="array" ref="J4528">IFERROR(INDEX('Retirement Calculator'!J:J,MATCH('Isaac 401k'!N4528,'Retirement Calculator'!A:A,0),0),0)</f>
        <v>0</v>
      </c>
      <c r="K4528" s="444">
        <f t="shared" ca="1" si="186"/>
        <v>-173557716215.59116</v>
      </c>
      <c r="L4528" s="444">
        <f t="shared" ca="1" si="187"/>
        <v>-41827409607957.469</v>
      </c>
      <c r="M4528" s="460">
        <f t="shared" si="189"/>
        <v>0.05</v>
      </c>
      <c r="N4528" s="464">
        <f t="shared" si="190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88"/>
        <v>-41827409607957.469</v>
      </c>
      <c r="J4529" s="444">
        <f t="array" ref="J4529">IFERROR(INDEX('Retirement Calculator'!J:J,MATCH('Isaac 401k'!N4529,'Retirement Calculator'!A:A,0),0),0)</f>
        <v>0</v>
      </c>
      <c r="K4529" s="444">
        <f t="shared" ca="1" si="186"/>
        <v>-174280873366.48944</v>
      </c>
      <c r="L4529" s="444">
        <f t="shared" ca="1" si="187"/>
        <v>-42001690481323.961</v>
      </c>
      <c r="M4529" s="460">
        <f t="shared" si="189"/>
        <v>0.05</v>
      </c>
      <c r="N4529" s="464">
        <f t="shared" si="190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88"/>
        <v>-42001690481323.961</v>
      </c>
      <c r="J4530" s="444">
        <f t="array" ref="J4530">IFERROR(INDEX('Retirement Calculator'!J:J,MATCH('Isaac 401k'!N4530,'Retirement Calculator'!A:A,0),0),0)</f>
        <v>0</v>
      </c>
      <c r="K4530" s="444">
        <f t="shared" ca="1" si="186"/>
        <v>-175007043672.18317</v>
      </c>
      <c r="L4530" s="444">
        <f t="shared" ca="1" si="187"/>
        <v>-42176697524996.141</v>
      </c>
      <c r="M4530" s="460">
        <f t="shared" si="189"/>
        <v>0.05</v>
      </c>
      <c r="N4530" s="464">
        <f t="shared" si="190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88"/>
        <v>-42176697524996.141</v>
      </c>
      <c r="J4531" s="444">
        <f t="array" ref="J4531">IFERROR(INDEX('Retirement Calculator'!J:J,MATCH('Isaac 401k'!N4531,'Retirement Calculator'!A:A,0),0),0)</f>
        <v>0</v>
      </c>
      <c r="K4531" s="444">
        <f t="shared" ca="1" si="186"/>
        <v>-175736239687.48392</v>
      </c>
      <c r="L4531" s="444">
        <f t="shared" ca="1" si="187"/>
        <v>-42352433764683.625</v>
      </c>
      <c r="M4531" s="460">
        <f t="shared" si="189"/>
        <v>0.05</v>
      </c>
      <c r="N4531" s="464">
        <f t="shared" si="190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88"/>
        <v>-42352433764683.625</v>
      </c>
      <c r="J4532" s="444">
        <f t="array" ref="J4532">IFERROR(INDEX('Retirement Calculator'!J:J,MATCH('Isaac 401k'!N4532,'Retirement Calculator'!A:A,0),0),0)</f>
        <v>0</v>
      </c>
      <c r="K4532" s="444">
        <f t="shared" ca="1" si="186"/>
        <v>-176468474019.51511</v>
      </c>
      <c r="L4532" s="444">
        <f t="shared" ca="1" si="187"/>
        <v>-42528902238703.141</v>
      </c>
      <c r="M4532" s="460">
        <f t="shared" si="189"/>
        <v>0.05</v>
      </c>
      <c r="N4532" s="464">
        <f t="shared" si="190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88"/>
        <v>-42528902238703.141</v>
      </c>
      <c r="J4533" s="444">
        <f t="array" ref="J4533">IFERROR(INDEX('Retirement Calculator'!J:J,MATCH('Isaac 401k'!N4533,'Retirement Calculator'!A:A,0),0),0)</f>
        <v>0</v>
      </c>
      <c r="K4533" s="444">
        <f t="shared" ca="1" si="186"/>
        <v>-177203759327.92975</v>
      </c>
      <c r="L4533" s="444">
        <f t="shared" ca="1" si="187"/>
        <v>-42706105998031.07</v>
      </c>
      <c r="M4533" s="460">
        <f t="shared" si="189"/>
        <v>0.05</v>
      </c>
      <c r="N4533" s="464">
        <f t="shared" si="190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88"/>
        <v>-42706105998031.07</v>
      </c>
      <c r="J4534" s="444">
        <f t="array" ref="J4534">IFERROR(INDEX('Retirement Calculator'!J:J,MATCH('Isaac 401k'!N4534,'Retirement Calculator'!A:A,0),0),0)</f>
        <v>0</v>
      </c>
      <c r="K4534" s="444">
        <f t="shared" ca="1" si="186"/>
        <v>-177942108325.12946</v>
      </c>
      <c r="L4534" s="444">
        <f t="shared" ca="1" si="187"/>
        <v>-42884048106356.203</v>
      </c>
      <c r="M4534" s="460">
        <f t="shared" si="189"/>
        <v>0.05</v>
      </c>
      <c r="N4534" s="464">
        <f t="shared" si="190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88"/>
        <v>-42884048106356.203</v>
      </c>
      <c r="J4535" s="444">
        <f t="array" ref="J4535">IFERROR(INDEX('Retirement Calculator'!J:J,MATCH('Isaac 401k'!N4535,'Retirement Calculator'!A:A,0),0),0)</f>
        <v>0</v>
      </c>
      <c r="K4535" s="444">
        <f t="shared" ca="1" si="186"/>
        <v>-178683533776.48419</v>
      </c>
      <c r="L4535" s="444">
        <f t="shared" ca="1" si="187"/>
        <v>-43062731640132.688</v>
      </c>
      <c r="M4535" s="460">
        <f t="shared" si="189"/>
        <v>0.05</v>
      </c>
      <c r="N4535" s="464">
        <f t="shared" si="190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88"/>
        <v>-43062731640132.688</v>
      </c>
      <c r="J4536" s="444">
        <f t="array" ref="J4536">IFERROR(INDEX('Retirement Calculator'!J:J,MATCH('Isaac 401k'!N4536,'Retirement Calculator'!A:A,0),0),0)</f>
        <v>0</v>
      </c>
      <c r="K4536" s="444">
        <f t="shared" ca="1" si="186"/>
        <v>-179428048500.55286</v>
      </c>
      <c r="L4536" s="444">
        <f t="shared" ca="1" si="187"/>
        <v>-43242159688633.242</v>
      </c>
      <c r="M4536" s="460">
        <f t="shared" si="189"/>
        <v>0.05</v>
      </c>
      <c r="N4536" s="464">
        <f t="shared" si="190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88"/>
        <v>-43242159688633.242</v>
      </c>
      <c r="J4537" s="444">
        <f t="array" ref="J4537">IFERROR(INDEX('Retirement Calculator'!J:J,MATCH('Isaac 401k'!N4537,'Retirement Calculator'!A:A,0),0),0)</f>
        <v>0</v>
      </c>
      <c r="K4537" s="444">
        <f t="shared" ca="1" si="186"/>
        <v>-180175665369.30518</v>
      </c>
      <c r="L4537" s="444">
        <f t="shared" ca="1" si="187"/>
        <v>-43422335354002.547</v>
      </c>
      <c r="M4537" s="460">
        <f t="shared" si="189"/>
        <v>0.05</v>
      </c>
      <c r="N4537" s="464">
        <f t="shared" si="190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88"/>
        <v>-43422335354002.547</v>
      </c>
      <c r="J4538" s="444">
        <f t="array" ref="J4538">IFERROR(INDEX('Retirement Calculator'!J:J,MATCH('Isaac 401k'!N4538,'Retirement Calculator'!A:A,0),0),0)</f>
        <v>0</v>
      </c>
      <c r="K4538" s="444">
        <f t="shared" ca="1" si="186"/>
        <v>-180926397308.34393</v>
      </c>
      <c r="L4538" s="444">
        <f t="shared" ca="1" si="187"/>
        <v>-43603261751310.891</v>
      </c>
      <c r="M4538" s="460">
        <f t="shared" si="189"/>
        <v>0.05</v>
      </c>
      <c r="N4538" s="464">
        <f t="shared" si="190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88"/>
        <v>-43603261751310.891</v>
      </c>
      <c r="J4539" s="444">
        <f t="array" ref="J4539">IFERROR(INDEX('Retirement Calculator'!J:J,MATCH('Isaac 401k'!N4539,'Retirement Calculator'!A:A,0),0),0)</f>
        <v>0</v>
      </c>
      <c r="K4539" s="444">
        <f t="shared" ca="1" si="186"/>
        <v>-181680257297.12872</v>
      </c>
      <c r="L4539" s="444">
        <f t="shared" ca="1" si="187"/>
        <v>-43784942008608.016</v>
      </c>
      <c r="M4539" s="460">
        <f t="shared" si="189"/>
        <v>0.05</v>
      </c>
      <c r="N4539" s="464">
        <f t="shared" si="190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88"/>
        <v>-43784942008608.016</v>
      </c>
      <c r="J4540" s="444">
        <f t="array" ref="J4540">IFERROR(INDEX('Retirement Calculator'!J:J,MATCH('Isaac 401k'!N4540,'Retirement Calculator'!A:A,0),0),0)</f>
        <v>0</v>
      </c>
      <c r="K4540" s="444">
        <f t="shared" ca="1" si="186"/>
        <v>-182437258369.20007</v>
      </c>
      <c r="L4540" s="444">
        <f t="shared" ca="1" si="187"/>
        <v>-43967379266977.219</v>
      </c>
      <c r="M4540" s="460">
        <f t="shared" si="189"/>
        <v>0.05</v>
      </c>
      <c r="N4540" s="464">
        <f t="shared" si="190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88"/>
        <v>-43967379266977.219</v>
      </c>
      <c r="J4541" s="444">
        <f t="array" ref="J4541">IFERROR(INDEX('Retirement Calculator'!J:J,MATCH('Isaac 401k'!N4541,'Retirement Calculator'!A:A,0),0),0)</f>
        <v>0</v>
      </c>
      <c r="K4541" s="444">
        <f t="shared" ca="1" si="186"/>
        <v>-183197413612.40509</v>
      </c>
      <c r="L4541" s="444">
        <f t="shared" ca="1" si="187"/>
        <v>-44150576680589.625</v>
      </c>
      <c r="M4541" s="460">
        <f t="shared" si="189"/>
        <v>0.05</v>
      </c>
      <c r="N4541" s="464">
        <f t="shared" si="190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88"/>
        <v>-44150576680589.625</v>
      </c>
      <c r="J4542" s="444">
        <f t="array" ref="J4542">IFERROR(INDEX('Retirement Calculator'!J:J,MATCH('Isaac 401k'!N4542,'Retirement Calculator'!A:A,0),0),0)</f>
        <v>0</v>
      </c>
      <c r="K4542" s="444">
        <f t="shared" ca="1" si="186"/>
        <v>-183960736169.12344</v>
      </c>
      <c r="L4542" s="444">
        <f t="shared" ca="1" si="187"/>
        <v>-44334537416758.75</v>
      </c>
      <c r="M4542" s="460">
        <f t="shared" si="189"/>
        <v>0.05</v>
      </c>
      <c r="N4542" s="464">
        <f t="shared" si="190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88"/>
        <v>-44334537416758.75</v>
      </c>
      <c r="J4543" s="444">
        <f t="array" ref="J4543">IFERROR(INDEX('Retirement Calculator'!J:J,MATCH('Isaac 401k'!N4543,'Retirement Calculator'!A:A,0),0),0)</f>
        <v>0</v>
      </c>
      <c r="K4543" s="444">
        <f t="shared" ca="1" si="186"/>
        <v>-184727239236.49478</v>
      </c>
      <c r="L4543" s="444">
        <f t="shared" ca="1" si="187"/>
        <v>-44519264655995.242</v>
      </c>
      <c r="M4543" s="460">
        <f t="shared" si="189"/>
        <v>0.05</v>
      </c>
      <c r="N4543" s="464">
        <f t="shared" si="190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88"/>
        <v>-44519264655995.242</v>
      </c>
      <c r="J4544" s="444">
        <f t="array" ref="J4544">IFERROR(INDEX('Retirement Calculator'!J:J,MATCH('Isaac 401k'!N4544,'Retirement Calculator'!A:A,0),0),0)</f>
        <v>0</v>
      </c>
      <c r="K4544" s="444">
        <f t="shared" ca="1" si="186"/>
        <v>-185496936066.64685</v>
      </c>
      <c r="L4544" s="444">
        <f t="shared" ca="1" si="187"/>
        <v>-44704761592061.891</v>
      </c>
      <c r="M4544" s="460">
        <f t="shared" si="189"/>
        <v>0.05</v>
      </c>
      <c r="N4544" s="464">
        <f t="shared" si="190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88"/>
        <v>-44704761592061.891</v>
      </c>
      <c r="J4545" s="444">
        <f t="array" ref="J4545">IFERROR(INDEX('Retirement Calculator'!J:J,MATCH('Isaac 401k'!N4545,'Retirement Calculator'!A:A,0),0),0)</f>
        <v>0</v>
      </c>
      <c r="K4545" s="444">
        <f t="shared" ca="1" si="186"/>
        <v>-186269839966.92453</v>
      </c>
      <c r="L4545" s="444">
        <f t="shared" ca="1" si="187"/>
        <v>-44891031432028.813</v>
      </c>
      <c r="M4545" s="460">
        <f t="shared" si="189"/>
        <v>0.05</v>
      </c>
      <c r="N4545" s="464">
        <f t="shared" si="190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88"/>
        <v>-44891031432028.813</v>
      </c>
      <c r="J4546" s="444">
        <f t="array" ref="J4546">IFERROR(INDEX('Retirement Calculator'!J:J,MATCH('Isaac 401k'!N4546,'Retirement Calculator'!A:A,0),0),0)</f>
        <v>0</v>
      </c>
      <c r="K4546" s="444">
        <f t="shared" ca="1" si="186"/>
        <v>-187045964300.12006</v>
      </c>
      <c r="L4546" s="444">
        <f t="shared" ca="1" si="187"/>
        <v>-45078077396328.93</v>
      </c>
      <c r="M4546" s="460">
        <f t="shared" si="189"/>
        <v>0.05</v>
      </c>
      <c r="N4546" s="464">
        <f t="shared" si="190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88"/>
        <v>-45078077396328.93</v>
      </c>
      <c r="J4547" s="444">
        <f t="array" ref="J4547">IFERROR(INDEX('Retirement Calculator'!J:J,MATCH('Isaac 401k'!N4547,'Retirement Calculator'!A:A,0),0),0)</f>
        <v>0</v>
      </c>
      <c r="K4547" s="444">
        <f t="shared" ca="1" si="186"/>
        <v>-187825322484.70386</v>
      </c>
      <c r="L4547" s="444">
        <f t="shared" ca="1" si="187"/>
        <v>-45265902718813.633</v>
      </c>
      <c r="M4547" s="460">
        <f t="shared" si="189"/>
        <v>0.05</v>
      </c>
      <c r="N4547" s="464">
        <f t="shared" si="190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88"/>
        <v>-45265902718813.633</v>
      </c>
      <c r="J4548" s="444">
        <f t="array" ref="J4548">IFERROR(INDEX('Retirement Calculator'!J:J,MATCH('Isaac 401k'!N4548,'Retirement Calculator'!A:A,0),0),0)</f>
        <v>0</v>
      </c>
      <c r="K4548" s="444">
        <f t="shared" ca="1" si="186"/>
        <v>-188607927995.05679</v>
      </c>
      <c r="L4548" s="444">
        <f t="shared" ca="1" si="187"/>
        <v>-45454510646808.688</v>
      </c>
      <c r="M4548" s="460">
        <f t="shared" si="189"/>
        <v>0.05</v>
      </c>
      <c r="N4548" s="464">
        <f t="shared" si="190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88"/>
        <v>-45454510646808.688</v>
      </c>
      <c r="J4549" s="444">
        <f t="array" ref="J4549">IFERROR(INDEX('Retirement Calculator'!J:J,MATCH('Isaac 401k'!N4549,'Retirement Calculator'!A:A,0),0),0)</f>
        <v>0</v>
      </c>
      <c r="K4549" s="444">
        <f t="shared" ca="1" si="186"/>
        <v>-189393794361.70285</v>
      </c>
      <c r="L4549" s="444">
        <f t="shared" ca="1" si="187"/>
        <v>-45643904441170.391</v>
      </c>
      <c r="M4549" s="460">
        <f t="shared" si="189"/>
        <v>0.05</v>
      </c>
      <c r="N4549" s="464">
        <f t="shared" si="190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88"/>
        <v>-45643904441170.391</v>
      </c>
      <c r="J4550" s="444">
        <f t="array" ref="J4550">IFERROR(INDEX('Retirement Calculator'!J:J,MATCH('Isaac 401k'!N4550,'Retirement Calculator'!A:A,0),0),0)</f>
        <v>0</v>
      </c>
      <c r="K4550" s="444">
        <f t="shared" ca="1" si="186"/>
        <v>-190182935171.5433</v>
      </c>
      <c r="L4550" s="444">
        <f t="shared" ca="1" si="187"/>
        <v>-45834087376341.938</v>
      </c>
      <c r="M4550" s="460">
        <f t="shared" si="189"/>
        <v>0.05</v>
      </c>
      <c r="N4550" s="464">
        <f t="shared" si="190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88"/>
        <v>-45834087376341.938</v>
      </c>
      <c r="J4551" s="444">
        <f t="array" ref="J4551">IFERROR(INDEX('Retirement Calculator'!J:J,MATCH('Isaac 401k'!N4551,'Retirement Calculator'!A:A,0),0),0)</f>
        <v>0</v>
      </c>
      <c r="K4551" s="444">
        <f t="shared" ca="1" si="186"/>
        <v>-190975364068.0914</v>
      </c>
      <c r="L4551" s="444">
        <f t="shared" ca="1" si="187"/>
        <v>-46025062740410.031</v>
      </c>
      <c r="M4551" s="460">
        <f t="shared" si="189"/>
        <v>0.05</v>
      </c>
      <c r="N4551" s="464">
        <f t="shared" si="190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88"/>
        <v>-46025062740410.031</v>
      </c>
      <c r="J4552" s="444">
        <f t="array" ref="J4552">IFERROR(INDEX('Retirement Calculator'!J:J,MATCH('Isaac 401k'!N4552,'Retirement Calculator'!A:A,0),0),0)</f>
        <v>0</v>
      </c>
      <c r="K4552" s="444">
        <f t="shared" ca="1" si="186"/>
        <v>-191771094751.70847</v>
      </c>
      <c r="L4552" s="444">
        <f t="shared" ca="1" si="187"/>
        <v>-46216833835161.742</v>
      </c>
      <c r="M4552" s="460">
        <f t="shared" si="189"/>
        <v>0.05</v>
      </c>
      <c r="N4552" s="464">
        <f t="shared" si="190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88"/>
        <v>-46216833835161.742</v>
      </c>
      <c r="J4553" s="444">
        <f t="array" ref="J4553">IFERROR(INDEX('Retirement Calculator'!J:J,MATCH('Isaac 401k'!N4553,'Retirement Calculator'!A:A,0),0),0)</f>
        <v>0</v>
      </c>
      <c r="K4553" s="444">
        <f t="shared" ca="1" si="186"/>
        <v>-192570140979.84058</v>
      </c>
      <c r="L4553" s="444">
        <f t="shared" ca="1" si="187"/>
        <v>-46409403976141.586</v>
      </c>
      <c r="M4553" s="460">
        <f t="shared" si="189"/>
        <v>0.05</v>
      </c>
      <c r="N4553" s="464">
        <f t="shared" si="190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88"/>
        <v>-46409403976141.586</v>
      </c>
      <c r="J4554" s="444">
        <f t="array" ref="J4554">IFERROR(INDEX('Retirement Calculator'!J:J,MATCH('Isaac 401k'!N4554,'Retirement Calculator'!A:A,0),0),0)</f>
        <v>0</v>
      </c>
      <c r="K4554" s="444">
        <f t="shared" ca="1" si="186"/>
        <v>-193372516567.25659</v>
      </c>
      <c r="L4554" s="444">
        <f t="shared" ca="1" si="187"/>
        <v>-46602776492708.844</v>
      </c>
      <c r="M4554" s="460">
        <f t="shared" si="189"/>
        <v>0.05</v>
      </c>
      <c r="N4554" s="464">
        <f t="shared" si="190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88"/>
        <v>-46602776492708.844</v>
      </c>
      <c r="J4555" s="444">
        <f t="array" ref="J4555">IFERROR(INDEX('Retirement Calculator'!J:J,MATCH('Isaac 401k'!N4555,'Retirement Calculator'!A:A,0),0),0)</f>
        <v>0</v>
      </c>
      <c r="K4555" s="444">
        <f t="shared" ca="1" si="186"/>
        <v>-194178235386.28683</v>
      </c>
      <c r="L4555" s="444">
        <f t="shared" ca="1" si="187"/>
        <v>-46796954728095.133</v>
      </c>
      <c r="M4555" s="460">
        <f t="shared" si="189"/>
        <v>0.05</v>
      </c>
      <c r="N4555" s="464">
        <f t="shared" si="190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88"/>
        <v>-46796954728095.133</v>
      </c>
      <c r="J4556" s="444">
        <f t="array" ref="J4556">IFERROR(INDEX('Retirement Calculator'!J:J,MATCH('Isaac 401k'!N4556,'Retirement Calculator'!A:A,0),0),0)</f>
        <v>0</v>
      </c>
      <c r="K4556" s="444">
        <f t="shared" ca="1" si="186"/>
        <v>-194987311367.06305</v>
      </c>
      <c r="L4556" s="444">
        <f t="shared" ca="1" si="187"/>
        <v>-46991942039462.195</v>
      </c>
      <c r="M4556" s="460">
        <f t="shared" si="189"/>
        <v>0.05</v>
      </c>
      <c r="N4556" s="464">
        <f t="shared" si="190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88"/>
        <v>-46991942039462.195</v>
      </c>
      <c r="J4557" s="444">
        <f t="array" ref="J4557">IFERROR(INDEX('Retirement Calculator'!J:J,MATCH('Isaac 401k'!N4557,'Retirement Calculator'!A:A,0),0),0)</f>
        <v>0</v>
      </c>
      <c r="K4557" s="444">
        <f t="shared" ca="1" si="186"/>
        <v>-195799758497.75916</v>
      </c>
      <c r="L4557" s="444">
        <f t="shared" ca="1" si="187"/>
        <v>-47187741797959.953</v>
      </c>
      <c r="M4557" s="460">
        <f t="shared" si="189"/>
        <v>0.05</v>
      </c>
      <c r="N4557" s="464">
        <f t="shared" si="190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88"/>
        <v>-47187741797959.953</v>
      </c>
      <c r="J4558" s="444">
        <f t="array" ref="J4558">IFERROR(INDEX('Retirement Calculator'!J:J,MATCH('Isaac 401k'!N4558,'Retirement Calculator'!A:A,0),0),0)</f>
        <v>0</v>
      </c>
      <c r="K4558" s="444">
        <f t="shared" ca="1" si="186"/>
        <v>-196615590824.83313</v>
      </c>
      <c r="L4558" s="444">
        <f t="shared" ca="1" si="187"/>
        <v>-47384357388784.789</v>
      </c>
      <c r="M4558" s="460">
        <f t="shared" si="189"/>
        <v>0.05</v>
      </c>
      <c r="N4558" s="464">
        <f t="shared" si="190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88"/>
        <v>-47384357388784.789</v>
      </c>
      <c r="J4559" s="444">
        <f t="array" ref="J4559">IFERROR(INDEX('Retirement Calculator'!J:J,MATCH('Isaac 401k'!N4559,'Retirement Calculator'!A:A,0),0),0)</f>
        <v>0</v>
      </c>
      <c r="K4559" s="444">
        <f t="shared" ca="1" si="186"/>
        <v>-197434822453.26996</v>
      </c>
      <c r="L4559" s="444">
        <f t="shared" ca="1" si="187"/>
        <v>-47581792211238.063</v>
      </c>
      <c r="M4559" s="460">
        <f t="shared" si="189"/>
        <v>0.05</v>
      </c>
      <c r="N4559" s="464">
        <f t="shared" si="190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88"/>
        <v>-47581792211238.063</v>
      </c>
      <c r="J4560" s="444">
        <f t="array" ref="J4560">IFERROR(INDEX('Retirement Calculator'!J:J,MATCH('Isaac 401k'!N4560,'Retirement Calculator'!A:A,0),0),0)</f>
        <v>0</v>
      </c>
      <c r="K4560" s="444">
        <f t="shared" ca="1" si="186"/>
        <v>-198257467546.82526</v>
      </c>
      <c r="L4560" s="444">
        <f t="shared" ca="1" si="187"/>
        <v>-47780049678784.891</v>
      </c>
      <c r="M4560" s="460">
        <f t="shared" si="189"/>
        <v>0.05</v>
      </c>
      <c r="N4560" s="464">
        <f t="shared" si="190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88"/>
        <v>-47780049678784.891</v>
      </c>
      <c r="J4561" s="444">
        <f t="array" ref="J4561">IFERROR(INDEX('Retirement Calculator'!J:J,MATCH('Isaac 401k'!N4561,'Retirement Calculator'!A:A,0),0),0)</f>
        <v>0</v>
      </c>
      <c r="K4561" s="444">
        <f t="shared" ca="1" si="186"/>
        <v>-199083540328.27039</v>
      </c>
      <c r="L4561" s="444">
        <f t="shared" ca="1" si="187"/>
        <v>-47979133219113.164</v>
      </c>
      <c r="M4561" s="460">
        <f t="shared" si="189"/>
        <v>0.05</v>
      </c>
      <c r="N4561" s="464">
        <f t="shared" si="190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88"/>
        <v>-47979133219113.164</v>
      </c>
      <c r="J4562" s="444">
        <f t="array" ref="J4562">IFERROR(INDEX('Retirement Calculator'!J:J,MATCH('Isaac 401k'!N4562,'Retirement Calculator'!A:A,0),0),0)</f>
        <v>0</v>
      </c>
      <c r="K4562" s="444">
        <f t="shared" ca="1" si="186"/>
        <v>-199913055079.63818</v>
      </c>
      <c r="L4562" s="444">
        <f t="shared" ca="1" si="187"/>
        <v>-48179046274192.805</v>
      </c>
      <c r="M4562" s="460">
        <f t="shared" si="189"/>
        <v>0.05</v>
      </c>
      <c r="N4562" s="464">
        <f t="shared" si="190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88"/>
        <v>-48179046274192.805</v>
      </c>
      <c r="J4563" s="444">
        <f t="array" ref="J4563">IFERROR(INDEX('Retirement Calculator'!J:J,MATCH('Isaac 401k'!N4563,'Retirement Calculator'!A:A,0),0),0)</f>
        <v>0</v>
      </c>
      <c r="K4563" s="444">
        <f t="shared" ca="1" si="186"/>
        <v>-200746026142.47003</v>
      </c>
      <c r="L4563" s="444">
        <f t="shared" ca="1" si="187"/>
        <v>-48379792300335.273</v>
      </c>
      <c r="M4563" s="460">
        <f t="shared" si="189"/>
        <v>0.05</v>
      </c>
      <c r="N4563" s="464">
        <f t="shared" si="190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88"/>
        <v>-48379792300335.273</v>
      </c>
      <c r="J4564" s="444">
        <f t="array" ref="J4564">IFERROR(INDEX('Retirement Calculator'!J:J,MATCH('Isaac 401k'!N4564,'Retirement Calculator'!A:A,0),0),0)</f>
        <v>0</v>
      </c>
      <c r="K4564" s="444">
        <f t="shared" ca="1" si="186"/>
        <v>-201582467918.06363</v>
      </c>
      <c r="L4564" s="444">
        <f t="shared" ca="1" si="187"/>
        <v>-48581374768253.336</v>
      </c>
      <c r="M4564" s="460">
        <f t="shared" si="189"/>
        <v>0.05</v>
      </c>
      <c r="N4564" s="464">
        <f t="shared" si="190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88"/>
        <v>-48581374768253.336</v>
      </c>
      <c r="J4565" s="444">
        <f t="array" ref="J4565">IFERROR(INDEX('Retirement Calculator'!J:J,MATCH('Isaac 401k'!N4565,'Retirement Calculator'!A:A,0),0),0)</f>
        <v>0</v>
      </c>
      <c r="K4565" s="444">
        <f t="shared" ca="1" si="186"/>
        <v>-202422394867.72223</v>
      </c>
      <c r="L4565" s="444">
        <f t="shared" ca="1" si="187"/>
        <v>-48783797163121.055</v>
      </c>
      <c r="M4565" s="460">
        <f t="shared" si="189"/>
        <v>0.05</v>
      </c>
      <c r="N4565" s="464">
        <f t="shared" si="190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88"/>
        <v>-48783797163121.055</v>
      </c>
      <c r="J4566" s="444">
        <f t="array" ref="J4566">IFERROR(INDEX('Retirement Calculator'!J:J,MATCH('Isaac 401k'!N4566,'Retirement Calculator'!A:A,0),0),0)</f>
        <v>0</v>
      </c>
      <c r="K4566" s="444">
        <f t="shared" ca="1" si="186"/>
        <v>-203265821513.00439</v>
      </c>
      <c r="L4566" s="444">
        <f t="shared" ca="1" si="187"/>
        <v>-48987062984634.063</v>
      </c>
      <c r="M4566" s="460">
        <f t="shared" si="189"/>
        <v>0.05</v>
      </c>
      <c r="N4566" s="464">
        <f t="shared" si="190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88"/>
        <v>-48987062984634.063</v>
      </c>
      <c r="J4567" s="444">
        <f t="array" ref="J4567">IFERROR(INDEX('Retirement Calculator'!J:J,MATCH('Isaac 401k'!N4567,'Retirement Calculator'!A:A,0),0),0)</f>
        <v>0</v>
      </c>
      <c r="K4567" s="444">
        <f t="shared" ca="1" si="186"/>
        <v>-204112762435.97525</v>
      </c>
      <c r="L4567" s="444">
        <f t="shared" ca="1" si="187"/>
        <v>-49191175747070.039</v>
      </c>
      <c r="M4567" s="460">
        <f t="shared" si="189"/>
        <v>0.05</v>
      </c>
      <c r="N4567" s="464">
        <f t="shared" si="190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88"/>
        <v>-49191175747070.039</v>
      </c>
      <c r="J4568" s="444">
        <f t="array" ref="J4568">IFERROR(INDEX('Retirement Calculator'!J:J,MATCH('Isaac 401k'!N4568,'Retirement Calculator'!A:A,0),0),0)</f>
        <v>0</v>
      </c>
      <c r="K4568" s="444">
        <f t="shared" ca="1" si="186"/>
        <v>-204963232279.4585</v>
      </c>
      <c r="L4568" s="444">
        <f t="shared" ca="1" si="187"/>
        <v>-49396138979349.5</v>
      </c>
      <c r="M4568" s="460">
        <f t="shared" si="189"/>
        <v>0.05</v>
      </c>
      <c r="N4568" s="464">
        <f t="shared" si="190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88"/>
        <v>-49396138979349.5</v>
      </c>
      <c r="J4569" s="444">
        <f t="array" ref="J4569">IFERROR(INDEX('Retirement Calculator'!J:J,MATCH('Isaac 401k'!N4569,'Retirement Calculator'!A:A,0),0),0)</f>
        <v>0</v>
      </c>
      <c r="K4569" s="444">
        <f t="shared" ca="1" si="186"/>
        <v>-205817245747.28958</v>
      </c>
      <c r="L4569" s="444">
        <f t="shared" ca="1" si="187"/>
        <v>-49601956225096.789</v>
      </c>
      <c r="M4569" s="460">
        <f t="shared" si="189"/>
        <v>0.05</v>
      </c>
      <c r="N4569" s="464">
        <f t="shared" si="190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88"/>
        <v>-49601956225096.789</v>
      </c>
      <c r="J4570" s="444">
        <f t="array" ref="J4570">IFERROR(INDEX('Retirement Calculator'!J:J,MATCH('Isaac 401k'!N4570,'Retirement Calculator'!A:A,0),0),0)</f>
        <v>0</v>
      </c>
      <c r="K4570" s="444">
        <f t="shared" ca="1" si="186"/>
        <v>-206674817604.56995</v>
      </c>
      <c r="L4570" s="444">
        <f t="shared" ca="1" si="187"/>
        <v>-49808631042701.359</v>
      </c>
      <c r="M4570" s="460">
        <f t="shared" si="189"/>
        <v>0.05</v>
      </c>
      <c r="N4570" s="464">
        <f t="shared" si="190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88"/>
        <v>-49808631042701.359</v>
      </c>
      <c r="J4571" s="444">
        <f t="array" ref="J4571">IFERROR(INDEX('Retirement Calculator'!J:J,MATCH('Isaac 401k'!N4571,'Retirement Calculator'!A:A,0),0),0)</f>
        <v>0</v>
      </c>
      <c r="K4571" s="444">
        <f t="shared" ca="1" si="186"/>
        <v>-207535962677.92233</v>
      </c>
      <c r="L4571" s="444">
        <f t="shared" ca="1" si="187"/>
        <v>-50016167005379.281</v>
      </c>
      <c r="M4571" s="460">
        <f t="shared" si="189"/>
        <v>0.05</v>
      </c>
      <c r="N4571" s="464">
        <f t="shared" si="190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88"/>
        <v>-50016167005379.281</v>
      </c>
      <c r="J4572" s="444">
        <f t="array" ref="J4572">IFERROR(INDEX('Retirement Calculator'!J:J,MATCH('Isaac 401k'!N4572,'Retirement Calculator'!A:A,0),0),0)</f>
        <v>0</v>
      </c>
      <c r="K4572" s="444">
        <f t="shared" ca="1" si="186"/>
        <v>-208400695855.74701</v>
      </c>
      <c r="L4572" s="444">
        <f t="shared" ca="1" si="187"/>
        <v>-50224567701235.031</v>
      </c>
      <c r="M4572" s="460">
        <f t="shared" si="189"/>
        <v>0.05</v>
      </c>
      <c r="N4572" s="464">
        <f t="shared" si="190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88"/>
        <v>-50224567701235.031</v>
      </c>
      <c r="J4573" s="444">
        <f t="array" ref="J4573">IFERROR(INDEX('Retirement Calculator'!J:J,MATCH('Isaac 401k'!N4573,'Retirement Calculator'!A:A,0),0),0)</f>
        <v>0</v>
      </c>
      <c r="K4573" s="444">
        <f t="shared" ca="1" si="186"/>
        <v>-209269032088.47931</v>
      </c>
      <c r="L4573" s="444">
        <f t="shared" ca="1" si="187"/>
        <v>-50433836733323.508</v>
      </c>
      <c r="M4573" s="460">
        <f t="shared" si="189"/>
        <v>0.05</v>
      </c>
      <c r="N4573" s="464">
        <f t="shared" si="190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88"/>
        <v>-50433836733323.508</v>
      </c>
      <c r="J4574" s="444">
        <f t="array" ref="J4574">IFERROR(INDEX('Retirement Calculator'!J:J,MATCH('Isaac 401k'!N4574,'Retirement Calculator'!A:A,0),0),0)</f>
        <v>0</v>
      </c>
      <c r="K4574" s="444">
        <f t="shared" ca="1" si="186"/>
        <v>-210140986388.84796</v>
      </c>
      <c r="L4574" s="444">
        <f t="shared" ca="1" si="187"/>
        <v>-50643977719712.359</v>
      </c>
      <c r="M4574" s="460">
        <f t="shared" si="189"/>
        <v>0.05</v>
      </c>
      <c r="N4574" s="464">
        <f t="shared" si="190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88"/>
        <v>-50643977719712.359</v>
      </c>
      <c r="J4575" s="444">
        <f t="array" ref="J4575">IFERROR(INDEX('Retirement Calculator'!J:J,MATCH('Isaac 401k'!N4575,'Retirement Calculator'!A:A,0),0),0)</f>
        <v>0</v>
      </c>
      <c r="K4575" s="444">
        <f t="shared" ca="1" si="186"/>
        <v>-211016573832.13483</v>
      </c>
      <c r="L4575" s="444">
        <f t="shared" ca="1" si="187"/>
        <v>-50854994293544.492</v>
      </c>
      <c r="M4575" s="460">
        <f t="shared" si="189"/>
        <v>0.05</v>
      </c>
      <c r="N4575" s="464">
        <f t="shared" si="190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88"/>
        <v>-50854994293544.492</v>
      </c>
      <c r="J4576" s="444">
        <f t="array" ref="J4576">IFERROR(INDEX('Retirement Calculator'!J:J,MATCH('Isaac 401k'!N4576,'Retirement Calculator'!A:A,0),0),0)</f>
        <v>0</v>
      </c>
      <c r="K4576" s="444">
        <f t="shared" ca="1" si="186"/>
        <v>-211895809556.43539</v>
      </c>
      <c r="L4576" s="444">
        <f t="shared" ca="1" si="187"/>
        <v>-51066890103100.93</v>
      </c>
      <c r="M4576" s="460">
        <f t="shared" si="189"/>
        <v>0.05</v>
      </c>
      <c r="N4576" s="464">
        <f t="shared" si="190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88"/>
        <v>-51066890103100.93</v>
      </c>
      <c r="J4577" s="444">
        <f t="array" ref="J4577">IFERROR(INDEX('Retirement Calculator'!J:J,MATCH('Isaac 401k'!N4577,'Retirement Calculator'!A:A,0),0),0)</f>
        <v>0</v>
      </c>
      <c r="K4577" s="444">
        <f t="shared" ca="1" si="186"/>
        <v>-212778708762.92053</v>
      </c>
      <c r="L4577" s="444">
        <f t="shared" ca="1" si="187"/>
        <v>-51279668811863.852</v>
      </c>
      <c r="M4577" s="460">
        <f t="shared" si="189"/>
        <v>0.05</v>
      </c>
      <c r="N4577" s="464">
        <f t="shared" si="190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88"/>
        <v>-51279668811863.852</v>
      </c>
      <c r="J4578" s="444">
        <f t="array" ref="J4578">IFERROR(INDEX('Retirement Calculator'!J:J,MATCH('Isaac 401k'!N4578,'Retirement Calculator'!A:A,0),0),0)</f>
        <v>0</v>
      </c>
      <c r="K4578" s="444">
        <f t="shared" ca="1" si="186"/>
        <v>-213665286716.09937</v>
      </c>
      <c r="L4578" s="444">
        <f t="shared" ca="1" si="187"/>
        <v>-51493334098579.953</v>
      </c>
      <c r="M4578" s="460">
        <f t="shared" si="189"/>
        <v>0.05</v>
      </c>
      <c r="N4578" s="464">
        <f t="shared" si="190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88"/>
        <v>-51493334098579.953</v>
      </c>
      <c r="J4579" s="444">
        <f t="array" ref="J4579">IFERROR(INDEX('Retirement Calculator'!J:J,MATCH('Isaac 401k'!N4579,'Retirement Calculator'!A:A,0),0),0)</f>
        <v>0</v>
      </c>
      <c r="K4579" s="444">
        <f t="shared" ca="1" si="186"/>
        <v>-214555558744.08313</v>
      </c>
      <c r="L4579" s="444">
        <f t="shared" ca="1" si="187"/>
        <v>-51707889657324.039</v>
      </c>
      <c r="M4579" s="460">
        <f t="shared" si="189"/>
        <v>0.05</v>
      </c>
      <c r="N4579" s="464">
        <f t="shared" si="190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88"/>
        <v>-51707889657324.039</v>
      </c>
      <c r="J4580" s="444">
        <f t="array" ref="J4580">IFERROR(INDEX('Retirement Calculator'!J:J,MATCH('Isaac 401k'!N4580,'Retirement Calculator'!A:A,0),0),0)</f>
        <v>0</v>
      </c>
      <c r="K4580" s="444">
        <f t="shared" ca="1" si="186"/>
        <v>-215449540238.85016</v>
      </c>
      <c r="L4580" s="444">
        <f t="shared" ca="1" si="187"/>
        <v>-51923339197562.891</v>
      </c>
      <c r="M4580" s="460">
        <f t="shared" si="189"/>
        <v>0.05</v>
      </c>
      <c r="N4580" s="464">
        <f t="shared" si="190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88"/>
        <v>-51923339197562.891</v>
      </c>
      <c r="J4581" s="444">
        <f t="array" ref="J4581">IFERROR(INDEX('Retirement Calculator'!J:J,MATCH('Isaac 401k'!N4581,'Retirement Calculator'!A:A,0),0),0)</f>
        <v>0</v>
      </c>
      <c r="K4581" s="444">
        <f t="shared" ca="1" si="186"/>
        <v>-216347246656.51205</v>
      </c>
      <c r="L4581" s="444">
        <f t="shared" ca="1" si="187"/>
        <v>-52139686444219.406</v>
      </c>
      <c r="M4581" s="460">
        <f t="shared" si="189"/>
        <v>0.05</v>
      </c>
      <c r="N4581" s="464">
        <f t="shared" si="190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88"/>
        <v>-52139686444219.406</v>
      </c>
      <c r="J4582" s="444">
        <f t="array" ref="J4582">IFERROR(INDEX('Retirement Calculator'!J:J,MATCH('Isaac 401k'!N4582,'Retirement Calculator'!A:A,0),0),0)</f>
        <v>0</v>
      </c>
      <c r="K4582" s="444">
        <f t="shared" ca="1" si="186"/>
        <v>-217248693517.58087</v>
      </c>
      <c r="L4582" s="444">
        <f t="shared" ca="1" si="187"/>
        <v>-52356935137736.984</v>
      </c>
      <c r="M4582" s="460">
        <f t="shared" si="189"/>
        <v>0.05</v>
      </c>
      <c r="N4582" s="464">
        <f t="shared" si="190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88"/>
        <v>-52356935137736.984</v>
      </c>
      <c r="J4583" s="444">
        <f t="array" ref="J4583">IFERROR(INDEX('Retirement Calculator'!J:J,MATCH('Isaac 401k'!N4583,'Retirement Calculator'!A:A,0),0),0)</f>
        <v>0</v>
      </c>
      <c r="K4583" s="444">
        <f t="shared" ca="1" si="186"/>
        <v>-218153896407.23743</v>
      </c>
      <c r="L4583" s="444">
        <f t="shared" ca="1" si="187"/>
        <v>-52575089034144.219</v>
      </c>
      <c r="M4583" s="460">
        <f t="shared" si="189"/>
        <v>0.05</v>
      </c>
      <c r="N4583" s="464">
        <f t="shared" si="190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88"/>
        <v>-52575089034144.219</v>
      </c>
      <c r="J4584" s="444">
        <f t="array" ref="J4584">IFERROR(INDEX('Retirement Calculator'!J:J,MATCH('Isaac 401k'!N4584,'Retirement Calculator'!A:A,0),0),0)</f>
        <v>0</v>
      </c>
      <c r="K4584" s="444">
        <f t="shared" ca="1" si="186"/>
        <v>-219062870975.60092</v>
      </c>
      <c r="L4584" s="444">
        <f t="shared" ca="1" si="187"/>
        <v>-52794151905119.82</v>
      </c>
      <c r="M4584" s="460">
        <f t="shared" si="189"/>
        <v>0.05</v>
      </c>
      <c r="N4584" s="464">
        <f t="shared" si="190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88"/>
        <v>-52794151905119.82</v>
      </c>
      <c r="J4585" s="444">
        <f t="array" ref="J4585">IFERROR(INDEX('Retirement Calculator'!J:J,MATCH('Isaac 401k'!N4585,'Retirement Calculator'!A:A,0),0),0)</f>
        <v>0</v>
      </c>
      <c r="K4585" s="444">
        <f t="shared" ca="1" si="186"/>
        <v>-219975632937.99924</v>
      </c>
      <c r="L4585" s="444">
        <f t="shared" ca="1" si="187"/>
        <v>-53014127538057.82</v>
      </c>
      <c r="M4585" s="460">
        <f t="shared" si="189"/>
        <v>0.05</v>
      </c>
      <c r="N4585" s="464">
        <f t="shared" si="190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88"/>
        <v>-53014127538057.82</v>
      </c>
      <c r="J4586" s="444">
        <f t="array" ref="J4586">IFERROR(INDEX('Retirement Calculator'!J:J,MATCH('Isaac 401k'!N4586,'Retirement Calculator'!A:A,0),0),0)</f>
        <v>0</v>
      </c>
      <c r="K4586" s="444">
        <f t="shared" ca="1" si="186"/>
        <v>-220892198075.24091</v>
      </c>
      <c r="L4586" s="444">
        <f t="shared" ca="1" si="187"/>
        <v>-53235019736133.063</v>
      </c>
      <c r="M4586" s="460">
        <f t="shared" si="189"/>
        <v>0.05</v>
      </c>
      <c r="N4586" s="464">
        <f t="shared" si="190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88"/>
        <v>-53235019736133.063</v>
      </c>
      <c r="J4587" s="444">
        <f t="array" ref="J4587">IFERROR(INDEX('Retirement Calculator'!J:J,MATCH('Isaac 401k'!N4587,'Retirement Calculator'!A:A,0),0),0)</f>
        <v>0</v>
      </c>
      <c r="K4587" s="444">
        <f t="shared" ca="1" si="186"/>
        <v>-221812582233.88776</v>
      </c>
      <c r="L4587" s="444">
        <f t="shared" ca="1" si="187"/>
        <v>-53456832318366.953</v>
      </c>
      <c r="M4587" s="460">
        <f t="shared" si="189"/>
        <v>0.05</v>
      </c>
      <c r="N4587" s="464">
        <f t="shared" si="190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88"/>
        <v>-53456832318366.953</v>
      </c>
      <c r="J4588" s="444">
        <f t="array" ref="J4588">IFERROR(INDEX('Retirement Calculator'!J:J,MATCH('Isaac 401k'!N4588,'Retirement Calculator'!A:A,0),0),0)</f>
        <v>0</v>
      </c>
      <c r="K4588" s="444">
        <f t="shared" ca="1" si="186"/>
        <v>-222736801326.52896</v>
      </c>
      <c r="L4588" s="444">
        <f t="shared" ca="1" si="187"/>
        <v>-53679569119693.484</v>
      </c>
      <c r="M4588" s="460">
        <f t="shared" si="189"/>
        <v>0.05</v>
      </c>
      <c r="N4588" s="464">
        <f t="shared" si="190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88"/>
        <v>-53679569119693.484</v>
      </c>
      <c r="J4589" s="444">
        <f t="array" ref="J4589">IFERROR(INDEX('Retirement Calculator'!J:J,MATCH('Isaac 401k'!N4589,'Retirement Calculator'!A:A,0),0),0)</f>
        <v>0</v>
      </c>
      <c r="K4589" s="444">
        <f t="shared" ca="1" si="186"/>
        <v>-223664871332.05618</v>
      </c>
      <c r="L4589" s="444">
        <f t="shared" ca="1" si="187"/>
        <v>-53903233991025.539</v>
      </c>
      <c r="M4589" s="460">
        <f t="shared" si="189"/>
        <v>0.05</v>
      </c>
      <c r="N4589" s="464">
        <f t="shared" si="190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88"/>
        <v>-53903233991025.539</v>
      </c>
      <c r="J4590" s="444">
        <f t="array" ref="J4590">IFERROR(INDEX('Retirement Calculator'!J:J,MATCH('Isaac 401k'!N4590,'Retirement Calculator'!A:A,0),0),0)</f>
        <v>0</v>
      </c>
      <c r="K4590" s="444">
        <f t="shared" ca="1" si="186"/>
        <v>-224596808295.93973</v>
      </c>
      <c r="L4590" s="444">
        <f t="shared" ca="1" si="187"/>
        <v>-54127830799321.477</v>
      </c>
      <c r="M4590" s="460">
        <f t="shared" si="189"/>
        <v>0.05</v>
      </c>
      <c r="N4590" s="464">
        <f t="shared" si="190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88"/>
        <v>-54127830799321.477</v>
      </c>
      <c r="J4591" s="444">
        <f t="array" ref="J4591">IFERROR(INDEX('Retirement Calculator'!J:J,MATCH('Isaac 401k'!N4591,'Retirement Calculator'!A:A,0),0),0)</f>
        <v>0</v>
      </c>
      <c r="K4591" s="444">
        <f t="shared" ca="1" si="186"/>
        <v>-225532628330.50613</v>
      </c>
      <c r="L4591" s="444">
        <f t="shared" ca="1" si="187"/>
        <v>-54353363427651.984</v>
      </c>
      <c r="M4591" s="460">
        <f t="shared" si="189"/>
        <v>0.05</v>
      </c>
      <c r="N4591" s="464">
        <f t="shared" si="190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88"/>
        <v>-54353363427651.984</v>
      </c>
      <c r="J4592" s="444">
        <f t="array" ref="J4592">IFERROR(INDEX('Retirement Calculator'!J:J,MATCH('Isaac 401k'!N4592,'Retirement Calculator'!A:A,0),0),0)</f>
        <v>0</v>
      </c>
      <c r="K4592" s="444">
        <f t="shared" ca="1" si="186"/>
        <v>-226472347615.21658</v>
      </c>
      <c r="L4592" s="444">
        <f t="shared" ca="1" si="187"/>
        <v>-54579835775267.203</v>
      </c>
      <c r="M4592" s="460">
        <f t="shared" si="189"/>
        <v>0.05</v>
      </c>
      <c r="N4592" s="464">
        <f t="shared" si="190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88"/>
        <v>-54579835775267.203</v>
      </c>
      <c r="J4593" s="444">
        <f t="array" ref="J4593">IFERROR(INDEX('Retirement Calculator'!J:J,MATCH('Isaac 401k'!N4593,'Retirement Calculator'!A:A,0),0),0)</f>
        <v>0</v>
      </c>
      <c r="K4593" s="444">
        <f t="shared" ca="1" si="186"/>
        <v>-227415982396.94669</v>
      </c>
      <c r="L4593" s="444">
        <f t="shared" ca="1" si="187"/>
        <v>-54807251757664.148</v>
      </c>
      <c r="M4593" s="460">
        <f t="shared" si="189"/>
        <v>0.05</v>
      </c>
      <c r="N4593" s="464">
        <f t="shared" si="190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88"/>
        <v>-54807251757664.148</v>
      </c>
      <c r="J4594" s="444">
        <f t="array" ref="J4594">IFERROR(INDEX('Retirement Calculator'!J:J,MATCH('Isaac 401k'!N4594,'Retirement Calculator'!A:A,0),0),0)</f>
        <v>0</v>
      </c>
      <c r="K4594" s="444">
        <f t="shared" ca="1" si="186"/>
        <v>-228363548990.26727</v>
      </c>
      <c r="L4594" s="444">
        <f t="shared" ca="1" si="187"/>
        <v>-55035615306654.414</v>
      </c>
      <c r="M4594" s="460">
        <f t="shared" si="189"/>
        <v>0.05</v>
      </c>
      <c r="N4594" s="464">
        <f t="shared" si="190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88"/>
        <v>-55035615306654.414</v>
      </c>
      <c r="J4595" s="444">
        <f t="array" ref="J4595">IFERROR(INDEX('Retirement Calculator'!J:J,MATCH('Isaac 401k'!N4595,'Retirement Calculator'!A:A,0),0),0)</f>
        <v>0</v>
      </c>
      <c r="K4595" s="444">
        <f t="shared" ca="1" si="186"/>
        <v>-229315063777.72675</v>
      </c>
      <c r="L4595" s="444">
        <f t="shared" ca="1" si="187"/>
        <v>-55264930370432.141</v>
      </c>
      <c r="M4595" s="460">
        <f t="shared" si="189"/>
        <v>0.05</v>
      </c>
      <c r="N4595" s="464">
        <f t="shared" si="190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88"/>
        <v>-55264930370432.141</v>
      </c>
      <c r="J4596" s="444">
        <f t="array" ref="J4596">IFERROR(INDEX('Retirement Calculator'!J:J,MATCH('Isaac 401k'!N4596,'Retirement Calculator'!A:A,0),0),0)</f>
        <v>0</v>
      </c>
      <c r="K4596" s="444">
        <f t="shared" ca="1" si="186"/>
        <v>-230270543210.13394</v>
      </c>
      <c r="L4596" s="444">
        <f t="shared" ca="1" si="187"/>
        <v>-55495200913642.273</v>
      </c>
      <c r="M4596" s="460">
        <f t="shared" si="189"/>
        <v>0.05</v>
      </c>
      <c r="N4596" s="464">
        <f t="shared" si="190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88"/>
        <v>-55495200913642.273</v>
      </c>
      <c r="J4597" s="444">
        <f t="array" ref="J4597">IFERROR(INDEX('Retirement Calculator'!J:J,MATCH('Isaac 401k'!N4597,'Retirement Calculator'!A:A,0),0),0)</f>
        <v>0</v>
      </c>
      <c r="K4597" s="444">
        <f t="shared" ca="1" si="186"/>
        <v>-231230003806.8428</v>
      </c>
      <c r="L4597" s="444">
        <f t="shared" ca="1" si="187"/>
        <v>-55726430917449.117</v>
      </c>
      <c r="M4597" s="460">
        <f t="shared" si="189"/>
        <v>0.05</v>
      </c>
      <c r="N4597" s="464">
        <f t="shared" si="190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88"/>
        <v>-55726430917449.117</v>
      </c>
      <c r="J4598" s="444">
        <f t="array" ref="J4598">IFERROR(INDEX('Retirement Calculator'!J:J,MATCH('Isaac 401k'!N4598,'Retirement Calculator'!A:A,0),0),0)</f>
        <v>0</v>
      </c>
      <c r="K4598" s="444">
        <f t="shared" ref="K4598:K4852" ca="1" si="191">IPMT(M4598/12,1,12,-I4598+J4598,,0)</f>
        <v>-232193462156.03799</v>
      </c>
      <c r="L4598" s="444">
        <f t="shared" ref="L4598:L4852" ca="1" si="192">I4598-J4598+K4598</f>
        <v>-55958624379605.156</v>
      </c>
      <c r="M4598" s="460">
        <f t="shared" si="189"/>
        <v>0.05</v>
      </c>
      <c r="N4598" s="464">
        <f t="shared" si="190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93">L4598</f>
        <v>-55958624379605.156</v>
      </c>
      <c r="J4599" s="444">
        <f t="array" ref="J4599">IFERROR(INDEX('Retirement Calculator'!J:J,MATCH('Isaac 401k'!N4599,'Retirement Calculator'!A:A,0),0),0)</f>
        <v>0</v>
      </c>
      <c r="K4599" s="444">
        <f t="shared" ca="1" si="191"/>
        <v>-233160934915.02148</v>
      </c>
      <c r="L4599" s="444">
        <f t="shared" ca="1" si="192"/>
        <v>-56191785314520.18</v>
      </c>
      <c r="M4599" s="460">
        <f t="shared" ref="M4599:M4853" si="194">M4598</f>
        <v>0.05</v>
      </c>
      <c r="N4599" s="464">
        <f t="shared" ref="N4599:N4853" si="195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93"/>
        <v>-56191785314520.18</v>
      </c>
      <c r="J4600" s="444">
        <f t="array" ref="J4600">IFERROR(INDEX('Retirement Calculator'!J:J,MATCH('Isaac 401k'!N4600,'Retirement Calculator'!A:A,0),0),0)</f>
        <v>0</v>
      </c>
      <c r="K4600" s="444">
        <f t="shared" ca="1" si="191"/>
        <v>-234132438810.5007</v>
      </c>
      <c r="L4600" s="444">
        <f t="shared" ca="1" si="192"/>
        <v>-56425917753330.68</v>
      </c>
      <c r="M4600" s="460">
        <f t="shared" si="194"/>
        <v>0.05</v>
      </c>
      <c r="N4600" s="464">
        <f t="shared" si="195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93"/>
        <v>-56425917753330.68</v>
      </c>
      <c r="J4601" s="444">
        <f t="array" ref="J4601">IFERROR(INDEX('Retirement Calculator'!J:J,MATCH('Isaac 401k'!N4601,'Retirement Calculator'!A:A,0),0),0)</f>
        <v>0</v>
      </c>
      <c r="K4601" s="444">
        <f t="shared" ca="1" si="191"/>
        <v>-235107990638.87784</v>
      </c>
      <c r="L4601" s="444">
        <f t="shared" ca="1" si="192"/>
        <v>-56661025743969.555</v>
      </c>
      <c r="M4601" s="460">
        <f t="shared" si="194"/>
        <v>0.05</v>
      </c>
      <c r="N4601" s="464">
        <f t="shared" si="195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93"/>
        <v>-56661025743969.555</v>
      </c>
      <c r="J4602" s="444">
        <f t="array" ref="J4602">IFERROR(INDEX('Retirement Calculator'!J:J,MATCH('Isaac 401k'!N4602,'Retirement Calculator'!A:A,0),0),0)</f>
        <v>0</v>
      </c>
      <c r="K4602" s="444">
        <f t="shared" ca="1" si="191"/>
        <v>-236087607266.53979</v>
      </c>
      <c r="L4602" s="444">
        <f t="shared" ca="1" si="192"/>
        <v>-56897113351236.094</v>
      </c>
      <c r="M4602" s="460">
        <f t="shared" si="194"/>
        <v>0.05</v>
      </c>
      <c r="N4602" s="464">
        <f t="shared" si="195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93"/>
        <v>-56897113351236.094</v>
      </c>
      <c r="J4603" s="444">
        <f t="array" ref="J4603">IFERROR(INDEX('Retirement Calculator'!J:J,MATCH('Isaac 401k'!N4603,'Retirement Calculator'!A:A,0),0),0)</f>
        <v>0</v>
      </c>
      <c r="K4603" s="444">
        <f t="shared" ca="1" si="191"/>
        <v>-237071305630.15039</v>
      </c>
      <c r="L4603" s="444">
        <f t="shared" ca="1" si="192"/>
        <v>-57134184656866.242</v>
      </c>
      <c r="M4603" s="460">
        <f t="shared" si="194"/>
        <v>0.05</v>
      </c>
      <c r="N4603" s="464">
        <f t="shared" si="195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93"/>
        <v>-57134184656866.242</v>
      </c>
      <c r="J4604" s="444">
        <f t="array" ref="J4604">IFERROR(INDEX('Retirement Calculator'!J:J,MATCH('Isaac 401k'!N4604,'Retirement Calculator'!A:A,0),0),0)</f>
        <v>0</v>
      </c>
      <c r="K4604" s="444">
        <f t="shared" ca="1" si="191"/>
        <v>-238059102736.94266</v>
      </c>
      <c r="L4604" s="444">
        <f t="shared" ca="1" si="192"/>
        <v>-57372243759603.188</v>
      </c>
      <c r="M4604" s="460">
        <f t="shared" si="194"/>
        <v>0.05</v>
      </c>
      <c r="N4604" s="464">
        <f t="shared" si="195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93"/>
        <v>-57372243759603.188</v>
      </c>
      <c r="J4605" s="444">
        <f t="array" ref="J4605">IFERROR(INDEX('Retirement Calculator'!J:J,MATCH('Isaac 401k'!N4605,'Retirement Calculator'!A:A,0),0),0)</f>
        <v>0</v>
      </c>
      <c r="K4605" s="444">
        <f t="shared" ca="1" si="191"/>
        <v>-239051015665.01328</v>
      </c>
      <c r="L4605" s="444">
        <f t="shared" ca="1" si="192"/>
        <v>-57611294775268.203</v>
      </c>
      <c r="M4605" s="460">
        <f t="shared" si="194"/>
        <v>0.05</v>
      </c>
      <c r="N4605" s="464">
        <f t="shared" si="195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93"/>
        <v>-57611294775268.203</v>
      </c>
      <c r="J4606" s="444">
        <f t="array" ref="J4606">IFERROR(INDEX('Retirement Calculator'!J:J,MATCH('Isaac 401k'!N4606,'Retirement Calculator'!A:A,0),0),0)</f>
        <v>0</v>
      </c>
      <c r="K4606" s="444">
        <f t="shared" ca="1" si="191"/>
        <v>-240047061563.61752</v>
      </c>
      <c r="L4606" s="444">
        <f t="shared" ca="1" si="192"/>
        <v>-57851341836831.82</v>
      </c>
      <c r="M4606" s="460">
        <f t="shared" si="194"/>
        <v>0.05</v>
      </c>
      <c r="N4606" s="464">
        <f t="shared" si="195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93"/>
        <v>-57851341836831.82</v>
      </c>
      <c r="J4607" s="444">
        <f t="array" ref="J4607">IFERROR(INDEX('Retirement Calculator'!J:J,MATCH('Isaac 401k'!N4607,'Retirement Calculator'!A:A,0),0),0)</f>
        <v>0</v>
      </c>
      <c r="K4607" s="444">
        <f t="shared" ca="1" si="191"/>
        <v>-241047257653.46591</v>
      </c>
      <c r="L4607" s="444">
        <f t="shared" ca="1" si="192"/>
        <v>-58092389094485.289</v>
      </c>
      <c r="M4607" s="460">
        <f t="shared" si="194"/>
        <v>0.05</v>
      </c>
      <c r="N4607" s="464">
        <f t="shared" si="195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93"/>
        <v>-58092389094485.289</v>
      </c>
      <c r="J4608" s="444">
        <f t="array" ref="J4608">IFERROR(INDEX('Retirement Calculator'!J:J,MATCH('Isaac 401k'!N4608,'Retirement Calculator'!A:A,0),0),0)</f>
        <v>0</v>
      </c>
      <c r="K4608" s="444">
        <f t="shared" ca="1" si="191"/>
        <v>-242051621227.02203</v>
      </c>
      <c r="L4608" s="444">
        <f t="shared" ca="1" si="192"/>
        <v>-58334440715712.313</v>
      </c>
      <c r="M4608" s="460">
        <f t="shared" si="194"/>
        <v>0.05</v>
      </c>
      <c r="N4608" s="464">
        <f t="shared" si="195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93"/>
        <v>-58334440715712.313</v>
      </c>
      <c r="J4609" s="444">
        <f t="array" ref="J4609">IFERROR(INDEX('Retirement Calculator'!J:J,MATCH('Isaac 401k'!N4609,'Retirement Calculator'!A:A,0),0),0)</f>
        <v>0</v>
      </c>
      <c r="K4609" s="444">
        <f t="shared" ca="1" si="191"/>
        <v>-243060169648.8013</v>
      </c>
      <c r="L4609" s="444">
        <f t="shared" ca="1" si="192"/>
        <v>-58577500885361.117</v>
      </c>
      <c r="M4609" s="460">
        <f t="shared" si="194"/>
        <v>0.05</v>
      </c>
      <c r="N4609" s="464">
        <f t="shared" si="195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93"/>
        <v>-58577500885361.117</v>
      </c>
      <c r="J4610" s="444">
        <f t="array" ref="J4610">IFERROR(INDEX('Retirement Calculator'!J:J,MATCH('Isaac 401k'!N4610,'Retirement Calculator'!A:A,0),0),0)</f>
        <v>0</v>
      </c>
      <c r="K4610" s="444">
        <f t="shared" ca="1" si="191"/>
        <v>-244072920355.67133</v>
      </c>
      <c r="L4610" s="444">
        <f t="shared" ca="1" si="192"/>
        <v>-58821573805716.789</v>
      </c>
      <c r="M4610" s="460">
        <f t="shared" si="194"/>
        <v>0.05</v>
      </c>
      <c r="N4610" s="464">
        <f t="shared" si="195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93"/>
        <v>-58821573805716.789</v>
      </c>
      <c r="J4611" s="444">
        <f t="array" ref="J4611">IFERROR(INDEX('Retirement Calculator'!J:J,MATCH('Isaac 401k'!N4611,'Retirement Calculator'!A:A,0),0),0)</f>
        <v>0</v>
      </c>
      <c r="K4611" s="444">
        <f t="shared" ca="1" si="191"/>
        <v>-245089890857.15329</v>
      </c>
      <c r="L4611" s="444">
        <f t="shared" ca="1" si="192"/>
        <v>-59066663696573.945</v>
      </c>
      <c r="M4611" s="460">
        <f t="shared" si="194"/>
        <v>0.05</v>
      </c>
      <c r="N4611" s="464">
        <f t="shared" si="195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93"/>
        <v>-59066663696573.945</v>
      </c>
      <c r="J4612" s="444">
        <f t="array" ref="J4612">IFERROR(INDEX('Retirement Calculator'!J:J,MATCH('Isaac 401k'!N4612,'Retirement Calculator'!A:A,0),0),0)</f>
        <v>0</v>
      </c>
      <c r="K4612" s="444">
        <f t="shared" ca="1" si="191"/>
        <v>-246111098735.72476</v>
      </c>
      <c r="L4612" s="444">
        <f t="shared" ca="1" si="192"/>
        <v>-59312774795309.672</v>
      </c>
      <c r="M4612" s="460">
        <f t="shared" si="194"/>
        <v>0.05</v>
      </c>
      <c r="N4612" s="464">
        <f t="shared" si="195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93"/>
        <v>-59312774795309.672</v>
      </c>
      <c r="J4613" s="444">
        <f t="array" ref="J4613">IFERROR(INDEX('Retirement Calculator'!J:J,MATCH('Isaac 401k'!N4613,'Retirement Calculator'!A:A,0),0),0)</f>
        <v>0</v>
      </c>
      <c r="K4613" s="444">
        <f t="shared" ca="1" si="191"/>
        <v>-247136561647.12363</v>
      </c>
      <c r="L4613" s="444">
        <f t="shared" ca="1" si="192"/>
        <v>-59559911356956.797</v>
      </c>
      <c r="M4613" s="460">
        <f t="shared" si="194"/>
        <v>0.05</v>
      </c>
      <c r="N4613" s="464">
        <f t="shared" si="195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93"/>
        <v>-59559911356956.797</v>
      </c>
      <c r="J4614" s="444">
        <f t="array" ref="J4614">IFERROR(INDEX('Retirement Calculator'!J:J,MATCH('Isaac 401k'!N4614,'Retirement Calculator'!A:A,0),0),0)</f>
        <v>0</v>
      </c>
      <c r="K4614" s="444">
        <f t="shared" ca="1" si="191"/>
        <v>-248166297320.65332</v>
      </c>
      <c r="L4614" s="444">
        <f t="shared" ca="1" si="192"/>
        <v>-59808077654277.453</v>
      </c>
      <c r="M4614" s="460">
        <f t="shared" si="194"/>
        <v>0.05</v>
      </c>
      <c r="N4614" s="464">
        <f t="shared" si="195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93"/>
        <v>-59808077654277.453</v>
      </c>
      <c r="J4615" s="444">
        <f t="array" ref="J4615">IFERROR(INDEX('Retirement Calculator'!J:J,MATCH('Isaac 401k'!N4615,'Retirement Calculator'!A:A,0),0),0)</f>
        <v>0</v>
      </c>
      <c r="K4615" s="444">
        <f t="shared" ca="1" si="191"/>
        <v>-249200323559.48941</v>
      </c>
      <c r="L4615" s="444">
        <f t="shared" ca="1" si="192"/>
        <v>-60057277977836.945</v>
      </c>
      <c r="M4615" s="460">
        <f t="shared" si="194"/>
        <v>0.05</v>
      </c>
      <c r="N4615" s="464">
        <f t="shared" si="195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93"/>
        <v>-60057277977836.945</v>
      </c>
      <c r="J4616" s="444">
        <f t="array" ref="J4616">IFERROR(INDEX('Retirement Calculator'!J:J,MATCH('Isaac 401k'!N4616,'Retirement Calculator'!A:A,0),0),0)</f>
        <v>0</v>
      </c>
      <c r="K4616" s="444">
        <f t="shared" ca="1" si="191"/>
        <v>-250238658240.98727</v>
      </c>
      <c r="L4616" s="444">
        <f t="shared" ca="1" si="192"/>
        <v>-60307516636077.93</v>
      </c>
      <c r="M4616" s="460">
        <f t="shared" si="194"/>
        <v>0.05</v>
      </c>
      <c r="N4616" s="464">
        <f t="shared" si="195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93"/>
        <v>-60307516636077.93</v>
      </c>
      <c r="J4617" s="444">
        <f t="array" ref="J4617">IFERROR(INDEX('Retirement Calculator'!J:J,MATCH('Isaac 401k'!N4617,'Retirement Calculator'!A:A,0),0),0)</f>
        <v>0</v>
      </c>
      <c r="K4617" s="444">
        <f t="shared" ca="1" si="191"/>
        <v>-251281319316.99136</v>
      </c>
      <c r="L4617" s="444">
        <f t="shared" ca="1" si="192"/>
        <v>-60558797955394.922</v>
      </c>
      <c r="M4617" s="460">
        <f t="shared" si="194"/>
        <v>0.05</v>
      </c>
      <c r="N4617" s="464">
        <f t="shared" si="195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93"/>
        <v>-60558797955394.922</v>
      </c>
      <c r="J4618" s="444">
        <f t="array" ref="J4618">IFERROR(INDEX('Retirement Calculator'!J:J,MATCH('Isaac 401k'!N4618,'Retirement Calculator'!A:A,0),0),0)</f>
        <v>0</v>
      </c>
      <c r="K4618" s="444">
        <f t="shared" ca="1" si="191"/>
        <v>-252328324814.14551</v>
      </c>
      <c r="L4618" s="444">
        <f t="shared" ca="1" si="192"/>
        <v>-60811126280209.07</v>
      </c>
      <c r="M4618" s="460">
        <f t="shared" si="194"/>
        <v>0.05</v>
      </c>
      <c r="N4618" s="464">
        <f t="shared" si="195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93"/>
        <v>-60811126280209.07</v>
      </c>
      <c r="J4619" s="444">
        <f t="array" ref="J4619">IFERROR(INDEX('Retirement Calculator'!J:J,MATCH('Isaac 401k'!N4619,'Retirement Calculator'!A:A,0),0),0)</f>
        <v>0</v>
      </c>
      <c r="K4619" s="444">
        <f t="shared" ca="1" si="191"/>
        <v>-253379692834.20447</v>
      </c>
      <c r="L4619" s="444">
        <f t="shared" ca="1" si="192"/>
        <v>-61064505973043.273</v>
      </c>
      <c r="M4619" s="460">
        <f t="shared" si="194"/>
        <v>0.05</v>
      </c>
      <c r="N4619" s="464">
        <f t="shared" si="195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93"/>
        <v>-61064505973043.273</v>
      </c>
      <c r="J4620" s="444">
        <f t="array" ref="J4620">IFERROR(INDEX('Retirement Calculator'!J:J,MATCH('Isaac 401k'!N4620,'Retirement Calculator'!A:A,0),0),0)</f>
        <v>0</v>
      </c>
      <c r="K4620" s="444">
        <f t="shared" ca="1" si="191"/>
        <v>-254435441554.34702</v>
      </c>
      <c r="L4620" s="444">
        <f t="shared" ca="1" si="192"/>
        <v>-61318941414597.617</v>
      </c>
      <c r="M4620" s="460">
        <f t="shared" si="194"/>
        <v>0.05</v>
      </c>
      <c r="N4620" s="464">
        <f t="shared" si="195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93"/>
        <v>-61318941414597.617</v>
      </c>
      <c r="J4621" s="444">
        <f t="array" ref="J4621">IFERROR(INDEX('Retirement Calculator'!J:J,MATCH('Isaac 401k'!N4621,'Retirement Calculator'!A:A,0),0),0)</f>
        <v>0</v>
      </c>
      <c r="K4621" s="444">
        <f t="shared" ca="1" si="191"/>
        <v>-255495589227.49002</v>
      </c>
      <c r="L4621" s="444">
        <f t="shared" ca="1" si="192"/>
        <v>-61574437003825.109</v>
      </c>
      <c r="M4621" s="460">
        <f t="shared" si="194"/>
        <v>0.05</v>
      </c>
      <c r="N4621" s="464">
        <f t="shared" si="195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93"/>
        <v>-61574437003825.109</v>
      </c>
      <c r="J4622" s="444">
        <f t="array" ref="J4622">IFERROR(INDEX('Retirement Calculator'!J:J,MATCH('Isaac 401k'!N4622,'Retirement Calculator'!A:A,0),0),0)</f>
        <v>0</v>
      </c>
      <c r="K4622" s="444">
        <f t="shared" ca="1" si="191"/>
        <v>-256560154182.60464</v>
      </c>
      <c r="L4622" s="444">
        <f t="shared" ca="1" si="192"/>
        <v>-61830997158007.711</v>
      </c>
      <c r="M4622" s="460">
        <f t="shared" si="194"/>
        <v>0.05</v>
      </c>
      <c r="N4622" s="464">
        <f t="shared" si="195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93"/>
        <v>-61830997158007.711</v>
      </c>
      <c r="J4623" s="444">
        <f t="array" ref="J4623">IFERROR(INDEX('Retirement Calculator'!J:J,MATCH('Isaac 401k'!N4623,'Retirement Calculator'!A:A,0),0),0)</f>
        <v>0</v>
      </c>
      <c r="K4623" s="444">
        <f t="shared" ca="1" si="191"/>
        <v>-257629154825.03217</v>
      </c>
      <c r="L4623" s="444">
        <f t="shared" ca="1" si="192"/>
        <v>-62088626312832.742</v>
      </c>
      <c r="M4623" s="460">
        <f t="shared" si="194"/>
        <v>0.05</v>
      </c>
      <c r="N4623" s="464">
        <f t="shared" si="195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93"/>
        <v>-62088626312832.742</v>
      </c>
      <c r="J4624" s="444">
        <f t="array" ref="J4624">IFERROR(INDEX('Retirement Calculator'!J:J,MATCH('Isaac 401k'!N4624,'Retirement Calculator'!A:A,0),0),0)</f>
        <v>0</v>
      </c>
      <c r="K4624" s="444">
        <f t="shared" ca="1" si="191"/>
        <v>-258702609636.8031</v>
      </c>
      <c r="L4624" s="444">
        <f t="shared" ca="1" si="192"/>
        <v>-62347328922469.547</v>
      </c>
      <c r="M4624" s="460">
        <f t="shared" si="194"/>
        <v>0.05</v>
      </c>
      <c r="N4624" s="464">
        <f t="shared" si="195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93"/>
        <v>-62347328922469.547</v>
      </c>
      <c r="J4625" s="444">
        <f t="array" ref="J4625">IFERROR(INDEX('Retirement Calculator'!J:J,MATCH('Isaac 401k'!N4625,'Retirement Calculator'!A:A,0),0),0)</f>
        <v>0</v>
      </c>
      <c r="K4625" s="444">
        <f t="shared" ca="1" si="191"/>
        <v>-259780537176.95642</v>
      </c>
      <c r="L4625" s="444">
        <f t="shared" ca="1" si="192"/>
        <v>-62607109459646.5</v>
      </c>
      <c r="M4625" s="460">
        <f t="shared" si="194"/>
        <v>0.05</v>
      </c>
      <c r="N4625" s="464">
        <f t="shared" si="195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93"/>
        <v>-62607109459646.5</v>
      </c>
      <c r="J4626" s="444">
        <f t="array" ref="J4626">IFERROR(INDEX('Retirement Calculator'!J:J,MATCH('Isaac 401k'!N4626,'Retirement Calculator'!A:A,0),0),0)</f>
        <v>0</v>
      </c>
      <c r="K4626" s="444">
        <f t="shared" ca="1" si="191"/>
        <v>-260862956081.86044</v>
      </c>
      <c r="L4626" s="444">
        <f t="shared" ca="1" si="192"/>
        <v>-62867972415728.359</v>
      </c>
      <c r="M4626" s="460">
        <f t="shared" si="194"/>
        <v>0.05</v>
      </c>
      <c r="N4626" s="464">
        <f t="shared" si="195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93"/>
        <v>-62867972415728.359</v>
      </c>
      <c r="J4627" s="444">
        <f t="array" ref="J4627">IFERROR(INDEX('Retirement Calculator'!J:J,MATCH('Isaac 401k'!N4627,'Retirement Calculator'!A:A,0),0),0)</f>
        <v>0</v>
      </c>
      <c r="K4627" s="444">
        <f t="shared" ca="1" si="191"/>
        <v>-261949885065.53485</v>
      </c>
      <c r="L4627" s="444">
        <f t="shared" ca="1" si="192"/>
        <v>-63129922300793.891</v>
      </c>
      <c r="M4627" s="460">
        <f t="shared" si="194"/>
        <v>0.05</v>
      </c>
      <c r="N4627" s="464">
        <f t="shared" si="195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93"/>
        <v>-63129922300793.891</v>
      </c>
      <c r="J4628" s="444">
        <f t="array" ref="J4628">IFERROR(INDEX('Retirement Calculator'!J:J,MATCH('Isaac 401k'!N4628,'Retirement Calculator'!A:A,0),0),0)</f>
        <v>0</v>
      </c>
      <c r="K4628" s="444">
        <f t="shared" ca="1" si="191"/>
        <v>-263041342919.97458</v>
      </c>
      <c r="L4628" s="444">
        <f t="shared" ca="1" si="192"/>
        <v>-63392963643713.867</v>
      </c>
      <c r="M4628" s="460">
        <f t="shared" si="194"/>
        <v>0.05</v>
      </c>
      <c r="N4628" s="464">
        <f t="shared" si="195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93"/>
        <v>-63392963643713.867</v>
      </c>
      <c r="J4629" s="444">
        <f t="array" ref="J4629">IFERROR(INDEX('Retirement Calculator'!J:J,MATCH('Isaac 401k'!N4629,'Retirement Calculator'!A:A,0),0),0)</f>
        <v>0</v>
      </c>
      <c r="K4629" s="444">
        <f t="shared" ca="1" si="191"/>
        <v>-264137348515.47446</v>
      </c>
      <c r="L4629" s="444">
        <f t="shared" ca="1" si="192"/>
        <v>-63657100992229.344</v>
      </c>
      <c r="M4629" s="460">
        <f t="shared" si="194"/>
        <v>0.05</v>
      </c>
      <c r="N4629" s="464">
        <f t="shared" si="195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93"/>
        <v>-63657100992229.344</v>
      </c>
      <c r="J4630" s="444">
        <f t="array" ref="J4630">IFERROR(INDEX('Retirement Calculator'!J:J,MATCH('Isaac 401k'!N4630,'Retirement Calculator'!A:A,0),0),0)</f>
        <v>0</v>
      </c>
      <c r="K4630" s="444">
        <f t="shared" ca="1" si="191"/>
        <v>-265237920800.9556</v>
      </c>
      <c r="L4630" s="444">
        <f t="shared" ca="1" si="192"/>
        <v>-63922338913030.297</v>
      </c>
      <c r="M4630" s="460">
        <f t="shared" si="194"/>
        <v>0.05</v>
      </c>
      <c r="N4630" s="464">
        <f t="shared" si="195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93"/>
        <v>-63922338913030.297</v>
      </c>
      <c r="J4631" s="444">
        <f t="array" ref="J4631">IFERROR(INDEX('Retirement Calculator'!J:J,MATCH('Isaac 401k'!N4631,'Retirement Calculator'!A:A,0),0),0)</f>
        <v>0</v>
      </c>
      <c r="K4631" s="444">
        <f t="shared" ca="1" si="191"/>
        <v>-266343078804.29291</v>
      </c>
      <c r="L4631" s="444">
        <f t="shared" ca="1" si="192"/>
        <v>-64188681991834.586</v>
      </c>
      <c r="M4631" s="460">
        <f t="shared" si="194"/>
        <v>0.05</v>
      </c>
      <c r="N4631" s="464">
        <f t="shared" si="195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93"/>
        <v>-64188681991834.586</v>
      </c>
      <c r="J4632" s="444">
        <f t="array" ref="J4632">IFERROR(INDEX('Retirement Calculator'!J:J,MATCH('Isaac 401k'!N4632,'Retirement Calculator'!A:A,0),0),0)</f>
        <v>0</v>
      </c>
      <c r="K4632" s="444">
        <f t="shared" ca="1" si="191"/>
        <v>-267452841632.6441</v>
      </c>
      <c r="L4632" s="444">
        <f t="shared" ca="1" si="192"/>
        <v>-64456134833467.227</v>
      </c>
      <c r="M4632" s="460">
        <f t="shared" si="194"/>
        <v>0.05</v>
      </c>
      <c r="N4632" s="464">
        <f t="shared" si="195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93"/>
        <v>-64456134833467.227</v>
      </c>
      <c r="J4633" s="444">
        <f t="array" ref="J4633">IFERROR(INDEX('Retirement Calculator'!J:J,MATCH('Isaac 401k'!N4633,'Retirement Calculator'!A:A,0),0),0)</f>
        <v>0</v>
      </c>
      <c r="K4633" s="444">
        <f t="shared" ca="1" si="191"/>
        <v>-268567228472.78012</v>
      </c>
      <c r="L4633" s="444">
        <f t="shared" ca="1" si="192"/>
        <v>-64724702061940.008</v>
      </c>
      <c r="M4633" s="460">
        <f t="shared" si="194"/>
        <v>0.05</v>
      </c>
      <c r="N4633" s="464">
        <f t="shared" si="195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93"/>
        <v>-64724702061940.008</v>
      </c>
      <c r="J4634" s="444">
        <f t="array" ref="J4634">IFERROR(INDEX('Retirement Calculator'!J:J,MATCH('Isaac 401k'!N4634,'Retirement Calculator'!A:A,0),0),0)</f>
        <v>0</v>
      </c>
      <c r="K4634" s="444">
        <f t="shared" ca="1" si="191"/>
        <v>-269686258591.41666</v>
      </c>
      <c r="L4634" s="444">
        <f t="shared" ca="1" si="192"/>
        <v>-64994388320531.422</v>
      </c>
      <c r="M4634" s="460">
        <f t="shared" si="194"/>
        <v>0.05</v>
      </c>
      <c r="N4634" s="464">
        <f t="shared" si="195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93"/>
        <v>-64994388320531.422</v>
      </c>
      <c r="J4635" s="444">
        <f t="array" ref="J4635">IFERROR(INDEX('Retirement Calculator'!J:J,MATCH('Isaac 401k'!N4635,'Retirement Calculator'!A:A,0),0),0)</f>
        <v>0</v>
      </c>
      <c r="K4635" s="444">
        <f t="shared" ca="1" si="191"/>
        <v>-270809951335.54758</v>
      </c>
      <c r="L4635" s="444">
        <f t="shared" ca="1" si="192"/>
        <v>-65265198271866.969</v>
      </c>
      <c r="M4635" s="460">
        <f t="shared" si="194"/>
        <v>0.05</v>
      </c>
      <c r="N4635" s="464">
        <f t="shared" si="195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93"/>
        <v>-65265198271866.969</v>
      </c>
      <c r="J4636" s="444">
        <f t="array" ref="J4636">IFERROR(INDEX('Retirement Calculator'!J:J,MATCH('Isaac 401k'!N4636,'Retirement Calculator'!A:A,0),0),0)</f>
        <v>0</v>
      </c>
      <c r="K4636" s="444">
        <f t="shared" ca="1" si="191"/>
        <v>-271938326132.77902</v>
      </c>
      <c r="L4636" s="444">
        <f t="shared" ca="1" si="192"/>
        <v>-65537136597999.75</v>
      </c>
      <c r="M4636" s="460">
        <f t="shared" si="194"/>
        <v>0.05</v>
      </c>
      <c r="N4636" s="464">
        <f t="shared" si="195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93"/>
        <v>-65537136597999.75</v>
      </c>
      <c r="J4637" s="444">
        <f t="array" ref="J4637">IFERROR(INDEX('Retirement Calculator'!J:J,MATCH('Isaac 401k'!N4637,'Retirement Calculator'!A:A,0),0),0)</f>
        <v>0</v>
      </c>
      <c r="K4637" s="444">
        <f t="shared" ca="1" si="191"/>
        <v>-273071402491.66559</v>
      </c>
      <c r="L4637" s="444">
        <f t="shared" ca="1" si="192"/>
        <v>-65810208000491.414</v>
      </c>
      <c r="M4637" s="460">
        <f t="shared" si="194"/>
        <v>0.05</v>
      </c>
      <c r="N4637" s="464">
        <f t="shared" si="195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93"/>
        <v>-65810208000491.414</v>
      </c>
      <c r="J4638" s="444">
        <f t="array" ref="J4638">IFERROR(INDEX('Retirement Calculator'!J:J,MATCH('Isaac 401k'!N4638,'Retirement Calculator'!A:A,0),0),0)</f>
        <v>0</v>
      </c>
      <c r="K4638" s="444">
        <f t="shared" ca="1" si="191"/>
        <v>-274209200002.04752</v>
      </c>
      <c r="L4638" s="444">
        <f t="shared" ca="1" si="192"/>
        <v>-66084417200493.461</v>
      </c>
      <c r="M4638" s="460">
        <f t="shared" si="194"/>
        <v>0.05</v>
      </c>
      <c r="N4638" s="464">
        <f t="shared" si="195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93"/>
        <v>-66084417200493.461</v>
      </c>
      <c r="J4639" s="444">
        <f t="array" ref="J4639">IFERROR(INDEX('Retirement Calculator'!J:J,MATCH('Isaac 401k'!N4639,'Retirement Calculator'!A:A,0),0),0)</f>
        <v>0</v>
      </c>
      <c r="K4639" s="444">
        <f t="shared" ca="1" si="191"/>
        <v>-275351738335.38947</v>
      </c>
      <c r="L4639" s="444">
        <f t="shared" ca="1" si="192"/>
        <v>-66359768938828.852</v>
      </c>
      <c r="M4639" s="460">
        <f t="shared" si="194"/>
        <v>0.05</v>
      </c>
      <c r="N4639" s="464">
        <f t="shared" si="195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93"/>
        <v>-66359768938828.852</v>
      </c>
      <c r="J4640" s="444">
        <f t="array" ref="J4640">IFERROR(INDEX('Retirement Calculator'!J:J,MATCH('Isaac 401k'!N4640,'Retirement Calculator'!A:A,0),0),0)</f>
        <v>0</v>
      </c>
      <c r="K4640" s="444">
        <f t="shared" ca="1" si="191"/>
        <v>-276499037245.12018</v>
      </c>
      <c r="L4640" s="444">
        <f t="shared" ca="1" si="192"/>
        <v>-66636267976073.969</v>
      </c>
      <c r="M4640" s="460">
        <f t="shared" si="194"/>
        <v>0.05</v>
      </c>
      <c r="N4640" s="464">
        <f t="shared" si="195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93"/>
        <v>-66636267976073.969</v>
      </c>
      <c r="J4641" s="444">
        <f t="array" ref="J4641">IFERROR(INDEX('Retirement Calculator'!J:J,MATCH('Isaac 401k'!N4641,'Retirement Calculator'!A:A,0),0),0)</f>
        <v>0</v>
      </c>
      <c r="K4641" s="444">
        <f t="shared" ca="1" si="191"/>
        <v>-277651116566.97485</v>
      </c>
      <c r="L4641" s="444">
        <f t="shared" ca="1" si="192"/>
        <v>-66913919092640.945</v>
      </c>
      <c r="M4641" s="460">
        <f t="shared" si="194"/>
        <v>0.05</v>
      </c>
      <c r="N4641" s="464">
        <f t="shared" si="195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93"/>
        <v>-66913919092640.945</v>
      </c>
      <c r="J4642" s="444">
        <f t="array" ref="J4642">IFERROR(INDEX('Retirement Calculator'!J:J,MATCH('Isaac 401k'!N4642,'Retirement Calculator'!A:A,0),0),0)</f>
        <v>0</v>
      </c>
      <c r="K4642" s="444">
        <f t="shared" ca="1" si="191"/>
        <v>-278807996219.33728</v>
      </c>
      <c r="L4642" s="444">
        <f t="shared" ca="1" si="192"/>
        <v>-67192727088860.281</v>
      </c>
      <c r="M4642" s="460">
        <f t="shared" si="194"/>
        <v>0.05</v>
      </c>
      <c r="N4642" s="464">
        <f t="shared" si="195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93"/>
        <v>-67192727088860.281</v>
      </c>
      <c r="J4643" s="444">
        <f t="array" ref="J4643">IFERROR(INDEX('Retirement Calculator'!J:J,MATCH('Isaac 401k'!N4643,'Retirement Calculator'!A:A,0),0),0)</f>
        <v>0</v>
      </c>
      <c r="K4643" s="444">
        <f t="shared" ca="1" si="191"/>
        <v>-279969696203.58453</v>
      </c>
      <c r="L4643" s="444">
        <f t="shared" ca="1" si="192"/>
        <v>-67472696785063.867</v>
      </c>
      <c r="M4643" s="460">
        <f t="shared" si="194"/>
        <v>0.05</v>
      </c>
      <c r="N4643" s="464">
        <f t="shared" si="195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93"/>
        <v>-67472696785063.867</v>
      </c>
      <c r="J4644" s="444">
        <f t="array" ref="J4644">IFERROR(INDEX('Retirement Calculator'!J:J,MATCH('Isaac 401k'!N4644,'Retirement Calculator'!A:A,0),0),0)</f>
        <v>0</v>
      </c>
      <c r="K4644" s="444">
        <f t="shared" ca="1" si="191"/>
        <v>-281136236604.4328</v>
      </c>
      <c r="L4644" s="444">
        <f t="shared" ca="1" si="192"/>
        <v>-67753833021668.297</v>
      </c>
      <c r="M4644" s="460">
        <f t="shared" si="194"/>
        <v>0.05</v>
      </c>
      <c r="N4644" s="464">
        <f t="shared" si="195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93"/>
        <v>-67753833021668.297</v>
      </c>
      <c r="J4645" s="444">
        <f t="array" ref="J4645">IFERROR(INDEX('Retirement Calculator'!J:J,MATCH('Isaac 401k'!N4645,'Retirement Calculator'!A:A,0),0),0)</f>
        <v>0</v>
      </c>
      <c r="K4645" s="444">
        <f t="shared" ca="1" si="191"/>
        <v>-282307637590.28455</v>
      </c>
      <c r="L4645" s="444">
        <f t="shared" ca="1" si="192"/>
        <v>-68036140659258.578</v>
      </c>
      <c r="M4645" s="460">
        <f t="shared" si="194"/>
        <v>0.05</v>
      </c>
      <c r="N4645" s="464">
        <f t="shared" si="195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93"/>
        <v>-68036140659258.578</v>
      </c>
      <c r="J4646" s="444">
        <f t="array" ref="J4646">IFERROR(INDEX('Retirement Calculator'!J:J,MATCH('Isaac 401k'!N4646,'Retirement Calculator'!A:A,0),0),0)</f>
        <v>0</v>
      </c>
      <c r="K4646" s="444">
        <f t="shared" ca="1" si="191"/>
        <v>-283483919413.57739</v>
      </c>
      <c r="L4646" s="444">
        <f t="shared" ca="1" si="192"/>
        <v>-68319624578672.156</v>
      </c>
      <c r="M4646" s="460">
        <f t="shared" si="194"/>
        <v>0.05</v>
      </c>
      <c r="N4646" s="464">
        <f t="shared" si="195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93"/>
        <v>-68319624578672.156</v>
      </c>
      <c r="J4647" s="444">
        <f t="array" ref="J4647">IFERROR(INDEX('Retirement Calculator'!J:J,MATCH('Isaac 401k'!N4647,'Retirement Calculator'!A:A,0),0),0)</f>
        <v>0</v>
      </c>
      <c r="K4647" s="444">
        <f t="shared" ca="1" si="191"/>
        <v>-284665102411.13397</v>
      </c>
      <c r="L4647" s="444">
        <f t="shared" ca="1" si="192"/>
        <v>-68604289681083.289</v>
      </c>
      <c r="M4647" s="460">
        <f t="shared" si="194"/>
        <v>0.05</v>
      </c>
      <c r="N4647" s="464">
        <f t="shared" si="195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93"/>
        <v>-68604289681083.289</v>
      </c>
      <c r="J4648" s="444">
        <f t="array" ref="J4648">IFERROR(INDEX('Retirement Calculator'!J:J,MATCH('Isaac 401k'!N4648,'Retirement Calculator'!A:A,0),0),0)</f>
        <v>0</v>
      </c>
      <c r="K4648" s="444">
        <f t="shared" ca="1" si="191"/>
        <v>-285851207004.51373</v>
      </c>
      <c r="L4648" s="444">
        <f t="shared" ca="1" si="192"/>
        <v>-68890140888087.805</v>
      </c>
      <c r="M4648" s="460">
        <f t="shared" si="194"/>
        <v>0.05</v>
      </c>
      <c r="N4648" s="464">
        <f t="shared" si="195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93"/>
        <v>-68890140888087.805</v>
      </c>
      <c r="J4649" s="444">
        <f t="array" ref="J4649">IFERROR(INDEX('Retirement Calculator'!J:J,MATCH('Isaac 401k'!N4649,'Retirement Calculator'!A:A,0),0),0)</f>
        <v>0</v>
      </c>
      <c r="K4649" s="444">
        <f t="shared" ca="1" si="191"/>
        <v>-287042253700.36584</v>
      </c>
      <c r="L4649" s="444">
        <f t="shared" ca="1" si="192"/>
        <v>-69177183141788.172</v>
      </c>
      <c r="M4649" s="460">
        <f t="shared" si="194"/>
        <v>0.05</v>
      </c>
      <c r="N4649" s="464">
        <f t="shared" si="195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93"/>
        <v>-69177183141788.172</v>
      </c>
      <c r="J4650" s="444">
        <f t="array" ref="J4650">IFERROR(INDEX('Retirement Calculator'!J:J,MATCH('Isaac 401k'!N4650,'Retirement Calculator'!A:A,0),0),0)</f>
        <v>0</v>
      </c>
      <c r="K4650" s="444">
        <f t="shared" ca="1" si="191"/>
        <v>-288238263090.78406</v>
      </c>
      <c r="L4650" s="444">
        <f t="shared" ca="1" si="192"/>
        <v>-69465421404878.953</v>
      </c>
      <c r="M4650" s="460">
        <f t="shared" si="194"/>
        <v>0.05</v>
      </c>
      <c r="N4650" s="464">
        <f t="shared" si="195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93"/>
        <v>-69465421404878.953</v>
      </c>
      <c r="J4651" s="444">
        <f t="array" ref="J4651">IFERROR(INDEX('Retirement Calculator'!J:J,MATCH('Isaac 401k'!N4651,'Retirement Calculator'!A:A,0),0),0)</f>
        <v>0</v>
      </c>
      <c r="K4651" s="444">
        <f t="shared" ca="1" si="191"/>
        <v>-289439255853.66229</v>
      </c>
      <c r="L4651" s="444">
        <f t="shared" ca="1" si="192"/>
        <v>-69754860660732.617</v>
      </c>
      <c r="M4651" s="460">
        <f t="shared" si="194"/>
        <v>0.05</v>
      </c>
      <c r="N4651" s="464">
        <f t="shared" si="195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93"/>
        <v>-69754860660732.617</v>
      </c>
      <c r="J4652" s="444">
        <f t="array" ref="J4652">IFERROR(INDEX('Retirement Calculator'!J:J,MATCH('Isaac 401k'!N4652,'Retirement Calculator'!A:A,0),0),0)</f>
        <v>0</v>
      </c>
      <c r="K4652" s="444">
        <f t="shared" ca="1" si="191"/>
        <v>-290645252753.05261</v>
      </c>
      <c r="L4652" s="444">
        <f t="shared" ca="1" si="192"/>
        <v>-70045505913485.672</v>
      </c>
      <c r="M4652" s="460">
        <f t="shared" si="194"/>
        <v>0.05</v>
      </c>
      <c r="N4652" s="464">
        <f t="shared" si="195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93"/>
        <v>-70045505913485.672</v>
      </c>
      <c r="J4653" s="444">
        <f t="array" ref="J4653">IFERROR(INDEX('Retirement Calculator'!J:J,MATCH('Isaac 401k'!N4653,'Retirement Calculator'!A:A,0),0),0)</f>
        <v>0</v>
      </c>
      <c r="K4653" s="444">
        <f t="shared" ca="1" si="191"/>
        <v>-291856274639.52368</v>
      </c>
      <c r="L4653" s="444">
        <f t="shared" ca="1" si="192"/>
        <v>-70337362188125.195</v>
      </c>
      <c r="M4653" s="460">
        <f t="shared" si="194"/>
        <v>0.05</v>
      </c>
      <c r="N4653" s="464">
        <f t="shared" si="195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93"/>
        <v>-70337362188125.195</v>
      </c>
      <c r="J4654" s="444">
        <f t="array" ref="J4654">IFERROR(INDEX('Retirement Calculator'!J:J,MATCH('Isaac 401k'!N4654,'Retirement Calculator'!A:A,0),0),0)</f>
        <v>0</v>
      </c>
      <c r="K4654" s="444">
        <f t="shared" ca="1" si="191"/>
        <v>-293072342450.52161</v>
      </c>
      <c r="L4654" s="444">
        <f t="shared" ca="1" si="192"/>
        <v>-70630434530575.719</v>
      </c>
      <c r="M4654" s="460">
        <f t="shared" si="194"/>
        <v>0.05</v>
      </c>
      <c r="N4654" s="464">
        <f t="shared" si="195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93"/>
        <v>-70630434530575.719</v>
      </c>
      <c r="J4655" s="444">
        <f t="array" ref="J4655">IFERROR(INDEX('Retirement Calculator'!J:J,MATCH('Isaac 401k'!N4655,'Retirement Calculator'!A:A,0),0),0)</f>
        <v>0</v>
      </c>
      <c r="K4655" s="444">
        <f t="shared" ca="1" si="191"/>
        <v>-294293477210.73218</v>
      </c>
      <c r="L4655" s="444">
        <f t="shared" ca="1" si="192"/>
        <v>-70924728007786.453</v>
      </c>
      <c r="M4655" s="460">
        <f t="shared" si="194"/>
        <v>0.05</v>
      </c>
      <c r="N4655" s="464">
        <f t="shared" si="195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93"/>
        <v>-70924728007786.453</v>
      </c>
      <c r="J4656" s="444">
        <f t="array" ref="J4656">IFERROR(INDEX('Retirement Calculator'!J:J,MATCH('Isaac 401k'!N4656,'Retirement Calculator'!A:A,0),0),0)</f>
        <v>0</v>
      </c>
      <c r="K4656" s="444">
        <f t="shared" ca="1" si="191"/>
        <v>-295519700032.44354</v>
      </c>
      <c r="L4656" s="444">
        <f t="shared" ca="1" si="192"/>
        <v>-71220247707818.891</v>
      </c>
      <c r="M4656" s="460">
        <f t="shared" si="194"/>
        <v>0.05</v>
      </c>
      <c r="N4656" s="464">
        <f t="shared" si="195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93"/>
        <v>-71220247707818.891</v>
      </c>
      <c r="J4657" s="444">
        <f t="array" ref="J4657">IFERROR(INDEX('Retirement Calculator'!J:J,MATCH('Isaac 401k'!N4657,'Retirement Calculator'!A:A,0),0),0)</f>
        <v>0</v>
      </c>
      <c r="K4657" s="444">
        <f t="shared" ca="1" si="191"/>
        <v>-296751032115.91205</v>
      </c>
      <c r="L4657" s="444">
        <f t="shared" ca="1" si="192"/>
        <v>-71516998739934.797</v>
      </c>
      <c r="M4657" s="460">
        <f t="shared" si="194"/>
        <v>0.05</v>
      </c>
      <c r="N4657" s="464">
        <f t="shared" si="195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93"/>
        <v>-71516998739934.797</v>
      </c>
      <c r="J4658" s="444">
        <f t="array" ref="J4658">IFERROR(INDEX('Retirement Calculator'!J:J,MATCH('Isaac 401k'!N4658,'Retirement Calculator'!A:A,0),0),0)</f>
        <v>0</v>
      </c>
      <c r="K4658" s="444">
        <f t="shared" ca="1" si="191"/>
        <v>-297987494749.72833</v>
      </c>
      <c r="L4658" s="444">
        <f t="shared" ca="1" si="192"/>
        <v>-71814986234684.531</v>
      </c>
      <c r="M4658" s="460">
        <f t="shared" si="194"/>
        <v>0.05</v>
      </c>
      <c r="N4658" s="464">
        <f t="shared" si="195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93"/>
        <v>-71814986234684.531</v>
      </c>
      <c r="J4659" s="444">
        <f t="array" ref="J4659">IFERROR(INDEX('Retirement Calculator'!J:J,MATCH('Isaac 401k'!N4659,'Retirement Calculator'!A:A,0),0),0)</f>
        <v>0</v>
      </c>
      <c r="K4659" s="444">
        <f t="shared" ca="1" si="191"/>
        <v>-299229109311.18555</v>
      </c>
      <c r="L4659" s="444">
        <f t="shared" ca="1" si="192"/>
        <v>-72114215343995.719</v>
      </c>
      <c r="M4659" s="460">
        <f t="shared" si="194"/>
        <v>0.05</v>
      </c>
      <c r="N4659" s="464">
        <f t="shared" si="195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93"/>
        <v>-72114215343995.719</v>
      </c>
      <c r="J4660" s="444">
        <f t="array" ref="J4660">IFERROR(INDEX('Retirement Calculator'!J:J,MATCH('Isaac 401k'!N4660,'Retirement Calculator'!A:A,0),0),0)</f>
        <v>0</v>
      </c>
      <c r="K4660" s="444">
        <f t="shared" ca="1" si="191"/>
        <v>-300475897266.6488</v>
      </c>
      <c r="L4660" s="444">
        <f t="shared" ca="1" si="192"/>
        <v>-72414691241262.375</v>
      </c>
      <c r="M4660" s="460">
        <f t="shared" si="194"/>
        <v>0.05</v>
      </c>
      <c r="N4660" s="464">
        <f t="shared" si="195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93"/>
        <v>-72414691241262.375</v>
      </c>
      <c r="J4661" s="444">
        <f t="array" ref="J4661">IFERROR(INDEX('Retirement Calculator'!J:J,MATCH('Isaac 401k'!N4661,'Retirement Calculator'!A:A,0),0),0)</f>
        <v>0</v>
      </c>
      <c r="K4661" s="444">
        <f t="shared" ca="1" si="191"/>
        <v>-301727880171.92657</v>
      </c>
      <c r="L4661" s="444">
        <f t="shared" ca="1" si="192"/>
        <v>-72716419121434.297</v>
      </c>
      <c r="M4661" s="460">
        <f t="shared" si="194"/>
        <v>0.05</v>
      </c>
      <c r="N4661" s="464">
        <f t="shared" si="195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93"/>
        <v>-72716419121434.297</v>
      </c>
      <c r="J4662" s="444">
        <f t="array" ref="J4662">IFERROR(INDEX('Retirement Calculator'!J:J,MATCH('Isaac 401k'!N4662,'Retirement Calculator'!A:A,0),0),0)</f>
        <v>0</v>
      </c>
      <c r="K4662" s="444">
        <f t="shared" ca="1" si="191"/>
        <v>-302985079672.64288</v>
      </c>
      <c r="L4662" s="444">
        <f t="shared" ca="1" si="192"/>
        <v>-73019404201106.938</v>
      </c>
      <c r="M4662" s="460">
        <f t="shared" si="194"/>
        <v>0.05</v>
      </c>
      <c r="N4662" s="464">
        <f t="shared" si="195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93"/>
        <v>-73019404201106.938</v>
      </c>
      <c r="J4663" s="444">
        <f t="array" ref="J4663">IFERROR(INDEX('Retirement Calculator'!J:J,MATCH('Isaac 401k'!N4663,'Retirement Calculator'!A:A,0),0),0)</f>
        <v>0</v>
      </c>
      <c r="K4663" s="444">
        <f t="shared" ca="1" si="191"/>
        <v>-304247517504.61224</v>
      </c>
      <c r="L4663" s="444">
        <f t="shared" ca="1" si="192"/>
        <v>-73323651718611.547</v>
      </c>
      <c r="M4663" s="460">
        <f t="shared" si="194"/>
        <v>0.05</v>
      </c>
      <c r="N4663" s="464">
        <f t="shared" si="195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93"/>
        <v>-73323651718611.547</v>
      </c>
      <c r="J4664" s="444">
        <f t="array" ref="J4664">IFERROR(INDEX('Retirement Calculator'!J:J,MATCH('Isaac 401k'!N4664,'Retirement Calculator'!A:A,0),0),0)</f>
        <v>0</v>
      </c>
      <c r="K4664" s="444">
        <f t="shared" ca="1" si="191"/>
        <v>-305515215494.21478</v>
      </c>
      <c r="L4664" s="444">
        <f t="shared" ca="1" si="192"/>
        <v>-73629166934105.766</v>
      </c>
      <c r="M4664" s="460">
        <f t="shared" si="194"/>
        <v>0.05</v>
      </c>
      <c r="N4664" s="464">
        <f t="shared" si="195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93"/>
        <v>-73629166934105.766</v>
      </c>
      <c r="J4665" s="444">
        <f t="array" ref="J4665">IFERROR(INDEX('Retirement Calculator'!J:J,MATCH('Isaac 401k'!N4665,'Retirement Calculator'!A:A,0),0),0)</f>
        <v>0</v>
      </c>
      <c r="K4665" s="444">
        <f t="shared" ca="1" si="191"/>
        <v>-306788195558.77405</v>
      </c>
      <c r="L4665" s="444">
        <f t="shared" ca="1" si="192"/>
        <v>-73935955129664.547</v>
      </c>
      <c r="M4665" s="460">
        <f t="shared" si="194"/>
        <v>0.05</v>
      </c>
      <c r="N4665" s="464">
        <f t="shared" si="195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93"/>
        <v>-73935955129664.547</v>
      </c>
      <c r="J4666" s="444">
        <f t="array" ref="J4666">IFERROR(INDEX('Retirement Calculator'!J:J,MATCH('Isaac 401k'!N4666,'Retirement Calculator'!A:A,0),0),0)</f>
        <v>0</v>
      </c>
      <c r="K4666" s="444">
        <f t="shared" ca="1" si="191"/>
        <v>-308066479706.93561</v>
      </c>
      <c r="L4666" s="444">
        <f t="shared" ca="1" si="192"/>
        <v>-74244021609371.484</v>
      </c>
      <c r="M4666" s="460">
        <f t="shared" si="194"/>
        <v>0.05</v>
      </c>
      <c r="N4666" s="464">
        <f t="shared" si="195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93"/>
        <v>-74244021609371.484</v>
      </c>
      <c r="J4667" s="444">
        <f t="array" ref="J4667">IFERROR(INDEX('Retirement Calculator'!J:J,MATCH('Isaac 401k'!N4667,'Retirement Calculator'!A:A,0),0),0)</f>
        <v>0</v>
      </c>
      <c r="K4667" s="444">
        <f t="shared" ca="1" si="191"/>
        <v>-309350090039.04785</v>
      </c>
      <c r="L4667" s="444">
        <f t="shared" ca="1" si="192"/>
        <v>-74553371699410.531</v>
      </c>
      <c r="M4667" s="460">
        <f t="shared" si="194"/>
        <v>0.05</v>
      </c>
      <c r="N4667" s="464">
        <f t="shared" si="195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93"/>
        <v>-74553371699410.531</v>
      </c>
      <c r="J4668" s="444">
        <f t="array" ref="J4668">IFERROR(INDEX('Retirement Calculator'!J:J,MATCH('Isaac 401k'!N4668,'Retirement Calculator'!A:A,0),0),0)</f>
        <v>0</v>
      </c>
      <c r="K4668" s="444">
        <f t="shared" ca="1" si="191"/>
        <v>-310639048747.54388</v>
      </c>
      <c r="L4668" s="444">
        <f t="shared" ca="1" si="192"/>
        <v>-74864010748158.078</v>
      </c>
      <c r="M4668" s="460">
        <f t="shared" si="194"/>
        <v>0.05</v>
      </c>
      <c r="N4668" s="464">
        <f t="shared" si="195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93"/>
        <v>-74864010748158.078</v>
      </c>
      <c r="J4669" s="444">
        <f t="array" ref="J4669">IFERROR(INDEX('Retirement Calculator'!J:J,MATCH('Isaac 401k'!N4669,'Retirement Calculator'!A:A,0),0),0)</f>
        <v>0</v>
      </c>
      <c r="K4669" s="444">
        <f t="shared" ca="1" si="191"/>
        <v>-311933378117.32532</v>
      </c>
      <c r="L4669" s="444">
        <f t="shared" ca="1" si="192"/>
        <v>-75175944126275.406</v>
      </c>
      <c r="M4669" s="460">
        <f t="shared" si="194"/>
        <v>0.05</v>
      </c>
      <c r="N4669" s="464">
        <f t="shared" si="195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93"/>
        <v>-75175944126275.406</v>
      </c>
      <c r="J4670" s="444">
        <f t="array" ref="J4670">IFERROR(INDEX('Retirement Calculator'!J:J,MATCH('Isaac 401k'!N4670,'Retirement Calculator'!A:A,0),0),0)</f>
        <v>0</v>
      </c>
      <c r="K4670" s="444">
        <f t="shared" ca="1" si="191"/>
        <v>-313233100526.14752</v>
      </c>
      <c r="L4670" s="444">
        <f t="shared" ca="1" si="192"/>
        <v>-75489177226801.547</v>
      </c>
      <c r="M4670" s="460">
        <f t="shared" si="194"/>
        <v>0.05</v>
      </c>
      <c r="N4670" s="464">
        <f t="shared" si="195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93"/>
        <v>-75489177226801.547</v>
      </c>
      <c r="J4671" s="444">
        <f t="array" ref="J4671">IFERROR(INDEX('Retirement Calculator'!J:J,MATCH('Isaac 401k'!N4671,'Retirement Calculator'!A:A,0),0),0)</f>
        <v>0</v>
      </c>
      <c r="K4671" s="444">
        <f t="shared" ca="1" si="191"/>
        <v>-314538238445.00647</v>
      </c>
      <c r="L4671" s="444">
        <f t="shared" ca="1" si="192"/>
        <v>-75803715465246.547</v>
      </c>
      <c r="M4671" s="460">
        <f t="shared" si="194"/>
        <v>0.05</v>
      </c>
      <c r="N4671" s="464">
        <f t="shared" si="195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93"/>
        <v>-75803715465246.547</v>
      </c>
      <c r="J4672" s="444">
        <f t="array" ref="J4672">IFERROR(INDEX('Retirement Calculator'!J:J,MATCH('Isaac 401k'!N4672,'Retirement Calculator'!A:A,0),0),0)</f>
        <v>0</v>
      </c>
      <c r="K4672" s="444">
        <f t="shared" ca="1" si="191"/>
        <v>-315848814438.52728</v>
      </c>
      <c r="L4672" s="444">
        <f t="shared" ca="1" si="192"/>
        <v>-76119564279685.078</v>
      </c>
      <c r="M4672" s="460">
        <f t="shared" si="194"/>
        <v>0.05</v>
      </c>
      <c r="N4672" s="464">
        <f t="shared" si="195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93"/>
        <v>-76119564279685.078</v>
      </c>
      <c r="J4673" s="444">
        <f t="array" ref="J4673">IFERROR(INDEX('Retirement Calculator'!J:J,MATCH('Isaac 401k'!N4673,'Retirement Calculator'!A:A,0),0),0)</f>
        <v>0</v>
      </c>
      <c r="K4673" s="444">
        <f t="shared" ca="1" si="191"/>
        <v>-317164851165.35449</v>
      </c>
      <c r="L4673" s="444">
        <f t="shared" ca="1" si="192"/>
        <v>-76436729130850.438</v>
      </c>
      <c r="M4673" s="460">
        <f t="shared" si="194"/>
        <v>0.05</v>
      </c>
      <c r="N4673" s="464">
        <f t="shared" si="195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93"/>
        <v>-76436729130850.438</v>
      </c>
      <c r="J4674" s="444">
        <f t="array" ref="J4674">IFERROR(INDEX('Retirement Calculator'!J:J,MATCH('Isaac 401k'!N4674,'Retirement Calculator'!A:A,0),0),0)</f>
        <v>0</v>
      </c>
      <c r="K4674" s="444">
        <f t="shared" ca="1" si="191"/>
        <v>-318486371378.54346</v>
      </c>
      <c r="L4674" s="444">
        <f t="shared" ca="1" si="192"/>
        <v>-76755215502228.984</v>
      </c>
      <c r="M4674" s="460">
        <f t="shared" si="194"/>
        <v>0.05</v>
      </c>
      <c r="N4674" s="464">
        <f t="shared" si="195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93"/>
        <v>-76755215502228.984</v>
      </c>
      <c r="J4675" s="444">
        <f t="array" ref="J4675">IFERROR(INDEX('Retirement Calculator'!J:J,MATCH('Isaac 401k'!N4675,'Retirement Calculator'!A:A,0),0),0)</f>
        <v>0</v>
      </c>
      <c r="K4675" s="444">
        <f t="shared" ca="1" si="191"/>
        <v>-319813397925.9541</v>
      </c>
      <c r="L4675" s="444">
        <f t="shared" ca="1" si="192"/>
        <v>-77075028900154.938</v>
      </c>
      <c r="M4675" s="460">
        <f t="shared" si="194"/>
        <v>0.05</v>
      </c>
      <c r="N4675" s="464">
        <f t="shared" si="195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93"/>
        <v>-77075028900154.938</v>
      </c>
      <c r="J4676" s="444">
        <f t="array" ref="J4676">IFERROR(INDEX('Retirement Calculator'!J:J,MATCH('Isaac 401k'!N4676,'Retirement Calculator'!A:A,0),0),0)</f>
        <v>0</v>
      </c>
      <c r="K4676" s="444">
        <f t="shared" ca="1" si="191"/>
        <v>-321145953750.64557</v>
      </c>
      <c r="L4676" s="444">
        <f t="shared" ca="1" si="192"/>
        <v>-77396174853905.578</v>
      </c>
      <c r="M4676" s="460">
        <f t="shared" si="194"/>
        <v>0.05</v>
      </c>
      <c r="N4676" s="464">
        <f t="shared" si="195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93"/>
        <v>-77396174853905.578</v>
      </c>
      <c r="J4677" s="444">
        <f t="array" ref="J4677">IFERROR(INDEX('Retirement Calculator'!J:J,MATCH('Isaac 401k'!N4677,'Retirement Calculator'!A:A,0),0),0)</f>
        <v>0</v>
      </c>
      <c r="K4677" s="444">
        <f t="shared" ca="1" si="191"/>
        <v>-322484061891.27325</v>
      </c>
      <c r="L4677" s="444">
        <f t="shared" ca="1" si="192"/>
        <v>-77718658915796.844</v>
      </c>
      <c r="M4677" s="460">
        <f t="shared" si="194"/>
        <v>0.05</v>
      </c>
      <c r="N4677" s="464">
        <f t="shared" si="195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93"/>
        <v>-77718658915796.844</v>
      </c>
      <c r="J4678" s="444">
        <f t="array" ref="J4678">IFERROR(INDEX('Retirement Calculator'!J:J,MATCH('Isaac 401k'!N4678,'Retirement Calculator'!A:A,0),0),0)</f>
        <v>0</v>
      </c>
      <c r="K4678" s="444">
        <f t="shared" ca="1" si="191"/>
        <v>-323827745482.48682</v>
      </c>
      <c r="L4678" s="444">
        <f t="shared" ca="1" si="192"/>
        <v>-78042486661279.328</v>
      </c>
      <c r="M4678" s="460">
        <f t="shared" si="194"/>
        <v>0.05</v>
      </c>
      <c r="N4678" s="464">
        <f t="shared" si="195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93"/>
        <v>-78042486661279.328</v>
      </c>
      <c r="J4679" s="444">
        <f t="array" ref="J4679">IFERROR(INDEX('Retirement Calculator'!J:J,MATCH('Isaac 401k'!N4679,'Retirement Calculator'!A:A,0),0),0)</f>
        <v>0</v>
      </c>
      <c r="K4679" s="444">
        <f t="shared" ca="1" si="191"/>
        <v>-325177027755.33051</v>
      </c>
      <c r="L4679" s="444">
        <f t="shared" ca="1" si="192"/>
        <v>-78367663689034.656</v>
      </c>
      <c r="M4679" s="460">
        <f t="shared" si="194"/>
        <v>0.05</v>
      </c>
      <c r="N4679" s="464">
        <f t="shared" si="195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93"/>
        <v>-78367663689034.656</v>
      </c>
      <c r="J4680" s="444">
        <f t="array" ref="J4680">IFERROR(INDEX('Retirement Calculator'!J:J,MATCH('Isaac 401k'!N4680,'Retirement Calculator'!A:A,0),0),0)</f>
        <v>0</v>
      </c>
      <c r="K4680" s="444">
        <f t="shared" ca="1" si="191"/>
        <v>-326531932037.64441</v>
      </c>
      <c r="L4680" s="444">
        <f t="shared" ca="1" si="192"/>
        <v>-78694195621072.297</v>
      </c>
      <c r="M4680" s="460">
        <f t="shared" si="194"/>
        <v>0.05</v>
      </c>
      <c r="N4680" s="464">
        <f t="shared" si="195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93"/>
        <v>-78694195621072.297</v>
      </c>
      <c r="J4681" s="444">
        <f t="array" ref="J4681">IFERROR(INDEX('Retirement Calculator'!J:J,MATCH('Isaac 401k'!N4681,'Retirement Calculator'!A:A,0),0),0)</f>
        <v>0</v>
      </c>
      <c r="K4681" s="444">
        <f t="shared" ca="1" si="191"/>
        <v>-327892481754.4679</v>
      </c>
      <c r="L4681" s="444">
        <f t="shared" ca="1" si="192"/>
        <v>-79022088102826.766</v>
      </c>
      <c r="M4681" s="460">
        <f t="shared" si="194"/>
        <v>0.05</v>
      </c>
      <c r="N4681" s="464">
        <f t="shared" si="195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93"/>
        <v>-79022088102826.766</v>
      </c>
      <c r="J4682" s="444">
        <f t="array" ref="J4682">IFERROR(INDEX('Retirement Calculator'!J:J,MATCH('Isaac 401k'!N4682,'Retirement Calculator'!A:A,0),0),0)</f>
        <v>0</v>
      </c>
      <c r="K4682" s="444">
        <f t="shared" ca="1" si="191"/>
        <v>-329258700428.44482</v>
      </c>
      <c r="L4682" s="444">
        <f t="shared" ca="1" si="192"/>
        <v>-79351346803255.203</v>
      </c>
      <c r="M4682" s="460">
        <f t="shared" si="194"/>
        <v>0.05</v>
      </c>
      <c r="N4682" s="464">
        <f t="shared" si="195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93"/>
        <v>-79351346803255.203</v>
      </c>
      <c r="J4683" s="444">
        <f t="array" ref="J4683">IFERROR(INDEX('Retirement Calculator'!J:J,MATCH('Isaac 401k'!N4683,'Retirement Calculator'!A:A,0),0),0)</f>
        <v>0</v>
      </c>
      <c r="K4683" s="444">
        <f t="shared" ca="1" si="191"/>
        <v>-330630611680.22998</v>
      </c>
      <c r="L4683" s="444">
        <f t="shared" ca="1" si="192"/>
        <v>-79681977414935.438</v>
      </c>
      <c r="M4683" s="460">
        <f t="shared" si="194"/>
        <v>0.05</v>
      </c>
      <c r="N4683" s="464">
        <f t="shared" si="195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93"/>
        <v>-79681977414935.438</v>
      </c>
      <c r="J4684" s="444">
        <f t="array" ref="J4684">IFERROR(INDEX('Retirement Calculator'!J:J,MATCH('Isaac 401k'!N4684,'Retirement Calculator'!A:A,0),0),0)</f>
        <v>0</v>
      </c>
      <c r="K4684" s="444">
        <f t="shared" ca="1" si="191"/>
        <v>-332008239228.89764</v>
      </c>
      <c r="L4684" s="444">
        <f t="shared" ca="1" si="192"/>
        <v>-80013985654164.328</v>
      </c>
      <c r="M4684" s="460">
        <f t="shared" si="194"/>
        <v>0.05</v>
      </c>
      <c r="N4684" s="464">
        <f t="shared" si="195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93"/>
        <v>-80013985654164.328</v>
      </c>
      <c r="J4685" s="444">
        <f t="array" ref="J4685">IFERROR(INDEX('Retirement Calculator'!J:J,MATCH('Isaac 401k'!N4685,'Retirement Calculator'!A:A,0),0),0)</f>
        <v>0</v>
      </c>
      <c r="K4685" s="444">
        <f t="shared" ca="1" si="191"/>
        <v>-333391606892.35138</v>
      </c>
      <c r="L4685" s="444">
        <f t="shared" ca="1" si="192"/>
        <v>-80347377261056.672</v>
      </c>
      <c r="M4685" s="460">
        <f t="shared" si="194"/>
        <v>0.05</v>
      </c>
      <c r="N4685" s="464">
        <f t="shared" si="195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93"/>
        <v>-80347377261056.672</v>
      </c>
      <c r="J4686" s="444">
        <f t="array" ref="J4686">IFERROR(INDEX('Retirement Calculator'!J:J,MATCH('Isaac 401k'!N4686,'Retirement Calculator'!A:A,0),0),0)</f>
        <v>0</v>
      </c>
      <c r="K4686" s="444">
        <f t="shared" ca="1" si="191"/>
        <v>-334780738587.73615</v>
      </c>
      <c r="L4686" s="444">
        <f t="shared" ca="1" si="192"/>
        <v>-80682157999644.406</v>
      </c>
      <c r="M4686" s="460">
        <f t="shared" si="194"/>
        <v>0.05</v>
      </c>
      <c r="N4686" s="464">
        <f t="shared" si="195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93"/>
        <v>-80682157999644.406</v>
      </c>
      <c r="J4687" s="444">
        <f t="array" ref="J4687">IFERROR(INDEX('Retirement Calculator'!J:J,MATCH('Isaac 401k'!N4687,'Retirement Calculator'!A:A,0),0),0)</f>
        <v>0</v>
      </c>
      <c r="K4687" s="444">
        <f t="shared" ca="1" si="191"/>
        <v>-336175658331.85168</v>
      </c>
      <c r="L4687" s="444">
        <f t="shared" ca="1" si="192"/>
        <v>-81018333657976.266</v>
      </c>
      <c r="M4687" s="460">
        <f t="shared" si="194"/>
        <v>0.05</v>
      </c>
      <c r="N4687" s="464">
        <f t="shared" si="195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93"/>
        <v>-81018333657976.266</v>
      </c>
      <c r="J4688" s="444">
        <f t="array" ref="J4688">IFERROR(INDEX('Retirement Calculator'!J:J,MATCH('Isaac 401k'!N4688,'Retirement Calculator'!A:A,0),0),0)</f>
        <v>0</v>
      </c>
      <c r="K4688" s="444">
        <f t="shared" ca="1" si="191"/>
        <v>-337576390241.56775</v>
      </c>
      <c r="L4688" s="444">
        <f t="shared" ca="1" si="192"/>
        <v>-81355910048217.828</v>
      </c>
      <c r="M4688" s="460">
        <f t="shared" si="194"/>
        <v>0.05</v>
      </c>
      <c r="N4688" s="464">
        <f t="shared" si="195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93"/>
        <v>-81355910048217.828</v>
      </c>
      <c r="J4689" s="444">
        <f t="array" ref="J4689">IFERROR(INDEX('Retirement Calculator'!J:J,MATCH('Isaac 401k'!N4689,'Retirement Calculator'!A:A,0),0),0)</f>
        <v>0</v>
      </c>
      <c r="K4689" s="444">
        <f t="shared" ca="1" si="191"/>
        <v>-338982958534.24097</v>
      </c>
      <c r="L4689" s="444">
        <f t="shared" ca="1" si="192"/>
        <v>-81694893006752.063</v>
      </c>
      <c r="M4689" s="460">
        <f t="shared" si="194"/>
        <v>0.05</v>
      </c>
      <c r="N4689" s="464">
        <f t="shared" si="195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93"/>
        <v>-81694893006752.063</v>
      </c>
      <c r="J4690" s="444">
        <f t="array" ref="J4690">IFERROR(INDEX('Retirement Calculator'!J:J,MATCH('Isaac 401k'!N4690,'Retirement Calculator'!A:A,0),0),0)</f>
        <v>0</v>
      </c>
      <c r="K4690" s="444">
        <f t="shared" ca="1" si="191"/>
        <v>-340395387528.13361</v>
      </c>
      <c r="L4690" s="444">
        <f t="shared" ca="1" si="192"/>
        <v>-82035288394280.203</v>
      </c>
      <c r="M4690" s="460">
        <f t="shared" si="194"/>
        <v>0.05</v>
      </c>
      <c r="N4690" s="464">
        <f t="shared" si="195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93"/>
        <v>-82035288394280.203</v>
      </c>
      <c r="J4691" s="444">
        <f t="array" ref="J4691">IFERROR(INDEX('Retirement Calculator'!J:J,MATCH('Isaac 401k'!N4691,'Retirement Calculator'!A:A,0),0),0)</f>
        <v>0</v>
      </c>
      <c r="K4691" s="444">
        <f t="shared" ca="1" si="191"/>
        <v>-341813701642.83417</v>
      </c>
      <c r="L4691" s="444">
        <f t="shared" ca="1" si="192"/>
        <v>-82377102095923.031</v>
      </c>
      <c r="M4691" s="460">
        <f t="shared" si="194"/>
        <v>0.05</v>
      </c>
      <c r="N4691" s="464">
        <f t="shared" si="195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93"/>
        <v>-82377102095923.031</v>
      </c>
      <c r="J4692" s="444">
        <f t="array" ref="J4692">IFERROR(INDEX('Retirement Calculator'!J:J,MATCH('Isaac 401k'!N4692,'Retirement Calculator'!A:A,0),0),0)</f>
        <v>0</v>
      </c>
      <c r="K4692" s="444">
        <f t="shared" ca="1" si="191"/>
        <v>-343237925399.67932</v>
      </c>
      <c r="L4692" s="444">
        <f t="shared" ca="1" si="192"/>
        <v>-82720340021322.703</v>
      </c>
      <c r="M4692" s="460">
        <f t="shared" si="194"/>
        <v>0.05</v>
      </c>
      <c r="N4692" s="464">
        <f t="shared" si="195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93"/>
        <v>-82720340021322.703</v>
      </c>
      <c r="J4693" s="444">
        <f t="array" ref="J4693">IFERROR(INDEX('Retirement Calculator'!J:J,MATCH('Isaac 401k'!N4693,'Retirement Calculator'!A:A,0),0),0)</f>
        <v>0</v>
      </c>
      <c r="K4693" s="444">
        <f t="shared" ca="1" si="191"/>
        <v>-344668083422.17792</v>
      </c>
      <c r="L4693" s="444">
        <f t="shared" ca="1" si="192"/>
        <v>-83065008104744.875</v>
      </c>
      <c r="M4693" s="460">
        <f t="shared" si="194"/>
        <v>0.05</v>
      </c>
      <c r="N4693" s="464">
        <f t="shared" si="195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93"/>
        <v>-83065008104744.875</v>
      </c>
      <c r="J4694" s="444">
        <f t="array" ref="J4694">IFERROR(INDEX('Retirement Calculator'!J:J,MATCH('Isaac 401k'!N4694,'Retirement Calculator'!A:A,0),0),0)</f>
        <v>0</v>
      </c>
      <c r="K4694" s="444">
        <f t="shared" ca="1" si="191"/>
        <v>-346104200436.43695</v>
      </c>
      <c r="L4694" s="444">
        <f t="shared" ca="1" si="192"/>
        <v>-83411112305181.313</v>
      </c>
      <c r="M4694" s="460">
        <f t="shared" si="194"/>
        <v>0.05</v>
      </c>
      <c r="N4694" s="464">
        <f t="shared" si="195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93"/>
        <v>-83411112305181.313</v>
      </c>
      <c r="J4695" s="444">
        <f t="array" ref="J4695">IFERROR(INDEX('Retirement Calculator'!J:J,MATCH('Isaac 401k'!N4695,'Retirement Calculator'!A:A,0),0),0)</f>
        <v>0</v>
      </c>
      <c r="K4695" s="444">
        <f t="shared" ca="1" si="191"/>
        <v>-347546301271.58881</v>
      </c>
      <c r="L4695" s="444">
        <f t="shared" ca="1" si="192"/>
        <v>-83758658606452.906</v>
      </c>
      <c r="M4695" s="460">
        <f t="shared" si="194"/>
        <v>0.05</v>
      </c>
      <c r="N4695" s="464">
        <f t="shared" si="195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93"/>
        <v>-83758658606452.906</v>
      </c>
      <c r="J4696" s="444">
        <f t="array" ref="J4696">IFERROR(INDEX('Retirement Calculator'!J:J,MATCH('Isaac 401k'!N4696,'Retirement Calculator'!A:A,0),0),0)</f>
        <v>0</v>
      </c>
      <c r="K4696" s="444">
        <f t="shared" ca="1" si="191"/>
        <v>-348994410860.22046</v>
      </c>
      <c r="L4696" s="444">
        <f t="shared" ca="1" si="192"/>
        <v>-84107653017313.125</v>
      </c>
      <c r="M4696" s="460">
        <f t="shared" si="194"/>
        <v>0.05</v>
      </c>
      <c r="N4696" s="464">
        <f t="shared" si="195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93"/>
        <v>-84107653017313.125</v>
      </c>
      <c r="J4697" s="444">
        <f t="array" ref="J4697">IFERROR(INDEX('Retirement Calculator'!J:J,MATCH('Isaac 401k'!N4697,'Retirement Calculator'!A:A,0),0),0)</f>
        <v>0</v>
      </c>
      <c r="K4697" s="444">
        <f t="shared" ca="1" si="191"/>
        <v>-350448554238.80469</v>
      </c>
      <c r="L4697" s="444">
        <f t="shared" ca="1" si="192"/>
        <v>-84458101571551.938</v>
      </c>
      <c r="M4697" s="460">
        <f t="shared" si="194"/>
        <v>0.05</v>
      </c>
      <c r="N4697" s="464">
        <f t="shared" si="195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93"/>
        <v>-84458101571551.938</v>
      </c>
      <c r="J4698" s="444">
        <f t="array" ref="J4698">IFERROR(INDEX('Retirement Calculator'!J:J,MATCH('Isaac 401k'!N4698,'Retirement Calculator'!A:A,0),0),0)</f>
        <v>0</v>
      </c>
      <c r="K4698" s="444">
        <f t="shared" ca="1" si="191"/>
        <v>-351908756548.13306</v>
      </c>
      <c r="L4698" s="444">
        <f t="shared" ca="1" si="192"/>
        <v>-84810010328100.078</v>
      </c>
      <c r="M4698" s="460">
        <f t="shared" si="194"/>
        <v>0.05</v>
      </c>
      <c r="N4698" s="464">
        <f t="shared" si="195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93"/>
        <v>-84810010328100.078</v>
      </c>
      <c r="J4699" s="444">
        <f t="array" ref="J4699">IFERROR(INDEX('Retirement Calculator'!J:J,MATCH('Isaac 401k'!N4699,'Retirement Calculator'!A:A,0),0),0)</f>
        <v>0</v>
      </c>
      <c r="K4699" s="444">
        <f t="shared" ca="1" si="191"/>
        <v>-353375043033.75031</v>
      </c>
      <c r="L4699" s="444">
        <f t="shared" ca="1" si="192"/>
        <v>-85163385371133.828</v>
      </c>
      <c r="M4699" s="460">
        <f t="shared" si="194"/>
        <v>0.05</v>
      </c>
      <c r="N4699" s="464">
        <f t="shared" si="195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93"/>
        <v>-85163385371133.828</v>
      </c>
      <c r="J4700" s="444">
        <f t="array" ref="J4700">IFERROR(INDEX('Retirement Calculator'!J:J,MATCH('Isaac 401k'!N4700,'Retirement Calculator'!A:A,0),0),0)</f>
        <v>0</v>
      </c>
      <c r="K4700" s="444">
        <f t="shared" ca="1" si="191"/>
        <v>-354847439046.39093</v>
      </c>
      <c r="L4700" s="444">
        <f t="shared" ca="1" si="192"/>
        <v>-85518232810180.219</v>
      </c>
      <c r="M4700" s="460">
        <f t="shared" si="194"/>
        <v>0.05</v>
      </c>
      <c r="N4700" s="464">
        <f t="shared" si="195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93"/>
        <v>-85518232810180.219</v>
      </c>
      <c r="J4701" s="444">
        <f t="array" ref="J4701">IFERROR(INDEX('Retirement Calculator'!J:J,MATCH('Isaac 401k'!N4701,'Retirement Calculator'!A:A,0),0),0)</f>
        <v>0</v>
      </c>
      <c r="K4701" s="444">
        <f t="shared" ca="1" si="191"/>
        <v>-356325970042.4176</v>
      </c>
      <c r="L4701" s="444">
        <f t="shared" ca="1" si="192"/>
        <v>-85874558780222.641</v>
      </c>
      <c r="M4701" s="460">
        <f t="shared" si="194"/>
        <v>0.05</v>
      </c>
      <c r="N4701" s="464">
        <f t="shared" si="195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93"/>
        <v>-85874558780222.641</v>
      </c>
      <c r="J4702" s="444">
        <f t="array" ref="J4702">IFERROR(INDEX('Retirement Calculator'!J:J,MATCH('Isaac 401k'!N4702,'Retirement Calculator'!A:A,0),0),0)</f>
        <v>0</v>
      </c>
      <c r="K4702" s="444">
        <f t="shared" ca="1" si="191"/>
        <v>-357810661584.26099</v>
      </c>
      <c r="L4702" s="444">
        <f t="shared" ca="1" si="192"/>
        <v>-86232369441806.906</v>
      </c>
      <c r="M4702" s="460">
        <f t="shared" si="194"/>
        <v>0.05</v>
      </c>
      <c r="N4702" s="464">
        <f t="shared" si="195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93"/>
        <v>-86232369441806.906</v>
      </c>
      <c r="J4703" s="444">
        <f t="array" ref="J4703">IFERROR(INDEX('Retirement Calculator'!J:J,MATCH('Isaac 401k'!N4703,'Retirement Calculator'!A:A,0),0),0)</f>
        <v>0</v>
      </c>
      <c r="K4703" s="444">
        <f t="shared" ca="1" si="191"/>
        <v>-359301539340.86212</v>
      </c>
      <c r="L4703" s="444">
        <f t="shared" ca="1" si="192"/>
        <v>-86591670981147.766</v>
      </c>
      <c r="M4703" s="460">
        <f t="shared" si="194"/>
        <v>0.05</v>
      </c>
      <c r="N4703" s="464">
        <f t="shared" si="195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93"/>
        <v>-86591670981147.766</v>
      </c>
      <c r="J4704" s="444">
        <f t="array" ref="J4704">IFERROR(INDEX('Retirement Calculator'!J:J,MATCH('Isaac 401k'!N4704,'Retirement Calculator'!A:A,0),0),0)</f>
        <v>0</v>
      </c>
      <c r="K4704" s="444">
        <f t="shared" ca="1" si="191"/>
        <v>-360798629088.11566</v>
      </c>
      <c r="L4704" s="444">
        <f t="shared" ca="1" si="192"/>
        <v>-86952469610235.875</v>
      </c>
      <c r="M4704" s="460">
        <f t="shared" si="194"/>
        <v>0.05</v>
      </c>
      <c r="N4704" s="464">
        <f t="shared" si="195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93"/>
        <v>-86952469610235.875</v>
      </c>
      <c r="J4705" s="444">
        <f t="array" ref="J4705">IFERROR(INDEX('Retirement Calculator'!J:J,MATCH('Isaac 401k'!N4705,'Retirement Calculator'!A:A,0),0),0)</f>
        <v>0</v>
      </c>
      <c r="K4705" s="444">
        <f t="shared" ca="1" si="191"/>
        <v>-362301956709.31616</v>
      </c>
      <c r="L4705" s="444">
        <f t="shared" ca="1" si="192"/>
        <v>-87314771566945.188</v>
      </c>
      <c r="M4705" s="460">
        <f t="shared" si="194"/>
        <v>0.05</v>
      </c>
      <c r="N4705" s="464">
        <f t="shared" si="195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93"/>
        <v>-87314771566945.188</v>
      </c>
      <c r="J4706" s="444">
        <f t="array" ref="J4706">IFERROR(INDEX('Retirement Calculator'!J:J,MATCH('Isaac 401k'!N4706,'Retirement Calculator'!A:A,0),0),0)</f>
        <v>0</v>
      </c>
      <c r="K4706" s="444">
        <f t="shared" ca="1" si="191"/>
        <v>-363811548195.60492</v>
      </c>
      <c r="L4706" s="444">
        <f t="shared" ca="1" si="192"/>
        <v>-87678583115140.797</v>
      </c>
      <c r="M4706" s="460">
        <f t="shared" si="194"/>
        <v>0.05</v>
      </c>
      <c r="N4706" s="464">
        <f t="shared" si="195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93"/>
        <v>-87678583115140.797</v>
      </c>
      <c r="J4707" s="444">
        <f t="array" ref="J4707">IFERROR(INDEX('Retirement Calculator'!J:J,MATCH('Isaac 401k'!N4707,'Retirement Calculator'!A:A,0),0),0)</f>
        <v>0</v>
      </c>
      <c r="K4707" s="444">
        <f t="shared" ca="1" si="191"/>
        <v>-365327429646.41998</v>
      </c>
      <c r="L4707" s="444">
        <f t="shared" ca="1" si="192"/>
        <v>-88043910544787.219</v>
      </c>
      <c r="M4707" s="460">
        <f t="shared" si="194"/>
        <v>0.05</v>
      </c>
      <c r="N4707" s="464">
        <f t="shared" si="195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93"/>
        <v>-88043910544787.219</v>
      </c>
      <c r="J4708" s="444">
        <f t="array" ref="J4708">IFERROR(INDEX('Retirement Calculator'!J:J,MATCH('Isaac 401k'!N4708,'Retirement Calculator'!A:A,0),0),0)</f>
        <v>0</v>
      </c>
      <c r="K4708" s="444">
        <f t="shared" ca="1" si="191"/>
        <v>-366849627269.94672</v>
      </c>
      <c r="L4708" s="444">
        <f t="shared" ca="1" si="192"/>
        <v>-88410760172057.172</v>
      </c>
      <c r="M4708" s="460">
        <f t="shared" si="194"/>
        <v>0.05</v>
      </c>
      <c r="N4708" s="464">
        <f t="shared" si="195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93"/>
        <v>-88410760172057.172</v>
      </c>
      <c r="J4709" s="444">
        <f t="array" ref="J4709">IFERROR(INDEX('Retirement Calculator'!J:J,MATCH('Isaac 401k'!N4709,'Retirement Calculator'!A:A,0),0),0)</f>
        <v>0</v>
      </c>
      <c r="K4709" s="444">
        <f t="shared" ca="1" si="191"/>
        <v>-368378167383.57153</v>
      </c>
      <c r="L4709" s="444">
        <f t="shared" ca="1" si="192"/>
        <v>-88779138339440.75</v>
      </c>
      <c r="M4709" s="460">
        <f t="shared" si="194"/>
        <v>0.05</v>
      </c>
      <c r="N4709" s="464">
        <f t="shared" si="195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93"/>
        <v>-88779138339440.75</v>
      </c>
      <c r="J4710" s="444">
        <f t="array" ref="J4710">IFERROR(INDEX('Retirement Calculator'!J:J,MATCH('Isaac 401k'!N4710,'Retirement Calculator'!A:A,0),0),0)</f>
        <v>0</v>
      </c>
      <c r="K4710" s="444">
        <f t="shared" ca="1" si="191"/>
        <v>-369913076414.33643</v>
      </c>
      <c r="L4710" s="444">
        <f t="shared" ca="1" si="192"/>
        <v>-89149051415855.094</v>
      </c>
      <c r="M4710" s="460">
        <f t="shared" si="194"/>
        <v>0.05</v>
      </c>
      <c r="N4710" s="464">
        <f t="shared" si="195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93"/>
        <v>-89149051415855.094</v>
      </c>
      <c r="J4711" s="444">
        <f t="array" ref="J4711">IFERROR(INDEX('Retirement Calculator'!J:J,MATCH('Isaac 401k'!N4711,'Retirement Calculator'!A:A,0),0),0)</f>
        <v>0</v>
      </c>
      <c r="K4711" s="444">
        <f t="shared" ca="1" si="191"/>
        <v>-371454380899.39624</v>
      </c>
      <c r="L4711" s="444">
        <f t="shared" ca="1" si="192"/>
        <v>-89520505796754.484</v>
      </c>
      <c r="M4711" s="460">
        <f t="shared" si="194"/>
        <v>0.05</v>
      </c>
      <c r="N4711" s="464">
        <f t="shared" si="195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93"/>
        <v>-89520505796754.484</v>
      </c>
      <c r="J4712" s="444">
        <f t="array" ref="J4712">IFERROR(INDEX('Retirement Calculator'!J:J,MATCH('Isaac 401k'!N4712,'Retirement Calculator'!A:A,0),0),0)</f>
        <v>0</v>
      </c>
      <c r="K4712" s="444">
        <f t="shared" ca="1" si="191"/>
        <v>-373002107486.47699</v>
      </c>
      <c r="L4712" s="444">
        <f t="shared" ca="1" si="192"/>
        <v>-89893507904240.969</v>
      </c>
      <c r="M4712" s="460">
        <f t="shared" si="194"/>
        <v>0.05</v>
      </c>
      <c r="N4712" s="464">
        <f t="shared" si="195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93"/>
        <v>-89893507904240.969</v>
      </c>
      <c r="J4713" s="444">
        <f t="array" ref="J4713">IFERROR(INDEX('Retirement Calculator'!J:J,MATCH('Isaac 401k'!N4713,'Retirement Calculator'!A:A,0),0),0)</f>
        <v>0</v>
      </c>
      <c r="K4713" s="444">
        <f t="shared" ca="1" si="191"/>
        <v>-374556282934.33734</v>
      </c>
      <c r="L4713" s="444">
        <f t="shared" ca="1" si="192"/>
        <v>-90268064187175.313</v>
      </c>
      <c r="M4713" s="460">
        <f t="shared" si="194"/>
        <v>0.05</v>
      </c>
      <c r="N4713" s="464">
        <f t="shared" si="195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93"/>
        <v>-90268064187175.313</v>
      </c>
      <c r="J4714" s="444">
        <f t="array" ref="J4714">IFERROR(INDEX('Retirement Calculator'!J:J,MATCH('Isaac 401k'!N4714,'Retirement Calculator'!A:A,0),0),0)</f>
        <v>0</v>
      </c>
      <c r="K4714" s="444">
        <f t="shared" ca="1" si="191"/>
        <v>-376116934113.23047</v>
      </c>
      <c r="L4714" s="444">
        <f t="shared" ca="1" si="192"/>
        <v>-90644181121288.547</v>
      </c>
      <c r="M4714" s="460">
        <f t="shared" si="194"/>
        <v>0.05</v>
      </c>
      <c r="N4714" s="464">
        <f t="shared" si="195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93"/>
        <v>-90644181121288.547</v>
      </c>
      <c r="J4715" s="444">
        <f t="array" ref="J4715">IFERROR(INDEX('Retirement Calculator'!J:J,MATCH('Isaac 401k'!N4715,'Retirement Calculator'!A:A,0),0),0)</f>
        <v>0</v>
      </c>
      <c r="K4715" s="444">
        <f t="shared" ca="1" si="191"/>
        <v>-377684088005.36896</v>
      </c>
      <c r="L4715" s="444">
        <f t="shared" ca="1" si="192"/>
        <v>-91021865209293.922</v>
      </c>
      <c r="M4715" s="460">
        <f t="shared" si="194"/>
        <v>0.05</v>
      </c>
      <c r="N4715" s="464">
        <f t="shared" si="195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93"/>
        <v>-91021865209293.922</v>
      </c>
      <c r="J4716" s="444">
        <f t="array" ref="J4716">IFERROR(INDEX('Retirement Calculator'!J:J,MATCH('Isaac 401k'!N4716,'Retirement Calculator'!A:A,0),0),0)</f>
        <v>0</v>
      </c>
      <c r="K4716" s="444">
        <f t="shared" ca="1" si="191"/>
        <v>-379257771705.39136</v>
      </c>
      <c r="L4716" s="444">
        <f t="shared" ca="1" si="192"/>
        <v>-91401122980999.313</v>
      </c>
      <c r="M4716" s="460">
        <f t="shared" si="194"/>
        <v>0.05</v>
      </c>
      <c r="N4716" s="464">
        <f t="shared" si="195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93"/>
        <v>-91401122980999.313</v>
      </c>
      <c r="J4717" s="444">
        <f t="array" ref="J4717">IFERROR(INDEX('Retirement Calculator'!J:J,MATCH('Isaac 401k'!N4717,'Retirement Calculator'!A:A,0),0),0)</f>
        <v>0</v>
      </c>
      <c r="K4717" s="444">
        <f t="shared" ca="1" si="191"/>
        <v>-380838012420.83044</v>
      </c>
      <c r="L4717" s="444">
        <f t="shared" ca="1" si="192"/>
        <v>-91781960993420.141</v>
      </c>
      <c r="M4717" s="460">
        <f t="shared" si="194"/>
        <v>0.05</v>
      </c>
      <c r="N4717" s="464">
        <f t="shared" si="195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93"/>
        <v>-91781960993420.141</v>
      </c>
      <c r="J4718" s="444">
        <f t="array" ref="J4718">IFERROR(INDEX('Retirement Calculator'!J:J,MATCH('Isaac 401k'!N4718,'Retirement Calculator'!A:A,0),0),0)</f>
        <v>0</v>
      </c>
      <c r="K4718" s="444">
        <f t="shared" ca="1" si="191"/>
        <v>-382424837472.58392</v>
      </c>
      <c r="L4718" s="444">
        <f t="shared" ca="1" si="192"/>
        <v>-92164385830892.719</v>
      </c>
      <c r="M4718" s="460">
        <f t="shared" si="194"/>
        <v>0.05</v>
      </c>
      <c r="N4718" s="464">
        <f t="shared" si="195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93"/>
        <v>-92164385830892.719</v>
      </c>
      <c r="J4719" s="444">
        <f t="array" ref="J4719">IFERROR(INDEX('Retirement Calculator'!J:J,MATCH('Isaac 401k'!N4719,'Retirement Calculator'!A:A,0),0),0)</f>
        <v>0</v>
      </c>
      <c r="K4719" s="444">
        <f t="shared" ca="1" si="191"/>
        <v>-384018274295.38635</v>
      </c>
      <c r="L4719" s="444">
        <f t="shared" ca="1" si="192"/>
        <v>-92548404105188.109</v>
      </c>
      <c r="M4719" s="460">
        <f t="shared" si="194"/>
        <v>0.05</v>
      </c>
      <c r="N4719" s="464">
        <f t="shared" si="195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93"/>
        <v>-92548404105188.109</v>
      </c>
      <c r="J4720" s="444">
        <f t="array" ref="J4720">IFERROR(INDEX('Retirement Calculator'!J:J,MATCH('Isaac 401k'!N4720,'Retirement Calculator'!A:A,0),0),0)</f>
        <v>0</v>
      </c>
      <c r="K4720" s="444">
        <f t="shared" ca="1" si="191"/>
        <v>-385618350438.28381</v>
      </c>
      <c r="L4720" s="444">
        <f t="shared" ca="1" si="192"/>
        <v>-92934022455626.391</v>
      </c>
      <c r="M4720" s="460">
        <f t="shared" si="194"/>
        <v>0.05</v>
      </c>
      <c r="N4720" s="464">
        <f t="shared" si="195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93"/>
        <v>-92934022455626.391</v>
      </c>
      <c r="J4721" s="444">
        <f t="array" ref="J4721">IFERROR(INDEX('Retirement Calculator'!J:J,MATCH('Isaac 401k'!N4721,'Retirement Calculator'!A:A,0),0),0)</f>
        <v>0</v>
      </c>
      <c r="K4721" s="444">
        <f t="shared" ca="1" si="191"/>
        <v>-387225093565.10999</v>
      </c>
      <c r="L4721" s="444">
        <f t="shared" ca="1" si="192"/>
        <v>-93321247549191.5</v>
      </c>
      <c r="M4721" s="460">
        <f t="shared" si="194"/>
        <v>0.05</v>
      </c>
      <c r="N4721" s="464">
        <f t="shared" si="195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93"/>
        <v>-93321247549191.5</v>
      </c>
      <c r="J4722" s="444">
        <f t="array" ref="J4722">IFERROR(INDEX('Retirement Calculator'!J:J,MATCH('Isaac 401k'!N4722,'Retirement Calculator'!A:A,0),0),0)</f>
        <v>0</v>
      </c>
      <c r="K4722" s="444">
        <f t="shared" ca="1" si="191"/>
        <v>-388838531454.9646</v>
      </c>
      <c r="L4722" s="444">
        <f t="shared" ca="1" si="192"/>
        <v>-93710086080646.469</v>
      </c>
      <c r="M4722" s="460">
        <f t="shared" si="194"/>
        <v>0.05</v>
      </c>
      <c r="N4722" s="464">
        <f t="shared" si="195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93"/>
        <v>-93710086080646.469</v>
      </c>
      <c r="J4723" s="444">
        <f t="array" ref="J4723">IFERROR(INDEX('Retirement Calculator'!J:J,MATCH('Isaac 401k'!N4723,'Retirement Calculator'!A:A,0),0),0)</f>
        <v>0</v>
      </c>
      <c r="K4723" s="444">
        <f t="shared" ca="1" si="191"/>
        <v>-390458692002.6936</v>
      </c>
      <c r="L4723" s="444">
        <f t="shared" ca="1" si="192"/>
        <v>-94100544772649.156</v>
      </c>
      <c r="M4723" s="460">
        <f t="shared" si="194"/>
        <v>0.05</v>
      </c>
      <c r="N4723" s="464">
        <f t="shared" si="195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93"/>
        <v>-94100544772649.156</v>
      </c>
      <c r="J4724" s="444">
        <f t="array" ref="J4724">IFERROR(INDEX('Retirement Calculator'!J:J,MATCH('Isaac 401k'!N4724,'Retirement Calculator'!A:A,0),0),0)</f>
        <v>0</v>
      </c>
      <c r="K4724" s="444">
        <f t="shared" ca="1" si="191"/>
        <v>-392085603219.37146</v>
      </c>
      <c r="L4724" s="444">
        <f t="shared" ca="1" si="192"/>
        <v>-94492630375868.531</v>
      </c>
      <c r="M4724" s="460">
        <f t="shared" si="194"/>
        <v>0.05</v>
      </c>
      <c r="N4724" s="464">
        <f t="shared" si="195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93"/>
        <v>-94492630375868.531</v>
      </c>
      <c r="J4725" s="444">
        <f t="array" ref="J4725">IFERROR(INDEX('Retirement Calculator'!J:J,MATCH('Isaac 401k'!N4725,'Retirement Calculator'!A:A,0),0),0)</f>
        <v>0</v>
      </c>
      <c r="K4725" s="444">
        <f t="shared" ca="1" si="191"/>
        <v>-393719293232.78552</v>
      </c>
      <c r="L4725" s="444">
        <f t="shared" ca="1" si="192"/>
        <v>-94886349669101.313</v>
      </c>
      <c r="M4725" s="460">
        <f t="shared" si="194"/>
        <v>0.05</v>
      </c>
      <c r="N4725" s="464">
        <f t="shared" si="195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93"/>
        <v>-94886349669101.313</v>
      </c>
      <c r="J4726" s="444">
        <f t="array" ref="J4726">IFERROR(INDEX('Retirement Calculator'!J:J,MATCH('Isaac 401k'!N4726,'Retirement Calculator'!A:A,0),0),0)</f>
        <v>0</v>
      </c>
      <c r="K4726" s="444">
        <f t="shared" ca="1" si="191"/>
        <v>-395359790287.92212</v>
      </c>
      <c r="L4726" s="444">
        <f t="shared" ca="1" si="192"/>
        <v>-95281709459389.234</v>
      </c>
      <c r="M4726" s="460">
        <f t="shared" si="194"/>
        <v>0.05</v>
      </c>
      <c r="N4726" s="464">
        <f t="shared" si="195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93"/>
        <v>-95281709459389.234</v>
      </c>
      <c r="J4727" s="444">
        <f t="array" ref="J4727">IFERROR(INDEX('Retirement Calculator'!J:J,MATCH('Isaac 401k'!N4727,'Retirement Calculator'!A:A,0),0),0)</f>
        <v>0</v>
      </c>
      <c r="K4727" s="444">
        <f t="shared" ca="1" si="191"/>
        <v>-397007122747.45514</v>
      </c>
      <c r="L4727" s="444">
        <f t="shared" ca="1" si="192"/>
        <v>-95678716582136.688</v>
      </c>
      <c r="M4727" s="460">
        <f t="shared" si="194"/>
        <v>0.05</v>
      </c>
      <c r="N4727" s="464">
        <f t="shared" si="195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93"/>
        <v>-95678716582136.688</v>
      </c>
      <c r="J4728" s="444">
        <f t="array" ref="J4728">IFERROR(INDEX('Retirement Calculator'!J:J,MATCH('Isaac 401k'!N4728,'Retirement Calculator'!A:A,0),0),0)</f>
        <v>0</v>
      </c>
      <c r="K4728" s="444">
        <f t="shared" ca="1" si="191"/>
        <v>-398661319092.23621</v>
      </c>
      <c r="L4728" s="444">
        <f t="shared" ca="1" si="192"/>
        <v>-96077377901228.922</v>
      </c>
      <c r="M4728" s="460">
        <f t="shared" si="194"/>
        <v>0.05</v>
      </c>
      <c r="N4728" s="464">
        <f t="shared" si="195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93"/>
        <v>-96077377901228.922</v>
      </c>
      <c r="J4729" s="444">
        <f t="array" ref="J4729">IFERROR(INDEX('Retirement Calculator'!J:J,MATCH('Isaac 401k'!N4729,'Retirement Calculator'!A:A,0),0),0)</f>
        <v>0</v>
      </c>
      <c r="K4729" s="444">
        <f t="shared" ca="1" si="191"/>
        <v>-400322407921.78717</v>
      </c>
      <c r="L4729" s="444">
        <f t="shared" ca="1" si="192"/>
        <v>-96477700309150.703</v>
      </c>
      <c r="M4729" s="460">
        <f t="shared" si="194"/>
        <v>0.05</v>
      </c>
      <c r="N4729" s="464">
        <f t="shared" si="195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93"/>
        <v>-96477700309150.703</v>
      </c>
      <c r="J4730" s="444">
        <f t="array" ref="J4730">IFERROR(INDEX('Retirement Calculator'!J:J,MATCH('Isaac 401k'!N4730,'Retirement Calculator'!A:A,0),0),0)</f>
        <v>0</v>
      </c>
      <c r="K4730" s="444">
        <f t="shared" ca="1" si="191"/>
        <v>-401990417954.79462</v>
      </c>
      <c r="L4730" s="444">
        <f t="shared" ca="1" si="192"/>
        <v>-96879690727105.5</v>
      </c>
      <c r="M4730" s="460">
        <f t="shared" si="194"/>
        <v>0.05</v>
      </c>
      <c r="N4730" s="464">
        <f t="shared" si="195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93"/>
        <v>-96879690727105.5</v>
      </c>
      <c r="J4731" s="444">
        <f t="array" ref="J4731">IFERROR(INDEX('Retirement Calculator'!J:J,MATCH('Isaac 401k'!N4731,'Retirement Calculator'!A:A,0),0),0)</f>
        <v>0</v>
      </c>
      <c r="K4731" s="444">
        <f t="shared" ca="1" si="191"/>
        <v>-403665378029.60626</v>
      </c>
      <c r="L4731" s="444">
        <f t="shared" ca="1" si="192"/>
        <v>-97283356105135.109</v>
      </c>
      <c r="M4731" s="460">
        <f t="shared" si="194"/>
        <v>0.05</v>
      </c>
      <c r="N4731" s="464">
        <f t="shared" si="195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93"/>
        <v>-97283356105135.109</v>
      </c>
      <c r="J4732" s="444">
        <f t="array" ref="J4732">IFERROR(INDEX('Retirement Calculator'!J:J,MATCH('Isaac 401k'!N4732,'Retirement Calculator'!A:A,0),0),0)</f>
        <v>0</v>
      </c>
      <c r="K4732" s="444">
        <f t="shared" ca="1" si="191"/>
        <v>-405347317104.72961</v>
      </c>
      <c r="L4732" s="444">
        <f t="shared" ca="1" si="192"/>
        <v>-97688703422239.844</v>
      </c>
      <c r="M4732" s="460">
        <f t="shared" si="194"/>
        <v>0.05</v>
      </c>
      <c r="N4732" s="464">
        <f t="shared" si="195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93"/>
        <v>-97688703422239.844</v>
      </c>
      <c r="J4733" s="444">
        <f t="array" ref="J4733">IFERROR(INDEX('Retirement Calculator'!J:J,MATCH('Isaac 401k'!N4733,'Retirement Calculator'!A:A,0),0),0)</f>
        <v>0</v>
      </c>
      <c r="K4733" s="444">
        <f t="shared" ca="1" si="191"/>
        <v>-407036264259.3327</v>
      </c>
      <c r="L4733" s="444">
        <f t="shared" ca="1" si="192"/>
        <v>-98095739686499.172</v>
      </c>
      <c r="M4733" s="460">
        <f t="shared" si="194"/>
        <v>0.05</v>
      </c>
      <c r="N4733" s="464">
        <f t="shared" si="195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93"/>
        <v>-98095739686499.172</v>
      </c>
      <c r="J4734" s="444">
        <f t="array" ref="J4734">IFERROR(INDEX('Retirement Calculator'!J:J,MATCH('Isaac 401k'!N4734,'Retirement Calculator'!A:A,0),0),0)</f>
        <v>0</v>
      </c>
      <c r="K4734" s="444">
        <f t="shared" ca="1" si="191"/>
        <v>-408732248693.74652</v>
      </c>
      <c r="L4734" s="444">
        <f t="shared" ca="1" si="192"/>
        <v>-98504471935192.922</v>
      </c>
      <c r="M4734" s="460">
        <f t="shared" si="194"/>
        <v>0.05</v>
      </c>
      <c r="N4734" s="464">
        <f t="shared" si="195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93"/>
        <v>-98504471935192.922</v>
      </c>
      <c r="J4735" s="444">
        <f t="array" ref="J4735">IFERROR(INDEX('Retirement Calculator'!J:J,MATCH('Isaac 401k'!N4735,'Retirement Calculator'!A:A,0),0),0)</f>
        <v>0</v>
      </c>
      <c r="K4735" s="444">
        <f t="shared" ca="1" si="191"/>
        <v>-410435299729.97052</v>
      </c>
      <c r="L4735" s="444">
        <f t="shared" ca="1" si="192"/>
        <v>-98914907234922.891</v>
      </c>
      <c r="M4735" s="460">
        <f t="shared" si="194"/>
        <v>0.05</v>
      </c>
      <c r="N4735" s="464">
        <f t="shared" si="195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93"/>
        <v>-98914907234922.891</v>
      </c>
      <c r="J4736" s="444">
        <f t="array" ref="J4736">IFERROR(INDEX('Retirement Calculator'!J:J,MATCH('Isaac 401k'!N4736,'Retirement Calculator'!A:A,0),0),0)</f>
        <v>0</v>
      </c>
      <c r="K4736" s="444">
        <f t="shared" ca="1" si="191"/>
        <v>-412145446812.17871</v>
      </c>
      <c r="L4736" s="444">
        <f t="shared" ca="1" si="192"/>
        <v>-99327052681735.063</v>
      </c>
      <c r="M4736" s="460">
        <f t="shared" si="194"/>
        <v>0.05</v>
      </c>
      <c r="N4736" s="464">
        <f t="shared" si="195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93"/>
        <v>-99327052681735.063</v>
      </c>
      <c r="J4737" s="444">
        <f t="array" ref="J4737">IFERROR(INDEX('Retirement Calculator'!J:J,MATCH('Isaac 401k'!N4737,'Retirement Calculator'!A:A,0),0),0)</f>
        <v>0</v>
      </c>
      <c r="K4737" s="444">
        <f t="shared" ca="1" si="191"/>
        <v>-413862719507.22943</v>
      </c>
      <c r="L4737" s="444">
        <f t="shared" ca="1" si="192"/>
        <v>-99740915401242.297</v>
      </c>
      <c r="M4737" s="460">
        <f t="shared" si="194"/>
        <v>0.05</v>
      </c>
      <c r="N4737" s="464">
        <f t="shared" si="195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93"/>
        <v>-99740915401242.297</v>
      </c>
      <c r="J4738" s="444">
        <f t="array" ref="J4738">IFERROR(INDEX('Retirement Calculator'!J:J,MATCH('Isaac 401k'!N4738,'Retirement Calculator'!A:A,0),0),0)</f>
        <v>0</v>
      </c>
      <c r="K4738" s="444">
        <f t="shared" ca="1" si="191"/>
        <v>-415587147505.17621</v>
      </c>
      <c r="L4738" s="444">
        <f t="shared" ca="1" si="192"/>
        <v>-100156502548747.47</v>
      </c>
      <c r="M4738" s="460">
        <f t="shared" si="194"/>
        <v>0.05</v>
      </c>
      <c r="N4738" s="464">
        <f t="shared" si="195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93"/>
        <v>-100156502548747.47</v>
      </c>
      <c r="J4739" s="444">
        <f t="array" ref="J4739">IFERROR(INDEX('Retirement Calculator'!J:J,MATCH('Isaac 401k'!N4739,'Retirement Calculator'!A:A,0),0),0)</f>
        <v>0</v>
      </c>
      <c r="K4739" s="444">
        <f t="shared" ca="1" si="191"/>
        <v>-417318760619.78113</v>
      </c>
      <c r="L4739" s="444">
        <f t="shared" ca="1" si="192"/>
        <v>-100573821309367.25</v>
      </c>
      <c r="M4739" s="460">
        <f t="shared" si="194"/>
        <v>0.05</v>
      </c>
      <c r="N4739" s="464">
        <f t="shared" si="195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93"/>
        <v>-100573821309367.25</v>
      </c>
      <c r="J4740" s="444">
        <f t="array" ref="J4740">IFERROR(INDEX('Retirement Calculator'!J:J,MATCH('Isaac 401k'!N4740,'Retirement Calculator'!A:A,0),0),0)</f>
        <v>0</v>
      </c>
      <c r="K4740" s="444">
        <f t="shared" ca="1" si="191"/>
        <v>-419057588789.03021</v>
      </c>
      <c r="L4740" s="444">
        <f t="shared" ca="1" si="192"/>
        <v>-100992878898156.28</v>
      </c>
      <c r="M4740" s="460">
        <f t="shared" si="194"/>
        <v>0.05</v>
      </c>
      <c r="N4740" s="464">
        <f t="shared" si="195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93"/>
        <v>-100992878898156.28</v>
      </c>
      <c r="J4741" s="444">
        <f t="array" ref="J4741">IFERROR(INDEX('Retirement Calculator'!J:J,MATCH('Isaac 401k'!N4741,'Retirement Calculator'!A:A,0),0),0)</f>
        <v>0</v>
      </c>
      <c r="K4741" s="444">
        <f t="shared" ca="1" si="191"/>
        <v>-420803662075.65118</v>
      </c>
      <c r="L4741" s="444">
        <f t="shared" ca="1" si="192"/>
        <v>-101413682560231.94</v>
      </c>
      <c r="M4741" s="460">
        <f t="shared" si="194"/>
        <v>0.05</v>
      </c>
      <c r="N4741" s="464">
        <f t="shared" si="195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93"/>
        <v>-101413682560231.94</v>
      </c>
      <c r="J4742" s="444">
        <f t="array" ref="J4742">IFERROR(INDEX('Retirement Calculator'!J:J,MATCH('Isaac 401k'!N4742,'Retirement Calculator'!A:A,0),0),0)</f>
        <v>0</v>
      </c>
      <c r="K4742" s="444">
        <f t="shared" ca="1" si="191"/>
        <v>-422557010667.63306</v>
      </c>
      <c r="L4742" s="444">
        <f t="shared" ca="1" si="192"/>
        <v>-101836239570899.58</v>
      </c>
      <c r="M4742" s="460">
        <f t="shared" si="194"/>
        <v>0.05</v>
      </c>
      <c r="N4742" s="464">
        <f t="shared" si="195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93"/>
        <v>-101836239570899.58</v>
      </c>
      <c r="J4743" s="444">
        <f t="array" ref="J4743">IFERROR(INDEX('Retirement Calculator'!J:J,MATCH('Isaac 401k'!N4743,'Retirement Calculator'!A:A,0),0),0)</f>
        <v>0</v>
      </c>
      <c r="K4743" s="444">
        <f t="shared" ca="1" si="191"/>
        <v>-424317664878.74823</v>
      </c>
      <c r="L4743" s="444">
        <f t="shared" ca="1" si="192"/>
        <v>-102260557235778.33</v>
      </c>
      <c r="M4743" s="460">
        <f t="shared" si="194"/>
        <v>0.05</v>
      </c>
      <c r="N4743" s="464">
        <f t="shared" si="195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93"/>
        <v>-102260557235778.33</v>
      </c>
      <c r="J4744" s="444">
        <f t="array" ref="J4744">IFERROR(INDEX('Retirement Calculator'!J:J,MATCH('Isaac 401k'!N4744,'Retirement Calculator'!A:A,0),0),0)</f>
        <v>0</v>
      </c>
      <c r="K4744" s="444">
        <f t="shared" ca="1" si="191"/>
        <v>-426085655149.07635</v>
      </c>
      <c r="L4744" s="444">
        <f t="shared" ca="1" si="192"/>
        <v>-102686642890927.41</v>
      </c>
      <c r="M4744" s="460">
        <f t="shared" si="194"/>
        <v>0.05</v>
      </c>
      <c r="N4744" s="464">
        <f t="shared" si="195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93"/>
        <v>-102686642890927.41</v>
      </c>
      <c r="J4745" s="444">
        <f t="array" ref="J4745">IFERROR(INDEX('Retirement Calculator'!J:J,MATCH('Isaac 401k'!N4745,'Retirement Calculator'!A:A,0),0),0)</f>
        <v>0</v>
      </c>
      <c r="K4745" s="444">
        <f t="shared" ca="1" si="191"/>
        <v>-427861012045.53088</v>
      </c>
      <c r="L4745" s="444">
        <f t="shared" ca="1" si="192"/>
        <v>-103114503902972.94</v>
      </c>
      <c r="M4745" s="460">
        <f t="shared" si="194"/>
        <v>0.05</v>
      </c>
      <c r="N4745" s="464">
        <f t="shared" si="195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93"/>
        <v>-103114503902972.94</v>
      </c>
      <c r="J4746" s="444">
        <f t="array" ref="J4746">IFERROR(INDEX('Retirement Calculator'!J:J,MATCH('Isaac 401k'!N4746,'Retirement Calculator'!A:A,0),0),0)</f>
        <v>0</v>
      </c>
      <c r="K4746" s="444">
        <f t="shared" ca="1" si="191"/>
        <v>-429643766262.38721</v>
      </c>
      <c r="L4746" s="444">
        <f t="shared" ca="1" si="192"/>
        <v>-103544147669235.33</v>
      </c>
      <c r="M4746" s="460">
        <f t="shared" si="194"/>
        <v>0.05</v>
      </c>
      <c r="N4746" s="464">
        <f t="shared" si="195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93"/>
        <v>-103544147669235.33</v>
      </c>
      <c r="J4747" s="444">
        <f t="array" ref="J4747">IFERROR(INDEX('Retirement Calculator'!J:J,MATCH('Isaac 401k'!N4747,'Retirement Calculator'!A:A,0),0),0)</f>
        <v>0</v>
      </c>
      <c r="K4747" s="444">
        <f t="shared" ca="1" si="191"/>
        <v>-431433948621.81384</v>
      </c>
      <c r="L4747" s="444">
        <f t="shared" ca="1" si="192"/>
        <v>-103975581617857.14</v>
      </c>
      <c r="M4747" s="460">
        <f t="shared" si="194"/>
        <v>0.05</v>
      </c>
      <c r="N4747" s="464">
        <f t="shared" si="195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93"/>
        <v>-103975581617857.14</v>
      </c>
      <c r="J4748" s="444">
        <f t="array" ref="J4748">IFERROR(INDEX('Retirement Calculator'!J:J,MATCH('Isaac 401k'!N4748,'Retirement Calculator'!A:A,0),0),0)</f>
        <v>0</v>
      </c>
      <c r="K4748" s="444">
        <f t="shared" ca="1" si="191"/>
        <v>-433231590074.40472</v>
      </c>
      <c r="L4748" s="444">
        <f t="shared" ca="1" si="192"/>
        <v>-104408813207931.55</v>
      </c>
      <c r="M4748" s="460">
        <f t="shared" si="194"/>
        <v>0.05</v>
      </c>
      <c r="N4748" s="464">
        <f t="shared" si="195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93"/>
        <v>-104408813207931.55</v>
      </c>
      <c r="J4749" s="444">
        <f t="array" ref="J4749">IFERROR(INDEX('Retirement Calculator'!J:J,MATCH('Isaac 401k'!N4749,'Retirement Calculator'!A:A,0),0),0)</f>
        <v>0</v>
      </c>
      <c r="K4749" s="444">
        <f t="shared" ca="1" si="191"/>
        <v>-435036721699.71478</v>
      </c>
      <c r="L4749" s="444">
        <f t="shared" ca="1" si="192"/>
        <v>-104843849929631.27</v>
      </c>
      <c r="M4749" s="460">
        <f t="shared" si="194"/>
        <v>0.05</v>
      </c>
      <c r="N4749" s="464">
        <f t="shared" si="195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93"/>
        <v>-104843849929631.27</v>
      </c>
      <c r="J4750" s="444">
        <f t="array" ref="J4750">IFERROR(INDEX('Retirement Calculator'!J:J,MATCH('Isaac 401k'!N4750,'Retirement Calculator'!A:A,0),0),0)</f>
        <v>0</v>
      </c>
      <c r="K4750" s="444">
        <f t="shared" ca="1" si="191"/>
        <v>-436849374706.79694</v>
      </c>
      <c r="L4750" s="444">
        <f t="shared" ca="1" si="192"/>
        <v>-105280699304338.06</v>
      </c>
      <c r="M4750" s="460">
        <f t="shared" si="194"/>
        <v>0.05</v>
      </c>
      <c r="N4750" s="464">
        <f t="shared" si="195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93"/>
        <v>-105280699304338.06</v>
      </c>
      <c r="J4751" s="444">
        <f t="array" ref="J4751">IFERROR(INDEX('Retirement Calculator'!J:J,MATCH('Isaac 401k'!N4751,'Retirement Calculator'!A:A,0),0),0)</f>
        <v>0</v>
      </c>
      <c r="K4751" s="444">
        <f t="shared" ca="1" si="191"/>
        <v>-438669580434.74194</v>
      </c>
      <c r="L4751" s="444">
        <f t="shared" ca="1" si="192"/>
        <v>-105719368884772.8</v>
      </c>
      <c r="M4751" s="460">
        <f t="shared" si="194"/>
        <v>0.05</v>
      </c>
      <c r="N4751" s="464">
        <f t="shared" si="195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93"/>
        <v>-105719368884772.8</v>
      </c>
      <c r="J4752" s="444">
        <f t="array" ref="J4752">IFERROR(INDEX('Retirement Calculator'!J:J,MATCH('Isaac 401k'!N4752,'Retirement Calculator'!A:A,0),0),0)</f>
        <v>0</v>
      </c>
      <c r="K4752" s="444">
        <f t="shared" ca="1" si="191"/>
        <v>-440497370353.21997</v>
      </c>
      <c r="L4752" s="444">
        <f t="shared" ca="1" si="192"/>
        <v>-106159866255126.02</v>
      </c>
      <c r="M4752" s="460">
        <f t="shared" si="194"/>
        <v>0.05</v>
      </c>
      <c r="N4752" s="464">
        <f t="shared" si="195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93"/>
        <v>-106159866255126.02</v>
      </c>
      <c r="J4753" s="444">
        <f t="array" ref="J4753">IFERROR(INDEX('Retirement Calculator'!J:J,MATCH('Isaac 401k'!N4753,'Retirement Calculator'!A:A,0),0),0)</f>
        <v>0</v>
      </c>
      <c r="K4753" s="444">
        <f t="shared" ca="1" si="191"/>
        <v>-442332776063.02509</v>
      </c>
      <c r="L4753" s="444">
        <f t="shared" ca="1" si="192"/>
        <v>-106602199031189.05</v>
      </c>
      <c r="M4753" s="460">
        <f t="shared" si="194"/>
        <v>0.05</v>
      </c>
      <c r="N4753" s="464">
        <f t="shared" si="195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93"/>
        <v>-106602199031189.05</v>
      </c>
      <c r="J4754" s="444">
        <f t="array" ref="J4754">IFERROR(INDEX('Retirement Calculator'!J:J,MATCH('Isaac 401k'!N4754,'Retirement Calculator'!A:A,0),0),0)</f>
        <v>0</v>
      </c>
      <c r="K4754" s="444">
        <f t="shared" ca="1" si="191"/>
        <v>-444175829296.62103</v>
      </c>
      <c r="L4754" s="444">
        <f t="shared" ca="1" si="192"/>
        <v>-107046374860485.67</v>
      </c>
      <c r="M4754" s="460">
        <f t="shared" si="194"/>
        <v>0.05</v>
      </c>
      <c r="N4754" s="464">
        <f t="shared" si="195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93"/>
        <v>-107046374860485.67</v>
      </c>
      <c r="J4755" s="444">
        <f t="array" ref="J4755">IFERROR(INDEX('Retirement Calculator'!J:J,MATCH('Isaac 401k'!N4755,'Retirement Calculator'!A:A,0),0),0)</f>
        <v>0</v>
      </c>
      <c r="K4755" s="444">
        <f t="shared" ca="1" si="191"/>
        <v>-446026561918.69031</v>
      </c>
      <c r="L4755" s="444">
        <f t="shared" ca="1" si="192"/>
        <v>-107492401422404.36</v>
      </c>
      <c r="M4755" s="460">
        <f t="shared" si="194"/>
        <v>0.05</v>
      </c>
      <c r="N4755" s="464">
        <f t="shared" si="195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93"/>
        <v>-107492401422404.36</v>
      </c>
      <c r="J4756" s="444">
        <f t="array" ref="J4756">IFERROR(INDEX('Retirement Calculator'!J:J,MATCH('Isaac 401k'!N4756,'Retirement Calculator'!A:A,0),0),0)</f>
        <v>0</v>
      </c>
      <c r="K4756" s="444">
        <f t="shared" ca="1" si="191"/>
        <v>-447885005926.68481</v>
      </c>
      <c r="L4756" s="444">
        <f t="shared" ca="1" si="192"/>
        <v>-107940286428331.05</v>
      </c>
      <c r="M4756" s="460">
        <f t="shared" si="194"/>
        <v>0.05</v>
      </c>
      <c r="N4756" s="464">
        <f t="shared" si="195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93"/>
        <v>-107940286428331.05</v>
      </c>
      <c r="J4757" s="444">
        <f t="array" ref="J4757">IFERROR(INDEX('Retirement Calculator'!J:J,MATCH('Isaac 401k'!N4757,'Retirement Calculator'!A:A,0),0),0)</f>
        <v>0</v>
      </c>
      <c r="K4757" s="444">
        <f t="shared" ca="1" si="191"/>
        <v>-449751193451.37933</v>
      </c>
      <c r="L4757" s="444">
        <f t="shared" ca="1" si="192"/>
        <v>-108390037621782.42</v>
      </c>
      <c r="M4757" s="460">
        <f t="shared" si="194"/>
        <v>0.05</v>
      </c>
      <c r="N4757" s="464">
        <f t="shared" si="195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93"/>
        <v>-108390037621782.42</v>
      </c>
      <c r="J4758" s="444">
        <f t="array" ref="J4758">IFERROR(INDEX('Retirement Calculator'!J:J,MATCH('Isaac 401k'!N4758,'Retirement Calculator'!A:A,0),0),0)</f>
        <v>0</v>
      </c>
      <c r="K4758" s="444">
        <f t="shared" ca="1" si="191"/>
        <v>-451625156757.42676</v>
      </c>
      <c r="L4758" s="444">
        <f t="shared" ca="1" si="192"/>
        <v>-108841662778539.84</v>
      </c>
      <c r="M4758" s="460">
        <f t="shared" si="194"/>
        <v>0.05</v>
      </c>
      <c r="N4758" s="464">
        <f t="shared" si="195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93"/>
        <v>-108841662778539.84</v>
      </c>
      <c r="J4759" s="444">
        <f t="array" ref="J4759">IFERROR(INDEX('Retirement Calculator'!J:J,MATCH('Isaac 401k'!N4759,'Retirement Calculator'!A:A,0),0),0)</f>
        <v>0</v>
      </c>
      <c r="K4759" s="444">
        <f t="shared" ca="1" si="191"/>
        <v>-453506928243.91602</v>
      </c>
      <c r="L4759" s="444">
        <f t="shared" ca="1" si="192"/>
        <v>-109295169706783.77</v>
      </c>
      <c r="M4759" s="460">
        <f t="shared" si="194"/>
        <v>0.05</v>
      </c>
      <c r="N4759" s="464">
        <f t="shared" si="195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93"/>
        <v>-109295169706783.77</v>
      </c>
      <c r="J4760" s="444">
        <f t="array" ref="J4760">IFERROR(INDEX('Retirement Calculator'!J:J,MATCH('Isaac 401k'!N4760,'Retirement Calculator'!A:A,0),0),0)</f>
        <v>0</v>
      </c>
      <c r="K4760" s="444">
        <f t="shared" ca="1" si="191"/>
        <v>-455396540444.93237</v>
      </c>
      <c r="L4760" s="444">
        <f t="shared" ca="1" si="192"/>
        <v>-109750566247228.7</v>
      </c>
      <c r="M4760" s="460">
        <f t="shared" si="194"/>
        <v>0.05</v>
      </c>
      <c r="N4760" s="464">
        <f t="shared" si="195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93"/>
        <v>-109750566247228.7</v>
      </c>
      <c r="J4761" s="444">
        <f t="array" ref="J4761">IFERROR(INDEX('Retirement Calculator'!J:J,MATCH('Isaac 401k'!N4761,'Retirement Calculator'!A:A,0),0),0)</f>
        <v>0</v>
      </c>
      <c r="K4761" s="444">
        <f t="shared" ca="1" si="191"/>
        <v>-457294026030.11951</v>
      </c>
      <c r="L4761" s="444">
        <f t="shared" ca="1" si="192"/>
        <v>-110207860273258.83</v>
      </c>
      <c r="M4761" s="460">
        <f t="shared" si="194"/>
        <v>0.05</v>
      </c>
      <c r="N4761" s="464">
        <f t="shared" si="195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93"/>
        <v>-110207860273258.83</v>
      </c>
      <c r="J4762" s="444">
        <f t="array" ref="J4762">IFERROR(INDEX('Retirement Calculator'!J:J,MATCH('Isaac 401k'!N4762,'Retirement Calculator'!A:A,0),0),0)</f>
        <v>0</v>
      </c>
      <c r="K4762" s="444">
        <f t="shared" ca="1" si="191"/>
        <v>-459199417805.24512</v>
      </c>
      <c r="L4762" s="444">
        <f t="shared" ca="1" si="192"/>
        <v>-110667059691064.08</v>
      </c>
      <c r="M4762" s="460">
        <f t="shared" si="194"/>
        <v>0.05</v>
      </c>
      <c r="N4762" s="464">
        <f t="shared" si="195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93"/>
        <v>-110667059691064.08</v>
      </c>
      <c r="J4763" s="444">
        <f t="array" ref="J4763">IFERROR(INDEX('Retirement Calculator'!J:J,MATCH('Isaac 401k'!N4763,'Retirement Calculator'!A:A,0),0),0)</f>
        <v>0</v>
      </c>
      <c r="K4763" s="444">
        <f t="shared" ca="1" si="191"/>
        <v>-461112748712.76697</v>
      </c>
      <c r="L4763" s="444">
        <f t="shared" ca="1" si="192"/>
        <v>-111128172439776.84</v>
      </c>
      <c r="M4763" s="460">
        <f t="shared" si="194"/>
        <v>0.05</v>
      </c>
      <c r="N4763" s="464">
        <f t="shared" si="195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93"/>
        <v>-111128172439776.84</v>
      </c>
      <c r="J4764" s="444">
        <f t="array" ref="J4764">IFERROR(INDEX('Retirement Calculator'!J:J,MATCH('Isaac 401k'!N4764,'Retirement Calculator'!A:A,0),0),0)</f>
        <v>0</v>
      </c>
      <c r="K4764" s="444">
        <f t="shared" ca="1" si="191"/>
        <v>-463034051832.4035</v>
      </c>
      <c r="L4764" s="444">
        <f t="shared" ca="1" si="192"/>
        <v>-111591206491609.25</v>
      </c>
      <c r="M4764" s="460">
        <f t="shared" si="194"/>
        <v>0.05</v>
      </c>
      <c r="N4764" s="464">
        <f t="shared" si="195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93"/>
        <v>-111591206491609.25</v>
      </c>
      <c r="J4765" s="444">
        <f t="array" ref="J4765">IFERROR(INDEX('Retirement Calculator'!J:J,MATCH('Isaac 401k'!N4765,'Retirement Calculator'!A:A,0),0),0)</f>
        <v>0</v>
      </c>
      <c r="K4765" s="444">
        <f t="shared" ca="1" si="191"/>
        <v>-464963360381.70526</v>
      </c>
      <c r="L4765" s="444">
        <f t="shared" ca="1" si="192"/>
        <v>-112056169851990.95</v>
      </c>
      <c r="M4765" s="460">
        <f t="shared" si="194"/>
        <v>0.05</v>
      </c>
      <c r="N4765" s="464">
        <f t="shared" si="195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93"/>
        <v>-112056169851990.95</v>
      </c>
      <c r="J4766" s="444">
        <f t="array" ref="J4766">IFERROR(INDEX('Retirement Calculator'!J:J,MATCH('Isaac 401k'!N4766,'Retirement Calculator'!A:A,0),0),0)</f>
        <v>0</v>
      </c>
      <c r="K4766" s="444">
        <f t="shared" ca="1" si="191"/>
        <v>-466900707716.62903</v>
      </c>
      <c r="L4766" s="444">
        <f t="shared" ca="1" si="192"/>
        <v>-112523070559707.58</v>
      </c>
      <c r="M4766" s="460">
        <f t="shared" si="194"/>
        <v>0.05</v>
      </c>
      <c r="N4766" s="464">
        <f t="shared" si="195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93"/>
        <v>-112523070559707.58</v>
      </c>
      <c r="J4767" s="444">
        <f t="array" ref="J4767">IFERROR(INDEX('Retirement Calculator'!J:J,MATCH('Isaac 401k'!N4767,'Retirement Calculator'!A:A,0),0),0)</f>
        <v>0</v>
      </c>
      <c r="K4767" s="444">
        <f t="shared" ca="1" si="191"/>
        <v>-468846127332.11493</v>
      </c>
      <c r="L4767" s="444">
        <f t="shared" ca="1" si="192"/>
        <v>-112991916687039.69</v>
      </c>
      <c r="M4767" s="460">
        <f t="shared" si="194"/>
        <v>0.05</v>
      </c>
      <c r="N4767" s="464">
        <f t="shared" si="195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93"/>
        <v>-112991916687039.69</v>
      </c>
      <c r="J4768" s="444">
        <f t="array" ref="J4768">IFERROR(INDEX('Retirement Calculator'!J:J,MATCH('Isaac 401k'!N4768,'Retirement Calculator'!A:A,0),0),0)</f>
        <v>0</v>
      </c>
      <c r="K4768" s="444">
        <f t="shared" ca="1" si="191"/>
        <v>-470799652862.66534</v>
      </c>
      <c r="L4768" s="444">
        <f t="shared" ca="1" si="192"/>
        <v>-113462716339902.36</v>
      </c>
      <c r="M4768" s="460">
        <f t="shared" si="194"/>
        <v>0.05</v>
      </c>
      <c r="N4768" s="464">
        <f t="shared" si="195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93"/>
        <v>-113462716339902.36</v>
      </c>
      <c r="J4769" s="444">
        <f t="array" ref="J4769">IFERROR(INDEX('Retirement Calculator'!J:J,MATCH('Isaac 401k'!N4769,'Retirement Calculator'!A:A,0),0),0)</f>
        <v>0</v>
      </c>
      <c r="K4769" s="444">
        <f t="shared" ca="1" si="191"/>
        <v>-472761318082.92645</v>
      </c>
      <c r="L4769" s="444">
        <f t="shared" ca="1" si="192"/>
        <v>-113935477657985.28</v>
      </c>
      <c r="M4769" s="460">
        <f t="shared" si="194"/>
        <v>0.05</v>
      </c>
      <c r="N4769" s="464">
        <f t="shared" si="195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93"/>
        <v>-113935477657985.28</v>
      </c>
      <c r="J4770" s="444">
        <f t="array" ref="J4770">IFERROR(INDEX('Retirement Calculator'!J:J,MATCH('Isaac 401k'!N4770,'Retirement Calculator'!A:A,0),0),0)</f>
        <v>0</v>
      </c>
      <c r="K4770" s="444">
        <f t="shared" ca="1" si="191"/>
        <v>-474731156908.27203</v>
      </c>
      <c r="L4770" s="444">
        <f t="shared" ca="1" si="192"/>
        <v>-114410208814893.55</v>
      </c>
      <c r="M4770" s="460">
        <f t="shared" si="194"/>
        <v>0.05</v>
      </c>
      <c r="N4770" s="464">
        <f t="shared" si="195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93"/>
        <v>-114410208814893.55</v>
      </c>
      <c r="J4771" s="444">
        <f t="array" ref="J4771">IFERROR(INDEX('Retirement Calculator'!J:J,MATCH('Isaac 401k'!N4771,'Retirement Calculator'!A:A,0),0),0)</f>
        <v>0</v>
      </c>
      <c r="K4771" s="444">
        <f t="shared" ca="1" si="191"/>
        <v>-476709203395.38977</v>
      </c>
      <c r="L4771" s="444">
        <f t="shared" ca="1" si="192"/>
        <v>-114886918018288.94</v>
      </c>
      <c r="M4771" s="460">
        <f t="shared" si="194"/>
        <v>0.05</v>
      </c>
      <c r="N4771" s="464">
        <f t="shared" si="195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93"/>
        <v>-114886918018288.94</v>
      </c>
      <c r="J4772" s="444">
        <f t="array" ref="J4772">IFERROR(INDEX('Retirement Calculator'!J:J,MATCH('Isaac 401k'!N4772,'Retirement Calculator'!A:A,0),0),0)</f>
        <v>0</v>
      </c>
      <c r="K4772" s="444">
        <f t="shared" ca="1" si="191"/>
        <v>-478695491742.87048</v>
      </c>
      <c r="L4772" s="444">
        <f t="shared" ca="1" si="192"/>
        <v>-115365613510031.81</v>
      </c>
      <c r="M4772" s="460">
        <f t="shared" si="194"/>
        <v>0.05</v>
      </c>
      <c r="N4772" s="464">
        <f t="shared" si="195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93"/>
        <v>-115365613510031.81</v>
      </c>
      <c r="J4773" s="444">
        <f t="array" ref="J4773">IFERROR(INDEX('Retirement Calculator'!J:J,MATCH('Isaac 401k'!N4773,'Retirement Calculator'!A:A,0),0),0)</f>
        <v>0</v>
      </c>
      <c r="K4773" s="444">
        <f t="shared" ca="1" si="191"/>
        <v>-480690056291.79919</v>
      </c>
      <c r="L4773" s="444">
        <f t="shared" ca="1" si="192"/>
        <v>-115846303566323.61</v>
      </c>
      <c r="M4773" s="460">
        <f t="shared" si="194"/>
        <v>0.05</v>
      </c>
      <c r="N4773" s="464">
        <f t="shared" si="195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93"/>
        <v>-115846303566323.61</v>
      </c>
      <c r="J4774" s="444">
        <f t="array" ref="J4774">IFERROR(INDEX('Retirement Calculator'!J:J,MATCH('Isaac 401k'!N4774,'Retirement Calculator'!A:A,0),0),0)</f>
        <v>0</v>
      </c>
      <c r="K4774" s="444">
        <f t="shared" ca="1" si="191"/>
        <v>-482692931526.34839</v>
      </c>
      <c r="L4774" s="444">
        <f t="shared" ca="1" si="192"/>
        <v>-116328996497849.95</v>
      </c>
      <c r="M4774" s="460">
        <f t="shared" si="194"/>
        <v>0.05</v>
      </c>
      <c r="N4774" s="464">
        <f t="shared" si="195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93"/>
        <v>-116328996497849.95</v>
      </c>
      <c r="J4775" s="444">
        <f t="array" ref="J4775">IFERROR(INDEX('Retirement Calculator'!J:J,MATCH('Isaac 401k'!N4775,'Retirement Calculator'!A:A,0),0),0)</f>
        <v>0</v>
      </c>
      <c r="K4775" s="444">
        <f t="shared" ca="1" si="191"/>
        <v>-484704152074.37482</v>
      </c>
      <c r="L4775" s="444">
        <f t="shared" ca="1" si="192"/>
        <v>-116813700649924.33</v>
      </c>
      <c r="M4775" s="460">
        <f t="shared" si="194"/>
        <v>0.05</v>
      </c>
      <c r="N4775" s="464">
        <f t="shared" si="195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93"/>
        <v>-116813700649924.33</v>
      </c>
      <c r="J4776" s="444">
        <f t="array" ref="J4776">IFERROR(INDEX('Retirement Calculator'!J:J,MATCH('Isaac 401k'!N4776,'Retirement Calculator'!A:A,0),0),0)</f>
        <v>0</v>
      </c>
      <c r="K4776" s="444">
        <f t="shared" ca="1" si="191"/>
        <v>-486723752708.01801</v>
      </c>
      <c r="L4776" s="444">
        <f t="shared" ca="1" si="192"/>
        <v>-117300424402632.34</v>
      </c>
      <c r="M4776" s="460">
        <f t="shared" si="194"/>
        <v>0.05</v>
      </c>
      <c r="N4776" s="464">
        <f t="shared" si="195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93"/>
        <v>-117300424402632.34</v>
      </c>
      <c r="J4777" s="444">
        <f t="array" ref="J4777">IFERROR(INDEX('Retirement Calculator'!J:J,MATCH('Isaac 401k'!N4777,'Retirement Calculator'!A:A,0),0),0)</f>
        <v>0</v>
      </c>
      <c r="K4777" s="444">
        <f t="shared" ca="1" si="191"/>
        <v>-488751768344.30151</v>
      </c>
      <c r="L4777" s="444">
        <f t="shared" ca="1" si="192"/>
        <v>-117789176170976.64</v>
      </c>
      <c r="M4777" s="460">
        <f t="shared" si="194"/>
        <v>0.05</v>
      </c>
      <c r="N4777" s="464">
        <f t="shared" si="195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93"/>
        <v>-117789176170976.64</v>
      </c>
      <c r="J4778" s="444">
        <f t="array" ref="J4778">IFERROR(INDEX('Retirement Calculator'!J:J,MATCH('Isaac 401k'!N4778,'Retirement Calculator'!A:A,0),0),0)</f>
        <v>0</v>
      </c>
      <c r="K4778" s="444">
        <f t="shared" ca="1" si="191"/>
        <v>-490788234045.73602</v>
      </c>
      <c r="L4778" s="444">
        <f t="shared" ca="1" si="192"/>
        <v>-118279964405022.38</v>
      </c>
      <c r="M4778" s="460">
        <f t="shared" si="194"/>
        <v>0.05</v>
      </c>
      <c r="N4778" s="464">
        <f t="shared" si="195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93"/>
        <v>-118279964405022.38</v>
      </c>
      <c r="J4779" s="444">
        <f t="array" ref="J4779">IFERROR(INDEX('Retirement Calculator'!J:J,MATCH('Isaac 401k'!N4779,'Retirement Calculator'!A:A,0),0),0)</f>
        <v>0</v>
      </c>
      <c r="K4779" s="444">
        <f t="shared" ca="1" si="191"/>
        <v>-492833185020.92657</v>
      </c>
      <c r="L4779" s="444">
        <f t="shared" ca="1" si="192"/>
        <v>-118772797590043.3</v>
      </c>
      <c r="M4779" s="460">
        <f t="shared" si="194"/>
        <v>0.05</v>
      </c>
      <c r="N4779" s="464">
        <f t="shared" si="195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93"/>
        <v>-118772797590043.3</v>
      </c>
      <c r="J4780" s="444">
        <f t="array" ref="J4780">IFERROR(INDEX('Retirement Calculator'!J:J,MATCH('Isaac 401k'!N4780,'Retirement Calculator'!A:A,0),0),0)</f>
        <v>0</v>
      </c>
      <c r="K4780" s="444">
        <f t="shared" ca="1" si="191"/>
        <v>-494886656625.18048</v>
      </c>
      <c r="L4780" s="444">
        <f t="shared" ca="1" si="192"/>
        <v>-119267684246668.48</v>
      </c>
      <c r="M4780" s="460">
        <f t="shared" si="194"/>
        <v>0.05</v>
      </c>
      <c r="N4780" s="464">
        <f t="shared" si="195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93"/>
        <v>-119267684246668.48</v>
      </c>
      <c r="J4781" s="444">
        <f t="array" ref="J4781">IFERROR(INDEX('Retirement Calculator'!J:J,MATCH('Isaac 401k'!N4781,'Retirement Calculator'!A:A,0),0),0)</f>
        <v>0</v>
      </c>
      <c r="K4781" s="444">
        <f t="shared" ca="1" si="191"/>
        <v>-496948684361.11865</v>
      </c>
      <c r="L4781" s="444">
        <f t="shared" ca="1" si="192"/>
        <v>-119764632931029.61</v>
      </c>
      <c r="M4781" s="460">
        <f t="shared" si="194"/>
        <v>0.05</v>
      </c>
      <c r="N4781" s="464">
        <f t="shared" si="195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93"/>
        <v>-119764632931029.61</v>
      </c>
      <c r="J4782" s="444">
        <f t="array" ref="J4782">IFERROR(INDEX('Retirement Calculator'!J:J,MATCH('Isaac 401k'!N4782,'Retirement Calculator'!A:A,0),0),0)</f>
        <v>0</v>
      </c>
      <c r="K4782" s="444">
        <f t="shared" ca="1" si="191"/>
        <v>-499019303879.2901</v>
      </c>
      <c r="L4782" s="444">
        <f t="shared" ca="1" si="192"/>
        <v>-120263652234908.91</v>
      </c>
      <c r="M4782" s="460">
        <f t="shared" si="194"/>
        <v>0.05</v>
      </c>
      <c r="N4782" s="464">
        <f t="shared" si="195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93"/>
        <v>-120263652234908.91</v>
      </c>
      <c r="J4783" s="444">
        <f t="array" ref="J4783">IFERROR(INDEX('Retirement Calculator'!J:J,MATCH('Isaac 401k'!N4783,'Retirement Calculator'!A:A,0),0),0)</f>
        <v>0</v>
      </c>
      <c r="K4783" s="444">
        <f t="shared" ca="1" si="191"/>
        <v>-501098550978.78711</v>
      </c>
      <c r="L4783" s="444">
        <f t="shared" ca="1" si="192"/>
        <v>-120764750785887.69</v>
      </c>
      <c r="M4783" s="460">
        <f t="shared" si="194"/>
        <v>0.05</v>
      </c>
      <c r="N4783" s="464">
        <f t="shared" si="195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93"/>
        <v>-120764750785887.69</v>
      </c>
      <c r="J4784" s="444">
        <f t="array" ref="J4784">IFERROR(INDEX('Retirement Calculator'!J:J,MATCH('Isaac 401k'!N4784,'Retirement Calculator'!A:A,0),0),0)</f>
        <v>0</v>
      </c>
      <c r="K4784" s="444">
        <f t="shared" ca="1" si="191"/>
        <v>-503186461607.86536</v>
      </c>
      <c r="L4784" s="444">
        <f t="shared" ca="1" si="192"/>
        <v>-121267937247495.55</v>
      </c>
      <c r="M4784" s="460">
        <f t="shared" si="194"/>
        <v>0.05</v>
      </c>
      <c r="N4784" s="464">
        <f t="shared" si="195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93"/>
        <v>-121267937247495.55</v>
      </c>
      <c r="J4785" s="444">
        <f t="array" ref="J4785">IFERROR(INDEX('Retirement Calculator'!J:J,MATCH('Isaac 401k'!N4785,'Retirement Calculator'!A:A,0),0),0)</f>
        <v>0</v>
      </c>
      <c r="K4785" s="444">
        <f t="shared" ca="1" si="191"/>
        <v>-505283071864.56476</v>
      </c>
      <c r="L4785" s="444">
        <f t="shared" ca="1" si="192"/>
        <v>-121773220319360.11</v>
      </c>
      <c r="M4785" s="460">
        <f t="shared" si="194"/>
        <v>0.05</v>
      </c>
      <c r="N4785" s="464">
        <f t="shared" si="195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93"/>
        <v>-121773220319360.11</v>
      </c>
      <c r="J4786" s="444">
        <f t="array" ref="J4786">IFERROR(INDEX('Retirement Calculator'!J:J,MATCH('Isaac 401k'!N4786,'Retirement Calculator'!A:A,0),0),0)</f>
        <v>0</v>
      </c>
      <c r="K4786" s="444">
        <f t="shared" ca="1" si="191"/>
        <v>-507388417997.33386</v>
      </c>
      <c r="L4786" s="444">
        <f t="shared" ca="1" si="192"/>
        <v>-122280608737357.44</v>
      </c>
      <c r="M4786" s="460">
        <f t="shared" si="194"/>
        <v>0.05</v>
      </c>
      <c r="N4786" s="464">
        <f t="shared" si="195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93"/>
        <v>-122280608737357.44</v>
      </c>
      <c r="J4787" s="444">
        <f t="array" ref="J4787">IFERROR(INDEX('Retirement Calculator'!J:J,MATCH('Isaac 401k'!N4787,'Retirement Calculator'!A:A,0),0),0)</f>
        <v>0</v>
      </c>
      <c r="K4787" s="444">
        <f t="shared" ca="1" si="191"/>
        <v>-509502536405.65607</v>
      </c>
      <c r="L4787" s="444">
        <f t="shared" ca="1" si="192"/>
        <v>-122790111273763.09</v>
      </c>
      <c r="M4787" s="460">
        <f t="shared" si="194"/>
        <v>0.05</v>
      </c>
      <c r="N4787" s="464">
        <f t="shared" si="195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93"/>
        <v>-122790111273763.09</v>
      </c>
      <c r="J4788" s="444">
        <f t="array" ref="J4788">IFERROR(INDEX('Retirement Calculator'!J:J,MATCH('Isaac 401k'!N4788,'Retirement Calculator'!A:A,0),0),0)</f>
        <v>0</v>
      </c>
      <c r="K4788" s="444">
        <f t="shared" ca="1" si="191"/>
        <v>-511625463640.67963</v>
      </c>
      <c r="L4788" s="444">
        <f t="shared" ca="1" si="192"/>
        <v>-123301736737403.77</v>
      </c>
      <c r="M4788" s="460">
        <f t="shared" si="194"/>
        <v>0.05</v>
      </c>
      <c r="N4788" s="464">
        <f t="shared" si="195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93"/>
        <v>-123301736737403.77</v>
      </c>
      <c r="J4789" s="444">
        <f t="array" ref="J4789">IFERROR(INDEX('Retirement Calculator'!J:J,MATCH('Isaac 401k'!N4789,'Retirement Calculator'!A:A,0),0),0)</f>
        <v>0</v>
      </c>
      <c r="K4789" s="444">
        <f t="shared" ca="1" si="191"/>
        <v>-513757236405.84894</v>
      </c>
      <c r="L4789" s="444">
        <f t="shared" ca="1" si="192"/>
        <v>-123815493973809.61</v>
      </c>
      <c r="M4789" s="460">
        <f t="shared" si="194"/>
        <v>0.05</v>
      </c>
      <c r="N4789" s="464">
        <f t="shared" si="195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93"/>
        <v>-123815493973809.61</v>
      </c>
      <c r="J4790" s="444">
        <f t="array" ref="J4790">IFERROR(INDEX('Retirement Calculator'!J:J,MATCH('Isaac 401k'!N4790,'Retirement Calculator'!A:A,0),0),0)</f>
        <v>0</v>
      </c>
      <c r="K4790" s="444">
        <f t="shared" ca="1" si="191"/>
        <v>-515897891557.5401</v>
      </c>
      <c r="L4790" s="444">
        <f t="shared" ca="1" si="192"/>
        <v>-124331391865367.16</v>
      </c>
      <c r="M4790" s="460">
        <f t="shared" si="194"/>
        <v>0.05</v>
      </c>
      <c r="N4790" s="464">
        <f t="shared" si="195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93"/>
        <v>-124331391865367.16</v>
      </c>
      <c r="J4791" s="444">
        <f t="array" ref="J4791">IFERROR(INDEX('Retirement Calculator'!J:J,MATCH('Isaac 401k'!N4791,'Retirement Calculator'!A:A,0),0),0)</f>
        <v>0</v>
      </c>
      <c r="K4791" s="444">
        <f t="shared" ca="1" si="191"/>
        <v>-518047466105.69647</v>
      </c>
      <c r="L4791" s="444">
        <f t="shared" ca="1" si="192"/>
        <v>-124849439331472.86</v>
      </c>
      <c r="M4791" s="460">
        <f t="shared" si="194"/>
        <v>0.05</v>
      </c>
      <c r="N4791" s="464">
        <f t="shared" si="195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93"/>
        <v>-124849439331472.86</v>
      </c>
      <c r="J4792" s="444">
        <f t="array" ref="J4792">IFERROR(INDEX('Retirement Calculator'!J:J,MATCH('Isaac 401k'!N4792,'Retirement Calculator'!A:A,0),0),0)</f>
        <v>0</v>
      </c>
      <c r="K4792" s="444">
        <f t="shared" ca="1" si="191"/>
        <v>-520205997214.47015</v>
      </c>
      <c r="L4792" s="444">
        <f t="shared" ca="1" si="192"/>
        <v>-125369645328687.33</v>
      </c>
      <c r="M4792" s="460">
        <f t="shared" si="194"/>
        <v>0.05</v>
      </c>
      <c r="N4792" s="464">
        <f t="shared" si="195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93"/>
        <v>-125369645328687.33</v>
      </c>
      <c r="J4793" s="444">
        <f t="array" ref="J4793">IFERROR(INDEX('Retirement Calculator'!J:J,MATCH('Isaac 401k'!N4793,'Retirement Calculator'!A:A,0),0),0)</f>
        <v>0</v>
      </c>
      <c r="K4793" s="444">
        <f t="shared" ca="1" si="191"/>
        <v>-522373522202.86383</v>
      </c>
      <c r="L4793" s="444">
        <f t="shared" ca="1" si="192"/>
        <v>-125892018850890.19</v>
      </c>
      <c r="M4793" s="460">
        <f t="shared" si="194"/>
        <v>0.05</v>
      </c>
      <c r="N4793" s="464">
        <f t="shared" si="195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93"/>
        <v>-125892018850890.19</v>
      </c>
      <c r="J4794" s="444">
        <f t="array" ref="J4794">IFERROR(INDEX('Retirement Calculator'!J:J,MATCH('Isaac 401k'!N4794,'Retirement Calculator'!A:A,0),0),0)</f>
        <v>0</v>
      </c>
      <c r="K4794" s="444">
        <f t="shared" ca="1" si="191"/>
        <v>-524550078545.37579</v>
      </c>
      <c r="L4794" s="444">
        <f t="shared" ca="1" si="192"/>
        <v>-126416568929435.56</v>
      </c>
      <c r="M4794" s="460">
        <f t="shared" si="194"/>
        <v>0.05</v>
      </c>
      <c r="N4794" s="464">
        <f t="shared" si="195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93"/>
        <v>-126416568929435.56</v>
      </c>
      <c r="J4795" s="444">
        <f t="array" ref="J4795">IFERROR(INDEX('Retirement Calculator'!J:J,MATCH('Isaac 401k'!N4795,'Retirement Calculator'!A:A,0),0),0)</f>
        <v>0</v>
      </c>
      <c r="K4795" s="444">
        <f t="shared" ca="1" si="191"/>
        <v>-526735703872.64819</v>
      </c>
      <c r="L4795" s="444">
        <f t="shared" ca="1" si="192"/>
        <v>-126943304633308.2</v>
      </c>
      <c r="M4795" s="460">
        <f t="shared" si="194"/>
        <v>0.05</v>
      </c>
      <c r="N4795" s="464">
        <f t="shared" si="195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93"/>
        <v>-126943304633308.2</v>
      </c>
      <c r="J4796" s="444">
        <f t="array" ref="J4796">IFERROR(INDEX('Retirement Calculator'!J:J,MATCH('Isaac 401k'!N4796,'Retirement Calculator'!A:A,0),0),0)</f>
        <v>0</v>
      </c>
      <c r="K4796" s="444">
        <f t="shared" ca="1" si="191"/>
        <v>-528930435972.11749</v>
      </c>
      <c r="L4796" s="444">
        <f t="shared" ca="1" si="192"/>
        <v>-127472235069280.33</v>
      </c>
      <c r="M4796" s="460">
        <f t="shared" si="194"/>
        <v>0.05</v>
      </c>
      <c r="N4796" s="464">
        <f t="shared" si="195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93"/>
        <v>-127472235069280.33</v>
      </c>
      <c r="J4797" s="444">
        <f t="array" ref="J4797">IFERROR(INDEX('Retirement Calculator'!J:J,MATCH('Isaac 401k'!N4797,'Retirement Calculator'!A:A,0),0),0)</f>
        <v>0</v>
      </c>
      <c r="K4797" s="444">
        <f t="shared" ca="1" si="191"/>
        <v>-531134312788.66803</v>
      </c>
      <c r="L4797" s="444">
        <f t="shared" ca="1" si="192"/>
        <v>-128003369382069</v>
      </c>
      <c r="M4797" s="460">
        <f t="shared" si="194"/>
        <v>0.05</v>
      </c>
      <c r="N4797" s="464">
        <f t="shared" si="195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93"/>
        <v>-128003369382069</v>
      </c>
      <c r="J4798" s="444">
        <f t="array" ref="J4798">IFERROR(INDEX('Retirement Calculator'!J:J,MATCH('Isaac 401k'!N4798,'Retirement Calculator'!A:A,0),0),0)</f>
        <v>0</v>
      </c>
      <c r="K4798" s="444">
        <f t="shared" ca="1" si="191"/>
        <v>-533347372425.28741</v>
      </c>
      <c r="L4798" s="444">
        <f t="shared" ca="1" si="192"/>
        <v>-128536716754494.28</v>
      </c>
      <c r="M4798" s="460">
        <f t="shared" si="194"/>
        <v>0.05</v>
      </c>
      <c r="N4798" s="464">
        <f t="shared" si="195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93"/>
        <v>-128536716754494.28</v>
      </c>
      <c r="J4799" s="444">
        <f t="array" ref="J4799">IFERROR(INDEX('Retirement Calculator'!J:J,MATCH('Isaac 401k'!N4799,'Retirement Calculator'!A:A,0),0),0)</f>
        <v>0</v>
      </c>
      <c r="K4799" s="444">
        <f t="shared" ca="1" si="191"/>
        <v>-535569653143.72614</v>
      </c>
      <c r="L4799" s="444">
        <f t="shared" ca="1" si="192"/>
        <v>-129072286407638</v>
      </c>
      <c r="M4799" s="460">
        <f t="shared" si="194"/>
        <v>0.05</v>
      </c>
      <c r="N4799" s="464">
        <f t="shared" si="195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93"/>
        <v>-129072286407638</v>
      </c>
      <c r="J4800" s="444">
        <f t="array" ref="J4800">IFERROR(INDEX('Retirement Calculator'!J:J,MATCH('Isaac 401k'!N4800,'Retirement Calculator'!A:A,0),0),0)</f>
        <v>0</v>
      </c>
      <c r="K4800" s="444">
        <f t="shared" ca="1" si="191"/>
        <v>-537801193365.15833</v>
      </c>
      <c r="L4800" s="444">
        <f t="shared" ca="1" si="192"/>
        <v>-129610087601003.16</v>
      </c>
      <c r="M4800" s="460">
        <f t="shared" si="194"/>
        <v>0.05</v>
      </c>
      <c r="N4800" s="464">
        <f t="shared" si="195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93"/>
        <v>-129610087601003.16</v>
      </c>
      <c r="J4801" s="444">
        <f t="array" ref="J4801">IFERROR(INDEX('Retirement Calculator'!J:J,MATCH('Isaac 401k'!N4801,'Retirement Calculator'!A:A,0),0),0)</f>
        <v>0</v>
      </c>
      <c r="K4801" s="444">
        <f t="shared" ca="1" si="191"/>
        <v>-540042031670.84644</v>
      </c>
      <c r="L4801" s="444">
        <f t="shared" ca="1" si="192"/>
        <v>-130150129632674</v>
      </c>
      <c r="M4801" s="460">
        <f t="shared" si="194"/>
        <v>0.05</v>
      </c>
      <c r="N4801" s="464">
        <f t="shared" si="195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93"/>
        <v>-130150129632674</v>
      </c>
      <c r="J4802" s="444">
        <f t="array" ref="J4802">IFERROR(INDEX('Retirement Calculator'!J:J,MATCH('Isaac 401k'!N4802,'Retirement Calculator'!A:A,0),0),0)</f>
        <v>0</v>
      </c>
      <c r="K4802" s="444">
        <f t="shared" ca="1" si="191"/>
        <v>-542292206802.80835</v>
      </c>
      <c r="L4802" s="444">
        <f t="shared" ca="1" si="192"/>
        <v>-130692421839476.81</v>
      </c>
      <c r="M4802" s="460">
        <f t="shared" si="194"/>
        <v>0.05</v>
      </c>
      <c r="N4802" s="464">
        <f t="shared" si="195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93"/>
        <v>-130692421839476.81</v>
      </c>
      <c r="J4803" s="444">
        <f t="array" ref="J4803">IFERROR(INDEX('Retirement Calculator'!J:J,MATCH('Isaac 401k'!N4803,'Retirement Calculator'!A:A,0),0),0)</f>
        <v>0</v>
      </c>
      <c r="K4803" s="444">
        <f t="shared" ca="1" si="191"/>
        <v>-544551757664.48669</v>
      </c>
      <c r="L4803" s="444">
        <f t="shared" ca="1" si="192"/>
        <v>-131236973597141.3</v>
      </c>
      <c r="M4803" s="460">
        <f t="shared" si="194"/>
        <v>0.05</v>
      </c>
      <c r="N4803" s="464">
        <f t="shared" si="195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93"/>
        <v>-131236973597141.3</v>
      </c>
      <c r="J4804" s="444">
        <f t="array" ref="J4804">IFERROR(INDEX('Retirement Calculator'!J:J,MATCH('Isaac 401k'!N4804,'Retirement Calculator'!A:A,0),0),0)</f>
        <v>0</v>
      </c>
      <c r="K4804" s="444">
        <f t="shared" ca="1" si="191"/>
        <v>-546820723321.42206</v>
      </c>
      <c r="L4804" s="444">
        <f t="shared" ca="1" si="192"/>
        <v>-131783794320462.72</v>
      </c>
      <c r="M4804" s="460">
        <f t="shared" si="194"/>
        <v>0.05</v>
      </c>
      <c r="N4804" s="464">
        <f t="shared" si="195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93"/>
        <v>-131783794320462.72</v>
      </c>
      <c r="J4805" s="444">
        <f t="array" ref="J4805">IFERROR(INDEX('Retirement Calculator'!J:J,MATCH('Isaac 401k'!N4805,'Retirement Calculator'!A:A,0),0),0)</f>
        <v>0</v>
      </c>
      <c r="K4805" s="444">
        <f t="shared" ca="1" si="191"/>
        <v>-549099143001.92798</v>
      </c>
      <c r="L4805" s="444">
        <f t="shared" ca="1" si="192"/>
        <v>-132332893463464.64</v>
      </c>
      <c r="M4805" s="460">
        <f t="shared" si="194"/>
        <v>0.05</v>
      </c>
      <c r="N4805" s="464">
        <f t="shared" si="195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93"/>
        <v>-132332893463464.64</v>
      </c>
      <c r="J4806" s="444">
        <f t="array" ref="J4806">IFERROR(INDEX('Retirement Calculator'!J:J,MATCH('Isaac 401k'!N4806,'Retirement Calculator'!A:A,0),0),0)</f>
        <v>0</v>
      </c>
      <c r="K4806" s="444">
        <f t="shared" ca="1" si="191"/>
        <v>-551387056097.76929</v>
      </c>
      <c r="L4806" s="444">
        <f t="shared" ca="1" si="192"/>
        <v>-132884280519562.41</v>
      </c>
      <c r="M4806" s="460">
        <f t="shared" si="194"/>
        <v>0.05</v>
      </c>
      <c r="N4806" s="464">
        <f t="shared" si="195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93"/>
        <v>-132884280519562.41</v>
      </c>
      <c r="J4807" s="444">
        <f t="array" ref="J4807">IFERROR(INDEX('Retirement Calculator'!J:J,MATCH('Isaac 401k'!N4807,'Retirement Calculator'!A:A,0),0),0)</f>
        <v>0</v>
      </c>
      <c r="K4807" s="444">
        <f t="shared" ca="1" si="191"/>
        <v>-553684502164.84338</v>
      </c>
      <c r="L4807" s="444">
        <f t="shared" ca="1" si="192"/>
        <v>-133437965021727.25</v>
      </c>
      <c r="M4807" s="460">
        <f t="shared" si="194"/>
        <v>0.05</v>
      </c>
      <c r="N4807" s="464">
        <f t="shared" si="195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93"/>
        <v>-133437965021727.25</v>
      </c>
      <c r="J4808" s="444">
        <f t="array" ref="J4808">IFERROR(INDEX('Retirement Calculator'!J:J,MATCH('Isaac 401k'!N4808,'Retirement Calculator'!A:A,0),0),0)</f>
        <v>0</v>
      </c>
      <c r="K4808" s="444">
        <f t="shared" ca="1" si="191"/>
        <v>-555991520923.86353</v>
      </c>
      <c r="L4808" s="444">
        <f t="shared" ca="1" si="192"/>
        <v>-133993956542651.11</v>
      </c>
      <c r="M4808" s="460">
        <f t="shared" si="194"/>
        <v>0.05</v>
      </c>
      <c r="N4808" s="464">
        <f t="shared" si="195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93"/>
        <v>-133993956542651.11</v>
      </c>
      <c r="J4809" s="444">
        <f t="array" ref="J4809">IFERROR(INDEX('Retirement Calculator'!J:J,MATCH('Isaac 401k'!N4809,'Retirement Calculator'!A:A,0),0),0)</f>
        <v>0</v>
      </c>
      <c r="K4809" s="444">
        <f t="shared" ca="1" si="191"/>
        <v>-558308152261.04626</v>
      </c>
      <c r="L4809" s="444">
        <f t="shared" ca="1" si="192"/>
        <v>-134552264694912.16</v>
      </c>
      <c r="M4809" s="460">
        <f t="shared" si="194"/>
        <v>0.05</v>
      </c>
      <c r="N4809" s="464">
        <f t="shared" si="195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93"/>
        <v>-134552264694912.16</v>
      </c>
      <c r="J4810" s="444">
        <f t="array" ref="J4810">IFERROR(INDEX('Retirement Calculator'!J:J,MATCH('Isaac 401k'!N4810,'Retirement Calculator'!A:A,0),0),0)</f>
        <v>0</v>
      </c>
      <c r="K4810" s="444">
        <f t="shared" ca="1" si="191"/>
        <v>-560634436228.80066</v>
      </c>
      <c r="L4810" s="444">
        <f t="shared" ca="1" si="192"/>
        <v>-135112899131140.95</v>
      </c>
      <c r="M4810" s="460">
        <f t="shared" si="194"/>
        <v>0.05</v>
      </c>
      <c r="N4810" s="464">
        <f t="shared" si="195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93"/>
        <v>-135112899131140.95</v>
      </c>
      <c r="J4811" s="444">
        <f t="array" ref="J4811">IFERROR(INDEX('Retirement Calculator'!J:J,MATCH('Isaac 401k'!N4811,'Retirement Calculator'!A:A,0),0),0)</f>
        <v>0</v>
      </c>
      <c r="K4811" s="444">
        <f t="shared" ca="1" si="191"/>
        <v>-562970413046.42065</v>
      </c>
      <c r="L4811" s="444">
        <f t="shared" ca="1" si="192"/>
        <v>-135675869544187.38</v>
      </c>
      <c r="M4811" s="460">
        <f t="shared" si="194"/>
        <v>0.05</v>
      </c>
      <c r="N4811" s="464">
        <f t="shared" si="195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93"/>
        <v>-135675869544187.38</v>
      </c>
      <c r="J4812" s="444">
        <f t="array" ref="J4812">IFERROR(INDEX('Retirement Calculator'!J:J,MATCH('Isaac 401k'!N4812,'Retirement Calculator'!A:A,0),0),0)</f>
        <v>0</v>
      </c>
      <c r="K4812" s="444">
        <f t="shared" ca="1" si="191"/>
        <v>-565316123100.78076</v>
      </c>
      <c r="L4812" s="444">
        <f t="shared" ca="1" si="192"/>
        <v>-136241185667288.16</v>
      </c>
      <c r="M4812" s="460">
        <f t="shared" si="194"/>
        <v>0.05</v>
      </c>
      <c r="N4812" s="464">
        <f t="shared" si="195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93"/>
        <v>-136241185667288.16</v>
      </c>
      <c r="J4813" s="444">
        <f t="array" ref="J4813">IFERROR(INDEX('Retirement Calculator'!J:J,MATCH('Isaac 401k'!N4813,'Retirement Calculator'!A:A,0),0),0)</f>
        <v>0</v>
      </c>
      <c r="K4813" s="444">
        <f t="shared" ca="1" si="191"/>
        <v>-567671606947.03394</v>
      </c>
      <c r="L4813" s="444">
        <f t="shared" ca="1" si="192"/>
        <v>-136808857274235.19</v>
      </c>
      <c r="M4813" s="460">
        <f t="shared" si="194"/>
        <v>0.05</v>
      </c>
      <c r="N4813" s="464">
        <f t="shared" si="195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93"/>
        <v>-136808857274235.19</v>
      </c>
      <c r="J4814" s="444">
        <f t="array" ref="J4814">IFERROR(INDEX('Retirement Calculator'!J:J,MATCH('Isaac 401k'!N4814,'Retirement Calculator'!A:A,0),0),0)</f>
        <v>0</v>
      </c>
      <c r="K4814" s="444">
        <f t="shared" ca="1" si="191"/>
        <v>-570036905309.31323</v>
      </c>
      <c r="L4814" s="444">
        <f t="shared" ca="1" si="192"/>
        <v>-137378894179544.5</v>
      </c>
      <c r="M4814" s="460">
        <f t="shared" si="194"/>
        <v>0.05</v>
      </c>
      <c r="N4814" s="464">
        <f t="shared" si="195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93"/>
        <v>-137378894179544.5</v>
      </c>
      <c r="J4815" s="444">
        <f t="array" ref="J4815">IFERROR(INDEX('Retirement Calculator'!J:J,MATCH('Isaac 401k'!N4815,'Retirement Calculator'!A:A,0),0),0)</f>
        <v>0</v>
      </c>
      <c r="K4815" s="444">
        <f t="shared" ca="1" si="191"/>
        <v>-572412059081.43542</v>
      </c>
      <c r="L4815" s="444">
        <f t="shared" ca="1" si="192"/>
        <v>-137951306238625.94</v>
      </c>
      <c r="M4815" s="460">
        <f t="shared" si="194"/>
        <v>0.05</v>
      </c>
      <c r="N4815" s="464">
        <f t="shared" si="195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93"/>
        <v>-137951306238625.94</v>
      </c>
      <c r="J4816" s="444">
        <f t="array" ref="J4816">IFERROR(INDEX('Retirement Calculator'!J:J,MATCH('Isaac 401k'!N4816,'Retirement Calculator'!A:A,0),0),0)</f>
        <v>0</v>
      </c>
      <c r="K4816" s="444">
        <f t="shared" ca="1" si="191"/>
        <v>-574797109327.60803</v>
      </c>
      <c r="L4816" s="444">
        <f t="shared" ca="1" si="192"/>
        <v>-138526103347953.55</v>
      </c>
      <c r="M4816" s="460">
        <f t="shared" si="194"/>
        <v>0.05</v>
      </c>
      <c r="N4816" s="464">
        <f t="shared" si="195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93"/>
        <v>-138526103347953.55</v>
      </c>
      <c r="J4817" s="444">
        <f t="array" ref="J4817">IFERROR(INDEX('Retirement Calculator'!J:J,MATCH('Isaac 401k'!N4817,'Retirement Calculator'!A:A,0),0),0)</f>
        <v>0</v>
      </c>
      <c r="K4817" s="444">
        <f t="shared" ca="1" si="191"/>
        <v>-577192097283.13965</v>
      </c>
      <c r="L4817" s="444">
        <f t="shared" ca="1" si="192"/>
        <v>-139103295445236.69</v>
      </c>
      <c r="M4817" s="460">
        <f t="shared" si="194"/>
        <v>0.05</v>
      </c>
      <c r="N4817" s="464">
        <f t="shared" si="195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93"/>
        <v>-139103295445236.69</v>
      </c>
      <c r="J4818" s="444">
        <f t="array" ref="J4818">IFERROR(INDEX('Retirement Calculator'!J:J,MATCH('Isaac 401k'!N4818,'Retirement Calculator'!A:A,0),0),0)</f>
        <v>0</v>
      </c>
      <c r="K4818" s="444">
        <f t="shared" ca="1" si="191"/>
        <v>-579597064355.15283</v>
      </c>
      <c r="L4818" s="444">
        <f t="shared" ca="1" si="192"/>
        <v>-139682892509591.84</v>
      </c>
      <c r="M4818" s="460">
        <f t="shared" si="194"/>
        <v>0.05</v>
      </c>
      <c r="N4818" s="464">
        <f t="shared" si="195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93"/>
        <v>-139682892509591.84</v>
      </c>
      <c r="J4819" s="444">
        <f t="array" ref="J4819">IFERROR(INDEX('Retirement Calculator'!J:J,MATCH('Isaac 401k'!N4819,'Retirement Calculator'!A:A,0),0),0)</f>
        <v>0</v>
      </c>
      <c r="K4819" s="444">
        <f t="shared" ca="1" si="191"/>
        <v>-582012052123.29932</v>
      </c>
      <c r="L4819" s="444">
        <f t="shared" ca="1" si="192"/>
        <v>-140264904561715.14</v>
      </c>
      <c r="M4819" s="460">
        <f t="shared" si="194"/>
        <v>0.05</v>
      </c>
      <c r="N4819" s="464">
        <f t="shared" si="195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93"/>
        <v>-140264904561715.14</v>
      </c>
      <c r="J4820" s="444">
        <f t="array" ref="J4820">IFERROR(INDEX('Retirement Calculator'!J:J,MATCH('Isaac 401k'!N4820,'Retirement Calculator'!A:A,0),0),0)</f>
        <v>0</v>
      </c>
      <c r="K4820" s="444">
        <f t="shared" ca="1" si="191"/>
        <v>-584437102340.47974</v>
      </c>
      <c r="L4820" s="444">
        <f t="shared" ca="1" si="192"/>
        <v>-140849341664055.63</v>
      </c>
      <c r="M4820" s="460">
        <f t="shared" si="194"/>
        <v>0.05</v>
      </c>
      <c r="N4820" s="464">
        <f t="shared" si="195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93"/>
        <v>-140849341664055.63</v>
      </c>
      <c r="J4821" s="444">
        <f t="array" ref="J4821">IFERROR(INDEX('Retirement Calculator'!J:J,MATCH('Isaac 401k'!N4821,'Retirement Calculator'!A:A,0),0),0)</f>
        <v>0</v>
      </c>
      <c r="K4821" s="444">
        <f t="shared" ca="1" si="191"/>
        <v>-586872256933.56506</v>
      </c>
      <c r="L4821" s="444">
        <f t="shared" ca="1" si="192"/>
        <v>-141436213920989.19</v>
      </c>
      <c r="M4821" s="460">
        <f t="shared" si="194"/>
        <v>0.05</v>
      </c>
      <c r="N4821" s="464">
        <f t="shared" si="195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93"/>
        <v>-141436213920989.19</v>
      </c>
      <c r="J4822" s="444">
        <f t="array" ref="J4822">IFERROR(INDEX('Retirement Calculator'!J:J,MATCH('Isaac 401k'!N4822,'Retirement Calculator'!A:A,0),0),0)</f>
        <v>0</v>
      </c>
      <c r="K4822" s="444">
        <f t="shared" ca="1" si="191"/>
        <v>-589317558004.12158</v>
      </c>
      <c r="L4822" s="444">
        <f t="shared" ca="1" si="192"/>
        <v>-142025531478993.31</v>
      </c>
      <c r="M4822" s="460">
        <f t="shared" si="194"/>
        <v>0.05</v>
      </c>
      <c r="N4822" s="464">
        <f t="shared" si="195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93"/>
        <v>-142025531478993.31</v>
      </c>
      <c r="J4823" s="444">
        <f t="array" ref="J4823">IFERROR(INDEX('Retirement Calculator'!J:J,MATCH('Isaac 401k'!N4823,'Retirement Calculator'!A:A,0),0),0)</f>
        <v>0</v>
      </c>
      <c r="K4823" s="444">
        <f t="shared" ca="1" si="191"/>
        <v>-591773047829.13879</v>
      </c>
      <c r="L4823" s="444">
        <f t="shared" ca="1" si="192"/>
        <v>-142617304526822.44</v>
      </c>
      <c r="M4823" s="460">
        <f t="shared" si="194"/>
        <v>0.05</v>
      </c>
      <c r="N4823" s="464">
        <f t="shared" si="195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93"/>
        <v>-142617304526822.44</v>
      </c>
      <c r="J4824" s="444">
        <f t="array" ref="J4824">IFERROR(INDEX('Retirement Calculator'!J:J,MATCH('Isaac 401k'!N4824,'Retirement Calculator'!A:A,0),0),0)</f>
        <v>0</v>
      </c>
      <c r="K4824" s="444">
        <f t="shared" ca="1" si="191"/>
        <v>-594238768861.76013</v>
      </c>
      <c r="L4824" s="444">
        <f t="shared" ca="1" si="192"/>
        <v>-143211543295684.19</v>
      </c>
      <c r="M4824" s="460">
        <f t="shared" si="194"/>
        <v>0.05</v>
      </c>
      <c r="N4824" s="464">
        <f t="shared" si="195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93"/>
        <v>-143211543295684.19</v>
      </c>
      <c r="J4825" s="444">
        <f t="array" ref="J4825">IFERROR(INDEX('Retirement Calculator'!J:J,MATCH('Isaac 401k'!N4825,'Retirement Calculator'!A:A,0),0),0)</f>
        <v>0</v>
      </c>
      <c r="K4825" s="444">
        <f t="shared" ca="1" si="191"/>
        <v>-596714763732.01746</v>
      </c>
      <c r="L4825" s="444">
        <f t="shared" ca="1" si="192"/>
        <v>-143808258059416.22</v>
      </c>
      <c r="M4825" s="460">
        <f t="shared" si="194"/>
        <v>0.05</v>
      </c>
      <c r="N4825" s="464">
        <f t="shared" si="195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93"/>
        <v>-143808258059416.22</v>
      </c>
      <c r="J4826" s="444">
        <f t="array" ref="J4826">IFERROR(INDEX('Retirement Calculator'!J:J,MATCH('Isaac 401k'!N4826,'Retirement Calculator'!A:A,0),0),0)</f>
        <v>0</v>
      </c>
      <c r="K4826" s="444">
        <f t="shared" ca="1" si="191"/>
        <v>-599201075247.56763</v>
      </c>
      <c r="L4826" s="444">
        <f t="shared" ca="1" si="192"/>
        <v>-144407459134663.78</v>
      </c>
      <c r="M4826" s="460">
        <f t="shared" si="194"/>
        <v>0.05</v>
      </c>
      <c r="N4826" s="464">
        <f t="shared" si="195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93"/>
        <v>-144407459134663.78</v>
      </c>
      <c r="J4827" s="444">
        <f t="array" ref="J4827">IFERROR(INDEX('Retirement Calculator'!J:J,MATCH('Isaac 401k'!N4827,'Retirement Calculator'!A:A,0),0),0)</f>
        <v>0</v>
      </c>
      <c r="K4827" s="444">
        <f t="shared" ca="1" si="191"/>
        <v>-601697746394.43237</v>
      </c>
      <c r="L4827" s="444">
        <f t="shared" ca="1" si="192"/>
        <v>-145009156881058.22</v>
      </c>
      <c r="M4827" s="460">
        <f t="shared" si="194"/>
        <v>0.05</v>
      </c>
      <c r="N4827" s="464">
        <f t="shared" si="195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93"/>
        <v>-145009156881058.22</v>
      </c>
      <c r="J4828" s="444">
        <f t="array" ref="J4828">IFERROR(INDEX('Retirement Calculator'!J:J,MATCH('Isaac 401k'!N4828,'Retirement Calculator'!A:A,0),0),0)</f>
        <v>0</v>
      </c>
      <c r="K4828" s="444">
        <f t="shared" ca="1" si="191"/>
        <v>-604204820337.74255</v>
      </c>
      <c r="L4828" s="444">
        <f t="shared" ca="1" si="192"/>
        <v>-145613361701395.97</v>
      </c>
      <c r="M4828" s="460">
        <f t="shared" si="194"/>
        <v>0.05</v>
      </c>
      <c r="N4828" s="464">
        <f t="shared" si="195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93"/>
        <v>-145613361701395.97</v>
      </c>
      <c r="J4829" s="444">
        <f t="array" ref="J4829">IFERROR(INDEX('Retirement Calculator'!J:J,MATCH('Isaac 401k'!N4829,'Retirement Calculator'!A:A,0),0),0)</f>
        <v>0</v>
      </c>
      <c r="K4829" s="444">
        <f t="shared" ca="1" si="191"/>
        <v>-606722340422.48315</v>
      </c>
      <c r="L4829" s="444">
        <f t="shared" ca="1" si="192"/>
        <v>-146220084041818.44</v>
      </c>
      <c r="M4829" s="460">
        <f t="shared" si="194"/>
        <v>0.05</v>
      </c>
      <c r="N4829" s="464">
        <f t="shared" si="195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93"/>
        <v>-146220084041818.44</v>
      </c>
      <c r="J4830" s="444">
        <f t="array" ref="J4830">IFERROR(INDEX('Retirement Calculator'!J:J,MATCH('Isaac 401k'!N4830,'Retirement Calculator'!A:A,0),0),0)</f>
        <v>0</v>
      </c>
      <c r="K4830" s="444">
        <f t="shared" ca="1" si="191"/>
        <v>-609250350174.24353</v>
      </c>
      <c r="L4830" s="444">
        <f t="shared" ca="1" si="192"/>
        <v>-146829334391992.69</v>
      </c>
      <c r="M4830" s="460">
        <f t="shared" si="194"/>
        <v>0.05</v>
      </c>
      <c r="N4830" s="464">
        <f t="shared" si="195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93"/>
        <v>-146829334391992.69</v>
      </c>
      <c r="J4831" s="444">
        <f t="array" ref="J4831">IFERROR(INDEX('Retirement Calculator'!J:J,MATCH('Isaac 401k'!N4831,'Retirement Calculator'!A:A,0),0),0)</f>
        <v>0</v>
      </c>
      <c r="K4831" s="444">
        <f t="shared" ca="1" si="191"/>
        <v>-611788893299.96948</v>
      </c>
      <c r="L4831" s="444">
        <f t="shared" ca="1" si="192"/>
        <v>-147441123285292.66</v>
      </c>
      <c r="M4831" s="460">
        <f t="shared" si="194"/>
        <v>0.05</v>
      </c>
      <c r="N4831" s="464">
        <f t="shared" si="195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93"/>
        <v>-147441123285292.66</v>
      </c>
      <c r="J4832" s="444">
        <f t="array" ref="J4832">IFERROR(INDEX('Retirement Calculator'!J:J,MATCH('Isaac 401k'!N4832,'Retirement Calculator'!A:A,0),0),0)</f>
        <v>0</v>
      </c>
      <c r="K4832" s="444">
        <f t="shared" ca="1" si="191"/>
        <v>-614338013688.71936</v>
      </c>
      <c r="L4832" s="444">
        <f t="shared" ca="1" si="192"/>
        <v>-148055461298981.38</v>
      </c>
      <c r="M4832" s="460">
        <f t="shared" si="194"/>
        <v>0.05</v>
      </c>
      <c r="N4832" s="464">
        <f t="shared" si="195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93"/>
        <v>-148055461298981.38</v>
      </c>
      <c r="J4833" s="444">
        <f t="array" ref="J4833">IFERROR(INDEX('Retirement Calculator'!J:J,MATCH('Isaac 401k'!N4833,'Retirement Calculator'!A:A,0),0),0)</f>
        <v>0</v>
      </c>
      <c r="K4833" s="444">
        <f t="shared" ca="1" si="191"/>
        <v>-616897755412.42236</v>
      </c>
      <c r="L4833" s="444">
        <f t="shared" ca="1" si="192"/>
        <v>-148672359054393.81</v>
      </c>
      <c r="M4833" s="460">
        <f t="shared" si="194"/>
        <v>0.05</v>
      </c>
      <c r="N4833" s="464">
        <f t="shared" si="195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93"/>
        <v>-148672359054393.81</v>
      </c>
      <c r="J4834" s="444">
        <f t="array" ref="J4834">IFERROR(INDEX('Retirement Calculator'!J:J,MATCH('Isaac 401k'!N4834,'Retirement Calculator'!A:A,0),0),0)</f>
        <v>0</v>
      </c>
      <c r="K4834" s="444">
        <f t="shared" ca="1" si="191"/>
        <v>-619468162726.64087</v>
      </c>
      <c r="L4834" s="444">
        <f t="shared" ca="1" si="192"/>
        <v>-149291827217120.47</v>
      </c>
      <c r="M4834" s="460">
        <f t="shared" si="194"/>
        <v>0.05</v>
      </c>
      <c r="N4834" s="464">
        <f t="shared" si="195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93"/>
        <v>-149291827217120.47</v>
      </c>
      <c r="J4835" s="444">
        <f t="array" ref="J4835">IFERROR(INDEX('Retirement Calculator'!J:J,MATCH('Isaac 401k'!N4835,'Retirement Calculator'!A:A,0),0),0)</f>
        <v>0</v>
      </c>
      <c r="K4835" s="444">
        <f t="shared" ca="1" si="191"/>
        <v>-622049280071.33533</v>
      </c>
      <c r="L4835" s="444">
        <f t="shared" ca="1" si="192"/>
        <v>-149913876497191.81</v>
      </c>
      <c r="M4835" s="460">
        <f t="shared" si="194"/>
        <v>0.05</v>
      </c>
      <c r="N4835" s="464">
        <f t="shared" si="195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93"/>
        <v>-149913876497191.81</v>
      </c>
      <c r="J4836" s="444">
        <f t="array" ref="J4836">IFERROR(INDEX('Retirement Calculator'!J:J,MATCH('Isaac 401k'!N4836,'Retirement Calculator'!A:A,0),0),0)</f>
        <v>0</v>
      </c>
      <c r="K4836" s="444">
        <f t="shared" ca="1" si="191"/>
        <v>-624641152071.63257</v>
      </c>
      <c r="L4836" s="444">
        <f t="shared" ca="1" si="192"/>
        <v>-150538517649263.44</v>
      </c>
      <c r="M4836" s="460">
        <f t="shared" si="194"/>
        <v>0.05</v>
      </c>
      <c r="N4836" s="464">
        <f t="shared" si="195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93"/>
        <v>-150538517649263.44</v>
      </c>
      <c r="J4837" s="444">
        <f t="array" ref="J4837">IFERROR(INDEX('Retirement Calculator'!J:J,MATCH('Isaac 401k'!N4837,'Retirement Calculator'!A:A,0),0),0)</f>
        <v>0</v>
      </c>
      <c r="K4837" s="444">
        <f t="shared" ca="1" si="191"/>
        <v>-627243823538.59766</v>
      </c>
      <c r="L4837" s="444">
        <f t="shared" ca="1" si="192"/>
        <v>-151165761472802.03</v>
      </c>
      <c r="M4837" s="460">
        <f t="shared" si="194"/>
        <v>0.05</v>
      </c>
      <c r="N4837" s="464">
        <f t="shared" si="195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93"/>
        <v>-151165761472802.03</v>
      </c>
      <c r="J4838" s="444">
        <f t="array" ref="J4838">IFERROR(INDEX('Retirement Calculator'!J:J,MATCH('Isaac 401k'!N4838,'Retirement Calculator'!A:A,0),0),0)</f>
        <v>0</v>
      </c>
      <c r="K4838" s="444">
        <f t="shared" ca="1" si="191"/>
        <v>-629857339470.00842</v>
      </c>
      <c r="L4838" s="444">
        <f t="shared" ca="1" si="192"/>
        <v>-151795618812272.03</v>
      </c>
      <c r="M4838" s="460">
        <f t="shared" si="194"/>
        <v>0.05</v>
      </c>
      <c r="N4838" s="464">
        <f t="shared" si="195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93"/>
        <v>-151795618812272.03</v>
      </c>
      <c r="J4839" s="444">
        <f t="array" ref="J4839">IFERROR(INDEX('Retirement Calculator'!J:J,MATCH('Isaac 401k'!N4839,'Retirement Calculator'!A:A,0),0),0)</f>
        <v>0</v>
      </c>
      <c r="K4839" s="444">
        <f t="shared" ca="1" si="191"/>
        <v>-632481745051.13342</v>
      </c>
      <c r="L4839" s="444">
        <f t="shared" ca="1" si="192"/>
        <v>-152428100557323.16</v>
      </c>
      <c r="M4839" s="460">
        <f t="shared" si="194"/>
        <v>0.05</v>
      </c>
      <c r="N4839" s="464">
        <f t="shared" si="195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93"/>
        <v>-152428100557323.16</v>
      </c>
      <c r="J4840" s="444">
        <f t="array" ref="J4840">IFERROR(INDEX('Retirement Calculator'!J:J,MATCH('Isaac 401k'!N4840,'Retirement Calculator'!A:A,0),0),0)</f>
        <v>0</v>
      </c>
      <c r="K4840" s="444">
        <f t="shared" ca="1" si="191"/>
        <v>-635117085655.51318</v>
      </c>
      <c r="L4840" s="444">
        <f t="shared" ca="1" si="192"/>
        <v>-153063217642978.66</v>
      </c>
      <c r="M4840" s="460">
        <f t="shared" si="194"/>
        <v>0.05</v>
      </c>
      <c r="N4840" s="464">
        <f t="shared" si="195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93"/>
        <v>-153063217642978.66</v>
      </c>
      <c r="J4841" s="444">
        <f t="array" ref="J4841">IFERROR(INDEX('Retirement Calculator'!J:J,MATCH('Isaac 401k'!N4841,'Retirement Calculator'!A:A,0),0),0)</f>
        <v>0</v>
      </c>
      <c r="K4841" s="444">
        <f t="shared" ca="1" si="191"/>
        <v>-637763406845.74438</v>
      </c>
      <c r="L4841" s="444">
        <f t="shared" ca="1" si="192"/>
        <v>-153700981049824.41</v>
      </c>
      <c r="M4841" s="460">
        <f t="shared" si="194"/>
        <v>0.05</v>
      </c>
      <c r="N4841" s="464">
        <f t="shared" si="195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93"/>
        <v>-153700981049824.41</v>
      </c>
      <c r="J4842" s="444">
        <f t="array" ref="J4842">IFERROR(INDEX('Retirement Calculator'!J:J,MATCH('Isaac 401k'!N4842,'Retirement Calculator'!A:A,0),0),0)</f>
        <v>0</v>
      </c>
      <c r="K4842" s="444">
        <f t="shared" ca="1" si="191"/>
        <v>-640420754374.26831</v>
      </c>
      <c r="L4842" s="444">
        <f t="shared" ca="1" si="192"/>
        <v>-154341401804198.69</v>
      </c>
      <c r="M4842" s="460">
        <f t="shared" si="194"/>
        <v>0.05</v>
      </c>
      <c r="N4842" s="464">
        <f t="shared" si="195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93"/>
        <v>-154341401804198.69</v>
      </c>
      <c r="J4843" s="444">
        <f t="array" ref="J4843">IFERROR(INDEX('Retirement Calculator'!J:J,MATCH('Isaac 401k'!N4843,'Retirement Calculator'!A:A,0),0),0)</f>
        <v>0</v>
      </c>
      <c r="K4843" s="444">
        <f t="shared" ca="1" si="191"/>
        <v>-643089174184.16113</v>
      </c>
      <c r="L4843" s="444">
        <f t="shared" ca="1" si="192"/>
        <v>-154984490978382.84</v>
      </c>
      <c r="M4843" s="460">
        <f t="shared" si="194"/>
        <v>0.05</v>
      </c>
      <c r="N4843" s="464">
        <f t="shared" si="195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93"/>
        <v>-154984490978382.84</v>
      </c>
      <c r="J4844" s="444">
        <f t="array" ref="J4844">IFERROR(INDEX('Retirement Calculator'!J:J,MATCH('Isaac 401k'!N4844,'Retirement Calculator'!A:A,0),0),0)</f>
        <v>0</v>
      </c>
      <c r="K4844" s="444">
        <f t="shared" ca="1" si="191"/>
        <v>-645768712409.92847</v>
      </c>
      <c r="L4844" s="444">
        <f t="shared" ca="1" si="192"/>
        <v>-155630259690792.78</v>
      </c>
      <c r="M4844" s="460">
        <f t="shared" si="194"/>
        <v>0.05</v>
      </c>
      <c r="N4844" s="464">
        <f t="shared" si="195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93"/>
        <v>-155630259690792.78</v>
      </c>
      <c r="J4845" s="444">
        <f t="array" ref="J4845">IFERROR(INDEX('Retirement Calculator'!J:J,MATCH('Isaac 401k'!N4845,'Retirement Calculator'!A:A,0),0),0)</f>
        <v>0</v>
      </c>
      <c r="K4845" s="444">
        <f t="shared" ca="1" si="191"/>
        <v>-648459415378.30322</v>
      </c>
      <c r="L4845" s="444">
        <f t="shared" ca="1" si="192"/>
        <v>-156278719106171.09</v>
      </c>
      <c r="M4845" s="460">
        <f t="shared" si="194"/>
        <v>0.05</v>
      </c>
      <c r="N4845" s="464">
        <f t="shared" si="195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93"/>
        <v>-156278719106171.09</v>
      </c>
      <c r="J4846" s="444">
        <f t="array" ref="J4846">IFERROR(INDEX('Retirement Calculator'!J:J,MATCH('Isaac 401k'!N4846,'Retirement Calculator'!A:A,0),0),0)</f>
        <v>0</v>
      </c>
      <c r="K4846" s="444">
        <f t="shared" ca="1" si="191"/>
        <v>-651161329609.04626</v>
      </c>
      <c r="L4846" s="444">
        <f t="shared" ca="1" si="192"/>
        <v>-156929880435780.13</v>
      </c>
      <c r="M4846" s="460">
        <f t="shared" si="194"/>
        <v>0.05</v>
      </c>
      <c r="N4846" s="464">
        <f t="shared" si="195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93"/>
        <v>-156929880435780.13</v>
      </c>
      <c r="J4847" s="444">
        <f t="array" ref="J4847">IFERROR(INDEX('Retirement Calculator'!J:J,MATCH('Isaac 401k'!N4847,'Retirement Calculator'!A:A,0),0),0)</f>
        <v>0</v>
      </c>
      <c r="K4847" s="444">
        <f t="shared" ca="1" si="191"/>
        <v>-653874501815.75049</v>
      </c>
      <c r="L4847" s="444">
        <f t="shared" ca="1" si="192"/>
        <v>-157583754937595.88</v>
      </c>
      <c r="M4847" s="460">
        <f t="shared" si="194"/>
        <v>0.05</v>
      </c>
      <c r="N4847" s="464">
        <f t="shared" si="195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93"/>
        <v>-157583754937595.88</v>
      </c>
      <c r="J4848" s="444">
        <f t="array" ref="J4848">IFERROR(INDEX('Retirement Calculator'!J:J,MATCH('Isaac 401k'!N4848,'Retirement Calculator'!A:A,0),0),0)</f>
        <v>0</v>
      </c>
      <c r="K4848" s="444">
        <f t="shared" ca="1" si="191"/>
        <v>-656598978906.64941</v>
      </c>
      <c r="L4848" s="444">
        <f t="shared" ca="1" si="192"/>
        <v>-158240353916502.53</v>
      </c>
      <c r="M4848" s="460">
        <f t="shared" si="194"/>
        <v>0.05</v>
      </c>
      <c r="N4848" s="464">
        <f t="shared" si="195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93"/>
        <v>-158240353916502.53</v>
      </c>
      <c r="J4849" s="444">
        <f t="array" ref="J4849">IFERROR(INDEX('Retirement Calculator'!J:J,MATCH('Isaac 401k'!N4849,'Retirement Calculator'!A:A,0),0),0)</f>
        <v>0</v>
      </c>
      <c r="K4849" s="444">
        <f t="shared" ca="1" si="191"/>
        <v>-659334807985.42725</v>
      </c>
      <c r="L4849" s="444">
        <f t="shared" ca="1" si="192"/>
        <v>-158899688724487.97</v>
      </c>
      <c r="M4849" s="460">
        <f t="shared" si="194"/>
        <v>0.05</v>
      </c>
      <c r="N4849" s="464">
        <f t="shared" si="195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93"/>
        <v>-158899688724487.97</v>
      </c>
      <c r="J4850" s="444">
        <f t="array" ref="J4850">IFERROR(INDEX('Retirement Calculator'!J:J,MATCH('Isaac 401k'!N4850,'Retirement Calculator'!A:A,0),0),0)</f>
        <v>0</v>
      </c>
      <c r="K4850" s="444">
        <f t="shared" ca="1" si="191"/>
        <v>-662082036352.0332</v>
      </c>
      <c r="L4850" s="444">
        <f t="shared" ca="1" si="192"/>
        <v>-159561770760840</v>
      </c>
      <c r="M4850" s="460">
        <f t="shared" si="194"/>
        <v>0.05</v>
      </c>
      <c r="N4850" s="464">
        <f t="shared" si="195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93"/>
        <v>-159561770760840</v>
      </c>
      <c r="J4851" s="444">
        <f t="array" ref="J4851">IFERROR(INDEX('Retirement Calculator'!J:J,MATCH('Isaac 401k'!N4851,'Retirement Calculator'!A:A,0),0),0)</f>
        <v>0</v>
      </c>
      <c r="K4851" s="444">
        <f t="shared" ca="1" si="191"/>
        <v>-664840711503.5</v>
      </c>
      <c r="L4851" s="444">
        <f t="shared" ca="1" si="192"/>
        <v>-160226611472343.5</v>
      </c>
      <c r="M4851" s="460">
        <f t="shared" si="194"/>
        <v>0.05</v>
      </c>
      <c r="N4851" s="464">
        <f t="shared" si="195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93"/>
        <v>-160226611472343.5</v>
      </c>
      <c r="J4852" s="444">
        <f t="array" ref="J4852">IFERROR(INDEX('Retirement Calculator'!J:J,MATCH('Isaac 401k'!N4852,'Retirement Calculator'!A:A,0),0),0)</f>
        <v>0</v>
      </c>
      <c r="K4852" s="444">
        <f t="shared" ca="1" si="191"/>
        <v>-667610881134.76453</v>
      </c>
      <c r="L4852" s="444">
        <f t="shared" ca="1" si="192"/>
        <v>-160894222353478.25</v>
      </c>
      <c r="M4852" s="460">
        <f t="shared" si="194"/>
        <v>0.05</v>
      </c>
      <c r="N4852" s="464">
        <f t="shared" si="195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93"/>
        <v>-160894222353478.25</v>
      </c>
      <c r="J4853" s="444">
        <f t="array" ref="J4853">IFERROR(INDEX('Retirement Calculator'!J:J,MATCH('Isaac 401k'!N4853,'Retirement Calculator'!A:A,0),0),0)</f>
        <v>0</v>
      </c>
      <c r="K4853" s="444">
        <f t="shared" ref="K4853:K5107" ca="1" si="196">IPMT(M4853/12,1,12,-I4853+J4853,,0)</f>
        <v>-670392593139.49268</v>
      </c>
      <c r="L4853" s="444">
        <f t="shared" ref="L4853:L5107" ca="1" si="197">I4853-J4853+K4853</f>
        <v>-161564614946617.75</v>
      </c>
      <c r="M4853" s="460">
        <f t="shared" si="194"/>
        <v>0.05</v>
      </c>
      <c r="N4853" s="464">
        <f t="shared" si="195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98">L4853</f>
        <v>-161564614946617.75</v>
      </c>
      <c r="J4854" s="444">
        <f t="array" ref="J4854">IFERROR(INDEX('Retirement Calculator'!J:J,MATCH('Isaac 401k'!N4854,'Retirement Calculator'!A:A,0),0),0)</f>
        <v>0</v>
      </c>
      <c r="K4854" s="444">
        <f t="shared" ca="1" si="196"/>
        <v>-673185895610.90723</v>
      </c>
      <c r="L4854" s="444">
        <f t="shared" ca="1" si="197"/>
        <v>-162237800842228.66</v>
      </c>
      <c r="M4854" s="460">
        <f t="shared" ref="M4854:M5108" si="199">M4853</f>
        <v>0.05</v>
      </c>
      <c r="N4854" s="464">
        <f t="shared" ref="N4854:N5108" si="200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98"/>
        <v>-162237800842228.66</v>
      </c>
      <c r="J4855" s="444">
        <f t="array" ref="J4855">IFERROR(INDEX('Retirement Calculator'!J:J,MATCH('Isaac 401k'!N4855,'Retirement Calculator'!A:A,0),0),0)</f>
        <v>0</v>
      </c>
      <c r="K4855" s="444">
        <f t="shared" ca="1" si="196"/>
        <v>-675990836842.61938</v>
      </c>
      <c r="L4855" s="444">
        <f t="shared" ca="1" si="197"/>
        <v>-162913791679071.28</v>
      </c>
      <c r="M4855" s="460">
        <f t="shared" si="199"/>
        <v>0.05</v>
      </c>
      <c r="N4855" s="464">
        <f t="shared" si="200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98"/>
        <v>-162913791679071.28</v>
      </c>
      <c r="J4856" s="444">
        <f t="array" ref="J4856">IFERROR(INDEX('Retirement Calculator'!J:J,MATCH('Isaac 401k'!N4856,'Retirement Calculator'!A:A,0),0),0)</f>
        <v>0</v>
      </c>
      <c r="K4856" s="444">
        <f t="shared" ca="1" si="196"/>
        <v>-678807465329.46362</v>
      </c>
      <c r="L4856" s="444">
        <f t="shared" ca="1" si="197"/>
        <v>-163592599144400.75</v>
      </c>
      <c r="M4856" s="460">
        <f t="shared" si="199"/>
        <v>0.05</v>
      </c>
      <c r="N4856" s="464">
        <f t="shared" si="200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98"/>
        <v>-163592599144400.75</v>
      </c>
      <c r="J4857" s="444">
        <f t="array" ref="J4857">IFERROR(INDEX('Retirement Calculator'!J:J,MATCH('Isaac 401k'!N4857,'Retirement Calculator'!A:A,0),0),0)</f>
        <v>0</v>
      </c>
      <c r="K4857" s="444">
        <f t="shared" ca="1" si="196"/>
        <v>-681635829768.33643</v>
      </c>
      <c r="L4857" s="444">
        <f t="shared" ca="1" si="197"/>
        <v>-164274234974169.09</v>
      </c>
      <c r="M4857" s="460">
        <f t="shared" si="199"/>
        <v>0.05</v>
      </c>
      <c r="N4857" s="464">
        <f t="shared" si="200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98"/>
        <v>-164274234974169.09</v>
      </c>
      <c r="J4858" s="444">
        <f t="array" ref="J4858">IFERROR(INDEX('Retirement Calculator'!J:J,MATCH('Isaac 401k'!N4858,'Retirement Calculator'!A:A,0),0),0)</f>
        <v>0</v>
      </c>
      <c r="K4858" s="444">
        <f t="shared" ca="1" si="196"/>
        <v>-684475979059.03784</v>
      </c>
      <c r="L4858" s="444">
        <f t="shared" ca="1" si="197"/>
        <v>-164958710953228.13</v>
      </c>
      <c r="M4858" s="460">
        <f t="shared" si="199"/>
        <v>0.05</v>
      </c>
      <c r="N4858" s="464">
        <f t="shared" si="200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98"/>
        <v>-164958710953228.13</v>
      </c>
      <c r="J4859" s="444">
        <f t="array" ref="J4859">IFERROR(INDEX('Retirement Calculator'!J:J,MATCH('Isaac 401k'!N4859,'Retirement Calculator'!A:A,0),0),0)</f>
        <v>0</v>
      </c>
      <c r="K4859" s="444">
        <f t="shared" ca="1" si="196"/>
        <v>-687327962305.11719</v>
      </c>
      <c r="L4859" s="444">
        <f t="shared" ca="1" si="197"/>
        <v>-165646038915533.25</v>
      </c>
      <c r="M4859" s="460">
        <f t="shared" si="199"/>
        <v>0.05</v>
      </c>
      <c r="N4859" s="464">
        <f t="shared" si="200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98"/>
        <v>-165646038915533.25</v>
      </c>
      <c r="J4860" s="444">
        <f t="array" ref="J4860">IFERROR(INDEX('Retirement Calculator'!J:J,MATCH('Isaac 401k'!N4860,'Retirement Calculator'!A:A,0),0),0)</f>
        <v>0</v>
      </c>
      <c r="K4860" s="444">
        <f t="shared" ca="1" si="196"/>
        <v>-690191828814.72192</v>
      </c>
      <c r="L4860" s="444">
        <f t="shared" ca="1" si="197"/>
        <v>-166336230744347.97</v>
      </c>
      <c r="M4860" s="460">
        <f t="shared" si="199"/>
        <v>0.05</v>
      </c>
      <c r="N4860" s="464">
        <f t="shared" si="200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98"/>
        <v>-166336230744347.97</v>
      </c>
      <c r="J4861" s="444">
        <f t="array" ref="J4861">IFERROR(INDEX('Retirement Calculator'!J:J,MATCH('Isaac 401k'!N4861,'Retirement Calculator'!A:A,0),0),0)</f>
        <v>0</v>
      </c>
      <c r="K4861" s="444">
        <f t="shared" ca="1" si="196"/>
        <v>-693067628101.44983</v>
      </c>
      <c r="L4861" s="444">
        <f t="shared" ca="1" si="197"/>
        <v>-167029298372449.41</v>
      </c>
      <c r="M4861" s="460">
        <f t="shared" si="199"/>
        <v>0.05</v>
      </c>
      <c r="N4861" s="464">
        <f t="shared" si="200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98"/>
        <v>-167029298372449.41</v>
      </c>
      <c r="J4862" s="444">
        <f t="array" ref="J4862">IFERROR(INDEX('Retirement Calculator'!J:J,MATCH('Isaac 401k'!N4862,'Retirement Calculator'!A:A,0),0),0)</f>
        <v>0</v>
      </c>
      <c r="K4862" s="444">
        <f t="shared" ca="1" si="196"/>
        <v>-695955409885.20581</v>
      </c>
      <c r="L4862" s="444">
        <f t="shared" ca="1" si="197"/>
        <v>-167725253782334.63</v>
      </c>
      <c r="M4862" s="460">
        <f t="shared" si="199"/>
        <v>0.05</v>
      </c>
      <c r="N4862" s="464">
        <f t="shared" si="200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98"/>
        <v>-167725253782334.63</v>
      </c>
      <c r="J4863" s="444">
        <f t="array" ref="J4863">IFERROR(INDEX('Retirement Calculator'!J:J,MATCH('Isaac 401k'!N4863,'Retirement Calculator'!A:A,0),0),0)</f>
        <v>0</v>
      </c>
      <c r="K4863" s="444">
        <f t="shared" ca="1" si="196"/>
        <v>-698855224093.06091</v>
      </c>
      <c r="L4863" s="444">
        <f t="shared" ca="1" si="197"/>
        <v>-168424109006427.69</v>
      </c>
      <c r="M4863" s="460">
        <f t="shared" si="199"/>
        <v>0.05</v>
      </c>
      <c r="N4863" s="464">
        <f t="shared" si="200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98"/>
        <v>-168424109006427.69</v>
      </c>
      <c r="J4864" s="444">
        <f t="array" ref="J4864">IFERROR(INDEX('Retirement Calculator'!J:J,MATCH('Isaac 401k'!N4864,'Retirement Calculator'!A:A,0),0),0)</f>
        <v>0</v>
      </c>
      <c r="K4864" s="444">
        <f t="shared" ca="1" si="196"/>
        <v>-701767120860.11536</v>
      </c>
      <c r="L4864" s="444">
        <f t="shared" ca="1" si="197"/>
        <v>-169125876127287.81</v>
      </c>
      <c r="M4864" s="460">
        <f t="shared" si="199"/>
        <v>0.05</v>
      </c>
      <c r="N4864" s="464">
        <f t="shared" si="200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98"/>
        <v>-169125876127287.81</v>
      </c>
      <c r="J4865" s="444">
        <f t="array" ref="J4865">IFERROR(INDEX('Retirement Calculator'!J:J,MATCH('Isaac 401k'!N4865,'Retirement Calculator'!A:A,0),0),0)</f>
        <v>0</v>
      </c>
      <c r="K4865" s="444">
        <f t="shared" ca="1" si="196"/>
        <v>-704691150530.36584</v>
      </c>
      <c r="L4865" s="444">
        <f t="shared" ca="1" si="197"/>
        <v>-169830567277818.19</v>
      </c>
      <c r="M4865" s="460">
        <f t="shared" si="199"/>
        <v>0.05</v>
      </c>
      <c r="N4865" s="464">
        <f t="shared" si="200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98"/>
        <v>-169830567277818.19</v>
      </c>
      <c r="J4866" s="444">
        <f t="array" ref="J4866">IFERROR(INDEX('Retirement Calculator'!J:J,MATCH('Isaac 401k'!N4866,'Retirement Calculator'!A:A,0),0),0)</f>
        <v>0</v>
      </c>
      <c r="K4866" s="444">
        <f t="shared" ca="1" si="196"/>
        <v>-707627363657.57581</v>
      </c>
      <c r="L4866" s="444">
        <f t="shared" ca="1" si="197"/>
        <v>-170538194641475.75</v>
      </c>
      <c r="M4866" s="460">
        <f t="shared" si="199"/>
        <v>0.05</v>
      </c>
      <c r="N4866" s="464">
        <f t="shared" si="200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98"/>
        <v>-170538194641475.75</v>
      </c>
      <c r="J4867" s="444">
        <f t="array" ref="J4867">IFERROR(INDEX('Retirement Calculator'!J:J,MATCH('Isaac 401k'!N4867,'Retirement Calculator'!A:A,0),0),0)</f>
        <v>0</v>
      </c>
      <c r="K4867" s="444">
        <f t="shared" ca="1" si="196"/>
        <v>-710575811006.14893</v>
      </c>
      <c r="L4867" s="444">
        <f t="shared" ca="1" si="197"/>
        <v>-171248770452481.91</v>
      </c>
      <c r="M4867" s="460">
        <f t="shared" si="199"/>
        <v>0.05</v>
      </c>
      <c r="N4867" s="464">
        <f t="shared" si="200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98"/>
        <v>-171248770452481.91</v>
      </c>
      <c r="J4868" s="444">
        <f t="array" ref="J4868">IFERROR(INDEX('Retirement Calculator'!J:J,MATCH('Isaac 401k'!N4868,'Retirement Calculator'!A:A,0),0),0)</f>
        <v>0</v>
      </c>
      <c r="K4868" s="444">
        <f t="shared" ca="1" si="196"/>
        <v>-713536543552.00793</v>
      </c>
      <c r="L4868" s="444">
        <f t="shared" ca="1" si="197"/>
        <v>-171962306996033.91</v>
      </c>
      <c r="M4868" s="460">
        <f t="shared" si="199"/>
        <v>0.05</v>
      </c>
      <c r="N4868" s="464">
        <f t="shared" si="200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98"/>
        <v>-171962306996033.91</v>
      </c>
      <c r="J4869" s="444">
        <f t="array" ref="J4869">IFERROR(INDEX('Retirement Calculator'!J:J,MATCH('Isaac 401k'!N4869,'Retirement Calculator'!A:A,0),0),0)</f>
        <v>0</v>
      </c>
      <c r="K4869" s="444">
        <f t="shared" ca="1" si="196"/>
        <v>-716509612483.47461</v>
      </c>
      <c r="L4869" s="444">
        <f t="shared" ca="1" si="197"/>
        <v>-172678816608517.38</v>
      </c>
      <c r="M4869" s="460">
        <f t="shared" si="199"/>
        <v>0.05</v>
      </c>
      <c r="N4869" s="464">
        <f t="shared" si="200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98"/>
        <v>-172678816608517.38</v>
      </c>
      <c r="J4870" s="444">
        <f t="array" ref="J4870">IFERROR(INDEX('Retirement Calculator'!J:J,MATCH('Isaac 401k'!N4870,'Retirement Calculator'!A:A,0),0),0)</f>
        <v>0</v>
      </c>
      <c r="K4870" s="444">
        <f t="shared" ca="1" si="196"/>
        <v>-719495069202.15576</v>
      </c>
      <c r="L4870" s="444">
        <f t="shared" ca="1" si="197"/>
        <v>-173398311677719.53</v>
      </c>
      <c r="M4870" s="460">
        <f t="shared" si="199"/>
        <v>0.05</v>
      </c>
      <c r="N4870" s="464">
        <f t="shared" si="200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98"/>
        <v>-173398311677719.53</v>
      </c>
      <c r="J4871" s="444">
        <f t="array" ref="J4871">IFERROR(INDEX('Retirement Calculator'!J:J,MATCH('Isaac 401k'!N4871,'Retirement Calculator'!A:A,0),0),0)</f>
        <v>0</v>
      </c>
      <c r="K4871" s="444">
        <f t="shared" ca="1" si="196"/>
        <v>-722492965323.83142</v>
      </c>
      <c r="L4871" s="444">
        <f t="shared" ca="1" si="197"/>
        <v>-174120804643043.38</v>
      </c>
      <c r="M4871" s="460">
        <f t="shared" si="199"/>
        <v>0.05</v>
      </c>
      <c r="N4871" s="464">
        <f t="shared" si="200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98"/>
        <v>-174120804643043.38</v>
      </c>
      <c r="J4872" s="444">
        <f t="array" ref="J4872">IFERROR(INDEX('Retirement Calculator'!J:J,MATCH('Isaac 401k'!N4872,'Retirement Calculator'!A:A,0),0),0)</f>
        <v>0</v>
      </c>
      <c r="K4872" s="444">
        <f t="shared" ca="1" si="196"/>
        <v>-725503352679.34741</v>
      </c>
      <c r="L4872" s="444">
        <f t="shared" ca="1" si="197"/>
        <v>-174846307995722.72</v>
      </c>
      <c r="M4872" s="460">
        <f t="shared" si="199"/>
        <v>0.05</v>
      </c>
      <c r="N4872" s="464">
        <f t="shared" si="200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98"/>
        <v>-174846307995722.72</v>
      </c>
      <c r="J4873" s="444">
        <f t="array" ref="J4873">IFERROR(INDEX('Retirement Calculator'!J:J,MATCH('Isaac 401k'!N4873,'Retirement Calculator'!A:A,0),0),0)</f>
        <v>0</v>
      </c>
      <c r="K4873" s="444">
        <f t="shared" ca="1" si="196"/>
        <v>-728526283315.51135</v>
      </c>
      <c r="L4873" s="444">
        <f t="shared" ca="1" si="197"/>
        <v>-175574834279038.22</v>
      </c>
      <c r="M4873" s="460">
        <f t="shared" si="199"/>
        <v>0.05</v>
      </c>
      <c r="N4873" s="464">
        <f t="shared" si="200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98"/>
        <v>-175574834279038.22</v>
      </c>
      <c r="J4874" s="444">
        <f t="array" ref="J4874">IFERROR(INDEX('Retirement Calculator'!J:J,MATCH('Isaac 401k'!N4874,'Retirement Calculator'!A:A,0),0),0)</f>
        <v>0</v>
      </c>
      <c r="K4874" s="444">
        <f t="shared" ca="1" si="196"/>
        <v>-731561809495.99255</v>
      </c>
      <c r="L4874" s="444">
        <f t="shared" ca="1" si="197"/>
        <v>-176306396088534.22</v>
      </c>
      <c r="M4874" s="460">
        <f t="shared" si="199"/>
        <v>0.05</v>
      </c>
      <c r="N4874" s="464">
        <f t="shared" si="200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98"/>
        <v>-176306396088534.22</v>
      </c>
      <c r="J4875" s="444">
        <f t="array" ref="J4875">IFERROR(INDEX('Retirement Calculator'!J:J,MATCH('Isaac 401k'!N4875,'Retirement Calculator'!A:A,0),0),0)</f>
        <v>0</v>
      </c>
      <c r="K4875" s="444">
        <f t="shared" ca="1" si="196"/>
        <v>-734609983702.22595</v>
      </c>
      <c r="L4875" s="444">
        <f t="shared" ca="1" si="197"/>
        <v>-177041006072236.44</v>
      </c>
      <c r="M4875" s="460">
        <f t="shared" si="199"/>
        <v>0.05</v>
      </c>
      <c r="N4875" s="464">
        <f t="shared" si="200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98"/>
        <v>-177041006072236.44</v>
      </c>
      <c r="J4876" s="444">
        <f t="array" ref="J4876">IFERROR(INDEX('Retirement Calculator'!J:J,MATCH('Isaac 401k'!N4876,'Retirement Calculator'!A:A,0),0),0)</f>
        <v>0</v>
      </c>
      <c r="K4876" s="444">
        <f t="shared" ca="1" si="196"/>
        <v>-737670858634.31848</v>
      </c>
      <c r="L4876" s="444">
        <f t="shared" ca="1" si="197"/>
        <v>-177778676930870.75</v>
      </c>
      <c r="M4876" s="460">
        <f t="shared" si="199"/>
        <v>0.05</v>
      </c>
      <c r="N4876" s="464">
        <f t="shared" si="200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98"/>
        <v>-177778676930870.75</v>
      </c>
      <c r="J4877" s="444">
        <f t="array" ref="J4877">IFERROR(INDEX('Retirement Calculator'!J:J,MATCH('Isaac 401k'!N4877,'Retirement Calculator'!A:A,0),0),0)</f>
        <v>0</v>
      </c>
      <c r="K4877" s="444">
        <f t="shared" ca="1" si="196"/>
        <v>-740744487211.96143</v>
      </c>
      <c r="L4877" s="444">
        <f t="shared" ca="1" si="197"/>
        <v>-178519421418082.72</v>
      </c>
      <c r="M4877" s="460">
        <f t="shared" si="199"/>
        <v>0.05</v>
      </c>
      <c r="N4877" s="464">
        <f t="shared" si="200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98"/>
        <v>-178519421418082.72</v>
      </c>
      <c r="J4878" s="444">
        <f t="array" ref="J4878">IFERROR(INDEX('Retirement Calculator'!J:J,MATCH('Isaac 401k'!N4878,'Retirement Calculator'!A:A,0),0),0)</f>
        <v>0</v>
      </c>
      <c r="K4878" s="444">
        <f t="shared" ca="1" si="196"/>
        <v>-743830922575.3446</v>
      </c>
      <c r="L4878" s="444">
        <f t="shared" ca="1" si="197"/>
        <v>-179263252340658.06</v>
      </c>
      <c r="M4878" s="460">
        <f t="shared" si="199"/>
        <v>0.05</v>
      </c>
      <c r="N4878" s="464">
        <f t="shared" si="200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98"/>
        <v>-179263252340658.06</v>
      </c>
      <c r="J4879" s="444">
        <f t="array" ref="J4879">IFERROR(INDEX('Retirement Calculator'!J:J,MATCH('Isaac 401k'!N4879,'Retirement Calculator'!A:A,0),0),0)</f>
        <v>0</v>
      </c>
      <c r="K4879" s="444">
        <f t="shared" ca="1" si="196"/>
        <v>-746930218086.0752</v>
      </c>
      <c r="L4879" s="444">
        <f t="shared" ca="1" si="197"/>
        <v>-180010182558744.13</v>
      </c>
      <c r="M4879" s="460">
        <f t="shared" si="199"/>
        <v>0.05</v>
      </c>
      <c r="N4879" s="464">
        <f t="shared" si="200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98"/>
        <v>-180010182558744.13</v>
      </c>
      <c r="J4880" s="444">
        <f t="array" ref="J4880">IFERROR(INDEX('Retirement Calculator'!J:J,MATCH('Isaac 401k'!N4880,'Retirement Calculator'!A:A,0),0),0)</f>
        <v>0</v>
      </c>
      <c r="K4880" s="444">
        <f t="shared" ca="1" si="196"/>
        <v>-750042427328.10046</v>
      </c>
      <c r="L4880" s="444">
        <f t="shared" ca="1" si="197"/>
        <v>-180760224986072.22</v>
      </c>
      <c r="M4880" s="460">
        <f t="shared" si="199"/>
        <v>0.05</v>
      </c>
      <c r="N4880" s="464">
        <f t="shared" si="200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98"/>
        <v>-180760224986072.22</v>
      </c>
      <c r="J4881" s="444">
        <f t="array" ref="J4881">IFERROR(INDEX('Retirement Calculator'!J:J,MATCH('Isaac 401k'!N4881,'Retirement Calculator'!A:A,0),0),0)</f>
        <v>0</v>
      </c>
      <c r="K4881" s="444">
        <f t="shared" ca="1" si="196"/>
        <v>-753167604108.63428</v>
      </c>
      <c r="L4881" s="444">
        <f t="shared" ca="1" si="197"/>
        <v>-181513392590180.84</v>
      </c>
      <c r="M4881" s="460">
        <f t="shared" si="199"/>
        <v>0.05</v>
      </c>
      <c r="N4881" s="464">
        <f t="shared" si="200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98"/>
        <v>-181513392590180.84</v>
      </c>
      <c r="J4882" s="444">
        <f t="array" ref="J4882">IFERROR(INDEX('Retirement Calculator'!J:J,MATCH('Isaac 401k'!N4882,'Retirement Calculator'!A:A,0),0),0)</f>
        <v>0</v>
      </c>
      <c r="K4882" s="444">
        <f t="shared" ca="1" si="196"/>
        <v>-756305802459.08679</v>
      </c>
      <c r="L4882" s="444">
        <f t="shared" ca="1" si="197"/>
        <v>-182269698392639.94</v>
      </c>
      <c r="M4882" s="460">
        <f t="shared" si="199"/>
        <v>0.05</v>
      </c>
      <c r="N4882" s="464">
        <f t="shared" si="200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98"/>
        <v>-182269698392639.94</v>
      </c>
      <c r="J4883" s="444">
        <f t="array" ref="J4883">IFERROR(INDEX('Retirement Calculator'!J:J,MATCH('Isaac 401k'!N4883,'Retirement Calculator'!A:A,0),0),0)</f>
        <v>0</v>
      </c>
      <c r="K4883" s="444">
        <f t="shared" ca="1" si="196"/>
        <v>-759457076635.99976</v>
      </c>
      <c r="L4883" s="444">
        <f t="shared" ca="1" si="197"/>
        <v>-183029155469275.94</v>
      </c>
      <c r="M4883" s="460">
        <f t="shared" si="199"/>
        <v>0.05</v>
      </c>
      <c r="N4883" s="464">
        <f t="shared" si="200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98"/>
        <v>-183029155469275.94</v>
      </c>
      <c r="J4884" s="444">
        <f t="array" ref="J4884">IFERROR(INDEX('Retirement Calculator'!J:J,MATCH('Isaac 401k'!N4884,'Retirement Calculator'!A:A,0),0),0)</f>
        <v>0</v>
      </c>
      <c r="K4884" s="444">
        <f t="shared" ca="1" si="196"/>
        <v>-762621481121.98303</v>
      </c>
      <c r="L4884" s="444">
        <f t="shared" ca="1" si="197"/>
        <v>-183791776950397.91</v>
      </c>
      <c r="M4884" s="460">
        <f t="shared" si="199"/>
        <v>0.05</v>
      </c>
      <c r="N4884" s="464">
        <f t="shared" si="200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98"/>
        <v>-183791776950397.91</v>
      </c>
      <c r="J4885" s="444">
        <f t="array" ref="J4885">IFERROR(INDEX('Retirement Calculator'!J:J,MATCH('Isaac 401k'!N4885,'Retirement Calculator'!A:A,0),0),0)</f>
        <v>0</v>
      </c>
      <c r="K4885" s="444">
        <f t="shared" ca="1" si="196"/>
        <v>-765799070626.65796</v>
      </c>
      <c r="L4885" s="444">
        <f t="shared" ca="1" si="197"/>
        <v>-184557576021024.56</v>
      </c>
      <c r="M4885" s="460">
        <f t="shared" si="199"/>
        <v>0.05</v>
      </c>
      <c r="N4885" s="464">
        <f t="shared" si="200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98"/>
        <v>-184557576021024.56</v>
      </c>
      <c r="J4886" s="444">
        <f t="array" ref="J4886">IFERROR(INDEX('Retirement Calculator'!J:J,MATCH('Isaac 401k'!N4886,'Retirement Calculator'!A:A,0),0),0)</f>
        <v>0</v>
      </c>
      <c r="K4886" s="444">
        <f t="shared" ca="1" si="196"/>
        <v>-768989900087.60229</v>
      </c>
      <c r="L4886" s="444">
        <f t="shared" ca="1" si="197"/>
        <v>-185326565921112.16</v>
      </c>
      <c r="M4886" s="460">
        <f t="shared" si="199"/>
        <v>0.05</v>
      </c>
      <c r="N4886" s="464">
        <f t="shared" si="200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98"/>
        <v>-185326565921112.16</v>
      </c>
      <c r="J4887" s="444">
        <f t="array" ref="J4887">IFERROR(INDEX('Retirement Calculator'!J:J,MATCH('Isaac 401k'!N4887,'Retirement Calculator'!A:A,0),0),0)</f>
        <v>0</v>
      </c>
      <c r="K4887" s="444">
        <f t="shared" ca="1" si="196"/>
        <v>-772194024671.30066</v>
      </c>
      <c r="L4887" s="444">
        <f t="shared" ca="1" si="197"/>
        <v>-186098759945783.47</v>
      </c>
      <c r="M4887" s="460">
        <f t="shared" si="199"/>
        <v>0.05</v>
      </c>
      <c r="N4887" s="464">
        <f t="shared" si="200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98"/>
        <v>-186098759945783.47</v>
      </c>
      <c r="J4888" s="444">
        <f t="array" ref="J4888">IFERROR(INDEX('Retirement Calculator'!J:J,MATCH('Isaac 401k'!N4888,'Retirement Calculator'!A:A,0),0),0)</f>
        <v>0</v>
      </c>
      <c r="K4888" s="444">
        <f t="shared" ca="1" si="196"/>
        <v>-775411499774.09778</v>
      </c>
      <c r="L4888" s="444">
        <f t="shared" ca="1" si="197"/>
        <v>-186874171445557.56</v>
      </c>
      <c r="M4888" s="460">
        <f t="shared" si="199"/>
        <v>0.05</v>
      </c>
      <c r="N4888" s="464">
        <f t="shared" si="200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98"/>
        <v>-186874171445557.56</v>
      </c>
      <c r="J4889" s="444">
        <f t="array" ref="J4889">IFERROR(INDEX('Retirement Calculator'!J:J,MATCH('Isaac 401k'!N4889,'Retirement Calculator'!A:A,0),0),0)</f>
        <v>0</v>
      </c>
      <c r="K4889" s="444">
        <f t="shared" ca="1" si="196"/>
        <v>-778642381023.15649</v>
      </c>
      <c r="L4889" s="444">
        <f t="shared" ca="1" si="197"/>
        <v>-187652813826580.72</v>
      </c>
      <c r="M4889" s="460">
        <f t="shared" si="199"/>
        <v>0.05</v>
      </c>
      <c r="N4889" s="464">
        <f t="shared" si="200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98"/>
        <v>-187652813826580.72</v>
      </c>
      <c r="J4890" s="444">
        <f t="array" ref="J4890">IFERROR(INDEX('Retirement Calculator'!J:J,MATCH('Isaac 401k'!N4890,'Retirement Calculator'!A:A,0),0),0)</f>
        <v>0</v>
      </c>
      <c r="K4890" s="444">
        <f t="shared" ca="1" si="196"/>
        <v>-781886724277.41968</v>
      </c>
      <c r="L4890" s="444">
        <f t="shared" ca="1" si="197"/>
        <v>-188434700550858.13</v>
      </c>
      <c r="M4890" s="460">
        <f t="shared" si="199"/>
        <v>0.05</v>
      </c>
      <c r="N4890" s="464">
        <f t="shared" si="200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98"/>
        <v>-188434700550858.13</v>
      </c>
      <c r="J4891" s="444">
        <f t="array" ref="J4891">IFERROR(INDEX('Retirement Calculator'!J:J,MATCH('Isaac 401k'!N4891,'Retirement Calculator'!A:A,0),0),0)</f>
        <v>0</v>
      </c>
      <c r="K4891" s="444">
        <f t="shared" ca="1" si="196"/>
        <v>-785144585628.57556</v>
      </c>
      <c r="L4891" s="444">
        <f t="shared" ca="1" si="197"/>
        <v>-189219845136486.69</v>
      </c>
      <c r="M4891" s="460">
        <f t="shared" si="199"/>
        <v>0.05</v>
      </c>
      <c r="N4891" s="464">
        <f t="shared" si="200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98"/>
        <v>-189219845136486.69</v>
      </c>
      <c r="J4892" s="444">
        <f t="array" ref="J4892">IFERROR(INDEX('Retirement Calculator'!J:J,MATCH('Isaac 401k'!N4892,'Retirement Calculator'!A:A,0),0),0)</f>
        <v>0</v>
      </c>
      <c r="K4892" s="444">
        <f t="shared" ca="1" si="196"/>
        <v>-788416021402.02783</v>
      </c>
      <c r="L4892" s="444">
        <f t="shared" ca="1" si="197"/>
        <v>-190008261157888.72</v>
      </c>
      <c r="M4892" s="460">
        <f t="shared" si="199"/>
        <v>0.05</v>
      </c>
      <c r="N4892" s="464">
        <f t="shared" si="200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98"/>
        <v>-190008261157888.72</v>
      </c>
      <c r="J4893" s="444">
        <f t="array" ref="J4893">IFERROR(INDEX('Retirement Calculator'!J:J,MATCH('Isaac 401k'!N4893,'Retirement Calculator'!A:A,0),0),0)</f>
        <v>0</v>
      </c>
      <c r="K4893" s="444">
        <f t="shared" ca="1" si="196"/>
        <v>-791701088157.86963</v>
      </c>
      <c r="L4893" s="444">
        <f t="shared" ca="1" si="197"/>
        <v>-190799962246046.59</v>
      </c>
      <c r="M4893" s="460">
        <f t="shared" si="199"/>
        <v>0.05</v>
      </c>
      <c r="N4893" s="464">
        <f t="shared" si="200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98"/>
        <v>-190799962246046.59</v>
      </c>
      <c r="J4894" s="444">
        <f t="array" ref="J4894">IFERROR(INDEX('Retirement Calculator'!J:J,MATCH('Isaac 401k'!N4894,'Retirement Calculator'!A:A,0),0),0)</f>
        <v>0</v>
      </c>
      <c r="K4894" s="444">
        <f t="shared" ca="1" si="196"/>
        <v>-794999842691.86084</v>
      </c>
      <c r="L4894" s="444">
        <f t="shared" ca="1" si="197"/>
        <v>-191594962088738.47</v>
      </c>
      <c r="M4894" s="460">
        <f t="shared" si="199"/>
        <v>0.05</v>
      </c>
      <c r="N4894" s="464">
        <f t="shared" si="200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98"/>
        <v>-191594962088738.47</v>
      </c>
      <c r="J4895" s="444">
        <f t="array" ref="J4895">IFERROR(INDEX('Retirement Calculator'!J:J,MATCH('Isaac 401k'!N4895,'Retirement Calculator'!A:A,0),0),0)</f>
        <v>0</v>
      </c>
      <c r="K4895" s="444">
        <f t="shared" ca="1" si="196"/>
        <v>-798312342036.41028</v>
      </c>
      <c r="L4895" s="444">
        <f t="shared" ca="1" si="197"/>
        <v>-192393274430774.88</v>
      </c>
      <c r="M4895" s="460">
        <f t="shared" si="199"/>
        <v>0.05</v>
      </c>
      <c r="N4895" s="464">
        <f t="shared" si="200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98"/>
        <v>-192393274430774.88</v>
      </c>
      <c r="J4896" s="444">
        <f t="array" ref="J4896">IFERROR(INDEX('Retirement Calculator'!J:J,MATCH('Isaac 401k'!N4896,'Retirement Calculator'!A:A,0),0),0)</f>
        <v>0</v>
      </c>
      <c r="K4896" s="444">
        <f t="shared" ca="1" si="196"/>
        <v>-801638643461.56201</v>
      </c>
      <c r="L4896" s="444">
        <f t="shared" ca="1" si="197"/>
        <v>-193194913074236.44</v>
      </c>
      <c r="M4896" s="460">
        <f t="shared" si="199"/>
        <v>0.05</v>
      </c>
      <c r="N4896" s="464">
        <f t="shared" si="200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98"/>
        <v>-193194913074236.44</v>
      </c>
      <c r="J4897" s="444">
        <f t="array" ref="J4897">IFERROR(INDEX('Retirement Calculator'!J:J,MATCH('Isaac 401k'!N4897,'Retirement Calculator'!A:A,0),0),0)</f>
        <v>0</v>
      </c>
      <c r="K4897" s="444">
        <f t="shared" ca="1" si="196"/>
        <v>-804978804475.98511</v>
      </c>
      <c r="L4897" s="444">
        <f t="shared" ca="1" si="197"/>
        <v>-193999891878712.44</v>
      </c>
      <c r="M4897" s="460">
        <f t="shared" si="199"/>
        <v>0.05</v>
      </c>
      <c r="N4897" s="464">
        <f t="shared" si="200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98"/>
        <v>-193999891878712.44</v>
      </c>
      <c r="J4898" s="444">
        <f t="array" ref="J4898">IFERROR(INDEX('Retirement Calculator'!J:J,MATCH('Isaac 401k'!N4898,'Retirement Calculator'!A:A,0),0),0)</f>
        <v>0</v>
      </c>
      <c r="K4898" s="444">
        <f t="shared" ca="1" si="196"/>
        <v>-808332882827.96851</v>
      </c>
      <c r="L4898" s="444">
        <f t="shared" ca="1" si="197"/>
        <v>-194808224761540.41</v>
      </c>
      <c r="M4898" s="460">
        <f t="shared" si="199"/>
        <v>0.05</v>
      </c>
      <c r="N4898" s="464">
        <f t="shared" si="200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98"/>
        <v>-194808224761540.41</v>
      </c>
      <c r="J4899" s="444">
        <f t="array" ref="J4899">IFERROR(INDEX('Retirement Calculator'!J:J,MATCH('Isaac 401k'!N4899,'Retirement Calculator'!A:A,0),0),0)</f>
        <v>0</v>
      </c>
      <c r="K4899" s="444">
        <f t="shared" ca="1" si="196"/>
        <v>-811700936506.41833</v>
      </c>
      <c r="L4899" s="444">
        <f t="shared" ca="1" si="197"/>
        <v>-195619925698046.81</v>
      </c>
      <c r="M4899" s="460">
        <f t="shared" si="199"/>
        <v>0.05</v>
      </c>
      <c r="N4899" s="464">
        <f t="shared" si="200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98"/>
        <v>-195619925698046.81</v>
      </c>
      <c r="J4900" s="444">
        <f t="array" ref="J4900">IFERROR(INDEX('Retirement Calculator'!J:J,MATCH('Isaac 401k'!N4900,'Retirement Calculator'!A:A,0),0),0)</f>
        <v>0</v>
      </c>
      <c r="K4900" s="444">
        <f t="shared" ca="1" si="196"/>
        <v>-815083023741.86169</v>
      </c>
      <c r="L4900" s="444">
        <f t="shared" ca="1" si="197"/>
        <v>-196435008721788.69</v>
      </c>
      <c r="M4900" s="460">
        <f t="shared" si="199"/>
        <v>0.05</v>
      </c>
      <c r="N4900" s="464">
        <f t="shared" si="200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98"/>
        <v>-196435008721788.69</v>
      </c>
      <c r="J4901" s="444">
        <f t="array" ref="J4901">IFERROR(INDEX('Retirement Calculator'!J:J,MATCH('Isaac 401k'!N4901,'Retirement Calculator'!A:A,0),0),0)</f>
        <v>0</v>
      </c>
      <c r="K4901" s="444">
        <f t="shared" ca="1" si="196"/>
        <v>-818479203007.45288</v>
      </c>
      <c r="L4901" s="444">
        <f t="shared" ca="1" si="197"/>
        <v>-197253487924796.13</v>
      </c>
      <c r="M4901" s="460">
        <f t="shared" si="199"/>
        <v>0.05</v>
      </c>
      <c r="N4901" s="464">
        <f t="shared" si="200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98"/>
        <v>-197253487924796.13</v>
      </c>
      <c r="J4902" s="444">
        <f t="array" ref="J4902">IFERROR(INDEX('Retirement Calculator'!J:J,MATCH('Isaac 401k'!N4902,'Retirement Calculator'!A:A,0),0),0)</f>
        <v>0</v>
      </c>
      <c r="K4902" s="444">
        <f t="shared" ca="1" si="196"/>
        <v>-821889533019.98389</v>
      </c>
      <c r="L4902" s="444">
        <f t="shared" ca="1" si="197"/>
        <v>-198075377457816.09</v>
      </c>
      <c r="M4902" s="460">
        <f t="shared" si="199"/>
        <v>0.05</v>
      </c>
      <c r="N4902" s="464">
        <f t="shared" si="200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98"/>
        <v>-198075377457816.09</v>
      </c>
      <c r="J4903" s="444">
        <f t="array" ref="J4903">IFERROR(INDEX('Retirement Calculator'!J:J,MATCH('Isaac 401k'!N4903,'Retirement Calculator'!A:A,0),0),0)</f>
        <v>0</v>
      </c>
      <c r="K4903" s="444">
        <f t="shared" ca="1" si="196"/>
        <v>-825314072740.90039</v>
      </c>
      <c r="L4903" s="444">
        <f t="shared" ca="1" si="197"/>
        <v>-198900691530557</v>
      </c>
      <c r="M4903" s="460">
        <f t="shared" si="199"/>
        <v>0.05</v>
      </c>
      <c r="N4903" s="464">
        <f t="shared" si="200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98"/>
        <v>-198900691530557</v>
      </c>
      <c r="J4904" s="444">
        <f t="array" ref="J4904">IFERROR(INDEX('Retirement Calculator'!J:J,MATCH('Isaac 401k'!N4904,'Retirement Calculator'!A:A,0),0),0)</f>
        <v>0</v>
      </c>
      <c r="K4904" s="444">
        <f t="shared" ca="1" si="196"/>
        <v>-828752881377.3208</v>
      </c>
      <c r="L4904" s="444">
        <f t="shared" ca="1" si="197"/>
        <v>-199729444411934.31</v>
      </c>
      <c r="M4904" s="460">
        <f t="shared" si="199"/>
        <v>0.05</v>
      </c>
      <c r="N4904" s="464">
        <f t="shared" si="200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98"/>
        <v>-199729444411934.31</v>
      </c>
      <c r="J4905" s="444">
        <f t="array" ref="J4905">IFERROR(INDEX('Retirement Calculator'!J:J,MATCH('Isaac 401k'!N4905,'Retirement Calculator'!A:A,0),0),0)</f>
        <v>0</v>
      </c>
      <c r="K4905" s="444">
        <f t="shared" ca="1" si="196"/>
        <v>-832206018383.05957</v>
      </c>
      <c r="L4905" s="444">
        <f t="shared" ca="1" si="197"/>
        <v>-200561650430317.38</v>
      </c>
      <c r="M4905" s="460">
        <f t="shared" si="199"/>
        <v>0.05</v>
      </c>
      <c r="N4905" s="464">
        <f t="shared" si="200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98"/>
        <v>-200561650430317.38</v>
      </c>
      <c r="J4906" s="444">
        <f t="array" ref="J4906">IFERROR(INDEX('Retirement Calculator'!J:J,MATCH('Isaac 401k'!N4906,'Retirement Calculator'!A:A,0),0),0)</f>
        <v>0</v>
      </c>
      <c r="K4906" s="444">
        <f t="shared" ca="1" si="196"/>
        <v>-835673543459.65576</v>
      </c>
      <c r="L4906" s="444">
        <f t="shared" ca="1" si="197"/>
        <v>-201397323973777.03</v>
      </c>
      <c r="M4906" s="460">
        <f t="shared" si="199"/>
        <v>0.05</v>
      </c>
      <c r="N4906" s="464">
        <f t="shared" si="200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98"/>
        <v>-201397323973777.03</v>
      </c>
      <c r="J4907" s="444">
        <f t="array" ref="J4907">IFERROR(INDEX('Retirement Calculator'!J:J,MATCH('Isaac 401k'!N4907,'Retirement Calculator'!A:A,0),0),0)</f>
        <v>0</v>
      </c>
      <c r="K4907" s="444">
        <f t="shared" ca="1" si="196"/>
        <v>-839155516557.4043</v>
      </c>
      <c r="L4907" s="444">
        <f t="shared" ca="1" si="197"/>
        <v>-202236479490334.44</v>
      </c>
      <c r="M4907" s="460">
        <f t="shared" si="199"/>
        <v>0.05</v>
      </c>
      <c r="N4907" s="464">
        <f t="shared" si="200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98"/>
        <v>-202236479490334.44</v>
      </c>
      <c r="J4908" s="444">
        <f t="array" ref="J4908">IFERROR(INDEX('Retirement Calculator'!J:J,MATCH('Isaac 401k'!N4908,'Retirement Calculator'!A:A,0),0),0)</f>
        <v>0</v>
      </c>
      <c r="K4908" s="444">
        <f t="shared" ca="1" si="196"/>
        <v>-842651997876.39343</v>
      </c>
      <c r="L4908" s="444">
        <f t="shared" ca="1" si="197"/>
        <v>-203079131488210.84</v>
      </c>
      <c r="M4908" s="460">
        <f t="shared" si="199"/>
        <v>0.05</v>
      </c>
      <c r="N4908" s="464">
        <f t="shared" si="200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98"/>
        <v>-203079131488210.84</v>
      </c>
      <c r="J4909" s="444">
        <f t="array" ref="J4909">IFERROR(INDEX('Retirement Calculator'!J:J,MATCH('Isaac 401k'!N4909,'Retirement Calculator'!A:A,0),0),0)</f>
        <v>0</v>
      </c>
      <c r="K4909" s="444">
        <f t="shared" ca="1" si="196"/>
        <v>-846163047867.54517</v>
      </c>
      <c r="L4909" s="444">
        <f t="shared" ca="1" si="197"/>
        <v>-203925294536078.38</v>
      </c>
      <c r="M4909" s="460">
        <f t="shared" si="199"/>
        <v>0.05</v>
      </c>
      <c r="N4909" s="464">
        <f t="shared" si="200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98"/>
        <v>-203925294536078.38</v>
      </c>
      <c r="J4910" s="444">
        <f t="array" ref="J4910">IFERROR(INDEX('Retirement Calculator'!J:J,MATCH('Isaac 401k'!N4910,'Retirement Calculator'!A:A,0),0),0)</f>
        <v>0</v>
      </c>
      <c r="K4910" s="444">
        <f t="shared" ca="1" si="196"/>
        <v>-849688727233.65991</v>
      </c>
      <c r="L4910" s="444">
        <f t="shared" ca="1" si="197"/>
        <v>-204774983263312.03</v>
      </c>
      <c r="M4910" s="460">
        <f t="shared" si="199"/>
        <v>0.05</v>
      </c>
      <c r="N4910" s="464">
        <f t="shared" si="200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98"/>
        <v>-204774983263312.03</v>
      </c>
      <c r="J4911" s="444">
        <f t="array" ref="J4911">IFERROR(INDEX('Retirement Calculator'!J:J,MATCH('Isaac 401k'!N4911,'Retirement Calculator'!A:A,0),0),0)</f>
        <v>0</v>
      </c>
      <c r="K4911" s="444">
        <f t="shared" ca="1" si="196"/>
        <v>-853229096930.4668</v>
      </c>
      <c r="L4911" s="444">
        <f t="shared" ca="1" si="197"/>
        <v>-205628212360242.5</v>
      </c>
      <c r="M4911" s="460">
        <f t="shared" si="199"/>
        <v>0.05</v>
      </c>
      <c r="N4911" s="464">
        <f t="shared" si="200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98"/>
        <v>-205628212360242.5</v>
      </c>
      <c r="J4912" s="444">
        <f t="array" ref="J4912">IFERROR(INDEX('Retirement Calculator'!J:J,MATCH('Isaac 401k'!N4912,'Retirement Calculator'!A:A,0),0),0)</f>
        <v>0</v>
      </c>
      <c r="K4912" s="444">
        <f t="shared" ca="1" si="196"/>
        <v>-856784218167.67712</v>
      </c>
      <c r="L4912" s="444">
        <f t="shared" ca="1" si="197"/>
        <v>-206484996578410.19</v>
      </c>
      <c r="M4912" s="460">
        <f t="shared" si="199"/>
        <v>0.05</v>
      </c>
      <c r="N4912" s="464">
        <f t="shared" si="200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98"/>
        <v>-206484996578410.19</v>
      </c>
      <c r="J4913" s="444">
        <f t="array" ref="J4913">IFERROR(INDEX('Retirement Calculator'!J:J,MATCH('Isaac 401k'!N4913,'Retirement Calculator'!A:A,0),0),0)</f>
        <v>0</v>
      </c>
      <c r="K4913" s="444">
        <f t="shared" ca="1" si="196"/>
        <v>-860354152410.04248</v>
      </c>
      <c r="L4913" s="444">
        <f t="shared" ca="1" si="197"/>
        <v>-207345350730820.22</v>
      </c>
      <c r="M4913" s="460">
        <f t="shared" si="199"/>
        <v>0.05</v>
      </c>
      <c r="N4913" s="464">
        <f t="shared" si="200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98"/>
        <v>-207345350730820.22</v>
      </c>
      <c r="J4914" s="444">
        <f t="array" ref="J4914">IFERROR(INDEX('Retirement Calculator'!J:J,MATCH('Isaac 401k'!N4914,'Retirement Calculator'!A:A,0),0),0)</f>
        <v>0</v>
      </c>
      <c r="K4914" s="444">
        <f t="shared" ca="1" si="196"/>
        <v>-863938961378.4176</v>
      </c>
      <c r="L4914" s="444">
        <f t="shared" ca="1" si="197"/>
        <v>-208209289692198.63</v>
      </c>
      <c r="M4914" s="460">
        <f t="shared" si="199"/>
        <v>0.05</v>
      </c>
      <c r="N4914" s="464">
        <f t="shared" si="200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98"/>
        <v>-208209289692198.63</v>
      </c>
      <c r="J4915" s="444">
        <f t="array" ref="J4915">IFERROR(INDEX('Retirement Calculator'!J:J,MATCH('Isaac 401k'!N4915,'Retirement Calculator'!A:A,0),0),0)</f>
        <v>0</v>
      </c>
      <c r="K4915" s="444">
        <f t="shared" ca="1" si="196"/>
        <v>-867538707050.82764</v>
      </c>
      <c r="L4915" s="444">
        <f t="shared" ca="1" si="197"/>
        <v>-209076828399249.44</v>
      </c>
      <c r="M4915" s="460">
        <f t="shared" si="199"/>
        <v>0.05</v>
      </c>
      <c r="N4915" s="464">
        <f t="shared" si="200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98"/>
        <v>-209076828399249.44</v>
      </c>
      <c r="J4916" s="444">
        <f t="array" ref="J4916">IFERROR(INDEX('Retirement Calculator'!J:J,MATCH('Isaac 401k'!N4916,'Retirement Calculator'!A:A,0),0),0)</f>
        <v>0</v>
      </c>
      <c r="K4916" s="444">
        <f t="shared" ca="1" si="196"/>
        <v>-871153451663.53931</v>
      </c>
      <c r="L4916" s="444">
        <f t="shared" ca="1" si="197"/>
        <v>-209947981850912.97</v>
      </c>
      <c r="M4916" s="460">
        <f t="shared" si="199"/>
        <v>0.05</v>
      </c>
      <c r="N4916" s="464">
        <f t="shared" si="200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98"/>
        <v>-209947981850912.97</v>
      </c>
      <c r="J4917" s="444">
        <f t="array" ref="J4917">IFERROR(INDEX('Retirement Calculator'!J:J,MATCH('Isaac 401k'!N4917,'Retirement Calculator'!A:A,0),0),0)</f>
        <v>0</v>
      </c>
      <c r="K4917" s="444">
        <f t="shared" ca="1" si="196"/>
        <v>-874783257712.13733</v>
      </c>
      <c r="L4917" s="444">
        <f t="shared" ca="1" si="197"/>
        <v>-210822765108625.09</v>
      </c>
      <c r="M4917" s="460">
        <f t="shared" si="199"/>
        <v>0.05</v>
      </c>
      <c r="N4917" s="464">
        <f t="shared" si="200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98"/>
        <v>-210822765108625.09</v>
      </c>
      <c r="J4918" s="444">
        <f t="array" ref="J4918">IFERROR(INDEX('Retirement Calculator'!J:J,MATCH('Isaac 401k'!N4918,'Retirement Calculator'!A:A,0),0),0)</f>
        <v>0</v>
      </c>
      <c r="K4918" s="444">
        <f t="shared" ca="1" si="196"/>
        <v>-878428187952.60449</v>
      </c>
      <c r="L4918" s="444">
        <f t="shared" ca="1" si="197"/>
        <v>-211701193296577.69</v>
      </c>
      <c r="M4918" s="460">
        <f t="shared" si="199"/>
        <v>0.05</v>
      </c>
      <c r="N4918" s="464">
        <f t="shared" si="200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98"/>
        <v>-211701193296577.69</v>
      </c>
      <c r="J4919" s="444">
        <f t="array" ref="J4919">IFERROR(INDEX('Retirement Calculator'!J:J,MATCH('Isaac 401k'!N4919,'Retirement Calculator'!A:A,0),0),0)</f>
        <v>0</v>
      </c>
      <c r="K4919" s="444">
        <f t="shared" ca="1" si="196"/>
        <v>-882088305402.40698</v>
      </c>
      <c r="L4919" s="444">
        <f t="shared" ca="1" si="197"/>
        <v>-212583281601980.09</v>
      </c>
      <c r="M4919" s="460">
        <f t="shared" si="199"/>
        <v>0.05</v>
      </c>
      <c r="N4919" s="464">
        <f t="shared" si="200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98"/>
        <v>-212583281601980.09</v>
      </c>
      <c r="J4920" s="444">
        <f t="array" ref="J4920">IFERROR(INDEX('Retirement Calculator'!J:J,MATCH('Isaac 401k'!N4920,'Retirement Calculator'!A:A,0),0),0)</f>
        <v>0</v>
      </c>
      <c r="K4920" s="444">
        <f t="shared" ca="1" si="196"/>
        <v>-885763673341.58374</v>
      </c>
      <c r="L4920" s="444">
        <f t="shared" ca="1" si="197"/>
        <v>-213469045275321.69</v>
      </c>
      <c r="M4920" s="460">
        <f t="shared" si="199"/>
        <v>0.05</v>
      </c>
      <c r="N4920" s="464">
        <f t="shared" si="200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98"/>
        <v>-213469045275321.69</v>
      </c>
      <c r="J4921" s="444">
        <f t="array" ref="J4921">IFERROR(INDEX('Retirement Calculator'!J:J,MATCH('Isaac 401k'!N4921,'Retirement Calculator'!A:A,0),0),0)</f>
        <v>0</v>
      </c>
      <c r="K4921" s="444">
        <f t="shared" ca="1" si="196"/>
        <v>-889454355313.84033</v>
      </c>
      <c r="L4921" s="444">
        <f t="shared" ca="1" si="197"/>
        <v>-214358499630635.53</v>
      </c>
      <c r="M4921" s="460">
        <f t="shared" si="199"/>
        <v>0.05</v>
      </c>
      <c r="N4921" s="464">
        <f t="shared" si="200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98"/>
        <v>-214358499630635.53</v>
      </c>
      <c r="J4922" s="444">
        <f t="array" ref="J4922">IFERROR(INDEX('Retirement Calculator'!J:J,MATCH('Isaac 401k'!N4922,'Retirement Calculator'!A:A,0),0),0)</f>
        <v>0</v>
      </c>
      <c r="K4922" s="444">
        <f t="shared" ca="1" si="196"/>
        <v>-893160415127.64807</v>
      </c>
      <c r="L4922" s="444">
        <f t="shared" ca="1" si="197"/>
        <v>-215251660045763.19</v>
      </c>
      <c r="M4922" s="460">
        <f t="shared" si="199"/>
        <v>0.05</v>
      </c>
      <c r="N4922" s="464">
        <f t="shared" si="200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98"/>
        <v>-215251660045763.19</v>
      </c>
      <c r="J4923" s="444">
        <f t="array" ref="J4923">IFERROR(INDEX('Retirement Calculator'!J:J,MATCH('Isaac 401k'!N4923,'Retirement Calculator'!A:A,0),0),0)</f>
        <v>0</v>
      </c>
      <c r="K4923" s="444">
        <f t="shared" ca="1" si="196"/>
        <v>-896881916857.34656</v>
      </c>
      <c r="L4923" s="444">
        <f t="shared" ca="1" si="197"/>
        <v>-216148541962620.53</v>
      </c>
      <c r="M4923" s="460">
        <f t="shared" si="199"/>
        <v>0.05</v>
      </c>
      <c r="N4923" s="464">
        <f t="shared" si="200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98"/>
        <v>-216148541962620.53</v>
      </c>
      <c r="J4924" s="444">
        <f t="array" ref="J4924">IFERROR(INDEX('Retirement Calculator'!J:J,MATCH('Isaac 401k'!N4924,'Retirement Calculator'!A:A,0),0),0)</f>
        <v>0</v>
      </c>
      <c r="K4924" s="444">
        <f t="shared" ca="1" si="196"/>
        <v>-900618924844.2522</v>
      </c>
      <c r="L4924" s="444">
        <f t="shared" ca="1" si="197"/>
        <v>-217049160887464.78</v>
      </c>
      <c r="M4924" s="460">
        <f t="shared" si="199"/>
        <v>0.05</v>
      </c>
      <c r="N4924" s="464">
        <f t="shared" si="200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98"/>
        <v>-217049160887464.78</v>
      </c>
      <c r="J4925" s="444">
        <f t="array" ref="J4925">IFERROR(INDEX('Retirement Calculator'!J:J,MATCH('Isaac 401k'!N4925,'Retirement Calculator'!A:A,0),0),0)</f>
        <v>0</v>
      </c>
      <c r="K4925" s="444">
        <f t="shared" ca="1" si="196"/>
        <v>-904371503697.7699</v>
      </c>
      <c r="L4925" s="444">
        <f t="shared" ca="1" si="197"/>
        <v>-217953532391162.56</v>
      </c>
      <c r="M4925" s="460">
        <f t="shared" si="199"/>
        <v>0.05</v>
      </c>
      <c r="N4925" s="464">
        <f t="shared" si="200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98"/>
        <v>-217953532391162.56</v>
      </c>
      <c r="J4926" s="444">
        <f t="array" ref="J4926">IFERROR(INDEX('Retirement Calculator'!J:J,MATCH('Isaac 401k'!N4926,'Retirement Calculator'!A:A,0),0),0)</f>
        <v>0</v>
      </c>
      <c r="K4926" s="444">
        <f t="shared" ca="1" si="196"/>
        <v>-908139718296.51062</v>
      </c>
      <c r="L4926" s="444">
        <f t="shared" ca="1" si="197"/>
        <v>-218861672109459.06</v>
      </c>
      <c r="M4926" s="460">
        <f t="shared" si="199"/>
        <v>0.05</v>
      </c>
      <c r="N4926" s="464">
        <f t="shared" si="200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98"/>
        <v>-218861672109459.06</v>
      </c>
      <c r="J4927" s="444">
        <f t="array" ref="J4927">IFERROR(INDEX('Retirement Calculator'!J:J,MATCH('Isaac 401k'!N4927,'Retirement Calculator'!A:A,0),0),0)</f>
        <v>0</v>
      </c>
      <c r="K4927" s="444">
        <f t="shared" ca="1" si="196"/>
        <v>-911923633789.41272</v>
      </c>
      <c r="L4927" s="444">
        <f t="shared" ca="1" si="197"/>
        <v>-219773595743248.47</v>
      </c>
      <c r="M4927" s="460">
        <f t="shared" si="199"/>
        <v>0.05</v>
      </c>
      <c r="N4927" s="464">
        <f t="shared" si="200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98"/>
        <v>-219773595743248.47</v>
      </c>
      <c r="J4928" s="444">
        <f t="array" ref="J4928">IFERROR(INDEX('Retirement Calculator'!J:J,MATCH('Isaac 401k'!N4928,'Retirement Calculator'!A:A,0),0),0)</f>
        <v>0</v>
      </c>
      <c r="K4928" s="444">
        <f t="shared" ca="1" si="196"/>
        <v>-915723315596.86865</v>
      </c>
      <c r="L4928" s="444">
        <f t="shared" ca="1" si="197"/>
        <v>-220689319058845.34</v>
      </c>
      <c r="M4928" s="460">
        <f t="shared" si="199"/>
        <v>0.05</v>
      </c>
      <c r="N4928" s="464">
        <f t="shared" si="200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98"/>
        <v>-220689319058845.34</v>
      </c>
      <c r="J4929" s="444">
        <f t="array" ref="J4929">IFERROR(INDEX('Retirement Calculator'!J:J,MATCH('Isaac 401k'!N4929,'Retirement Calculator'!A:A,0),0),0)</f>
        <v>0</v>
      </c>
      <c r="K4929" s="444">
        <f t="shared" ca="1" si="196"/>
        <v>-919538829411.85547</v>
      </c>
      <c r="L4929" s="444">
        <f t="shared" ca="1" si="197"/>
        <v>-221608857888257.19</v>
      </c>
      <c r="M4929" s="460">
        <f t="shared" si="199"/>
        <v>0.05</v>
      </c>
      <c r="N4929" s="464">
        <f t="shared" si="200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98"/>
        <v>-221608857888257.19</v>
      </c>
      <c r="J4930" s="444">
        <f t="array" ref="J4930">IFERROR(INDEX('Retirement Calculator'!J:J,MATCH('Isaac 401k'!N4930,'Retirement Calculator'!A:A,0),0),0)</f>
        <v>0</v>
      </c>
      <c r="K4930" s="444">
        <f t="shared" ca="1" si="196"/>
        <v>-923370241201.07178</v>
      </c>
      <c r="L4930" s="444">
        <f t="shared" ca="1" si="197"/>
        <v>-222532228129458.25</v>
      </c>
      <c r="M4930" s="460">
        <f t="shared" si="199"/>
        <v>0.05</v>
      </c>
      <c r="N4930" s="464">
        <f t="shared" si="200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98"/>
        <v>-222532228129458.25</v>
      </c>
      <c r="J4931" s="444">
        <f t="array" ref="J4931">IFERROR(INDEX('Retirement Calculator'!J:J,MATCH('Isaac 401k'!N4931,'Retirement Calculator'!A:A,0),0),0)</f>
        <v>0</v>
      </c>
      <c r="K4931" s="444">
        <f t="shared" ca="1" si="196"/>
        <v>-927217617206.07593</v>
      </c>
      <c r="L4931" s="444">
        <f t="shared" ca="1" si="197"/>
        <v>-223459445746664.31</v>
      </c>
      <c r="M4931" s="460">
        <f t="shared" si="199"/>
        <v>0.05</v>
      </c>
      <c r="N4931" s="464">
        <f t="shared" si="200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98"/>
        <v>-223459445746664.31</v>
      </c>
      <c r="J4932" s="444">
        <f t="array" ref="J4932">IFERROR(INDEX('Retirement Calculator'!J:J,MATCH('Isaac 401k'!N4932,'Retirement Calculator'!A:A,0),0),0)</f>
        <v>0</v>
      </c>
      <c r="K4932" s="444">
        <f t="shared" ca="1" si="196"/>
        <v>-931081023944.43457</v>
      </c>
      <c r="L4932" s="444">
        <f t="shared" ca="1" si="197"/>
        <v>-224390526770608.75</v>
      </c>
      <c r="M4932" s="460">
        <f t="shared" si="199"/>
        <v>0.05</v>
      </c>
      <c r="N4932" s="464">
        <f t="shared" si="200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98"/>
        <v>-224390526770608.75</v>
      </c>
      <c r="J4933" s="444">
        <f t="array" ref="J4933">IFERROR(INDEX('Retirement Calculator'!J:J,MATCH('Isaac 401k'!N4933,'Retirement Calculator'!A:A,0),0),0)</f>
        <v>0</v>
      </c>
      <c r="K4933" s="444">
        <f t="shared" ca="1" si="196"/>
        <v>-934960528210.86975</v>
      </c>
      <c r="L4933" s="444">
        <f t="shared" ca="1" si="197"/>
        <v>-225325487298819.63</v>
      </c>
      <c r="M4933" s="460">
        <f t="shared" si="199"/>
        <v>0.05</v>
      </c>
      <c r="N4933" s="464">
        <f t="shared" si="200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98"/>
        <v>-225325487298819.63</v>
      </c>
      <c r="J4934" s="444">
        <f t="array" ref="J4934">IFERROR(INDEX('Retirement Calculator'!J:J,MATCH('Isaac 401k'!N4934,'Retirement Calculator'!A:A,0),0),0)</f>
        <v>0</v>
      </c>
      <c r="K4934" s="444">
        <f t="shared" ca="1" si="196"/>
        <v>-938856197078.41504</v>
      </c>
      <c r="L4934" s="444">
        <f t="shared" ca="1" si="197"/>
        <v>-226264343495898.03</v>
      </c>
      <c r="M4934" s="460">
        <f t="shared" si="199"/>
        <v>0.05</v>
      </c>
      <c r="N4934" s="464">
        <f t="shared" si="200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98"/>
        <v>-226264343495898.03</v>
      </c>
      <c r="J4935" s="444">
        <f t="array" ref="J4935">IFERROR(INDEX('Retirement Calculator'!J:J,MATCH('Isaac 401k'!N4935,'Retirement Calculator'!A:A,0),0),0)</f>
        <v>0</v>
      </c>
      <c r="K4935" s="444">
        <f t="shared" ca="1" si="196"/>
        <v>-942768097899.57507</v>
      </c>
      <c r="L4935" s="444">
        <f t="shared" ca="1" si="197"/>
        <v>-227207111593797.59</v>
      </c>
      <c r="M4935" s="460">
        <f t="shared" si="199"/>
        <v>0.05</v>
      </c>
      <c r="N4935" s="464">
        <f t="shared" si="200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98"/>
        <v>-227207111593797.59</v>
      </c>
      <c r="J4936" s="444">
        <f t="array" ref="J4936">IFERROR(INDEX('Retirement Calculator'!J:J,MATCH('Isaac 401k'!N4936,'Retirement Calculator'!A:A,0),0),0)</f>
        <v>0</v>
      </c>
      <c r="K4936" s="444">
        <f t="shared" ca="1" si="196"/>
        <v>-946696298307.48999</v>
      </c>
      <c r="L4936" s="444">
        <f t="shared" ca="1" si="197"/>
        <v>-228153807892105.09</v>
      </c>
      <c r="M4936" s="460">
        <f t="shared" si="199"/>
        <v>0.05</v>
      </c>
      <c r="N4936" s="464">
        <f t="shared" si="200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98"/>
        <v>-228153807892105.09</v>
      </c>
      <c r="J4937" s="444">
        <f t="array" ref="J4937">IFERROR(INDEX('Retirement Calculator'!J:J,MATCH('Isaac 401k'!N4937,'Retirement Calculator'!A:A,0),0),0)</f>
        <v>0</v>
      </c>
      <c r="K4937" s="444">
        <f t="shared" ca="1" si="196"/>
        <v>-950640866217.10461</v>
      </c>
      <c r="L4937" s="444">
        <f t="shared" ca="1" si="197"/>
        <v>-229104448758322.19</v>
      </c>
      <c r="M4937" s="460">
        <f t="shared" si="199"/>
        <v>0.05</v>
      </c>
      <c r="N4937" s="464">
        <f t="shared" si="200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98"/>
        <v>-229104448758322.19</v>
      </c>
      <c r="J4938" s="444">
        <f t="array" ref="J4938">IFERROR(INDEX('Retirement Calculator'!J:J,MATCH('Isaac 401k'!N4938,'Retirement Calculator'!A:A,0),0),0)</f>
        <v>0</v>
      </c>
      <c r="K4938" s="444">
        <f t="shared" ca="1" si="196"/>
        <v>-954601869826.34241</v>
      </c>
      <c r="L4938" s="444">
        <f t="shared" ca="1" si="197"/>
        <v>-230059050628148.53</v>
      </c>
      <c r="M4938" s="460">
        <f t="shared" si="199"/>
        <v>0.05</v>
      </c>
      <c r="N4938" s="464">
        <f t="shared" si="200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98"/>
        <v>-230059050628148.53</v>
      </c>
      <c r="J4939" s="444">
        <f t="array" ref="J4939">IFERROR(INDEX('Retirement Calculator'!J:J,MATCH('Isaac 401k'!N4939,'Retirement Calculator'!A:A,0),0),0)</f>
        <v>0</v>
      </c>
      <c r="K4939" s="444">
        <f t="shared" ca="1" si="196"/>
        <v>-958579377617.28552</v>
      </c>
      <c r="L4939" s="444">
        <f t="shared" ca="1" si="197"/>
        <v>-231017630005765.81</v>
      </c>
      <c r="M4939" s="460">
        <f t="shared" si="199"/>
        <v>0.05</v>
      </c>
      <c r="N4939" s="464">
        <f t="shared" si="200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98"/>
        <v>-231017630005765.81</v>
      </c>
      <c r="J4940" s="444">
        <f t="array" ref="J4940">IFERROR(INDEX('Retirement Calculator'!J:J,MATCH('Isaac 401k'!N4940,'Retirement Calculator'!A:A,0),0),0)</f>
        <v>0</v>
      </c>
      <c r="K4940" s="444">
        <f t="shared" ca="1" si="196"/>
        <v>-962573458357.35754</v>
      </c>
      <c r="L4940" s="444">
        <f t="shared" ca="1" si="197"/>
        <v>-231980203464123.16</v>
      </c>
      <c r="M4940" s="460">
        <f t="shared" si="199"/>
        <v>0.05</v>
      </c>
      <c r="N4940" s="464">
        <f t="shared" si="200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98"/>
        <v>-231980203464123.16</v>
      </c>
      <c r="J4941" s="444">
        <f t="array" ref="J4941">IFERROR(INDEX('Retirement Calculator'!J:J,MATCH('Isaac 401k'!N4941,'Retirement Calculator'!A:A,0),0),0)</f>
        <v>0</v>
      </c>
      <c r="K4941" s="444">
        <f t="shared" ca="1" si="196"/>
        <v>-966584181100.51306</v>
      </c>
      <c r="L4941" s="444">
        <f t="shared" ca="1" si="197"/>
        <v>-232946787645223.66</v>
      </c>
      <c r="M4941" s="460">
        <f t="shared" si="199"/>
        <v>0.05</v>
      </c>
      <c r="N4941" s="464">
        <f t="shared" si="200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98"/>
        <v>-232946787645223.66</v>
      </c>
      <c r="J4942" s="444">
        <f t="array" ref="J4942">IFERROR(INDEX('Retirement Calculator'!J:J,MATCH('Isaac 401k'!N4942,'Retirement Calculator'!A:A,0),0),0)</f>
        <v>0</v>
      </c>
      <c r="K4942" s="444">
        <f t="shared" ca="1" si="196"/>
        <v>-970611615188.43188</v>
      </c>
      <c r="L4942" s="444">
        <f t="shared" ca="1" si="197"/>
        <v>-233917399260412.09</v>
      </c>
      <c r="M4942" s="460">
        <f t="shared" si="199"/>
        <v>0.05</v>
      </c>
      <c r="N4942" s="464">
        <f t="shared" si="200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98"/>
        <v>-233917399260412.09</v>
      </c>
      <c r="J4943" s="444">
        <f t="array" ref="J4943">IFERROR(INDEX('Retirement Calculator'!J:J,MATCH('Isaac 401k'!N4943,'Retirement Calculator'!A:A,0),0),0)</f>
        <v>0</v>
      </c>
      <c r="K4943" s="444">
        <f t="shared" ca="1" si="196"/>
        <v>-974655830251.71692</v>
      </c>
      <c r="L4943" s="444">
        <f t="shared" ca="1" si="197"/>
        <v>-234892055090663.81</v>
      </c>
      <c r="M4943" s="460">
        <f t="shared" si="199"/>
        <v>0.05</v>
      </c>
      <c r="N4943" s="464">
        <f t="shared" si="200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98"/>
        <v>-234892055090663.81</v>
      </c>
      <c r="J4944" s="444">
        <f t="array" ref="J4944">IFERROR(INDEX('Retirement Calculator'!J:J,MATCH('Isaac 401k'!N4944,'Retirement Calculator'!A:A,0),0),0)</f>
        <v>0</v>
      </c>
      <c r="K4944" s="444">
        <f t="shared" ca="1" si="196"/>
        <v>-978716896211.09924</v>
      </c>
      <c r="L4944" s="444">
        <f t="shared" ca="1" si="197"/>
        <v>-235870771986874.91</v>
      </c>
      <c r="M4944" s="460">
        <f t="shared" si="199"/>
        <v>0.05</v>
      </c>
      <c r="N4944" s="464">
        <f t="shared" si="200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98"/>
        <v>-235870771986874.91</v>
      </c>
      <c r="J4945" s="444">
        <f t="array" ref="J4945">IFERROR(INDEX('Retirement Calculator'!J:J,MATCH('Isaac 401k'!N4945,'Retirement Calculator'!A:A,0),0),0)</f>
        <v>0</v>
      </c>
      <c r="K4945" s="444">
        <f t="shared" ca="1" si="196"/>
        <v>-982794883278.64539</v>
      </c>
      <c r="L4945" s="444">
        <f t="shared" ca="1" si="197"/>
        <v>-236853566870153.56</v>
      </c>
      <c r="M4945" s="460">
        <f t="shared" si="199"/>
        <v>0.05</v>
      </c>
      <c r="N4945" s="464">
        <f t="shared" si="200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98"/>
        <v>-236853566870153.56</v>
      </c>
      <c r="J4946" s="444">
        <f t="array" ref="J4946">IFERROR(INDEX('Retirement Calculator'!J:J,MATCH('Isaac 401k'!N4946,'Retirement Calculator'!A:A,0),0),0)</f>
        <v>0</v>
      </c>
      <c r="K4946" s="444">
        <f t="shared" ca="1" si="196"/>
        <v>-986889861958.97327</v>
      </c>
      <c r="L4946" s="444">
        <f t="shared" ca="1" si="197"/>
        <v>-237840456732112.53</v>
      </c>
      <c r="M4946" s="460">
        <f t="shared" si="199"/>
        <v>0.05</v>
      </c>
      <c r="N4946" s="464">
        <f t="shared" si="200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98"/>
        <v>-237840456732112.53</v>
      </c>
      <c r="J4947" s="444">
        <f t="array" ref="J4947">IFERROR(INDEX('Retirement Calculator'!J:J,MATCH('Isaac 401k'!N4947,'Retirement Calculator'!A:A,0),0),0)</f>
        <v>0</v>
      </c>
      <c r="K4947" s="444">
        <f t="shared" ca="1" si="196"/>
        <v>-991001903050.46899</v>
      </c>
      <c r="L4947" s="444">
        <f t="shared" ca="1" si="197"/>
        <v>-238831458635163</v>
      </c>
      <c r="M4947" s="460">
        <f t="shared" si="199"/>
        <v>0.05</v>
      </c>
      <c r="N4947" s="464">
        <f t="shared" si="200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98"/>
        <v>-238831458635163</v>
      </c>
      <c r="J4948" s="444">
        <f t="array" ref="J4948">IFERROR(INDEX('Retirement Calculator'!J:J,MATCH('Isaac 401k'!N4948,'Retirement Calculator'!A:A,0),0),0)</f>
        <v>0</v>
      </c>
      <c r="K4948" s="444">
        <f t="shared" ca="1" si="196"/>
        <v>-995131077646.51245</v>
      </c>
      <c r="L4948" s="444">
        <f t="shared" ca="1" si="197"/>
        <v>-239826589712809.5</v>
      </c>
      <c r="M4948" s="460">
        <f t="shared" si="199"/>
        <v>0.05</v>
      </c>
      <c r="N4948" s="464">
        <f t="shared" si="200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98"/>
        <v>-239826589712809.5</v>
      </c>
      <c r="J4949" s="444">
        <f t="array" ref="J4949">IFERROR(INDEX('Retirement Calculator'!J:J,MATCH('Isaac 401k'!N4949,'Retirement Calculator'!A:A,0),0),0)</f>
        <v>0</v>
      </c>
      <c r="K4949" s="444">
        <f t="shared" ca="1" si="196"/>
        <v>-999277457136.70618</v>
      </c>
      <c r="L4949" s="444">
        <f t="shared" ca="1" si="197"/>
        <v>-240825867169946.22</v>
      </c>
      <c r="M4949" s="460">
        <f t="shared" si="199"/>
        <v>0.05</v>
      </c>
      <c r="N4949" s="464">
        <f t="shared" si="200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98"/>
        <v>-240825867169946.22</v>
      </c>
      <c r="J4950" s="444">
        <f t="array" ref="J4950">IFERROR(INDEX('Retirement Calculator'!J:J,MATCH('Isaac 401k'!N4950,'Retirement Calculator'!A:A,0),0),0)</f>
        <v>0</v>
      </c>
      <c r="K4950" s="444">
        <f t="shared" ca="1" si="196"/>
        <v>-1003441113208.1093</v>
      </c>
      <c r="L4950" s="444">
        <f t="shared" ca="1" si="197"/>
        <v>-241829308283154.31</v>
      </c>
      <c r="M4950" s="460">
        <f t="shared" si="199"/>
        <v>0.05</v>
      </c>
      <c r="N4950" s="464">
        <f t="shared" si="200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98"/>
        <v>-241829308283154.31</v>
      </c>
      <c r="J4951" s="444">
        <f t="array" ref="J4951">IFERROR(INDEX('Retirement Calculator'!J:J,MATCH('Isaac 401k'!N4951,'Retirement Calculator'!A:A,0),0),0)</f>
        <v>0</v>
      </c>
      <c r="K4951" s="444">
        <f t="shared" ca="1" si="196"/>
        <v>-1007622117846.4764</v>
      </c>
      <c r="L4951" s="444">
        <f t="shared" ca="1" si="197"/>
        <v>-242836930401000.78</v>
      </c>
      <c r="M4951" s="460">
        <f t="shared" si="199"/>
        <v>0.05</v>
      </c>
      <c r="N4951" s="464">
        <f t="shared" si="200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98"/>
        <v>-242836930401000.78</v>
      </c>
      <c r="J4952" s="444">
        <f t="array" ref="J4952">IFERROR(INDEX('Retirement Calculator'!J:J,MATCH('Isaac 401k'!N4952,'Retirement Calculator'!A:A,0),0),0)</f>
        <v>0</v>
      </c>
      <c r="K4952" s="444">
        <f t="shared" ca="1" si="196"/>
        <v>-1011820543337.5033</v>
      </c>
      <c r="L4952" s="444">
        <f t="shared" ca="1" si="197"/>
        <v>-243848750944338.28</v>
      </c>
      <c r="M4952" s="460">
        <f t="shared" si="199"/>
        <v>0.05</v>
      </c>
      <c r="N4952" s="464">
        <f t="shared" si="200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98"/>
        <v>-243848750944338.28</v>
      </c>
      <c r="J4953" s="444">
        <f t="array" ref="J4953">IFERROR(INDEX('Retirement Calculator'!J:J,MATCH('Isaac 401k'!N4953,'Retirement Calculator'!A:A,0),0),0)</f>
        <v>0</v>
      </c>
      <c r="K4953" s="444">
        <f t="shared" ca="1" si="196"/>
        <v>-1016036462268.0762</v>
      </c>
      <c r="L4953" s="444">
        <f t="shared" ca="1" si="197"/>
        <v>-244864787406606.34</v>
      </c>
      <c r="M4953" s="460">
        <f t="shared" si="199"/>
        <v>0.05</v>
      </c>
      <c r="N4953" s="464">
        <f t="shared" si="200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98"/>
        <v>-244864787406606.34</v>
      </c>
      <c r="J4954" s="444">
        <f t="array" ref="J4954">IFERROR(INDEX('Retirement Calculator'!J:J,MATCH('Isaac 401k'!N4954,'Retirement Calculator'!A:A,0),0),0)</f>
        <v>0</v>
      </c>
      <c r="K4954" s="444">
        <f t="shared" ca="1" si="196"/>
        <v>-1020269947527.5264</v>
      </c>
      <c r="L4954" s="444">
        <f t="shared" ca="1" si="197"/>
        <v>-245885057354133.88</v>
      </c>
      <c r="M4954" s="460">
        <f t="shared" si="199"/>
        <v>0.05</v>
      </c>
      <c r="N4954" s="464">
        <f t="shared" si="200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98"/>
        <v>-245885057354133.88</v>
      </c>
      <c r="J4955" s="444">
        <f t="array" ref="J4955">IFERROR(INDEX('Retirement Calculator'!J:J,MATCH('Isaac 401k'!N4955,'Retirement Calculator'!A:A,0),0),0)</f>
        <v>0</v>
      </c>
      <c r="K4955" s="444">
        <f t="shared" ca="1" si="196"/>
        <v>-1024521072308.8911</v>
      </c>
      <c r="L4955" s="444">
        <f t="shared" ca="1" si="197"/>
        <v>-246909578426442.78</v>
      </c>
      <c r="M4955" s="460">
        <f t="shared" si="199"/>
        <v>0.05</v>
      </c>
      <c r="N4955" s="464">
        <f t="shared" si="200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98"/>
        <v>-246909578426442.78</v>
      </c>
      <c r="J4956" s="444">
        <f t="array" ref="J4956">IFERROR(INDEX('Retirement Calculator'!J:J,MATCH('Isaac 401k'!N4956,'Retirement Calculator'!A:A,0),0),0)</f>
        <v>0</v>
      </c>
      <c r="K4956" s="444">
        <f t="shared" ca="1" si="196"/>
        <v>-1028789910110.1782</v>
      </c>
      <c r="L4956" s="444">
        <f t="shared" ca="1" si="197"/>
        <v>-247938368336552.97</v>
      </c>
      <c r="M4956" s="460">
        <f t="shared" si="199"/>
        <v>0.05</v>
      </c>
      <c r="N4956" s="464">
        <f t="shared" si="200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98"/>
        <v>-247938368336552.97</v>
      </c>
      <c r="J4957" s="444">
        <f t="array" ref="J4957">IFERROR(INDEX('Retirement Calculator'!J:J,MATCH('Isaac 401k'!N4957,'Retirement Calculator'!A:A,0),0),0)</f>
        <v>0</v>
      </c>
      <c r="K4957" s="444">
        <f t="shared" ca="1" si="196"/>
        <v>-1033076534735.6373</v>
      </c>
      <c r="L4957" s="444">
        <f t="shared" ca="1" si="197"/>
        <v>-248971444871288.59</v>
      </c>
      <c r="M4957" s="460">
        <f t="shared" si="199"/>
        <v>0.05</v>
      </c>
      <c r="N4957" s="464">
        <f t="shared" si="200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98"/>
        <v>-248971444871288.59</v>
      </c>
      <c r="J4958" s="444">
        <f t="array" ref="J4958">IFERROR(INDEX('Retirement Calculator'!J:J,MATCH('Isaac 401k'!N4958,'Retirement Calculator'!A:A,0),0),0)</f>
        <v>0</v>
      </c>
      <c r="K4958" s="444">
        <f t="shared" ca="1" si="196"/>
        <v>-1037381020297.0358</v>
      </c>
      <c r="L4958" s="444">
        <f t="shared" ca="1" si="197"/>
        <v>-250008825891585.63</v>
      </c>
      <c r="M4958" s="460">
        <f t="shared" si="199"/>
        <v>0.05</v>
      </c>
      <c r="N4958" s="464">
        <f t="shared" si="200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98"/>
        <v>-250008825891585.63</v>
      </c>
      <c r="J4959" s="444">
        <f t="array" ref="J4959">IFERROR(INDEX('Retirement Calculator'!J:J,MATCH('Isaac 401k'!N4959,'Retirement Calculator'!A:A,0),0),0)</f>
        <v>0</v>
      </c>
      <c r="K4959" s="444">
        <f t="shared" ca="1" si="196"/>
        <v>-1041703441214.9401</v>
      </c>
      <c r="L4959" s="444">
        <f t="shared" ca="1" si="197"/>
        <v>-251050529332800.56</v>
      </c>
      <c r="M4959" s="460">
        <f t="shared" si="199"/>
        <v>0.05</v>
      </c>
      <c r="N4959" s="464">
        <f t="shared" si="200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98"/>
        <v>-251050529332800.56</v>
      </c>
      <c r="J4960" s="444">
        <f t="array" ref="J4960">IFERROR(INDEX('Retirement Calculator'!J:J,MATCH('Isaac 401k'!N4960,'Retirement Calculator'!A:A,0),0),0)</f>
        <v>0</v>
      </c>
      <c r="K4960" s="444">
        <f t="shared" ca="1" si="196"/>
        <v>-1046043872220.0023</v>
      </c>
      <c r="L4960" s="444">
        <f t="shared" ca="1" si="197"/>
        <v>-252096573205020.56</v>
      </c>
      <c r="M4960" s="460">
        <f t="shared" si="199"/>
        <v>0.05</v>
      </c>
      <c r="N4960" s="464">
        <f t="shared" si="200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98"/>
        <v>-252096573205020.56</v>
      </c>
      <c r="J4961" s="444">
        <f t="array" ref="J4961">IFERROR(INDEX('Retirement Calculator'!J:J,MATCH('Isaac 401k'!N4961,'Retirement Calculator'!A:A,0),0),0)</f>
        <v>0</v>
      </c>
      <c r="K4961" s="444">
        <f t="shared" ca="1" si="196"/>
        <v>-1050402388354.2522</v>
      </c>
      <c r="L4961" s="444">
        <f t="shared" ca="1" si="197"/>
        <v>-253146975593374.81</v>
      </c>
      <c r="M4961" s="460">
        <f t="shared" si="199"/>
        <v>0.05</v>
      </c>
      <c r="N4961" s="464">
        <f t="shared" si="200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98"/>
        <v>-253146975593374.81</v>
      </c>
      <c r="J4962" s="444">
        <f t="array" ref="J4962">IFERROR(INDEX('Retirement Calculator'!J:J,MATCH('Isaac 401k'!N4962,'Retirement Calculator'!A:A,0),0),0)</f>
        <v>0</v>
      </c>
      <c r="K4962" s="444">
        <f t="shared" ca="1" si="196"/>
        <v>-1054779064972.395</v>
      </c>
      <c r="L4962" s="444">
        <f t="shared" ca="1" si="197"/>
        <v>-254201754658347.22</v>
      </c>
      <c r="M4962" s="460">
        <f t="shared" si="199"/>
        <v>0.05</v>
      </c>
      <c r="N4962" s="464">
        <f t="shared" si="200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98"/>
        <v>-254201754658347.22</v>
      </c>
      <c r="J4963" s="444">
        <f t="array" ref="J4963">IFERROR(INDEX('Retirement Calculator'!J:J,MATCH('Isaac 401k'!N4963,'Retirement Calculator'!A:A,0),0),0)</f>
        <v>0</v>
      </c>
      <c r="K4963" s="444">
        <f t="shared" ca="1" si="196"/>
        <v>-1059173977743.1134</v>
      </c>
      <c r="L4963" s="444">
        <f t="shared" ca="1" si="197"/>
        <v>-255260928636090.34</v>
      </c>
      <c r="M4963" s="460">
        <f t="shared" si="199"/>
        <v>0.05</v>
      </c>
      <c r="N4963" s="464">
        <f t="shared" si="200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98"/>
        <v>-255260928636090.34</v>
      </c>
      <c r="J4964" s="444">
        <f t="array" ref="J4964">IFERROR(INDEX('Retirement Calculator'!J:J,MATCH('Isaac 401k'!N4964,'Retirement Calculator'!A:A,0),0),0)</f>
        <v>0</v>
      </c>
      <c r="K4964" s="444">
        <f t="shared" ca="1" si="196"/>
        <v>-1063587202650.3765</v>
      </c>
      <c r="L4964" s="444">
        <f t="shared" ca="1" si="197"/>
        <v>-256324515838740.72</v>
      </c>
      <c r="M4964" s="460">
        <f t="shared" si="199"/>
        <v>0.05</v>
      </c>
      <c r="N4964" s="464">
        <f t="shared" si="200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98"/>
        <v>-256324515838740.72</v>
      </c>
      <c r="J4965" s="444">
        <f t="array" ref="J4965">IFERROR(INDEX('Retirement Calculator'!J:J,MATCH('Isaac 401k'!N4965,'Retirement Calculator'!A:A,0),0),0)</f>
        <v>0</v>
      </c>
      <c r="K4965" s="444">
        <f t="shared" ca="1" si="196"/>
        <v>-1068018815994.7529</v>
      </c>
      <c r="L4965" s="444">
        <f t="shared" ca="1" si="197"/>
        <v>-257392534654735.47</v>
      </c>
      <c r="M4965" s="460">
        <f t="shared" si="199"/>
        <v>0.05</v>
      </c>
      <c r="N4965" s="464">
        <f t="shared" si="200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98"/>
        <v>-257392534654735.47</v>
      </c>
      <c r="J4966" s="444">
        <f t="array" ref="J4966">IFERROR(INDEX('Retirement Calculator'!J:J,MATCH('Isaac 401k'!N4966,'Retirement Calculator'!A:A,0),0),0)</f>
        <v>0</v>
      </c>
      <c r="K4966" s="444">
        <f t="shared" ca="1" si="196"/>
        <v>-1072468894394.7312</v>
      </c>
      <c r="L4966" s="444">
        <f t="shared" ca="1" si="197"/>
        <v>-258465003549130.19</v>
      </c>
      <c r="M4966" s="460">
        <f t="shared" si="199"/>
        <v>0.05</v>
      </c>
      <c r="N4966" s="464">
        <f t="shared" si="200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98"/>
        <v>-258465003549130.19</v>
      </c>
      <c r="J4967" s="444">
        <f t="array" ref="J4967">IFERROR(INDEX('Retirement Calculator'!J:J,MATCH('Isaac 401k'!N4967,'Retirement Calculator'!A:A,0),0),0)</f>
        <v>0</v>
      </c>
      <c r="K4967" s="444">
        <f t="shared" ca="1" si="196"/>
        <v>-1076937514788.0425</v>
      </c>
      <c r="L4967" s="444">
        <f t="shared" ca="1" si="197"/>
        <v>-259541941063918.22</v>
      </c>
      <c r="M4967" s="460">
        <f t="shared" si="199"/>
        <v>0.05</v>
      </c>
      <c r="N4967" s="464">
        <f t="shared" si="200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98"/>
        <v>-259541941063918.22</v>
      </c>
      <c r="J4968" s="444">
        <f t="array" ref="J4968">IFERROR(INDEX('Retirement Calculator'!J:J,MATCH('Isaac 401k'!N4968,'Retirement Calculator'!A:A,0),0),0)</f>
        <v>0</v>
      </c>
      <c r="K4968" s="444">
        <f t="shared" ca="1" si="196"/>
        <v>-1081424754432.9926</v>
      </c>
      <c r="L4968" s="444">
        <f t="shared" ca="1" si="197"/>
        <v>-260623365818351.22</v>
      </c>
      <c r="M4968" s="460">
        <f t="shared" si="199"/>
        <v>0.05</v>
      </c>
      <c r="N4968" s="464">
        <f t="shared" si="200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98"/>
        <v>-260623365818351.22</v>
      </c>
      <c r="J4969" s="444">
        <f t="array" ref="J4969">IFERROR(INDEX('Retirement Calculator'!J:J,MATCH('Isaac 401k'!N4969,'Retirement Calculator'!A:A,0),0),0)</f>
        <v>0</v>
      </c>
      <c r="K4969" s="444">
        <f t="shared" ca="1" si="196"/>
        <v>-1085930690909.7968</v>
      </c>
      <c r="L4969" s="444">
        <f t="shared" ca="1" si="197"/>
        <v>-261709296509261</v>
      </c>
      <c r="M4969" s="460">
        <f t="shared" si="199"/>
        <v>0.05</v>
      </c>
      <c r="N4969" s="464">
        <f t="shared" si="200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98"/>
        <v>-261709296509261</v>
      </c>
      <c r="J4970" s="444">
        <f t="array" ref="J4970">IFERROR(INDEX('Retirement Calculator'!J:J,MATCH('Isaac 401k'!N4970,'Retirement Calculator'!A:A,0),0),0)</f>
        <v>0</v>
      </c>
      <c r="K4970" s="444">
        <f t="shared" ca="1" si="196"/>
        <v>-1090455402121.9208</v>
      </c>
      <c r="L4970" s="444">
        <f t="shared" ca="1" si="197"/>
        <v>-262799751911382.91</v>
      </c>
      <c r="M4970" s="460">
        <f t="shared" si="199"/>
        <v>0.05</v>
      </c>
      <c r="N4970" s="464">
        <f t="shared" si="200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98"/>
        <v>-262799751911382.91</v>
      </c>
      <c r="J4971" s="444">
        <f t="array" ref="J4971">IFERROR(INDEX('Retirement Calculator'!J:J,MATCH('Isaac 401k'!N4971,'Retirement Calculator'!A:A,0),0),0)</f>
        <v>0</v>
      </c>
      <c r="K4971" s="444">
        <f t="shared" ca="1" si="196"/>
        <v>-1094998966297.4287</v>
      </c>
      <c r="L4971" s="444">
        <f t="shared" ca="1" si="197"/>
        <v>-263894750877680.34</v>
      </c>
      <c r="M4971" s="460">
        <f t="shared" si="199"/>
        <v>0.05</v>
      </c>
      <c r="N4971" s="464">
        <f t="shared" si="200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98"/>
        <v>-263894750877680.34</v>
      </c>
      <c r="J4972" s="444">
        <f t="array" ref="J4972">IFERROR(INDEX('Retirement Calculator'!J:J,MATCH('Isaac 401k'!N4972,'Retirement Calculator'!A:A,0),0),0)</f>
        <v>0</v>
      </c>
      <c r="K4972" s="444">
        <f t="shared" ca="1" si="196"/>
        <v>-1099561461990.335</v>
      </c>
      <c r="L4972" s="444">
        <f t="shared" ca="1" si="197"/>
        <v>-264994312339670.69</v>
      </c>
      <c r="M4972" s="460">
        <f t="shared" si="199"/>
        <v>0.05</v>
      </c>
      <c r="N4972" s="464">
        <f t="shared" si="200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98"/>
        <v>-264994312339670.69</v>
      </c>
      <c r="J4973" s="444">
        <f t="array" ref="J4973">IFERROR(INDEX('Retirement Calculator'!J:J,MATCH('Isaac 401k'!N4973,'Retirement Calculator'!A:A,0),0),0)</f>
        <v>0</v>
      </c>
      <c r="K4973" s="444">
        <f t="shared" ca="1" si="196"/>
        <v>-1104142968081.9612</v>
      </c>
      <c r="L4973" s="444">
        <f t="shared" ca="1" si="197"/>
        <v>-266098455307752.66</v>
      </c>
      <c r="M4973" s="460">
        <f t="shared" si="199"/>
        <v>0.05</v>
      </c>
      <c r="N4973" s="464">
        <f t="shared" si="200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98"/>
        <v>-266098455307752.66</v>
      </c>
      <c r="J4974" s="444">
        <f t="array" ref="J4974">IFERROR(INDEX('Retirement Calculator'!J:J,MATCH('Isaac 401k'!N4974,'Retirement Calculator'!A:A,0),0),0)</f>
        <v>0</v>
      </c>
      <c r="K4974" s="444">
        <f t="shared" ca="1" si="196"/>
        <v>-1108743563782.3027</v>
      </c>
      <c r="L4974" s="444">
        <f t="shared" ca="1" si="197"/>
        <v>-267207198871534.97</v>
      </c>
      <c r="M4974" s="460">
        <f t="shared" si="199"/>
        <v>0.05</v>
      </c>
      <c r="N4974" s="464">
        <f t="shared" si="200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98"/>
        <v>-267207198871534.97</v>
      </c>
      <c r="J4975" s="444">
        <f t="array" ref="J4975">IFERROR(INDEX('Retirement Calculator'!J:J,MATCH('Isaac 401k'!N4975,'Retirement Calculator'!A:A,0),0),0)</f>
        <v>0</v>
      </c>
      <c r="K4975" s="444">
        <f t="shared" ca="1" si="196"/>
        <v>-1113363328631.3958</v>
      </c>
      <c r="L4975" s="444">
        <f t="shared" ca="1" si="197"/>
        <v>-268320562200166.38</v>
      </c>
      <c r="M4975" s="460">
        <f t="shared" si="199"/>
        <v>0.05</v>
      </c>
      <c r="N4975" s="464">
        <f t="shared" si="200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98"/>
        <v>-268320562200166.38</v>
      </c>
      <c r="J4976" s="444">
        <f t="array" ref="J4976">IFERROR(INDEX('Retirement Calculator'!J:J,MATCH('Isaac 401k'!N4976,'Retirement Calculator'!A:A,0),0),0)</f>
        <v>0</v>
      </c>
      <c r="K4976" s="444">
        <f t="shared" ca="1" si="196"/>
        <v>-1118002342500.6931</v>
      </c>
      <c r="L4976" s="444">
        <f t="shared" ca="1" si="197"/>
        <v>-269438564542667.06</v>
      </c>
      <c r="M4976" s="460">
        <f t="shared" si="199"/>
        <v>0.05</v>
      </c>
      <c r="N4976" s="464">
        <f t="shared" si="200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98"/>
        <v>-269438564542667.06</v>
      </c>
      <c r="J4977" s="444">
        <f t="array" ref="J4977">IFERROR(INDEX('Retirement Calculator'!J:J,MATCH('Isaac 401k'!N4977,'Retirement Calculator'!A:A,0),0),0)</f>
        <v>0</v>
      </c>
      <c r="K4977" s="444">
        <f t="shared" ca="1" si="196"/>
        <v>-1122660685594.446</v>
      </c>
      <c r="L4977" s="444">
        <f t="shared" ca="1" si="197"/>
        <v>-270561225228261.5</v>
      </c>
      <c r="M4977" s="460">
        <f t="shared" si="199"/>
        <v>0.05</v>
      </c>
      <c r="N4977" s="464">
        <f t="shared" si="200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98"/>
        <v>-270561225228261.5</v>
      </c>
      <c r="J4978" s="444">
        <f t="array" ref="J4978">IFERROR(INDEX('Retirement Calculator'!J:J,MATCH('Isaac 401k'!N4978,'Retirement Calculator'!A:A,0),0),0)</f>
        <v>0</v>
      </c>
      <c r="K4978" s="444">
        <f t="shared" ca="1" si="196"/>
        <v>-1127338438451.0896</v>
      </c>
      <c r="L4978" s="444">
        <f t="shared" ca="1" si="197"/>
        <v>-271688563666712.59</v>
      </c>
      <c r="M4978" s="460">
        <f t="shared" si="199"/>
        <v>0.05</v>
      </c>
      <c r="N4978" s="464">
        <f t="shared" si="200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98"/>
        <v>-271688563666712.59</v>
      </c>
      <c r="J4979" s="444">
        <f t="array" ref="J4979">IFERROR(INDEX('Retirement Calculator'!J:J,MATCH('Isaac 401k'!N4979,'Retirement Calculator'!A:A,0),0),0)</f>
        <v>0</v>
      </c>
      <c r="K4979" s="444">
        <f t="shared" ca="1" si="196"/>
        <v>-1132035681944.6357</v>
      </c>
      <c r="L4979" s="444">
        <f t="shared" ca="1" si="197"/>
        <v>-272820599348657.22</v>
      </c>
      <c r="M4979" s="460">
        <f t="shared" si="199"/>
        <v>0.05</v>
      </c>
      <c r="N4979" s="464">
        <f t="shared" si="200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98"/>
        <v>-272820599348657.22</v>
      </c>
      <c r="J4980" s="444">
        <f t="array" ref="J4980">IFERROR(INDEX('Retirement Calculator'!J:J,MATCH('Isaac 401k'!N4980,'Retirement Calculator'!A:A,0),0),0)</f>
        <v>0</v>
      </c>
      <c r="K4980" s="444">
        <f t="shared" ca="1" si="196"/>
        <v>-1136752497286.0715</v>
      </c>
      <c r="L4980" s="444">
        <f t="shared" ca="1" si="197"/>
        <v>-273957351845943.28</v>
      </c>
      <c r="M4980" s="460">
        <f t="shared" si="199"/>
        <v>0.05</v>
      </c>
      <c r="N4980" s="464">
        <f t="shared" si="200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98"/>
        <v>-273957351845943.28</v>
      </c>
      <c r="J4981" s="444">
        <f t="array" ref="J4981">IFERROR(INDEX('Retirement Calculator'!J:J,MATCH('Isaac 401k'!N4981,'Retirement Calculator'!A:A,0),0),0)</f>
        <v>0</v>
      </c>
      <c r="K4981" s="444">
        <f t="shared" ca="1" si="196"/>
        <v>-1141488966024.7637</v>
      </c>
      <c r="L4981" s="444">
        <f t="shared" ca="1" si="197"/>
        <v>-275098840811968.03</v>
      </c>
      <c r="M4981" s="460">
        <f t="shared" si="199"/>
        <v>0.05</v>
      </c>
      <c r="N4981" s="464">
        <f t="shared" si="200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98"/>
        <v>-275098840811968.03</v>
      </c>
      <c r="J4982" s="444">
        <f t="array" ref="J4982">IFERROR(INDEX('Retirement Calculator'!J:J,MATCH('Isaac 401k'!N4982,'Retirement Calculator'!A:A,0),0),0)</f>
        <v>0</v>
      </c>
      <c r="K4982" s="444">
        <f t="shared" ca="1" si="196"/>
        <v>-1146245170049.8667</v>
      </c>
      <c r="L4982" s="444">
        <f t="shared" ca="1" si="197"/>
        <v>-276245085982017.91</v>
      </c>
      <c r="M4982" s="460">
        <f t="shared" si="199"/>
        <v>0.05</v>
      </c>
      <c r="N4982" s="464">
        <f t="shared" si="200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98"/>
        <v>-276245085982017.91</v>
      </c>
      <c r="J4983" s="444">
        <f t="array" ref="J4983">IFERROR(INDEX('Retirement Calculator'!J:J,MATCH('Isaac 401k'!N4983,'Retirement Calculator'!A:A,0),0),0)</f>
        <v>0</v>
      </c>
      <c r="K4983" s="444">
        <f t="shared" ca="1" si="196"/>
        <v>-1151021191591.7412</v>
      </c>
      <c r="L4983" s="444">
        <f t="shared" ca="1" si="197"/>
        <v>-277396107173609.66</v>
      </c>
      <c r="M4983" s="460">
        <f t="shared" si="199"/>
        <v>0.05</v>
      </c>
      <c r="N4983" s="464">
        <f t="shared" si="200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98"/>
        <v>-277396107173609.66</v>
      </c>
      <c r="J4984" s="444">
        <f t="array" ref="J4984">IFERROR(INDEX('Retirement Calculator'!J:J,MATCH('Isaac 401k'!N4984,'Retirement Calculator'!A:A,0),0),0)</f>
        <v>0</v>
      </c>
      <c r="K4984" s="444">
        <f t="shared" ca="1" si="196"/>
        <v>-1155817113223.3738</v>
      </c>
      <c r="L4984" s="444">
        <f t="shared" ca="1" si="197"/>
        <v>-278551924286833.03</v>
      </c>
      <c r="M4984" s="460">
        <f t="shared" si="199"/>
        <v>0.05</v>
      </c>
      <c r="N4984" s="464">
        <f t="shared" si="200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98"/>
        <v>-278551924286833.03</v>
      </c>
      <c r="J4985" s="444">
        <f t="array" ref="J4985">IFERROR(INDEX('Retirement Calculator'!J:J,MATCH('Isaac 401k'!N4985,'Retirement Calculator'!A:A,0),0),0)</f>
        <v>0</v>
      </c>
      <c r="K4985" s="444">
        <f t="shared" ca="1" si="196"/>
        <v>-1160633017861.8042</v>
      </c>
      <c r="L4985" s="444">
        <f t="shared" ca="1" si="197"/>
        <v>-279712557304694.84</v>
      </c>
      <c r="M4985" s="460">
        <f t="shared" si="199"/>
        <v>0.05</v>
      </c>
      <c r="N4985" s="464">
        <f t="shared" si="200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98"/>
        <v>-279712557304694.84</v>
      </c>
      <c r="J4986" s="444">
        <f t="array" ref="J4986">IFERROR(INDEX('Retirement Calculator'!J:J,MATCH('Isaac 401k'!N4986,'Retirement Calculator'!A:A,0),0),0)</f>
        <v>0</v>
      </c>
      <c r="K4986" s="444">
        <f t="shared" ca="1" si="196"/>
        <v>-1165468988769.5618</v>
      </c>
      <c r="L4986" s="444">
        <f t="shared" ca="1" si="197"/>
        <v>-280878026293464.41</v>
      </c>
      <c r="M4986" s="460">
        <f t="shared" si="199"/>
        <v>0.05</v>
      </c>
      <c r="N4986" s="464">
        <f t="shared" si="200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98"/>
        <v>-280878026293464.41</v>
      </c>
      <c r="J4987" s="444">
        <f t="array" ref="J4987">IFERROR(INDEX('Retirement Calculator'!J:J,MATCH('Isaac 401k'!N4987,'Retirement Calculator'!A:A,0),0),0)</f>
        <v>0</v>
      </c>
      <c r="K4987" s="444">
        <f t="shared" ca="1" si="196"/>
        <v>-1170325109556.1016</v>
      </c>
      <c r="L4987" s="444">
        <f t="shared" ca="1" si="197"/>
        <v>-282048351403020.5</v>
      </c>
      <c r="M4987" s="460">
        <f t="shared" si="199"/>
        <v>0.05</v>
      </c>
      <c r="N4987" s="464">
        <f t="shared" si="200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98"/>
        <v>-282048351403020.5</v>
      </c>
      <c r="J4988" s="444">
        <f t="array" ref="J4988">IFERROR(INDEX('Retirement Calculator'!J:J,MATCH('Isaac 401k'!N4988,'Retirement Calculator'!A:A,0),0),0)</f>
        <v>0</v>
      </c>
      <c r="K4988" s="444">
        <f t="shared" ca="1" si="196"/>
        <v>-1175201464179.252</v>
      </c>
      <c r="L4988" s="444">
        <f t="shared" ca="1" si="197"/>
        <v>-283223552867199.75</v>
      </c>
      <c r="M4988" s="460">
        <f t="shared" si="199"/>
        <v>0.05</v>
      </c>
      <c r="N4988" s="464">
        <f t="shared" si="200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98"/>
        <v>-283223552867199.75</v>
      </c>
      <c r="J4989" s="444">
        <f t="array" ref="J4989">IFERROR(INDEX('Retirement Calculator'!J:J,MATCH('Isaac 401k'!N4989,'Retirement Calculator'!A:A,0),0),0)</f>
        <v>0</v>
      </c>
      <c r="K4989" s="444">
        <f t="shared" ca="1" si="196"/>
        <v>-1180098136946.6655</v>
      </c>
      <c r="L4989" s="444">
        <f t="shared" ca="1" si="197"/>
        <v>-284403651004146.44</v>
      </c>
      <c r="M4989" s="460">
        <f t="shared" si="199"/>
        <v>0.05</v>
      </c>
      <c r="N4989" s="464">
        <f t="shared" si="200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98"/>
        <v>-284403651004146.44</v>
      </c>
      <c r="J4990" s="444">
        <f t="array" ref="J4990">IFERROR(INDEX('Retirement Calculator'!J:J,MATCH('Isaac 401k'!N4990,'Retirement Calculator'!A:A,0),0),0)</f>
        <v>0</v>
      </c>
      <c r="K4990" s="444">
        <f t="shared" ca="1" si="196"/>
        <v>-1185015212517.2769</v>
      </c>
      <c r="L4990" s="444">
        <f t="shared" ca="1" si="197"/>
        <v>-285588666216663.69</v>
      </c>
      <c r="M4990" s="460">
        <f t="shared" si="199"/>
        <v>0.05</v>
      </c>
      <c r="N4990" s="464">
        <f t="shared" si="200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98"/>
        <v>-285588666216663.69</v>
      </c>
      <c r="J4991" s="444">
        <f t="array" ref="J4991">IFERROR(INDEX('Retirement Calculator'!J:J,MATCH('Isaac 401k'!N4991,'Retirement Calculator'!A:A,0),0),0)</f>
        <v>0</v>
      </c>
      <c r="K4991" s="444">
        <f t="shared" ca="1" si="196"/>
        <v>-1189952775902.7654</v>
      </c>
      <c r="L4991" s="444">
        <f t="shared" ca="1" si="197"/>
        <v>-286778618992566.44</v>
      </c>
      <c r="M4991" s="460">
        <f t="shared" si="199"/>
        <v>0.05</v>
      </c>
      <c r="N4991" s="464">
        <f t="shared" si="200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98"/>
        <v>-286778618992566.44</v>
      </c>
      <c r="J4992" s="444">
        <f t="array" ref="J4992">IFERROR(INDEX('Retirement Calculator'!J:J,MATCH('Isaac 401k'!N4992,'Retirement Calculator'!A:A,0),0),0)</f>
        <v>0</v>
      </c>
      <c r="K4992" s="444">
        <f t="shared" ca="1" si="196"/>
        <v>-1194910912469.0269</v>
      </c>
      <c r="L4992" s="444">
        <f t="shared" ca="1" si="197"/>
        <v>-287973529905035.44</v>
      </c>
      <c r="M4992" s="460">
        <f t="shared" si="199"/>
        <v>0.05</v>
      </c>
      <c r="N4992" s="464">
        <f t="shared" si="200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98"/>
        <v>-287973529905035.44</v>
      </c>
      <c r="J4993" s="444">
        <f t="array" ref="J4993">IFERROR(INDEX('Retirement Calculator'!J:J,MATCH('Isaac 401k'!N4993,'Retirement Calculator'!A:A,0),0),0)</f>
        <v>0</v>
      </c>
      <c r="K4993" s="444">
        <f t="shared" ca="1" si="196"/>
        <v>-1199889707937.6477</v>
      </c>
      <c r="L4993" s="444">
        <f t="shared" ca="1" si="197"/>
        <v>-289173419612973.06</v>
      </c>
      <c r="M4993" s="460">
        <f t="shared" si="199"/>
        <v>0.05</v>
      </c>
      <c r="N4993" s="464">
        <f t="shared" si="200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98"/>
        <v>-289173419612973.06</v>
      </c>
      <c r="J4994" s="444">
        <f t="array" ref="J4994">IFERROR(INDEX('Retirement Calculator'!J:J,MATCH('Isaac 401k'!N4994,'Retirement Calculator'!A:A,0),0),0)</f>
        <v>0</v>
      </c>
      <c r="K4994" s="444">
        <f t="shared" ca="1" si="196"/>
        <v>-1204889248387.3877</v>
      </c>
      <c r="L4994" s="444">
        <f t="shared" ca="1" si="197"/>
        <v>-290378308861360.44</v>
      </c>
      <c r="M4994" s="460">
        <f t="shared" si="199"/>
        <v>0.05</v>
      </c>
      <c r="N4994" s="464">
        <f t="shared" si="200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98"/>
        <v>-290378308861360.44</v>
      </c>
      <c r="J4995" s="444">
        <f t="array" ref="J4995">IFERROR(INDEX('Retirement Calculator'!J:J,MATCH('Isaac 401k'!N4995,'Retirement Calculator'!A:A,0),0),0)</f>
        <v>0</v>
      </c>
      <c r="K4995" s="444">
        <f t="shared" ca="1" si="196"/>
        <v>-1209909620255.6685</v>
      </c>
      <c r="L4995" s="444">
        <f t="shared" ca="1" si="197"/>
        <v>-291588218481616.13</v>
      </c>
      <c r="M4995" s="460">
        <f t="shared" si="199"/>
        <v>0.05</v>
      </c>
      <c r="N4995" s="464">
        <f t="shared" si="200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98"/>
        <v>-291588218481616.13</v>
      </c>
      <c r="J4996" s="444">
        <f t="array" ref="J4996">IFERROR(INDEX('Retirement Calculator'!J:J,MATCH('Isaac 401k'!N4996,'Retirement Calculator'!A:A,0),0),0)</f>
        <v>0</v>
      </c>
      <c r="K4996" s="444">
        <f t="shared" ca="1" si="196"/>
        <v>-1214950910340.0671</v>
      </c>
      <c r="L4996" s="444">
        <f t="shared" ca="1" si="197"/>
        <v>-292803169391956.19</v>
      </c>
      <c r="M4996" s="460">
        <f t="shared" si="199"/>
        <v>0.05</v>
      </c>
      <c r="N4996" s="464">
        <f t="shared" si="200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98"/>
        <v>-292803169391956.19</v>
      </c>
      <c r="J4997" s="444">
        <f t="array" ref="J4997">IFERROR(INDEX('Retirement Calculator'!J:J,MATCH('Isaac 401k'!N4997,'Retirement Calculator'!A:A,0),0),0)</f>
        <v>0</v>
      </c>
      <c r="K4997" s="444">
        <f t="shared" ca="1" si="196"/>
        <v>-1220013205799.8174</v>
      </c>
      <c r="L4997" s="444">
        <f t="shared" ca="1" si="197"/>
        <v>-294023182597756</v>
      </c>
      <c r="M4997" s="460">
        <f t="shared" si="199"/>
        <v>0.05</v>
      </c>
      <c r="N4997" s="464">
        <f t="shared" si="200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98"/>
        <v>-294023182597756</v>
      </c>
      <c r="J4998" s="444">
        <f t="array" ref="J4998">IFERROR(INDEX('Retirement Calculator'!J:J,MATCH('Isaac 401k'!N4998,'Retirement Calculator'!A:A,0),0),0)</f>
        <v>0</v>
      </c>
      <c r="K4998" s="444">
        <f t="shared" ca="1" si="196"/>
        <v>-1225096594157.3167</v>
      </c>
      <c r="L4998" s="444">
        <f t="shared" ca="1" si="197"/>
        <v>-295248279191913.31</v>
      </c>
      <c r="M4998" s="460">
        <f t="shared" si="199"/>
        <v>0.05</v>
      </c>
      <c r="N4998" s="464">
        <f t="shared" si="200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98"/>
        <v>-295248279191913.31</v>
      </c>
      <c r="J4999" s="444">
        <f t="array" ref="J4999">IFERROR(INDEX('Retirement Calculator'!J:J,MATCH('Isaac 401k'!N4999,'Retirement Calculator'!A:A,0),0),0)</f>
        <v>0</v>
      </c>
      <c r="K4999" s="444">
        <f t="shared" ca="1" si="196"/>
        <v>-1230201163299.6387</v>
      </c>
      <c r="L4999" s="444">
        <f t="shared" ca="1" si="197"/>
        <v>-296478480355212.94</v>
      </c>
      <c r="M4999" s="460">
        <f t="shared" si="199"/>
        <v>0.05</v>
      </c>
      <c r="N4999" s="464">
        <f t="shared" si="200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98"/>
        <v>-296478480355212.94</v>
      </c>
      <c r="J5000" s="444">
        <f t="array" ref="J5000">IFERROR(INDEX('Retirement Calculator'!J:J,MATCH('Isaac 401k'!N5000,'Retirement Calculator'!A:A,0),0),0)</f>
        <v>0</v>
      </c>
      <c r="K5000" s="444">
        <f t="shared" ca="1" si="196"/>
        <v>-1235327001480.054</v>
      </c>
      <c r="L5000" s="444">
        <f t="shared" ca="1" si="197"/>
        <v>-297713807356693</v>
      </c>
      <c r="M5000" s="460">
        <f t="shared" si="199"/>
        <v>0.05</v>
      </c>
      <c r="N5000" s="464">
        <f t="shared" si="200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98"/>
        <v>-297713807356693</v>
      </c>
      <c r="J5001" s="444">
        <f t="array" ref="J5001">IFERROR(INDEX('Retirement Calculator'!J:J,MATCH('Isaac 401k'!N5001,'Retirement Calculator'!A:A,0),0),0)</f>
        <v>0</v>
      </c>
      <c r="K5001" s="444">
        <f t="shared" ca="1" si="196"/>
        <v>-1240474197319.5542</v>
      </c>
      <c r="L5001" s="444">
        <f t="shared" ca="1" si="197"/>
        <v>-298954281554012.56</v>
      </c>
      <c r="M5001" s="460">
        <f t="shared" si="199"/>
        <v>0.05</v>
      </c>
      <c r="N5001" s="464">
        <f t="shared" si="200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98"/>
        <v>-298954281554012.56</v>
      </c>
      <c r="J5002" s="444">
        <f t="array" ref="J5002">IFERROR(INDEX('Retirement Calculator'!J:J,MATCH('Isaac 401k'!N5002,'Retirement Calculator'!A:A,0),0),0)</f>
        <v>0</v>
      </c>
      <c r="K5002" s="444">
        <f t="shared" ca="1" si="196"/>
        <v>-1245642839808.3857</v>
      </c>
      <c r="L5002" s="444">
        <f t="shared" ca="1" si="197"/>
        <v>-300199924393820.94</v>
      </c>
      <c r="M5002" s="460">
        <f t="shared" si="199"/>
        <v>0.05</v>
      </c>
      <c r="N5002" s="464">
        <f t="shared" si="200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98"/>
        <v>-300199924393820.94</v>
      </c>
      <c r="J5003" s="444">
        <f t="array" ref="J5003">IFERROR(INDEX('Retirement Calculator'!J:J,MATCH('Isaac 401k'!N5003,'Retirement Calculator'!A:A,0),0),0)</f>
        <v>0</v>
      </c>
      <c r="K5003" s="444">
        <f t="shared" ca="1" si="196"/>
        <v>-1250833018307.5872</v>
      </c>
      <c r="L5003" s="444">
        <f t="shared" ca="1" si="197"/>
        <v>-301450757412128.5</v>
      </c>
      <c r="M5003" s="460">
        <f t="shared" si="199"/>
        <v>0.05</v>
      </c>
      <c r="N5003" s="464">
        <f t="shared" si="200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98"/>
        <v>-301450757412128.5</v>
      </c>
      <c r="J5004" s="444">
        <f t="array" ref="J5004">IFERROR(INDEX('Retirement Calculator'!J:J,MATCH('Isaac 401k'!N5004,'Retirement Calculator'!A:A,0),0),0)</f>
        <v>0</v>
      </c>
      <c r="K5004" s="444">
        <f t="shared" ca="1" si="196"/>
        <v>-1256044822550.5354</v>
      </c>
      <c r="L5004" s="444">
        <f t="shared" ca="1" si="197"/>
        <v>-302706802234679.06</v>
      </c>
      <c r="M5004" s="460">
        <f t="shared" si="199"/>
        <v>0.05</v>
      </c>
      <c r="N5004" s="464">
        <f t="shared" si="200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98"/>
        <v>-302706802234679.06</v>
      </c>
      <c r="J5005" s="444">
        <f t="array" ref="J5005">IFERROR(INDEX('Retirement Calculator'!J:J,MATCH('Isaac 401k'!N5005,'Retirement Calculator'!A:A,0),0),0)</f>
        <v>0</v>
      </c>
      <c r="K5005" s="444">
        <f t="shared" ca="1" si="196"/>
        <v>-1261278342644.4961</v>
      </c>
      <c r="L5005" s="444">
        <f t="shared" ca="1" si="197"/>
        <v>-303968080577323.56</v>
      </c>
      <c r="M5005" s="460">
        <f t="shared" si="199"/>
        <v>0.05</v>
      </c>
      <c r="N5005" s="464">
        <f t="shared" si="200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98"/>
        <v>-303968080577323.56</v>
      </c>
      <c r="J5006" s="444">
        <f t="array" ref="J5006">IFERROR(INDEX('Retirement Calculator'!J:J,MATCH('Isaac 401k'!N5006,'Retirement Calculator'!A:A,0),0),0)</f>
        <v>0</v>
      </c>
      <c r="K5006" s="444">
        <f t="shared" ca="1" si="196"/>
        <v>-1266533669072.1814</v>
      </c>
      <c r="L5006" s="444">
        <f t="shared" ca="1" si="197"/>
        <v>-305234614246395.75</v>
      </c>
      <c r="M5006" s="460">
        <f t="shared" si="199"/>
        <v>0.05</v>
      </c>
      <c r="N5006" s="464">
        <f t="shared" si="200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98"/>
        <v>-305234614246395.75</v>
      </c>
      <c r="J5007" s="444">
        <f t="array" ref="J5007">IFERROR(INDEX('Retirement Calculator'!J:J,MATCH('Isaac 401k'!N5007,'Retirement Calculator'!A:A,0),0),0)</f>
        <v>0</v>
      </c>
      <c r="K5007" s="444">
        <f t="shared" ca="1" si="196"/>
        <v>-1271810892693.3157</v>
      </c>
      <c r="L5007" s="444">
        <f t="shared" ca="1" si="197"/>
        <v>-306506425139089.06</v>
      </c>
      <c r="M5007" s="460">
        <f t="shared" si="199"/>
        <v>0.05</v>
      </c>
      <c r="N5007" s="464">
        <f t="shared" si="200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98"/>
        <v>-306506425139089.06</v>
      </c>
      <c r="J5008" s="444">
        <f t="array" ref="J5008">IFERROR(INDEX('Retirement Calculator'!J:J,MATCH('Isaac 401k'!N5008,'Retirement Calculator'!A:A,0),0),0)</f>
        <v>0</v>
      </c>
      <c r="K5008" s="444">
        <f t="shared" ca="1" si="196"/>
        <v>-1277110104746.2043</v>
      </c>
      <c r="L5008" s="444">
        <f t="shared" ca="1" si="197"/>
        <v>-307783535243835.25</v>
      </c>
      <c r="M5008" s="460">
        <f t="shared" si="199"/>
        <v>0.05</v>
      </c>
      <c r="N5008" s="464">
        <f t="shared" si="200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98"/>
        <v>-307783535243835.25</v>
      </c>
      <c r="J5009" s="444">
        <f t="array" ref="J5009">IFERROR(INDEX('Retirement Calculator'!J:J,MATCH('Isaac 401k'!N5009,'Retirement Calculator'!A:A,0),0),0)</f>
        <v>0</v>
      </c>
      <c r="K5009" s="444">
        <f t="shared" ca="1" si="196"/>
        <v>-1282431396849.3135</v>
      </c>
      <c r="L5009" s="444">
        <f t="shared" ca="1" si="197"/>
        <v>-309065966640684.56</v>
      </c>
      <c r="M5009" s="460">
        <f t="shared" si="199"/>
        <v>0.05</v>
      </c>
      <c r="N5009" s="464">
        <f t="shared" si="200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98"/>
        <v>-309065966640684.56</v>
      </c>
      <c r="J5010" s="444">
        <f t="array" ref="J5010">IFERROR(INDEX('Retirement Calculator'!J:J,MATCH('Isaac 401k'!N5010,'Retirement Calculator'!A:A,0),0),0)</f>
        <v>0</v>
      </c>
      <c r="K5010" s="444">
        <f t="shared" ca="1" si="196"/>
        <v>-1287774861002.8523</v>
      </c>
      <c r="L5010" s="444">
        <f t="shared" ca="1" si="197"/>
        <v>-310353741501687.44</v>
      </c>
      <c r="M5010" s="460">
        <f t="shared" si="199"/>
        <v>0.05</v>
      </c>
      <c r="N5010" s="464">
        <f t="shared" si="200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98"/>
        <v>-310353741501687.44</v>
      </c>
      <c r="J5011" s="444">
        <f t="array" ref="J5011">IFERROR(INDEX('Retirement Calculator'!J:J,MATCH('Isaac 401k'!N5011,'Retirement Calculator'!A:A,0),0),0)</f>
        <v>0</v>
      </c>
      <c r="K5011" s="444">
        <f t="shared" ca="1" si="196"/>
        <v>-1293140589590.3643</v>
      </c>
      <c r="L5011" s="444">
        <f t="shared" ca="1" si="197"/>
        <v>-311646882091277.81</v>
      </c>
      <c r="M5011" s="460">
        <f t="shared" si="199"/>
        <v>0.05</v>
      </c>
      <c r="N5011" s="464">
        <f t="shared" si="200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98"/>
        <v>-311646882091277.81</v>
      </c>
      <c r="J5012" s="444">
        <f t="array" ref="J5012">IFERROR(INDEX('Retirement Calculator'!J:J,MATCH('Isaac 401k'!N5012,'Retirement Calculator'!A:A,0),0),0)</f>
        <v>0</v>
      </c>
      <c r="K5012" s="444">
        <f t="shared" ca="1" si="196"/>
        <v>-1298528675380.3242</v>
      </c>
      <c r="L5012" s="444">
        <f t="shared" ca="1" si="197"/>
        <v>-312945410766658.13</v>
      </c>
      <c r="M5012" s="460">
        <f t="shared" si="199"/>
        <v>0.05</v>
      </c>
      <c r="N5012" s="464">
        <f t="shared" si="200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98"/>
        <v>-312945410766658.13</v>
      </c>
      <c r="J5013" s="444">
        <f t="array" ref="J5013">IFERROR(INDEX('Retirement Calculator'!J:J,MATCH('Isaac 401k'!N5013,'Retirement Calculator'!A:A,0),0),0)</f>
        <v>0</v>
      </c>
      <c r="K5013" s="444">
        <f t="shared" ca="1" si="196"/>
        <v>-1303939211527.7422</v>
      </c>
      <c r="L5013" s="444">
        <f t="shared" ca="1" si="197"/>
        <v>-314249349978185.88</v>
      </c>
      <c r="M5013" s="460">
        <f t="shared" si="199"/>
        <v>0.05</v>
      </c>
      <c r="N5013" s="464">
        <f t="shared" si="200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98"/>
        <v>-314249349978185.88</v>
      </c>
      <c r="J5014" s="444">
        <f t="array" ref="J5014">IFERROR(INDEX('Retirement Calculator'!J:J,MATCH('Isaac 401k'!N5014,'Retirement Calculator'!A:A,0),0),0)</f>
        <v>0</v>
      </c>
      <c r="K5014" s="444">
        <f t="shared" ca="1" si="196"/>
        <v>-1309372291575.7744</v>
      </c>
      <c r="L5014" s="444">
        <f t="shared" ca="1" si="197"/>
        <v>-315558722269761.63</v>
      </c>
      <c r="M5014" s="460">
        <f t="shared" si="199"/>
        <v>0.05</v>
      </c>
      <c r="N5014" s="464">
        <f t="shared" si="200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98"/>
        <v>-315558722269761.63</v>
      </c>
      <c r="J5015" s="444">
        <f t="array" ref="J5015">IFERROR(INDEX('Retirement Calculator'!J:J,MATCH('Isaac 401k'!N5015,'Retirement Calculator'!A:A,0),0),0)</f>
        <v>0</v>
      </c>
      <c r="K5015" s="444">
        <f t="shared" ca="1" si="196"/>
        <v>-1314828009457.3401</v>
      </c>
      <c r="L5015" s="444">
        <f t="shared" ca="1" si="197"/>
        <v>-316873550279218.94</v>
      </c>
      <c r="M5015" s="460">
        <f t="shared" si="199"/>
        <v>0.05</v>
      </c>
      <c r="N5015" s="464">
        <f t="shared" si="200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98"/>
        <v>-316873550279218.94</v>
      </c>
      <c r="J5016" s="444">
        <f t="array" ref="J5016">IFERROR(INDEX('Retirement Calculator'!J:J,MATCH('Isaac 401k'!N5016,'Retirement Calculator'!A:A,0),0),0)</f>
        <v>0</v>
      </c>
      <c r="K5016" s="444">
        <f t="shared" ca="1" si="196"/>
        <v>-1320306459496.7456</v>
      </c>
      <c r="L5016" s="444">
        <f t="shared" ca="1" si="197"/>
        <v>-318193856738715.69</v>
      </c>
      <c r="M5016" s="460">
        <f t="shared" si="199"/>
        <v>0.05</v>
      </c>
      <c r="N5016" s="464">
        <f t="shared" si="200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98"/>
        <v>-318193856738715.69</v>
      </c>
      <c r="J5017" s="444">
        <f t="array" ref="J5017">IFERROR(INDEX('Retirement Calculator'!J:J,MATCH('Isaac 401k'!N5017,'Retirement Calculator'!A:A,0),0),0)</f>
        <v>0</v>
      </c>
      <c r="K5017" s="444">
        <f t="shared" ca="1" si="196"/>
        <v>-1325807736411.3154</v>
      </c>
      <c r="L5017" s="444">
        <f t="shared" ca="1" si="197"/>
        <v>-319519664475127</v>
      </c>
      <c r="M5017" s="460">
        <f t="shared" si="199"/>
        <v>0.05</v>
      </c>
      <c r="N5017" s="464">
        <f t="shared" si="200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98"/>
        <v>-319519664475127</v>
      </c>
      <c r="J5018" s="444">
        <f t="array" ref="J5018">IFERROR(INDEX('Retirement Calculator'!J:J,MATCH('Isaac 401k'!N5018,'Retirement Calculator'!A:A,0),0),0)</f>
        <v>0</v>
      </c>
      <c r="K5018" s="444">
        <f t="shared" ca="1" si="196"/>
        <v>-1331331935313.0291</v>
      </c>
      <c r="L5018" s="444">
        <f t="shared" ca="1" si="197"/>
        <v>-320850996410440</v>
      </c>
      <c r="M5018" s="460">
        <f t="shared" si="199"/>
        <v>0.05</v>
      </c>
      <c r="N5018" s="464">
        <f t="shared" si="200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98"/>
        <v>-320850996410440</v>
      </c>
      <c r="J5019" s="444">
        <f t="array" ref="J5019">IFERROR(INDEX('Retirement Calculator'!J:J,MATCH('Isaac 401k'!N5019,'Retirement Calculator'!A:A,0),0),0)</f>
        <v>0</v>
      </c>
      <c r="K5019" s="444">
        <f t="shared" ca="1" si="196"/>
        <v>-1336879151710.1667</v>
      </c>
      <c r="L5019" s="444">
        <f t="shared" ca="1" si="197"/>
        <v>-322187875562150.19</v>
      </c>
      <c r="M5019" s="460">
        <f t="shared" si="199"/>
        <v>0.05</v>
      </c>
      <c r="N5019" s="464">
        <f t="shared" si="200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98"/>
        <v>-322187875562150.19</v>
      </c>
      <c r="J5020" s="444">
        <f t="array" ref="J5020">IFERROR(INDEX('Retirement Calculator'!J:J,MATCH('Isaac 401k'!N5020,'Retirement Calculator'!A:A,0),0),0)</f>
        <v>0</v>
      </c>
      <c r="K5020" s="444">
        <f t="shared" ca="1" si="196"/>
        <v>-1342449481508.959</v>
      </c>
      <c r="L5020" s="444">
        <f t="shared" ca="1" si="197"/>
        <v>-323530325043659.13</v>
      </c>
      <c r="M5020" s="460">
        <f t="shared" si="199"/>
        <v>0.05</v>
      </c>
      <c r="N5020" s="464">
        <f t="shared" si="200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98"/>
        <v>-323530325043659.13</v>
      </c>
      <c r="J5021" s="444">
        <f t="array" ref="J5021">IFERROR(INDEX('Retirement Calculator'!J:J,MATCH('Isaac 401k'!N5021,'Retirement Calculator'!A:A,0),0),0)</f>
        <v>0</v>
      </c>
      <c r="K5021" s="444">
        <f t="shared" ca="1" si="196"/>
        <v>-1348043021015.2463</v>
      </c>
      <c r="L5021" s="444">
        <f t="shared" ca="1" si="197"/>
        <v>-324878368064674.38</v>
      </c>
      <c r="M5021" s="460">
        <f t="shared" si="199"/>
        <v>0.05</v>
      </c>
      <c r="N5021" s="464">
        <f t="shared" si="200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98"/>
        <v>-324878368064674.38</v>
      </c>
      <c r="J5022" s="444">
        <f t="array" ref="J5022">IFERROR(INDEX('Retirement Calculator'!J:J,MATCH('Isaac 401k'!N5022,'Retirement Calculator'!A:A,0),0),0)</f>
        <v>0</v>
      </c>
      <c r="K5022" s="444">
        <f t="shared" ca="1" si="196"/>
        <v>-1353659866936.1433</v>
      </c>
      <c r="L5022" s="444">
        <f t="shared" ca="1" si="197"/>
        <v>-326232027931610.5</v>
      </c>
      <c r="M5022" s="460">
        <f t="shared" si="199"/>
        <v>0.05</v>
      </c>
      <c r="N5022" s="464">
        <f t="shared" si="200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98"/>
        <v>-326232027931610.5</v>
      </c>
      <c r="J5023" s="444">
        <f t="array" ref="J5023">IFERROR(INDEX('Retirement Calculator'!J:J,MATCH('Isaac 401k'!N5023,'Retirement Calculator'!A:A,0),0),0)</f>
        <v>0</v>
      </c>
      <c r="K5023" s="444">
        <f t="shared" ca="1" si="196"/>
        <v>-1359300116381.7104</v>
      </c>
      <c r="L5023" s="444">
        <f t="shared" ca="1" si="197"/>
        <v>-327591328047992.19</v>
      </c>
      <c r="M5023" s="460">
        <f t="shared" si="199"/>
        <v>0.05</v>
      </c>
      <c r="N5023" s="464">
        <f t="shared" si="200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98"/>
        <v>-327591328047992.19</v>
      </c>
      <c r="J5024" s="444">
        <f t="array" ref="J5024">IFERROR(INDEX('Retirement Calculator'!J:J,MATCH('Isaac 401k'!N5024,'Retirement Calculator'!A:A,0),0),0)</f>
        <v>0</v>
      </c>
      <c r="K5024" s="444">
        <f t="shared" ca="1" si="196"/>
        <v>-1364963866866.634</v>
      </c>
      <c r="L5024" s="444">
        <f t="shared" ca="1" si="197"/>
        <v>-328956291914858.81</v>
      </c>
      <c r="M5024" s="460">
        <f t="shared" si="199"/>
        <v>0.05</v>
      </c>
      <c r="N5024" s="464">
        <f t="shared" si="200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98"/>
        <v>-328956291914858.81</v>
      </c>
      <c r="J5025" s="444">
        <f t="array" ref="J5025">IFERROR(INDEX('Retirement Calculator'!J:J,MATCH('Isaac 401k'!N5025,'Retirement Calculator'!A:A,0),0),0)</f>
        <v>0</v>
      </c>
      <c r="K5025" s="444">
        <f t="shared" ca="1" si="196"/>
        <v>-1370651216311.9116</v>
      </c>
      <c r="L5025" s="444">
        <f t="shared" ca="1" si="197"/>
        <v>-330326943131170.75</v>
      </c>
      <c r="M5025" s="460">
        <f t="shared" si="199"/>
        <v>0.05</v>
      </c>
      <c r="N5025" s="464">
        <f t="shared" si="200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98"/>
        <v>-330326943131170.75</v>
      </c>
      <c r="J5026" s="444">
        <f t="array" ref="J5026">IFERROR(INDEX('Retirement Calculator'!J:J,MATCH('Isaac 401k'!N5026,'Retirement Calculator'!A:A,0),0),0)</f>
        <v>0</v>
      </c>
      <c r="K5026" s="444">
        <f t="shared" ca="1" si="196"/>
        <v>-1376362263046.5447</v>
      </c>
      <c r="L5026" s="444">
        <f t="shared" ca="1" si="197"/>
        <v>-331703305394217.31</v>
      </c>
      <c r="M5026" s="460">
        <f t="shared" si="199"/>
        <v>0.05</v>
      </c>
      <c r="N5026" s="464">
        <f t="shared" si="200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98"/>
        <v>-331703305394217.31</v>
      </c>
      <c r="J5027" s="444">
        <f t="array" ref="J5027">IFERROR(INDEX('Retirement Calculator'!J:J,MATCH('Isaac 401k'!N5027,'Retirement Calculator'!A:A,0),0),0)</f>
        <v>0</v>
      </c>
      <c r="K5027" s="444">
        <f t="shared" ca="1" si="196"/>
        <v>-1382097105809.2388</v>
      </c>
      <c r="L5027" s="444">
        <f t="shared" ca="1" si="197"/>
        <v>-333085402500026.56</v>
      </c>
      <c r="M5027" s="460">
        <f t="shared" si="199"/>
        <v>0.05</v>
      </c>
      <c r="N5027" s="464">
        <f t="shared" si="200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98"/>
        <v>-333085402500026.56</v>
      </c>
      <c r="J5028" s="444">
        <f t="array" ref="J5028">IFERROR(INDEX('Retirement Calculator'!J:J,MATCH('Isaac 401k'!N5028,'Retirement Calculator'!A:A,0),0),0)</f>
        <v>0</v>
      </c>
      <c r="K5028" s="444">
        <f t="shared" ca="1" si="196"/>
        <v>-1387855843750.1106</v>
      </c>
      <c r="L5028" s="444">
        <f t="shared" ca="1" si="197"/>
        <v>-334473258343776.69</v>
      </c>
      <c r="M5028" s="460">
        <f t="shared" si="199"/>
        <v>0.05</v>
      </c>
      <c r="N5028" s="464">
        <f t="shared" si="200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98"/>
        <v>-334473258343776.69</v>
      </c>
      <c r="J5029" s="444">
        <f t="array" ref="J5029">IFERROR(INDEX('Retirement Calculator'!J:J,MATCH('Isaac 401k'!N5029,'Retirement Calculator'!A:A,0),0),0)</f>
        <v>0</v>
      </c>
      <c r="K5029" s="444">
        <f t="shared" ca="1" si="196"/>
        <v>-1393638576432.4028</v>
      </c>
      <c r="L5029" s="444">
        <f t="shared" ca="1" si="197"/>
        <v>-335866896920209.06</v>
      </c>
      <c r="M5029" s="460">
        <f t="shared" si="199"/>
        <v>0.05</v>
      </c>
      <c r="N5029" s="464">
        <f t="shared" si="200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98"/>
        <v>-335866896920209.06</v>
      </c>
      <c r="J5030" s="444">
        <f t="array" ref="J5030">IFERROR(INDEX('Retirement Calculator'!J:J,MATCH('Isaac 401k'!N5030,'Retirement Calculator'!A:A,0),0),0)</f>
        <v>0</v>
      </c>
      <c r="K5030" s="444">
        <f t="shared" ca="1" si="196"/>
        <v>-1399445403834.2043</v>
      </c>
      <c r="L5030" s="444">
        <f t="shared" ca="1" si="197"/>
        <v>-337266342324043.25</v>
      </c>
      <c r="M5030" s="460">
        <f t="shared" si="199"/>
        <v>0.05</v>
      </c>
      <c r="N5030" s="464">
        <f t="shared" si="200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98"/>
        <v>-337266342324043.25</v>
      </c>
      <c r="J5031" s="444">
        <f t="array" ref="J5031">IFERROR(INDEX('Retirement Calculator'!J:J,MATCH('Isaac 401k'!N5031,'Retirement Calculator'!A:A,0),0),0)</f>
        <v>0</v>
      </c>
      <c r="K5031" s="444">
        <f t="shared" ca="1" si="196"/>
        <v>-1405276426350.1802</v>
      </c>
      <c r="L5031" s="444">
        <f t="shared" ca="1" si="197"/>
        <v>-338671618750393.44</v>
      </c>
      <c r="M5031" s="460">
        <f t="shared" si="199"/>
        <v>0.05</v>
      </c>
      <c r="N5031" s="464">
        <f t="shared" si="200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98"/>
        <v>-338671618750393.44</v>
      </c>
      <c r="J5032" s="444">
        <f t="array" ref="J5032">IFERROR(INDEX('Retirement Calculator'!J:J,MATCH('Isaac 401k'!N5032,'Retirement Calculator'!A:A,0),0),0)</f>
        <v>0</v>
      </c>
      <c r="K5032" s="444">
        <f t="shared" ca="1" si="196"/>
        <v>-1411131744793.3059</v>
      </c>
      <c r="L5032" s="444">
        <f t="shared" ca="1" si="197"/>
        <v>-340082750495186.75</v>
      </c>
      <c r="M5032" s="460">
        <f t="shared" si="199"/>
        <v>0.05</v>
      </c>
      <c r="N5032" s="464">
        <f t="shared" si="200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98"/>
        <v>-340082750495186.75</v>
      </c>
      <c r="J5033" s="444">
        <f t="array" ref="J5033">IFERROR(INDEX('Retirement Calculator'!J:J,MATCH('Isaac 401k'!N5033,'Retirement Calculator'!A:A,0),0),0)</f>
        <v>0</v>
      </c>
      <c r="K5033" s="444">
        <f t="shared" ca="1" si="196"/>
        <v>-1417011460396.6113</v>
      </c>
      <c r="L5033" s="444">
        <f t="shared" ca="1" si="197"/>
        <v>-341499761955583.38</v>
      </c>
      <c r="M5033" s="460">
        <f t="shared" si="199"/>
        <v>0.05</v>
      </c>
      <c r="N5033" s="464">
        <f t="shared" si="200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98"/>
        <v>-341499761955583.38</v>
      </c>
      <c r="J5034" s="444">
        <f t="array" ref="J5034">IFERROR(INDEX('Retirement Calculator'!J:J,MATCH('Isaac 401k'!N5034,'Retirement Calculator'!A:A,0),0),0)</f>
        <v>0</v>
      </c>
      <c r="K5034" s="444">
        <f t="shared" ca="1" si="196"/>
        <v>-1422915674814.9307</v>
      </c>
      <c r="L5034" s="444">
        <f t="shared" ca="1" si="197"/>
        <v>-342922677630398.31</v>
      </c>
      <c r="M5034" s="460">
        <f t="shared" si="199"/>
        <v>0.05</v>
      </c>
      <c r="N5034" s="464">
        <f t="shared" si="200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98"/>
        <v>-342922677630398.31</v>
      </c>
      <c r="J5035" s="444">
        <f t="array" ref="J5035">IFERROR(INDEX('Retirement Calculator'!J:J,MATCH('Isaac 401k'!N5035,'Retirement Calculator'!A:A,0),0),0)</f>
        <v>0</v>
      </c>
      <c r="K5035" s="444">
        <f t="shared" ca="1" si="196"/>
        <v>-1428844490126.6597</v>
      </c>
      <c r="L5035" s="444">
        <f t="shared" ca="1" si="197"/>
        <v>-344351522120525</v>
      </c>
      <c r="M5035" s="460">
        <f t="shared" si="199"/>
        <v>0.05</v>
      </c>
      <c r="N5035" s="464">
        <f t="shared" si="200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98"/>
        <v>-344351522120525</v>
      </c>
      <c r="J5036" s="444">
        <f t="array" ref="J5036">IFERROR(INDEX('Retirement Calculator'!J:J,MATCH('Isaac 401k'!N5036,'Retirement Calculator'!A:A,0),0),0)</f>
        <v>0</v>
      </c>
      <c r="K5036" s="444">
        <f t="shared" ca="1" si="196"/>
        <v>-1434798008835.5208</v>
      </c>
      <c r="L5036" s="444">
        <f t="shared" ca="1" si="197"/>
        <v>-345786320129360.5</v>
      </c>
      <c r="M5036" s="460">
        <f t="shared" si="199"/>
        <v>0.05</v>
      </c>
      <c r="N5036" s="464">
        <f t="shared" si="200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98"/>
        <v>-345786320129360.5</v>
      </c>
      <c r="J5037" s="444">
        <f t="array" ref="J5037">IFERROR(INDEX('Retirement Calculator'!J:J,MATCH('Isaac 401k'!N5037,'Retirement Calculator'!A:A,0),0),0)</f>
        <v>0</v>
      </c>
      <c r="K5037" s="444">
        <f t="shared" ca="1" si="196"/>
        <v>-1440776333872.3354</v>
      </c>
      <c r="L5037" s="444">
        <f t="shared" ca="1" si="197"/>
        <v>-347227096463232.81</v>
      </c>
      <c r="M5037" s="460">
        <f t="shared" si="199"/>
        <v>0.05</v>
      </c>
      <c r="N5037" s="464">
        <f t="shared" si="200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98"/>
        <v>-347227096463232.81</v>
      </c>
      <c r="J5038" s="444">
        <f t="array" ref="J5038">IFERROR(INDEX('Retirement Calculator'!J:J,MATCH('Isaac 401k'!N5038,'Retirement Calculator'!A:A,0),0),0)</f>
        <v>0</v>
      </c>
      <c r="K5038" s="444">
        <f t="shared" ca="1" si="196"/>
        <v>-1446779568596.8035</v>
      </c>
      <c r="L5038" s="444">
        <f t="shared" ca="1" si="197"/>
        <v>-348673876031829.63</v>
      </c>
      <c r="M5038" s="460">
        <f t="shared" si="199"/>
        <v>0.05</v>
      </c>
      <c r="N5038" s="464">
        <f t="shared" si="200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98"/>
        <v>-348673876031829.63</v>
      </c>
      <c r="J5039" s="444">
        <f t="array" ref="J5039">IFERROR(INDEX('Retirement Calculator'!J:J,MATCH('Isaac 401k'!N5039,'Retirement Calculator'!A:A,0),0),0)</f>
        <v>0</v>
      </c>
      <c r="K5039" s="444">
        <f t="shared" ca="1" si="196"/>
        <v>-1452807816799.29</v>
      </c>
      <c r="L5039" s="444">
        <f t="shared" ca="1" si="197"/>
        <v>-350126683848628.94</v>
      </c>
      <c r="M5039" s="460">
        <f t="shared" si="199"/>
        <v>0.05</v>
      </c>
      <c r="N5039" s="464">
        <f t="shared" si="200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98"/>
        <v>-350126683848628.94</v>
      </c>
      <c r="J5040" s="444">
        <f t="array" ref="J5040">IFERROR(INDEX('Retirement Calculator'!J:J,MATCH('Isaac 401k'!N5040,'Retirement Calculator'!A:A,0),0),0)</f>
        <v>0</v>
      </c>
      <c r="K5040" s="444">
        <f t="shared" ca="1" si="196"/>
        <v>-1458861182702.6206</v>
      </c>
      <c r="L5040" s="444">
        <f t="shared" ca="1" si="197"/>
        <v>-351585545031331.56</v>
      </c>
      <c r="M5040" s="460">
        <f t="shared" si="199"/>
        <v>0.05</v>
      </c>
      <c r="N5040" s="464">
        <f t="shared" si="200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98"/>
        <v>-351585545031331.56</v>
      </c>
      <c r="J5041" s="444">
        <f t="array" ref="J5041">IFERROR(INDEX('Retirement Calculator'!J:J,MATCH('Isaac 401k'!N5041,'Retirement Calculator'!A:A,0),0),0)</f>
        <v>0</v>
      </c>
      <c r="K5041" s="444">
        <f t="shared" ca="1" si="196"/>
        <v>-1464939770963.8816</v>
      </c>
      <c r="L5041" s="444">
        <f t="shared" ca="1" si="197"/>
        <v>-353050484802295.44</v>
      </c>
      <c r="M5041" s="460">
        <f t="shared" si="199"/>
        <v>0.05</v>
      </c>
      <c r="N5041" s="464">
        <f t="shared" si="200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98"/>
        <v>-353050484802295.44</v>
      </c>
      <c r="J5042" s="444">
        <f t="array" ref="J5042">IFERROR(INDEX('Retirement Calculator'!J:J,MATCH('Isaac 401k'!N5042,'Retirement Calculator'!A:A,0),0),0)</f>
        <v>0</v>
      </c>
      <c r="K5042" s="444">
        <f t="shared" ca="1" si="196"/>
        <v>-1471043686676.231</v>
      </c>
      <c r="L5042" s="444">
        <f t="shared" ca="1" si="197"/>
        <v>-354521528488971.69</v>
      </c>
      <c r="M5042" s="460">
        <f t="shared" si="199"/>
        <v>0.05</v>
      </c>
      <c r="N5042" s="464">
        <f t="shared" si="200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98"/>
        <v>-354521528488971.69</v>
      </c>
      <c r="J5043" s="444">
        <f t="array" ref="J5043">IFERROR(INDEX('Retirement Calculator'!J:J,MATCH('Isaac 401k'!N5043,'Retirement Calculator'!A:A,0),0),0)</f>
        <v>0</v>
      </c>
      <c r="K5043" s="444">
        <f t="shared" ca="1" si="196"/>
        <v>-1477173035370.7153</v>
      </c>
      <c r="L5043" s="444">
        <f t="shared" ca="1" si="197"/>
        <v>-355998701524342.38</v>
      </c>
      <c r="M5043" s="460">
        <f t="shared" si="199"/>
        <v>0.05</v>
      </c>
      <c r="N5043" s="464">
        <f t="shared" si="200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98"/>
        <v>-355998701524342.38</v>
      </c>
      <c r="J5044" s="444">
        <f t="array" ref="J5044">IFERROR(INDEX('Retirement Calculator'!J:J,MATCH('Isaac 401k'!N5044,'Retirement Calculator'!A:A,0),0),0)</f>
        <v>0</v>
      </c>
      <c r="K5044" s="444">
        <f t="shared" ca="1" si="196"/>
        <v>-1483327923018.0933</v>
      </c>
      <c r="L5044" s="444">
        <f t="shared" ca="1" si="197"/>
        <v>-357482029447360.44</v>
      </c>
      <c r="M5044" s="460">
        <f t="shared" si="199"/>
        <v>0.05</v>
      </c>
      <c r="N5044" s="464">
        <f t="shared" si="200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98"/>
        <v>-357482029447360.44</v>
      </c>
      <c r="J5045" s="444">
        <f t="array" ref="J5045">IFERROR(INDEX('Retirement Calculator'!J:J,MATCH('Isaac 401k'!N5045,'Retirement Calculator'!A:A,0),0),0)</f>
        <v>0</v>
      </c>
      <c r="K5045" s="444">
        <f t="shared" ca="1" si="196"/>
        <v>-1489508456030.6685</v>
      </c>
      <c r="L5045" s="444">
        <f t="shared" ca="1" si="197"/>
        <v>-358971537903391.13</v>
      </c>
      <c r="M5045" s="460">
        <f t="shared" si="199"/>
        <v>0.05</v>
      </c>
      <c r="N5045" s="464">
        <f t="shared" si="200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98"/>
        <v>-358971537903391.13</v>
      </c>
      <c r="J5046" s="444">
        <f t="array" ref="J5046">IFERROR(INDEX('Retirement Calculator'!J:J,MATCH('Isaac 401k'!N5046,'Retirement Calculator'!A:A,0),0),0)</f>
        <v>0</v>
      </c>
      <c r="K5046" s="444">
        <f t="shared" ca="1" si="196"/>
        <v>-1495714741264.1296</v>
      </c>
      <c r="L5046" s="444">
        <f t="shared" ca="1" si="197"/>
        <v>-360467252644655.25</v>
      </c>
      <c r="M5046" s="460">
        <f t="shared" si="199"/>
        <v>0.05</v>
      </c>
      <c r="N5046" s="464">
        <f t="shared" si="200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98"/>
        <v>-360467252644655.25</v>
      </c>
      <c r="J5047" s="444">
        <f t="array" ref="J5047">IFERROR(INDEX('Retirement Calculator'!J:J,MATCH('Isaac 401k'!N5047,'Retirement Calculator'!A:A,0),0),0)</f>
        <v>0</v>
      </c>
      <c r="K5047" s="444">
        <f t="shared" ca="1" si="196"/>
        <v>-1501946886019.397</v>
      </c>
      <c r="L5047" s="444">
        <f t="shared" ca="1" si="197"/>
        <v>-361969199530674.63</v>
      </c>
      <c r="M5047" s="460">
        <f t="shared" si="199"/>
        <v>0.05</v>
      </c>
      <c r="N5047" s="464">
        <f t="shared" si="200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98"/>
        <v>-361969199530674.63</v>
      </c>
      <c r="J5048" s="444">
        <f t="array" ref="J5048">IFERROR(INDEX('Retirement Calculator'!J:J,MATCH('Isaac 401k'!N5048,'Retirement Calculator'!A:A,0),0),0)</f>
        <v>0</v>
      </c>
      <c r="K5048" s="444">
        <f t="shared" ca="1" si="196"/>
        <v>-1508204998044.4775</v>
      </c>
      <c r="L5048" s="444">
        <f t="shared" ca="1" si="197"/>
        <v>-363477404528719.13</v>
      </c>
      <c r="M5048" s="460">
        <f t="shared" si="199"/>
        <v>0.05</v>
      </c>
      <c r="N5048" s="464">
        <f t="shared" si="200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98"/>
        <v>-363477404528719.13</v>
      </c>
      <c r="J5049" s="444">
        <f t="array" ref="J5049">IFERROR(INDEX('Retirement Calculator'!J:J,MATCH('Isaac 401k'!N5049,'Retirement Calculator'!A:A,0),0),0)</f>
        <v>0</v>
      </c>
      <c r="K5049" s="444">
        <f t="shared" ca="1" si="196"/>
        <v>-1514489185536.3296</v>
      </c>
      <c r="L5049" s="444">
        <f t="shared" ca="1" si="197"/>
        <v>-364991893714255.44</v>
      </c>
      <c r="M5049" s="460">
        <f t="shared" si="199"/>
        <v>0.05</v>
      </c>
      <c r="N5049" s="464">
        <f t="shared" si="200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98"/>
        <v>-364991893714255.44</v>
      </c>
      <c r="J5050" s="444">
        <f t="array" ref="J5050">IFERROR(INDEX('Retirement Calculator'!J:J,MATCH('Isaac 401k'!N5050,'Retirement Calculator'!A:A,0),0),0)</f>
        <v>0</v>
      </c>
      <c r="K5050" s="444">
        <f t="shared" ca="1" si="196"/>
        <v>-1520799557142.731</v>
      </c>
      <c r="L5050" s="444">
        <f t="shared" ca="1" si="197"/>
        <v>-366512693271398.19</v>
      </c>
      <c r="M5050" s="460">
        <f t="shared" si="199"/>
        <v>0.05</v>
      </c>
      <c r="N5050" s="464">
        <f t="shared" si="200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98"/>
        <v>-366512693271398.19</v>
      </c>
      <c r="J5051" s="444">
        <f t="array" ref="J5051">IFERROR(INDEX('Retirement Calculator'!J:J,MATCH('Isaac 401k'!N5051,'Retirement Calculator'!A:A,0),0),0)</f>
        <v>0</v>
      </c>
      <c r="K5051" s="444">
        <f t="shared" ca="1" si="196"/>
        <v>-1527136221964.1592</v>
      </c>
      <c r="L5051" s="444">
        <f t="shared" ca="1" si="197"/>
        <v>-368039829493362.38</v>
      </c>
      <c r="M5051" s="460">
        <f t="shared" si="199"/>
        <v>0.05</v>
      </c>
      <c r="N5051" s="464">
        <f t="shared" si="200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98"/>
        <v>-368039829493362.38</v>
      </c>
      <c r="J5052" s="444">
        <f t="array" ref="J5052">IFERROR(INDEX('Retirement Calculator'!J:J,MATCH('Isaac 401k'!N5052,'Retirement Calculator'!A:A,0),0),0)</f>
        <v>0</v>
      </c>
      <c r="K5052" s="444">
        <f t="shared" ca="1" si="196"/>
        <v>-1533499289555.6765</v>
      </c>
      <c r="L5052" s="444">
        <f t="shared" ca="1" si="197"/>
        <v>-369573328782918.06</v>
      </c>
      <c r="M5052" s="460">
        <f t="shared" si="199"/>
        <v>0.05</v>
      </c>
      <c r="N5052" s="464">
        <f t="shared" si="200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98"/>
        <v>-369573328782918.06</v>
      </c>
      <c r="J5053" s="444">
        <f t="array" ref="J5053">IFERROR(INDEX('Retirement Calculator'!J:J,MATCH('Isaac 401k'!N5053,'Retirement Calculator'!A:A,0),0),0)</f>
        <v>0</v>
      </c>
      <c r="K5053" s="444">
        <f t="shared" ca="1" si="196"/>
        <v>-1539888869928.8252</v>
      </c>
      <c r="L5053" s="444">
        <f t="shared" ca="1" si="197"/>
        <v>-371113217652846.88</v>
      </c>
      <c r="M5053" s="460">
        <f t="shared" si="199"/>
        <v>0.05</v>
      </c>
      <c r="N5053" s="464">
        <f t="shared" si="200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98"/>
        <v>-371113217652846.88</v>
      </c>
      <c r="J5054" s="444">
        <f t="array" ref="J5054">IFERROR(INDEX('Retirement Calculator'!J:J,MATCH('Isaac 401k'!N5054,'Retirement Calculator'!A:A,0),0),0)</f>
        <v>0</v>
      </c>
      <c r="K5054" s="444">
        <f t="shared" ca="1" si="196"/>
        <v>-1546305073553.5286</v>
      </c>
      <c r="L5054" s="444">
        <f t="shared" ca="1" si="197"/>
        <v>-372659522726400.38</v>
      </c>
      <c r="M5054" s="460">
        <f t="shared" si="199"/>
        <v>0.05</v>
      </c>
      <c r="N5054" s="464">
        <f t="shared" si="200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98"/>
        <v>-372659522726400.38</v>
      </c>
      <c r="J5055" s="444">
        <f t="array" ref="J5055">IFERROR(INDEX('Retirement Calculator'!J:J,MATCH('Isaac 401k'!N5055,'Retirement Calculator'!A:A,0),0),0)</f>
        <v>0</v>
      </c>
      <c r="K5055" s="444">
        <f t="shared" ca="1" si="196"/>
        <v>-1552748011360.0015</v>
      </c>
      <c r="L5055" s="444">
        <f t="shared" ca="1" si="197"/>
        <v>-374212270737760.38</v>
      </c>
      <c r="M5055" s="460">
        <f t="shared" si="199"/>
        <v>0.05</v>
      </c>
      <c r="N5055" s="464">
        <f t="shared" si="200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98"/>
        <v>-374212270737760.38</v>
      </c>
      <c r="J5056" s="444">
        <f t="array" ref="J5056">IFERROR(INDEX('Retirement Calculator'!J:J,MATCH('Isaac 401k'!N5056,'Retirement Calculator'!A:A,0),0),0)</f>
        <v>0</v>
      </c>
      <c r="K5056" s="444">
        <f t="shared" ca="1" si="196"/>
        <v>-1559217794740.6682</v>
      </c>
      <c r="L5056" s="444">
        <f t="shared" ca="1" si="197"/>
        <v>-375771488532501.06</v>
      </c>
      <c r="M5056" s="460">
        <f t="shared" si="199"/>
        <v>0.05</v>
      </c>
      <c r="N5056" s="464">
        <f t="shared" si="200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98"/>
        <v>-375771488532501.06</v>
      </c>
      <c r="J5057" s="444">
        <f t="array" ref="J5057">IFERROR(INDEX('Retirement Calculator'!J:J,MATCH('Isaac 401k'!N5057,'Retirement Calculator'!A:A,0),0),0)</f>
        <v>0</v>
      </c>
      <c r="K5057" s="444">
        <f t="shared" ca="1" si="196"/>
        <v>-1565714535552.0876</v>
      </c>
      <c r="L5057" s="444">
        <f t="shared" ca="1" si="197"/>
        <v>-377337203068053.13</v>
      </c>
      <c r="M5057" s="460">
        <f t="shared" si="199"/>
        <v>0.05</v>
      </c>
      <c r="N5057" s="464">
        <f t="shared" si="200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98"/>
        <v>-377337203068053.13</v>
      </c>
      <c r="J5058" s="444">
        <f t="array" ref="J5058">IFERROR(INDEX('Retirement Calculator'!J:J,MATCH('Isaac 401k'!N5058,'Retirement Calculator'!A:A,0),0),0)</f>
        <v>0</v>
      </c>
      <c r="K5058" s="444">
        <f t="shared" ca="1" si="196"/>
        <v>-1572238346116.8879</v>
      </c>
      <c r="L5058" s="444">
        <f t="shared" ca="1" si="197"/>
        <v>-378909441414170</v>
      </c>
      <c r="M5058" s="460">
        <f t="shared" si="199"/>
        <v>0.05</v>
      </c>
      <c r="N5058" s="464">
        <f t="shared" si="200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98"/>
        <v>-378909441414170</v>
      </c>
      <c r="J5059" s="444">
        <f t="array" ref="J5059">IFERROR(INDEX('Retirement Calculator'!J:J,MATCH('Isaac 401k'!N5059,'Retirement Calculator'!A:A,0),0),0)</f>
        <v>0</v>
      </c>
      <c r="K5059" s="444">
        <f t="shared" ca="1" si="196"/>
        <v>-1578789339225.7083</v>
      </c>
      <c r="L5059" s="444">
        <f t="shared" ca="1" si="197"/>
        <v>-380488230753395.69</v>
      </c>
      <c r="M5059" s="460">
        <f t="shared" si="199"/>
        <v>0.05</v>
      </c>
      <c r="N5059" s="464">
        <f t="shared" si="200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98"/>
        <v>-380488230753395.69</v>
      </c>
      <c r="J5060" s="444">
        <f t="array" ref="J5060">IFERROR(INDEX('Retirement Calculator'!J:J,MATCH('Isaac 401k'!N5060,'Retirement Calculator'!A:A,0),0),0)</f>
        <v>0</v>
      </c>
      <c r="K5060" s="444">
        <f t="shared" ca="1" si="196"/>
        <v>-1585367628139.1487</v>
      </c>
      <c r="L5060" s="444">
        <f t="shared" ca="1" si="197"/>
        <v>-382073598381534.81</v>
      </c>
      <c r="M5060" s="460">
        <f t="shared" si="199"/>
        <v>0.05</v>
      </c>
      <c r="N5060" s="464">
        <f t="shared" si="200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98"/>
        <v>-382073598381534.81</v>
      </c>
      <c r="J5061" s="444">
        <f t="array" ref="J5061">IFERROR(INDEX('Retirement Calculator'!J:J,MATCH('Isaac 401k'!N5061,'Retirement Calculator'!A:A,0),0),0)</f>
        <v>0</v>
      </c>
      <c r="K5061" s="444">
        <f t="shared" ca="1" si="196"/>
        <v>-1591973326589.7283</v>
      </c>
      <c r="L5061" s="444">
        <f t="shared" ca="1" si="197"/>
        <v>-383665571708124.56</v>
      </c>
      <c r="M5061" s="460">
        <f t="shared" si="199"/>
        <v>0.05</v>
      </c>
      <c r="N5061" s="464">
        <f t="shared" si="200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98"/>
        <v>-383665571708124.56</v>
      </c>
      <c r="J5062" s="444">
        <f t="array" ref="J5062">IFERROR(INDEX('Retirement Calculator'!J:J,MATCH('Isaac 401k'!N5062,'Retirement Calculator'!A:A,0),0),0)</f>
        <v>0</v>
      </c>
      <c r="K5062" s="444">
        <f t="shared" ca="1" si="196"/>
        <v>-1598606548783.8523</v>
      </c>
      <c r="L5062" s="444">
        <f t="shared" ca="1" si="197"/>
        <v>-385264178256908.44</v>
      </c>
      <c r="M5062" s="460">
        <f t="shared" si="199"/>
        <v>0.05</v>
      </c>
      <c r="N5062" s="464">
        <f t="shared" si="200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98"/>
        <v>-385264178256908.44</v>
      </c>
      <c r="J5063" s="444">
        <f t="array" ref="J5063">IFERROR(INDEX('Retirement Calculator'!J:J,MATCH('Isaac 401k'!N5063,'Retirement Calculator'!A:A,0),0),0)</f>
        <v>0</v>
      </c>
      <c r="K5063" s="444">
        <f t="shared" ca="1" si="196"/>
        <v>-1605267409403.7852</v>
      </c>
      <c r="L5063" s="444">
        <f t="shared" ca="1" si="197"/>
        <v>-386869445666312.25</v>
      </c>
      <c r="M5063" s="460">
        <f t="shared" si="199"/>
        <v>0.05</v>
      </c>
      <c r="N5063" s="464">
        <f t="shared" si="200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98"/>
        <v>-386869445666312.25</v>
      </c>
      <c r="J5064" s="444">
        <f t="array" ref="J5064">IFERROR(INDEX('Retirement Calculator'!J:J,MATCH('Isaac 401k'!N5064,'Retirement Calculator'!A:A,0),0),0)</f>
        <v>0</v>
      </c>
      <c r="K5064" s="444">
        <f t="shared" ca="1" si="196"/>
        <v>-1611956023609.6343</v>
      </c>
      <c r="L5064" s="444">
        <f t="shared" ca="1" si="197"/>
        <v>-388481401689921.88</v>
      </c>
      <c r="M5064" s="460">
        <f t="shared" si="199"/>
        <v>0.05</v>
      </c>
      <c r="N5064" s="464">
        <f t="shared" si="200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98"/>
        <v>-388481401689921.88</v>
      </c>
      <c r="J5065" s="444">
        <f t="array" ref="J5065">IFERROR(INDEX('Retirement Calculator'!J:J,MATCH('Isaac 401k'!N5065,'Retirement Calculator'!A:A,0),0),0)</f>
        <v>0</v>
      </c>
      <c r="K5065" s="444">
        <f t="shared" ca="1" si="196"/>
        <v>-1618672507041.3411</v>
      </c>
      <c r="L5065" s="444">
        <f t="shared" ca="1" si="197"/>
        <v>-390100074196963.19</v>
      </c>
      <c r="M5065" s="460">
        <f t="shared" si="199"/>
        <v>0.05</v>
      </c>
      <c r="N5065" s="464">
        <f t="shared" si="200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98"/>
        <v>-390100074196963.19</v>
      </c>
      <c r="J5066" s="444">
        <f t="array" ref="J5066">IFERROR(INDEX('Retirement Calculator'!J:J,MATCH('Isaac 401k'!N5066,'Retirement Calculator'!A:A,0),0),0)</f>
        <v>0</v>
      </c>
      <c r="K5066" s="444">
        <f t="shared" ca="1" si="196"/>
        <v>-1625416975820.6799</v>
      </c>
      <c r="L5066" s="444">
        <f t="shared" ca="1" si="197"/>
        <v>-391725491172783.88</v>
      </c>
      <c r="M5066" s="460">
        <f t="shared" si="199"/>
        <v>0.05</v>
      </c>
      <c r="N5066" s="464">
        <f t="shared" si="200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98"/>
        <v>-391725491172783.88</v>
      </c>
      <c r="J5067" s="444">
        <f t="array" ref="J5067">IFERROR(INDEX('Retirement Calculator'!J:J,MATCH('Isaac 401k'!N5067,'Retirement Calculator'!A:A,0),0),0)</f>
        <v>0</v>
      </c>
      <c r="K5067" s="444">
        <f t="shared" ca="1" si="196"/>
        <v>-1632189546553.2661</v>
      </c>
      <c r="L5067" s="444">
        <f t="shared" ca="1" si="197"/>
        <v>-393357680719337.13</v>
      </c>
      <c r="M5067" s="460">
        <f t="shared" si="199"/>
        <v>0.05</v>
      </c>
      <c r="N5067" s="464">
        <f t="shared" si="200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98"/>
        <v>-393357680719337.13</v>
      </c>
      <c r="J5068" s="444">
        <f t="array" ref="J5068">IFERROR(INDEX('Retirement Calculator'!J:J,MATCH('Isaac 401k'!N5068,'Retirement Calculator'!A:A,0),0),0)</f>
        <v>0</v>
      </c>
      <c r="K5068" s="444">
        <f t="shared" ca="1" si="196"/>
        <v>-1638990336330.5713</v>
      </c>
      <c r="L5068" s="444">
        <f t="shared" ca="1" si="197"/>
        <v>-394996671055667.69</v>
      </c>
      <c r="M5068" s="460">
        <f t="shared" si="199"/>
        <v>0.05</v>
      </c>
      <c r="N5068" s="464">
        <f t="shared" si="200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98"/>
        <v>-394996671055667.69</v>
      </c>
      <c r="J5069" s="444">
        <f t="array" ref="J5069">IFERROR(INDEX('Retirement Calculator'!J:J,MATCH('Isaac 401k'!N5069,'Retirement Calculator'!A:A,0),0),0)</f>
        <v>0</v>
      </c>
      <c r="K5069" s="444">
        <f t="shared" ca="1" si="196"/>
        <v>-1645819462731.9487</v>
      </c>
      <c r="L5069" s="444">
        <f t="shared" ca="1" si="197"/>
        <v>-396642490518399.63</v>
      </c>
      <c r="M5069" s="460">
        <f t="shared" si="199"/>
        <v>0.05</v>
      </c>
      <c r="N5069" s="464">
        <f t="shared" si="200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98"/>
        <v>-396642490518399.63</v>
      </c>
      <c r="J5070" s="444">
        <f t="array" ref="J5070">IFERROR(INDEX('Retirement Calculator'!J:J,MATCH('Isaac 401k'!N5070,'Retirement Calculator'!A:A,0),0),0)</f>
        <v>0</v>
      </c>
      <c r="K5070" s="444">
        <f t="shared" ca="1" si="196"/>
        <v>-1652677043826.665</v>
      </c>
      <c r="L5070" s="444">
        <f t="shared" ca="1" si="197"/>
        <v>-398295167562226.31</v>
      </c>
      <c r="M5070" s="460">
        <f t="shared" si="199"/>
        <v>0.05</v>
      </c>
      <c r="N5070" s="464">
        <f t="shared" si="200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98"/>
        <v>-398295167562226.31</v>
      </c>
      <c r="J5071" s="444">
        <f t="array" ref="J5071">IFERROR(INDEX('Retirement Calculator'!J:J,MATCH('Isaac 401k'!N5071,'Retirement Calculator'!A:A,0),0),0)</f>
        <v>0</v>
      </c>
      <c r="K5071" s="444">
        <f t="shared" ca="1" si="196"/>
        <v>-1659563198175.9429</v>
      </c>
      <c r="L5071" s="444">
        <f t="shared" ca="1" si="197"/>
        <v>-399954730760402.25</v>
      </c>
      <c r="M5071" s="460">
        <f t="shared" si="199"/>
        <v>0.05</v>
      </c>
      <c r="N5071" s="464">
        <f t="shared" si="200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98"/>
        <v>-399954730760402.25</v>
      </c>
      <c r="J5072" s="444">
        <f t="array" ref="J5072">IFERROR(INDEX('Retirement Calculator'!J:J,MATCH('Isaac 401k'!N5072,'Retirement Calculator'!A:A,0),0),0)</f>
        <v>0</v>
      </c>
      <c r="K5072" s="444">
        <f t="shared" ca="1" si="196"/>
        <v>-1666478044835.0093</v>
      </c>
      <c r="L5072" s="444">
        <f t="shared" ca="1" si="197"/>
        <v>-401621208805237.25</v>
      </c>
      <c r="M5072" s="460">
        <f t="shared" si="199"/>
        <v>0.05</v>
      </c>
      <c r="N5072" s="464">
        <f t="shared" si="200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98"/>
        <v>-401621208805237.25</v>
      </c>
      <c r="J5073" s="444">
        <f t="array" ref="J5073">IFERROR(INDEX('Retirement Calculator'!J:J,MATCH('Isaac 401k'!N5073,'Retirement Calculator'!A:A,0),0),0)</f>
        <v>0</v>
      </c>
      <c r="K5073" s="444">
        <f t="shared" ca="1" si="196"/>
        <v>-1673421703355.1553</v>
      </c>
      <c r="L5073" s="444">
        <f t="shared" ca="1" si="197"/>
        <v>-403294630508592.38</v>
      </c>
      <c r="M5073" s="460">
        <f t="shared" si="199"/>
        <v>0.05</v>
      </c>
      <c r="N5073" s="464">
        <f t="shared" si="200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98"/>
        <v>-403294630508592.38</v>
      </c>
      <c r="J5074" s="444">
        <f t="array" ref="J5074">IFERROR(INDEX('Retirement Calculator'!J:J,MATCH('Isaac 401k'!N5074,'Retirement Calculator'!A:A,0),0),0)</f>
        <v>0</v>
      </c>
      <c r="K5074" s="444">
        <f t="shared" ca="1" si="196"/>
        <v>-1680394293785.8015</v>
      </c>
      <c r="L5074" s="444">
        <f t="shared" ca="1" si="197"/>
        <v>-404975024802378.19</v>
      </c>
      <c r="M5074" s="460">
        <f t="shared" si="199"/>
        <v>0.05</v>
      </c>
      <c r="N5074" s="464">
        <f t="shared" si="200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98"/>
        <v>-404975024802378.19</v>
      </c>
      <c r="J5075" s="444">
        <f t="array" ref="J5075">IFERROR(INDEX('Retirement Calculator'!J:J,MATCH('Isaac 401k'!N5075,'Retirement Calculator'!A:A,0),0),0)</f>
        <v>0</v>
      </c>
      <c r="K5075" s="444">
        <f t="shared" ca="1" si="196"/>
        <v>-1687395936676.5757</v>
      </c>
      <c r="L5075" s="444">
        <f t="shared" ca="1" si="197"/>
        <v>-406662420739054.75</v>
      </c>
      <c r="M5075" s="460">
        <f t="shared" si="199"/>
        <v>0.05</v>
      </c>
      <c r="N5075" s="464">
        <f t="shared" si="200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98"/>
        <v>-406662420739054.75</v>
      </c>
      <c r="J5076" s="444">
        <f t="array" ref="J5076">IFERROR(INDEX('Retirement Calculator'!J:J,MATCH('Isaac 401k'!N5076,'Retirement Calculator'!A:A,0),0),0)</f>
        <v>0</v>
      </c>
      <c r="K5076" s="444">
        <f t="shared" ca="1" si="196"/>
        <v>-1694426753079.3948</v>
      </c>
      <c r="L5076" s="444">
        <f t="shared" ca="1" si="197"/>
        <v>-408356847492134.13</v>
      </c>
      <c r="M5076" s="460">
        <f t="shared" si="199"/>
        <v>0.05</v>
      </c>
      <c r="N5076" s="464">
        <f t="shared" si="200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98"/>
        <v>-408356847492134.13</v>
      </c>
      <c r="J5077" s="444">
        <f t="array" ref="J5077">IFERROR(INDEX('Retirement Calculator'!J:J,MATCH('Isaac 401k'!N5077,'Retirement Calculator'!A:A,0),0),0)</f>
        <v>0</v>
      </c>
      <c r="K5077" s="444">
        <f t="shared" ca="1" si="196"/>
        <v>-1701486864550.5588</v>
      </c>
      <c r="L5077" s="444">
        <f t="shared" ca="1" si="197"/>
        <v>-410058334356684.69</v>
      </c>
      <c r="M5077" s="460">
        <f t="shared" si="199"/>
        <v>0.05</v>
      </c>
      <c r="N5077" s="464">
        <f t="shared" si="200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98"/>
        <v>-410058334356684.69</v>
      </c>
      <c r="J5078" s="444">
        <f t="array" ref="J5078">IFERROR(INDEX('Retirement Calculator'!J:J,MATCH('Isaac 401k'!N5078,'Retirement Calculator'!A:A,0),0),0)</f>
        <v>0</v>
      </c>
      <c r="K5078" s="444">
        <f t="shared" ca="1" si="196"/>
        <v>-1708576393152.8528</v>
      </c>
      <c r="L5078" s="444">
        <f t="shared" ca="1" si="197"/>
        <v>-411766910749837.56</v>
      </c>
      <c r="M5078" s="460">
        <f t="shared" si="199"/>
        <v>0.05</v>
      </c>
      <c r="N5078" s="464">
        <f t="shared" si="200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98"/>
        <v>-411766910749837.56</v>
      </c>
      <c r="J5079" s="444">
        <f t="array" ref="J5079">IFERROR(INDEX('Retirement Calculator'!J:J,MATCH('Isaac 401k'!N5079,'Retirement Calculator'!A:A,0),0),0)</f>
        <v>0</v>
      </c>
      <c r="K5079" s="444">
        <f t="shared" ca="1" si="196"/>
        <v>-1715695461457.6565</v>
      </c>
      <c r="L5079" s="444">
        <f t="shared" ca="1" si="197"/>
        <v>-413482606211295.25</v>
      </c>
      <c r="M5079" s="460">
        <f t="shared" si="199"/>
        <v>0.05</v>
      </c>
      <c r="N5079" s="464">
        <f t="shared" si="200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98"/>
        <v>-413482606211295.25</v>
      </c>
      <c r="J5080" s="444">
        <f t="array" ref="J5080">IFERROR(INDEX('Retirement Calculator'!J:J,MATCH('Isaac 401k'!N5080,'Retirement Calculator'!A:A,0),0),0)</f>
        <v>0</v>
      </c>
      <c r="K5080" s="444">
        <f t="shared" ca="1" si="196"/>
        <v>-1722844192547.0635</v>
      </c>
      <c r="L5080" s="444">
        <f t="shared" ca="1" si="197"/>
        <v>-415205450403842.31</v>
      </c>
      <c r="M5080" s="460">
        <f t="shared" si="199"/>
        <v>0.05</v>
      </c>
      <c r="N5080" s="464">
        <f t="shared" si="200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98"/>
        <v>-415205450403842.31</v>
      </c>
      <c r="J5081" s="444">
        <f t="array" ref="J5081">IFERROR(INDEX('Retirement Calculator'!J:J,MATCH('Isaac 401k'!N5081,'Retirement Calculator'!A:A,0),0),0)</f>
        <v>0</v>
      </c>
      <c r="K5081" s="444">
        <f t="shared" ca="1" si="196"/>
        <v>-1730022710016.0095</v>
      </c>
      <c r="L5081" s="444">
        <f t="shared" ca="1" si="197"/>
        <v>-416935473113858.31</v>
      </c>
      <c r="M5081" s="460">
        <f t="shared" si="199"/>
        <v>0.05</v>
      </c>
      <c r="N5081" s="464">
        <f t="shared" si="200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98"/>
        <v>-416935473113858.31</v>
      </c>
      <c r="J5082" s="444">
        <f t="array" ref="J5082">IFERROR(INDEX('Retirement Calculator'!J:J,MATCH('Isaac 401k'!N5082,'Retirement Calculator'!A:A,0),0),0)</f>
        <v>0</v>
      </c>
      <c r="K5082" s="444">
        <f t="shared" ca="1" si="196"/>
        <v>-1737231137974.4097</v>
      </c>
      <c r="L5082" s="444">
        <f t="shared" ca="1" si="197"/>
        <v>-418672704251832.75</v>
      </c>
      <c r="M5082" s="460">
        <f t="shared" si="199"/>
        <v>0.05</v>
      </c>
      <c r="N5082" s="464">
        <f t="shared" si="200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98"/>
        <v>-418672704251832.75</v>
      </c>
      <c r="J5083" s="444">
        <f t="array" ref="J5083">IFERROR(INDEX('Retirement Calculator'!J:J,MATCH('Isaac 401k'!N5083,'Retirement Calculator'!A:A,0),0),0)</f>
        <v>0</v>
      </c>
      <c r="K5083" s="444">
        <f t="shared" ca="1" si="196"/>
        <v>-1744469601049.3032</v>
      </c>
      <c r="L5083" s="444">
        <f t="shared" ca="1" si="197"/>
        <v>-420417173852882.06</v>
      </c>
      <c r="M5083" s="460">
        <f t="shared" si="199"/>
        <v>0.05</v>
      </c>
      <c r="N5083" s="464">
        <f t="shared" si="200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98"/>
        <v>-420417173852882.06</v>
      </c>
      <c r="J5084" s="444">
        <f t="array" ref="J5084">IFERROR(INDEX('Retirement Calculator'!J:J,MATCH('Isaac 401k'!N5084,'Retirement Calculator'!A:A,0),0),0)</f>
        <v>0</v>
      </c>
      <c r="K5084" s="444">
        <f t="shared" ca="1" si="196"/>
        <v>-1751738224387.0085</v>
      </c>
      <c r="L5084" s="444">
        <f t="shared" ca="1" si="197"/>
        <v>-422168912077269.06</v>
      </c>
      <c r="M5084" s="460">
        <f t="shared" si="199"/>
        <v>0.05</v>
      </c>
      <c r="N5084" s="464">
        <f t="shared" si="200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98"/>
        <v>-422168912077269.06</v>
      </c>
      <c r="J5085" s="444">
        <f t="array" ref="J5085">IFERROR(INDEX('Retirement Calculator'!J:J,MATCH('Isaac 401k'!N5085,'Retirement Calculator'!A:A,0),0),0)</f>
        <v>0</v>
      </c>
      <c r="K5085" s="444">
        <f t="shared" ca="1" si="196"/>
        <v>-1759037133655.2878</v>
      </c>
      <c r="L5085" s="444">
        <f t="shared" ca="1" si="197"/>
        <v>-423927949210924.38</v>
      </c>
      <c r="M5085" s="460">
        <f t="shared" si="199"/>
        <v>0.05</v>
      </c>
      <c r="N5085" s="464">
        <f t="shared" si="200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98"/>
        <v>-423927949210924.38</v>
      </c>
      <c r="J5086" s="444">
        <f t="array" ref="J5086">IFERROR(INDEX('Retirement Calculator'!J:J,MATCH('Isaac 401k'!N5086,'Retirement Calculator'!A:A,0),0),0)</f>
        <v>0</v>
      </c>
      <c r="K5086" s="444">
        <f t="shared" ca="1" si="196"/>
        <v>-1766366455045.5183</v>
      </c>
      <c r="L5086" s="444">
        <f t="shared" ca="1" si="197"/>
        <v>-425694315665969.88</v>
      </c>
      <c r="M5086" s="460">
        <f t="shared" si="199"/>
        <v>0.05</v>
      </c>
      <c r="N5086" s="464">
        <f t="shared" si="200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98"/>
        <v>-425694315665969.88</v>
      </c>
      <c r="J5087" s="444">
        <f t="array" ref="J5087">IFERROR(INDEX('Retirement Calculator'!J:J,MATCH('Isaac 401k'!N5087,'Retirement Calculator'!A:A,0),0),0)</f>
        <v>0</v>
      </c>
      <c r="K5087" s="444">
        <f t="shared" ca="1" si="196"/>
        <v>-1773726315274.8745</v>
      </c>
      <c r="L5087" s="444">
        <f t="shared" ca="1" si="197"/>
        <v>-427468041981244.75</v>
      </c>
      <c r="M5087" s="460">
        <f t="shared" si="199"/>
        <v>0.05</v>
      </c>
      <c r="N5087" s="464">
        <f t="shared" si="200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98"/>
        <v>-427468041981244.75</v>
      </c>
      <c r="J5088" s="444">
        <f t="array" ref="J5088">IFERROR(INDEX('Retirement Calculator'!J:J,MATCH('Isaac 401k'!N5088,'Retirement Calculator'!A:A,0),0),0)</f>
        <v>0</v>
      </c>
      <c r="K5088" s="444">
        <f t="shared" ca="1" si="196"/>
        <v>-1781116841588.5198</v>
      </c>
      <c r="L5088" s="444">
        <f t="shared" ca="1" si="197"/>
        <v>-429249158822833.25</v>
      </c>
      <c r="M5088" s="460">
        <f t="shared" si="199"/>
        <v>0.05</v>
      </c>
      <c r="N5088" s="464">
        <f t="shared" si="200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98"/>
        <v>-429249158822833.25</v>
      </c>
      <c r="J5089" s="444">
        <f t="array" ref="J5089">IFERROR(INDEX('Retirement Calculator'!J:J,MATCH('Isaac 401k'!N5089,'Retirement Calculator'!A:A,0),0),0)</f>
        <v>0</v>
      </c>
      <c r="K5089" s="444">
        <f t="shared" ca="1" si="196"/>
        <v>-1788538161761.8052</v>
      </c>
      <c r="L5089" s="444">
        <f t="shared" ca="1" si="197"/>
        <v>-431037696984595.06</v>
      </c>
      <c r="M5089" s="460">
        <f t="shared" si="199"/>
        <v>0.05</v>
      </c>
      <c r="N5089" s="464">
        <f t="shared" si="200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98"/>
        <v>-431037696984595.06</v>
      </c>
      <c r="J5090" s="444">
        <f t="array" ref="J5090">IFERROR(INDEX('Retirement Calculator'!J:J,MATCH('Isaac 401k'!N5090,'Retirement Calculator'!A:A,0),0),0)</f>
        <v>0</v>
      </c>
      <c r="K5090" s="444">
        <f t="shared" ca="1" si="196"/>
        <v>-1795990404102.4795</v>
      </c>
      <c r="L5090" s="444">
        <f t="shared" ca="1" si="197"/>
        <v>-432833687388697.56</v>
      </c>
      <c r="M5090" s="460">
        <f t="shared" si="199"/>
        <v>0.05</v>
      </c>
      <c r="N5090" s="464">
        <f t="shared" si="200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98"/>
        <v>-432833687388697.56</v>
      </c>
      <c r="J5091" s="444">
        <f t="array" ref="J5091">IFERROR(INDEX('Retirement Calculator'!J:J,MATCH('Isaac 401k'!N5091,'Retirement Calculator'!A:A,0),0),0)</f>
        <v>0</v>
      </c>
      <c r="K5091" s="444">
        <f t="shared" ca="1" si="196"/>
        <v>-1803473697452.9065</v>
      </c>
      <c r="L5091" s="444">
        <f t="shared" ca="1" si="197"/>
        <v>-434637161086150.5</v>
      </c>
      <c r="M5091" s="460">
        <f t="shared" si="199"/>
        <v>0.05</v>
      </c>
      <c r="N5091" s="464">
        <f t="shared" si="200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98"/>
        <v>-434637161086150.5</v>
      </c>
      <c r="J5092" s="444">
        <f t="array" ref="J5092">IFERROR(INDEX('Retirement Calculator'!J:J,MATCH('Isaac 401k'!N5092,'Retirement Calculator'!A:A,0),0),0)</f>
        <v>0</v>
      </c>
      <c r="K5092" s="444">
        <f t="shared" ca="1" si="196"/>
        <v>-1810988171192.2937</v>
      </c>
      <c r="L5092" s="444">
        <f t="shared" ca="1" si="197"/>
        <v>-436448149257342.81</v>
      </c>
      <c r="M5092" s="460">
        <f t="shared" si="199"/>
        <v>0.05</v>
      </c>
      <c r="N5092" s="464">
        <f t="shared" si="200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98"/>
        <v>-436448149257342.81</v>
      </c>
      <c r="J5093" s="444">
        <f t="array" ref="J5093">IFERROR(INDEX('Retirement Calculator'!J:J,MATCH('Isaac 401k'!N5093,'Retirement Calculator'!A:A,0),0),0)</f>
        <v>0</v>
      </c>
      <c r="K5093" s="444">
        <f t="shared" ca="1" si="196"/>
        <v>-1818533955238.9285</v>
      </c>
      <c r="L5093" s="444">
        <f t="shared" ca="1" si="197"/>
        <v>-438266683212581.75</v>
      </c>
      <c r="M5093" s="460">
        <f t="shared" si="199"/>
        <v>0.05</v>
      </c>
      <c r="N5093" s="464">
        <f t="shared" si="200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98"/>
        <v>-438266683212581.75</v>
      </c>
      <c r="J5094" s="444">
        <f t="array" ref="J5094">IFERROR(INDEX('Retirement Calculator'!J:J,MATCH('Isaac 401k'!N5094,'Retirement Calculator'!A:A,0),0),0)</f>
        <v>0</v>
      </c>
      <c r="K5094" s="444">
        <f t="shared" ca="1" si="196"/>
        <v>-1826111180052.4238</v>
      </c>
      <c r="L5094" s="444">
        <f t="shared" ca="1" si="197"/>
        <v>-440092794392634.19</v>
      </c>
      <c r="M5094" s="460">
        <f t="shared" si="199"/>
        <v>0.05</v>
      </c>
      <c r="N5094" s="464">
        <f t="shared" si="200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98"/>
        <v>-440092794392634.19</v>
      </c>
      <c r="J5095" s="444">
        <f t="array" ref="J5095">IFERROR(INDEX('Retirement Calculator'!J:J,MATCH('Isaac 401k'!N5095,'Retirement Calculator'!A:A,0),0),0)</f>
        <v>0</v>
      </c>
      <c r="K5095" s="444">
        <f t="shared" ca="1" si="196"/>
        <v>-1833719976635.9758</v>
      </c>
      <c r="L5095" s="444">
        <f t="shared" ca="1" si="197"/>
        <v>-441926514369270.19</v>
      </c>
      <c r="M5095" s="460">
        <f t="shared" si="199"/>
        <v>0.05</v>
      </c>
      <c r="N5095" s="464">
        <f t="shared" si="200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98"/>
        <v>-441926514369270.19</v>
      </c>
      <c r="J5096" s="444">
        <f t="array" ref="J5096">IFERROR(INDEX('Retirement Calculator'!J:J,MATCH('Isaac 401k'!N5096,'Retirement Calculator'!A:A,0),0),0)</f>
        <v>0</v>
      </c>
      <c r="K5096" s="444">
        <f t="shared" ca="1" si="196"/>
        <v>-1841360476538.626</v>
      </c>
      <c r="L5096" s="444">
        <f t="shared" ca="1" si="197"/>
        <v>-443767874845808.81</v>
      </c>
      <c r="M5096" s="460">
        <f t="shared" si="199"/>
        <v>0.05</v>
      </c>
      <c r="N5096" s="464">
        <f t="shared" si="200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98"/>
        <v>-443767874845808.81</v>
      </c>
      <c r="J5097" s="444">
        <f t="array" ref="J5097">IFERROR(INDEX('Retirement Calculator'!J:J,MATCH('Isaac 401k'!N5097,'Retirement Calculator'!A:A,0),0),0)</f>
        <v>0</v>
      </c>
      <c r="K5097" s="444">
        <f t="shared" ca="1" si="196"/>
        <v>-1849032811857.5369</v>
      </c>
      <c r="L5097" s="444">
        <f t="shared" ca="1" si="197"/>
        <v>-445616907657666.38</v>
      </c>
      <c r="M5097" s="460">
        <f t="shared" si="199"/>
        <v>0.05</v>
      </c>
      <c r="N5097" s="464">
        <f t="shared" si="200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98"/>
        <v>-445616907657666.38</v>
      </c>
      <c r="J5098" s="444">
        <f t="array" ref="J5098">IFERROR(INDEX('Retirement Calculator'!J:J,MATCH('Isaac 401k'!N5098,'Retirement Calculator'!A:A,0),0),0)</f>
        <v>0</v>
      </c>
      <c r="K5098" s="444">
        <f t="shared" ca="1" si="196"/>
        <v>-1856737115240.2769</v>
      </c>
      <c r="L5098" s="444">
        <f t="shared" ca="1" si="197"/>
        <v>-447473644772906.63</v>
      </c>
      <c r="M5098" s="460">
        <f t="shared" si="199"/>
        <v>0.05</v>
      </c>
      <c r="N5098" s="464">
        <f t="shared" si="200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98"/>
        <v>-447473644772906.63</v>
      </c>
      <c r="J5099" s="444">
        <f t="array" ref="J5099">IFERROR(INDEX('Retirement Calculator'!J:J,MATCH('Isaac 401k'!N5099,'Retirement Calculator'!A:A,0),0),0)</f>
        <v>0</v>
      </c>
      <c r="K5099" s="444">
        <f t="shared" ca="1" si="196"/>
        <v>-1864473519887.1111</v>
      </c>
      <c r="L5099" s="444">
        <f t="shared" ca="1" si="197"/>
        <v>-449338118292793.75</v>
      </c>
      <c r="M5099" s="460">
        <f t="shared" si="199"/>
        <v>0.05</v>
      </c>
      <c r="N5099" s="464">
        <f t="shared" si="200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98"/>
        <v>-449338118292793.75</v>
      </c>
      <c r="J5100" s="444">
        <f t="array" ref="J5100">IFERROR(INDEX('Retirement Calculator'!J:J,MATCH('Isaac 401k'!N5100,'Retirement Calculator'!A:A,0),0),0)</f>
        <v>0</v>
      </c>
      <c r="K5100" s="444">
        <f t="shared" ca="1" si="196"/>
        <v>-1872242159553.3076</v>
      </c>
      <c r="L5100" s="444">
        <f t="shared" ca="1" si="197"/>
        <v>-451210360452347.06</v>
      </c>
      <c r="M5100" s="460">
        <f t="shared" si="199"/>
        <v>0.05</v>
      </c>
      <c r="N5100" s="464">
        <f t="shared" si="200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98"/>
        <v>-451210360452347.06</v>
      </c>
      <c r="J5101" s="444">
        <f t="array" ref="J5101">IFERROR(INDEX('Retirement Calculator'!J:J,MATCH('Isaac 401k'!N5101,'Retirement Calculator'!A:A,0),0),0)</f>
        <v>0</v>
      </c>
      <c r="K5101" s="444">
        <f t="shared" ca="1" si="196"/>
        <v>-1880043168551.446</v>
      </c>
      <c r="L5101" s="444">
        <f t="shared" ca="1" si="197"/>
        <v>-453090403620898.5</v>
      </c>
      <c r="M5101" s="460">
        <f t="shared" si="199"/>
        <v>0.05</v>
      </c>
      <c r="N5101" s="464">
        <f t="shared" si="200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98"/>
        <v>-453090403620898.5</v>
      </c>
      <c r="J5102" s="444">
        <f t="array" ref="J5102">IFERROR(INDEX('Retirement Calculator'!J:J,MATCH('Isaac 401k'!N5102,'Retirement Calculator'!A:A,0),0),0)</f>
        <v>0</v>
      </c>
      <c r="K5102" s="444">
        <f t="shared" ca="1" si="196"/>
        <v>-1887876681753.7437</v>
      </c>
      <c r="L5102" s="444">
        <f t="shared" ca="1" si="197"/>
        <v>-454978280302652.25</v>
      </c>
      <c r="M5102" s="460">
        <f t="shared" si="199"/>
        <v>0.05</v>
      </c>
      <c r="N5102" s="464">
        <f t="shared" si="200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98"/>
        <v>-454978280302652.25</v>
      </c>
      <c r="J5103" s="444">
        <f t="array" ref="J5103">IFERROR(INDEX('Retirement Calculator'!J:J,MATCH('Isaac 401k'!N5103,'Retirement Calculator'!A:A,0),0),0)</f>
        <v>0</v>
      </c>
      <c r="K5103" s="444">
        <f t="shared" ca="1" si="196"/>
        <v>-1895742834594.384</v>
      </c>
      <c r="L5103" s="444">
        <f t="shared" ca="1" si="197"/>
        <v>-456874023137246.63</v>
      </c>
      <c r="M5103" s="460">
        <f t="shared" si="199"/>
        <v>0.05</v>
      </c>
      <c r="N5103" s="464">
        <f t="shared" si="200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98"/>
        <v>-456874023137246.63</v>
      </c>
      <c r="J5104" s="444">
        <f t="array" ref="J5104">IFERROR(INDEX('Retirement Calculator'!J:J,MATCH('Isaac 401k'!N5104,'Retirement Calculator'!A:A,0),0),0)</f>
        <v>0</v>
      </c>
      <c r="K5104" s="444">
        <f t="shared" ca="1" si="196"/>
        <v>-1903641763071.8608</v>
      </c>
      <c r="L5104" s="444">
        <f t="shared" ca="1" si="197"/>
        <v>-458777664900318.5</v>
      </c>
      <c r="M5104" s="460">
        <f t="shared" si="199"/>
        <v>0.05</v>
      </c>
      <c r="N5104" s="464">
        <f t="shared" si="200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98"/>
        <v>-458777664900318.5</v>
      </c>
      <c r="J5105" s="444">
        <f t="array" ref="J5105">IFERROR(INDEX('Retirement Calculator'!J:J,MATCH('Isaac 401k'!N5105,'Retirement Calculator'!A:A,0),0),0)</f>
        <v>0</v>
      </c>
      <c r="K5105" s="444">
        <f t="shared" ca="1" si="196"/>
        <v>-1911573603751.3271</v>
      </c>
      <c r="L5105" s="444">
        <f t="shared" ca="1" si="197"/>
        <v>-460689238504069.81</v>
      </c>
      <c r="M5105" s="460">
        <f t="shared" si="199"/>
        <v>0.05</v>
      </c>
      <c r="N5105" s="464">
        <f t="shared" si="200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98"/>
        <v>-460689238504069.81</v>
      </c>
      <c r="J5106" s="444">
        <f t="array" ref="J5106">IFERROR(INDEX('Retirement Calculator'!J:J,MATCH('Isaac 401k'!N5106,'Retirement Calculator'!A:A,0),0),0)</f>
        <v>0</v>
      </c>
      <c r="K5106" s="444">
        <f t="shared" ca="1" si="196"/>
        <v>-1919538493766.9578</v>
      </c>
      <c r="L5106" s="444">
        <f t="shared" ca="1" si="197"/>
        <v>-462608776997836.75</v>
      </c>
      <c r="M5106" s="460">
        <f t="shared" si="199"/>
        <v>0.05</v>
      </c>
      <c r="N5106" s="464">
        <f t="shared" si="200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98"/>
        <v>-462608776997836.75</v>
      </c>
      <c r="J5107" s="444">
        <f t="array" ref="J5107">IFERROR(INDEX('Retirement Calculator'!J:J,MATCH('Isaac 401k'!N5107,'Retirement Calculator'!A:A,0),0),0)</f>
        <v>0</v>
      </c>
      <c r="K5107" s="444">
        <f t="shared" ca="1" si="196"/>
        <v>-1927536570824.3196</v>
      </c>
      <c r="L5107" s="444">
        <f t="shared" ca="1" si="197"/>
        <v>-464536313568661.06</v>
      </c>
      <c r="M5107" s="460">
        <f t="shared" si="199"/>
        <v>0.05</v>
      </c>
      <c r="N5107" s="464">
        <f t="shared" si="200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98"/>
        <v>-464536313568661.06</v>
      </c>
      <c r="J5108" s="444">
        <f t="array" ref="J5108">IFERROR(INDEX('Retirement Calculator'!J:J,MATCH('Isaac 401k'!N5108,'Retirement Calculator'!A:A,0),0),0)</f>
        <v>0</v>
      </c>
      <c r="K5108" s="444">
        <f t="shared" ref="K5108:K5362" ca="1" si="201">IPMT(M5108/12,1,12,-I5108+J5108,,0)</f>
        <v>-1935567973202.7544</v>
      </c>
      <c r="L5108" s="444">
        <f t="shared" ref="L5108:L5362" ca="1" si="202">I5108-J5108+K5108</f>
        <v>-466471881541863.81</v>
      </c>
      <c r="M5108" s="460">
        <f t="shared" si="199"/>
        <v>0.05</v>
      </c>
      <c r="N5108" s="464">
        <f t="shared" si="200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203">L5108</f>
        <v>-466471881541863.81</v>
      </c>
      <c r="J5109" s="444">
        <f t="array" ref="J5109">IFERROR(INDEX('Retirement Calculator'!J:J,MATCH('Isaac 401k'!N5109,'Retirement Calculator'!A:A,0),0),0)</f>
        <v>0</v>
      </c>
      <c r="K5109" s="444">
        <f t="shared" ca="1" si="201"/>
        <v>-1943632839757.7659</v>
      </c>
      <c r="L5109" s="444">
        <f t="shared" ca="1" si="202"/>
        <v>-468415514381621.56</v>
      </c>
      <c r="M5109" s="460">
        <f t="shared" ref="M5109:M5363" si="204">M5108</f>
        <v>0.05</v>
      </c>
      <c r="N5109" s="464">
        <f t="shared" ref="N5109:N5363" si="205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203"/>
        <v>-468415514381621.56</v>
      </c>
      <c r="J5110" s="444">
        <f t="array" ref="J5110">IFERROR(INDEX('Retirement Calculator'!J:J,MATCH('Isaac 401k'!N5110,'Retirement Calculator'!A:A,0),0),0)</f>
        <v>0</v>
      </c>
      <c r="K5110" s="444">
        <f t="shared" ca="1" si="201"/>
        <v>-1951731309923.4231</v>
      </c>
      <c r="L5110" s="444">
        <f t="shared" ca="1" si="202"/>
        <v>-470367245691545</v>
      </c>
      <c r="M5110" s="460">
        <f t="shared" si="204"/>
        <v>0.05</v>
      </c>
      <c r="N5110" s="464">
        <f t="shared" si="205"/>
        <v>206577</v>
      </c>
    </row>
    <row r="5111" spans="7:14" ht="11.25" customHeight="1" x14ac:dyDescent="0.3">
      <c r="G5111" s="459"/>
      <c r="H5111" s="459">
        <v>5104</v>
      </c>
      <c r="I5111" s="444">
        <f t="shared" ca="1" si="203"/>
        <v>-470367245691545</v>
      </c>
      <c r="J5111" s="444">
        <f t="array" ref="J5111">IFERROR(INDEX('Retirement Calculator'!J:J,MATCH('Isaac 401k'!N5111,'Retirement Calculator'!A:A,0),0),0)</f>
        <v>0</v>
      </c>
      <c r="K5111" s="444">
        <f t="shared" ca="1" si="201"/>
        <v>-1959863523714.7708</v>
      </c>
      <c r="L5111" s="444">
        <f t="shared" ca="1" si="202"/>
        <v>-472327109215259.75</v>
      </c>
      <c r="M5111" s="460">
        <f t="shared" si="204"/>
        <v>0.05</v>
      </c>
      <c r="N5111" s="464">
        <f t="shared" si="205"/>
        <v>206608</v>
      </c>
    </row>
    <row r="5112" spans="7:14" ht="11.25" customHeight="1" x14ac:dyDescent="0.3">
      <c r="G5112" s="459"/>
      <c r="H5112" s="459">
        <v>5105</v>
      </c>
      <c r="I5112" s="444">
        <f t="shared" ca="1" si="203"/>
        <v>-472327109215259.75</v>
      </c>
      <c r="J5112" s="444">
        <f t="array" ref="J5112">IFERROR(INDEX('Retirement Calculator'!J:J,MATCH('Isaac 401k'!N5112,'Retirement Calculator'!A:A,0),0),0)</f>
        <v>0</v>
      </c>
      <c r="K5112" s="444">
        <f t="shared" ca="1" si="201"/>
        <v>-1968029621730.249</v>
      </c>
      <c r="L5112" s="444">
        <f t="shared" ca="1" si="202"/>
        <v>-474295138836990</v>
      </c>
      <c r="M5112" s="460">
        <f t="shared" si="204"/>
        <v>0.05</v>
      </c>
      <c r="N5112" s="464">
        <f t="shared" si="205"/>
        <v>206638</v>
      </c>
    </row>
    <row r="5113" spans="7:14" ht="11.25" customHeight="1" x14ac:dyDescent="0.3">
      <c r="G5113" s="459"/>
      <c r="H5113" s="459">
        <v>5106</v>
      </c>
      <c r="I5113" s="444">
        <f t="shared" ca="1" si="203"/>
        <v>-474295138836990</v>
      </c>
      <c r="J5113" s="444">
        <f t="array" ref="J5113">IFERROR(INDEX('Retirement Calculator'!J:J,MATCH('Isaac 401k'!N5113,'Retirement Calculator'!A:A,0),0),0)</f>
        <v>0</v>
      </c>
      <c r="K5113" s="444">
        <f t="shared" ca="1" si="201"/>
        <v>-1976229745154.125</v>
      </c>
      <c r="L5113" s="444">
        <f t="shared" ca="1" si="202"/>
        <v>-476271368582144.13</v>
      </c>
      <c r="M5113" s="460">
        <f t="shared" si="204"/>
        <v>0.05</v>
      </c>
      <c r="N5113" s="464">
        <f t="shared" si="205"/>
        <v>206669</v>
      </c>
    </row>
    <row r="5114" spans="7:14" ht="11.25" customHeight="1" x14ac:dyDescent="0.3">
      <c r="G5114" s="459"/>
      <c r="H5114" s="459">
        <v>5107</v>
      </c>
      <c r="I5114" s="444">
        <f t="shared" ca="1" si="203"/>
        <v>-476271368582144.13</v>
      </c>
      <c r="J5114" s="444">
        <f t="array" ref="J5114">IFERROR(INDEX('Retirement Calculator'!J:J,MATCH('Isaac 401k'!N5114,'Retirement Calculator'!A:A,0),0),0)</f>
        <v>0</v>
      </c>
      <c r="K5114" s="444">
        <f t="shared" ca="1" si="201"/>
        <v>-1984464035758.9338</v>
      </c>
      <c r="L5114" s="444">
        <f t="shared" ca="1" si="202"/>
        <v>-478255832617903.06</v>
      </c>
      <c r="M5114" s="460">
        <f t="shared" si="204"/>
        <v>0.05</v>
      </c>
      <c r="N5114" s="464">
        <f t="shared" si="205"/>
        <v>206699</v>
      </c>
    </row>
    <row r="5115" spans="7:14" ht="11.25" customHeight="1" x14ac:dyDescent="0.3">
      <c r="G5115" s="459"/>
      <c r="H5115" s="459">
        <v>5108</v>
      </c>
      <c r="I5115" s="444">
        <f t="shared" ca="1" si="203"/>
        <v>-478255832617903.06</v>
      </c>
      <c r="J5115" s="444">
        <f t="array" ref="J5115">IFERROR(INDEX('Retirement Calculator'!J:J,MATCH('Isaac 401k'!N5115,'Retirement Calculator'!A:A,0),0),0)</f>
        <v>0</v>
      </c>
      <c r="K5115" s="444">
        <f t="shared" ca="1" si="201"/>
        <v>-1992732635907.9292</v>
      </c>
      <c r="L5115" s="444">
        <f t="shared" ca="1" si="202"/>
        <v>-480248565253811</v>
      </c>
      <c r="M5115" s="460">
        <f t="shared" si="204"/>
        <v>0.05</v>
      </c>
      <c r="N5115" s="464">
        <f t="shared" si="205"/>
        <v>206730</v>
      </c>
    </row>
    <row r="5116" spans="7:14" ht="11.25" customHeight="1" x14ac:dyDescent="0.3">
      <c r="G5116" s="459"/>
      <c r="H5116" s="459">
        <v>5109</v>
      </c>
      <c r="I5116" s="444">
        <f t="shared" ca="1" si="203"/>
        <v>-480248565253811</v>
      </c>
      <c r="J5116" s="444">
        <f t="array" ref="J5116">IFERROR(INDEX('Retirement Calculator'!J:J,MATCH('Isaac 401k'!N5116,'Retirement Calculator'!A:A,0),0),0)</f>
        <v>0</v>
      </c>
      <c r="K5116" s="444">
        <f t="shared" ca="1" si="201"/>
        <v>-2001035688557.5459</v>
      </c>
      <c r="L5116" s="444">
        <f t="shared" ca="1" si="202"/>
        <v>-482249600942368.56</v>
      </c>
      <c r="M5116" s="460">
        <f t="shared" si="204"/>
        <v>0.05</v>
      </c>
      <c r="N5116" s="464">
        <f t="shared" si="205"/>
        <v>206761</v>
      </c>
    </row>
    <row r="5117" spans="7:14" ht="11.25" customHeight="1" x14ac:dyDescent="0.3">
      <c r="G5117" s="459"/>
      <c r="H5117" s="459">
        <v>5110</v>
      </c>
      <c r="I5117" s="444">
        <f t="shared" ca="1" si="203"/>
        <v>-482249600942368.56</v>
      </c>
      <c r="J5117" s="444">
        <f t="array" ref="J5117">IFERROR(INDEX('Retirement Calculator'!J:J,MATCH('Isaac 401k'!N5117,'Retirement Calculator'!A:A,0),0),0)</f>
        <v>0</v>
      </c>
      <c r="K5117" s="444">
        <f t="shared" ca="1" si="201"/>
        <v>-2009373337259.8689</v>
      </c>
      <c r="L5117" s="444">
        <f t="shared" ca="1" si="202"/>
        <v>-484258974279628.44</v>
      </c>
      <c r="M5117" s="460">
        <f t="shared" si="204"/>
        <v>0.05</v>
      </c>
      <c r="N5117" s="464">
        <f t="shared" si="205"/>
        <v>206789</v>
      </c>
    </row>
    <row r="5118" spans="7:14" ht="11.25" customHeight="1" x14ac:dyDescent="0.3">
      <c r="G5118" s="459"/>
      <c r="H5118" s="459">
        <v>5111</v>
      </c>
      <c r="I5118" s="444">
        <f t="shared" ca="1" si="203"/>
        <v>-484258974279628.44</v>
      </c>
      <c r="J5118" s="444">
        <f t="array" ref="J5118">IFERROR(INDEX('Retirement Calculator'!J:J,MATCH('Isaac 401k'!N5118,'Retirement Calculator'!A:A,0),0),0)</f>
        <v>0</v>
      </c>
      <c r="K5118" s="444">
        <f t="shared" ca="1" si="201"/>
        <v>-2017745726165.1187</v>
      </c>
      <c r="L5118" s="444">
        <f t="shared" ca="1" si="202"/>
        <v>-486276720005793.56</v>
      </c>
      <c r="M5118" s="460">
        <f t="shared" si="204"/>
        <v>0.05</v>
      </c>
      <c r="N5118" s="464">
        <f t="shared" si="205"/>
        <v>206820</v>
      </c>
    </row>
    <row r="5119" spans="7:14" ht="11.25" customHeight="1" x14ac:dyDescent="0.3">
      <c r="G5119" s="459"/>
      <c r="H5119" s="459">
        <v>5112</v>
      </c>
      <c r="I5119" s="444">
        <f t="shared" ca="1" si="203"/>
        <v>-486276720005793.56</v>
      </c>
      <c r="J5119" s="444">
        <f t="array" ref="J5119">IFERROR(INDEX('Retirement Calculator'!J:J,MATCH('Isaac 401k'!N5119,'Retirement Calculator'!A:A,0),0),0)</f>
        <v>0</v>
      </c>
      <c r="K5119" s="444">
        <f t="shared" ca="1" si="201"/>
        <v>-2026153000024.1399</v>
      </c>
      <c r="L5119" s="444">
        <f t="shared" ca="1" si="202"/>
        <v>-488302873005817.69</v>
      </c>
      <c r="M5119" s="460">
        <f t="shared" si="204"/>
        <v>0.05</v>
      </c>
      <c r="N5119" s="464">
        <f t="shared" si="205"/>
        <v>206850</v>
      </c>
    </row>
    <row r="5120" spans="7:14" ht="11.25" customHeight="1" x14ac:dyDescent="0.3">
      <c r="G5120" s="459"/>
      <c r="H5120" s="459">
        <v>5113</v>
      </c>
      <c r="I5120" s="444">
        <f t="shared" ca="1" si="203"/>
        <v>-488302873005817.69</v>
      </c>
      <c r="J5120" s="444">
        <f t="array" ref="J5120">IFERROR(INDEX('Retirement Calculator'!J:J,MATCH('Isaac 401k'!N5120,'Retirement Calculator'!A:A,0),0),0)</f>
        <v>0</v>
      </c>
      <c r="K5120" s="444">
        <f t="shared" ca="1" si="201"/>
        <v>-2034595304190.907</v>
      </c>
      <c r="L5120" s="444">
        <f t="shared" ca="1" si="202"/>
        <v>-490337468310008.63</v>
      </c>
      <c r="M5120" s="460">
        <f t="shared" si="204"/>
        <v>0.05</v>
      </c>
      <c r="N5120" s="464">
        <f t="shared" si="205"/>
        <v>206881</v>
      </c>
    </row>
    <row r="5121" spans="7:14" ht="11.25" customHeight="1" x14ac:dyDescent="0.3">
      <c r="G5121" s="459"/>
      <c r="H5121" s="459">
        <v>5114</v>
      </c>
      <c r="I5121" s="444">
        <f t="shared" ca="1" si="203"/>
        <v>-490337468310008.63</v>
      </c>
      <c r="J5121" s="444">
        <f t="array" ref="J5121">IFERROR(INDEX('Retirement Calculator'!J:J,MATCH('Isaac 401k'!N5121,'Retirement Calculator'!A:A,0),0),0)</f>
        <v>0</v>
      </c>
      <c r="K5121" s="444">
        <f t="shared" ca="1" si="201"/>
        <v>-2043072784625.0359</v>
      </c>
      <c r="L5121" s="444">
        <f t="shared" ca="1" si="202"/>
        <v>-492380541094633.69</v>
      </c>
      <c r="M5121" s="460">
        <f t="shared" si="204"/>
        <v>0.05</v>
      </c>
      <c r="N5121" s="464">
        <f t="shared" si="205"/>
        <v>206911</v>
      </c>
    </row>
    <row r="5122" spans="7:14" ht="11.25" customHeight="1" x14ac:dyDescent="0.3">
      <c r="G5122" s="459"/>
      <c r="H5122" s="459">
        <v>5115</v>
      </c>
      <c r="I5122" s="444">
        <f t="shared" ca="1" si="203"/>
        <v>-492380541094633.69</v>
      </c>
      <c r="J5122" s="444">
        <f t="array" ref="J5122">IFERROR(INDEX('Retirement Calculator'!J:J,MATCH('Isaac 401k'!N5122,'Retirement Calculator'!A:A,0),0),0)</f>
        <v>0</v>
      </c>
      <c r="K5122" s="444">
        <f t="shared" ca="1" si="201"/>
        <v>-2051585587894.3066</v>
      </c>
      <c r="L5122" s="444">
        <f t="shared" ca="1" si="202"/>
        <v>-494432126682528</v>
      </c>
      <c r="M5122" s="460">
        <f t="shared" si="204"/>
        <v>0.05</v>
      </c>
      <c r="N5122" s="464">
        <f t="shared" si="205"/>
        <v>206942</v>
      </c>
    </row>
    <row r="5123" spans="7:14" ht="11.25" customHeight="1" x14ac:dyDescent="0.3">
      <c r="G5123" s="459"/>
      <c r="H5123" s="459">
        <v>5116</v>
      </c>
      <c r="I5123" s="444">
        <f t="shared" ca="1" si="203"/>
        <v>-494432126682528</v>
      </c>
      <c r="J5123" s="444">
        <f t="array" ref="J5123">IFERROR(INDEX('Retirement Calculator'!J:J,MATCH('Isaac 401k'!N5123,'Retirement Calculator'!A:A,0),0),0)</f>
        <v>0</v>
      </c>
      <c r="K5123" s="444">
        <f t="shared" ca="1" si="201"/>
        <v>-2060133861177.2002</v>
      </c>
      <c r="L5123" s="444">
        <f t="shared" ca="1" si="202"/>
        <v>-496492260543705.19</v>
      </c>
      <c r="M5123" s="460">
        <f t="shared" si="204"/>
        <v>0.05</v>
      </c>
      <c r="N5123" s="464">
        <f t="shared" si="205"/>
        <v>206973</v>
      </c>
    </row>
    <row r="5124" spans="7:14" ht="11.25" customHeight="1" x14ac:dyDescent="0.3">
      <c r="G5124" s="459"/>
      <c r="H5124" s="459">
        <v>5117</v>
      </c>
      <c r="I5124" s="444">
        <f t="shared" ca="1" si="203"/>
        <v>-496492260543705.19</v>
      </c>
      <c r="J5124" s="444">
        <f t="array" ref="J5124">IFERROR(INDEX('Retirement Calculator'!J:J,MATCH('Isaac 401k'!N5124,'Retirement Calculator'!A:A,0),0),0)</f>
        <v>0</v>
      </c>
      <c r="K5124" s="444">
        <f t="shared" ca="1" si="201"/>
        <v>-2068717752265.4382</v>
      </c>
      <c r="L5124" s="444">
        <f t="shared" ca="1" si="202"/>
        <v>-498560978295970.63</v>
      </c>
      <c r="M5124" s="460">
        <f t="shared" si="204"/>
        <v>0.05</v>
      </c>
      <c r="N5124" s="464">
        <f t="shared" si="205"/>
        <v>207003</v>
      </c>
    </row>
    <row r="5125" spans="7:14" ht="11.25" customHeight="1" x14ac:dyDescent="0.3">
      <c r="G5125" s="459"/>
      <c r="H5125" s="459">
        <v>5118</v>
      </c>
      <c r="I5125" s="444">
        <f t="shared" ca="1" si="203"/>
        <v>-498560978295970.63</v>
      </c>
      <c r="J5125" s="444">
        <f t="array" ref="J5125">IFERROR(INDEX('Retirement Calculator'!J:J,MATCH('Isaac 401k'!N5125,'Retirement Calculator'!A:A,0),0),0)</f>
        <v>0</v>
      </c>
      <c r="K5125" s="444">
        <f t="shared" ca="1" si="201"/>
        <v>-2077337409566.5439</v>
      </c>
      <c r="L5125" s="444">
        <f t="shared" ca="1" si="202"/>
        <v>-500638315705537.19</v>
      </c>
      <c r="M5125" s="460">
        <f t="shared" si="204"/>
        <v>0.05</v>
      </c>
      <c r="N5125" s="464">
        <f t="shared" si="205"/>
        <v>207034</v>
      </c>
    </row>
    <row r="5126" spans="7:14" ht="11.25" customHeight="1" x14ac:dyDescent="0.3">
      <c r="G5126" s="459"/>
      <c r="H5126" s="459">
        <v>5119</v>
      </c>
      <c r="I5126" s="444">
        <f t="shared" ca="1" si="203"/>
        <v>-500638315705537.19</v>
      </c>
      <c r="J5126" s="444">
        <f t="array" ref="J5126">IFERROR(INDEX('Retirement Calculator'!J:J,MATCH('Isaac 401k'!N5126,'Retirement Calculator'!A:A,0),0),0)</f>
        <v>0</v>
      </c>
      <c r="K5126" s="444">
        <f t="shared" ca="1" si="201"/>
        <v>-2085992982106.405</v>
      </c>
      <c r="L5126" s="444">
        <f t="shared" ca="1" si="202"/>
        <v>-502724308687643.56</v>
      </c>
      <c r="M5126" s="460">
        <f t="shared" si="204"/>
        <v>0.05</v>
      </c>
      <c r="N5126" s="464">
        <f t="shared" si="205"/>
        <v>207064</v>
      </c>
    </row>
    <row r="5127" spans="7:14" ht="11.25" customHeight="1" x14ac:dyDescent="0.3">
      <c r="G5127" s="459"/>
      <c r="H5127" s="459">
        <v>5120</v>
      </c>
      <c r="I5127" s="444">
        <f t="shared" ca="1" si="203"/>
        <v>-502724308687643.56</v>
      </c>
      <c r="J5127" s="444">
        <f t="array" ref="J5127">IFERROR(INDEX('Retirement Calculator'!J:J,MATCH('Isaac 401k'!N5127,'Retirement Calculator'!A:A,0),0),0)</f>
        <v>0</v>
      </c>
      <c r="K5127" s="444">
        <f t="shared" ca="1" si="201"/>
        <v>-2094684619531.8481</v>
      </c>
      <c r="L5127" s="444">
        <f t="shared" ca="1" si="202"/>
        <v>-504818993307175.44</v>
      </c>
      <c r="M5127" s="460">
        <f t="shared" si="204"/>
        <v>0.05</v>
      </c>
      <c r="N5127" s="464">
        <f t="shared" si="205"/>
        <v>207095</v>
      </c>
    </row>
    <row r="5128" spans="7:14" ht="11.25" customHeight="1" x14ac:dyDescent="0.3">
      <c r="G5128" s="459"/>
      <c r="H5128" s="459">
        <v>5121</v>
      </c>
      <c r="I5128" s="444">
        <f t="shared" ca="1" si="203"/>
        <v>-504818993307175.44</v>
      </c>
      <c r="J5128" s="444">
        <f t="array" ref="J5128">IFERROR(INDEX('Retirement Calculator'!J:J,MATCH('Isaac 401k'!N5128,'Retirement Calculator'!A:A,0),0),0)</f>
        <v>0</v>
      </c>
      <c r="K5128" s="444">
        <f t="shared" ca="1" si="201"/>
        <v>-2103412472113.231</v>
      </c>
      <c r="L5128" s="444">
        <f t="shared" ca="1" si="202"/>
        <v>-506922405779288.69</v>
      </c>
      <c r="M5128" s="460">
        <f t="shared" si="204"/>
        <v>0.05</v>
      </c>
      <c r="N5128" s="464">
        <f t="shared" si="205"/>
        <v>207126</v>
      </c>
    </row>
    <row r="5129" spans="7:14" ht="11.25" customHeight="1" x14ac:dyDescent="0.3">
      <c r="G5129" s="459"/>
      <c r="H5129" s="459">
        <v>5122</v>
      </c>
      <c r="I5129" s="444">
        <f t="shared" ca="1" si="203"/>
        <v>-506922405779288.69</v>
      </c>
      <c r="J5129" s="444">
        <f t="array" ref="J5129">IFERROR(INDEX('Retirement Calculator'!J:J,MATCH('Isaac 401k'!N5129,'Retirement Calculator'!A:A,0),0),0)</f>
        <v>0</v>
      </c>
      <c r="K5129" s="444">
        <f t="shared" ca="1" si="201"/>
        <v>-2112176690747.0361</v>
      </c>
      <c r="L5129" s="444">
        <f t="shared" ca="1" si="202"/>
        <v>-509034582470035.75</v>
      </c>
      <c r="M5129" s="460">
        <f t="shared" si="204"/>
        <v>0.05</v>
      </c>
      <c r="N5129" s="464">
        <f t="shared" si="205"/>
        <v>207154</v>
      </c>
    </row>
    <row r="5130" spans="7:14" ht="11.25" customHeight="1" x14ac:dyDescent="0.3">
      <c r="G5130" s="459"/>
      <c r="H5130" s="459">
        <v>5123</v>
      </c>
      <c r="I5130" s="444">
        <f t="shared" ca="1" si="203"/>
        <v>-509034582470035.75</v>
      </c>
      <c r="J5130" s="444">
        <f t="array" ref="J5130">IFERROR(INDEX('Retirement Calculator'!J:J,MATCH('Isaac 401k'!N5130,'Retirement Calculator'!A:A,0),0),0)</f>
        <v>0</v>
      </c>
      <c r="K5130" s="444">
        <f t="shared" ca="1" si="201"/>
        <v>-2120977426958.4824</v>
      </c>
      <c r="L5130" s="444">
        <f t="shared" ca="1" si="202"/>
        <v>-511155559896994.25</v>
      </c>
      <c r="M5130" s="460">
        <f t="shared" si="204"/>
        <v>0.05</v>
      </c>
      <c r="N5130" s="464">
        <f t="shared" si="205"/>
        <v>207185</v>
      </c>
    </row>
    <row r="5131" spans="7:14" ht="11.25" customHeight="1" x14ac:dyDescent="0.3">
      <c r="G5131" s="459"/>
      <c r="H5131" s="459">
        <v>5124</v>
      </c>
      <c r="I5131" s="444">
        <f t="shared" ca="1" si="203"/>
        <v>-511155559896994.25</v>
      </c>
      <c r="J5131" s="444">
        <f t="array" ref="J5131">IFERROR(INDEX('Retirement Calculator'!J:J,MATCH('Isaac 401k'!N5131,'Retirement Calculator'!A:A,0),0),0)</f>
        <v>0</v>
      </c>
      <c r="K5131" s="444">
        <f t="shared" ca="1" si="201"/>
        <v>-2129814832904.1428</v>
      </c>
      <c r="L5131" s="444">
        <f t="shared" ca="1" si="202"/>
        <v>-513285374729898.38</v>
      </c>
      <c r="M5131" s="460">
        <f t="shared" si="204"/>
        <v>0.05</v>
      </c>
      <c r="N5131" s="464">
        <f t="shared" si="205"/>
        <v>207215</v>
      </c>
    </row>
    <row r="5132" spans="7:14" ht="11.25" customHeight="1" x14ac:dyDescent="0.3">
      <c r="G5132" s="459"/>
      <c r="H5132" s="459">
        <v>5125</v>
      </c>
      <c r="I5132" s="444">
        <f t="shared" ca="1" si="203"/>
        <v>-513285374729898.38</v>
      </c>
      <c r="J5132" s="444">
        <f t="array" ref="J5132">IFERROR(INDEX('Retirement Calculator'!J:J,MATCH('Isaac 401k'!N5132,'Retirement Calculator'!A:A,0),0),0)</f>
        <v>0</v>
      </c>
      <c r="K5132" s="444">
        <f t="shared" ca="1" si="201"/>
        <v>-2138689061374.5764</v>
      </c>
      <c r="L5132" s="444">
        <f t="shared" ca="1" si="202"/>
        <v>-515424063791272.94</v>
      </c>
      <c r="M5132" s="460">
        <f t="shared" si="204"/>
        <v>0.05</v>
      </c>
      <c r="N5132" s="464">
        <f t="shared" si="205"/>
        <v>207246</v>
      </c>
    </row>
    <row r="5133" spans="7:14" ht="11.25" customHeight="1" x14ac:dyDescent="0.3">
      <c r="G5133" s="459"/>
      <c r="H5133" s="459">
        <v>5126</v>
      </c>
      <c r="I5133" s="444">
        <f t="shared" ca="1" si="203"/>
        <v>-515424063791272.94</v>
      </c>
      <c r="J5133" s="444">
        <f t="array" ref="J5133">IFERROR(INDEX('Retirement Calculator'!J:J,MATCH('Isaac 401k'!N5133,'Retirement Calculator'!A:A,0),0),0)</f>
        <v>0</v>
      </c>
      <c r="K5133" s="444">
        <f t="shared" ca="1" si="201"/>
        <v>-2147600265796.9705</v>
      </c>
      <c r="L5133" s="444">
        <f t="shared" ca="1" si="202"/>
        <v>-517571664057069.94</v>
      </c>
      <c r="M5133" s="460">
        <f t="shared" si="204"/>
        <v>0.05</v>
      </c>
      <c r="N5133" s="464">
        <f t="shared" si="205"/>
        <v>207276</v>
      </c>
    </row>
    <row r="5134" spans="7:14" ht="11.25" customHeight="1" x14ac:dyDescent="0.3">
      <c r="G5134" s="459"/>
      <c r="H5134" s="459">
        <v>5127</v>
      </c>
      <c r="I5134" s="444">
        <f t="shared" ca="1" si="203"/>
        <v>-517571664057069.94</v>
      </c>
      <c r="J5134" s="444">
        <f t="array" ref="J5134">IFERROR(INDEX('Retirement Calculator'!J:J,MATCH('Isaac 401k'!N5134,'Retirement Calculator'!A:A,0),0),0)</f>
        <v>0</v>
      </c>
      <c r="K5134" s="444">
        <f t="shared" ca="1" si="201"/>
        <v>-2156548600237.7913</v>
      </c>
      <c r="L5134" s="444">
        <f t="shared" ca="1" si="202"/>
        <v>-519728212657307.75</v>
      </c>
      <c r="M5134" s="460">
        <f t="shared" si="204"/>
        <v>0.05</v>
      </c>
      <c r="N5134" s="464">
        <f t="shared" si="205"/>
        <v>207307</v>
      </c>
    </row>
    <row r="5135" spans="7:14" ht="11.25" customHeight="1" x14ac:dyDescent="0.3">
      <c r="G5135" s="459"/>
      <c r="H5135" s="459">
        <v>5128</v>
      </c>
      <c r="I5135" s="444">
        <f t="shared" ca="1" si="203"/>
        <v>-519728212657307.75</v>
      </c>
      <c r="J5135" s="444">
        <f t="array" ref="J5135">IFERROR(INDEX('Retirement Calculator'!J:J,MATCH('Isaac 401k'!N5135,'Retirement Calculator'!A:A,0),0),0)</f>
        <v>0</v>
      </c>
      <c r="K5135" s="444">
        <f t="shared" ca="1" si="201"/>
        <v>-2165534219405.4487</v>
      </c>
      <c r="L5135" s="444">
        <f t="shared" ca="1" si="202"/>
        <v>-521893746876713.19</v>
      </c>
      <c r="M5135" s="460">
        <f t="shared" si="204"/>
        <v>0.05</v>
      </c>
      <c r="N5135" s="464">
        <f t="shared" si="205"/>
        <v>207338</v>
      </c>
    </row>
    <row r="5136" spans="7:14" ht="11.25" customHeight="1" x14ac:dyDescent="0.3">
      <c r="G5136" s="459"/>
      <c r="H5136" s="459">
        <v>5129</v>
      </c>
      <c r="I5136" s="444">
        <f t="shared" ca="1" si="203"/>
        <v>-521893746876713.19</v>
      </c>
      <c r="J5136" s="444">
        <f t="array" ref="J5136">IFERROR(INDEX('Retirement Calculator'!J:J,MATCH('Isaac 401k'!N5136,'Retirement Calculator'!A:A,0),0),0)</f>
        <v>0</v>
      </c>
      <c r="K5136" s="444">
        <f t="shared" ca="1" si="201"/>
        <v>-2174557278652.9717</v>
      </c>
      <c r="L5136" s="444">
        <f t="shared" ca="1" si="202"/>
        <v>-524068304155366.19</v>
      </c>
      <c r="M5136" s="460">
        <f t="shared" si="204"/>
        <v>0.05</v>
      </c>
      <c r="N5136" s="464">
        <f t="shared" si="205"/>
        <v>207368</v>
      </c>
    </row>
    <row r="5137" spans="7:14" ht="11.25" customHeight="1" x14ac:dyDescent="0.3">
      <c r="G5137" s="459"/>
      <c r="H5137" s="459">
        <v>5130</v>
      </c>
      <c r="I5137" s="444">
        <f t="shared" ca="1" si="203"/>
        <v>-524068304155366.19</v>
      </c>
      <c r="J5137" s="444">
        <f t="array" ref="J5137">IFERROR(INDEX('Retirement Calculator'!J:J,MATCH('Isaac 401k'!N5137,'Retirement Calculator'!A:A,0),0),0)</f>
        <v>0</v>
      </c>
      <c r="K5137" s="444">
        <f t="shared" ca="1" si="201"/>
        <v>-2183617933980.6926</v>
      </c>
      <c r="L5137" s="444">
        <f t="shared" ca="1" si="202"/>
        <v>-526251922089346.88</v>
      </c>
      <c r="M5137" s="460">
        <f t="shared" si="204"/>
        <v>0.05</v>
      </c>
      <c r="N5137" s="464">
        <f t="shared" si="205"/>
        <v>207399</v>
      </c>
    </row>
    <row r="5138" spans="7:14" ht="11.25" customHeight="1" x14ac:dyDescent="0.3">
      <c r="G5138" s="459"/>
      <c r="H5138" s="459">
        <v>5131</v>
      </c>
      <c r="I5138" s="444">
        <f t="shared" ca="1" si="203"/>
        <v>-526251922089346.88</v>
      </c>
      <c r="J5138" s="444">
        <f t="array" ref="J5138">IFERROR(INDEX('Retirement Calculator'!J:J,MATCH('Isaac 401k'!N5138,'Retirement Calculator'!A:A,0),0),0)</f>
        <v>0</v>
      </c>
      <c r="K5138" s="444">
        <f t="shared" ca="1" si="201"/>
        <v>-2192716342038.9453</v>
      </c>
      <c r="L5138" s="444">
        <f t="shared" ca="1" si="202"/>
        <v>-528444638431385.81</v>
      </c>
      <c r="M5138" s="460">
        <f t="shared" si="204"/>
        <v>0.05</v>
      </c>
      <c r="N5138" s="464">
        <f t="shared" si="205"/>
        <v>207429</v>
      </c>
    </row>
    <row r="5139" spans="7:14" ht="11.25" customHeight="1" x14ac:dyDescent="0.3">
      <c r="G5139" s="459"/>
      <c r="H5139" s="459">
        <v>5132</v>
      </c>
      <c r="I5139" s="444">
        <f t="shared" ca="1" si="203"/>
        <v>-528444638431385.81</v>
      </c>
      <c r="J5139" s="444">
        <f t="array" ref="J5139">IFERROR(INDEX('Retirement Calculator'!J:J,MATCH('Isaac 401k'!N5139,'Retirement Calculator'!A:A,0),0),0)</f>
        <v>0</v>
      </c>
      <c r="K5139" s="444">
        <f t="shared" ca="1" si="201"/>
        <v>-2201852660130.7744</v>
      </c>
      <c r="L5139" s="444">
        <f t="shared" ca="1" si="202"/>
        <v>-530646491091516.56</v>
      </c>
      <c r="M5139" s="460">
        <f t="shared" si="204"/>
        <v>0.05</v>
      </c>
      <c r="N5139" s="464">
        <f t="shared" si="205"/>
        <v>207460</v>
      </c>
    </row>
    <row r="5140" spans="7:14" ht="11.25" customHeight="1" x14ac:dyDescent="0.3">
      <c r="G5140" s="459"/>
      <c r="H5140" s="459">
        <v>5133</v>
      </c>
      <c r="I5140" s="444">
        <f t="shared" ca="1" si="203"/>
        <v>-530646491091516.56</v>
      </c>
      <c r="J5140" s="444">
        <f t="array" ref="J5140">IFERROR(INDEX('Retirement Calculator'!J:J,MATCH('Isaac 401k'!N5140,'Retirement Calculator'!A:A,0),0),0)</f>
        <v>0</v>
      </c>
      <c r="K5140" s="444">
        <f t="shared" ca="1" si="201"/>
        <v>-2211027046214.6523</v>
      </c>
      <c r="L5140" s="444">
        <f t="shared" ca="1" si="202"/>
        <v>-532857518137731.19</v>
      </c>
      <c r="M5140" s="460">
        <f t="shared" si="204"/>
        <v>0.05</v>
      </c>
      <c r="N5140" s="464">
        <f t="shared" si="205"/>
        <v>207491</v>
      </c>
    </row>
    <row r="5141" spans="7:14" ht="11.25" customHeight="1" x14ac:dyDescent="0.3">
      <c r="G5141" s="459"/>
      <c r="H5141" s="459">
        <v>5134</v>
      </c>
      <c r="I5141" s="444">
        <f t="shared" ca="1" si="203"/>
        <v>-532857518137731.19</v>
      </c>
      <c r="J5141" s="444">
        <f t="array" ref="J5141">IFERROR(INDEX('Retirement Calculator'!J:J,MATCH('Isaac 401k'!N5141,'Retirement Calculator'!A:A,0),0),0)</f>
        <v>0</v>
      </c>
      <c r="K5141" s="444">
        <f t="shared" ca="1" si="201"/>
        <v>-2220239658907.2134</v>
      </c>
      <c r="L5141" s="444">
        <f t="shared" ca="1" si="202"/>
        <v>-535077757796638.38</v>
      </c>
      <c r="M5141" s="460">
        <f t="shared" si="204"/>
        <v>0.05</v>
      </c>
      <c r="N5141" s="464">
        <f t="shared" si="205"/>
        <v>207520</v>
      </c>
    </row>
    <row r="5142" spans="7:14" ht="11.25" customHeight="1" x14ac:dyDescent="0.3">
      <c r="G5142" s="459"/>
      <c r="H5142" s="459">
        <v>5135</v>
      </c>
      <c r="I5142" s="444">
        <f t="shared" ca="1" si="203"/>
        <v>-535077757796638.38</v>
      </c>
      <c r="J5142" s="444">
        <f t="array" ref="J5142">IFERROR(INDEX('Retirement Calculator'!J:J,MATCH('Isaac 401k'!N5142,'Retirement Calculator'!A:A,0),0),0)</f>
        <v>0</v>
      </c>
      <c r="K5142" s="444">
        <f t="shared" ca="1" si="201"/>
        <v>-2229490657485.9932</v>
      </c>
      <c r="L5142" s="444">
        <f t="shared" ca="1" si="202"/>
        <v>-537307248454124.38</v>
      </c>
      <c r="M5142" s="460">
        <f t="shared" si="204"/>
        <v>0.05</v>
      </c>
      <c r="N5142" s="464">
        <f t="shared" si="205"/>
        <v>207551</v>
      </c>
    </row>
    <row r="5143" spans="7:14" ht="11.25" customHeight="1" x14ac:dyDescent="0.3">
      <c r="G5143" s="459"/>
      <c r="H5143" s="459">
        <v>5136</v>
      </c>
      <c r="I5143" s="444">
        <f t="shared" ca="1" si="203"/>
        <v>-537307248454124.38</v>
      </c>
      <c r="J5143" s="444">
        <f t="array" ref="J5143">IFERROR(INDEX('Retirement Calculator'!J:J,MATCH('Isaac 401k'!N5143,'Retirement Calculator'!A:A,0),0),0)</f>
        <v>0</v>
      </c>
      <c r="K5143" s="444">
        <f t="shared" ca="1" si="201"/>
        <v>-2238780201892.1851</v>
      </c>
      <c r="L5143" s="444">
        <f t="shared" ca="1" si="202"/>
        <v>-539546028656016.56</v>
      </c>
      <c r="M5143" s="460">
        <f t="shared" si="204"/>
        <v>0.05</v>
      </c>
      <c r="N5143" s="464">
        <f t="shared" si="205"/>
        <v>207581</v>
      </c>
    </row>
    <row r="5144" spans="7:14" ht="11.25" customHeight="1" x14ac:dyDescent="0.3">
      <c r="G5144" s="459"/>
      <c r="H5144" s="459">
        <v>5137</v>
      </c>
      <c r="I5144" s="444">
        <f t="shared" ca="1" si="203"/>
        <v>-539546028656016.56</v>
      </c>
      <c r="J5144" s="444">
        <f t="array" ref="J5144">IFERROR(INDEX('Retirement Calculator'!J:J,MATCH('Isaac 401k'!N5144,'Retirement Calculator'!A:A,0),0),0)</f>
        <v>0</v>
      </c>
      <c r="K5144" s="444">
        <f t="shared" ca="1" si="201"/>
        <v>-2248108452733.4023</v>
      </c>
      <c r="L5144" s="444">
        <f t="shared" ca="1" si="202"/>
        <v>-541794137108749.94</v>
      </c>
      <c r="M5144" s="460">
        <f t="shared" si="204"/>
        <v>0.05</v>
      </c>
      <c r="N5144" s="464">
        <f t="shared" si="205"/>
        <v>207612</v>
      </c>
    </row>
    <row r="5145" spans="7:14" ht="11.25" customHeight="1" x14ac:dyDescent="0.3">
      <c r="G5145" s="459"/>
      <c r="H5145" s="459">
        <v>5138</v>
      </c>
      <c r="I5145" s="444">
        <f t="shared" ca="1" si="203"/>
        <v>-541794137108749.94</v>
      </c>
      <c r="J5145" s="444">
        <f t="array" ref="J5145">IFERROR(INDEX('Retirement Calculator'!J:J,MATCH('Isaac 401k'!N5145,'Retirement Calculator'!A:A,0),0),0)</f>
        <v>0</v>
      </c>
      <c r="K5145" s="444">
        <f t="shared" ca="1" si="201"/>
        <v>-2257475571286.458</v>
      </c>
      <c r="L5145" s="444">
        <f t="shared" ca="1" si="202"/>
        <v>-544051612680036.38</v>
      </c>
      <c r="M5145" s="460">
        <f t="shared" si="204"/>
        <v>0.05</v>
      </c>
      <c r="N5145" s="464">
        <f t="shared" si="205"/>
        <v>207642</v>
      </c>
    </row>
    <row r="5146" spans="7:14" ht="11.25" customHeight="1" x14ac:dyDescent="0.3">
      <c r="G5146" s="459"/>
      <c r="H5146" s="459">
        <v>5139</v>
      </c>
      <c r="I5146" s="444">
        <f t="shared" ca="1" si="203"/>
        <v>-544051612680036.38</v>
      </c>
      <c r="J5146" s="444">
        <f t="array" ref="J5146">IFERROR(INDEX('Retirement Calculator'!J:J,MATCH('Isaac 401k'!N5146,'Retirement Calculator'!A:A,0),0),0)</f>
        <v>0</v>
      </c>
      <c r="K5146" s="444">
        <f t="shared" ca="1" si="201"/>
        <v>-2266881719500.1514</v>
      </c>
      <c r="L5146" s="444">
        <f t="shared" ca="1" si="202"/>
        <v>-546318494399536.5</v>
      </c>
      <c r="M5146" s="460">
        <f t="shared" si="204"/>
        <v>0.05</v>
      </c>
      <c r="N5146" s="464">
        <f t="shared" si="205"/>
        <v>207673</v>
      </c>
    </row>
    <row r="5147" spans="7:14" ht="11.25" customHeight="1" x14ac:dyDescent="0.3">
      <c r="G5147" s="459"/>
      <c r="H5147" s="459">
        <v>5140</v>
      </c>
      <c r="I5147" s="444">
        <f t="shared" ca="1" si="203"/>
        <v>-546318494399536.5</v>
      </c>
      <c r="J5147" s="444">
        <f t="array" ref="J5147">IFERROR(INDEX('Retirement Calculator'!J:J,MATCH('Isaac 401k'!N5147,'Retirement Calculator'!A:A,0),0),0)</f>
        <v>0</v>
      </c>
      <c r="K5147" s="444">
        <f t="shared" ca="1" si="201"/>
        <v>-2276327059998.0688</v>
      </c>
      <c r="L5147" s="444">
        <f t="shared" ca="1" si="202"/>
        <v>-548594821459534.56</v>
      </c>
      <c r="M5147" s="460">
        <f t="shared" si="204"/>
        <v>0.05</v>
      </c>
      <c r="N5147" s="464">
        <f t="shared" si="205"/>
        <v>207704</v>
      </c>
    </row>
    <row r="5148" spans="7:14" ht="11.25" customHeight="1" x14ac:dyDescent="0.3">
      <c r="G5148" s="459"/>
      <c r="H5148" s="459">
        <v>5141</v>
      </c>
      <c r="I5148" s="444">
        <f t="shared" ca="1" si="203"/>
        <v>-548594821459534.56</v>
      </c>
      <c r="J5148" s="444">
        <f t="array" ref="J5148">IFERROR(INDEX('Retirement Calculator'!J:J,MATCH('Isaac 401k'!N5148,'Retirement Calculator'!A:A,0),0),0)</f>
        <v>0</v>
      </c>
      <c r="K5148" s="444">
        <f t="shared" ca="1" si="201"/>
        <v>-2285811756081.394</v>
      </c>
      <c r="L5148" s="444">
        <f t="shared" ca="1" si="202"/>
        <v>-550880633215615.94</v>
      </c>
      <c r="M5148" s="460">
        <f t="shared" si="204"/>
        <v>0.05</v>
      </c>
      <c r="N5148" s="464">
        <f t="shared" si="205"/>
        <v>207734</v>
      </c>
    </row>
    <row r="5149" spans="7:14" ht="11.25" customHeight="1" x14ac:dyDescent="0.3">
      <c r="G5149" s="459"/>
      <c r="H5149" s="459">
        <v>5142</v>
      </c>
      <c r="I5149" s="444">
        <f t="shared" ca="1" si="203"/>
        <v>-550880633215615.94</v>
      </c>
      <c r="J5149" s="444">
        <f t="array" ref="J5149">IFERROR(INDEX('Retirement Calculator'!J:J,MATCH('Isaac 401k'!N5149,'Retirement Calculator'!A:A,0),0),0)</f>
        <v>0</v>
      </c>
      <c r="K5149" s="444">
        <f t="shared" ca="1" si="201"/>
        <v>-2295335971731.7329</v>
      </c>
      <c r="L5149" s="444">
        <f t="shared" ca="1" si="202"/>
        <v>-553175969187347.69</v>
      </c>
      <c r="M5149" s="460">
        <f t="shared" si="204"/>
        <v>0.05</v>
      </c>
      <c r="N5149" s="464">
        <f t="shared" si="205"/>
        <v>207765</v>
      </c>
    </row>
    <row r="5150" spans="7:14" ht="11.25" customHeight="1" x14ac:dyDescent="0.3">
      <c r="G5150" s="459"/>
      <c r="H5150" s="459">
        <v>5143</v>
      </c>
      <c r="I5150" s="444">
        <f t="shared" ca="1" si="203"/>
        <v>-553175969187347.69</v>
      </c>
      <c r="J5150" s="444">
        <f t="array" ref="J5150">IFERROR(INDEX('Retirement Calculator'!J:J,MATCH('Isaac 401k'!N5150,'Retirement Calculator'!A:A,0),0),0)</f>
        <v>0</v>
      </c>
      <c r="K5150" s="444">
        <f t="shared" ca="1" si="201"/>
        <v>-2304899871613.9487</v>
      </c>
      <c r="L5150" s="444">
        <f t="shared" ca="1" si="202"/>
        <v>-555480869058961.63</v>
      </c>
      <c r="M5150" s="460">
        <f t="shared" si="204"/>
        <v>0.05</v>
      </c>
      <c r="N5150" s="464">
        <f t="shared" si="205"/>
        <v>207795</v>
      </c>
    </row>
    <row r="5151" spans="7:14" ht="11.25" customHeight="1" x14ac:dyDescent="0.3">
      <c r="G5151" s="459"/>
      <c r="H5151" s="459">
        <v>5144</v>
      </c>
      <c r="I5151" s="444">
        <f t="shared" ca="1" si="203"/>
        <v>-555480869058961.63</v>
      </c>
      <c r="J5151" s="444">
        <f t="array" ref="J5151">IFERROR(INDEX('Retirement Calculator'!J:J,MATCH('Isaac 401k'!N5151,'Retirement Calculator'!A:A,0),0),0)</f>
        <v>0</v>
      </c>
      <c r="K5151" s="444">
        <f t="shared" ca="1" si="201"/>
        <v>-2314503621079.0068</v>
      </c>
      <c r="L5151" s="444">
        <f t="shared" ca="1" si="202"/>
        <v>-557795372680040.63</v>
      </c>
      <c r="M5151" s="460">
        <f t="shared" si="204"/>
        <v>0.05</v>
      </c>
      <c r="N5151" s="464">
        <f t="shared" si="205"/>
        <v>207826</v>
      </c>
    </row>
    <row r="5152" spans="7:14" ht="11.25" customHeight="1" x14ac:dyDescent="0.3">
      <c r="G5152" s="459"/>
      <c r="H5152" s="459">
        <v>5145</v>
      </c>
      <c r="I5152" s="444">
        <f t="shared" ca="1" si="203"/>
        <v>-557795372680040.63</v>
      </c>
      <c r="J5152" s="444">
        <f t="array" ref="J5152">IFERROR(INDEX('Retirement Calculator'!J:J,MATCH('Isaac 401k'!N5152,'Retirement Calculator'!A:A,0),0),0)</f>
        <v>0</v>
      </c>
      <c r="K5152" s="444">
        <f t="shared" ca="1" si="201"/>
        <v>-2324147386166.8359</v>
      </c>
      <c r="L5152" s="444">
        <f t="shared" ca="1" si="202"/>
        <v>-560119520066207.44</v>
      </c>
      <c r="M5152" s="460">
        <f t="shared" si="204"/>
        <v>0.05</v>
      </c>
      <c r="N5152" s="464">
        <f t="shared" si="205"/>
        <v>207857</v>
      </c>
    </row>
    <row r="5153" spans="7:14" ht="11.25" customHeight="1" x14ac:dyDescent="0.3">
      <c r="G5153" s="459"/>
      <c r="H5153" s="459">
        <v>5146</v>
      </c>
      <c r="I5153" s="444">
        <f t="shared" ca="1" si="203"/>
        <v>-560119520066207.44</v>
      </c>
      <c r="J5153" s="444">
        <f t="array" ref="J5153">IFERROR(INDEX('Retirement Calculator'!J:J,MATCH('Isaac 401k'!N5153,'Retirement Calculator'!A:A,0),0),0)</f>
        <v>0</v>
      </c>
      <c r="K5153" s="444">
        <f t="shared" ca="1" si="201"/>
        <v>-2333831333609.1978</v>
      </c>
      <c r="L5153" s="444">
        <f t="shared" ca="1" si="202"/>
        <v>-562453351399816.63</v>
      </c>
      <c r="M5153" s="460">
        <f t="shared" si="204"/>
        <v>0.05</v>
      </c>
      <c r="N5153" s="464">
        <f t="shared" si="205"/>
        <v>207885</v>
      </c>
    </row>
    <row r="5154" spans="7:14" ht="11.25" customHeight="1" x14ac:dyDescent="0.3">
      <c r="G5154" s="459"/>
      <c r="H5154" s="459">
        <v>5147</v>
      </c>
      <c r="I5154" s="444">
        <f t="shared" ca="1" si="203"/>
        <v>-562453351399816.63</v>
      </c>
      <c r="J5154" s="444">
        <f t="array" ref="J5154">IFERROR(INDEX('Retirement Calculator'!J:J,MATCH('Isaac 401k'!N5154,'Retirement Calculator'!A:A,0),0),0)</f>
        <v>0</v>
      </c>
      <c r="K5154" s="444">
        <f t="shared" ca="1" si="201"/>
        <v>-2343555630832.5693</v>
      </c>
      <c r="L5154" s="444">
        <f t="shared" ca="1" si="202"/>
        <v>-564796907030649.25</v>
      </c>
      <c r="M5154" s="460">
        <f t="shared" si="204"/>
        <v>0.05</v>
      </c>
      <c r="N5154" s="464">
        <f t="shared" si="205"/>
        <v>207916</v>
      </c>
    </row>
    <row r="5155" spans="7:14" ht="11.25" customHeight="1" x14ac:dyDescent="0.3">
      <c r="G5155" s="459"/>
      <c r="H5155" s="459">
        <v>5148</v>
      </c>
      <c r="I5155" s="444">
        <f t="shared" ca="1" si="203"/>
        <v>-564796907030649.25</v>
      </c>
      <c r="J5155" s="444">
        <f t="array" ref="J5155">IFERROR(INDEX('Retirement Calculator'!J:J,MATCH('Isaac 401k'!N5155,'Retirement Calculator'!A:A,0),0),0)</f>
        <v>0</v>
      </c>
      <c r="K5155" s="444">
        <f t="shared" ca="1" si="201"/>
        <v>-2353320445961.0386</v>
      </c>
      <c r="L5155" s="444">
        <f t="shared" ca="1" si="202"/>
        <v>-567150227476610.25</v>
      </c>
      <c r="M5155" s="460">
        <f t="shared" si="204"/>
        <v>0.05</v>
      </c>
      <c r="N5155" s="464">
        <f t="shared" si="205"/>
        <v>207946</v>
      </c>
    </row>
    <row r="5156" spans="7:14" ht="11.25" customHeight="1" x14ac:dyDescent="0.3">
      <c r="G5156" s="459"/>
      <c r="H5156" s="459">
        <v>5149</v>
      </c>
      <c r="I5156" s="444">
        <f t="shared" ca="1" si="203"/>
        <v>-567150227476610.25</v>
      </c>
      <c r="J5156" s="444">
        <f t="array" ref="J5156">IFERROR(INDEX('Retirement Calculator'!J:J,MATCH('Isaac 401k'!N5156,'Retirement Calculator'!A:A,0),0),0)</f>
        <v>0</v>
      </c>
      <c r="K5156" s="444">
        <f t="shared" ca="1" si="201"/>
        <v>-2363125947819.2095</v>
      </c>
      <c r="L5156" s="444">
        <f t="shared" ca="1" si="202"/>
        <v>-569513353424429.5</v>
      </c>
      <c r="M5156" s="460">
        <f t="shared" si="204"/>
        <v>0.05</v>
      </c>
      <c r="N5156" s="464">
        <f t="shared" si="205"/>
        <v>207977</v>
      </c>
    </row>
    <row r="5157" spans="7:14" ht="11.25" customHeight="1" x14ac:dyDescent="0.3">
      <c r="G5157" s="459"/>
      <c r="H5157" s="459">
        <v>5150</v>
      </c>
      <c r="I5157" s="444">
        <f t="shared" ca="1" si="203"/>
        <v>-569513353424429.5</v>
      </c>
      <c r="J5157" s="444">
        <f t="array" ref="J5157">IFERROR(INDEX('Retirement Calculator'!J:J,MATCH('Isaac 401k'!N5157,'Retirement Calculator'!A:A,0),0),0)</f>
        <v>0</v>
      </c>
      <c r="K5157" s="444">
        <f t="shared" ca="1" si="201"/>
        <v>-2372972305935.123</v>
      </c>
      <c r="L5157" s="444">
        <f t="shared" ca="1" si="202"/>
        <v>-571886325730364.63</v>
      </c>
      <c r="M5157" s="460">
        <f t="shared" si="204"/>
        <v>0.05</v>
      </c>
      <c r="N5157" s="464">
        <f t="shared" si="205"/>
        <v>208007</v>
      </c>
    </row>
    <row r="5158" spans="7:14" ht="11.25" customHeight="1" x14ac:dyDescent="0.3">
      <c r="G5158" s="459"/>
      <c r="H5158" s="459">
        <v>5151</v>
      </c>
      <c r="I5158" s="444">
        <f t="shared" ca="1" si="203"/>
        <v>-571886325730364.63</v>
      </c>
      <c r="J5158" s="444">
        <f t="array" ref="J5158">IFERROR(INDEX('Retirement Calculator'!J:J,MATCH('Isaac 401k'!N5158,'Retirement Calculator'!A:A,0),0),0)</f>
        <v>0</v>
      </c>
      <c r="K5158" s="444">
        <f t="shared" ca="1" si="201"/>
        <v>-2382859690543.186</v>
      </c>
      <c r="L5158" s="444">
        <f t="shared" ca="1" si="202"/>
        <v>-574269185420907.75</v>
      </c>
      <c r="M5158" s="460">
        <f t="shared" si="204"/>
        <v>0.05</v>
      </c>
      <c r="N5158" s="464">
        <f t="shared" si="205"/>
        <v>208038</v>
      </c>
    </row>
    <row r="5159" spans="7:14" ht="11.25" customHeight="1" x14ac:dyDescent="0.3">
      <c r="G5159" s="459"/>
      <c r="H5159" s="459">
        <v>5152</v>
      </c>
      <c r="I5159" s="444">
        <f t="shared" ca="1" si="203"/>
        <v>-574269185420907.75</v>
      </c>
      <c r="J5159" s="444">
        <f t="array" ref="J5159">IFERROR(INDEX('Retirement Calculator'!J:J,MATCH('Isaac 401k'!N5159,'Retirement Calculator'!A:A,0),0),0)</f>
        <v>0</v>
      </c>
      <c r="K5159" s="444">
        <f t="shared" ca="1" si="201"/>
        <v>-2392788272587.1157</v>
      </c>
      <c r="L5159" s="444">
        <f t="shared" ca="1" si="202"/>
        <v>-576661973693494.88</v>
      </c>
      <c r="M5159" s="460">
        <f t="shared" si="204"/>
        <v>0.05</v>
      </c>
      <c r="N5159" s="464">
        <f t="shared" si="205"/>
        <v>208069</v>
      </c>
    </row>
    <row r="5160" spans="7:14" ht="11.25" customHeight="1" x14ac:dyDescent="0.3">
      <c r="G5160" s="459"/>
      <c r="H5160" s="459">
        <v>5153</v>
      </c>
      <c r="I5160" s="444">
        <f t="shared" ca="1" si="203"/>
        <v>-576661973693494.88</v>
      </c>
      <c r="J5160" s="444">
        <f t="array" ref="J5160">IFERROR(INDEX('Retirement Calculator'!J:J,MATCH('Isaac 401k'!N5160,'Retirement Calculator'!A:A,0),0),0)</f>
        <v>0</v>
      </c>
      <c r="K5160" s="444">
        <f t="shared" ca="1" si="201"/>
        <v>-2402758223722.8955</v>
      </c>
      <c r="L5160" s="444">
        <f t="shared" ca="1" si="202"/>
        <v>-579064731917217.75</v>
      </c>
      <c r="M5160" s="460">
        <f t="shared" si="204"/>
        <v>0.05</v>
      </c>
      <c r="N5160" s="464">
        <f t="shared" si="205"/>
        <v>208099</v>
      </c>
    </row>
    <row r="5161" spans="7:14" ht="11.25" customHeight="1" x14ac:dyDescent="0.3">
      <c r="G5161" s="459"/>
      <c r="H5161" s="459">
        <v>5154</v>
      </c>
      <c r="I5161" s="444">
        <f t="shared" ca="1" si="203"/>
        <v>-579064731917217.75</v>
      </c>
      <c r="J5161" s="444">
        <f t="array" ref="J5161">IFERROR(INDEX('Retirement Calculator'!J:J,MATCH('Isaac 401k'!N5161,'Retirement Calculator'!A:A,0),0),0)</f>
        <v>0</v>
      </c>
      <c r="K5161" s="444">
        <f t="shared" ca="1" si="201"/>
        <v>-2412769716321.7407</v>
      </c>
      <c r="L5161" s="444">
        <f t="shared" ca="1" si="202"/>
        <v>-581477501633539.5</v>
      </c>
      <c r="M5161" s="460">
        <f t="shared" si="204"/>
        <v>0.05</v>
      </c>
      <c r="N5161" s="464">
        <f t="shared" si="205"/>
        <v>208130</v>
      </c>
    </row>
    <row r="5162" spans="7:14" ht="11.25" customHeight="1" x14ac:dyDescent="0.3">
      <c r="G5162" s="459"/>
      <c r="H5162" s="459">
        <v>5155</v>
      </c>
      <c r="I5162" s="444">
        <f t="shared" ca="1" si="203"/>
        <v>-581477501633539.5</v>
      </c>
      <c r="J5162" s="444">
        <f t="array" ref="J5162">IFERROR(INDEX('Retirement Calculator'!J:J,MATCH('Isaac 401k'!N5162,'Retirement Calculator'!A:A,0),0),0)</f>
        <v>0</v>
      </c>
      <c r="K5162" s="444">
        <f t="shared" ca="1" si="201"/>
        <v>-2422822923473.0811</v>
      </c>
      <c r="L5162" s="444">
        <f t="shared" ca="1" si="202"/>
        <v>-583900324557012.63</v>
      </c>
      <c r="M5162" s="460">
        <f t="shared" si="204"/>
        <v>0.05</v>
      </c>
      <c r="N5162" s="464">
        <f t="shared" si="205"/>
        <v>208160</v>
      </c>
    </row>
    <row r="5163" spans="7:14" ht="11.25" customHeight="1" x14ac:dyDescent="0.3">
      <c r="G5163" s="459"/>
      <c r="H5163" s="459">
        <v>5156</v>
      </c>
      <c r="I5163" s="444">
        <f t="shared" ca="1" si="203"/>
        <v>-583900324557012.63</v>
      </c>
      <c r="J5163" s="444">
        <f t="array" ref="J5163">IFERROR(INDEX('Retirement Calculator'!J:J,MATCH('Isaac 401k'!N5163,'Retirement Calculator'!A:A,0),0),0)</f>
        <v>0</v>
      </c>
      <c r="K5163" s="444">
        <f t="shared" ca="1" si="201"/>
        <v>-2432918018987.5527</v>
      </c>
      <c r="L5163" s="444">
        <f t="shared" ca="1" si="202"/>
        <v>-586333242576000.13</v>
      </c>
      <c r="M5163" s="460">
        <f t="shared" si="204"/>
        <v>0.05</v>
      </c>
      <c r="N5163" s="464">
        <f t="shared" si="205"/>
        <v>208191</v>
      </c>
    </row>
    <row r="5164" spans="7:14" ht="11.25" customHeight="1" x14ac:dyDescent="0.3">
      <c r="G5164" s="459"/>
      <c r="H5164" s="459">
        <v>5157</v>
      </c>
      <c r="I5164" s="444">
        <f t="shared" ca="1" si="203"/>
        <v>-586333242576000.13</v>
      </c>
      <c r="J5164" s="444">
        <f t="array" ref="J5164">IFERROR(INDEX('Retirement Calculator'!J:J,MATCH('Isaac 401k'!N5164,'Retirement Calculator'!A:A,0),0),0)</f>
        <v>0</v>
      </c>
      <c r="K5164" s="444">
        <f t="shared" ca="1" si="201"/>
        <v>-2443055177400.0005</v>
      </c>
      <c r="L5164" s="444">
        <f t="shared" ca="1" si="202"/>
        <v>-588776297753400.13</v>
      </c>
      <c r="M5164" s="460">
        <f t="shared" si="204"/>
        <v>0.05</v>
      </c>
      <c r="N5164" s="464">
        <f t="shared" si="205"/>
        <v>208222</v>
      </c>
    </row>
    <row r="5165" spans="7:14" ht="11.25" customHeight="1" x14ac:dyDescent="0.3">
      <c r="G5165" s="459"/>
      <c r="H5165" s="459">
        <v>5158</v>
      </c>
      <c r="I5165" s="444">
        <f t="shared" ca="1" si="203"/>
        <v>-588776297753400.13</v>
      </c>
      <c r="J5165" s="444">
        <f t="array" ref="J5165">IFERROR(INDEX('Retirement Calculator'!J:J,MATCH('Isaac 401k'!N5165,'Retirement Calculator'!A:A,0),0),0)</f>
        <v>0</v>
      </c>
      <c r="K5165" s="444">
        <f t="shared" ca="1" si="201"/>
        <v>-2453234573972.5005</v>
      </c>
      <c r="L5165" s="444">
        <f t="shared" ca="1" si="202"/>
        <v>-591229532327372.63</v>
      </c>
      <c r="M5165" s="460">
        <f t="shared" si="204"/>
        <v>0.05</v>
      </c>
      <c r="N5165" s="464">
        <f t="shared" si="205"/>
        <v>208250</v>
      </c>
    </row>
    <row r="5166" spans="7:14" ht="11.25" customHeight="1" x14ac:dyDescent="0.3">
      <c r="G5166" s="459"/>
      <c r="H5166" s="459">
        <v>5159</v>
      </c>
      <c r="I5166" s="444">
        <f t="shared" ca="1" si="203"/>
        <v>-591229532327372.63</v>
      </c>
      <c r="J5166" s="444">
        <f t="array" ref="J5166">IFERROR(INDEX('Retirement Calculator'!J:J,MATCH('Isaac 401k'!N5166,'Retirement Calculator'!A:A,0),0),0)</f>
        <v>0</v>
      </c>
      <c r="K5166" s="444">
        <f t="shared" ca="1" si="201"/>
        <v>-2463456384697.3857</v>
      </c>
      <c r="L5166" s="444">
        <f t="shared" ca="1" si="202"/>
        <v>-593692988712070</v>
      </c>
      <c r="M5166" s="460">
        <f t="shared" si="204"/>
        <v>0.05</v>
      </c>
      <c r="N5166" s="464">
        <f t="shared" si="205"/>
        <v>208281</v>
      </c>
    </row>
    <row r="5167" spans="7:14" ht="11.25" customHeight="1" x14ac:dyDescent="0.3">
      <c r="G5167" s="459"/>
      <c r="H5167" s="459">
        <v>5160</v>
      </c>
      <c r="I5167" s="444">
        <f t="shared" ca="1" si="203"/>
        <v>-593692988712070</v>
      </c>
      <c r="J5167" s="444">
        <f t="array" ref="J5167">IFERROR(INDEX('Retirement Calculator'!J:J,MATCH('Isaac 401k'!N5167,'Retirement Calculator'!A:A,0),0),0)</f>
        <v>0</v>
      </c>
      <c r="K5167" s="444">
        <f t="shared" ca="1" si="201"/>
        <v>-2473720786300.2915</v>
      </c>
      <c r="L5167" s="444">
        <f t="shared" ca="1" si="202"/>
        <v>-596166709498370.25</v>
      </c>
      <c r="M5167" s="460">
        <f t="shared" si="204"/>
        <v>0.05</v>
      </c>
      <c r="N5167" s="464">
        <f t="shared" si="205"/>
        <v>208311</v>
      </c>
    </row>
    <row r="5168" spans="7:14" ht="11.25" customHeight="1" x14ac:dyDescent="0.3">
      <c r="G5168" s="459"/>
      <c r="H5168" s="459">
        <v>5161</v>
      </c>
      <c r="I5168" s="444">
        <f t="shared" ca="1" si="203"/>
        <v>-596166709498370.25</v>
      </c>
      <c r="J5168" s="444">
        <f t="array" ref="J5168">IFERROR(INDEX('Retirement Calculator'!J:J,MATCH('Isaac 401k'!N5168,'Retirement Calculator'!A:A,0),0),0)</f>
        <v>0</v>
      </c>
      <c r="K5168" s="444">
        <f t="shared" ca="1" si="201"/>
        <v>-2484027956243.2095</v>
      </c>
      <c r="L5168" s="444">
        <f t="shared" ca="1" si="202"/>
        <v>-598650737454613.5</v>
      </c>
      <c r="M5168" s="460">
        <f t="shared" si="204"/>
        <v>0.05</v>
      </c>
      <c r="N5168" s="464">
        <f t="shared" si="205"/>
        <v>208342</v>
      </c>
    </row>
    <row r="5169" spans="7:14" ht="11.25" customHeight="1" x14ac:dyDescent="0.3">
      <c r="G5169" s="459"/>
      <c r="H5169" s="459">
        <v>5162</v>
      </c>
      <c r="I5169" s="444">
        <f t="shared" ca="1" si="203"/>
        <v>-598650737454613.5</v>
      </c>
      <c r="J5169" s="444">
        <f t="array" ref="J5169">IFERROR(INDEX('Retirement Calculator'!J:J,MATCH('Isaac 401k'!N5169,'Retirement Calculator'!A:A,0),0),0)</f>
        <v>0</v>
      </c>
      <c r="K5169" s="444">
        <f t="shared" ca="1" si="201"/>
        <v>-2494378072727.5562</v>
      </c>
      <c r="L5169" s="444">
        <f t="shared" ca="1" si="202"/>
        <v>-601145115527341</v>
      </c>
      <c r="M5169" s="460">
        <f t="shared" si="204"/>
        <v>0.05</v>
      </c>
      <c r="N5169" s="464">
        <f t="shared" si="205"/>
        <v>208372</v>
      </c>
    </row>
    <row r="5170" spans="7:14" ht="11.25" customHeight="1" x14ac:dyDescent="0.3">
      <c r="G5170" s="459"/>
      <c r="H5170" s="459">
        <v>5163</v>
      </c>
      <c r="I5170" s="444">
        <f t="shared" ca="1" si="203"/>
        <v>-601145115527341</v>
      </c>
      <c r="J5170" s="444">
        <f t="array" ref="J5170">IFERROR(INDEX('Retirement Calculator'!J:J,MATCH('Isaac 401k'!N5170,'Retirement Calculator'!A:A,0),0),0)</f>
        <v>0</v>
      </c>
      <c r="K5170" s="444">
        <f t="shared" ca="1" si="201"/>
        <v>-2504771314697.2539</v>
      </c>
      <c r="L5170" s="444">
        <f t="shared" ca="1" si="202"/>
        <v>-603649886842038.25</v>
      </c>
      <c r="M5170" s="460">
        <f t="shared" si="204"/>
        <v>0.05</v>
      </c>
      <c r="N5170" s="464">
        <f t="shared" si="205"/>
        <v>208403</v>
      </c>
    </row>
    <row r="5171" spans="7:14" ht="11.25" customHeight="1" x14ac:dyDescent="0.3">
      <c r="G5171" s="459"/>
      <c r="H5171" s="459">
        <v>5164</v>
      </c>
      <c r="I5171" s="444">
        <f t="shared" ca="1" si="203"/>
        <v>-603649886842038.25</v>
      </c>
      <c r="J5171" s="444">
        <f t="array" ref="J5171">IFERROR(INDEX('Retirement Calculator'!J:J,MATCH('Isaac 401k'!N5171,'Retirement Calculator'!A:A,0),0),0)</f>
        <v>0</v>
      </c>
      <c r="K5171" s="444">
        <f t="shared" ca="1" si="201"/>
        <v>-2515207861841.8262</v>
      </c>
      <c r="L5171" s="444">
        <f t="shared" ca="1" si="202"/>
        <v>-606165094703880.13</v>
      </c>
      <c r="M5171" s="460">
        <f t="shared" si="204"/>
        <v>0.05</v>
      </c>
      <c r="N5171" s="464">
        <f t="shared" si="205"/>
        <v>208434</v>
      </c>
    </row>
    <row r="5172" spans="7:14" ht="11.25" customHeight="1" x14ac:dyDescent="0.3">
      <c r="G5172" s="459"/>
      <c r="H5172" s="459">
        <v>5165</v>
      </c>
      <c r="I5172" s="444">
        <f t="shared" ca="1" si="203"/>
        <v>-606165094703880.13</v>
      </c>
      <c r="J5172" s="444">
        <f t="array" ref="J5172">IFERROR(INDEX('Retirement Calculator'!J:J,MATCH('Isaac 401k'!N5172,'Retirement Calculator'!A:A,0),0),0)</f>
        <v>0</v>
      </c>
      <c r="K5172" s="444">
        <f t="shared" ca="1" si="201"/>
        <v>-2525687894599.5005</v>
      </c>
      <c r="L5172" s="444">
        <f t="shared" ca="1" si="202"/>
        <v>-608690782598479.63</v>
      </c>
      <c r="M5172" s="460">
        <f t="shared" si="204"/>
        <v>0.05</v>
      </c>
      <c r="N5172" s="464">
        <f t="shared" si="205"/>
        <v>208464</v>
      </c>
    </row>
    <row r="5173" spans="7:14" ht="11.25" customHeight="1" x14ac:dyDescent="0.3">
      <c r="G5173" s="459"/>
      <c r="H5173" s="459">
        <v>5166</v>
      </c>
      <c r="I5173" s="444">
        <f t="shared" ca="1" si="203"/>
        <v>-608690782598479.63</v>
      </c>
      <c r="J5173" s="444">
        <f t="array" ref="J5173">IFERROR(INDEX('Retirement Calculator'!J:J,MATCH('Isaac 401k'!N5173,'Retirement Calculator'!A:A,0),0),0)</f>
        <v>0</v>
      </c>
      <c r="K5173" s="444">
        <f t="shared" ca="1" si="201"/>
        <v>-2536211594160.3315</v>
      </c>
      <c r="L5173" s="444">
        <f t="shared" ca="1" si="202"/>
        <v>-611226994192640</v>
      </c>
      <c r="M5173" s="460">
        <f t="shared" si="204"/>
        <v>0.05</v>
      </c>
      <c r="N5173" s="464">
        <f t="shared" si="205"/>
        <v>208495</v>
      </c>
    </row>
    <row r="5174" spans="7:14" ht="11.25" customHeight="1" x14ac:dyDescent="0.3">
      <c r="G5174" s="459"/>
      <c r="H5174" s="459">
        <v>5167</v>
      </c>
      <c r="I5174" s="444">
        <f t="shared" ca="1" si="203"/>
        <v>-611226994192640</v>
      </c>
      <c r="J5174" s="444">
        <f t="array" ref="J5174">IFERROR(INDEX('Retirement Calculator'!J:J,MATCH('Isaac 401k'!N5174,'Retirement Calculator'!A:A,0),0),0)</f>
        <v>0</v>
      </c>
      <c r="K5174" s="444">
        <f t="shared" ca="1" si="201"/>
        <v>-2546779142469.3335</v>
      </c>
      <c r="L5174" s="444">
        <f t="shared" ca="1" si="202"/>
        <v>-613773773335109.38</v>
      </c>
      <c r="M5174" s="460">
        <f t="shared" si="204"/>
        <v>0.05</v>
      </c>
      <c r="N5174" s="464">
        <f t="shared" si="205"/>
        <v>208525</v>
      </c>
    </row>
    <row r="5175" spans="7:14" ht="11.25" customHeight="1" x14ac:dyDescent="0.3">
      <c r="G5175" s="459"/>
      <c r="H5175" s="459">
        <v>5168</v>
      </c>
      <c r="I5175" s="444">
        <f t="shared" ca="1" si="203"/>
        <v>-613773773335109.38</v>
      </c>
      <c r="J5175" s="444">
        <f t="array" ref="J5175">IFERROR(INDEX('Retirement Calculator'!J:J,MATCH('Isaac 401k'!N5175,'Retirement Calculator'!A:A,0),0),0)</f>
        <v>0</v>
      </c>
      <c r="K5175" s="444">
        <f t="shared" ca="1" si="201"/>
        <v>-2557390722229.6226</v>
      </c>
      <c r="L5175" s="444">
        <f t="shared" ca="1" si="202"/>
        <v>-616331164057339</v>
      </c>
      <c r="M5175" s="460">
        <f t="shared" si="204"/>
        <v>0.05</v>
      </c>
      <c r="N5175" s="464">
        <f t="shared" si="205"/>
        <v>208556</v>
      </c>
    </row>
    <row r="5176" spans="7:14" ht="11.25" customHeight="1" x14ac:dyDescent="0.3">
      <c r="G5176" s="459"/>
      <c r="H5176" s="459">
        <v>5169</v>
      </c>
      <c r="I5176" s="444">
        <f t="shared" ca="1" si="203"/>
        <v>-616331164057339</v>
      </c>
      <c r="J5176" s="444">
        <f t="array" ref="J5176">IFERROR(INDEX('Retirement Calculator'!J:J,MATCH('Isaac 401k'!N5176,'Retirement Calculator'!A:A,0),0),0)</f>
        <v>0</v>
      </c>
      <c r="K5176" s="444">
        <f t="shared" ca="1" si="201"/>
        <v>-2568046516905.5791</v>
      </c>
      <c r="L5176" s="444">
        <f t="shared" ca="1" si="202"/>
        <v>-618899210574244.63</v>
      </c>
      <c r="M5176" s="460">
        <f t="shared" si="204"/>
        <v>0.05</v>
      </c>
      <c r="N5176" s="464">
        <f t="shared" si="205"/>
        <v>208587</v>
      </c>
    </row>
    <row r="5177" spans="7:14" ht="11.25" customHeight="1" x14ac:dyDescent="0.3">
      <c r="G5177" s="459"/>
      <c r="H5177" s="459">
        <v>5170</v>
      </c>
      <c r="I5177" s="444">
        <f t="shared" ca="1" si="203"/>
        <v>-618899210574244.63</v>
      </c>
      <c r="J5177" s="444">
        <f t="array" ref="J5177">IFERROR(INDEX('Retirement Calculator'!J:J,MATCH('Isaac 401k'!N5177,'Retirement Calculator'!A:A,0),0),0)</f>
        <v>0</v>
      </c>
      <c r="K5177" s="444">
        <f t="shared" ca="1" si="201"/>
        <v>-2578746710726.019</v>
      </c>
      <c r="L5177" s="444">
        <f t="shared" ca="1" si="202"/>
        <v>-621477957284970.63</v>
      </c>
      <c r="M5177" s="460">
        <f t="shared" si="204"/>
        <v>0.05</v>
      </c>
      <c r="N5177" s="464">
        <f t="shared" si="205"/>
        <v>208615</v>
      </c>
    </row>
    <row r="5178" spans="7:14" ht="11.25" customHeight="1" x14ac:dyDescent="0.3">
      <c r="G5178" s="459"/>
      <c r="H5178" s="459">
        <v>5171</v>
      </c>
      <c r="I5178" s="444">
        <f t="shared" ca="1" si="203"/>
        <v>-621477957284970.63</v>
      </c>
      <c r="J5178" s="444">
        <f t="array" ref="J5178">IFERROR(INDEX('Retirement Calculator'!J:J,MATCH('Isaac 401k'!N5178,'Retirement Calculator'!A:A,0),0),0)</f>
        <v>0</v>
      </c>
      <c r="K5178" s="444">
        <f t="shared" ca="1" si="201"/>
        <v>-2589491488687.3774</v>
      </c>
      <c r="L5178" s="444">
        <f t="shared" ca="1" si="202"/>
        <v>-624067448773658</v>
      </c>
      <c r="M5178" s="460">
        <f t="shared" si="204"/>
        <v>0.05</v>
      </c>
      <c r="N5178" s="464">
        <f t="shared" si="205"/>
        <v>208646</v>
      </c>
    </row>
    <row r="5179" spans="7:14" ht="11.25" customHeight="1" x14ac:dyDescent="0.3">
      <c r="G5179" s="459"/>
      <c r="H5179" s="459">
        <v>5172</v>
      </c>
      <c r="I5179" s="444">
        <f t="shared" ca="1" si="203"/>
        <v>-624067448773658</v>
      </c>
      <c r="J5179" s="444">
        <f t="array" ref="J5179">IFERROR(INDEX('Retirement Calculator'!J:J,MATCH('Isaac 401k'!N5179,'Retirement Calculator'!A:A,0),0),0)</f>
        <v>0</v>
      </c>
      <c r="K5179" s="444">
        <f t="shared" ca="1" si="201"/>
        <v>-2600281036556.9082</v>
      </c>
      <c r="L5179" s="444">
        <f t="shared" ca="1" si="202"/>
        <v>-626667729810214.88</v>
      </c>
      <c r="M5179" s="460">
        <f t="shared" si="204"/>
        <v>0.05</v>
      </c>
      <c r="N5179" s="464">
        <f t="shared" si="205"/>
        <v>208676</v>
      </c>
    </row>
    <row r="5180" spans="7:14" ht="11.25" customHeight="1" x14ac:dyDescent="0.3">
      <c r="G5180" s="459"/>
      <c r="H5180" s="459">
        <v>5173</v>
      </c>
      <c r="I5180" s="444">
        <f t="shared" ca="1" si="203"/>
        <v>-626667729810214.88</v>
      </c>
      <c r="J5180" s="444">
        <f t="array" ref="J5180">IFERROR(INDEX('Retirement Calculator'!J:J,MATCH('Isaac 401k'!N5180,'Retirement Calculator'!A:A,0),0),0)</f>
        <v>0</v>
      </c>
      <c r="K5180" s="444">
        <f t="shared" ca="1" si="201"/>
        <v>-2611115540875.8955</v>
      </c>
      <c r="L5180" s="444">
        <f t="shared" ca="1" si="202"/>
        <v>-629278845351090.75</v>
      </c>
      <c r="M5180" s="460">
        <f t="shared" si="204"/>
        <v>0.05</v>
      </c>
      <c r="N5180" s="464">
        <f t="shared" si="205"/>
        <v>208707</v>
      </c>
    </row>
    <row r="5181" spans="7:14" ht="11.25" customHeight="1" x14ac:dyDescent="0.3">
      <c r="G5181" s="459"/>
      <c r="H5181" s="459">
        <v>5174</v>
      </c>
      <c r="I5181" s="444">
        <f t="shared" ca="1" si="203"/>
        <v>-629278845351090.75</v>
      </c>
      <c r="J5181" s="444">
        <f t="array" ref="J5181">IFERROR(INDEX('Retirement Calculator'!J:J,MATCH('Isaac 401k'!N5181,'Retirement Calculator'!A:A,0),0),0)</f>
        <v>0</v>
      </c>
      <c r="K5181" s="444">
        <f t="shared" ca="1" si="201"/>
        <v>-2621995188962.8779</v>
      </c>
      <c r="L5181" s="444">
        <f t="shared" ca="1" si="202"/>
        <v>-631900840540053.63</v>
      </c>
      <c r="M5181" s="460">
        <f t="shared" si="204"/>
        <v>0.05</v>
      </c>
      <c r="N5181" s="464">
        <f t="shared" si="205"/>
        <v>208737</v>
      </c>
    </row>
    <row r="5182" spans="7:14" ht="11.25" customHeight="1" x14ac:dyDescent="0.3">
      <c r="G5182" s="459"/>
      <c r="H5182" s="459">
        <v>5175</v>
      </c>
      <c r="I5182" s="444">
        <f t="shared" ca="1" si="203"/>
        <v>-631900840540053.63</v>
      </c>
      <c r="J5182" s="444">
        <f t="array" ref="J5182">IFERROR(INDEX('Retirement Calculator'!J:J,MATCH('Isaac 401k'!N5182,'Retirement Calculator'!A:A,0),0),0)</f>
        <v>0</v>
      </c>
      <c r="K5182" s="444">
        <f t="shared" ca="1" si="201"/>
        <v>-2632920168916.8901</v>
      </c>
      <c r="L5182" s="444">
        <f t="shared" ca="1" si="202"/>
        <v>-634533760708970.5</v>
      </c>
      <c r="M5182" s="460">
        <f t="shared" si="204"/>
        <v>0.05</v>
      </c>
      <c r="N5182" s="464">
        <f t="shared" si="205"/>
        <v>208768</v>
      </c>
    </row>
    <row r="5183" spans="7:14" ht="11.25" customHeight="1" x14ac:dyDescent="0.3">
      <c r="G5183" s="459"/>
      <c r="H5183" s="459">
        <v>5176</v>
      </c>
      <c r="I5183" s="444">
        <f t="shared" ca="1" si="203"/>
        <v>-634533760708970.5</v>
      </c>
      <c r="J5183" s="444">
        <f t="array" ref="J5183">IFERROR(INDEX('Retirement Calculator'!J:J,MATCH('Isaac 401k'!N5183,'Retirement Calculator'!A:A,0),0),0)</f>
        <v>0</v>
      </c>
      <c r="K5183" s="444">
        <f t="shared" ca="1" si="201"/>
        <v>-2643890669620.7104</v>
      </c>
      <c r="L5183" s="444">
        <f t="shared" ca="1" si="202"/>
        <v>-637177651378591.25</v>
      </c>
      <c r="M5183" s="460">
        <f t="shared" si="204"/>
        <v>0.05</v>
      </c>
      <c r="N5183" s="464">
        <f t="shared" si="205"/>
        <v>208799</v>
      </c>
    </row>
    <row r="5184" spans="7:14" ht="11.25" customHeight="1" x14ac:dyDescent="0.3">
      <c r="G5184" s="459"/>
      <c r="H5184" s="459">
        <v>5177</v>
      </c>
      <c r="I5184" s="444">
        <f t="shared" ca="1" si="203"/>
        <v>-637177651378591.25</v>
      </c>
      <c r="J5184" s="444">
        <f t="array" ref="J5184">IFERROR(INDEX('Retirement Calculator'!J:J,MATCH('Isaac 401k'!N5184,'Retirement Calculator'!A:A,0),0),0)</f>
        <v>0</v>
      </c>
      <c r="K5184" s="444">
        <f t="shared" ca="1" si="201"/>
        <v>-2654906880744.1304</v>
      </c>
      <c r="L5184" s="444">
        <f t="shared" ca="1" si="202"/>
        <v>-639832558259335.38</v>
      </c>
      <c r="M5184" s="460">
        <f t="shared" si="204"/>
        <v>0.05</v>
      </c>
      <c r="N5184" s="464">
        <f t="shared" si="205"/>
        <v>208829</v>
      </c>
    </row>
    <row r="5185" spans="7:14" ht="11.25" customHeight="1" x14ac:dyDescent="0.3">
      <c r="G5185" s="459"/>
      <c r="H5185" s="459">
        <v>5178</v>
      </c>
      <c r="I5185" s="444">
        <f t="shared" ca="1" si="203"/>
        <v>-639832558259335.38</v>
      </c>
      <c r="J5185" s="444">
        <f t="array" ref="J5185">IFERROR(INDEX('Retirement Calculator'!J:J,MATCH('Isaac 401k'!N5185,'Retirement Calculator'!A:A,0),0),0)</f>
        <v>0</v>
      </c>
      <c r="K5185" s="444">
        <f t="shared" ca="1" si="201"/>
        <v>-2665968992747.2305</v>
      </c>
      <c r="L5185" s="444">
        <f t="shared" ca="1" si="202"/>
        <v>-642498527252082.63</v>
      </c>
      <c r="M5185" s="460">
        <f t="shared" si="204"/>
        <v>0.05</v>
      </c>
      <c r="N5185" s="464">
        <f t="shared" si="205"/>
        <v>208860</v>
      </c>
    </row>
    <row r="5186" spans="7:14" ht="11.25" customHeight="1" x14ac:dyDescent="0.3">
      <c r="G5186" s="459"/>
      <c r="H5186" s="459">
        <v>5179</v>
      </c>
      <c r="I5186" s="444">
        <f t="shared" ca="1" si="203"/>
        <v>-642498527252082.63</v>
      </c>
      <c r="J5186" s="444">
        <f t="array" ref="J5186">IFERROR(INDEX('Retirement Calculator'!J:J,MATCH('Isaac 401k'!N5186,'Retirement Calculator'!A:A,0),0),0)</f>
        <v>0</v>
      </c>
      <c r="K5186" s="444">
        <f t="shared" ca="1" si="201"/>
        <v>-2677077196883.6777</v>
      </c>
      <c r="L5186" s="444">
        <f t="shared" ca="1" si="202"/>
        <v>-645175604448966.25</v>
      </c>
      <c r="M5186" s="460">
        <f t="shared" si="204"/>
        <v>0.05</v>
      </c>
      <c r="N5186" s="464">
        <f t="shared" si="205"/>
        <v>208890</v>
      </c>
    </row>
    <row r="5187" spans="7:14" ht="11.25" customHeight="1" x14ac:dyDescent="0.3">
      <c r="G5187" s="459"/>
      <c r="H5187" s="459">
        <v>5180</v>
      </c>
      <c r="I5187" s="444">
        <f t="shared" ca="1" si="203"/>
        <v>-645175604448966.25</v>
      </c>
      <c r="J5187" s="444">
        <f t="array" ref="J5187">IFERROR(INDEX('Retirement Calculator'!J:J,MATCH('Isaac 401k'!N5187,'Retirement Calculator'!A:A,0),0),0)</f>
        <v>0</v>
      </c>
      <c r="K5187" s="444">
        <f t="shared" ca="1" si="201"/>
        <v>-2688231685204.0259</v>
      </c>
      <c r="L5187" s="444">
        <f t="shared" ca="1" si="202"/>
        <v>-647863836134170.25</v>
      </c>
      <c r="M5187" s="460">
        <f t="shared" si="204"/>
        <v>0.05</v>
      </c>
      <c r="N5187" s="464">
        <f t="shared" si="205"/>
        <v>208921</v>
      </c>
    </row>
    <row r="5188" spans="7:14" ht="11.25" customHeight="1" x14ac:dyDescent="0.3">
      <c r="G5188" s="459"/>
      <c r="H5188" s="459">
        <v>5181</v>
      </c>
      <c r="I5188" s="444">
        <f t="shared" ca="1" si="203"/>
        <v>-647863836134170.25</v>
      </c>
      <c r="J5188" s="444">
        <f t="array" ref="J5188">IFERROR(INDEX('Retirement Calculator'!J:J,MATCH('Isaac 401k'!N5188,'Retirement Calculator'!A:A,0),0),0)</f>
        <v>0</v>
      </c>
      <c r="K5188" s="444">
        <f t="shared" ca="1" si="201"/>
        <v>-2699432650559.0425</v>
      </c>
      <c r="L5188" s="444">
        <f t="shared" ca="1" si="202"/>
        <v>-650563268784729.25</v>
      </c>
      <c r="M5188" s="460">
        <f t="shared" si="204"/>
        <v>0.05</v>
      </c>
      <c r="N5188" s="464">
        <f t="shared" si="205"/>
        <v>208952</v>
      </c>
    </row>
    <row r="5189" spans="7:14" ht="11.25" customHeight="1" x14ac:dyDescent="0.3">
      <c r="G5189" s="459"/>
      <c r="H5189" s="459">
        <v>5182</v>
      </c>
      <c r="I5189" s="444">
        <f t="shared" ca="1" si="203"/>
        <v>-650563268784729.25</v>
      </c>
      <c r="J5189" s="444">
        <f t="array" ref="J5189">IFERROR(INDEX('Retirement Calculator'!J:J,MATCH('Isaac 401k'!N5189,'Retirement Calculator'!A:A,0),0),0)</f>
        <v>0</v>
      </c>
      <c r="K5189" s="444">
        <f t="shared" ca="1" si="201"/>
        <v>-2710680286603.0386</v>
      </c>
      <c r="L5189" s="444">
        <f t="shared" ca="1" si="202"/>
        <v>-653273949071332.25</v>
      </c>
      <c r="M5189" s="460">
        <f t="shared" si="204"/>
        <v>0.05</v>
      </c>
      <c r="N5189" s="464">
        <f t="shared" si="205"/>
        <v>208981</v>
      </c>
    </row>
    <row r="5190" spans="7:14" ht="11.25" customHeight="1" x14ac:dyDescent="0.3">
      <c r="G5190" s="459"/>
      <c r="H5190" s="459">
        <v>5183</v>
      </c>
      <c r="I5190" s="444">
        <f t="shared" ca="1" si="203"/>
        <v>-653273949071332.25</v>
      </c>
      <c r="J5190" s="444">
        <f t="array" ref="J5190">IFERROR(INDEX('Retirement Calculator'!J:J,MATCH('Isaac 401k'!N5190,'Retirement Calculator'!A:A,0),0),0)</f>
        <v>0</v>
      </c>
      <c r="K5190" s="444">
        <f t="shared" ca="1" si="201"/>
        <v>-2721974787797.2178</v>
      </c>
      <c r="L5190" s="444">
        <f t="shared" ca="1" si="202"/>
        <v>-655995923859129.5</v>
      </c>
      <c r="M5190" s="460">
        <f t="shared" si="204"/>
        <v>0.05</v>
      </c>
      <c r="N5190" s="464">
        <f t="shared" si="205"/>
        <v>209012</v>
      </c>
    </row>
    <row r="5191" spans="7:14" ht="11.25" customHeight="1" x14ac:dyDescent="0.3">
      <c r="G5191" s="459"/>
      <c r="H5191" s="459">
        <v>5184</v>
      </c>
      <c r="I5191" s="444">
        <f t="shared" ca="1" si="203"/>
        <v>-655995923859129.5</v>
      </c>
      <c r="J5191" s="444">
        <f t="array" ref="J5191">IFERROR(INDEX('Retirement Calculator'!J:J,MATCH('Isaac 401k'!N5191,'Retirement Calculator'!A:A,0),0),0)</f>
        <v>0</v>
      </c>
      <c r="K5191" s="444">
        <f t="shared" ca="1" si="201"/>
        <v>-2733316349413.0396</v>
      </c>
      <c r="L5191" s="444">
        <f t="shared" ca="1" si="202"/>
        <v>-658729240208542.5</v>
      </c>
      <c r="M5191" s="460">
        <f t="shared" si="204"/>
        <v>0.05</v>
      </c>
      <c r="N5191" s="464">
        <f t="shared" si="205"/>
        <v>209042</v>
      </c>
    </row>
    <row r="5192" spans="7:14" ht="11.25" customHeight="1" x14ac:dyDescent="0.3">
      <c r="G5192" s="459"/>
      <c r="H5192" s="459">
        <v>5185</v>
      </c>
      <c r="I5192" s="444">
        <f t="shared" ca="1" si="203"/>
        <v>-658729240208542.5</v>
      </c>
      <c r="J5192" s="444">
        <f t="array" ref="J5192">IFERROR(INDEX('Retirement Calculator'!J:J,MATCH('Isaac 401k'!N5192,'Retirement Calculator'!A:A,0),0),0)</f>
        <v>0</v>
      </c>
      <c r="K5192" s="444">
        <f t="shared" ca="1" si="201"/>
        <v>-2744705167535.5938</v>
      </c>
      <c r="L5192" s="444">
        <f t="shared" ca="1" si="202"/>
        <v>-661473945376078.13</v>
      </c>
      <c r="M5192" s="460">
        <f t="shared" si="204"/>
        <v>0.05</v>
      </c>
      <c r="N5192" s="464">
        <f t="shared" si="205"/>
        <v>209073</v>
      </c>
    </row>
    <row r="5193" spans="7:14" ht="11.25" customHeight="1" x14ac:dyDescent="0.3">
      <c r="G5193" s="459"/>
      <c r="H5193" s="459">
        <v>5186</v>
      </c>
      <c r="I5193" s="444">
        <f t="shared" ca="1" si="203"/>
        <v>-661473945376078.13</v>
      </c>
      <c r="J5193" s="444">
        <f t="array" ref="J5193">IFERROR(INDEX('Retirement Calculator'!J:J,MATCH('Isaac 401k'!N5193,'Retirement Calculator'!A:A,0),0),0)</f>
        <v>0</v>
      </c>
      <c r="K5193" s="444">
        <f t="shared" ca="1" si="201"/>
        <v>-2756141439066.9922</v>
      </c>
      <c r="L5193" s="444">
        <f t="shared" ca="1" si="202"/>
        <v>-664230086815145.13</v>
      </c>
      <c r="M5193" s="460">
        <f t="shared" si="204"/>
        <v>0.05</v>
      </c>
      <c r="N5193" s="464">
        <f t="shared" si="205"/>
        <v>209103</v>
      </c>
    </row>
    <row r="5194" spans="7:14" ht="11.25" customHeight="1" x14ac:dyDescent="0.3">
      <c r="G5194" s="459"/>
      <c r="H5194" s="459">
        <v>5187</v>
      </c>
      <c r="I5194" s="444">
        <f t="shared" ca="1" si="203"/>
        <v>-664230086815145.13</v>
      </c>
      <c r="J5194" s="444">
        <f t="array" ref="J5194">IFERROR(INDEX('Retirement Calculator'!J:J,MATCH('Isaac 401k'!N5194,'Retirement Calculator'!A:A,0),0),0)</f>
        <v>0</v>
      </c>
      <c r="K5194" s="444">
        <f t="shared" ca="1" si="201"/>
        <v>-2767625361729.7715</v>
      </c>
      <c r="L5194" s="444">
        <f t="shared" ca="1" si="202"/>
        <v>-666997712176874.88</v>
      </c>
      <c r="M5194" s="460">
        <f t="shared" si="204"/>
        <v>0.05</v>
      </c>
      <c r="N5194" s="464">
        <f t="shared" si="205"/>
        <v>209134</v>
      </c>
    </row>
    <row r="5195" spans="7:14" ht="11.25" customHeight="1" x14ac:dyDescent="0.3">
      <c r="G5195" s="459"/>
      <c r="H5195" s="459">
        <v>5188</v>
      </c>
      <c r="I5195" s="444">
        <f t="shared" ca="1" si="203"/>
        <v>-666997712176874.88</v>
      </c>
      <c r="J5195" s="444">
        <f t="array" ref="J5195">IFERROR(INDEX('Retirement Calculator'!J:J,MATCH('Isaac 401k'!N5195,'Retirement Calculator'!A:A,0),0),0)</f>
        <v>0</v>
      </c>
      <c r="K5195" s="444">
        <f t="shared" ca="1" si="201"/>
        <v>-2779157134070.312</v>
      </c>
      <c r="L5195" s="444">
        <f t="shared" ca="1" si="202"/>
        <v>-669776869310945.13</v>
      </c>
      <c r="M5195" s="460">
        <f t="shared" si="204"/>
        <v>0.05</v>
      </c>
      <c r="N5195" s="464">
        <f t="shared" si="205"/>
        <v>209165</v>
      </c>
    </row>
    <row r="5196" spans="7:14" ht="11.25" customHeight="1" x14ac:dyDescent="0.3">
      <c r="G5196" s="459"/>
      <c r="H5196" s="459">
        <v>5189</v>
      </c>
      <c r="I5196" s="444">
        <f t="shared" ca="1" si="203"/>
        <v>-669776869310945.13</v>
      </c>
      <c r="J5196" s="444">
        <f t="array" ref="J5196">IFERROR(INDEX('Retirement Calculator'!J:J,MATCH('Isaac 401k'!N5196,'Retirement Calculator'!A:A,0),0),0)</f>
        <v>0</v>
      </c>
      <c r="K5196" s="444">
        <f t="shared" ca="1" si="201"/>
        <v>-2790736955462.2715</v>
      </c>
      <c r="L5196" s="444">
        <f t="shared" ca="1" si="202"/>
        <v>-672567606266407.38</v>
      </c>
      <c r="M5196" s="460">
        <f t="shared" si="204"/>
        <v>0.05</v>
      </c>
      <c r="N5196" s="464">
        <f t="shared" si="205"/>
        <v>209195</v>
      </c>
    </row>
    <row r="5197" spans="7:14" ht="11.25" customHeight="1" x14ac:dyDescent="0.3">
      <c r="G5197" s="459"/>
      <c r="H5197" s="459">
        <v>5190</v>
      </c>
      <c r="I5197" s="444">
        <f t="shared" ca="1" si="203"/>
        <v>-672567606266407.38</v>
      </c>
      <c r="J5197" s="444">
        <f t="array" ref="J5197">IFERROR(INDEX('Retirement Calculator'!J:J,MATCH('Isaac 401k'!N5197,'Retirement Calculator'!A:A,0),0),0)</f>
        <v>0</v>
      </c>
      <c r="K5197" s="444">
        <f t="shared" ca="1" si="201"/>
        <v>-2802365026110.0308</v>
      </c>
      <c r="L5197" s="444">
        <f t="shared" ca="1" si="202"/>
        <v>-675369971292517.38</v>
      </c>
      <c r="M5197" s="460">
        <f t="shared" si="204"/>
        <v>0.05</v>
      </c>
      <c r="N5197" s="464">
        <f t="shared" si="205"/>
        <v>209226</v>
      </c>
    </row>
    <row r="5198" spans="7:14" ht="11.25" customHeight="1" x14ac:dyDescent="0.3">
      <c r="G5198" s="459"/>
      <c r="H5198" s="459">
        <v>5191</v>
      </c>
      <c r="I5198" s="444">
        <f t="shared" ca="1" si="203"/>
        <v>-675369971292517.38</v>
      </c>
      <c r="J5198" s="444">
        <f t="array" ref="J5198">IFERROR(INDEX('Retirement Calculator'!J:J,MATCH('Isaac 401k'!N5198,'Retirement Calculator'!A:A,0),0),0)</f>
        <v>0</v>
      </c>
      <c r="K5198" s="444">
        <f t="shared" ca="1" si="201"/>
        <v>-2814041547052.1558</v>
      </c>
      <c r="L5198" s="444">
        <f t="shared" ca="1" si="202"/>
        <v>-678184012839569.5</v>
      </c>
      <c r="M5198" s="460">
        <f t="shared" si="204"/>
        <v>0.05</v>
      </c>
      <c r="N5198" s="464">
        <f t="shared" si="205"/>
        <v>209256</v>
      </c>
    </row>
    <row r="5199" spans="7:14" ht="11.25" customHeight="1" x14ac:dyDescent="0.3">
      <c r="G5199" s="459"/>
      <c r="H5199" s="459">
        <v>5192</v>
      </c>
      <c r="I5199" s="444">
        <f t="shared" ca="1" si="203"/>
        <v>-678184012839569.5</v>
      </c>
      <c r="J5199" s="444">
        <f t="array" ref="J5199">IFERROR(INDEX('Retirement Calculator'!J:J,MATCH('Isaac 401k'!N5199,'Retirement Calculator'!A:A,0),0),0)</f>
        <v>0</v>
      </c>
      <c r="K5199" s="444">
        <f t="shared" ca="1" si="201"/>
        <v>-2825766720164.873</v>
      </c>
      <c r="L5199" s="444">
        <f t="shared" ca="1" si="202"/>
        <v>-681009779559734.38</v>
      </c>
      <c r="M5199" s="460">
        <f t="shared" si="204"/>
        <v>0.05</v>
      </c>
      <c r="N5199" s="464">
        <f t="shared" si="205"/>
        <v>209287</v>
      </c>
    </row>
    <row r="5200" spans="7:14" ht="11.25" customHeight="1" x14ac:dyDescent="0.3">
      <c r="G5200" s="459"/>
      <c r="H5200" s="459">
        <v>5193</v>
      </c>
      <c r="I5200" s="444">
        <f t="shared" ca="1" si="203"/>
        <v>-681009779559734.38</v>
      </c>
      <c r="J5200" s="444">
        <f t="array" ref="J5200">IFERROR(INDEX('Retirement Calculator'!J:J,MATCH('Isaac 401k'!N5200,'Retirement Calculator'!A:A,0),0),0)</f>
        <v>0</v>
      </c>
      <c r="K5200" s="444">
        <f t="shared" ca="1" si="201"/>
        <v>-2837540748165.5601</v>
      </c>
      <c r="L5200" s="444">
        <f t="shared" ca="1" si="202"/>
        <v>-683847320307899.88</v>
      </c>
      <c r="M5200" s="460">
        <f t="shared" si="204"/>
        <v>0.05</v>
      </c>
      <c r="N5200" s="464">
        <f t="shared" si="205"/>
        <v>209318</v>
      </c>
    </row>
    <row r="5201" spans="7:14" ht="11.25" customHeight="1" x14ac:dyDescent="0.3">
      <c r="G5201" s="459"/>
      <c r="H5201" s="459">
        <v>5194</v>
      </c>
      <c r="I5201" s="444">
        <f t="shared" ca="1" si="203"/>
        <v>-683847320307899.88</v>
      </c>
      <c r="J5201" s="444">
        <f t="array" ref="J5201">IFERROR(INDEX('Retirement Calculator'!J:J,MATCH('Isaac 401k'!N5201,'Retirement Calculator'!A:A,0),0),0)</f>
        <v>0</v>
      </c>
      <c r="K5201" s="444">
        <f t="shared" ca="1" si="201"/>
        <v>-2849363834616.2495</v>
      </c>
      <c r="L5201" s="444">
        <f t="shared" ca="1" si="202"/>
        <v>-686696684142516.13</v>
      </c>
      <c r="M5201" s="460">
        <f t="shared" si="204"/>
        <v>0.05</v>
      </c>
      <c r="N5201" s="464">
        <f t="shared" si="205"/>
        <v>209346</v>
      </c>
    </row>
    <row r="5202" spans="7:14" ht="11.25" customHeight="1" x14ac:dyDescent="0.3">
      <c r="G5202" s="459"/>
      <c r="H5202" s="459">
        <v>5195</v>
      </c>
      <c r="I5202" s="444">
        <f t="shared" ca="1" si="203"/>
        <v>-686696684142516.13</v>
      </c>
      <c r="J5202" s="444">
        <f t="array" ref="J5202">IFERROR(INDEX('Retirement Calculator'!J:J,MATCH('Isaac 401k'!N5202,'Retirement Calculator'!A:A,0),0),0)</f>
        <v>0</v>
      </c>
      <c r="K5202" s="444">
        <f t="shared" ca="1" si="201"/>
        <v>-2861236183927.1504</v>
      </c>
      <c r="L5202" s="444">
        <f t="shared" ca="1" si="202"/>
        <v>-689557920326443.25</v>
      </c>
      <c r="M5202" s="460">
        <f t="shared" si="204"/>
        <v>0.05</v>
      </c>
      <c r="N5202" s="464">
        <f t="shared" si="205"/>
        <v>209377</v>
      </c>
    </row>
    <row r="5203" spans="7:14" ht="11.25" customHeight="1" x14ac:dyDescent="0.3">
      <c r="G5203" s="459"/>
      <c r="H5203" s="459">
        <v>5196</v>
      </c>
      <c r="I5203" s="444">
        <f t="shared" ca="1" si="203"/>
        <v>-689557920326443.25</v>
      </c>
      <c r="J5203" s="444">
        <f t="array" ref="J5203">IFERROR(INDEX('Retirement Calculator'!J:J,MATCH('Isaac 401k'!N5203,'Retirement Calculator'!A:A,0),0),0)</f>
        <v>0</v>
      </c>
      <c r="K5203" s="444">
        <f t="shared" ca="1" si="201"/>
        <v>-2873158001360.1802</v>
      </c>
      <c r="L5203" s="444">
        <f t="shared" ca="1" si="202"/>
        <v>-692431078327803.38</v>
      </c>
      <c r="M5203" s="460">
        <f t="shared" si="204"/>
        <v>0.05</v>
      </c>
      <c r="N5203" s="464">
        <f t="shared" si="205"/>
        <v>209407</v>
      </c>
    </row>
    <row r="5204" spans="7:14" ht="11.25" customHeight="1" x14ac:dyDescent="0.3">
      <c r="G5204" s="459"/>
      <c r="H5204" s="459">
        <v>5197</v>
      </c>
      <c r="I5204" s="444">
        <f t="shared" ca="1" si="203"/>
        <v>-692431078327803.38</v>
      </c>
      <c r="J5204" s="444">
        <f t="array" ref="J5204">IFERROR(INDEX('Retirement Calculator'!J:J,MATCH('Isaac 401k'!N5204,'Retirement Calculator'!A:A,0),0),0)</f>
        <v>0</v>
      </c>
      <c r="K5204" s="444">
        <f t="shared" ca="1" si="201"/>
        <v>-2885129493032.5142</v>
      </c>
      <c r="L5204" s="444">
        <f t="shared" ca="1" si="202"/>
        <v>-695316207820835.88</v>
      </c>
      <c r="M5204" s="460">
        <f t="shared" si="204"/>
        <v>0.05</v>
      </c>
      <c r="N5204" s="464">
        <f t="shared" si="205"/>
        <v>209438</v>
      </c>
    </row>
    <row r="5205" spans="7:14" ht="11.25" customHeight="1" x14ac:dyDescent="0.3">
      <c r="G5205" s="459"/>
      <c r="H5205" s="459">
        <v>5198</v>
      </c>
      <c r="I5205" s="444">
        <f t="shared" ca="1" si="203"/>
        <v>-695316207820835.88</v>
      </c>
      <c r="J5205" s="444">
        <f t="array" ref="J5205">IFERROR(INDEX('Retirement Calculator'!J:J,MATCH('Isaac 401k'!N5205,'Retirement Calculator'!A:A,0),0),0)</f>
        <v>0</v>
      </c>
      <c r="K5205" s="444">
        <f t="shared" ca="1" si="201"/>
        <v>-2897150865920.1494</v>
      </c>
      <c r="L5205" s="444">
        <f t="shared" ca="1" si="202"/>
        <v>-698213358686756</v>
      </c>
      <c r="M5205" s="460">
        <f t="shared" si="204"/>
        <v>0.05</v>
      </c>
      <c r="N5205" s="464">
        <f t="shared" si="205"/>
        <v>209468</v>
      </c>
    </row>
    <row r="5206" spans="7:14" ht="11.25" customHeight="1" x14ac:dyDescent="0.3">
      <c r="G5206" s="459"/>
      <c r="H5206" s="459">
        <v>5199</v>
      </c>
      <c r="I5206" s="444">
        <f t="shared" ca="1" si="203"/>
        <v>-698213358686756</v>
      </c>
      <c r="J5206" s="444">
        <f t="array" ref="J5206">IFERROR(INDEX('Retirement Calculator'!J:J,MATCH('Isaac 401k'!N5206,'Retirement Calculator'!A:A,0),0),0)</f>
        <v>0</v>
      </c>
      <c r="K5206" s="444">
        <f t="shared" ca="1" si="201"/>
        <v>-2909222327861.4834</v>
      </c>
      <c r="L5206" s="444">
        <f t="shared" ca="1" si="202"/>
        <v>-701122581014617.5</v>
      </c>
      <c r="M5206" s="460">
        <f t="shared" si="204"/>
        <v>0.05</v>
      </c>
      <c r="N5206" s="464">
        <f t="shared" si="205"/>
        <v>209499</v>
      </c>
    </row>
    <row r="5207" spans="7:14" ht="11.25" customHeight="1" x14ac:dyDescent="0.3">
      <c r="G5207" s="459"/>
      <c r="H5207" s="459">
        <v>5200</v>
      </c>
      <c r="I5207" s="444">
        <f t="shared" ca="1" si="203"/>
        <v>-701122581014617.5</v>
      </c>
      <c r="J5207" s="444">
        <f t="array" ref="J5207">IFERROR(INDEX('Retirement Calculator'!J:J,MATCH('Isaac 401k'!N5207,'Retirement Calculator'!A:A,0),0),0)</f>
        <v>0</v>
      </c>
      <c r="K5207" s="444">
        <f t="shared" ca="1" si="201"/>
        <v>-2921344087560.9063</v>
      </c>
      <c r="L5207" s="444">
        <f t="shared" ca="1" si="202"/>
        <v>-704043925102178.38</v>
      </c>
      <c r="M5207" s="460">
        <f t="shared" si="204"/>
        <v>0.05</v>
      </c>
      <c r="N5207" s="464">
        <f t="shared" si="205"/>
        <v>209530</v>
      </c>
    </row>
    <row r="5208" spans="7:14" ht="11.25" customHeight="1" x14ac:dyDescent="0.3">
      <c r="G5208" s="459"/>
      <c r="H5208" s="459">
        <v>5201</v>
      </c>
      <c r="I5208" s="444">
        <f t="shared" ca="1" si="203"/>
        <v>-704043925102178.38</v>
      </c>
      <c r="J5208" s="444">
        <f t="array" ref="J5208">IFERROR(INDEX('Retirement Calculator'!J:J,MATCH('Isaac 401k'!N5208,'Retirement Calculator'!A:A,0),0),0)</f>
        <v>0</v>
      </c>
      <c r="K5208" s="444">
        <f t="shared" ca="1" si="201"/>
        <v>-2933516354592.4097</v>
      </c>
      <c r="L5208" s="444">
        <f t="shared" ca="1" si="202"/>
        <v>-706977441456770.75</v>
      </c>
      <c r="M5208" s="460">
        <f t="shared" si="204"/>
        <v>0.05</v>
      </c>
      <c r="N5208" s="464">
        <f t="shared" si="205"/>
        <v>209560</v>
      </c>
    </row>
    <row r="5209" spans="7:14" ht="11.25" customHeight="1" x14ac:dyDescent="0.3">
      <c r="G5209" s="459"/>
      <c r="H5209" s="459">
        <v>5202</v>
      </c>
      <c r="I5209" s="444">
        <f t="shared" ca="1" si="203"/>
        <v>-706977441456770.75</v>
      </c>
      <c r="J5209" s="444">
        <f t="array" ref="J5209">IFERROR(INDEX('Retirement Calculator'!J:J,MATCH('Isaac 401k'!N5209,'Retirement Calculator'!A:A,0),0),0)</f>
        <v>0</v>
      </c>
      <c r="K5209" s="444">
        <f t="shared" ca="1" si="201"/>
        <v>-2945739339403.2114</v>
      </c>
      <c r="L5209" s="444">
        <f t="shared" ca="1" si="202"/>
        <v>-709923180796174</v>
      </c>
      <c r="M5209" s="460">
        <f t="shared" si="204"/>
        <v>0.05</v>
      </c>
      <c r="N5209" s="464">
        <f t="shared" si="205"/>
        <v>209591</v>
      </c>
    </row>
    <row r="5210" spans="7:14" ht="11.25" customHeight="1" x14ac:dyDescent="0.3">
      <c r="G5210" s="459"/>
      <c r="H5210" s="459">
        <v>5203</v>
      </c>
      <c r="I5210" s="444">
        <f t="shared" ca="1" si="203"/>
        <v>-709923180796174</v>
      </c>
      <c r="J5210" s="444">
        <f t="array" ref="J5210">IFERROR(INDEX('Retirement Calculator'!J:J,MATCH('Isaac 401k'!N5210,'Retirement Calculator'!A:A,0),0),0)</f>
        <v>0</v>
      </c>
      <c r="K5210" s="444">
        <f t="shared" ca="1" si="201"/>
        <v>-2958013253317.3916</v>
      </c>
      <c r="L5210" s="444">
        <f t="shared" ca="1" si="202"/>
        <v>-712881194049491.38</v>
      </c>
      <c r="M5210" s="460">
        <f t="shared" si="204"/>
        <v>0.05</v>
      </c>
      <c r="N5210" s="464">
        <f t="shared" si="205"/>
        <v>209621</v>
      </c>
    </row>
    <row r="5211" spans="7:14" ht="11.25" customHeight="1" x14ac:dyDescent="0.3">
      <c r="G5211" s="459"/>
      <c r="H5211" s="459">
        <v>5204</v>
      </c>
      <c r="I5211" s="444">
        <f t="shared" ca="1" si="203"/>
        <v>-712881194049491.38</v>
      </c>
      <c r="J5211" s="444">
        <f t="array" ref="J5211">IFERROR(INDEX('Retirement Calculator'!J:J,MATCH('Isaac 401k'!N5211,'Retirement Calculator'!A:A,0),0),0)</f>
        <v>0</v>
      </c>
      <c r="K5211" s="444">
        <f t="shared" ca="1" si="201"/>
        <v>-2970338308539.5474</v>
      </c>
      <c r="L5211" s="444">
        <f t="shared" ca="1" si="202"/>
        <v>-715851532358030.88</v>
      </c>
      <c r="M5211" s="460">
        <f t="shared" si="204"/>
        <v>0.05</v>
      </c>
      <c r="N5211" s="464">
        <f t="shared" si="205"/>
        <v>209652</v>
      </c>
    </row>
    <row r="5212" spans="7:14" ht="11.25" customHeight="1" x14ac:dyDescent="0.3">
      <c r="G5212" s="459"/>
      <c r="H5212" s="459">
        <v>5205</v>
      </c>
      <c r="I5212" s="444">
        <f t="shared" ca="1" si="203"/>
        <v>-715851532358030.88</v>
      </c>
      <c r="J5212" s="444">
        <f t="array" ref="J5212">IFERROR(INDEX('Retirement Calculator'!J:J,MATCH('Isaac 401k'!N5212,'Retirement Calculator'!A:A,0),0),0)</f>
        <v>0</v>
      </c>
      <c r="K5212" s="444">
        <f t="shared" ca="1" si="201"/>
        <v>-2982714718158.4619</v>
      </c>
      <c r="L5212" s="444">
        <f t="shared" ca="1" si="202"/>
        <v>-718834247076189.38</v>
      </c>
      <c r="M5212" s="460">
        <f t="shared" si="204"/>
        <v>0.05</v>
      </c>
      <c r="N5212" s="464">
        <f t="shared" si="205"/>
        <v>209683</v>
      </c>
    </row>
    <row r="5213" spans="7:14" ht="11.25" customHeight="1" x14ac:dyDescent="0.3">
      <c r="G5213" s="459"/>
      <c r="H5213" s="459">
        <v>5206</v>
      </c>
      <c r="I5213" s="444">
        <f t="shared" ca="1" si="203"/>
        <v>-718834247076189.38</v>
      </c>
      <c r="J5213" s="444">
        <f t="array" ref="J5213">IFERROR(INDEX('Retirement Calculator'!J:J,MATCH('Isaac 401k'!N5213,'Retirement Calculator'!A:A,0),0),0)</f>
        <v>0</v>
      </c>
      <c r="K5213" s="444">
        <f t="shared" ca="1" si="201"/>
        <v>-2995142696150.7891</v>
      </c>
      <c r="L5213" s="444">
        <f t="shared" ca="1" si="202"/>
        <v>-721829389772340.13</v>
      </c>
      <c r="M5213" s="460">
        <f t="shared" si="204"/>
        <v>0.05</v>
      </c>
      <c r="N5213" s="464">
        <f t="shared" si="205"/>
        <v>209711</v>
      </c>
    </row>
    <row r="5214" spans="7:14" ht="11.25" customHeight="1" x14ac:dyDescent="0.3">
      <c r="G5214" s="459"/>
      <c r="H5214" s="459">
        <v>5207</v>
      </c>
      <c r="I5214" s="444">
        <f t="shared" ca="1" si="203"/>
        <v>-721829389772340.13</v>
      </c>
      <c r="J5214" s="444">
        <f t="array" ref="J5214">IFERROR(INDEX('Retirement Calculator'!J:J,MATCH('Isaac 401k'!N5214,'Retirement Calculator'!A:A,0),0),0)</f>
        <v>0</v>
      </c>
      <c r="K5214" s="444">
        <f t="shared" ca="1" si="201"/>
        <v>-3007622457384.7505</v>
      </c>
      <c r="L5214" s="444">
        <f t="shared" ca="1" si="202"/>
        <v>-724837012229724.88</v>
      </c>
      <c r="M5214" s="460">
        <f t="shared" si="204"/>
        <v>0.05</v>
      </c>
      <c r="N5214" s="464">
        <f t="shared" si="205"/>
        <v>209742</v>
      </c>
    </row>
    <row r="5215" spans="7:14" ht="11.25" customHeight="1" x14ac:dyDescent="0.3">
      <c r="G5215" s="459"/>
      <c r="H5215" s="459">
        <v>5208</v>
      </c>
      <c r="I5215" s="444">
        <f t="shared" ca="1" si="203"/>
        <v>-724837012229724.88</v>
      </c>
      <c r="J5215" s="444">
        <f t="array" ref="J5215">IFERROR(INDEX('Retirement Calculator'!J:J,MATCH('Isaac 401k'!N5215,'Retirement Calculator'!A:A,0),0),0)</f>
        <v>0</v>
      </c>
      <c r="K5215" s="444">
        <f t="shared" ca="1" si="201"/>
        <v>-3020154217623.8535</v>
      </c>
      <c r="L5215" s="444">
        <f t="shared" ca="1" si="202"/>
        <v>-727857166447348.75</v>
      </c>
      <c r="M5215" s="460">
        <f t="shared" si="204"/>
        <v>0.05</v>
      </c>
      <c r="N5215" s="464">
        <f t="shared" si="205"/>
        <v>209772</v>
      </c>
    </row>
    <row r="5216" spans="7:14" ht="11.25" customHeight="1" x14ac:dyDescent="0.3">
      <c r="G5216" s="459"/>
      <c r="H5216" s="459">
        <v>5209</v>
      </c>
      <c r="I5216" s="444">
        <f t="shared" ca="1" si="203"/>
        <v>-727857166447348.75</v>
      </c>
      <c r="J5216" s="444">
        <f t="array" ref="J5216">IFERROR(INDEX('Retirement Calculator'!J:J,MATCH('Isaac 401k'!N5216,'Retirement Calculator'!A:A,0),0),0)</f>
        <v>0</v>
      </c>
      <c r="K5216" s="444">
        <f t="shared" ca="1" si="201"/>
        <v>-3032738193530.6196</v>
      </c>
      <c r="L5216" s="444">
        <f t="shared" ca="1" si="202"/>
        <v>-730889904640879.38</v>
      </c>
      <c r="M5216" s="460">
        <f t="shared" si="204"/>
        <v>0.05</v>
      </c>
      <c r="N5216" s="464">
        <f t="shared" si="205"/>
        <v>209803</v>
      </c>
    </row>
    <row r="5217" spans="7:14" ht="11.25" customHeight="1" x14ac:dyDescent="0.3">
      <c r="G5217" s="459"/>
      <c r="H5217" s="459">
        <v>5210</v>
      </c>
      <c r="I5217" s="444">
        <f t="shared" ca="1" si="203"/>
        <v>-730889904640879.38</v>
      </c>
      <c r="J5217" s="444">
        <f t="array" ref="J5217">IFERROR(INDEX('Retirement Calculator'!J:J,MATCH('Isaac 401k'!N5217,'Retirement Calculator'!A:A,0),0),0)</f>
        <v>0</v>
      </c>
      <c r="K5217" s="444">
        <f t="shared" ca="1" si="201"/>
        <v>-3045374602670.3306</v>
      </c>
      <c r="L5217" s="444">
        <f t="shared" ca="1" si="202"/>
        <v>-733935279243549.75</v>
      </c>
      <c r="M5217" s="460">
        <f t="shared" si="204"/>
        <v>0.05</v>
      </c>
      <c r="N5217" s="464">
        <f t="shared" si="205"/>
        <v>209833</v>
      </c>
    </row>
    <row r="5218" spans="7:14" ht="11.25" customHeight="1" x14ac:dyDescent="0.3">
      <c r="G5218" s="459"/>
      <c r="H5218" s="459">
        <v>5211</v>
      </c>
      <c r="I5218" s="444">
        <f t="shared" ca="1" si="203"/>
        <v>-733935279243549.75</v>
      </c>
      <c r="J5218" s="444">
        <f t="array" ref="J5218">IFERROR(INDEX('Retirement Calculator'!J:J,MATCH('Isaac 401k'!N5218,'Retirement Calculator'!A:A,0),0),0)</f>
        <v>0</v>
      </c>
      <c r="K5218" s="444">
        <f t="shared" ca="1" si="201"/>
        <v>-3058063663514.7905</v>
      </c>
      <c r="L5218" s="444">
        <f t="shared" ca="1" si="202"/>
        <v>-736993342907064.5</v>
      </c>
      <c r="M5218" s="460">
        <f t="shared" si="204"/>
        <v>0.05</v>
      </c>
      <c r="N5218" s="464">
        <f t="shared" si="205"/>
        <v>209864</v>
      </c>
    </row>
    <row r="5219" spans="7:14" ht="11.25" customHeight="1" x14ac:dyDescent="0.3">
      <c r="G5219" s="459"/>
      <c r="H5219" s="459">
        <v>5212</v>
      </c>
      <c r="I5219" s="444">
        <f t="shared" ca="1" si="203"/>
        <v>-736993342907064.5</v>
      </c>
      <c r="J5219" s="444">
        <f t="array" ref="J5219">IFERROR(INDEX('Retirement Calculator'!J:J,MATCH('Isaac 401k'!N5219,'Retirement Calculator'!A:A,0),0),0)</f>
        <v>0</v>
      </c>
      <c r="K5219" s="444">
        <f t="shared" ca="1" si="201"/>
        <v>-3070805595446.1021</v>
      </c>
      <c r="L5219" s="444">
        <f t="shared" ca="1" si="202"/>
        <v>-740064148502510.63</v>
      </c>
      <c r="M5219" s="460">
        <f t="shared" si="204"/>
        <v>0.05</v>
      </c>
      <c r="N5219" s="464">
        <f t="shared" si="205"/>
        <v>209895</v>
      </c>
    </row>
    <row r="5220" spans="7:14" ht="11.25" customHeight="1" x14ac:dyDescent="0.3">
      <c r="G5220" s="459"/>
      <c r="H5220" s="459">
        <v>5213</v>
      </c>
      <c r="I5220" s="444">
        <f t="shared" ca="1" si="203"/>
        <v>-740064148502510.63</v>
      </c>
      <c r="J5220" s="444">
        <f t="array" ref="J5220">IFERROR(INDEX('Retirement Calculator'!J:J,MATCH('Isaac 401k'!N5220,'Retirement Calculator'!A:A,0),0),0)</f>
        <v>0</v>
      </c>
      <c r="K5220" s="444">
        <f t="shared" ca="1" si="201"/>
        <v>-3083600618760.4609</v>
      </c>
      <c r="L5220" s="444">
        <f t="shared" ca="1" si="202"/>
        <v>-743147749121271.13</v>
      </c>
      <c r="M5220" s="460">
        <f t="shared" si="204"/>
        <v>0.05</v>
      </c>
      <c r="N5220" s="464">
        <f t="shared" si="205"/>
        <v>209925</v>
      </c>
    </row>
    <row r="5221" spans="7:14" ht="11.25" customHeight="1" x14ac:dyDescent="0.3">
      <c r="G5221" s="459"/>
      <c r="H5221" s="459">
        <v>5214</v>
      </c>
      <c r="I5221" s="444">
        <f t="shared" ca="1" si="203"/>
        <v>-743147749121271.13</v>
      </c>
      <c r="J5221" s="444">
        <f t="array" ref="J5221">IFERROR(INDEX('Retirement Calculator'!J:J,MATCH('Isaac 401k'!N5221,'Retirement Calculator'!A:A,0),0),0)</f>
        <v>0</v>
      </c>
      <c r="K5221" s="444">
        <f t="shared" ca="1" si="201"/>
        <v>-3096448954671.9629</v>
      </c>
      <c r="L5221" s="444">
        <f t="shared" ca="1" si="202"/>
        <v>-746244198075943.13</v>
      </c>
      <c r="M5221" s="460">
        <f t="shared" si="204"/>
        <v>0.05</v>
      </c>
      <c r="N5221" s="464">
        <f t="shared" si="205"/>
        <v>209956</v>
      </c>
    </row>
    <row r="5222" spans="7:14" ht="11.25" customHeight="1" x14ac:dyDescent="0.3">
      <c r="G5222" s="459"/>
      <c r="H5222" s="459">
        <v>5215</v>
      </c>
      <c r="I5222" s="444">
        <f t="shared" ca="1" si="203"/>
        <v>-746244198075943.13</v>
      </c>
      <c r="J5222" s="444">
        <f t="array" ref="J5222">IFERROR(INDEX('Retirement Calculator'!J:J,MATCH('Isaac 401k'!N5222,'Retirement Calculator'!A:A,0),0),0)</f>
        <v>0</v>
      </c>
      <c r="K5222" s="444">
        <f t="shared" ca="1" si="201"/>
        <v>-3109350825316.4297</v>
      </c>
      <c r="L5222" s="444">
        <f t="shared" ca="1" si="202"/>
        <v>-749353548901259.5</v>
      </c>
      <c r="M5222" s="460">
        <f t="shared" si="204"/>
        <v>0.05</v>
      </c>
      <c r="N5222" s="464">
        <f t="shared" si="205"/>
        <v>209986</v>
      </c>
    </row>
    <row r="5223" spans="7:14" ht="11.25" customHeight="1" x14ac:dyDescent="0.3">
      <c r="G5223" s="459"/>
      <c r="H5223" s="459">
        <v>5216</v>
      </c>
      <c r="I5223" s="444">
        <f t="shared" ca="1" si="203"/>
        <v>-749353548901259.5</v>
      </c>
      <c r="J5223" s="444">
        <f t="array" ref="J5223">IFERROR(INDEX('Retirement Calculator'!J:J,MATCH('Isaac 401k'!N5223,'Retirement Calculator'!A:A,0),0),0)</f>
        <v>0</v>
      </c>
      <c r="K5223" s="444">
        <f t="shared" ca="1" si="201"/>
        <v>-3122306453755.248</v>
      </c>
      <c r="L5223" s="444">
        <f t="shared" ca="1" si="202"/>
        <v>-752475855355014.75</v>
      </c>
      <c r="M5223" s="460">
        <f t="shared" si="204"/>
        <v>0.05</v>
      </c>
      <c r="N5223" s="464">
        <f t="shared" si="205"/>
        <v>210017</v>
      </c>
    </row>
    <row r="5224" spans="7:14" ht="11.25" customHeight="1" x14ac:dyDescent="0.3">
      <c r="G5224" s="459"/>
      <c r="H5224" s="459">
        <v>5217</v>
      </c>
      <c r="I5224" s="444">
        <f t="shared" ca="1" si="203"/>
        <v>-752475855355014.75</v>
      </c>
      <c r="J5224" s="444">
        <f t="array" ref="J5224">IFERROR(INDEX('Retirement Calculator'!J:J,MATCH('Isaac 401k'!N5224,'Retirement Calculator'!A:A,0),0),0)</f>
        <v>0</v>
      </c>
      <c r="K5224" s="444">
        <f t="shared" ca="1" si="201"/>
        <v>-3135316063979.228</v>
      </c>
      <c r="L5224" s="444">
        <f t="shared" ca="1" si="202"/>
        <v>-755611171418994</v>
      </c>
      <c r="M5224" s="460">
        <f t="shared" si="204"/>
        <v>0.05</v>
      </c>
      <c r="N5224" s="464">
        <f t="shared" si="205"/>
        <v>210048</v>
      </c>
    </row>
    <row r="5225" spans="7:14" ht="11.25" customHeight="1" x14ac:dyDescent="0.3">
      <c r="G5225" s="459"/>
      <c r="H5225" s="459">
        <v>5218</v>
      </c>
      <c r="I5225" s="444">
        <f t="shared" ca="1" si="203"/>
        <v>-755611171418994</v>
      </c>
      <c r="J5225" s="444">
        <f t="array" ref="J5225">IFERROR(INDEX('Retirement Calculator'!J:J,MATCH('Isaac 401k'!N5225,'Retirement Calculator'!A:A,0),0),0)</f>
        <v>0</v>
      </c>
      <c r="K5225" s="444">
        <f t="shared" ca="1" si="201"/>
        <v>-3148379880912.4751</v>
      </c>
      <c r="L5225" s="444">
        <f t="shared" ca="1" si="202"/>
        <v>-758759551299906.5</v>
      </c>
      <c r="M5225" s="460">
        <f t="shared" si="204"/>
        <v>0.05</v>
      </c>
      <c r="N5225" s="464">
        <f t="shared" si="205"/>
        <v>210076</v>
      </c>
    </row>
    <row r="5226" spans="7:14" ht="11.25" customHeight="1" x14ac:dyDescent="0.3">
      <c r="G5226" s="459"/>
      <c r="H5226" s="459">
        <v>5219</v>
      </c>
      <c r="I5226" s="444">
        <f t="shared" ca="1" si="203"/>
        <v>-758759551299906.5</v>
      </c>
      <c r="J5226" s="444">
        <f t="array" ref="J5226">IFERROR(INDEX('Retirement Calculator'!J:J,MATCH('Isaac 401k'!N5226,'Retirement Calculator'!A:A,0),0),0)</f>
        <v>0</v>
      </c>
      <c r="K5226" s="444">
        <f t="shared" ca="1" si="201"/>
        <v>-3161498130416.2769</v>
      </c>
      <c r="L5226" s="444">
        <f t="shared" ca="1" si="202"/>
        <v>-761921049430322.75</v>
      </c>
      <c r="M5226" s="460">
        <f t="shared" si="204"/>
        <v>0.05</v>
      </c>
      <c r="N5226" s="464">
        <f t="shared" si="205"/>
        <v>210107</v>
      </c>
    </row>
    <row r="5227" spans="7:14" ht="11.25" customHeight="1" x14ac:dyDescent="0.3">
      <c r="G5227" s="459"/>
      <c r="H5227" s="459">
        <v>5220</v>
      </c>
      <c r="I5227" s="444">
        <f t="shared" ca="1" si="203"/>
        <v>-761921049430322.75</v>
      </c>
      <c r="J5227" s="444">
        <f t="array" ref="J5227">IFERROR(INDEX('Retirement Calculator'!J:J,MATCH('Isaac 401k'!N5227,'Retirement Calculator'!A:A,0),0),0)</f>
        <v>0</v>
      </c>
      <c r="K5227" s="444">
        <f t="shared" ca="1" si="201"/>
        <v>-3174671039293.0112</v>
      </c>
      <c r="L5227" s="444">
        <f t="shared" ca="1" si="202"/>
        <v>-765095720469615.75</v>
      </c>
      <c r="M5227" s="460">
        <f t="shared" si="204"/>
        <v>0.05</v>
      </c>
      <c r="N5227" s="464">
        <f t="shared" si="205"/>
        <v>210137</v>
      </c>
    </row>
    <row r="5228" spans="7:14" ht="11.25" customHeight="1" x14ac:dyDescent="0.3">
      <c r="G5228" s="459"/>
      <c r="H5228" s="459">
        <v>5221</v>
      </c>
      <c r="I5228" s="444">
        <f t="shared" ca="1" si="203"/>
        <v>-765095720469615.75</v>
      </c>
      <c r="J5228" s="444">
        <f t="array" ref="J5228">IFERROR(INDEX('Retirement Calculator'!J:J,MATCH('Isaac 401k'!N5228,'Retirement Calculator'!A:A,0),0),0)</f>
        <v>0</v>
      </c>
      <c r="K5228" s="444">
        <f t="shared" ca="1" si="201"/>
        <v>-3187898835290.0654</v>
      </c>
      <c r="L5228" s="444">
        <f t="shared" ca="1" si="202"/>
        <v>-768283619304905.88</v>
      </c>
      <c r="M5228" s="460">
        <f t="shared" si="204"/>
        <v>0.05</v>
      </c>
      <c r="N5228" s="464">
        <f t="shared" si="205"/>
        <v>210168</v>
      </c>
    </row>
    <row r="5229" spans="7:14" ht="11.25" customHeight="1" x14ac:dyDescent="0.3">
      <c r="G5229" s="459"/>
      <c r="H5229" s="459">
        <v>5222</v>
      </c>
      <c r="I5229" s="444">
        <f t="shared" ca="1" si="203"/>
        <v>-768283619304905.88</v>
      </c>
      <c r="J5229" s="444">
        <f t="array" ref="J5229">IFERROR(INDEX('Retirement Calculator'!J:J,MATCH('Isaac 401k'!N5229,'Retirement Calculator'!A:A,0),0),0)</f>
        <v>0</v>
      </c>
      <c r="K5229" s="444">
        <f t="shared" ca="1" si="201"/>
        <v>-3201181747103.7744</v>
      </c>
      <c r="L5229" s="444">
        <f t="shared" ca="1" si="202"/>
        <v>-771484801052009.63</v>
      </c>
      <c r="M5229" s="460">
        <f t="shared" si="204"/>
        <v>0.05</v>
      </c>
      <c r="N5229" s="464">
        <f t="shared" si="205"/>
        <v>210198</v>
      </c>
    </row>
    <row r="5230" spans="7:14" ht="11.25" customHeight="1" x14ac:dyDescent="0.3">
      <c r="G5230" s="459"/>
      <c r="H5230" s="459">
        <v>5223</v>
      </c>
      <c r="I5230" s="444">
        <f t="shared" ca="1" si="203"/>
        <v>-771484801052009.63</v>
      </c>
      <c r="J5230" s="444">
        <f t="array" ref="J5230">IFERROR(INDEX('Retirement Calculator'!J:J,MATCH('Isaac 401k'!N5230,'Retirement Calculator'!A:A,0),0),0)</f>
        <v>0</v>
      </c>
      <c r="K5230" s="444">
        <f t="shared" ca="1" si="201"/>
        <v>-3214520004383.3735</v>
      </c>
      <c r="L5230" s="444">
        <f t="shared" ca="1" si="202"/>
        <v>-774699321056393</v>
      </c>
      <c r="M5230" s="460">
        <f t="shared" si="204"/>
        <v>0.05</v>
      </c>
      <c r="N5230" s="464">
        <f t="shared" si="205"/>
        <v>210229</v>
      </c>
    </row>
    <row r="5231" spans="7:14" ht="11.25" customHeight="1" x14ac:dyDescent="0.3">
      <c r="G5231" s="459"/>
      <c r="H5231" s="459">
        <v>5224</v>
      </c>
      <c r="I5231" s="444">
        <f t="shared" ca="1" si="203"/>
        <v>-774699321056393</v>
      </c>
      <c r="J5231" s="444">
        <f t="array" ref="J5231">IFERROR(INDEX('Retirement Calculator'!J:J,MATCH('Isaac 401k'!N5231,'Retirement Calculator'!A:A,0),0),0)</f>
        <v>0</v>
      </c>
      <c r="K5231" s="444">
        <f t="shared" ca="1" si="201"/>
        <v>-3227913837734.9707</v>
      </c>
      <c r="L5231" s="444">
        <f t="shared" ca="1" si="202"/>
        <v>-777927234894128</v>
      </c>
      <c r="M5231" s="460">
        <f t="shared" si="204"/>
        <v>0.05</v>
      </c>
      <c r="N5231" s="464">
        <f t="shared" si="205"/>
        <v>210260</v>
      </c>
    </row>
    <row r="5232" spans="7:14" ht="11.25" customHeight="1" x14ac:dyDescent="0.3">
      <c r="G5232" s="459"/>
      <c r="H5232" s="459">
        <v>5225</v>
      </c>
      <c r="I5232" s="444">
        <f t="shared" ca="1" si="203"/>
        <v>-777927234894128</v>
      </c>
      <c r="J5232" s="444">
        <f t="array" ref="J5232">IFERROR(INDEX('Retirement Calculator'!J:J,MATCH('Isaac 401k'!N5232,'Retirement Calculator'!A:A,0),0),0)</f>
        <v>0</v>
      </c>
      <c r="K5232" s="444">
        <f t="shared" ca="1" si="201"/>
        <v>-3241363478725.5332</v>
      </c>
      <c r="L5232" s="444">
        <f t="shared" ca="1" si="202"/>
        <v>-781168598372853.5</v>
      </c>
      <c r="M5232" s="460">
        <f t="shared" si="204"/>
        <v>0.05</v>
      </c>
      <c r="N5232" s="464">
        <f t="shared" si="205"/>
        <v>210290</v>
      </c>
    </row>
    <row r="5233" spans="7:14" ht="11.25" customHeight="1" x14ac:dyDescent="0.3">
      <c r="G5233" s="459"/>
      <c r="H5233" s="459">
        <v>5226</v>
      </c>
      <c r="I5233" s="444">
        <f t="shared" ca="1" si="203"/>
        <v>-781168598372853.5</v>
      </c>
      <c r="J5233" s="444">
        <f t="array" ref="J5233">IFERROR(INDEX('Retirement Calculator'!J:J,MATCH('Isaac 401k'!N5233,'Retirement Calculator'!A:A,0),0),0)</f>
        <v>0</v>
      </c>
      <c r="K5233" s="444">
        <f t="shared" ca="1" si="201"/>
        <v>-3254869159886.8896</v>
      </c>
      <c r="L5233" s="444">
        <f t="shared" ca="1" si="202"/>
        <v>-784423467532740.38</v>
      </c>
      <c r="M5233" s="460">
        <f t="shared" si="204"/>
        <v>0.05</v>
      </c>
      <c r="N5233" s="464">
        <f t="shared" si="205"/>
        <v>210321</v>
      </c>
    </row>
    <row r="5234" spans="7:14" ht="11.25" customHeight="1" x14ac:dyDescent="0.3">
      <c r="G5234" s="459"/>
      <c r="H5234" s="459">
        <v>5227</v>
      </c>
      <c r="I5234" s="444">
        <f t="shared" ca="1" si="203"/>
        <v>-784423467532740.38</v>
      </c>
      <c r="J5234" s="444">
        <f t="array" ref="J5234">IFERROR(INDEX('Retirement Calculator'!J:J,MATCH('Isaac 401k'!N5234,'Retirement Calculator'!A:A,0),0),0)</f>
        <v>0</v>
      </c>
      <c r="K5234" s="444">
        <f t="shared" ca="1" si="201"/>
        <v>-3268431114719.7515</v>
      </c>
      <c r="L5234" s="444">
        <f t="shared" ca="1" si="202"/>
        <v>-787691898647460.13</v>
      </c>
      <c r="M5234" s="460">
        <f t="shared" si="204"/>
        <v>0.05</v>
      </c>
      <c r="N5234" s="464">
        <f t="shared" si="205"/>
        <v>210351</v>
      </c>
    </row>
    <row r="5235" spans="7:14" ht="11.25" customHeight="1" x14ac:dyDescent="0.3">
      <c r="G5235" s="459"/>
      <c r="H5235" s="459">
        <v>5228</v>
      </c>
      <c r="I5235" s="444">
        <f t="shared" ca="1" si="203"/>
        <v>-787691898647460.13</v>
      </c>
      <c r="J5235" s="444">
        <f t="array" ref="J5235">IFERROR(INDEX('Retirement Calculator'!J:J,MATCH('Isaac 401k'!N5235,'Retirement Calculator'!A:A,0),0),0)</f>
        <v>0</v>
      </c>
      <c r="K5235" s="444">
        <f t="shared" ca="1" si="201"/>
        <v>-3282049577697.7505</v>
      </c>
      <c r="L5235" s="444">
        <f t="shared" ca="1" si="202"/>
        <v>-790973948225157.88</v>
      </c>
      <c r="M5235" s="460">
        <f t="shared" si="204"/>
        <v>0.05</v>
      </c>
      <c r="N5235" s="464">
        <f t="shared" si="205"/>
        <v>210382</v>
      </c>
    </row>
    <row r="5236" spans="7:14" ht="11.25" customHeight="1" x14ac:dyDescent="0.3">
      <c r="G5236" s="459"/>
      <c r="H5236" s="459">
        <v>5229</v>
      </c>
      <c r="I5236" s="444">
        <f t="shared" ca="1" si="203"/>
        <v>-790973948225157.88</v>
      </c>
      <c r="J5236" s="444">
        <f t="array" ref="J5236">IFERROR(INDEX('Retirement Calculator'!J:J,MATCH('Isaac 401k'!N5236,'Retirement Calculator'!A:A,0),0),0)</f>
        <v>0</v>
      </c>
      <c r="K5236" s="444">
        <f t="shared" ca="1" si="201"/>
        <v>-3295724784271.4912</v>
      </c>
      <c r="L5236" s="444">
        <f t="shared" ca="1" si="202"/>
        <v>-794269673009429.38</v>
      </c>
      <c r="M5236" s="460">
        <f t="shared" si="204"/>
        <v>0.05</v>
      </c>
      <c r="N5236" s="464">
        <f t="shared" si="205"/>
        <v>210413</v>
      </c>
    </row>
    <row r="5237" spans="7:14" ht="11.25" customHeight="1" x14ac:dyDescent="0.3">
      <c r="G5237" s="459"/>
      <c r="H5237" s="459">
        <v>5230</v>
      </c>
      <c r="I5237" s="444">
        <f t="shared" ca="1" si="203"/>
        <v>-794269673009429.38</v>
      </c>
      <c r="J5237" s="444">
        <f t="array" ref="J5237">IFERROR(INDEX('Retirement Calculator'!J:J,MATCH('Isaac 401k'!N5237,'Retirement Calculator'!A:A,0),0),0)</f>
        <v>0</v>
      </c>
      <c r="K5237" s="444">
        <f t="shared" ca="1" si="201"/>
        <v>-3309456970872.6226</v>
      </c>
      <c r="L5237" s="444">
        <f t="shared" ca="1" si="202"/>
        <v>-797579129980302</v>
      </c>
      <c r="M5237" s="460">
        <f t="shared" si="204"/>
        <v>0.05</v>
      </c>
      <c r="N5237" s="464">
        <f t="shared" si="205"/>
        <v>210442</v>
      </c>
    </row>
    <row r="5238" spans="7:14" ht="11.25" customHeight="1" x14ac:dyDescent="0.3">
      <c r="G5238" s="459"/>
      <c r="H5238" s="459">
        <v>5231</v>
      </c>
      <c r="I5238" s="444">
        <f t="shared" ca="1" si="203"/>
        <v>-797579129980302</v>
      </c>
      <c r="J5238" s="444">
        <f t="array" ref="J5238">IFERROR(INDEX('Retirement Calculator'!J:J,MATCH('Isaac 401k'!N5238,'Retirement Calculator'!A:A,0),0),0)</f>
        <v>0</v>
      </c>
      <c r="K5238" s="444">
        <f t="shared" ca="1" si="201"/>
        <v>-3323246374917.9248</v>
      </c>
      <c r="L5238" s="444">
        <f t="shared" ca="1" si="202"/>
        <v>-800902376355219.88</v>
      </c>
      <c r="M5238" s="460">
        <f t="shared" si="204"/>
        <v>0.05</v>
      </c>
      <c r="N5238" s="464">
        <f t="shared" si="205"/>
        <v>210473</v>
      </c>
    </row>
    <row r="5239" spans="7:14" ht="11.25" customHeight="1" x14ac:dyDescent="0.3">
      <c r="G5239" s="459"/>
      <c r="H5239" s="459">
        <v>5232</v>
      </c>
      <c r="I5239" s="444">
        <f t="shared" ca="1" si="203"/>
        <v>-800902376355219.88</v>
      </c>
      <c r="J5239" s="444">
        <f t="array" ref="J5239">IFERROR(INDEX('Retirement Calculator'!J:J,MATCH('Isaac 401k'!N5239,'Retirement Calculator'!A:A,0),0),0)</f>
        <v>0</v>
      </c>
      <c r="K5239" s="444">
        <f t="shared" ca="1" si="201"/>
        <v>-3337093234813.416</v>
      </c>
      <c r="L5239" s="444">
        <f t="shared" ca="1" si="202"/>
        <v>-804239469590033.25</v>
      </c>
      <c r="M5239" s="460">
        <f t="shared" si="204"/>
        <v>0.05</v>
      </c>
      <c r="N5239" s="464">
        <f t="shared" si="205"/>
        <v>210503</v>
      </c>
    </row>
    <row r="5240" spans="7:14" ht="11.25" customHeight="1" x14ac:dyDescent="0.3">
      <c r="G5240" s="459"/>
      <c r="H5240" s="459">
        <v>5233</v>
      </c>
      <c r="I5240" s="444">
        <f t="shared" ca="1" si="203"/>
        <v>-804239469590033.25</v>
      </c>
      <c r="J5240" s="444">
        <f t="array" ref="J5240">IFERROR(INDEX('Retirement Calculator'!J:J,MATCH('Isaac 401k'!N5240,'Retirement Calculator'!A:A,0),0),0)</f>
        <v>0</v>
      </c>
      <c r="K5240" s="444">
        <f t="shared" ca="1" si="201"/>
        <v>-3350997789958.4717</v>
      </c>
      <c r="L5240" s="444">
        <f t="shared" ca="1" si="202"/>
        <v>-807590467379991.75</v>
      </c>
      <c r="M5240" s="460">
        <f t="shared" si="204"/>
        <v>0.05</v>
      </c>
      <c r="N5240" s="464">
        <f t="shared" si="205"/>
        <v>210534</v>
      </c>
    </row>
    <row r="5241" spans="7:14" ht="11.25" customHeight="1" x14ac:dyDescent="0.3">
      <c r="G5241" s="459"/>
      <c r="H5241" s="459">
        <v>5234</v>
      </c>
      <c r="I5241" s="444">
        <f t="shared" ca="1" si="203"/>
        <v>-807590467379991.75</v>
      </c>
      <c r="J5241" s="444">
        <f t="array" ref="J5241">IFERROR(INDEX('Retirement Calculator'!J:J,MATCH('Isaac 401k'!N5241,'Retirement Calculator'!A:A,0),0),0)</f>
        <v>0</v>
      </c>
      <c r="K5241" s="444">
        <f t="shared" ca="1" si="201"/>
        <v>-3364960280749.9658</v>
      </c>
      <c r="L5241" s="444">
        <f t="shared" ca="1" si="202"/>
        <v>-810955427660741.75</v>
      </c>
      <c r="M5241" s="460">
        <f t="shared" si="204"/>
        <v>0.05</v>
      </c>
      <c r="N5241" s="464">
        <f t="shared" si="205"/>
        <v>210564</v>
      </c>
    </row>
    <row r="5242" spans="7:14" ht="11.25" customHeight="1" x14ac:dyDescent="0.3">
      <c r="G5242" s="459"/>
      <c r="H5242" s="459">
        <v>5235</v>
      </c>
      <c r="I5242" s="444">
        <f t="shared" ca="1" si="203"/>
        <v>-810955427660741.75</v>
      </c>
      <c r="J5242" s="444">
        <f t="array" ref="J5242">IFERROR(INDEX('Retirement Calculator'!J:J,MATCH('Isaac 401k'!N5242,'Retirement Calculator'!A:A,0),0),0)</f>
        <v>0</v>
      </c>
      <c r="K5242" s="444">
        <f t="shared" ca="1" si="201"/>
        <v>-3378980948586.4238</v>
      </c>
      <c r="L5242" s="444">
        <f t="shared" ca="1" si="202"/>
        <v>-814334408609328.13</v>
      </c>
      <c r="M5242" s="460">
        <f t="shared" si="204"/>
        <v>0.05</v>
      </c>
      <c r="N5242" s="464">
        <f t="shared" si="205"/>
        <v>210595</v>
      </c>
    </row>
    <row r="5243" spans="7:14" ht="11.25" customHeight="1" x14ac:dyDescent="0.3">
      <c r="G5243" s="459"/>
      <c r="H5243" s="459">
        <v>5236</v>
      </c>
      <c r="I5243" s="444">
        <f t="shared" ca="1" si="203"/>
        <v>-814334408609328.13</v>
      </c>
      <c r="J5243" s="444">
        <f t="array" ref="J5243">IFERROR(INDEX('Retirement Calculator'!J:J,MATCH('Isaac 401k'!N5243,'Retirement Calculator'!A:A,0),0),0)</f>
        <v>0</v>
      </c>
      <c r="K5243" s="444">
        <f t="shared" ca="1" si="201"/>
        <v>-3393060035872.2007</v>
      </c>
      <c r="L5243" s="444">
        <f t="shared" ca="1" si="202"/>
        <v>-817727468645200.38</v>
      </c>
      <c r="M5243" s="460">
        <f t="shared" si="204"/>
        <v>0.05</v>
      </c>
      <c r="N5243" s="464">
        <f t="shared" si="205"/>
        <v>210626</v>
      </c>
    </row>
    <row r="5244" spans="7:14" ht="11.25" customHeight="1" x14ac:dyDescent="0.3">
      <c r="G5244" s="459"/>
      <c r="H5244" s="459">
        <v>5237</v>
      </c>
      <c r="I5244" s="444">
        <f t="shared" ca="1" si="203"/>
        <v>-817727468645200.38</v>
      </c>
      <c r="J5244" s="444">
        <f t="array" ref="J5244">IFERROR(INDEX('Retirement Calculator'!J:J,MATCH('Isaac 401k'!N5244,'Retirement Calculator'!A:A,0),0),0)</f>
        <v>0</v>
      </c>
      <c r="K5244" s="444">
        <f t="shared" ca="1" si="201"/>
        <v>-3407197786021.668</v>
      </c>
      <c r="L5244" s="444">
        <f t="shared" ca="1" si="202"/>
        <v>-821134666431222</v>
      </c>
      <c r="M5244" s="460">
        <f t="shared" si="204"/>
        <v>0.05</v>
      </c>
      <c r="N5244" s="464">
        <f t="shared" si="205"/>
        <v>210656</v>
      </c>
    </row>
    <row r="5245" spans="7:14" ht="11.25" customHeight="1" x14ac:dyDescent="0.3">
      <c r="G5245" s="459"/>
      <c r="H5245" s="459">
        <v>5238</v>
      </c>
      <c r="I5245" s="444">
        <f t="shared" ca="1" si="203"/>
        <v>-821134666431222</v>
      </c>
      <c r="J5245" s="444">
        <f t="array" ref="J5245">IFERROR(INDEX('Retirement Calculator'!J:J,MATCH('Isaac 401k'!N5245,'Retirement Calculator'!A:A,0),0),0)</f>
        <v>0</v>
      </c>
      <c r="K5245" s="444">
        <f t="shared" ca="1" si="201"/>
        <v>-3421394443463.4248</v>
      </c>
      <c r="L5245" s="444">
        <f t="shared" ca="1" si="202"/>
        <v>-824556060874685.38</v>
      </c>
      <c r="M5245" s="460">
        <f t="shared" si="204"/>
        <v>0.05</v>
      </c>
      <c r="N5245" s="464">
        <f t="shared" si="205"/>
        <v>210687</v>
      </c>
    </row>
    <row r="5246" spans="7:14" ht="11.25" customHeight="1" x14ac:dyDescent="0.3">
      <c r="G5246" s="459"/>
      <c r="H5246" s="459">
        <v>5239</v>
      </c>
      <c r="I5246" s="444">
        <f t="shared" ca="1" si="203"/>
        <v>-824556060874685.38</v>
      </c>
      <c r="J5246" s="444">
        <f t="array" ref="J5246">IFERROR(INDEX('Retirement Calculator'!J:J,MATCH('Isaac 401k'!N5246,'Retirement Calculator'!A:A,0),0),0)</f>
        <v>0</v>
      </c>
      <c r="K5246" s="444">
        <f t="shared" ca="1" si="201"/>
        <v>-3435650253644.5225</v>
      </c>
      <c r="L5246" s="444">
        <f t="shared" ca="1" si="202"/>
        <v>-827991711128329.88</v>
      </c>
      <c r="M5246" s="460">
        <f t="shared" si="204"/>
        <v>0.05</v>
      </c>
      <c r="N5246" s="464">
        <f t="shared" si="205"/>
        <v>210717</v>
      </c>
    </row>
    <row r="5247" spans="7:14" ht="11.25" customHeight="1" x14ac:dyDescent="0.3">
      <c r="G5247" s="459"/>
      <c r="H5247" s="459">
        <v>5240</v>
      </c>
      <c r="I5247" s="444">
        <f t="shared" ca="1" si="203"/>
        <v>-827991711128329.88</v>
      </c>
      <c r="J5247" s="444">
        <f t="array" ref="J5247">IFERROR(INDEX('Retirement Calculator'!J:J,MATCH('Isaac 401k'!N5247,'Retirement Calculator'!A:A,0),0),0)</f>
        <v>0</v>
      </c>
      <c r="K5247" s="444">
        <f t="shared" ca="1" si="201"/>
        <v>-3449965463034.708</v>
      </c>
      <c r="L5247" s="444">
        <f t="shared" ca="1" si="202"/>
        <v>-831441676591364.63</v>
      </c>
      <c r="M5247" s="460">
        <f t="shared" si="204"/>
        <v>0.05</v>
      </c>
      <c r="N5247" s="464">
        <f t="shared" si="205"/>
        <v>210748</v>
      </c>
    </row>
    <row r="5248" spans="7:14" ht="11.25" customHeight="1" x14ac:dyDescent="0.3">
      <c r="G5248" s="459"/>
      <c r="H5248" s="459">
        <v>5241</v>
      </c>
      <c r="I5248" s="444">
        <f t="shared" ca="1" si="203"/>
        <v>-831441676591364.63</v>
      </c>
      <c r="J5248" s="444">
        <f t="array" ref="J5248">IFERROR(INDEX('Retirement Calculator'!J:J,MATCH('Isaac 401k'!N5248,'Retirement Calculator'!A:A,0),0),0)</f>
        <v>0</v>
      </c>
      <c r="K5248" s="444">
        <f t="shared" ca="1" si="201"/>
        <v>-3464340319130.686</v>
      </c>
      <c r="L5248" s="444">
        <f t="shared" ca="1" si="202"/>
        <v>-834906016910495.25</v>
      </c>
      <c r="M5248" s="460">
        <f t="shared" si="204"/>
        <v>0.05</v>
      </c>
      <c r="N5248" s="464">
        <f t="shared" si="205"/>
        <v>210779</v>
      </c>
    </row>
    <row r="5249" spans="7:14" ht="11.25" customHeight="1" x14ac:dyDescent="0.3">
      <c r="G5249" s="459"/>
      <c r="H5249" s="459">
        <v>5242</v>
      </c>
      <c r="I5249" s="444">
        <f t="shared" ca="1" si="203"/>
        <v>-834906016910495.25</v>
      </c>
      <c r="J5249" s="444">
        <f t="array" ref="J5249">IFERROR(INDEX('Retirement Calculator'!J:J,MATCH('Isaac 401k'!N5249,'Retirement Calculator'!A:A,0),0),0)</f>
        <v>0</v>
      </c>
      <c r="K5249" s="444">
        <f t="shared" ca="1" si="201"/>
        <v>-3478775070460.397</v>
      </c>
      <c r="L5249" s="444">
        <f t="shared" ca="1" si="202"/>
        <v>-838384791980955.63</v>
      </c>
      <c r="M5249" s="460">
        <f t="shared" si="204"/>
        <v>0.05</v>
      </c>
      <c r="N5249" s="464">
        <f t="shared" si="205"/>
        <v>210807</v>
      </c>
    </row>
    <row r="5250" spans="7:14" ht="11.25" customHeight="1" x14ac:dyDescent="0.3">
      <c r="G5250" s="459"/>
      <c r="H5250" s="459">
        <v>5243</v>
      </c>
      <c r="I5250" s="444">
        <f t="shared" ca="1" si="203"/>
        <v>-838384791980955.63</v>
      </c>
      <c r="J5250" s="444">
        <f t="array" ref="J5250">IFERROR(INDEX('Retirement Calculator'!J:J,MATCH('Isaac 401k'!N5250,'Retirement Calculator'!A:A,0),0),0)</f>
        <v>0</v>
      </c>
      <c r="K5250" s="444">
        <f t="shared" ca="1" si="201"/>
        <v>-3493269966587.3149</v>
      </c>
      <c r="L5250" s="444">
        <f t="shared" ca="1" si="202"/>
        <v>-841878061947543</v>
      </c>
      <c r="M5250" s="460">
        <f t="shared" si="204"/>
        <v>0.05</v>
      </c>
      <c r="N5250" s="464">
        <f t="shared" si="205"/>
        <v>210838</v>
      </c>
    </row>
    <row r="5251" spans="7:14" ht="11.25" customHeight="1" x14ac:dyDescent="0.3">
      <c r="G5251" s="459"/>
      <c r="H5251" s="459">
        <v>5244</v>
      </c>
      <c r="I5251" s="444">
        <f t="shared" ca="1" si="203"/>
        <v>-841878061947543</v>
      </c>
      <c r="J5251" s="444">
        <f t="array" ref="J5251">IFERROR(INDEX('Retirement Calculator'!J:J,MATCH('Isaac 401k'!N5251,'Retirement Calculator'!A:A,0),0),0)</f>
        <v>0</v>
      </c>
      <c r="K5251" s="444">
        <f t="shared" ca="1" si="201"/>
        <v>-3507825258114.7627</v>
      </c>
      <c r="L5251" s="444">
        <f t="shared" ca="1" si="202"/>
        <v>-845385887205657.75</v>
      </c>
      <c r="M5251" s="460">
        <f t="shared" si="204"/>
        <v>0.05</v>
      </c>
      <c r="N5251" s="464">
        <f t="shared" si="205"/>
        <v>210868</v>
      </c>
    </row>
    <row r="5252" spans="7:14" ht="11.25" customHeight="1" x14ac:dyDescent="0.3">
      <c r="G5252" s="459"/>
      <c r="H5252" s="459">
        <v>5245</v>
      </c>
      <c r="I5252" s="444">
        <f t="shared" ca="1" si="203"/>
        <v>-845385887205657.75</v>
      </c>
      <c r="J5252" s="444">
        <f t="array" ref="J5252">IFERROR(INDEX('Retirement Calculator'!J:J,MATCH('Isaac 401k'!N5252,'Retirement Calculator'!A:A,0),0),0)</f>
        <v>0</v>
      </c>
      <c r="K5252" s="444">
        <f t="shared" ca="1" si="201"/>
        <v>-3522441196690.2407</v>
      </c>
      <c r="L5252" s="444">
        <f t="shared" ca="1" si="202"/>
        <v>-848908328402348</v>
      </c>
      <c r="M5252" s="460">
        <f t="shared" si="204"/>
        <v>0.05</v>
      </c>
      <c r="N5252" s="464">
        <f t="shared" si="205"/>
        <v>210899</v>
      </c>
    </row>
    <row r="5253" spans="7:14" ht="11.25" customHeight="1" x14ac:dyDescent="0.3">
      <c r="G5253" s="459"/>
      <c r="H5253" s="459">
        <v>5246</v>
      </c>
      <c r="I5253" s="444">
        <f t="shared" ca="1" si="203"/>
        <v>-848908328402348</v>
      </c>
      <c r="J5253" s="444">
        <f t="array" ref="J5253">IFERROR(INDEX('Retirement Calculator'!J:J,MATCH('Isaac 401k'!N5253,'Retirement Calculator'!A:A,0),0),0)</f>
        <v>0</v>
      </c>
      <c r="K5253" s="444">
        <f t="shared" ca="1" si="201"/>
        <v>-3537118035009.7832</v>
      </c>
      <c r="L5253" s="444">
        <f t="shared" ca="1" si="202"/>
        <v>-852445446437357.75</v>
      </c>
      <c r="M5253" s="460">
        <f t="shared" si="204"/>
        <v>0.05</v>
      </c>
      <c r="N5253" s="464">
        <f t="shared" si="205"/>
        <v>210929</v>
      </c>
    </row>
    <row r="5254" spans="7:14" ht="11.25" customHeight="1" x14ac:dyDescent="0.3">
      <c r="G5254" s="459"/>
      <c r="H5254" s="459">
        <v>5247</v>
      </c>
      <c r="I5254" s="444">
        <f t="shared" ca="1" si="203"/>
        <v>-852445446437357.75</v>
      </c>
      <c r="J5254" s="444">
        <f t="array" ref="J5254">IFERROR(INDEX('Retirement Calculator'!J:J,MATCH('Isaac 401k'!N5254,'Retirement Calculator'!A:A,0),0),0)</f>
        <v>0</v>
      </c>
      <c r="K5254" s="444">
        <f t="shared" ca="1" si="201"/>
        <v>-3551856026822.3237</v>
      </c>
      <c r="L5254" s="444">
        <f t="shared" ca="1" si="202"/>
        <v>-855997302464180.13</v>
      </c>
      <c r="M5254" s="460">
        <f t="shared" si="204"/>
        <v>0.05</v>
      </c>
      <c r="N5254" s="464">
        <f t="shared" si="205"/>
        <v>210960</v>
      </c>
    </row>
    <row r="5255" spans="7:14" ht="11.25" customHeight="1" x14ac:dyDescent="0.3">
      <c r="G5255" s="459"/>
      <c r="H5255" s="459">
        <v>5248</v>
      </c>
      <c r="I5255" s="444">
        <f t="shared" ca="1" si="203"/>
        <v>-855997302464180.13</v>
      </c>
      <c r="J5255" s="444">
        <f t="array" ref="J5255">IFERROR(INDEX('Retirement Calculator'!J:J,MATCH('Isaac 401k'!N5255,'Retirement Calculator'!A:A,0),0),0)</f>
        <v>0</v>
      </c>
      <c r="K5255" s="444">
        <f t="shared" ca="1" si="201"/>
        <v>-3566655426934.084</v>
      </c>
      <c r="L5255" s="444">
        <f t="shared" ca="1" si="202"/>
        <v>-859563957891114.25</v>
      </c>
      <c r="M5255" s="460">
        <f t="shared" si="204"/>
        <v>0.05</v>
      </c>
      <c r="N5255" s="464">
        <f t="shared" si="205"/>
        <v>210991</v>
      </c>
    </row>
    <row r="5256" spans="7:14" ht="11.25" customHeight="1" x14ac:dyDescent="0.3">
      <c r="G5256" s="459"/>
      <c r="H5256" s="459">
        <v>5249</v>
      </c>
      <c r="I5256" s="444">
        <f t="shared" ca="1" si="203"/>
        <v>-859563957891114.25</v>
      </c>
      <c r="J5256" s="444">
        <f t="array" ref="J5256">IFERROR(INDEX('Retirement Calculator'!J:J,MATCH('Isaac 401k'!N5256,'Retirement Calculator'!A:A,0),0),0)</f>
        <v>0</v>
      </c>
      <c r="K5256" s="444">
        <f t="shared" ca="1" si="201"/>
        <v>-3581516491212.9761</v>
      </c>
      <c r="L5256" s="444">
        <f t="shared" ca="1" si="202"/>
        <v>-863145474382327.25</v>
      </c>
      <c r="M5256" s="460">
        <f t="shared" si="204"/>
        <v>0.05</v>
      </c>
      <c r="N5256" s="464">
        <f t="shared" si="205"/>
        <v>211021</v>
      </c>
    </row>
    <row r="5257" spans="7:14" ht="11.25" customHeight="1" x14ac:dyDescent="0.3">
      <c r="G5257" s="459"/>
      <c r="H5257" s="459">
        <v>5250</v>
      </c>
      <c r="I5257" s="444">
        <f t="shared" ca="1" si="203"/>
        <v>-863145474382327.25</v>
      </c>
      <c r="J5257" s="444">
        <f t="array" ref="J5257">IFERROR(INDEX('Retirement Calculator'!J:J,MATCH('Isaac 401k'!N5257,'Retirement Calculator'!A:A,0),0),0)</f>
        <v>0</v>
      </c>
      <c r="K5257" s="444">
        <f t="shared" ca="1" si="201"/>
        <v>-3596439476593.0303</v>
      </c>
      <c r="L5257" s="444">
        <f t="shared" ca="1" si="202"/>
        <v>-866741913858920.25</v>
      </c>
      <c r="M5257" s="460">
        <f t="shared" si="204"/>
        <v>0.05</v>
      </c>
      <c r="N5257" s="464">
        <f t="shared" si="205"/>
        <v>211052</v>
      </c>
    </row>
    <row r="5258" spans="7:14" ht="11.25" customHeight="1" x14ac:dyDescent="0.3">
      <c r="G5258" s="459"/>
      <c r="H5258" s="459">
        <v>5251</v>
      </c>
      <c r="I5258" s="444">
        <f t="shared" ca="1" si="203"/>
        <v>-866741913858920.25</v>
      </c>
      <c r="J5258" s="444">
        <f t="array" ref="J5258">IFERROR(INDEX('Retirement Calculator'!J:J,MATCH('Isaac 401k'!N5258,'Retirement Calculator'!A:A,0),0),0)</f>
        <v>0</v>
      </c>
      <c r="K5258" s="444">
        <f t="shared" ca="1" si="201"/>
        <v>-3611424641078.8345</v>
      </c>
      <c r="L5258" s="444">
        <f t="shared" ca="1" si="202"/>
        <v>-870353338499999.13</v>
      </c>
      <c r="M5258" s="460">
        <f t="shared" si="204"/>
        <v>0.05</v>
      </c>
      <c r="N5258" s="464">
        <f t="shared" si="205"/>
        <v>211082</v>
      </c>
    </row>
    <row r="5259" spans="7:14" ht="11.25" customHeight="1" x14ac:dyDescent="0.3">
      <c r="G5259" s="459"/>
      <c r="H5259" s="459">
        <v>5252</v>
      </c>
      <c r="I5259" s="444">
        <f t="shared" ca="1" si="203"/>
        <v>-870353338499999.13</v>
      </c>
      <c r="J5259" s="444">
        <f t="array" ref="J5259">IFERROR(INDEX('Retirement Calculator'!J:J,MATCH('Isaac 401k'!N5259,'Retirement Calculator'!A:A,0),0),0)</f>
        <v>0</v>
      </c>
      <c r="K5259" s="444">
        <f t="shared" ca="1" si="201"/>
        <v>-3626472243749.9961</v>
      </c>
      <c r="L5259" s="444">
        <f t="shared" ca="1" si="202"/>
        <v>-873979810743749.13</v>
      </c>
      <c r="M5259" s="460">
        <f t="shared" si="204"/>
        <v>0.05</v>
      </c>
      <c r="N5259" s="464">
        <f t="shared" si="205"/>
        <v>211113</v>
      </c>
    </row>
    <row r="5260" spans="7:14" ht="11.25" customHeight="1" x14ac:dyDescent="0.3">
      <c r="G5260" s="459"/>
      <c r="H5260" s="459">
        <v>5253</v>
      </c>
      <c r="I5260" s="444">
        <f t="shared" ca="1" si="203"/>
        <v>-873979810743749.13</v>
      </c>
      <c r="J5260" s="444">
        <f t="array" ref="J5260">IFERROR(INDEX('Retirement Calculator'!J:J,MATCH('Isaac 401k'!N5260,'Retirement Calculator'!A:A,0),0),0)</f>
        <v>0</v>
      </c>
      <c r="K5260" s="444">
        <f t="shared" ca="1" si="201"/>
        <v>-3641582544765.6211</v>
      </c>
      <c r="L5260" s="444">
        <f t="shared" ca="1" si="202"/>
        <v>-877621393288514.75</v>
      </c>
      <c r="M5260" s="460">
        <f t="shared" si="204"/>
        <v>0.05</v>
      </c>
      <c r="N5260" s="464">
        <f t="shared" si="205"/>
        <v>211144</v>
      </c>
    </row>
    <row r="5261" spans="7:14" ht="11.25" customHeight="1" x14ac:dyDescent="0.3">
      <c r="G5261" s="459"/>
      <c r="H5261" s="459">
        <v>5254</v>
      </c>
      <c r="I5261" s="444">
        <f t="shared" ca="1" si="203"/>
        <v>-877621393288514.75</v>
      </c>
      <c r="J5261" s="444">
        <f t="array" ref="J5261">IFERROR(INDEX('Retirement Calculator'!J:J,MATCH('Isaac 401k'!N5261,'Retirement Calculator'!A:A,0),0),0)</f>
        <v>0</v>
      </c>
      <c r="K5261" s="444">
        <f t="shared" ca="1" si="201"/>
        <v>-3656755805368.811</v>
      </c>
      <c r="L5261" s="444">
        <f t="shared" ca="1" si="202"/>
        <v>-881278149093883.5</v>
      </c>
      <c r="M5261" s="460">
        <f t="shared" si="204"/>
        <v>0.05</v>
      </c>
      <c r="N5261" s="464">
        <f t="shared" si="205"/>
        <v>211172</v>
      </c>
    </row>
    <row r="5262" spans="7:14" ht="11.25" customHeight="1" x14ac:dyDescent="0.3">
      <c r="G5262" s="459"/>
      <c r="H5262" s="459">
        <v>5255</v>
      </c>
      <c r="I5262" s="444">
        <f t="shared" ca="1" si="203"/>
        <v>-881278149093883.5</v>
      </c>
      <c r="J5262" s="444">
        <f t="array" ref="J5262">IFERROR(INDEX('Retirement Calculator'!J:J,MATCH('Isaac 401k'!N5262,'Retirement Calculator'!A:A,0),0),0)</f>
        <v>0</v>
      </c>
      <c r="K5262" s="444">
        <f t="shared" ca="1" si="201"/>
        <v>-3671992287891.1812</v>
      </c>
      <c r="L5262" s="444">
        <f t="shared" ca="1" si="202"/>
        <v>-884950141381774.63</v>
      </c>
      <c r="M5262" s="460">
        <f t="shared" si="204"/>
        <v>0.05</v>
      </c>
      <c r="N5262" s="464">
        <f t="shared" si="205"/>
        <v>211203</v>
      </c>
    </row>
    <row r="5263" spans="7:14" ht="11.25" customHeight="1" x14ac:dyDescent="0.3">
      <c r="G5263" s="459"/>
      <c r="H5263" s="459">
        <v>5256</v>
      </c>
      <c r="I5263" s="444">
        <f t="shared" ca="1" si="203"/>
        <v>-884950141381774.63</v>
      </c>
      <c r="J5263" s="444">
        <f t="array" ref="J5263">IFERROR(INDEX('Retirement Calculator'!J:J,MATCH('Isaac 401k'!N5263,'Retirement Calculator'!A:A,0),0),0)</f>
        <v>0</v>
      </c>
      <c r="K5263" s="444">
        <f t="shared" ca="1" si="201"/>
        <v>-3687292255757.394</v>
      </c>
      <c r="L5263" s="444">
        <f t="shared" ca="1" si="202"/>
        <v>-888637433637532</v>
      </c>
      <c r="M5263" s="460">
        <f t="shared" si="204"/>
        <v>0.05</v>
      </c>
      <c r="N5263" s="464">
        <f t="shared" si="205"/>
        <v>211233</v>
      </c>
    </row>
    <row r="5264" spans="7:14" ht="11.25" customHeight="1" x14ac:dyDescent="0.3">
      <c r="G5264" s="459"/>
      <c r="H5264" s="459">
        <v>5257</v>
      </c>
      <c r="I5264" s="444">
        <f t="shared" ca="1" si="203"/>
        <v>-888637433637532</v>
      </c>
      <c r="J5264" s="444">
        <f t="array" ref="J5264">IFERROR(INDEX('Retirement Calculator'!J:J,MATCH('Isaac 401k'!N5264,'Retirement Calculator'!A:A,0),0),0)</f>
        <v>0</v>
      </c>
      <c r="K5264" s="444">
        <f t="shared" ca="1" si="201"/>
        <v>-3702655973489.7168</v>
      </c>
      <c r="L5264" s="444">
        <f t="shared" ca="1" si="202"/>
        <v>-892340089611021.75</v>
      </c>
      <c r="M5264" s="460">
        <f t="shared" si="204"/>
        <v>0.05</v>
      </c>
      <c r="N5264" s="464">
        <f t="shared" si="205"/>
        <v>211264</v>
      </c>
    </row>
    <row r="5265" spans="7:14" ht="11.25" customHeight="1" x14ac:dyDescent="0.3">
      <c r="G5265" s="459"/>
      <c r="H5265" s="459">
        <v>5258</v>
      </c>
      <c r="I5265" s="444">
        <f t="shared" ca="1" si="203"/>
        <v>-892340089611021.75</v>
      </c>
      <c r="J5265" s="444">
        <f t="array" ref="J5265">IFERROR(INDEX('Retirement Calculator'!J:J,MATCH('Isaac 401k'!N5265,'Retirement Calculator'!A:A,0),0),0)</f>
        <v>0</v>
      </c>
      <c r="K5265" s="444">
        <f t="shared" ca="1" si="201"/>
        <v>-3718083706712.5903</v>
      </c>
      <c r="L5265" s="444">
        <f t="shared" ca="1" si="202"/>
        <v>-896058173317734.38</v>
      </c>
      <c r="M5265" s="460">
        <f t="shared" si="204"/>
        <v>0.05</v>
      </c>
      <c r="N5265" s="464">
        <f t="shared" si="205"/>
        <v>211294</v>
      </c>
    </row>
    <row r="5266" spans="7:14" ht="11.25" customHeight="1" x14ac:dyDescent="0.3">
      <c r="G5266" s="459"/>
      <c r="H5266" s="459">
        <v>5259</v>
      </c>
      <c r="I5266" s="444">
        <f t="shared" ca="1" si="203"/>
        <v>-896058173317734.38</v>
      </c>
      <c r="J5266" s="444">
        <f t="array" ref="J5266">IFERROR(INDEX('Retirement Calculator'!J:J,MATCH('Isaac 401k'!N5266,'Retirement Calculator'!A:A,0),0),0)</f>
        <v>0</v>
      </c>
      <c r="K5266" s="444">
        <f t="shared" ca="1" si="201"/>
        <v>-3733575722157.2266</v>
      </c>
      <c r="L5266" s="444">
        <f t="shared" ca="1" si="202"/>
        <v>-899791749039891.63</v>
      </c>
      <c r="M5266" s="460">
        <f t="shared" si="204"/>
        <v>0.05</v>
      </c>
      <c r="N5266" s="464">
        <f t="shared" si="205"/>
        <v>211325</v>
      </c>
    </row>
    <row r="5267" spans="7:14" ht="11.25" customHeight="1" x14ac:dyDescent="0.3">
      <c r="G5267" s="459"/>
      <c r="H5267" s="459">
        <v>5260</v>
      </c>
      <c r="I5267" s="444">
        <f t="shared" ca="1" si="203"/>
        <v>-899791749039891.63</v>
      </c>
      <c r="J5267" s="444">
        <f t="array" ref="J5267">IFERROR(INDEX('Retirement Calculator'!J:J,MATCH('Isaac 401k'!N5267,'Retirement Calculator'!A:A,0),0),0)</f>
        <v>0</v>
      </c>
      <c r="K5267" s="444">
        <f t="shared" ca="1" si="201"/>
        <v>-3749132287666.2144</v>
      </c>
      <c r="L5267" s="444">
        <f t="shared" ca="1" si="202"/>
        <v>-903540881327557.88</v>
      </c>
      <c r="M5267" s="460">
        <f t="shared" si="204"/>
        <v>0.05</v>
      </c>
      <c r="N5267" s="464">
        <f t="shared" si="205"/>
        <v>211356</v>
      </c>
    </row>
    <row r="5268" spans="7:14" ht="11.25" customHeight="1" x14ac:dyDescent="0.3">
      <c r="G5268" s="459"/>
      <c r="H5268" s="459">
        <v>5261</v>
      </c>
      <c r="I5268" s="444">
        <f t="shared" ca="1" si="203"/>
        <v>-903540881327557.88</v>
      </c>
      <c r="J5268" s="444">
        <f t="array" ref="J5268">IFERROR(INDEX('Retirement Calculator'!J:J,MATCH('Isaac 401k'!N5268,'Retirement Calculator'!A:A,0),0),0)</f>
        <v>0</v>
      </c>
      <c r="K5268" s="444">
        <f t="shared" ca="1" si="201"/>
        <v>-3764753672198.1577</v>
      </c>
      <c r="L5268" s="444">
        <f t="shared" ca="1" si="202"/>
        <v>-907305634999756</v>
      </c>
      <c r="M5268" s="460">
        <f t="shared" si="204"/>
        <v>0.05</v>
      </c>
      <c r="N5268" s="464">
        <f t="shared" si="205"/>
        <v>211386</v>
      </c>
    </row>
    <row r="5269" spans="7:14" ht="11.25" customHeight="1" x14ac:dyDescent="0.3">
      <c r="G5269" s="459"/>
      <c r="H5269" s="459">
        <v>5262</v>
      </c>
      <c r="I5269" s="444">
        <f t="shared" ca="1" si="203"/>
        <v>-907305634999756</v>
      </c>
      <c r="J5269" s="444">
        <f t="array" ref="J5269">IFERROR(INDEX('Retirement Calculator'!J:J,MATCH('Isaac 401k'!N5269,'Retirement Calculator'!A:A,0),0),0)</f>
        <v>0</v>
      </c>
      <c r="K5269" s="444">
        <f t="shared" ca="1" si="201"/>
        <v>-3780440145832.3164</v>
      </c>
      <c r="L5269" s="444">
        <f t="shared" ca="1" si="202"/>
        <v>-911086075145588.38</v>
      </c>
      <c r="M5269" s="460">
        <f t="shared" si="204"/>
        <v>0.05</v>
      </c>
      <c r="N5269" s="464">
        <f t="shared" si="205"/>
        <v>211417</v>
      </c>
    </row>
    <row r="5270" spans="7:14" ht="11.25" customHeight="1" x14ac:dyDescent="0.3">
      <c r="G5270" s="459"/>
      <c r="H5270" s="459">
        <v>5263</v>
      </c>
      <c r="I5270" s="444">
        <f t="shared" ca="1" si="203"/>
        <v>-911086075145588.38</v>
      </c>
      <c r="J5270" s="444">
        <f t="array" ref="J5270">IFERROR(INDEX('Retirement Calculator'!J:J,MATCH('Isaac 401k'!N5270,'Retirement Calculator'!A:A,0),0),0)</f>
        <v>0</v>
      </c>
      <c r="K5270" s="444">
        <f t="shared" ca="1" si="201"/>
        <v>-3796191979773.2847</v>
      </c>
      <c r="L5270" s="444">
        <f t="shared" ca="1" si="202"/>
        <v>-914882267125361.63</v>
      </c>
      <c r="M5270" s="460">
        <f t="shared" si="204"/>
        <v>0.05</v>
      </c>
      <c r="N5270" s="464">
        <f t="shared" si="205"/>
        <v>211447</v>
      </c>
    </row>
    <row r="5271" spans="7:14" ht="11.25" customHeight="1" x14ac:dyDescent="0.3">
      <c r="G5271" s="459"/>
      <c r="H5271" s="459">
        <v>5264</v>
      </c>
      <c r="I5271" s="444">
        <f t="shared" ca="1" si="203"/>
        <v>-914882267125361.63</v>
      </c>
      <c r="J5271" s="444">
        <f t="array" ref="J5271">IFERROR(INDEX('Retirement Calculator'!J:J,MATCH('Isaac 401k'!N5271,'Retirement Calculator'!A:A,0),0),0)</f>
        <v>0</v>
      </c>
      <c r="K5271" s="444">
        <f t="shared" ca="1" si="201"/>
        <v>-3812009446355.6733</v>
      </c>
      <c r="L5271" s="444">
        <f t="shared" ca="1" si="202"/>
        <v>-918694276571717.25</v>
      </c>
      <c r="M5271" s="460">
        <f t="shared" si="204"/>
        <v>0.05</v>
      </c>
      <c r="N5271" s="464">
        <f t="shared" si="205"/>
        <v>211478</v>
      </c>
    </row>
    <row r="5272" spans="7:14" ht="11.25" customHeight="1" x14ac:dyDescent="0.3">
      <c r="G5272" s="459"/>
      <c r="H5272" s="459">
        <v>5265</v>
      </c>
      <c r="I5272" s="444">
        <f t="shared" ca="1" si="203"/>
        <v>-918694276571717.25</v>
      </c>
      <c r="J5272" s="444">
        <f t="array" ref="J5272">IFERROR(INDEX('Retirement Calculator'!J:J,MATCH('Isaac 401k'!N5272,'Retirement Calculator'!A:A,0),0),0)</f>
        <v>0</v>
      </c>
      <c r="K5272" s="444">
        <f t="shared" ca="1" si="201"/>
        <v>-3827892819048.8218</v>
      </c>
      <c r="L5272" s="444">
        <f t="shared" ca="1" si="202"/>
        <v>-922522169390766.13</v>
      </c>
      <c r="M5272" s="460">
        <f t="shared" si="204"/>
        <v>0.05</v>
      </c>
      <c r="N5272" s="464">
        <f t="shared" si="205"/>
        <v>211509</v>
      </c>
    </row>
    <row r="5273" spans="7:14" ht="11.25" customHeight="1" x14ac:dyDescent="0.3">
      <c r="G5273" s="459"/>
      <c r="H5273" s="459">
        <v>5266</v>
      </c>
      <c r="I5273" s="444">
        <f t="shared" ca="1" si="203"/>
        <v>-922522169390766.13</v>
      </c>
      <c r="J5273" s="444">
        <f t="array" ref="J5273">IFERROR(INDEX('Retirement Calculator'!J:J,MATCH('Isaac 401k'!N5273,'Retirement Calculator'!A:A,0),0),0)</f>
        <v>0</v>
      </c>
      <c r="K5273" s="444">
        <f t="shared" ca="1" si="201"/>
        <v>-3843842372461.5254</v>
      </c>
      <c r="L5273" s="444">
        <f t="shared" ca="1" si="202"/>
        <v>-926366011763227.63</v>
      </c>
      <c r="M5273" s="460">
        <f t="shared" si="204"/>
        <v>0.05</v>
      </c>
      <c r="N5273" s="464">
        <f t="shared" si="205"/>
        <v>211537</v>
      </c>
    </row>
    <row r="5274" spans="7:14" ht="11.25" customHeight="1" x14ac:dyDescent="0.3">
      <c r="G5274" s="459"/>
      <c r="H5274" s="459">
        <v>5267</v>
      </c>
      <c r="I5274" s="444">
        <f t="shared" ca="1" si="203"/>
        <v>-926366011763227.63</v>
      </c>
      <c r="J5274" s="444">
        <f t="array" ref="J5274">IFERROR(INDEX('Retirement Calculator'!J:J,MATCH('Isaac 401k'!N5274,'Retirement Calculator'!A:A,0),0),0)</f>
        <v>0</v>
      </c>
      <c r="K5274" s="444">
        <f t="shared" ca="1" si="201"/>
        <v>-3859858382346.7817</v>
      </c>
      <c r="L5274" s="444">
        <f t="shared" ca="1" si="202"/>
        <v>-930225870145574.38</v>
      </c>
      <c r="M5274" s="460">
        <f t="shared" si="204"/>
        <v>0.05</v>
      </c>
      <c r="N5274" s="464">
        <f t="shared" si="205"/>
        <v>211568</v>
      </c>
    </row>
    <row r="5275" spans="7:14" ht="11.25" customHeight="1" x14ac:dyDescent="0.3">
      <c r="G5275" s="459"/>
      <c r="H5275" s="459">
        <v>5268</v>
      </c>
      <c r="I5275" s="444">
        <f t="shared" ca="1" si="203"/>
        <v>-930225870145574.38</v>
      </c>
      <c r="J5275" s="444">
        <f t="array" ref="J5275">IFERROR(INDEX('Retirement Calculator'!J:J,MATCH('Isaac 401k'!N5275,'Retirement Calculator'!A:A,0),0),0)</f>
        <v>0</v>
      </c>
      <c r="K5275" s="444">
        <f t="shared" ca="1" si="201"/>
        <v>-3875941125606.5601</v>
      </c>
      <c r="L5275" s="444">
        <f t="shared" ca="1" si="202"/>
        <v>-934101811271180.88</v>
      </c>
      <c r="M5275" s="460">
        <f t="shared" si="204"/>
        <v>0.05</v>
      </c>
      <c r="N5275" s="464">
        <f t="shared" si="205"/>
        <v>211598</v>
      </c>
    </row>
    <row r="5276" spans="7:14" ht="11.25" customHeight="1" x14ac:dyDescent="0.3">
      <c r="G5276" s="459"/>
      <c r="H5276" s="459">
        <v>5269</v>
      </c>
      <c r="I5276" s="444">
        <f t="shared" ca="1" si="203"/>
        <v>-934101811271180.88</v>
      </c>
      <c r="J5276" s="444">
        <f t="array" ref="J5276">IFERROR(INDEX('Retirement Calculator'!J:J,MATCH('Isaac 401k'!N5276,'Retirement Calculator'!A:A,0),0),0)</f>
        <v>0</v>
      </c>
      <c r="K5276" s="444">
        <f t="shared" ca="1" si="201"/>
        <v>-3892090880296.5874</v>
      </c>
      <c r="L5276" s="444">
        <f t="shared" ca="1" si="202"/>
        <v>-937993902151477.5</v>
      </c>
      <c r="M5276" s="460">
        <f t="shared" si="204"/>
        <v>0.05</v>
      </c>
      <c r="N5276" s="464">
        <f t="shared" si="205"/>
        <v>211629</v>
      </c>
    </row>
    <row r="5277" spans="7:14" ht="11.25" customHeight="1" x14ac:dyDescent="0.3">
      <c r="G5277" s="459"/>
      <c r="H5277" s="459">
        <v>5270</v>
      </c>
      <c r="I5277" s="444">
        <f t="shared" ca="1" si="203"/>
        <v>-937993902151477.5</v>
      </c>
      <c r="J5277" s="444">
        <f t="array" ref="J5277">IFERROR(INDEX('Retirement Calculator'!J:J,MATCH('Isaac 401k'!N5277,'Retirement Calculator'!A:A,0),0),0)</f>
        <v>0</v>
      </c>
      <c r="K5277" s="444">
        <f t="shared" ca="1" si="201"/>
        <v>-3908307925631.1563</v>
      </c>
      <c r="L5277" s="444">
        <f t="shared" ca="1" si="202"/>
        <v>-941902210077108.63</v>
      </c>
      <c r="M5277" s="460">
        <f t="shared" si="204"/>
        <v>0.05</v>
      </c>
      <c r="N5277" s="464">
        <f t="shared" si="205"/>
        <v>211659</v>
      </c>
    </row>
    <row r="5278" spans="7:14" ht="11.25" customHeight="1" x14ac:dyDescent="0.3">
      <c r="G5278" s="459"/>
      <c r="H5278" s="459">
        <v>5271</v>
      </c>
      <c r="I5278" s="444">
        <f t="shared" ca="1" si="203"/>
        <v>-941902210077108.63</v>
      </c>
      <c r="J5278" s="444">
        <f t="array" ref="J5278">IFERROR(INDEX('Retirement Calculator'!J:J,MATCH('Isaac 401k'!N5278,'Retirement Calculator'!A:A,0),0),0)</f>
        <v>0</v>
      </c>
      <c r="K5278" s="444">
        <f t="shared" ca="1" si="201"/>
        <v>-3924592541987.9526</v>
      </c>
      <c r="L5278" s="444">
        <f t="shared" ca="1" si="202"/>
        <v>-945826802619096.63</v>
      </c>
      <c r="M5278" s="460">
        <f t="shared" si="204"/>
        <v>0.05</v>
      </c>
      <c r="N5278" s="464">
        <f t="shared" si="205"/>
        <v>211690</v>
      </c>
    </row>
    <row r="5279" spans="7:14" ht="11.25" customHeight="1" x14ac:dyDescent="0.3">
      <c r="G5279" s="459"/>
      <c r="H5279" s="459">
        <v>5272</v>
      </c>
      <c r="I5279" s="444">
        <f t="shared" ca="1" si="203"/>
        <v>-945826802619096.63</v>
      </c>
      <c r="J5279" s="444">
        <f t="array" ref="J5279">IFERROR(INDEX('Retirement Calculator'!J:J,MATCH('Isaac 401k'!N5279,'Retirement Calculator'!A:A,0),0),0)</f>
        <v>0</v>
      </c>
      <c r="K5279" s="444">
        <f t="shared" ca="1" si="201"/>
        <v>-3940945010912.9028</v>
      </c>
      <c r="L5279" s="444">
        <f t="shared" ca="1" si="202"/>
        <v>-949767747630009.5</v>
      </c>
      <c r="M5279" s="460">
        <f t="shared" si="204"/>
        <v>0.05</v>
      </c>
      <c r="N5279" s="464">
        <f t="shared" si="205"/>
        <v>211721</v>
      </c>
    </row>
    <row r="5280" spans="7:14" ht="11.25" customHeight="1" x14ac:dyDescent="0.3">
      <c r="G5280" s="459"/>
      <c r="H5280" s="459">
        <v>5273</v>
      </c>
      <c r="I5280" s="444">
        <f t="shared" ca="1" si="203"/>
        <v>-949767747630009.5</v>
      </c>
      <c r="J5280" s="444">
        <f t="array" ref="J5280">IFERROR(INDEX('Retirement Calculator'!J:J,MATCH('Isaac 401k'!N5280,'Retirement Calculator'!A:A,0),0),0)</f>
        <v>0</v>
      </c>
      <c r="K5280" s="444">
        <f t="shared" ca="1" si="201"/>
        <v>-3957365615125.0396</v>
      </c>
      <c r="L5280" s="444">
        <f t="shared" ca="1" si="202"/>
        <v>-953725113245134.5</v>
      </c>
      <c r="M5280" s="460">
        <f t="shared" si="204"/>
        <v>0.05</v>
      </c>
      <c r="N5280" s="464">
        <f t="shared" si="205"/>
        <v>211751</v>
      </c>
    </row>
    <row r="5281" spans="7:14" ht="11.25" customHeight="1" x14ac:dyDescent="0.3">
      <c r="G5281" s="459"/>
      <c r="H5281" s="459">
        <v>5274</v>
      </c>
      <c r="I5281" s="444">
        <f t="shared" ca="1" si="203"/>
        <v>-953725113245134.5</v>
      </c>
      <c r="J5281" s="444">
        <f t="array" ref="J5281">IFERROR(INDEX('Retirement Calculator'!J:J,MATCH('Isaac 401k'!N5281,'Retirement Calculator'!A:A,0),0),0)</f>
        <v>0</v>
      </c>
      <c r="K5281" s="444">
        <f t="shared" ca="1" si="201"/>
        <v>-3973854638521.3936</v>
      </c>
      <c r="L5281" s="444">
        <f t="shared" ca="1" si="202"/>
        <v>-957698967883655.88</v>
      </c>
      <c r="M5281" s="460">
        <f t="shared" si="204"/>
        <v>0.05</v>
      </c>
      <c r="N5281" s="464">
        <f t="shared" si="205"/>
        <v>211782</v>
      </c>
    </row>
    <row r="5282" spans="7:14" ht="11.25" customHeight="1" x14ac:dyDescent="0.3">
      <c r="G5282" s="459"/>
      <c r="H5282" s="459">
        <v>5275</v>
      </c>
      <c r="I5282" s="444">
        <f t="shared" ca="1" si="203"/>
        <v>-957698967883655.88</v>
      </c>
      <c r="J5282" s="444">
        <f t="array" ref="J5282">IFERROR(INDEX('Retirement Calculator'!J:J,MATCH('Isaac 401k'!N5282,'Retirement Calculator'!A:A,0),0),0)</f>
        <v>0</v>
      </c>
      <c r="K5282" s="444">
        <f t="shared" ca="1" si="201"/>
        <v>-3990412366181.8994</v>
      </c>
      <c r="L5282" s="444">
        <f t="shared" ca="1" si="202"/>
        <v>-961689380249837.75</v>
      </c>
      <c r="M5282" s="460">
        <f t="shared" si="204"/>
        <v>0.05</v>
      </c>
      <c r="N5282" s="464">
        <f t="shared" si="205"/>
        <v>211812</v>
      </c>
    </row>
    <row r="5283" spans="7:14" ht="11.25" customHeight="1" x14ac:dyDescent="0.3">
      <c r="G5283" s="459"/>
      <c r="H5283" s="459">
        <v>5276</v>
      </c>
      <c r="I5283" s="444">
        <f t="shared" ca="1" si="203"/>
        <v>-961689380249837.75</v>
      </c>
      <c r="J5283" s="444">
        <f t="array" ref="J5283">IFERROR(INDEX('Retirement Calculator'!J:J,MATCH('Isaac 401k'!N5283,'Retirement Calculator'!A:A,0),0),0)</f>
        <v>0</v>
      </c>
      <c r="K5283" s="444">
        <f t="shared" ca="1" si="201"/>
        <v>-4007039084374.3242</v>
      </c>
      <c r="L5283" s="444">
        <f t="shared" ca="1" si="202"/>
        <v>-965696419334212.13</v>
      </c>
      <c r="M5283" s="460">
        <f t="shared" si="204"/>
        <v>0.05</v>
      </c>
      <c r="N5283" s="464">
        <f t="shared" si="205"/>
        <v>211843</v>
      </c>
    </row>
    <row r="5284" spans="7:14" ht="11.25" customHeight="1" x14ac:dyDescent="0.3">
      <c r="G5284" s="459"/>
      <c r="H5284" s="459">
        <v>5277</v>
      </c>
      <c r="I5284" s="444">
        <f t="shared" ca="1" si="203"/>
        <v>-965696419334212.13</v>
      </c>
      <c r="J5284" s="444">
        <f t="array" ref="J5284">IFERROR(INDEX('Retirement Calculator'!J:J,MATCH('Isaac 401k'!N5284,'Retirement Calculator'!A:A,0),0),0)</f>
        <v>0</v>
      </c>
      <c r="K5284" s="444">
        <f t="shared" ca="1" si="201"/>
        <v>-4023735080559.2173</v>
      </c>
      <c r="L5284" s="444">
        <f t="shared" ca="1" si="202"/>
        <v>-969720154414771.38</v>
      </c>
      <c r="M5284" s="460">
        <f t="shared" si="204"/>
        <v>0.05</v>
      </c>
      <c r="N5284" s="464">
        <f t="shared" si="205"/>
        <v>211874</v>
      </c>
    </row>
    <row r="5285" spans="7:14" ht="11.25" customHeight="1" x14ac:dyDescent="0.3">
      <c r="G5285" s="459"/>
      <c r="H5285" s="459">
        <v>5278</v>
      </c>
      <c r="I5285" s="444">
        <f t="shared" ca="1" si="203"/>
        <v>-969720154414771.38</v>
      </c>
      <c r="J5285" s="444">
        <f t="array" ref="J5285">IFERROR(INDEX('Retirement Calculator'!J:J,MATCH('Isaac 401k'!N5285,'Retirement Calculator'!A:A,0),0),0)</f>
        <v>0</v>
      </c>
      <c r="K5285" s="444">
        <f t="shared" ca="1" si="201"/>
        <v>-4040500643394.8804</v>
      </c>
      <c r="L5285" s="444">
        <f t="shared" ca="1" si="202"/>
        <v>-973760655058166.25</v>
      </c>
      <c r="M5285" s="460">
        <f t="shared" si="204"/>
        <v>0.05</v>
      </c>
      <c r="N5285" s="464">
        <f t="shared" si="205"/>
        <v>211903</v>
      </c>
    </row>
    <row r="5286" spans="7:14" ht="11.25" customHeight="1" x14ac:dyDescent="0.3">
      <c r="G5286" s="459"/>
      <c r="H5286" s="459">
        <v>5279</v>
      </c>
      <c r="I5286" s="444">
        <f t="shared" ca="1" si="203"/>
        <v>-973760655058166.25</v>
      </c>
      <c r="J5286" s="444">
        <f t="array" ref="J5286">IFERROR(INDEX('Retirement Calculator'!J:J,MATCH('Isaac 401k'!N5286,'Retirement Calculator'!A:A,0),0),0)</f>
        <v>0</v>
      </c>
      <c r="K5286" s="444">
        <f t="shared" ca="1" si="201"/>
        <v>-4057336062742.3589</v>
      </c>
      <c r="L5286" s="444">
        <f t="shared" ca="1" si="202"/>
        <v>-977817991120908.63</v>
      </c>
      <c r="M5286" s="460">
        <f t="shared" si="204"/>
        <v>0.05</v>
      </c>
      <c r="N5286" s="464">
        <f t="shared" si="205"/>
        <v>211934</v>
      </c>
    </row>
    <row r="5287" spans="7:14" ht="11.25" customHeight="1" x14ac:dyDescent="0.3">
      <c r="G5287" s="459"/>
      <c r="H5287" s="459">
        <v>5280</v>
      </c>
      <c r="I5287" s="444">
        <f t="shared" ca="1" si="203"/>
        <v>-977817991120908.63</v>
      </c>
      <c r="J5287" s="444">
        <f t="array" ref="J5287">IFERROR(INDEX('Retirement Calculator'!J:J,MATCH('Isaac 401k'!N5287,'Retirement Calculator'!A:A,0),0),0)</f>
        <v>0</v>
      </c>
      <c r="K5287" s="444">
        <f t="shared" ca="1" si="201"/>
        <v>-4074241629670.4526</v>
      </c>
      <c r="L5287" s="444">
        <f t="shared" ca="1" si="202"/>
        <v>-981892232750579.13</v>
      </c>
      <c r="M5287" s="460">
        <f t="shared" si="204"/>
        <v>0.05</v>
      </c>
      <c r="N5287" s="464">
        <f t="shared" si="205"/>
        <v>211964</v>
      </c>
    </row>
    <row r="5288" spans="7:14" ht="11.25" customHeight="1" x14ac:dyDescent="0.3">
      <c r="G5288" s="459"/>
      <c r="H5288" s="459">
        <v>5281</v>
      </c>
      <c r="I5288" s="444">
        <f t="shared" ca="1" si="203"/>
        <v>-981892232750579.13</v>
      </c>
      <c r="J5288" s="444">
        <f t="array" ref="J5288">IFERROR(INDEX('Retirement Calculator'!J:J,MATCH('Isaac 401k'!N5288,'Retirement Calculator'!A:A,0),0),0)</f>
        <v>0</v>
      </c>
      <c r="K5288" s="444">
        <f t="shared" ca="1" si="201"/>
        <v>-4091217636460.7461</v>
      </c>
      <c r="L5288" s="444">
        <f t="shared" ca="1" si="202"/>
        <v>-985983450387039.88</v>
      </c>
      <c r="M5288" s="460">
        <f t="shared" si="204"/>
        <v>0.05</v>
      </c>
      <c r="N5288" s="464">
        <f t="shared" si="205"/>
        <v>211995</v>
      </c>
    </row>
    <row r="5289" spans="7:14" ht="11.25" customHeight="1" x14ac:dyDescent="0.3">
      <c r="G5289" s="459"/>
      <c r="H5289" s="459">
        <v>5282</v>
      </c>
      <c r="I5289" s="444">
        <f t="shared" ca="1" si="203"/>
        <v>-985983450387039.88</v>
      </c>
      <c r="J5289" s="444">
        <f t="array" ref="J5289">IFERROR(INDEX('Retirement Calculator'!J:J,MATCH('Isaac 401k'!N5289,'Retirement Calculator'!A:A,0),0),0)</f>
        <v>0</v>
      </c>
      <c r="K5289" s="444">
        <f t="shared" ca="1" si="201"/>
        <v>-4108264376612.666</v>
      </c>
      <c r="L5289" s="444">
        <f t="shared" ca="1" si="202"/>
        <v>-990091714763652.5</v>
      </c>
      <c r="M5289" s="460">
        <f t="shared" si="204"/>
        <v>0.05</v>
      </c>
      <c r="N5289" s="464">
        <f t="shared" si="205"/>
        <v>212025</v>
      </c>
    </row>
    <row r="5290" spans="7:14" ht="11.25" customHeight="1" x14ac:dyDescent="0.3">
      <c r="G5290" s="459"/>
      <c r="H5290" s="459">
        <v>5283</v>
      </c>
      <c r="I5290" s="444">
        <f t="shared" ca="1" si="203"/>
        <v>-990091714763652.5</v>
      </c>
      <c r="J5290" s="444">
        <f t="array" ref="J5290">IFERROR(INDEX('Retirement Calculator'!J:J,MATCH('Isaac 401k'!N5290,'Retirement Calculator'!A:A,0),0),0)</f>
        <v>0</v>
      </c>
      <c r="K5290" s="444">
        <f t="shared" ca="1" si="201"/>
        <v>-4125382144848.5513</v>
      </c>
      <c r="L5290" s="444">
        <f t="shared" ca="1" si="202"/>
        <v>-994217096908501</v>
      </c>
      <c r="M5290" s="460">
        <f t="shared" si="204"/>
        <v>0.05</v>
      </c>
      <c r="N5290" s="464">
        <f t="shared" si="205"/>
        <v>212056</v>
      </c>
    </row>
    <row r="5291" spans="7:14" ht="11.25" customHeight="1" x14ac:dyDescent="0.3">
      <c r="G5291" s="459"/>
      <c r="H5291" s="459">
        <v>5284</v>
      </c>
      <c r="I5291" s="444">
        <f t="shared" ca="1" si="203"/>
        <v>-994217096908501</v>
      </c>
      <c r="J5291" s="444">
        <f t="array" ref="J5291">IFERROR(INDEX('Retirement Calculator'!J:J,MATCH('Isaac 401k'!N5291,'Retirement Calculator'!A:A,0),0),0)</f>
        <v>0</v>
      </c>
      <c r="K5291" s="444">
        <f t="shared" ca="1" si="201"/>
        <v>-4142571237118.7544</v>
      </c>
      <c r="L5291" s="444">
        <f t="shared" ca="1" si="202"/>
        <v>-998359668145619.75</v>
      </c>
      <c r="M5291" s="460">
        <f t="shared" si="204"/>
        <v>0.05</v>
      </c>
      <c r="N5291" s="464">
        <f t="shared" si="205"/>
        <v>212087</v>
      </c>
    </row>
    <row r="5292" spans="7:14" ht="11.25" customHeight="1" x14ac:dyDescent="0.3">
      <c r="G5292" s="459"/>
      <c r="H5292" s="459">
        <v>5285</v>
      </c>
      <c r="I5292" s="444">
        <f t="shared" ca="1" si="203"/>
        <v>-998359668145619.75</v>
      </c>
      <c r="J5292" s="444">
        <f t="array" ref="J5292">IFERROR(INDEX('Retirement Calculator'!J:J,MATCH('Isaac 401k'!N5292,'Retirement Calculator'!A:A,0),0),0)</f>
        <v>0</v>
      </c>
      <c r="K5292" s="444">
        <f t="shared" ca="1" si="201"/>
        <v>-4159831950606.749</v>
      </c>
      <c r="L5292" s="444">
        <f t="shared" ca="1" si="202"/>
        <v>-1002519500096226.5</v>
      </c>
      <c r="M5292" s="460">
        <f t="shared" si="204"/>
        <v>0.05</v>
      </c>
      <c r="N5292" s="464">
        <f t="shared" si="205"/>
        <v>212117</v>
      </c>
    </row>
    <row r="5293" spans="7:14" ht="11.25" customHeight="1" x14ac:dyDescent="0.3">
      <c r="G5293" s="459"/>
      <c r="H5293" s="459">
        <v>5286</v>
      </c>
      <c r="I5293" s="444">
        <f t="shared" ca="1" si="203"/>
        <v>-1002519500096226.5</v>
      </c>
      <c r="J5293" s="444">
        <f t="array" ref="J5293">IFERROR(INDEX('Retirement Calculator'!J:J,MATCH('Isaac 401k'!N5293,'Retirement Calculator'!A:A,0),0),0)</f>
        <v>0</v>
      </c>
      <c r="K5293" s="444">
        <f t="shared" ca="1" si="201"/>
        <v>-4177164583734.2769</v>
      </c>
      <c r="L5293" s="444">
        <f t="shared" ca="1" si="202"/>
        <v>-1006696664679960.8</v>
      </c>
      <c r="M5293" s="460">
        <f t="shared" si="204"/>
        <v>0.05</v>
      </c>
      <c r="N5293" s="464">
        <f t="shared" si="205"/>
        <v>212148</v>
      </c>
    </row>
    <row r="5294" spans="7:14" ht="11.25" customHeight="1" x14ac:dyDescent="0.3">
      <c r="G5294" s="459"/>
      <c r="H5294" s="459">
        <v>5287</v>
      </c>
      <c r="I5294" s="444">
        <f t="shared" ca="1" si="203"/>
        <v>-1006696664679960.8</v>
      </c>
      <c r="J5294" s="444">
        <f t="array" ref="J5294">IFERROR(INDEX('Retirement Calculator'!J:J,MATCH('Isaac 401k'!N5294,'Retirement Calculator'!A:A,0),0),0)</f>
        <v>0</v>
      </c>
      <c r="K5294" s="444">
        <f t="shared" ca="1" si="201"/>
        <v>-4194569436166.5024</v>
      </c>
      <c r="L5294" s="444">
        <f t="shared" ca="1" si="202"/>
        <v>-1010891234116127.3</v>
      </c>
      <c r="M5294" s="460">
        <f t="shared" si="204"/>
        <v>0.05</v>
      </c>
      <c r="N5294" s="464">
        <f t="shared" si="205"/>
        <v>212178</v>
      </c>
    </row>
    <row r="5295" spans="7:14" ht="11.25" customHeight="1" x14ac:dyDescent="0.3">
      <c r="G5295" s="459"/>
      <c r="H5295" s="459">
        <v>5288</v>
      </c>
      <c r="I5295" s="444">
        <f t="shared" ca="1" si="203"/>
        <v>-1010891234116127.3</v>
      </c>
      <c r="J5295" s="444">
        <f t="array" ref="J5295">IFERROR(INDEX('Retirement Calculator'!J:J,MATCH('Isaac 401k'!N5295,'Retirement Calculator'!A:A,0),0),0)</f>
        <v>0</v>
      </c>
      <c r="K5295" s="444">
        <f t="shared" ca="1" si="201"/>
        <v>-4212046808817.1963</v>
      </c>
      <c r="L5295" s="444">
        <f t="shared" ca="1" si="202"/>
        <v>-1015103280924944.5</v>
      </c>
      <c r="M5295" s="460">
        <f t="shared" si="204"/>
        <v>0.05</v>
      </c>
      <c r="N5295" s="464">
        <f t="shared" si="205"/>
        <v>212209</v>
      </c>
    </row>
    <row r="5296" spans="7:14" ht="11.25" customHeight="1" x14ac:dyDescent="0.3">
      <c r="G5296" s="459"/>
      <c r="H5296" s="459">
        <v>5289</v>
      </c>
      <c r="I5296" s="444">
        <f t="shared" ca="1" si="203"/>
        <v>-1015103280924944.5</v>
      </c>
      <c r="J5296" s="444">
        <f t="array" ref="J5296">IFERROR(INDEX('Retirement Calculator'!J:J,MATCH('Isaac 401k'!N5296,'Retirement Calculator'!A:A,0),0),0)</f>
        <v>0</v>
      </c>
      <c r="K5296" s="444">
        <f t="shared" ca="1" si="201"/>
        <v>-4229597003853.9355</v>
      </c>
      <c r="L5296" s="444">
        <f t="shared" ca="1" si="202"/>
        <v>-1019332877928798.4</v>
      </c>
      <c r="M5296" s="460">
        <f t="shared" si="204"/>
        <v>0.05</v>
      </c>
      <c r="N5296" s="464">
        <f t="shared" si="205"/>
        <v>212240</v>
      </c>
    </row>
    <row r="5297" spans="7:14" ht="11.25" customHeight="1" x14ac:dyDescent="0.3">
      <c r="G5297" s="459"/>
      <c r="H5297" s="459">
        <v>5290</v>
      </c>
      <c r="I5297" s="444">
        <f t="shared" ca="1" si="203"/>
        <v>-1019332877928798.4</v>
      </c>
      <c r="J5297" s="444">
        <f t="array" ref="J5297">IFERROR(INDEX('Retirement Calculator'!J:J,MATCH('Isaac 401k'!N5297,'Retirement Calculator'!A:A,0),0),0)</f>
        <v>0</v>
      </c>
      <c r="K5297" s="444">
        <f t="shared" ca="1" si="201"/>
        <v>-4247220324703.3271</v>
      </c>
      <c r="L5297" s="444">
        <f t="shared" ca="1" si="202"/>
        <v>-1023580098253501.8</v>
      </c>
      <c r="M5297" s="460">
        <f t="shared" si="204"/>
        <v>0.05</v>
      </c>
      <c r="N5297" s="464">
        <f t="shared" si="205"/>
        <v>212268</v>
      </c>
    </row>
    <row r="5298" spans="7:14" ht="11.25" customHeight="1" x14ac:dyDescent="0.3">
      <c r="G5298" s="459"/>
      <c r="H5298" s="459">
        <v>5291</v>
      </c>
      <c r="I5298" s="444">
        <f t="shared" ca="1" si="203"/>
        <v>-1023580098253501.8</v>
      </c>
      <c r="J5298" s="444">
        <f t="array" ref="J5298">IFERROR(INDEX('Retirement Calculator'!J:J,MATCH('Isaac 401k'!N5298,'Retirement Calculator'!A:A,0),0),0)</f>
        <v>0</v>
      </c>
      <c r="K5298" s="444">
        <f t="shared" ca="1" si="201"/>
        <v>-4264917076056.2573</v>
      </c>
      <c r="L5298" s="444">
        <f t="shared" ca="1" si="202"/>
        <v>-1027845015329558</v>
      </c>
      <c r="M5298" s="460">
        <f t="shared" si="204"/>
        <v>0.05</v>
      </c>
      <c r="N5298" s="464">
        <f t="shared" si="205"/>
        <v>212299</v>
      </c>
    </row>
    <row r="5299" spans="7:14" ht="11.25" customHeight="1" x14ac:dyDescent="0.3">
      <c r="G5299" s="459"/>
      <c r="H5299" s="459">
        <v>5292</v>
      </c>
      <c r="I5299" s="444">
        <f t="shared" ca="1" si="203"/>
        <v>-1027845015329558</v>
      </c>
      <c r="J5299" s="444">
        <f t="array" ref="J5299">IFERROR(INDEX('Retirement Calculator'!J:J,MATCH('Isaac 401k'!N5299,'Retirement Calculator'!A:A,0),0),0)</f>
        <v>0</v>
      </c>
      <c r="K5299" s="444">
        <f t="shared" ca="1" si="201"/>
        <v>-4282687563873.1582</v>
      </c>
      <c r="L5299" s="444">
        <f t="shared" ca="1" si="202"/>
        <v>-1032127702893431.1</v>
      </c>
      <c r="M5299" s="460">
        <f t="shared" si="204"/>
        <v>0.05</v>
      </c>
      <c r="N5299" s="464">
        <f t="shared" si="205"/>
        <v>212329</v>
      </c>
    </row>
    <row r="5300" spans="7:14" ht="11.25" customHeight="1" x14ac:dyDescent="0.3">
      <c r="G5300" s="459"/>
      <c r="H5300" s="459">
        <v>5293</v>
      </c>
      <c r="I5300" s="444">
        <f t="shared" ca="1" si="203"/>
        <v>-1032127702893431.1</v>
      </c>
      <c r="J5300" s="444">
        <f t="array" ref="J5300">IFERROR(INDEX('Retirement Calculator'!J:J,MATCH('Isaac 401k'!N5300,'Retirement Calculator'!A:A,0),0),0)</f>
        <v>0</v>
      </c>
      <c r="K5300" s="444">
        <f t="shared" ca="1" si="201"/>
        <v>-4300532095389.2964</v>
      </c>
      <c r="L5300" s="444">
        <f t="shared" ca="1" si="202"/>
        <v>-1036428234988820.4</v>
      </c>
      <c r="M5300" s="460">
        <f t="shared" si="204"/>
        <v>0.05</v>
      </c>
      <c r="N5300" s="464">
        <f t="shared" si="205"/>
        <v>212360</v>
      </c>
    </row>
    <row r="5301" spans="7:14" ht="11.25" customHeight="1" x14ac:dyDescent="0.3">
      <c r="G5301" s="459"/>
      <c r="H5301" s="459">
        <v>5294</v>
      </c>
      <c r="I5301" s="444">
        <f t="shared" ca="1" si="203"/>
        <v>-1036428234988820.4</v>
      </c>
      <c r="J5301" s="444">
        <f t="array" ref="J5301">IFERROR(INDEX('Retirement Calculator'!J:J,MATCH('Isaac 401k'!N5301,'Retirement Calculator'!A:A,0),0),0)</f>
        <v>0</v>
      </c>
      <c r="K5301" s="444">
        <f t="shared" ca="1" si="201"/>
        <v>-4318450979120.085</v>
      </c>
      <c r="L5301" s="444">
        <f t="shared" ca="1" si="202"/>
        <v>-1040746685967940.5</v>
      </c>
      <c r="M5301" s="460">
        <f t="shared" si="204"/>
        <v>0.05</v>
      </c>
      <c r="N5301" s="464">
        <f t="shared" si="205"/>
        <v>212390</v>
      </c>
    </row>
    <row r="5302" spans="7:14" ht="11.25" customHeight="1" x14ac:dyDescent="0.3">
      <c r="G5302" s="459"/>
      <c r="H5302" s="459">
        <v>5295</v>
      </c>
      <c r="I5302" s="444">
        <f t="shared" ca="1" si="203"/>
        <v>-1040746685967940.5</v>
      </c>
      <c r="J5302" s="444">
        <f t="array" ref="J5302">IFERROR(INDEX('Retirement Calculator'!J:J,MATCH('Isaac 401k'!N5302,'Retirement Calculator'!A:A,0),0),0)</f>
        <v>0</v>
      </c>
      <c r="K5302" s="444">
        <f t="shared" ca="1" si="201"/>
        <v>-4336444524866.4185</v>
      </c>
      <c r="L5302" s="444">
        <f t="shared" ca="1" si="202"/>
        <v>-1045083130492806.9</v>
      </c>
      <c r="M5302" s="460">
        <f t="shared" si="204"/>
        <v>0.05</v>
      </c>
      <c r="N5302" s="464">
        <f t="shared" si="205"/>
        <v>212421</v>
      </c>
    </row>
    <row r="5303" spans="7:14" ht="11.25" customHeight="1" x14ac:dyDescent="0.3">
      <c r="G5303" s="459"/>
      <c r="H5303" s="459">
        <v>5296</v>
      </c>
      <c r="I5303" s="444">
        <f t="shared" ca="1" si="203"/>
        <v>-1045083130492806.9</v>
      </c>
      <c r="J5303" s="444">
        <f t="array" ref="J5303">IFERROR(INDEX('Retirement Calculator'!J:J,MATCH('Isaac 401k'!N5303,'Retirement Calculator'!A:A,0),0),0)</f>
        <v>0</v>
      </c>
      <c r="K5303" s="444">
        <f t="shared" ca="1" si="201"/>
        <v>-4354513043720.0288</v>
      </c>
      <c r="L5303" s="444">
        <f t="shared" ca="1" si="202"/>
        <v>-1049437643536526.9</v>
      </c>
      <c r="M5303" s="460">
        <f t="shared" si="204"/>
        <v>0.05</v>
      </c>
      <c r="N5303" s="464">
        <f t="shared" si="205"/>
        <v>212452</v>
      </c>
    </row>
    <row r="5304" spans="7:14" ht="11.25" customHeight="1" x14ac:dyDescent="0.3">
      <c r="G5304" s="459"/>
      <c r="H5304" s="459">
        <v>5297</v>
      </c>
      <c r="I5304" s="444">
        <f t="shared" ca="1" si="203"/>
        <v>-1049437643536526.9</v>
      </c>
      <c r="J5304" s="444">
        <f t="array" ref="J5304">IFERROR(INDEX('Retirement Calculator'!J:J,MATCH('Isaac 401k'!N5304,'Retirement Calculator'!A:A,0),0),0)</f>
        <v>0</v>
      </c>
      <c r="K5304" s="444">
        <f t="shared" ca="1" si="201"/>
        <v>-4372656848068.8618</v>
      </c>
      <c r="L5304" s="444">
        <f t="shared" ca="1" si="202"/>
        <v>-1053810300384595.8</v>
      </c>
      <c r="M5304" s="460">
        <f t="shared" si="204"/>
        <v>0.05</v>
      </c>
      <c r="N5304" s="464">
        <f t="shared" si="205"/>
        <v>212482</v>
      </c>
    </row>
    <row r="5305" spans="7:14" ht="11.25" customHeight="1" x14ac:dyDescent="0.3">
      <c r="G5305" s="459"/>
      <c r="H5305" s="459">
        <v>5298</v>
      </c>
      <c r="I5305" s="444">
        <f t="shared" ca="1" si="203"/>
        <v>-1053810300384595.8</v>
      </c>
      <c r="J5305" s="444">
        <f t="array" ref="J5305">IFERROR(INDEX('Retirement Calculator'!J:J,MATCH('Isaac 401k'!N5305,'Retirement Calculator'!A:A,0),0),0)</f>
        <v>0</v>
      </c>
      <c r="K5305" s="444">
        <f t="shared" ca="1" si="201"/>
        <v>-4390876251602.4819</v>
      </c>
      <c r="L5305" s="444">
        <f t="shared" ca="1" si="202"/>
        <v>-1058201176636198.3</v>
      </c>
      <c r="M5305" s="460">
        <f t="shared" si="204"/>
        <v>0.05</v>
      </c>
      <c r="N5305" s="464">
        <f t="shared" si="205"/>
        <v>212513</v>
      </c>
    </row>
    <row r="5306" spans="7:14" ht="11.25" customHeight="1" x14ac:dyDescent="0.3">
      <c r="G5306" s="459"/>
      <c r="H5306" s="459">
        <v>5299</v>
      </c>
      <c r="I5306" s="444">
        <f t="shared" ca="1" si="203"/>
        <v>-1058201176636198.3</v>
      </c>
      <c r="J5306" s="444">
        <f t="array" ref="J5306">IFERROR(INDEX('Retirement Calculator'!J:J,MATCH('Isaac 401k'!N5306,'Retirement Calculator'!A:A,0),0),0)</f>
        <v>0</v>
      </c>
      <c r="K5306" s="444">
        <f t="shared" ca="1" si="201"/>
        <v>-4409171569317.4922</v>
      </c>
      <c r="L5306" s="444">
        <f t="shared" ca="1" si="202"/>
        <v>-1062610348205515.8</v>
      </c>
      <c r="M5306" s="460">
        <f t="shared" si="204"/>
        <v>0.05</v>
      </c>
      <c r="N5306" s="464">
        <f t="shared" si="205"/>
        <v>212543</v>
      </c>
    </row>
    <row r="5307" spans="7:14" ht="11.25" customHeight="1" x14ac:dyDescent="0.3">
      <c r="G5307" s="459"/>
      <c r="H5307" s="459">
        <v>5300</v>
      </c>
      <c r="I5307" s="444">
        <f t="shared" ca="1" si="203"/>
        <v>-1062610348205515.8</v>
      </c>
      <c r="J5307" s="444">
        <f t="array" ref="J5307">IFERROR(INDEX('Retirement Calculator'!J:J,MATCH('Isaac 401k'!N5307,'Retirement Calculator'!A:A,0),0),0)</f>
        <v>0</v>
      </c>
      <c r="K5307" s="444">
        <f t="shared" ca="1" si="201"/>
        <v>-4427543117522.9824</v>
      </c>
      <c r="L5307" s="444">
        <f t="shared" ca="1" si="202"/>
        <v>-1067037891323038.8</v>
      </c>
      <c r="M5307" s="460">
        <f t="shared" si="204"/>
        <v>0.05</v>
      </c>
      <c r="N5307" s="464">
        <f t="shared" si="205"/>
        <v>212574</v>
      </c>
    </row>
    <row r="5308" spans="7:14" ht="11.25" customHeight="1" x14ac:dyDescent="0.3">
      <c r="G5308" s="459"/>
      <c r="H5308" s="459">
        <v>5301</v>
      </c>
      <c r="I5308" s="444">
        <f t="shared" ca="1" si="203"/>
        <v>-1067037891323038.8</v>
      </c>
      <c r="J5308" s="444">
        <f t="array" ref="J5308">IFERROR(INDEX('Retirement Calculator'!J:J,MATCH('Isaac 401k'!N5308,'Retirement Calculator'!A:A,0),0),0)</f>
        <v>0</v>
      </c>
      <c r="K5308" s="444">
        <f t="shared" ca="1" si="201"/>
        <v>-4445991213845.9941</v>
      </c>
      <c r="L5308" s="444">
        <f t="shared" ca="1" si="202"/>
        <v>-1071483882536884.8</v>
      </c>
      <c r="M5308" s="460">
        <f t="shared" si="204"/>
        <v>0.05</v>
      </c>
      <c r="N5308" s="464">
        <f t="shared" si="205"/>
        <v>212605</v>
      </c>
    </row>
    <row r="5309" spans="7:14" ht="11.25" customHeight="1" x14ac:dyDescent="0.3">
      <c r="G5309" s="459"/>
      <c r="H5309" s="459">
        <v>5302</v>
      </c>
      <c r="I5309" s="444">
        <f t="shared" ca="1" si="203"/>
        <v>-1071483882536884.8</v>
      </c>
      <c r="J5309" s="444">
        <f t="array" ref="J5309">IFERROR(INDEX('Retirement Calculator'!J:J,MATCH('Isaac 401k'!N5309,'Retirement Calculator'!A:A,0),0),0)</f>
        <v>0</v>
      </c>
      <c r="K5309" s="444">
        <f t="shared" ca="1" si="201"/>
        <v>-4464516177237.0195</v>
      </c>
      <c r="L5309" s="444">
        <f t="shared" ca="1" si="202"/>
        <v>-1075948398714121.8</v>
      </c>
      <c r="M5309" s="460">
        <f t="shared" si="204"/>
        <v>0.05</v>
      </c>
      <c r="N5309" s="464">
        <f t="shared" si="205"/>
        <v>212633</v>
      </c>
    </row>
    <row r="5310" spans="7:14" ht="11.25" customHeight="1" x14ac:dyDescent="0.3">
      <c r="G5310" s="459"/>
      <c r="H5310" s="459">
        <v>5303</v>
      </c>
      <c r="I5310" s="444">
        <f t="shared" ca="1" si="203"/>
        <v>-1075948398714121.8</v>
      </c>
      <c r="J5310" s="444">
        <f t="array" ref="J5310">IFERROR(INDEX('Retirement Calculator'!J:J,MATCH('Isaac 401k'!N5310,'Retirement Calculator'!A:A,0),0),0)</f>
        <v>0</v>
      </c>
      <c r="K5310" s="444">
        <f t="shared" ca="1" si="201"/>
        <v>-4483118327975.5068</v>
      </c>
      <c r="L5310" s="444">
        <f t="shared" ca="1" si="202"/>
        <v>-1080431517042097.3</v>
      </c>
      <c r="M5310" s="460">
        <f t="shared" si="204"/>
        <v>0.05</v>
      </c>
      <c r="N5310" s="464">
        <f t="shared" si="205"/>
        <v>212664</v>
      </c>
    </row>
    <row r="5311" spans="7:14" ht="11.25" customHeight="1" x14ac:dyDescent="0.3">
      <c r="G5311" s="459"/>
      <c r="H5311" s="459">
        <v>5304</v>
      </c>
      <c r="I5311" s="444">
        <f t="shared" ca="1" si="203"/>
        <v>-1080431517042097.3</v>
      </c>
      <c r="J5311" s="444">
        <f t="array" ref="J5311">IFERROR(INDEX('Retirement Calculator'!J:J,MATCH('Isaac 401k'!N5311,'Retirement Calculator'!A:A,0),0),0)</f>
        <v>0</v>
      </c>
      <c r="K5311" s="444">
        <f t="shared" ca="1" si="201"/>
        <v>-4501797987675.4053</v>
      </c>
      <c r="L5311" s="444">
        <f t="shared" ca="1" si="202"/>
        <v>-1084933315029772.6</v>
      </c>
      <c r="M5311" s="460">
        <f t="shared" si="204"/>
        <v>0.05</v>
      </c>
      <c r="N5311" s="464">
        <f t="shared" si="205"/>
        <v>212694</v>
      </c>
    </row>
    <row r="5312" spans="7:14" ht="11.25" customHeight="1" x14ac:dyDescent="0.3">
      <c r="G5312" s="459"/>
      <c r="H5312" s="459">
        <v>5305</v>
      </c>
      <c r="I5312" s="444">
        <f t="shared" ca="1" si="203"/>
        <v>-1084933315029772.6</v>
      </c>
      <c r="J5312" s="444">
        <f t="array" ref="J5312">IFERROR(INDEX('Retirement Calculator'!J:J,MATCH('Isaac 401k'!N5312,'Retirement Calculator'!A:A,0),0),0)</f>
        <v>0</v>
      </c>
      <c r="K5312" s="444">
        <f t="shared" ca="1" si="201"/>
        <v>-4520555479290.7188</v>
      </c>
      <c r="L5312" s="444">
        <f t="shared" ca="1" si="202"/>
        <v>-1089453870509063.4</v>
      </c>
      <c r="M5312" s="460">
        <f t="shared" si="204"/>
        <v>0.05</v>
      </c>
      <c r="N5312" s="464">
        <f t="shared" si="205"/>
        <v>212725</v>
      </c>
    </row>
    <row r="5313" spans="7:14" ht="11.25" customHeight="1" x14ac:dyDescent="0.3">
      <c r="G5313" s="459"/>
      <c r="H5313" s="459">
        <v>5306</v>
      </c>
      <c r="I5313" s="444">
        <f t="shared" ca="1" si="203"/>
        <v>-1089453870509063.4</v>
      </c>
      <c r="J5313" s="444">
        <f t="array" ref="J5313">IFERROR(INDEX('Retirement Calculator'!J:J,MATCH('Isaac 401k'!N5313,'Retirement Calculator'!A:A,0),0),0)</f>
        <v>0</v>
      </c>
      <c r="K5313" s="444">
        <f t="shared" ca="1" si="201"/>
        <v>-4539391127121.0977</v>
      </c>
      <c r="L5313" s="444">
        <f t="shared" ca="1" si="202"/>
        <v>-1093993261636184.5</v>
      </c>
      <c r="M5313" s="460">
        <f t="shared" si="204"/>
        <v>0.05</v>
      </c>
      <c r="N5313" s="464">
        <f t="shared" si="205"/>
        <v>212755</v>
      </c>
    </row>
    <row r="5314" spans="7:14" ht="11.25" customHeight="1" x14ac:dyDescent="0.3">
      <c r="G5314" s="459"/>
      <c r="H5314" s="459">
        <v>5307</v>
      </c>
      <c r="I5314" s="444">
        <f t="shared" ca="1" si="203"/>
        <v>-1093993261636184.5</v>
      </c>
      <c r="J5314" s="444">
        <f t="array" ref="J5314">IFERROR(INDEX('Retirement Calculator'!J:J,MATCH('Isaac 401k'!N5314,'Retirement Calculator'!A:A,0),0),0)</f>
        <v>0</v>
      </c>
      <c r="K5314" s="444">
        <f t="shared" ca="1" si="201"/>
        <v>-4558305256817.4355</v>
      </c>
      <c r="L5314" s="444">
        <f t="shared" ca="1" si="202"/>
        <v>-1098551566893001.9</v>
      </c>
      <c r="M5314" s="460">
        <f t="shared" si="204"/>
        <v>0.05</v>
      </c>
      <c r="N5314" s="464">
        <f t="shared" si="205"/>
        <v>212786</v>
      </c>
    </row>
    <row r="5315" spans="7:14" ht="11.25" customHeight="1" x14ac:dyDescent="0.3">
      <c r="G5315" s="459"/>
      <c r="H5315" s="459">
        <v>5308</v>
      </c>
      <c r="I5315" s="444">
        <f t="shared" ca="1" si="203"/>
        <v>-1098551566893001.9</v>
      </c>
      <c r="J5315" s="444">
        <f t="array" ref="J5315">IFERROR(INDEX('Retirement Calculator'!J:J,MATCH('Isaac 401k'!N5315,'Retirement Calculator'!A:A,0),0),0)</f>
        <v>0</v>
      </c>
      <c r="K5315" s="444">
        <f t="shared" ca="1" si="201"/>
        <v>-4577298195387.5078</v>
      </c>
      <c r="L5315" s="444">
        <f t="shared" ca="1" si="202"/>
        <v>-1103128865088389.4</v>
      </c>
      <c r="M5315" s="460">
        <f t="shared" si="204"/>
        <v>0.05</v>
      </c>
      <c r="N5315" s="464">
        <f t="shared" si="205"/>
        <v>212817</v>
      </c>
    </row>
    <row r="5316" spans="7:14" ht="11.25" customHeight="1" x14ac:dyDescent="0.3">
      <c r="G5316" s="459"/>
      <c r="H5316" s="459">
        <v>5309</v>
      </c>
      <c r="I5316" s="444">
        <f t="shared" ca="1" si="203"/>
        <v>-1103128865088389.4</v>
      </c>
      <c r="J5316" s="444">
        <f t="array" ref="J5316">IFERROR(INDEX('Retirement Calculator'!J:J,MATCH('Isaac 401k'!N5316,'Retirement Calculator'!A:A,0),0),0)</f>
        <v>0</v>
      </c>
      <c r="K5316" s="444">
        <f t="shared" ca="1" si="201"/>
        <v>-4596370271201.6221</v>
      </c>
      <c r="L5316" s="444">
        <f t="shared" ca="1" si="202"/>
        <v>-1107725235359591</v>
      </c>
      <c r="M5316" s="460">
        <f t="shared" si="204"/>
        <v>0.05</v>
      </c>
      <c r="N5316" s="464">
        <f t="shared" si="205"/>
        <v>212847</v>
      </c>
    </row>
    <row r="5317" spans="7:14" ht="11.25" customHeight="1" x14ac:dyDescent="0.3">
      <c r="G5317" s="459"/>
      <c r="H5317" s="459">
        <v>5310</v>
      </c>
      <c r="I5317" s="444">
        <f t="shared" ca="1" si="203"/>
        <v>-1107725235359591</v>
      </c>
      <c r="J5317" s="444">
        <f t="array" ref="J5317">IFERROR(INDEX('Retirement Calculator'!J:J,MATCH('Isaac 401k'!N5317,'Retirement Calculator'!A:A,0),0),0)</f>
        <v>0</v>
      </c>
      <c r="K5317" s="444">
        <f t="shared" ca="1" si="201"/>
        <v>-4615521813998.2959</v>
      </c>
      <c r="L5317" s="444">
        <f t="shared" ca="1" si="202"/>
        <v>-1112340757173589.3</v>
      </c>
      <c r="M5317" s="460">
        <f t="shared" si="204"/>
        <v>0.05</v>
      </c>
      <c r="N5317" s="464">
        <f t="shared" si="205"/>
        <v>212878</v>
      </c>
    </row>
    <row r="5318" spans="7:14" ht="11.25" customHeight="1" x14ac:dyDescent="0.3">
      <c r="G5318" s="459"/>
      <c r="H5318" s="459">
        <v>5311</v>
      </c>
      <c r="I5318" s="444">
        <f t="shared" ca="1" si="203"/>
        <v>-1112340757173589.3</v>
      </c>
      <c r="J5318" s="444">
        <f t="array" ref="J5318">IFERROR(INDEX('Retirement Calculator'!J:J,MATCH('Isaac 401k'!N5318,'Retirement Calculator'!A:A,0),0),0)</f>
        <v>0</v>
      </c>
      <c r="K5318" s="444">
        <f t="shared" ca="1" si="201"/>
        <v>-4634753154889.9551</v>
      </c>
      <c r="L5318" s="444">
        <f t="shared" ca="1" si="202"/>
        <v>-1116975510328479.3</v>
      </c>
      <c r="M5318" s="460">
        <f t="shared" si="204"/>
        <v>0.05</v>
      </c>
      <c r="N5318" s="464">
        <f t="shared" si="205"/>
        <v>212908</v>
      </c>
    </row>
    <row r="5319" spans="7:14" ht="11.25" customHeight="1" x14ac:dyDescent="0.3">
      <c r="G5319" s="459"/>
      <c r="H5319" s="459">
        <v>5312</v>
      </c>
      <c r="I5319" s="444">
        <f t="shared" ca="1" si="203"/>
        <v>-1116975510328479.3</v>
      </c>
      <c r="J5319" s="444">
        <f t="array" ref="J5319">IFERROR(INDEX('Retirement Calculator'!J:J,MATCH('Isaac 401k'!N5319,'Retirement Calculator'!A:A,0),0),0)</f>
        <v>0</v>
      </c>
      <c r="K5319" s="444">
        <f t="shared" ca="1" si="201"/>
        <v>-4654064626368.6631</v>
      </c>
      <c r="L5319" s="444">
        <f t="shared" ca="1" si="202"/>
        <v>-1121629574954847.9</v>
      </c>
      <c r="M5319" s="460">
        <f t="shared" si="204"/>
        <v>0.05</v>
      </c>
      <c r="N5319" s="464">
        <f t="shared" si="205"/>
        <v>212939</v>
      </c>
    </row>
    <row r="5320" spans="7:14" ht="11.25" customHeight="1" x14ac:dyDescent="0.3">
      <c r="G5320" s="459"/>
      <c r="H5320" s="459">
        <v>5313</v>
      </c>
      <c r="I5320" s="444">
        <f t="shared" ca="1" si="203"/>
        <v>-1121629574954847.9</v>
      </c>
      <c r="J5320" s="444">
        <f t="array" ref="J5320">IFERROR(INDEX('Retirement Calculator'!J:J,MATCH('Isaac 401k'!N5320,'Retirement Calculator'!A:A,0),0),0)</f>
        <v>0</v>
      </c>
      <c r="K5320" s="444">
        <f t="shared" ca="1" si="201"/>
        <v>-4673456562311.8662</v>
      </c>
      <c r="L5320" s="444">
        <f t="shared" ca="1" si="202"/>
        <v>-1126303031517159.8</v>
      </c>
      <c r="M5320" s="460">
        <f t="shared" si="204"/>
        <v>0.05</v>
      </c>
      <c r="N5320" s="464">
        <f t="shared" si="205"/>
        <v>212970</v>
      </c>
    </row>
    <row r="5321" spans="7:14" ht="11.25" customHeight="1" x14ac:dyDescent="0.3">
      <c r="G5321" s="459"/>
      <c r="H5321" s="459">
        <v>5314</v>
      </c>
      <c r="I5321" s="444">
        <f t="shared" ca="1" si="203"/>
        <v>-1126303031517159.8</v>
      </c>
      <c r="J5321" s="444">
        <f t="array" ref="J5321">IFERROR(INDEX('Retirement Calculator'!J:J,MATCH('Isaac 401k'!N5321,'Retirement Calculator'!A:A,0),0),0)</f>
        <v>0</v>
      </c>
      <c r="K5321" s="444">
        <f t="shared" ca="1" si="201"/>
        <v>-4692929297988.166</v>
      </c>
      <c r="L5321" s="444">
        <f t="shared" ca="1" si="202"/>
        <v>-1130995960815148</v>
      </c>
      <c r="M5321" s="460">
        <f t="shared" si="204"/>
        <v>0.05</v>
      </c>
      <c r="N5321" s="464">
        <f t="shared" si="205"/>
        <v>212998</v>
      </c>
    </row>
    <row r="5322" spans="7:14" ht="11.25" customHeight="1" x14ac:dyDescent="0.3">
      <c r="G5322" s="459"/>
      <c r="H5322" s="459">
        <v>5315</v>
      </c>
      <c r="I5322" s="444">
        <f t="shared" ca="1" si="203"/>
        <v>-1130995960815148</v>
      </c>
      <c r="J5322" s="444">
        <f t="array" ref="J5322">IFERROR(INDEX('Retirement Calculator'!J:J,MATCH('Isaac 401k'!N5322,'Retirement Calculator'!A:A,0),0),0)</f>
        <v>0</v>
      </c>
      <c r="K5322" s="444">
        <f t="shared" ca="1" si="201"/>
        <v>-4712483170063.1162</v>
      </c>
      <c r="L5322" s="444">
        <f t="shared" ca="1" si="202"/>
        <v>-1135708443985211</v>
      </c>
      <c r="M5322" s="460">
        <f t="shared" si="204"/>
        <v>0.05</v>
      </c>
      <c r="N5322" s="464">
        <f t="shared" si="205"/>
        <v>213029</v>
      </c>
    </row>
    <row r="5323" spans="7:14" ht="11.25" customHeight="1" x14ac:dyDescent="0.3">
      <c r="G5323" s="459"/>
      <c r="H5323" s="459">
        <v>5316</v>
      </c>
      <c r="I5323" s="444">
        <f t="shared" ca="1" si="203"/>
        <v>-1135708443985211</v>
      </c>
      <c r="J5323" s="444">
        <f t="array" ref="J5323">IFERROR(INDEX('Retirement Calculator'!J:J,MATCH('Isaac 401k'!N5323,'Retirement Calculator'!A:A,0),0),0)</f>
        <v>0</v>
      </c>
      <c r="K5323" s="444">
        <f t="shared" ca="1" si="201"/>
        <v>-4732118516605.0459</v>
      </c>
      <c r="L5323" s="444">
        <f t="shared" ca="1" si="202"/>
        <v>-1140440562501816</v>
      </c>
      <c r="M5323" s="460">
        <f t="shared" si="204"/>
        <v>0.05</v>
      </c>
      <c r="N5323" s="464">
        <f t="shared" si="205"/>
        <v>213059</v>
      </c>
    </row>
    <row r="5324" spans="7:14" ht="11.25" customHeight="1" x14ac:dyDescent="0.3">
      <c r="G5324" s="459"/>
      <c r="H5324" s="459">
        <v>5317</v>
      </c>
      <c r="I5324" s="444">
        <f t="shared" ca="1" si="203"/>
        <v>-1140440562501816</v>
      </c>
      <c r="J5324" s="444">
        <f t="array" ref="J5324">IFERROR(INDEX('Retirement Calculator'!J:J,MATCH('Isaac 401k'!N5324,'Retirement Calculator'!A:A,0),0),0)</f>
        <v>0</v>
      </c>
      <c r="K5324" s="444">
        <f t="shared" ca="1" si="201"/>
        <v>-4751835677090.9004</v>
      </c>
      <c r="L5324" s="444">
        <f t="shared" ca="1" si="202"/>
        <v>-1145192398178907</v>
      </c>
      <c r="M5324" s="460">
        <f t="shared" si="204"/>
        <v>0.05</v>
      </c>
      <c r="N5324" s="464">
        <f t="shared" si="205"/>
        <v>213090</v>
      </c>
    </row>
    <row r="5325" spans="7:14" ht="11.25" customHeight="1" x14ac:dyDescent="0.3">
      <c r="G5325" s="459"/>
      <c r="H5325" s="459">
        <v>5318</v>
      </c>
      <c r="I5325" s="444">
        <f t="shared" ca="1" si="203"/>
        <v>-1145192398178907</v>
      </c>
      <c r="J5325" s="444">
        <f t="array" ref="J5325">IFERROR(INDEX('Retirement Calculator'!J:J,MATCH('Isaac 401k'!N5325,'Retirement Calculator'!A:A,0),0),0)</f>
        <v>0</v>
      </c>
      <c r="K5325" s="444">
        <f t="shared" ca="1" si="201"/>
        <v>-4771634992412.1123</v>
      </c>
      <c r="L5325" s="444">
        <f t="shared" ca="1" si="202"/>
        <v>-1149964033171319</v>
      </c>
      <c r="M5325" s="460">
        <f t="shared" si="204"/>
        <v>0.05</v>
      </c>
      <c r="N5325" s="464">
        <f t="shared" si="205"/>
        <v>213120</v>
      </c>
    </row>
    <row r="5326" spans="7:14" ht="11.25" customHeight="1" x14ac:dyDescent="0.3">
      <c r="G5326" s="459"/>
      <c r="H5326" s="459">
        <v>5319</v>
      </c>
      <c r="I5326" s="444">
        <f t="shared" ca="1" si="203"/>
        <v>-1149964033171319</v>
      </c>
      <c r="J5326" s="444">
        <f t="array" ref="J5326">IFERROR(INDEX('Retirement Calculator'!J:J,MATCH('Isaac 401k'!N5326,'Retirement Calculator'!A:A,0),0),0)</f>
        <v>0</v>
      </c>
      <c r="K5326" s="444">
        <f t="shared" ca="1" si="201"/>
        <v>-4791516804880.4961</v>
      </c>
      <c r="L5326" s="444">
        <f t="shared" ca="1" si="202"/>
        <v>-1154755549976199.5</v>
      </c>
      <c r="M5326" s="460">
        <f t="shared" si="204"/>
        <v>0.05</v>
      </c>
      <c r="N5326" s="464">
        <f t="shared" si="205"/>
        <v>213151</v>
      </c>
    </row>
    <row r="5327" spans="7:14" ht="11.25" customHeight="1" x14ac:dyDescent="0.3">
      <c r="G5327" s="459"/>
      <c r="H5327" s="459">
        <v>5320</v>
      </c>
      <c r="I5327" s="444">
        <f t="shared" ca="1" si="203"/>
        <v>-1154755549976199.5</v>
      </c>
      <c r="J5327" s="444">
        <f t="array" ref="J5327">IFERROR(INDEX('Retirement Calculator'!J:J,MATCH('Isaac 401k'!N5327,'Retirement Calculator'!A:A,0),0),0)</f>
        <v>0</v>
      </c>
      <c r="K5327" s="444">
        <f t="shared" ca="1" si="201"/>
        <v>-4811481458234.1641</v>
      </c>
      <c r="L5327" s="444">
        <f t="shared" ca="1" si="202"/>
        <v>-1159567031434433.8</v>
      </c>
      <c r="M5327" s="460">
        <f t="shared" si="204"/>
        <v>0.05</v>
      </c>
      <c r="N5327" s="464">
        <f t="shared" si="205"/>
        <v>213182</v>
      </c>
    </row>
    <row r="5328" spans="7:14" ht="11.25" customHeight="1" x14ac:dyDescent="0.3">
      <c r="G5328" s="459"/>
      <c r="H5328" s="459">
        <v>5321</v>
      </c>
      <c r="I5328" s="444">
        <f t="shared" ca="1" si="203"/>
        <v>-1159567031434433.8</v>
      </c>
      <c r="J5328" s="444">
        <f t="array" ref="J5328">IFERROR(INDEX('Retirement Calculator'!J:J,MATCH('Isaac 401k'!N5328,'Retirement Calculator'!A:A,0),0),0)</f>
        <v>0</v>
      </c>
      <c r="K5328" s="444">
        <f t="shared" ca="1" si="201"/>
        <v>-4831529297643.4736</v>
      </c>
      <c r="L5328" s="444">
        <f t="shared" ca="1" si="202"/>
        <v>-1164398560732077.3</v>
      </c>
      <c r="M5328" s="460">
        <f t="shared" si="204"/>
        <v>0.05</v>
      </c>
      <c r="N5328" s="464">
        <f t="shared" si="205"/>
        <v>213212</v>
      </c>
    </row>
    <row r="5329" spans="7:14" ht="11.25" customHeight="1" x14ac:dyDescent="0.3">
      <c r="G5329" s="459"/>
      <c r="H5329" s="459">
        <v>5322</v>
      </c>
      <c r="I5329" s="444">
        <f t="shared" ca="1" si="203"/>
        <v>-1164398560732077.3</v>
      </c>
      <c r="J5329" s="444">
        <f t="array" ref="J5329">IFERROR(INDEX('Retirement Calculator'!J:J,MATCH('Isaac 401k'!N5329,'Retirement Calculator'!A:A,0),0),0)</f>
        <v>0</v>
      </c>
      <c r="K5329" s="444">
        <f t="shared" ca="1" si="201"/>
        <v>-4851660669716.9883</v>
      </c>
      <c r="L5329" s="444">
        <f t="shared" ca="1" si="202"/>
        <v>-1169250221401794.3</v>
      </c>
      <c r="M5329" s="460">
        <f t="shared" si="204"/>
        <v>0.05</v>
      </c>
      <c r="N5329" s="464">
        <f t="shared" si="205"/>
        <v>213243</v>
      </c>
    </row>
    <row r="5330" spans="7:14" ht="11.25" customHeight="1" x14ac:dyDescent="0.3">
      <c r="G5330" s="459"/>
      <c r="H5330" s="459">
        <v>5323</v>
      </c>
      <c r="I5330" s="444">
        <f t="shared" ca="1" si="203"/>
        <v>-1169250221401794.3</v>
      </c>
      <c r="J5330" s="444">
        <f t="array" ref="J5330">IFERROR(INDEX('Retirement Calculator'!J:J,MATCH('Isaac 401k'!N5330,'Retirement Calculator'!A:A,0),0),0)</f>
        <v>0</v>
      </c>
      <c r="K5330" s="444">
        <f t="shared" ca="1" si="201"/>
        <v>-4871875922507.4756</v>
      </c>
      <c r="L5330" s="444">
        <f t="shared" ca="1" si="202"/>
        <v>-1174122097324301.8</v>
      </c>
      <c r="M5330" s="460">
        <f t="shared" si="204"/>
        <v>0.05</v>
      </c>
      <c r="N5330" s="464">
        <f t="shared" si="205"/>
        <v>213273</v>
      </c>
    </row>
    <row r="5331" spans="7:14" ht="11.25" customHeight="1" x14ac:dyDescent="0.3">
      <c r="G5331" s="459"/>
      <c r="H5331" s="459">
        <v>5324</v>
      </c>
      <c r="I5331" s="444">
        <f t="shared" ca="1" si="203"/>
        <v>-1174122097324301.8</v>
      </c>
      <c r="J5331" s="444">
        <f t="array" ref="J5331">IFERROR(INDEX('Retirement Calculator'!J:J,MATCH('Isaac 401k'!N5331,'Retirement Calculator'!A:A,0),0),0)</f>
        <v>0</v>
      </c>
      <c r="K5331" s="444">
        <f t="shared" ca="1" si="201"/>
        <v>-4892175405517.9238</v>
      </c>
      <c r="L5331" s="444">
        <f t="shared" ca="1" si="202"/>
        <v>-1179014272729819.8</v>
      </c>
      <c r="M5331" s="460">
        <f t="shared" si="204"/>
        <v>0.05</v>
      </c>
      <c r="N5331" s="464">
        <f t="shared" si="205"/>
        <v>213304</v>
      </c>
    </row>
    <row r="5332" spans="7:14" ht="11.25" customHeight="1" x14ac:dyDescent="0.3">
      <c r="G5332" s="459"/>
      <c r="H5332" s="459">
        <v>5325</v>
      </c>
      <c r="I5332" s="444">
        <f t="shared" ca="1" si="203"/>
        <v>-1179014272729819.8</v>
      </c>
      <c r="J5332" s="444">
        <f t="array" ref="J5332">IFERROR(INDEX('Retirement Calculator'!J:J,MATCH('Isaac 401k'!N5332,'Retirement Calculator'!A:A,0),0),0)</f>
        <v>0</v>
      </c>
      <c r="K5332" s="444">
        <f t="shared" ca="1" si="201"/>
        <v>-4912559469707.582</v>
      </c>
      <c r="L5332" s="444">
        <f t="shared" ca="1" si="202"/>
        <v>-1183926832199527.3</v>
      </c>
      <c r="M5332" s="460">
        <f t="shared" si="204"/>
        <v>0.05</v>
      </c>
      <c r="N5332" s="464">
        <f t="shared" si="205"/>
        <v>213335</v>
      </c>
    </row>
    <row r="5333" spans="7:14" ht="11.25" customHeight="1" x14ac:dyDescent="0.3">
      <c r="G5333" s="459"/>
      <c r="H5333" s="459">
        <v>5326</v>
      </c>
      <c r="I5333" s="444">
        <f t="shared" ca="1" si="203"/>
        <v>-1183926832199527.3</v>
      </c>
      <c r="J5333" s="444">
        <f t="array" ref="J5333">IFERROR(INDEX('Retirement Calculator'!J:J,MATCH('Isaac 401k'!N5333,'Retirement Calculator'!A:A,0),0),0)</f>
        <v>0</v>
      </c>
      <c r="K5333" s="444">
        <f t="shared" ca="1" si="201"/>
        <v>-4933028467498.0303</v>
      </c>
      <c r="L5333" s="444">
        <f t="shared" ca="1" si="202"/>
        <v>-1188859860667025.3</v>
      </c>
      <c r="M5333" s="460">
        <f t="shared" si="204"/>
        <v>0.05</v>
      </c>
      <c r="N5333" s="464">
        <f t="shared" si="205"/>
        <v>213364</v>
      </c>
    </row>
    <row r="5334" spans="7:14" ht="11.25" customHeight="1" x14ac:dyDescent="0.3">
      <c r="G5334" s="459"/>
      <c r="H5334" s="459">
        <v>5327</v>
      </c>
      <c r="I5334" s="444">
        <f t="shared" ca="1" si="203"/>
        <v>-1188859860667025.3</v>
      </c>
      <c r="J5334" s="444">
        <f t="array" ref="J5334">IFERROR(INDEX('Retirement Calculator'!J:J,MATCH('Isaac 401k'!N5334,'Retirement Calculator'!A:A,0),0),0)</f>
        <v>0</v>
      </c>
      <c r="K5334" s="444">
        <f t="shared" ca="1" si="201"/>
        <v>-4953582752779.2715</v>
      </c>
      <c r="L5334" s="444">
        <f t="shared" ca="1" si="202"/>
        <v>-1193813443419804.5</v>
      </c>
      <c r="M5334" s="460">
        <f t="shared" si="204"/>
        <v>0.05</v>
      </c>
      <c r="N5334" s="464">
        <f t="shared" si="205"/>
        <v>213395</v>
      </c>
    </row>
    <row r="5335" spans="7:14" ht="11.25" customHeight="1" x14ac:dyDescent="0.3">
      <c r="G5335" s="459"/>
      <c r="H5335" s="459">
        <v>5328</v>
      </c>
      <c r="I5335" s="444">
        <f t="shared" ca="1" si="203"/>
        <v>-1193813443419804.5</v>
      </c>
      <c r="J5335" s="444">
        <f t="array" ref="J5335">IFERROR(INDEX('Retirement Calculator'!J:J,MATCH('Isaac 401k'!N5335,'Retirement Calculator'!A:A,0),0),0)</f>
        <v>0</v>
      </c>
      <c r="K5335" s="444">
        <f t="shared" ca="1" si="201"/>
        <v>-4974222680915.8516</v>
      </c>
      <c r="L5335" s="444">
        <f t="shared" ca="1" si="202"/>
        <v>-1198787666100720.3</v>
      </c>
      <c r="M5335" s="460">
        <f t="shared" si="204"/>
        <v>0.05</v>
      </c>
      <c r="N5335" s="464">
        <f t="shared" si="205"/>
        <v>213425</v>
      </c>
    </row>
    <row r="5336" spans="7:14" ht="11.25" customHeight="1" x14ac:dyDescent="0.3">
      <c r="G5336" s="459"/>
      <c r="H5336" s="459">
        <v>5329</v>
      </c>
      <c r="I5336" s="444">
        <f t="shared" ca="1" si="203"/>
        <v>-1198787666100720.3</v>
      </c>
      <c r="J5336" s="444">
        <f t="array" ref="J5336">IFERROR(INDEX('Retirement Calculator'!J:J,MATCH('Isaac 401k'!N5336,'Retirement Calculator'!A:A,0),0),0)</f>
        <v>0</v>
      </c>
      <c r="K5336" s="444">
        <f t="shared" ca="1" si="201"/>
        <v>-4994948608753.001</v>
      </c>
      <c r="L5336" s="444">
        <f t="shared" ca="1" si="202"/>
        <v>-1203782614709473.3</v>
      </c>
      <c r="M5336" s="460">
        <f t="shared" si="204"/>
        <v>0.05</v>
      </c>
      <c r="N5336" s="464">
        <f t="shared" si="205"/>
        <v>213456</v>
      </c>
    </row>
    <row r="5337" spans="7:14" ht="11.25" customHeight="1" x14ac:dyDescent="0.3">
      <c r="G5337" s="459"/>
      <c r="H5337" s="459">
        <v>5330</v>
      </c>
      <c r="I5337" s="444">
        <f t="shared" ca="1" si="203"/>
        <v>-1203782614709473.3</v>
      </c>
      <c r="J5337" s="444">
        <f t="array" ref="J5337">IFERROR(INDEX('Retirement Calculator'!J:J,MATCH('Isaac 401k'!N5337,'Retirement Calculator'!A:A,0),0),0)</f>
        <v>0</v>
      </c>
      <c r="K5337" s="444">
        <f t="shared" ca="1" si="201"/>
        <v>-5015760894622.8047</v>
      </c>
      <c r="L5337" s="444">
        <f t="shared" ca="1" si="202"/>
        <v>-1208798375604096</v>
      </c>
      <c r="M5337" s="460">
        <f t="shared" si="204"/>
        <v>0.05</v>
      </c>
      <c r="N5337" s="464">
        <f t="shared" si="205"/>
        <v>213486</v>
      </c>
    </row>
    <row r="5338" spans="7:14" ht="11.25" customHeight="1" x14ac:dyDescent="0.3">
      <c r="G5338" s="459"/>
      <c r="H5338" s="459">
        <v>5331</v>
      </c>
      <c r="I5338" s="444">
        <f t="shared" ca="1" si="203"/>
        <v>-1208798375604096</v>
      </c>
      <c r="J5338" s="444">
        <f t="array" ref="J5338">IFERROR(INDEX('Retirement Calculator'!J:J,MATCH('Isaac 401k'!N5338,'Retirement Calculator'!A:A,0),0),0)</f>
        <v>0</v>
      </c>
      <c r="K5338" s="444">
        <f t="shared" ca="1" si="201"/>
        <v>-5036659898350.4004</v>
      </c>
      <c r="L5338" s="444">
        <f t="shared" ca="1" si="202"/>
        <v>-1213835035502446.5</v>
      </c>
      <c r="M5338" s="460">
        <f t="shared" si="204"/>
        <v>0.05</v>
      </c>
      <c r="N5338" s="464">
        <f t="shared" si="205"/>
        <v>213517</v>
      </c>
    </row>
    <row r="5339" spans="7:14" ht="11.25" customHeight="1" x14ac:dyDescent="0.3">
      <c r="G5339" s="459"/>
      <c r="H5339" s="459">
        <v>5332</v>
      </c>
      <c r="I5339" s="444">
        <f t="shared" ca="1" si="203"/>
        <v>-1213835035502446.5</v>
      </c>
      <c r="J5339" s="444">
        <f t="array" ref="J5339">IFERROR(INDEX('Retirement Calculator'!J:J,MATCH('Isaac 401k'!N5339,'Retirement Calculator'!A:A,0),0),0)</f>
        <v>0</v>
      </c>
      <c r="K5339" s="444">
        <f t="shared" ca="1" si="201"/>
        <v>-5057645981260.1934</v>
      </c>
      <c r="L5339" s="444">
        <f t="shared" ca="1" si="202"/>
        <v>-1218892681483706.8</v>
      </c>
      <c r="M5339" s="460">
        <f t="shared" si="204"/>
        <v>0.05</v>
      </c>
      <c r="N5339" s="464">
        <f t="shared" si="205"/>
        <v>213548</v>
      </c>
    </row>
    <row r="5340" spans="7:14" ht="11.25" customHeight="1" x14ac:dyDescent="0.3">
      <c r="G5340" s="459"/>
      <c r="H5340" s="459">
        <v>5333</v>
      </c>
      <c r="I5340" s="444">
        <f t="shared" ca="1" si="203"/>
        <v>-1218892681483706.8</v>
      </c>
      <c r="J5340" s="444">
        <f t="array" ref="J5340">IFERROR(INDEX('Retirement Calculator'!J:J,MATCH('Isaac 401k'!N5340,'Retirement Calculator'!A:A,0),0),0)</f>
        <v>0</v>
      </c>
      <c r="K5340" s="444">
        <f t="shared" ca="1" si="201"/>
        <v>-5078719506182.1113</v>
      </c>
      <c r="L5340" s="444">
        <f t="shared" ca="1" si="202"/>
        <v>-1223971400989888.8</v>
      </c>
      <c r="M5340" s="460">
        <f t="shared" si="204"/>
        <v>0.05</v>
      </c>
      <c r="N5340" s="464">
        <f t="shared" si="205"/>
        <v>213578</v>
      </c>
    </row>
    <row r="5341" spans="7:14" ht="11.25" customHeight="1" x14ac:dyDescent="0.3">
      <c r="G5341" s="459"/>
      <c r="H5341" s="459">
        <v>5334</v>
      </c>
      <c r="I5341" s="444">
        <f t="shared" ca="1" si="203"/>
        <v>-1223971400989888.8</v>
      </c>
      <c r="J5341" s="444">
        <f t="array" ref="J5341">IFERROR(INDEX('Retirement Calculator'!J:J,MATCH('Isaac 401k'!N5341,'Retirement Calculator'!A:A,0),0),0)</f>
        <v>0</v>
      </c>
      <c r="K5341" s="444">
        <f t="shared" ca="1" si="201"/>
        <v>-5099880837457.8701</v>
      </c>
      <c r="L5341" s="444">
        <f t="shared" ca="1" si="202"/>
        <v>-1229071281827346.5</v>
      </c>
      <c r="M5341" s="460">
        <f t="shared" si="204"/>
        <v>0.05</v>
      </c>
      <c r="N5341" s="464">
        <f t="shared" si="205"/>
        <v>213609</v>
      </c>
    </row>
    <row r="5342" spans="7:14" ht="11.25" customHeight="1" x14ac:dyDescent="0.3">
      <c r="G5342" s="459"/>
      <c r="H5342" s="459">
        <v>5335</v>
      </c>
      <c r="I5342" s="444">
        <f t="shared" ca="1" si="203"/>
        <v>-1229071281827346.5</v>
      </c>
      <c r="J5342" s="444">
        <f t="array" ref="J5342">IFERROR(INDEX('Retirement Calculator'!J:J,MATCH('Isaac 401k'!N5342,'Retirement Calculator'!A:A,0),0),0)</f>
        <v>0</v>
      </c>
      <c r="K5342" s="444">
        <f t="shared" ca="1" si="201"/>
        <v>-5121130340947.2773</v>
      </c>
      <c r="L5342" s="444">
        <f t="shared" ca="1" si="202"/>
        <v>-1234192412168293.8</v>
      </c>
      <c r="M5342" s="460">
        <f t="shared" si="204"/>
        <v>0.05</v>
      </c>
      <c r="N5342" s="464">
        <f t="shared" si="205"/>
        <v>213639</v>
      </c>
    </row>
    <row r="5343" spans="7:14" ht="11.25" customHeight="1" x14ac:dyDescent="0.3">
      <c r="G5343" s="459"/>
      <c r="H5343" s="459">
        <v>5336</v>
      </c>
      <c r="I5343" s="444">
        <f t="shared" ca="1" si="203"/>
        <v>-1234192412168293.8</v>
      </c>
      <c r="J5343" s="444">
        <f t="array" ref="J5343">IFERROR(INDEX('Retirement Calculator'!J:J,MATCH('Isaac 401k'!N5343,'Retirement Calculator'!A:A,0),0),0)</f>
        <v>0</v>
      </c>
      <c r="K5343" s="444">
        <f t="shared" ca="1" si="201"/>
        <v>-5142468384034.5576</v>
      </c>
      <c r="L5343" s="444">
        <f t="shared" ca="1" si="202"/>
        <v>-1239334880552328.3</v>
      </c>
      <c r="M5343" s="460">
        <f t="shared" si="204"/>
        <v>0.05</v>
      </c>
      <c r="N5343" s="464">
        <f t="shared" si="205"/>
        <v>213670</v>
      </c>
    </row>
    <row r="5344" spans="7:14" ht="11.25" customHeight="1" x14ac:dyDescent="0.3">
      <c r="G5344" s="459"/>
      <c r="H5344" s="459">
        <v>5337</v>
      </c>
      <c r="I5344" s="444">
        <f t="shared" ca="1" si="203"/>
        <v>-1239334880552328.3</v>
      </c>
      <c r="J5344" s="444">
        <f t="array" ref="J5344">IFERROR(INDEX('Retirement Calculator'!J:J,MATCH('Isaac 401k'!N5344,'Retirement Calculator'!A:A,0),0),0)</f>
        <v>0</v>
      </c>
      <c r="K5344" s="444">
        <f t="shared" ca="1" si="201"/>
        <v>-5163895335634.7012</v>
      </c>
      <c r="L5344" s="444">
        <f t="shared" ca="1" si="202"/>
        <v>-1244498775887963</v>
      </c>
      <c r="M5344" s="460">
        <f t="shared" si="204"/>
        <v>0.05</v>
      </c>
      <c r="N5344" s="464">
        <f t="shared" si="205"/>
        <v>213701</v>
      </c>
    </row>
    <row r="5345" spans="7:14" ht="11.25" customHeight="1" x14ac:dyDescent="0.3">
      <c r="G5345" s="459"/>
      <c r="H5345" s="459">
        <v>5338</v>
      </c>
      <c r="I5345" s="444">
        <f t="shared" ca="1" si="203"/>
        <v>-1244498775887963</v>
      </c>
      <c r="J5345" s="444">
        <f t="array" ref="J5345">IFERROR(INDEX('Retirement Calculator'!J:J,MATCH('Isaac 401k'!N5345,'Retirement Calculator'!A:A,0),0),0)</f>
        <v>0</v>
      </c>
      <c r="K5345" s="444">
        <f t="shared" ca="1" si="201"/>
        <v>-5185411566199.8457</v>
      </c>
      <c r="L5345" s="444">
        <f t="shared" ca="1" si="202"/>
        <v>-1249684187454162.8</v>
      </c>
      <c r="M5345" s="460">
        <f t="shared" si="204"/>
        <v>0.05</v>
      </c>
      <c r="N5345" s="464">
        <f t="shared" si="205"/>
        <v>213729</v>
      </c>
    </row>
    <row r="5346" spans="7:14" ht="11.25" customHeight="1" x14ac:dyDescent="0.3">
      <c r="G5346" s="459"/>
      <c r="H5346" s="459">
        <v>5339</v>
      </c>
      <c r="I5346" s="444">
        <f t="shared" ca="1" si="203"/>
        <v>-1249684187454162.8</v>
      </c>
      <c r="J5346" s="444">
        <f t="array" ref="J5346">IFERROR(INDEX('Retirement Calculator'!J:J,MATCH('Isaac 401k'!N5346,'Retirement Calculator'!A:A,0),0),0)</f>
        <v>0</v>
      </c>
      <c r="K5346" s="444">
        <f t="shared" ca="1" si="201"/>
        <v>-5207017447725.6777</v>
      </c>
      <c r="L5346" s="444">
        <f t="shared" ca="1" si="202"/>
        <v>-1254891204901888.5</v>
      </c>
      <c r="M5346" s="460">
        <f t="shared" si="204"/>
        <v>0.05</v>
      </c>
      <c r="N5346" s="464">
        <f t="shared" si="205"/>
        <v>213760</v>
      </c>
    </row>
    <row r="5347" spans="7:14" ht="11.25" customHeight="1" x14ac:dyDescent="0.3">
      <c r="G5347" s="459"/>
      <c r="H5347" s="459">
        <v>5340</v>
      </c>
      <c r="I5347" s="444">
        <f t="shared" ca="1" si="203"/>
        <v>-1254891204901888.5</v>
      </c>
      <c r="J5347" s="444">
        <f t="array" ref="J5347">IFERROR(INDEX('Retirement Calculator'!J:J,MATCH('Isaac 401k'!N5347,'Retirement Calculator'!A:A,0),0),0)</f>
        <v>0</v>
      </c>
      <c r="K5347" s="444">
        <f t="shared" ca="1" si="201"/>
        <v>-5228713353757.8691</v>
      </c>
      <c r="L5347" s="444">
        <f t="shared" ca="1" si="202"/>
        <v>-1260119918255646.3</v>
      </c>
      <c r="M5347" s="460">
        <f t="shared" si="204"/>
        <v>0.05</v>
      </c>
      <c r="N5347" s="464">
        <f t="shared" si="205"/>
        <v>213790</v>
      </c>
    </row>
    <row r="5348" spans="7:14" ht="11.25" customHeight="1" x14ac:dyDescent="0.3">
      <c r="G5348" s="459"/>
      <c r="H5348" s="459">
        <v>5341</v>
      </c>
      <c r="I5348" s="444">
        <f t="shared" ca="1" si="203"/>
        <v>-1260119918255646.3</v>
      </c>
      <c r="J5348" s="444">
        <f t="array" ref="J5348">IFERROR(INDEX('Retirement Calculator'!J:J,MATCH('Isaac 401k'!N5348,'Retirement Calculator'!A:A,0),0),0)</f>
        <v>0</v>
      </c>
      <c r="K5348" s="444">
        <f t="shared" ca="1" si="201"/>
        <v>-5250499659398.5264</v>
      </c>
      <c r="L5348" s="444">
        <f t="shared" ca="1" si="202"/>
        <v>-1265370417915044.8</v>
      </c>
      <c r="M5348" s="460">
        <f t="shared" si="204"/>
        <v>0.05</v>
      </c>
      <c r="N5348" s="464">
        <f t="shared" si="205"/>
        <v>213821</v>
      </c>
    </row>
    <row r="5349" spans="7:14" ht="11.25" customHeight="1" x14ac:dyDescent="0.3">
      <c r="G5349" s="459"/>
      <c r="H5349" s="459">
        <v>5342</v>
      </c>
      <c r="I5349" s="444">
        <f t="shared" ca="1" si="203"/>
        <v>-1265370417915044.8</v>
      </c>
      <c r="J5349" s="444">
        <f t="array" ref="J5349">IFERROR(INDEX('Retirement Calculator'!J:J,MATCH('Isaac 401k'!N5349,'Retirement Calculator'!A:A,0),0),0)</f>
        <v>0</v>
      </c>
      <c r="K5349" s="444">
        <f t="shared" ca="1" si="201"/>
        <v>-5272376741312.6865</v>
      </c>
      <c r="L5349" s="444">
        <f t="shared" ca="1" si="202"/>
        <v>-1270642794656357.5</v>
      </c>
      <c r="M5349" s="460">
        <f t="shared" si="204"/>
        <v>0.05</v>
      </c>
      <c r="N5349" s="464">
        <f t="shared" si="205"/>
        <v>213851</v>
      </c>
    </row>
    <row r="5350" spans="7:14" ht="11.25" customHeight="1" x14ac:dyDescent="0.3">
      <c r="G5350" s="459"/>
      <c r="H5350" s="459">
        <v>5343</v>
      </c>
      <c r="I5350" s="444">
        <f t="shared" ca="1" si="203"/>
        <v>-1270642794656357.5</v>
      </c>
      <c r="J5350" s="444">
        <f t="array" ref="J5350">IFERROR(INDEX('Retirement Calculator'!J:J,MATCH('Isaac 401k'!N5350,'Retirement Calculator'!A:A,0),0),0)</f>
        <v>0</v>
      </c>
      <c r="K5350" s="444">
        <f t="shared" ca="1" si="201"/>
        <v>-5294344977734.8232</v>
      </c>
      <c r="L5350" s="444">
        <f t="shared" ca="1" si="202"/>
        <v>-1275937139634092.3</v>
      </c>
      <c r="M5350" s="460">
        <f t="shared" si="204"/>
        <v>0.05</v>
      </c>
      <c r="N5350" s="464">
        <f t="shared" si="205"/>
        <v>213882</v>
      </c>
    </row>
    <row r="5351" spans="7:14" ht="11.25" customHeight="1" x14ac:dyDescent="0.3">
      <c r="G5351" s="459"/>
      <c r="H5351" s="459">
        <v>5344</v>
      </c>
      <c r="I5351" s="444">
        <f t="shared" ca="1" si="203"/>
        <v>-1275937139634092.3</v>
      </c>
      <c r="J5351" s="444">
        <f t="array" ref="J5351">IFERROR(INDEX('Retirement Calculator'!J:J,MATCH('Isaac 401k'!N5351,'Retirement Calculator'!A:A,0),0),0)</f>
        <v>0</v>
      </c>
      <c r="K5351" s="444">
        <f t="shared" ca="1" si="201"/>
        <v>-5316404748475.3848</v>
      </c>
      <c r="L5351" s="444">
        <f t="shared" ca="1" si="202"/>
        <v>-1281253544382567.8</v>
      </c>
      <c r="M5351" s="460">
        <f t="shared" si="204"/>
        <v>0.05</v>
      </c>
      <c r="N5351" s="464">
        <f t="shared" si="205"/>
        <v>213913</v>
      </c>
    </row>
    <row r="5352" spans="7:14" ht="11.25" customHeight="1" x14ac:dyDescent="0.3">
      <c r="G5352" s="459"/>
      <c r="H5352" s="459">
        <v>5345</v>
      </c>
      <c r="I5352" s="444">
        <f t="shared" ca="1" si="203"/>
        <v>-1281253544382567.8</v>
      </c>
      <c r="J5352" s="444">
        <f t="array" ref="J5352">IFERROR(INDEX('Retirement Calculator'!J:J,MATCH('Isaac 401k'!N5352,'Retirement Calculator'!A:A,0),0),0)</f>
        <v>0</v>
      </c>
      <c r="K5352" s="444">
        <f t="shared" ca="1" si="201"/>
        <v>-5338556434927.3652</v>
      </c>
      <c r="L5352" s="444">
        <f t="shared" ca="1" si="202"/>
        <v>-1286592100817495</v>
      </c>
      <c r="M5352" s="460">
        <f t="shared" si="204"/>
        <v>0.05</v>
      </c>
      <c r="N5352" s="464">
        <f t="shared" si="205"/>
        <v>213943</v>
      </c>
    </row>
    <row r="5353" spans="7:14" ht="11.25" customHeight="1" x14ac:dyDescent="0.3">
      <c r="G5353" s="459"/>
      <c r="H5353" s="459">
        <v>5346</v>
      </c>
      <c r="I5353" s="444">
        <f t="shared" ca="1" si="203"/>
        <v>-1286592100817495</v>
      </c>
      <c r="J5353" s="444">
        <f t="array" ref="J5353">IFERROR(INDEX('Retirement Calculator'!J:J,MATCH('Isaac 401k'!N5353,'Retirement Calculator'!A:A,0),0),0)</f>
        <v>0</v>
      </c>
      <c r="K5353" s="444">
        <f t="shared" ca="1" si="201"/>
        <v>-5360800420072.8955</v>
      </c>
      <c r="L5353" s="444">
        <f t="shared" ca="1" si="202"/>
        <v>-1291952901237568</v>
      </c>
      <c r="M5353" s="460">
        <f t="shared" si="204"/>
        <v>0.05</v>
      </c>
      <c r="N5353" s="464">
        <f t="shared" si="205"/>
        <v>213974</v>
      </c>
    </row>
    <row r="5354" spans="7:14" ht="11.25" customHeight="1" x14ac:dyDescent="0.3">
      <c r="G5354" s="459"/>
      <c r="H5354" s="459">
        <v>5347</v>
      </c>
      <c r="I5354" s="444">
        <f t="shared" ca="1" si="203"/>
        <v>-1291952901237568</v>
      </c>
      <c r="J5354" s="444">
        <f t="array" ref="J5354">IFERROR(INDEX('Retirement Calculator'!J:J,MATCH('Isaac 401k'!N5354,'Retirement Calculator'!A:A,0),0),0)</f>
        <v>0</v>
      </c>
      <c r="K5354" s="444">
        <f t="shared" ca="1" si="201"/>
        <v>-5383137088489.8662</v>
      </c>
      <c r="L5354" s="444">
        <f t="shared" ca="1" si="202"/>
        <v>-1297336038326057.8</v>
      </c>
      <c r="M5354" s="460">
        <f t="shared" si="204"/>
        <v>0.05</v>
      </c>
      <c r="N5354" s="464">
        <f t="shared" si="205"/>
        <v>214004</v>
      </c>
    </row>
    <row r="5355" spans="7:14" ht="11.25" customHeight="1" x14ac:dyDescent="0.3">
      <c r="G5355" s="459"/>
      <c r="H5355" s="459">
        <v>5348</v>
      </c>
      <c r="I5355" s="444">
        <f t="shared" ca="1" si="203"/>
        <v>-1297336038326057.8</v>
      </c>
      <c r="J5355" s="444">
        <f t="array" ref="J5355">IFERROR(INDEX('Retirement Calculator'!J:J,MATCH('Isaac 401k'!N5355,'Retirement Calculator'!A:A,0),0),0)</f>
        <v>0</v>
      </c>
      <c r="K5355" s="444">
        <f t="shared" ca="1" si="201"/>
        <v>-5405566826358.5742</v>
      </c>
      <c r="L5355" s="444">
        <f t="shared" ca="1" si="202"/>
        <v>-1302741605152416.3</v>
      </c>
      <c r="M5355" s="460">
        <f t="shared" si="204"/>
        <v>0.05</v>
      </c>
      <c r="N5355" s="464">
        <f t="shared" si="205"/>
        <v>214035</v>
      </c>
    </row>
    <row r="5356" spans="7:14" ht="11.25" customHeight="1" x14ac:dyDescent="0.3">
      <c r="G5356" s="459"/>
      <c r="H5356" s="459">
        <v>5349</v>
      </c>
      <c r="I5356" s="444">
        <f t="shared" ca="1" si="203"/>
        <v>-1302741605152416.3</v>
      </c>
      <c r="J5356" s="444">
        <f t="array" ref="J5356">IFERROR(INDEX('Retirement Calculator'!J:J,MATCH('Isaac 401k'!N5356,'Retirement Calculator'!A:A,0),0),0)</f>
        <v>0</v>
      </c>
      <c r="K5356" s="444">
        <f t="shared" ca="1" si="201"/>
        <v>-5428090021468.4014</v>
      </c>
      <c r="L5356" s="444">
        <f t="shared" ca="1" si="202"/>
        <v>-1308169695173884.8</v>
      </c>
      <c r="M5356" s="460">
        <f t="shared" si="204"/>
        <v>0.05</v>
      </c>
      <c r="N5356" s="464">
        <f t="shared" si="205"/>
        <v>214066</v>
      </c>
    </row>
    <row r="5357" spans="7:14" ht="11.25" customHeight="1" x14ac:dyDescent="0.3">
      <c r="G5357" s="459"/>
      <c r="H5357" s="459">
        <v>5350</v>
      </c>
      <c r="I5357" s="444">
        <f t="shared" ca="1" si="203"/>
        <v>-1308169695173884.8</v>
      </c>
      <c r="J5357" s="444">
        <f t="array" ref="J5357">IFERROR(INDEX('Retirement Calculator'!J:J,MATCH('Isaac 401k'!N5357,'Retirement Calculator'!A:A,0),0),0)</f>
        <v>0</v>
      </c>
      <c r="K5357" s="444">
        <f t="shared" ca="1" si="201"/>
        <v>-5450707063224.5195</v>
      </c>
      <c r="L5357" s="444">
        <f t="shared" ca="1" si="202"/>
        <v>-1313620402237109.3</v>
      </c>
      <c r="M5357" s="460">
        <f t="shared" si="204"/>
        <v>0.05</v>
      </c>
      <c r="N5357" s="464">
        <f t="shared" si="205"/>
        <v>214094</v>
      </c>
    </row>
    <row r="5358" spans="7:14" ht="11.25" customHeight="1" x14ac:dyDescent="0.3">
      <c r="G5358" s="459"/>
      <c r="H5358" s="459">
        <v>5351</v>
      </c>
      <c r="I5358" s="444">
        <f t="shared" ca="1" si="203"/>
        <v>-1313620402237109.3</v>
      </c>
      <c r="J5358" s="444">
        <f t="array" ref="J5358">IFERROR(INDEX('Retirement Calculator'!J:J,MATCH('Isaac 401k'!N5358,'Retirement Calculator'!A:A,0),0),0)</f>
        <v>0</v>
      </c>
      <c r="K5358" s="444">
        <f t="shared" ca="1" si="201"/>
        <v>-5473418342654.6221</v>
      </c>
      <c r="L5358" s="444">
        <f t="shared" ca="1" si="202"/>
        <v>-1319093820579763.8</v>
      </c>
      <c r="M5358" s="460">
        <f t="shared" si="204"/>
        <v>0.05</v>
      </c>
      <c r="N5358" s="464">
        <f t="shared" si="205"/>
        <v>214125</v>
      </c>
    </row>
    <row r="5359" spans="7:14" ht="11.25" customHeight="1" x14ac:dyDescent="0.3">
      <c r="G5359" s="459"/>
      <c r="H5359" s="459">
        <v>5352</v>
      </c>
      <c r="I5359" s="444">
        <f t="shared" ca="1" si="203"/>
        <v>-1319093820579763.8</v>
      </c>
      <c r="J5359" s="444">
        <f t="array" ref="J5359">IFERROR(INDEX('Retirement Calculator'!J:J,MATCH('Isaac 401k'!N5359,'Retirement Calculator'!A:A,0),0),0)</f>
        <v>0</v>
      </c>
      <c r="K5359" s="444">
        <f t="shared" ca="1" si="201"/>
        <v>-5496224252415.6826</v>
      </c>
      <c r="L5359" s="444">
        <f t="shared" ca="1" si="202"/>
        <v>-1324590044832179.5</v>
      </c>
      <c r="M5359" s="460">
        <f t="shared" si="204"/>
        <v>0.05</v>
      </c>
      <c r="N5359" s="464">
        <f t="shared" si="205"/>
        <v>214155</v>
      </c>
    </row>
    <row r="5360" spans="7:14" ht="11.25" customHeight="1" x14ac:dyDescent="0.3">
      <c r="G5360" s="459"/>
      <c r="H5360" s="459">
        <v>5353</v>
      </c>
      <c r="I5360" s="444">
        <f t="shared" ca="1" si="203"/>
        <v>-1324590044832179.5</v>
      </c>
      <c r="J5360" s="444">
        <f t="array" ref="J5360">IFERROR(INDEX('Retirement Calculator'!J:J,MATCH('Isaac 401k'!N5360,'Retirement Calculator'!A:A,0),0),0)</f>
        <v>0</v>
      </c>
      <c r="K5360" s="444">
        <f t="shared" ca="1" si="201"/>
        <v>-5519125186800.748</v>
      </c>
      <c r="L5360" s="444">
        <f t="shared" ca="1" si="202"/>
        <v>-1330109170018980.3</v>
      </c>
      <c r="M5360" s="460">
        <f t="shared" si="204"/>
        <v>0.05</v>
      </c>
      <c r="N5360" s="464">
        <f t="shared" si="205"/>
        <v>214186</v>
      </c>
    </row>
    <row r="5361" spans="7:14" ht="11.25" customHeight="1" x14ac:dyDescent="0.3">
      <c r="G5361" s="459"/>
      <c r="H5361" s="459">
        <v>5354</v>
      </c>
      <c r="I5361" s="444">
        <f t="shared" ca="1" si="203"/>
        <v>-1330109170018980.3</v>
      </c>
      <c r="J5361" s="444">
        <f t="array" ref="J5361">IFERROR(INDEX('Retirement Calculator'!J:J,MATCH('Isaac 401k'!N5361,'Retirement Calculator'!A:A,0),0),0)</f>
        <v>0</v>
      </c>
      <c r="K5361" s="444">
        <f t="shared" ca="1" si="201"/>
        <v>-5542121541745.751</v>
      </c>
      <c r="L5361" s="444">
        <f t="shared" ca="1" si="202"/>
        <v>-1335651291560726</v>
      </c>
      <c r="M5361" s="460">
        <f t="shared" si="204"/>
        <v>0.05</v>
      </c>
      <c r="N5361" s="464">
        <f t="shared" si="205"/>
        <v>214216</v>
      </c>
    </row>
    <row r="5362" spans="7:14" ht="11.25" customHeight="1" x14ac:dyDescent="0.3">
      <c r="G5362" s="459"/>
      <c r="H5362" s="459">
        <v>5355</v>
      </c>
      <c r="I5362" s="444">
        <f t="shared" ca="1" si="203"/>
        <v>-1335651291560726</v>
      </c>
      <c r="J5362" s="444">
        <f t="array" ref="J5362">IFERROR(INDEX('Retirement Calculator'!J:J,MATCH('Isaac 401k'!N5362,'Retirement Calculator'!A:A,0),0),0)</f>
        <v>0</v>
      </c>
      <c r="K5362" s="444">
        <f t="shared" ca="1" si="201"/>
        <v>-5565213714836.3584</v>
      </c>
      <c r="L5362" s="444">
        <f t="shared" ca="1" si="202"/>
        <v>-1341216505275562.3</v>
      </c>
      <c r="M5362" s="460">
        <f t="shared" si="204"/>
        <v>0.05</v>
      </c>
      <c r="N5362" s="464">
        <f t="shared" si="205"/>
        <v>214247</v>
      </c>
    </row>
    <row r="5363" spans="7:14" ht="11.25" customHeight="1" x14ac:dyDescent="0.3">
      <c r="G5363" s="459"/>
      <c r="H5363" s="459">
        <v>5356</v>
      </c>
      <c r="I5363" s="444">
        <f t="shared" ca="1" si="203"/>
        <v>-1341216505275562.3</v>
      </c>
      <c r="J5363" s="444">
        <f t="array" ref="J5363">IFERROR(INDEX('Retirement Calculator'!J:J,MATCH('Isaac 401k'!N5363,'Retirement Calculator'!A:A,0),0),0)</f>
        <v>0</v>
      </c>
      <c r="K5363" s="444">
        <f t="shared" ref="K5363:K5617" ca="1" si="206">IPMT(M5363/12,1,12,-I5363+J5363,,0)</f>
        <v>-5588402105314.8428</v>
      </c>
      <c r="L5363" s="444">
        <f t="shared" ref="L5363:L5617" ca="1" si="207">I5363-J5363+K5363</f>
        <v>-1346804907380877</v>
      </c>
      <c r="M5363" s="460">
        <f t="shared" si="204"/>
        <v>0.05</v>
      </c>
      <c r="N5363" s="464">
        <f t="shared" si="205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208">L5363</f>
        <v>-1346804907380877</v>
      </c>
      <c r="J5364" s="444">
        <f t="array" ref="J5364">IFERROR(INDEX('Retirement Calculator'!J:J,MATCH('Isaac 401k'!N5364,'Retirement Calculator'!A:A,0),0),0)</f>
        <v>0</v>
      </c>
      <c r="K5364" s="444">
        <f t="shared" ca="1" si="206"/>
        <v>-5611687114086.9873</v>
      </c>
      <c r="L5364" s="444">
        <f t="shared" ca="1" si="207"/>
        <v>-1352416594494964</v>
      </c>
      <c r="M5364" s="460">
        <f t="shared" ref="M5364:M5618" si="209">M5363</f>
        <v>0.05</v>
      </c>
      <c r="N5364" s="464">
        <f t="shared" ref="N5364:N5618" si="210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208"/>
        <v>-1352416594494964</v>
      </c>
      <c r="J5365" s="444">
        <f t="array" ref="J5365">IFERROR(INDEX('Retirement Calculator'!J:J,MATCH('Isaac 401k'!N5365,'Retirement Calculator'!A:A,0),0),0)</f>
        <v>0</v>
      </c>
      <c r="K5365" s="444">
        <f t="shared" ca="1" si="206"/>
        <v>-5635069143729.0166</v>
      </c>
      <c r="L5365" s="444">
        <f t="shared" ca="1" si="207"/>
        <v>-1358051663638693</v>
      </c>
      <c r="M5365" s="460">
        <f t="shared" si="209"/>
        <v>0.05</v>
      </c>
      <c r="N5365" s="464">
        <f t="shared" si="210"/>
        <v>214339</v>
      </c>
    </row>
    <row r="5366" spans="7:14" ht="11.25" customHeight="1" x14ac:dyDescent="0.3">
      <c r="G5366" s="459"/>
      <c r="H5366" s="459">
        <v>5359</v>
      </c>
      <c r="I5366" s="444">
        <f t="shared" ca="1" si="208"/>
        <v>-1358051663638693</v>
      </c>
      <c r="J5366" s="444">
        <f t="array" ref="J5366">IFERROR(INDEX('Retirement Calculator'!J:J,MATCH('Isaac 401k'!N5366,'Retirement Calculator'!A:A,0),0),0)</f>
        <v>0</v>
      </c>
      <c r="K5366" s="444">
        <f t="shared" ca="1" si="206"/>
        <v>-5658548598494.5537</v>
      </c>
      <c r="L5366" s="444">
        <f t="shared" ca="1" si="207"/>
        <v>-1363710212237187.5</v>
      </c>
      <c r="M5366" s="460">
        <f t="shared" si="209"/>
        <v>0.05</v>
      </c>
      <c r="N5366" s="464">
        <f t="shared" si="210"/>
        <v>214369</v>
      </c>
    </row>
    <row r="5367" spans="7:14" ht="11.25" customHeight="1" x14ac:dyDescent="0.3">
      <c r="G5367" s="459"/>
      <c r="H5367" s="459">
        <v>5360</v>
      </c>
      <c r="I5367" s="444">
        <f t="shared" ca="1" si="208"/>
        <v>-1363710212237187.5</v>
      </c>
      <c r="J5367" s="444">
        <f t="array" ref="J5367">IFERROR(INDEX('Retirement Calculator'!J:J,MATCH('Isaac 401k'!N5367,'Retirement Calculator'!A:A,0),0),0)</f>
        <v>0</v>
      </c>
      <c r="K5367" s="444">
        <f t="shared" ca="1" si="206"/>
        <v>-5682125884321.6143</v>
      </c>
      <c r="L5367" s="444">
        <f t="shared" ca="1" si="207"/>
        <v>-1369392338121509</v>
      </c>
      <c r="M5367" s="460">
        <f t="shared" si="209"/>
        <v>0.05</v>
      </c>
      <c r="N5367" s="464">
        <f t="shared" si="210"/>
        <v>214400</v>
      </c>
    </row>
    <row r="5368" spans="7:14" ht="11.25" customHeight="1" x14ac:dyDescent="0.3">
      <c r="G5368" s="459"/>
      <c r="H5368" s="459">
        <v>5361</v>
      </c>
      <c r="I5368" s="444">
        <f t="shared" ca="1" si="208"/>
        <v>-1369392338121509</v>
      </c>
      <c r="J5368" s="444">
        <f t="array" ref="J5368">IFERROR(INDEX('Retirement Calculator'!J:J,MATCH('Isaac 401k'!N5368,'Retirement Calculator'!A:A,0),0),0)</f>
        <v>0</v>
      </c>
      <c r="K5368" s="444">
        <f t="shared" ca="1" si="206"/>
        <v>-5705801408839.6211</v>
      </c>
      <c r="L5368" s="444">
        <f t="shared" ca="1" si="207"/>
        <v>-1375098139530348.5</v>
      </c>
      <c r="M5368" s="460">
        <f t="shared" si="209"/>
        <v>0.05</v>
      </c>
      <c r="N5368" s="464">
        <f t="shared" si="210"/>
        <v>214431</v>
      </c>
    </row>
    <row r="5369" spans="7:14" ht="11.25" customHeight="1" x14ac:dyDescent="0.3">
      <c r="G5369" s="459"/>
      <c r="H5369" s="459">
        <v>5362</v>
      </c>
      <c r="I5369" s="444">
        <f t="shared" ca="1" si="208"/>
        <v>-1375098139530348.5</v>
      </c>
      <c r="J5369" s="444">
        <f t="array" ref="J5369">IFERROR(INDEX('Retirement Calculator'!J:J,MATCH('Isaac 401k'!N5369,'Retirement Calculator'!A:A,0),0),0)</f>
        <v>0</v>
      </c>
      <c r="K5369" s="444">
        <f t="shared" ca="1" si="206"/>
        <v>-5729575581376.4521</v>
      </c>
      <c r="L5369" s="444">
        <f t="shared" ca="1" si="207"/>
        <v>-1380827715111725</v>
      </c>
      <c r="M5369" s="460">
        <f t="shared" si="209"/>
        <v>0.05</v>
      </c>
      <c r="N5369" s="464">
        <f t="shared" si="210"/>
        <v>214459</v>
      </c>
    </row>
    <row r="5370" spans="7:14" ht="11.25" customHeight="1" x14ac:dyDescent="0.3">
      <c r="G5370" s="459"/>
      <c r="H5370" s="459">
        <v>5363</v>
      </c>
      <c r="I5370" s="444">
        <f t="shared" ca="1" si="208"/>
        <v>-1380827715111725</v>
      </c>
      <c r="J5370" s="444">
        <f t="array" ref="J5370">IFERROR(INDEX('Retirement Calculator'!J:J,MATCH('Isaac 401k'!N5370,'Retirement Calculator'!A:A,0),0),0)</f>
        <v>0</v>
      </c>
      <c r="K5370" s="444">
        <f t="shared" ca="1" si="206"/>
        <v>-5753448812965.5205</v>
      </c>
      <c r="L5370" s="444">
        <f t="shared" ca="1" si="207"/>
        <v>-1386581163924690.5</v>
      </c>
      <c r="M5370" s="460">
        <f t="shared" si="209"/>
        <v>0.05</v>
      </c>
      <c r="N5370" s="464">
        <f t="shared" si="210"/>
        <v>214490</v>
      </c>
    </row>
    <row r="5371" spans="7:14" ht="11.25" customHeight="1" x14ac:dyDescent="0.3">
      <c r="G5371" s="459"/>
      <c r="H5371" s="459">
        <v>5364</v>
      </c>
      <c r="I5371" s="444">
        <f t="shared" ca="1" si="208"/>
        <v>-1386581163924690.5</v>
      </c>
      <c r="J5371" s="444">
        <f t="array" ref="J5371">IFERROR(INDEX('Retirement Calculator'!J:J,MATCH('Isaac 401k'!N5371,'Retirement Calculator'!A:A,0),0),0)</f>
        <v>0</v>
      </c>
      <c r="K5371" s="444">
        <f t="shared" ca="1" si="206"/>
        <v>-5777421516352.877</v>
      </c>
      <c r="L5371" s="444">
        <f t="shared" ca="1" si="207"/>
        <v>-1392358585441043.5</v>
      </c>
      <c r="M5371" s="460">
        <f t="shared" si="209"/>
        <v>0.05</v>
      </c>
      <c r="N5371" s="464">
        <f t="shared" si="210"/>
        <v>214520</v>
      </c>
    </row>
    <row r="5372" spans="7:14" ht="11.25" customHeight="1" x14ac:dyDescent="0.3">
      <c r="G5372" s="459"/>
      <c r="H5372" s="459">
        <v>5365</v>
      </c>
      <c r="I5372" s="444">
        <f t="shared" ca="1" si="208"/>
        <v>-1392358585441043.5</v>
      </c>
      <c r="J5372" s="444">
        <f t="array" ref="J5372">IFERROR(INDEX('Retirement Calculator'!J:J,MATCH('Isaac 401k'!N5372,'Retirement Calculator'!A:A,0),0),0)</f>
        <v>0</v>
      </c>
      <c r="K5372" s="444">
        <f t="shared" ca="1" si="206"/>
        <v>-5801494106004.3477</v>
      </c>
      <c r="L5372" s="444">
        <f t="shared" ca="1" si="207"/>
        <v>-1398160079547047.8</v>
      </c>
      <c r="M5372" s="460">
        <f t="shared" si="209"/>
        <v>0.05</v>
      </c>
      <c r="N5372" s="464">
        <f t="shared" si="210"/>
        <v>214551</v>
      </c>
    </row>
    <row r="5373" spans="7:14" ht="11.25" customHeight="1" x14ac:dyDescent="0.3">
      <c r="G5373" s="459"/>
      <c r="H5373" s="459">
        <v>5366</v>
      </c>
      <c r="I5373" s="444">
        <f t="shared" ca="1" si="208"/>
        <v>-1398160079547047.8</v>
      </c>
      <c r="J5373" s="444">
        <f t="array" ref="J5373">IFERROR(INDEX('Retirement Calculator'!J:J,MATCH('Isaac 401k'!N5373,'Retirement Calculator'!A:A,0),0),0)</f>
        <v>0</v>
      </c>
      <c r="K5373" s="444">
        <f t="shared" ca="1" si="206"/>
        <v>-5825666998112.6992</v>
      </c>
      <c r="L5373" s="444">
        <f t="shared" ca="1" si="207"/>
        <v>-1403985746545160.5</v>
      </c>
      <c r="M5373" s="460">
        <f t="shared" si="209"/>
        <v>0.05</v>
      </c>
      <c r="N5373" s="464">
        <f t="shared" si="210"/>
        <v>214581</v>
      </c>
    </row>
    <row r="5374" spans="7:14" ht="11.25" customHeight="1" x14ac:dyDescent="0.3">
      <c r="G5374" s="459"/>
      <c r="H5374" s="459">
        <v>5367</v>
      </c>
      <c r="I5374" s="444">
        <f t="shared" ca="1" si="208"/>
        <v>-1403985746545160.5</v>
      </c>
      <c r="J5374" s="444">
        <f t="array" ref="J5374">IFERROR(INDEX('Retirement Calculator'!J:J,MATCH('Isaac 401k'!N5374,'Retirement Calculator'!A:A,0),0),0)</f>
        <v>0</v>
      </c>
      <c r="K5374" s="444">
        <f t="shared" ca="1" si="206"/>
        <v>-5849940610604.835</v>
      </c>
      <c r="L5374" s="444">
        <f t="shared" ca="1" si="207"/>
        <v>-1409835687155765.3</v>
      </c>
      <c r="M5374" s="460">
        <f t="shared" si="209"/>
        <v>0.05</v>
      </c>
      <c r="N5374" s="464">
        <f t="shared" si="210"/>
        <v>214612</v>
      </c>
    </row>
    <row r="5375" spans="7:14" ht="11.25" customHeight="1" x14ac:dyDescent="0.3">
      <c r="G5375" s="459"/>
      <c r="H5375" s="459">
        <v>5368</v>
      </c>
      <c r="I5375" s="444">
        <f t="shared" ca="1" si="208"/>
        <v>-1409835687155765.3</v>
      </c>
      <c r="J5375" s="444">
        <f t="array" ref="J5375">IFERROR(INDEX('Retirement Calculator'!J:J,MATCH('Isaac 401k'!N5375,'Retirement Calculator'!A:A,0),0),0)</f>
        <v>0</v>
      </c>
      <c r="K5375" s="444">
        <f t="shared" ca="1" si="206"/>
        <v>-5874315363149.0215</v>
      </c>
      <c r="L5375" s="444">
        <f t="shared" ca="1" si="207"/>
        <v>-1415710002518914.3</v>
      </c>
      <c r="M5375" s="460">
        <f t="shared" si="209"/>
        <v>0.05</v>
      </c>
      <c r="N5375" s="464">
        <f t="shared" si="210"/>
        <v>214643</v>
      </c>
    </row>
    <row r="5376" spans="7:14" ht="11.25" customHeight="1" x14ac:dyDescent="0.3">
      <c r="G5376" s="459"/>
      <c r="H5376" s="459">
        <v>5369</v>
      </c>
      <c r="I5376" s="444">
        <f t="shared" ca="1" si="208"/>
        <v>-1415710002518914.3</v>
      </c>
      <c r="J5376" s="444">
        <f t="array" ref="J5376">IFERROR(INDEX('Retirement Calculator'!J:J,MATCH('Isaac 401k'!N5376,'Retirement Calculator'!A:A,0),0),0)</f>
        <v>0</v>
      </c>
      <c r="K5376" s="444">
        <f t="shared" ca="1" si="206"/>
        <v>-5898791677162.1426</v>
      </c>
      <c r="L5376" s="444">
        <f t="shared" ca="1" si="207"/>
        <v>-1421608794196076.5</v>
      </c>
      <c r="M5376" s="460">
        <f t="shared" si="209"/>
        <v>0.05</v>
      </c>
      <c r="N5376" s="464">
        <f t="shared" si="210"/>
        <v>214673</v>
      </c>
    </row>
    <row r="5377" spans="7:14" ht="11.25" customHeight="1" x14ac:dyDescent="0.3">
      <c r="G5377" s="459"/>
      <c r="H5377" s="459">
        <v>5370</v>
      </c>
      <c r="I5377" s="444">
        <f t="shared" ca="1" si="208"/>
        <v>-1421608794196076.5</v>
      </c>
      <c r="J5377" s="444">
        <f t="array" ref="J5377">IFERROR(INDEX('Retirement Calculator'!J:J,MATCH('Isaac 401k'!N5377,'Retirement Calculator'!A:A,0),0),0)</f>
        <v>0</v>
      </c>
      <c r="K5377" s="444">
        <f t="shared" ca="1" si="206"/>
        <v>-5923369975816.9854</v>
      </c>
      <c r="L5377" s="444">
        <f t="shared" ca="1" si="207"/>
        <v>-1427532164171893.5</v>
      </c>
      <c r="M5377" s="460">
        <f t="shared" si="209"/>
        <v>0.05</v>
      </c>
      <c r="N5377" s="464">
        <f t="shared" si="210"/>
        <v>214704</v>
      </c>
    </row>
    <row r="5378" spans="7:14" ht="11.25" customHeight="1" x14ac:dyDescent="0.3">
      <c r="G5378" s="459"/>
      <c r="H5378" s="459">
        <v>5371</v>
      </c>
      <c r="I5378" s="444">
        <f t="shared" ca="1" si="208"/>
        <v>-1427532164171893.5</v>
      </c>
      <c r="J5378" s="444">
        <f t="array" ref="J5378">IFERROR(INDEX('Retirement Calculator'!J:J,MATCH('Isaac 401k'!N5378,'Retirement Calculator'!A:A,0),0),0)</f>
        <v>0</v>
      </c>
      <c r="K5378" s="444">
        <f t="shared" ca="1" si="206"/>
        <v>-5948050684049.5566</v>
      </c>
      <c r="L5378" s="444">
        <f t="shared" ca="1" si="207"/>
        <v>-1433480214855943</v>
      </c>
      <c r="M5378" s="460">
        <f t="shared" si="209"/>
        <v>0.05</v>
      </c>
      <c r="N5378" s="464">
        <f t="shared" si="210"/>
        <v>214734</v>
      </c>
    </row>
    <row r="5379" spans="7:14" ht="11.25" customHeight="1" x14ac:dyDescent="0.3">
      <c r="G5379" s="459"/>
      <c r="H5379" s="459">
        <v>5372</v>
      </c>
      <c r="I5379" s="444">
        <f t="shared" ca="1" si="208"/>
        <v>-1433480214855943</v>
      </c>
      <c r="J5379" s="444">
        <f t="array" ref="J5379">IFERROR(INDEX('Retirement Calculator'!J:J,MATCH('Isaac 401k'!N5379,'Retirement Calculator'!A:A,0),0),0)</f>
        <v>0</v>
      </c>
      <c r="K5379" s="444">
        <f t="shared" ca="1" si="206"/>
        <v>-5972834228566.4287</v>
      </c>
      <c r="L5379" s="444">
        <f t="shared" ca="1" si="207"/>
        <v>-1439453049084509.5</v>
      </c>
      <c r="M5379" s="460">
        <f t="shared" si="209"/>
        <v>0.05</v>
      </c>
      <c r="N5379" s="464">
        <f t="shared" si="210"/>
        <v>214765</v>
      </c>
    </row>
    <row r="5380" spans="7:14" ht="11.25" customHeight="1" x14ac:dyDescent="0.3">
      <c r="G5380" s="459"/>
      <c r="H5380" s="459">
        <v>5373</v>
      </c>
      <c r="I5380" s="444">
        <f t="shared" ca="1" si="208"/>
        <v>-1439453049084509.5</v>
      </c>
      <c r="J5380" s="444">
        <f t="array" ref="J5380">IFERROR(INDEX('Retirement Calculator'!J:J,MATCH('Isaac 401k'!N5380,'Retirement Calculator'!A:A,0),0),0)</f>
        <v>0</v>
      </c>
      <c r="K5380" s="444">
        <f t="shared" ca="1" si="206"/>
        <v>-5997721037852.123</v>
      </c>
      <c r="L5380" s="444">
        <f t="shared" ca="1" si="207"/>
        <v>-1445450770122361.5</v>
      </c>
      <c r="M5380" s="460">
        <f t="shared" si="209"/>
        <v>0.05</v>
      </c>
      <c r="N5380" s="464">
        <f t="shared" si="210"/>
        <v>214796</v>
      </c>
    </row>
    <row r="5381" spans="7:14" ht="11.25" customHeight="1" x14ac:dyDescent="0.3">
      <c r="G5381" s="459"/>
      <c r="H5381" s="459">
        <v>5374</v>
      </c>
      <c r="I5381" s="444">
        <f t="shared" ca="1" si="208"/>
        <v>-1445450770122361.5</v>
      </c>
      <c r="J5381" s="444">
        <f t="array" ref="J5381">IFERROR(INDEX('Retirement Calculator'!J:J,MATCH('Isaac 401k'!N5381,'Retirement Calculator'!A:A,0),0),0)</f>
        <v>0</v>
      </c>
      <c r="K5381" s="444">
        <f t="shared" ca="1" si="206"/>
        <v>-6022711542176.5059</v>
      </c>
      <c r="L5381" s="444">
        <f t="shared" ca="1" si="207"/>
        <v>-1451473481664538</v>
      </c>
      <c r="M5381" s="460">
        <f t="shared" si="209"/>
        <v>0.05</v>
      </c>
      <c r="N5381" s="464">
        <f t="shared" si="210"/>
        <v>214825</v>
      </c>
    </row>
    <row r="5382" spans="7:14" ht="11.25" customHeight="1" x14ac:dyDescent="0.3">
      <c r="G5382" s="459"/>
      <c r="H5382" s="459">
        <v>5375</v>
      </c>
      <c r="I5382" s="444">
        <f t="shared" ca="1" si="208"/>
        <v>-1451473481664538</v>
      </c>
      <c r="J5382" s="444">
        <f t="array" ref="J5382">IFERROR(INDEX('Retirement Calculator'!J:J,MATCH('Isaac 401k'!N5382,'Retirement Calculator'!A:A,0),0),0)</f>
        <v>0</v>
      </c>
      <c r="K5382" s="444">
        <f t="shared" ca="1" si="206"/>
        <v>-6047806173602.2412</v>
      </c>
      <c r="L5382" s="444">
        <f t="shared" ca="1" si="207"/>
        <v>-1457521287838140.3</v>
      </c>
      <c r="M5382" s="460">
        <f t="shared" si="209"/>
        <v>0.05</v>
      </c>
      <c r="N5382" s="464">
        <f t="shared" si="210"/>
        <v>214856</v>
      </c>
    </row>
    <row r="5383" spans="7:14" ht="11.25" customHeight="1" x14ac:dyDescent="0.3">
      <c r="G5383" s="459"/>
      <c r="H5383" s="459">
        <v>5376</v>
      </c>
      <c r="I5383" s="444">
        <f t="shared" ca="1" si="208"/>
        <v>-1457521287838140.3</v>
      </c>
      <c r="J5383" s="444">
        <f t="array" ref="J5383">IFERROR(INDEX('Retirement Calculator'!J:J,MATCH('Isaac 401k'!N5383,'Retirement Calculator'!A:A,0),0),0)</f>
        <v>0</v>
      </c>
      <c r="K5383" s="444">
        <f t="shared" ca="1" si="206"/>
        <v>-6073005365992.251</v>
      </c>
      <c r="L5383" s="444">
        <f t="shared" ca="1" si="207"/>
        <v>-1463594293204132.5</v>
      </c>
      <c r="M5383" s="460">
        <f t="shared" si="209"/>
        <v>0.05</v>
      </c>
      <c r="N5383" s="464">
        <f t="shared" si="210"/>
        <v>214886</v>
      </c>
    </row>
    <row r="5384" spans="7:14" ht="11.25" customHeight="1" x14ac:dyDescent="0.3">
      <c r="G5384" s="459"/>
      <c r="H5384" s="459">
        <v>5377</v>
      </c>
      <c r="I5384" s="444">
        <f t="shared" ca="1" si="208"/>
        <v>-1463594293204132.5</v>
      </c>
      <c r="J5384" s="444">
        <f t="array" ref="J5384">IFERROR(INDEX('Retirement Calculator'!J:J,MATCH('Isaac 401k'!N5384,'Retirement Calculator'!A:A,0),0),0)</f>
        <v>0</v>
      </c>
      <c r="K5384" s="444">
        <f t="shared" ca="1" si="206"/>
        <v>-6098309555017.2188</v>
      </c>
      <c r="L5384" s="444">
        <f t="shared" ca="1" si="207"/>
        <v>-1469692602759149.8</v>
      </c>
      <c r="M5384" s="460">
        <f t="shared" si="209"/>
        <v>0.05</v>
      </c>
      <c r="N5384" s="464">
        <f t="shared" si="210"/>
        <v>214917</v>
      </c>
    </row>
    <row r="5385" spans="7:14" ht="11.25" customHeight="1" x14ac:dyDescent="0.3">
      <c r="G5385" s="459"/>
      <c r="H5385" s="459">
        <v>5378</v>
      </c>
      <c r="I5385" s="444">
        <f t="shared" ca="1" si="208"/>
        <v>-1469692602759149.8</v>
      </c>
      <c r="J5385" s="444">
        <f t="array" ref="J5385">IFERROR(INDEX('Retirement Calculator'!J:J,MATCH('Isaac 401k'!N5385,'Retirement Calculator'!A:A,0),0),0)</f>
        <v>0</v>
      </c>
      <c r="K5385" s="444">
        <f t="shared" ca="1" si="206"/>
        <v>-6123719178163.124</v>
      </c>
      <c r="L5385" s="444">
        <f t="shared" ca="1" si="207"/>
        <v>-1475816321937312.8</v>
      </c>
      <c r="M5385" s="460">
        <f t="shared" si="209"/>
        <v>0.05</v>
      </c>
      <c r="N5385" s="464">
        <f t="shared" si="210"/>
        <v>214947</v>
      </c>
    </row>
    <row r="5386" spans="7:14" ht="11.25" customHeight="1" x14ac:dyDescent="0.3">
      <c r="G5386" s="459"/>
      <c r="H5386" s="459">
        <v>5379</v>
      </c>
      <c r="I5386" s="444">
        <f t="shared" ca="1" si="208"/>
        <v>-1475816321937312.8</v>
      </c>
      <c r="J5386" s="444">
        <f t="array" ref="J5386">IFERROR(INDEX('Retirement Calculator'!J:J,MATCH('Isaac 401k'!N5386,'Retirement Calculator'!A:A,0),0),0)</f>
        <v>0</v>
      </c>
      <c r="K5386" s="444">
        <f t="shared" ca="1" si="206"/>
        <v>-6149234674738.8027</v>
      </c>
      <c r="L5386" s="444">
        <f t="shared" ca="1" si="207"/>
        <v>-1481965556612051.5</v>
      </c>
      <c r="M5386" s="460">
        <f t="shared" si="209"/>
        <v>0.05</v>
      </c>
      <c r="N5386" s="464">
        <f t="shared" si="210"/>
        <v>214978</v>
      </c>
    </row>
    <row r="5387" spans="7:14" ht="11.25" customHeight="1" x14ac:dyDescent="0.3">
      <c r="G5387" s="459"/>
      <c r="H5387" s="459">
        <v>5380</v>
      </c>
      <c r="I5387" s="444">
        <f t="shared" ca="1" si="208"/>
        <v>-1481965556612051.5</v>
      </c>
      <c r="J5387" s="444">
        <f t="array" ref="J5387">IFERROR(INDEX('Retirement Calculator'!J:J,MATCH('Isaac 401k'!N5387,'Retirement Calculator'!A:A,0),0),0)</f>
        <v>0</v>
      </c>
      <c r="K5387" s="444">
        <f t="shared" ca="1" si="206"/>
        <v>-6174856485883.5479</v>
      </c>
      <c r="L5387" s="444">
        <f t="shared" ca="1" si="207"/>
        <v>-1488140413097935</v>
      </c>
      <c r="M5387" s="460">
        <f t="shared" si="209"/>
        <v>0.05</v>
      </c>
      <c r="N5387" s="464">
        <f t="shared" si="210"/>
        <v>215009</v>
      </c>
    </row>
    <row r="5388" spans="7:14" ht="11.25" customHeight="1" x14ac:dyDescent="0.3">
      <c r="G5388" s="459"/>
      <c r="H5388" s="459">
        <v>5381</v>
      </c>
      <c r="I5388" s="444">
        <f t="shared" ca="1" si="208"/>
        <v>-1488140413097935</v>
      </c>
      <c r="J5388" s="444">
        <f t="array" ref="J5388">IFERROR(INDEX('Retirement Calculator'!J:J,MATCH('Isaac 401k'!N5388,'Retirement Calculator'!A:A,0),0),0)</f>
        <v>0</v>
      </c>
      <c r="K5388" s="444">
        <f t="shared" ca="1" si="206"/>
        <v>-6200585054574.7295</v>
      </c>
      <c r="L5388" s="444">
        <f t="shared" ca="1" si="207"/>
        <v>-1494340998152509.8</v>
      </c>
      <c r="M5388" s="460">
        <f t="shared" si="209"/>
        <v>0.05</v>
      </c>
      <c r="N5388" s="464">
        <f t="shared" si="210"/>
        <v>215039</v>
      </c>
    </row>
    <row r="5389" spans="7:14" ht="11.25" customHeight="1" x14ac:dyDescent="0.3">
      <c r="G5389" s="459"/>
      <c r="H5389" s="459">
        <v>5382</v>
      </c>
      <c r="I5389" s="444">
        <f t="shared" ca="1" si="208"/>
        <v>-1494340998152509.8</v>
      </c>
      <c r="J5389" s="444">
        <f t="array" ref="J5389">IFERROR(INDEX('Retirement Calculator'!J:J,MATCH('Isaac 401k'!N5389,'Retirement Calculator'!A:A,0),0),0)</f>
        <v>0</v>
      </c>
      <c r="K5389" s="444">
        <f t="shared" ca="1" si="206"/>
        <v>-6226420825635.457</v>
      </c>
      <c r="L5389" s="444">
        <f t="shared" ca="1" si="207"/>
        <v>-1500567418978145.3</v>
      </c>
      <c r="M5389" s="460">
        <f t="shared" si="209"/>
        <v>0.05</v>
      </c>
      <c r="N5389" s="464">
        <f t="shared" si="210"/>
        <v>215070</v>
      </c>
    </row>
    <row r="5390" spans="7:14" ht="11.25" customHeight="1" x14ac:dyDescent="0.3">
      <c r="G5390" s="459"/>
      <c r="H5390" s="459">
        <v>5383</v>
      </c>
      <c r="I5390" s="444">
        <f t="shared" ca="1" si="208"/>
        <v>-1500567418978145.3</v>
      </c>
      <c r="J5390" s="444">
        <f t="array" ref="J5390">IFERROR(INDEX('Retirement Calculator'!J:J,MATCH('Isaac 401k'!N5390,'Retirement Calculator'!A:A,0),0),0)</f>
        <v>0</v>
      </c>
      <c r="K5390" s="444">
        <f t="shared" ca="1" si="206"/>
        <v>-6252364245742.2715</v>
      </c>
      <c r="L5390" s="444">
        <f t="shared" ca="1" si="207"/>
        <v>-1506819783223887.5</v>
      </c>
      <c r="M5390" s="460">
        <f t="shared" si="209"/>
        <v>0.05</v>
      </c>
      <c r="N5390" s="464">
        <f t="shared" si="210"/>
        <v>215100</v>
      </c>
    </row>
    <row r="5391" spans="7:14" ht="11.25" customHeight="1" x14ac:dyDescent="0.3">
      <c r="G5391" s="459"/>
      <c r="H5391" s="459">
        <v>5384</v>
      </c>
      <c r="I5391" s="444">
        <f t="shared" ca="1" si="208"/>
        <v>-1506819783223887.5</v>
      </c>
      <c r="J5391" s="444">
        <f t="array" ref="J5391">IFERROR(INDEX('Retirement Calculator'!J:J,MATCH('Isaac 401k'!N5391,'Retirement Calculator'!A:A,0),0),0)</f>
        <v>0</v>
      </c>
      <c r="K5391" s="444">
        <f t="shared" ca="1" si="206"/>
        <v>-6278415763432.8643</v>
      </c>
      <c r="L5391" s="444">
        <f t="shared" ca="1" si="207"/>
        <v>-1513098198987320.3</v>
      </c>
      <c r="M5391" s="460">
        <f t="shared" si="209"/>
        <v>0.05</v>
      </c>
      <c r="N5391" s="464">
        <f t="shared" si="210"/>
        <v>215131</v>
      </c>
    </row>
    <row r="5392" spans="7:14" ht="11.25" customHeight="1" x14ac:dyDescent="0.3">
      <c r="G5392" s="459"/>
      <c r="H5392" s="459">
        <v>5385</v>
      </c>
      <c r="I5392" s="444">
        <f t="shared" ca="1" si="208"/>
        <v>-1513098198987320.3</v>
      </c>
      <c r="J5392" s="444">
        <f t="array" ref="J5392">IFERROR(INDEX('Retirement Calculator'!J:J,MATCH('Isaac 401k'!N5392,'Retirement Calculator'!A:A,0),0),0)</f>
        <v>0</v>
      </c>
      <c r="K5392" s="444">
        <f t="shared" ca="1" si="206"/>
        <v>-6304575829113.834</v>
      </c>
      <c r="L5392" s="444">
        <f t="shared" ca="1" si="207"/>
        <v>-1519402774816434</v>
      </c>
      <c r="M5392" s="460">
        <f t="shared" si="209"/>
        <v>0.05</v>
      </c>
      <c r="N5392" s="464">
        <f t="shared" si="210"/>
        <v>215162</v>
      </c>
    </row>
    <row r="5393" spans="7:14" ht="11.25" customHeight="1" x14ac:dyDescent="0.3">
      <c r="G5393" s="459"/>
      <c r="H5393" s="459">
        <v>5386</v>
      </c>
      <c r="I5393" s="444">
        <f t="shared" ca="1" si="208"/>
        <v>-1519402774816434</v>
      </c>
      <c r="J5393" s="444">
        <f t="array" ref="J5393">IFERROR(INDEX('Retirement Calculator'!J:J,MATCH('Isaac 401k'!N5393,'Retirement Calculator'!A:A,0),0),0)</f>
        <v>0</v>
      </c>
      <c r="K5393" s="444">
        <f t="shared" ca="1" si="206"/>
        <v>-6330844895068.4746</v>
      </c>
      <c r="L5393" s="444">
        <f t="shared" ca="1" si="207"/>
        <v>-1525733619711502.5</v>
      </c>
      <c r="M5393" s="460">
        <f t="shared" si="209"/>
        <v>0.05</v>
      </c>
      <c r="N5393" s="464">
        <f t="shared" si="210"/>
        <v>215190</v>
      </c>
    </row>
    <row r="5394" spans="7:14" ht="11.25" customHeight="1" x14ac:dyDescent="0.3">
      <c r="G5394" s="459"/>
      <c r="H5394" s="459">
        <v>5387</v>
      </c>
      <c r="I5394" s="444">
        <f t="shared" ca="1" si="208"/>
        <v>-1525733619711502.5</v>
      </c>
      <c r="J5394" s="444">
        <f t="array" ref="J5394">IFERROR(INDEX('Retirement Calculator'!J:J,MATCH('Isaac 401k'!N5394,'Retirement Calculator'!A:A,0),0),0)</f>
        <v>0</v>
      </c>
      <c r="K5394" s="444">
        <f t="shared" ca="1" si="206"/>
        <v>-6357223415464.5938</v>
      </c>
      <c r="L5394" s="444">
        <f t="shared" ca="1" si="207"/>
        <v>-1532090843126967</v>
      </c>
      <c r="M5394" s="460">
        <f t="shared" si="209"/>
        <v>0.05</v>
      </c>
      <c r="N5394" s="464">
        <f t="shared" si="210"/>
        <v>215221</v>
      </c>
    </row>
    <row r="5395" spans="7:14" ht="11.25" customHeight="1" x14ac:dyDescent="0.3">
      <c r="G5395" s="459"/>
      <c r="H5395" s="459">
        <v>5388</v>
      </c>
      <c r="I5395" s="444">
        <f t="shared" ca="1" si="208"/>
        <v>-1532090843126967</v>
      </c>
      <c r="J5395" s="444">
        <f t="array" ref="J5395">IFERROR(INDEX('Retirement Calculator'!J:J,MATCH('Isaac 401k'!N5395,'Retirement Calculator'!A:A,0),0),0)</f>
        <v>0</v>
      </c>
      <c r="K5395" s="444">
        <f t="shared" ca="1" si="206"/>
        <v>-6383711846362.3623</v>
      </c>
      <c r="L5395" s="444">
        <f t="shared" ca="1" si="207"/>
        <v>-1538474554973329.3</v>
      </c>
      <c r="M5395" s="460">
        <f t="shared" si="209"/>
        <v>0.05</v>
      </c>
      <c r="N5395" s="464">
        <f t="shared" si="210"/>
        <v>215251</v>
      </c>
    </row>
    <row r="5396" spans="7:14" ht="11.25" customHeight="1" x14ac:dyDescent="0.3">
      <c r="G5396" s="459"/>
      <c r="H5396" s="459">
        <v>5389</v>
      </c>
      <c r="I5396" s="444">
        <f t="shared" ca="1" si="208"/>
        <v>-1538474554973329.3</v>
      </c>
      <c r="J5396" s="444">
        <f t="array" ref="J5396">IFERROR(INDEX('Retirement Calculator'!J:J,MATCH('Isaac 401k'!N5396,'Retirement Calculator'!A:A,0),0),0)</f>
        <v>0</v>
      </c>
      <c r="K5396" s="444">
        <f t="shared" ca="1" si="206"/>
        <v>-6410310645722.2051</v>
      </c>
      <c r="L5396" s="444">
        <f t="shared" ca="1" si="207"/>
        <v>-1544884865619051.5</v>
      </c>
      <c r="M5396" s="460">
        <f t="shared" si="209"/>
        <v>0.05</v>
      </c>
      <c r="N5396" s="464">
        <f t="shared" si="210"/>
        <v>215282</v>
      </c>
    </row>
    <row r="5397" spans="7:14" ht="11.25" customHeight="1" x14ac:dyDescent="0.3">
      <c r="G5397" s="459"/>
      <c r="H5397" s="459">
        <v>5390</v>
      </c>
      <c r="I5397" s="444">
        <f t="shared" ca="1" si="208"/>
        <v>-1544884865619051.5</v>
      </c>
      <c r="J5397" s="444">
        <f t="array" ref="J5397">IFERROR(INDEX('Retirement Calculator'!J:J,MATCH('Isaac 401k'!N5397,'Retirement Calculator'!A:A,0),0),0)</f>
        <v>0</v>
      </c>
      <c r="K5397" s="444">
        <f t="shared" ca="1" si="206"/>
        <v>-6437020273412.7148</v>
      </c>
      <c r="L5397" s="444">
        <f t="shared" ca="1" si="207"/>
        <v>-1551321885892464.3</v>
      </c>
      <c r="M5397" s="460">
        <f t="shared" si="209"/>
        <v>0.05</v>
      </c>
      <c r="N5397" s="464">
        <f t="shared" si="210"/>
        <v>215312</v>
      </c>
    </row>
    <row r="5398" spans="7:14" ht="11.25" customHeight="1" x14ac:dyDescent="0.3">
      <c r="G5398" s="459"/>
      <c r="H5398" s="459">
        <v>5391</v>
      </c>
      <c r="I5398" s="444">
        <f t="shared" ca="1" si="208"/>
        <v>-1551321885892464.3</v>
      </c>
      <c r="J5398" s="444">
        <f t="array" ref="J5398">IFERROR(INDEX('Retirement Calculator'!J:J,MATCH('Isaac 401k'!N5398,'Retirement Calculator'!A:A,0),0),0)</f>
        <v>0</v>
      </c>
      <c r="K5398" s="444">
        <f t="shared" ca="1" si="206"/>
        <v>-6463841191218.6006</v>
      </c>
      <c r="L5398" s="444">
        <f t="shared" ca="1" si="207"/>
        <v>-1557785727083682.8</v>
      </c>
      <c r="M5398" s="460">
        <f t="shared" si="209"/>
        <v>0.05</v>
      </c>
      <c r="N5398" s="464">
        <f t="shared" si="210"/>
        <v>215343</v>
      </c>
    </row>
    <row r="5399" spans="7:14" ht="11.25" customHeight="1" x14ac:dyDescent="0.3">
      <c r="G5399" s="459"/>
      <c r="H5399" s="459">
        <v>5392</v>
      </c>
      <c r="I5399" s="444">
        <f t="shared" ca="1" si="208"/>
        <v>-1557785727083682.8</v>
      </c>
      <c r="J5399" s="444">
        <f t="array" ref="J5399">IFERROR(INDEX('Retirement Calculator'!J:J,MATCH('Isaac 401k'!N5399,'Retirement Calculator'!A:A,0),0),0)</f>
        <v>0</v>
      </c>
      <c r="K5399" s="444">
        <f t="shared" ca="1" si="206"/>
        <v>-6490773862848.6777</v>
      </c>
      <c r="L5399" s="444">
        <f t="shared" ca="1" si="207"/>
        <v>-1564276500946531.5</v>
      </c>
      <c r="M5399" s="460">
        <f t="shared" si="209"/>
        <v>0.05</v>
      </c>
      <c r="N5399" s="464">
        <f t="shared" si="210"/>
        <v>215374</v>
      </c>
    </row>
    <row r="5400" spans="7:14" ht="11.25" customHeight="1" x14ac:dyDescent="0.3">
      <c r="G5400" s="459"/>
      <c r="H5400" s="459">
        <v>5393</v>
      </c>
      <c r="I5400" s="444">
        <f t="shared" ca="1" si="208"/>
        <v>-1564276500946531.5</v>
      </c>
      <c r="J5400" s="444">
        <f t="array" ref="J5400">IFERROR(INDEX('Retirement Calculator'!J:J,MATCH('Isaac 401k'!N5400,'Retirement Calculator'!A:A,0),0),0)</f>
        <v>0</v>
      </c>
      <c r="K5400" s="444">
        <f t="shared" ca="1" si="206"/>
        <v>-6517818753943.8809</v>
      </c>
      <c r="L5400" s="444">
        <f t="shared" ca="1" si="207"/>
        <v>-1570794319700475.5</v>
      </c>
      <c r="M5400" s="460">
        <f t="shared" si="209"/>
        <v>0.05</v>
      </c>
      <c r="N5400" s="464">
        <f t="shared" si="210"/>
        <v>215404</v>
      </c>
    </row>
    <row r="5401" spans="7:14" ht="11.25" customHeight="1" x14ac:dyDescent="0.3">
      <c r="G5401" s="459"/>
      <c r="H5401" s="459">
        <v>5394</v>
      </c>
      <c r="I5401" s="444">
        <f t="shared" ca="1" si="208"/>
        <v>-1570794319700475.5</v>
      </c>
      <c r="J5401" s="444">
        <f t="array" ref="J5401">IFERROR(INDEX('Retirement Calculator'!J:J,MATCH('Isaac 401k'!N5401,'Retirement Calculator'!A:A,0),0),0)</f>
        <v>0</v>
      </c>
      <c r="K5401" s="444">
        <f t="shared" ca="1" si="206"/>
        <v>-6544976332085.3145</v>
      </c>
      <c r="L5401" s="444">
        <f t="shared" ca="1" si="207"/>
        <v>-1577339296032560.8</v>
      </c>
      <c r="M5401" s="460">
        <f t="shared" si="209"/>
        <v>0.05</v>
      </c>
      <c r="N5401" s="464">
        <f t="shared" si="210"/>
        <v>215435</v>
      </c>
    </row>
    <row r="5402" spans="7:14" ht="11.25" customHeight="1" x14ac:dyDescent="0.3">
      <c r="G5402" s="459"/>
      <c r="H5402" s="459">
        <v>5395</v>
      </c>
      <c r="I5402" s="444">
        <f t="shared" ca="1" si="208"/>
        <v>-1577339296032560.8</v>
      </c>
      <c r="J5402" s="444">
        <f t="array" ref="J5402">IFERROR(INDEX('Retirement Calculator'!J:J,MATCH('Isaac 401k'!N5402,'Retirement Calculator'!A:A,0),0),0)</f>
        <v>0</v>
      </c>
      <c r="K5402" s="444">
        <f t="shared" ca="1" si="206"/>
        <v>-6572247066802.3359</v>
      </c>
      <c r="L5402" s="444">
        <f t="shared" ca="1" si="207"/>
        <v>-1583911543099363</v>
      </c>
      <c r="M5402" s="460">
        <f t="shared" si="209"/>
        <v>0.05</v>
      </c>
      <c r="N5402" s="464">
        <f t="shared" si="210"/>
        <v>215465</v>
      </c>
    </row>
    <row r="5403" spans="7:14" ht="11.25" customHeight="1" x14ac:dyDescent="0.3">
      <c r="G5403" s="459"/>
      <c r="H5403" s="459">
        <v>5396</v>
      </c>
      <c r="I5403" s="444">
        <f t="shared" ca="1" si="208"/>
        <v>-1583911543099363</v>
      </c>
      <c r="J5403" s="444">
        <f t="array" ref="J5403">IFERROR(INDEX('Retirement Calculator'!J:J,MATCH('Isaac 401k'!N5403,'Retirement Calculator'!A:A,0),0),0)</f>
        <v>0</v>
      </c>
      <c r="K5403" s="444">
        <f t="shared" ca="1" si="206"/>
        <v>-6599631429580.6787</v>
      </c>
      <c r="L5403" s="444">
        <f t="shared" ca="1" si="207"/>
        <v>-1590511174528943.8</v>
      </c>
      <c r="M5403" s="460">
        <f t="shared" si="209"/>
        <v>0.05</v>
      </c>
      <c r="N5403" s="464">
        <f t="shared" si="210"/>
        <v>215496</v>
      </c>
    </row>
    <row r="5404" spans="7:14" ht="11.25" customHeight="1" x14ac:dyDescent="0.3">
      <c r="G5404" s="459"/>
      <c r="H5404" s="459">
        <v>5397</v>
      </c>
      <c r="I5404" s="444">
        <f t="shared" ca="1" si="208"/>
        <v>-1590511174528943.8</v>
      </c>
      <c r="J5404" s="444">
        <f t="array" ref="J5404">IFERROR(INDEX('Retirement Calculator'!J:J,MATCH('Isaac 401k'!N5404,'Retirement Calculator'!A:A,0),0),0)</f>
        <v>0</v>
      </c>
      <c r="K5404" s="444">
        <f t="shared" ca="1" si="206"/>
        <v>-6627129893870.5986</v>
      </c>
      <c r="L5404" s="444">
        <f t="shared" ca="1" si="207"/>
        <v>-1597138304422814.3</v>
      </c>
      <c r="M5404" s="460">
        <f t="shared" si="209"/>
        <v>0.05</v>
      </c>
      <c r="N5404" s="464">
        <f t="shared" si="210"/>
        <v>215527</v>
      </c>
    </row>
    <row r="5405" spans="7:14" ht="11.25" customHeight="1" x14ac:dyDescent="0.3">
      <c r="G5405" s="459"/>
      <c r="H5405" s="459">
        <v>5398</v>
      </c>
      <c r="I5405" s="444">
        <f t="shared" ca="1" si="208"/>
        <v>-1597138304422814.3</v>
      </c>
      <c r="J5405" s="444">
        <f t="array" ref="J5405">IFERROR(INDEX('Retirement Calculator'!J:J,MATCH('Isaac 401k'!N5405,'Retirement Calculator'!A:A,0),0),0)</f>
        <v>0</v>
      </c>
      <c r="K5405" s="444">
        <f t="shared" ca="1" si="206"/>
        <v>-6654742935095.0596</v>
      </c>
      <c r="L5405" s="444">
        <f t="shared" ca="1" si="207"/>
        <v>-1603793047357909.3</v>
      </c>
      <c r="M5405" s="460">
        <f t="shared" si="209"/>
        <v>0.05</v>
      </c>
      <c r="N5405" s="464">
        <f t="shared" si="210"/>
        <v>215555</v>
      </c>
    </row>
    <row r="5406" spans="7:14" ht="11.25" customHeight="1" x14ac:dyDescent="0.3">
      <c r="G5406" s="459"/>
      <c r="H5406" s="459">
        <v>5399</v>
      </c>
      <c r="I5406" s="444">
        <f t="shared" ca="1" si="208"/>
        <v>-1603793047357909.3</v>
      </c>
      <c r="J5406" s="444">
        <f t="array" ref="J5406">IFERROR(INDEX('Retirement Calculator'!J:J,MATCH('Isaac 401k'!N5406,'Retirement Calculator'!A:A,0),0),0)</f>
        <v>0</v>
      </c>
      <c r="K5406" s="444">
        <f t="shared" ca="1" si="206"/>
        <v>-6682471030657.9551</v>
      </c>
      <c r="L5406" s="444">
        <f t="shared" ca="1" si="207"/>
        <v>-1610475518388567.3</v>
      </c>
      <c r="M5406" s="460">
        <f t="shared" si="209"/>
        <v>0.05</v>
      </c>
      <c r="N5406" s="464">
        <f t="shared" si="210"/>
        <v>215586</v>
      </c>
    </row>
    <row r="5407" spans="7:14" ht="11.25" customHeight="1" x14ac:dyDescent="0.3">
      <c r="G5407" s="459"/>
      <c r="H5407" s="459">
        <v>5400</v>
      </c>
      <c r="I5407" s="444">
        <f t="shared" ca="1" si="208"/>
        <v>-1610475518388567.3</v>
      </c>
      <c r="J5407" s="444">
        <f t="array" ref="J5407">IFERROR(INDEX('Retirement Calculator'!J:J,MATCH('Isaac 401k'!N5407,'Retirement Calculator'!A:A,0),0),0)</f>
        <v>0</v>
      </c>
      <c r="K5407" s="444">
        <f t="shared" ca="1" si="206"/>
        <v>-6710314659952.3633</v>
      </c>
      <c r="L5407" s="444">
        <f t="shared" ca="1" si="207"/>
        <v>-1617185833048519.5</v>
      </c>
      <c r="M5407" s="460">
        <f t="shared" si="209"/>
        <v>0.05</v>
      </c>
      <c r="N5407" s="464">
        <f t="shared" si="210"/>
        <v>215616</v>
      </c>
    </row>
    <row r="5408" spans="7:14" ht="11.25" customHeight="1" x14ac:dyDescent="0.3">
      <c r="G5408" s="459"/>
      <c r="H5408" s="459">
        <v>5401</v>
      </c>
      <c r="I5408" s="444">
        <f t="shared" ca="1" si="208"/>
        <v>-1617185833048519.5</v>
      </c>
      <c r="J5408" s="444">
        <f t="array" ref="J5408">IFERROR(INDEX('Retirement Calculator'!J:J,MATCH('Isaac 401k'!N5408,'Retirement Calculator'!A:A,0),0),0)</f>
        <v>0</v>
      </c>
      <c r="K5408" s="444">
        <f t="shared" ca="1" si="206"/>
        <v>-6738274304368.8311</v>
      </c>
      <c r="L5408" s="444">
        <f t="shared" ca="1" si="207"/>
        <v>-1623924107352888.3</v>
      </c>
      <c r="M5408" s="460">
        <f t="shared" si="209"/>
        <v>0.05</v>
      </c>
      <c r="N5408" s="464">
        <f t="shared" si="210"/>
        <v>215647</v>
      </c>
    </row>
    <row r="5409" spans="7:14" ht="11.25" customHeight="1" x14ac:dyDescent="0.3">
      <c r="G5409" s="459"/>
      <c r="H5409" s="459">
        <v>5402</v>
      </c>
      <c r="I5409" s="444">
        <f t="shared" ca="1" si="208"/>
        <v>-1623924107352888.3</v>
      </c>
      <c r="J5409" s="444">
        <f t="array" ref="J5409">IFERROR(INDEX('Retirement Calculator'!J:J,MATCH('Isaac 401k'!N5409,'Retirement Calculator'!A:A,0),0),0)</f>
        <v>0</v>
      </c>
      <c r="K5409" s="444">
        <f t="shared" ca="1" si="206"/>
        <v>-6766350447303.7012</v>
      </c>
      <c r="L5409" s="444">
        <f t="shared" ca="1" si="207"/>
        <v>-1630690457800192</v>
      </c>
      <c r="M5409" s="460">
        <f t="shared" si="209"/>
        <v>0.05</v>
      </c>
      <c r="N5409" s="464">
        <f t="shared" si="210"/>
        <v>215677</v>
      </c>
    </row>
    <row r="5410" spans="7:14" ht="11.25" customHeight="1" x14ac:dyDescent="0.3">
      <c r="G5410" s="459"/>
      <c r="H5410" s="459">
        <v>5403</v>
      </c>
      <c r="I5410" s="444">
        <f t="shared" ca="1" si="208"/>
        <v>-1630690457800192</v>
      </c>
      <c r="J5410" s="444">
        <f t="array" ref="J5410">IFERROR(INDEX('Retirement Calculator'!J:J,MATCH('Isaac 401k'!N5410,'Retirement Calculator'!A:A,0),0),0)</f>
        <v>0</v>
      </c>
      <c r="K5410" s="444">
        <f t="shared" ca="1" si="206"/>
        <v>-6794543574167.4668</v>
      </c>
      <c r="L5410" s="444">
        <f t="shared" ca="1" si="207"/>
        <v>-1637485001374359.5</v>
      </c>
      <c r="M5410" s="460">
        <f t="shared" si="209"/>
        <v>0.05</v>
      </c>
      <c r="N5410" s="464">
        <f t="shared" si="210"/>
        <v>215708</v>
      </c>
    </row>
    <row r="5411" spans="7:14" ht="11.25" customHeight="1" x14ac:dyDescent="0.3">
      <c r="G5411" s="459"/>
      <c r="H5411" s="459">
        <v>5404</v>
      </c>
      <c r="I5411" s="444">
        <f t="shared" ca="1" si="208"/>
        <v>-1637485001374359.5</v>
      </c>
      <c r="J5411" s="444">
        <f t="array" ref="J5411">IFERROR(INDEX('Retirement Calculator'!J:J,MATCH('Isaac 401k'!N5411,'Retirement Calculator'!A:A,0),0),0)</f>
        <v>0</v>
      </c>
      <c r="K5411" s="444">
        <f t="shared" ca="1" si="206"/>
        <v>-6822854172393.1641</v>
      </c>
      <c r="L5411" s="444">
        <f t="shared" ca="1" si="207"/>
        <v>-1644307855546752.8</v>
      </c>
      <c r="M5411" s="460">
        <f t="shared" si="209"/>
        <v>0.05</v>
      </c>
      <c r="N5411" s="464">
        <f t="shared" si="210"/>
        <v>215739</v>
      </c>
    </row>
    <row r="5412" spans="7:14" ht="11.25" customHeight="1" x14ac:dyDescent="0.3">
      <c r="G5412" s="459"/>
      <c r="H5412" s="459">
        <v>5405</v>
      </c>
      <c r="I5412" s="444">
        <f t="shared" ca="1" si="208"/>
        <v>-1644307855546752.8</v>
      </c>
      <c r="J5412" s="444">
        <f t="array" ref="J5412">IFERROR(INDEX('Retirement Calculator'!J:J,MATCH('Isaac 401k'!N5412,'Retirement Calculator'!A:A,0),0),0)</f>
        <v>0</v>
      </c>
      <c r="K5412" s="444">
        <f t="shared" ca="1" si="206"/>
        <v>-6851282731444.8027</v>
      </c>
      <c r="L5412" s="444">
        <f t="shared" ca="1" si="207"/>
        <v>-1651159138278197.5</v>
      </c>
      <c r="M5412" s="460">
        <f t="shared" si="209"/>
        <v>0.05</v>
      </c>
      <c r="N5412" s="464">
        <f t="shared" si="210"/>
        <v>215769</v>
      </c>
    </row>
    <row r="5413" spans="7:14" ht="11.25" customHeight="1" x14ac:dyDescent="0.3">
      <c r="G5413" s="459"/>
      <c r="H5413" s="459">
        <v>5406</v>
      </c>
      <c r="I5413" s="444">
        <f t="shared" ca="1" si="208"/>
        <v>-1651159138278197.5</v>
      </c>
      <c r="J5413" s="444">
        <f t="array" ref="J5413">IFERROR(INDEX('Retirement Calculator'!J:J,MATCH('Isaac 401k'!N5413,'Retirement Calculator'!A:A,0),0),0)</f>
        <v>0</v>
      </c>
      <c r="K5413" s="444">
        <f t="shared" ca="1" si="206"/>
        <v>-6879829742825.8232</v>
      </c>
      <c r="L5413" s="444">
        <f t="shared" ca="1" si="207"/>
        <v>-1658038968021023.3</v>
      </c>
      <c r="M5413" s="460">
        <f t="shared" si="209"/>
        <v>0.05</v>
      </c>
      <c r="N5413" s="464">
        <f t="shared" si="210"/>
        <v>215800</v>
      </c>
    </row>
    <row r="5414" spans="7:14" ht="11.25" customHeight="1" x14ac:dyDescent="0.3">
      <c r="G5414" s="459"/>
      <c r="H5414" s="459">
        <v>5407</v>
      </c>
      <c r="I5414" s="444">
        <f t="shared" ca="1" si="208"/>
        <v>-1658038968021023.3</v>
      </c>
      <c r="J5414" s="444">
        <f t="array" ref="J5414">IFERROR(INDEX('Retirement Calculator'!J:J,MATCH('Isaac 401k'!N5414,'Retirement Calculator'!A:A,0),0),0)</f>
        <v>0</v>
      </c>
      <c r="K5414" s="444">
        <f t="shared" ca="1" si="206"/>
        <v>-6908495700087.5967</v>
      </c>
      <c r="L5414" s="444">
        <f t="shared" ca="1" si="207"/>
        <v>-1664947463721110.8</v>
      </c>
      <c r="M5414" s="460">
        <f t="shared" si="209"/>
        <v>0.05</v>
      </c>
      <c r="N5414" s="464">
        <f t="shared" si="210"/>
        <v>215830</v>
      </c>
    </row>
    <row r="5415" spans="7:14" ht="11.25" customHeight="1" x14ac:dyDescent="0.3">
      <c r="G5415" s="459"/>
      <c r="H5415" s="459">
        <v>5408</v>
      </c>
      <c r="I5415" s="444">
        <f t="shared" ca="1" si="208"/>
        <v>-1664947463721110.8</v>
      </c>
      <c r="J5415" s="444">
        <f t="array" ref="J5415">IFERROR(INDEX('Retirement Calculator'!J:J,MATCH('Isaac 401k'!N5415,'Retirement Calculator'!A:A,0),0),0)</f>
        <v>0</v>
      </c>
      <c r="K5415" s="444">
        <f t="shared" ca="1" si="206"/>
        <v>-6937281098837.9609</v>
      </c>
      <c r="L5415" s="444">
        <f t="shared" ca="1" si="207"/>
        <v>-1671884744819948.8</v>
      </c>
      <c r="M5415" s="460">
        <f t="shared" si="209"/>
        <v>0.05</v>
      </c>
      <c r="N5415" s="464">
        <f t="shared" si="210"/>
        <v>215861</v>
      </c>
    </row>
    <row r="5416" spans="7:14" ht="11.25" customHeight="1" x14ac:dyDescent="0.3">
      <c r="G5416" s="459"/>
      <c r="H5416" s="459">
        <v>5409</v>
      </c>
      <c r="I5416" s="444">
        <f t="shared" ca="1" si="208"/>
        <v>-1671884744819948.8</v>
      </c>
      <c r="J5416" s="444">
        <f t="array" ref="J5416">IFERROR(INDEX('Retirement Calculator'!J:J,MATCH('Isaac 401k'!N5416,'Retirement Calculator'!A:A,0),0),0)</f>
        <v>0</v>
      </c>
      <c r="K5416" s="444">
        <f t="shared" ca="1" si="206"/>
        <v>-6966186436749.7861</v>
      </c>
      <c r="L5416" s="444">
        <f t="shared" ca="1" si="207"/>
        <v>-1678850931256698.5</v>
      </c>
      <c r="M5416" s="460">
        <f t="shared" si="209"/>
        <v>0.05</v>
      </c>
      <c r="N5416" s="464">
        <f t="shared" si="210"/>
        <v>215892</v>
      </c>
    </row>
    <row r="5417" spans="7:14" ht="11.25" customHeight="1" x14ac:dyDescent="0.3">
      <c r="G5417" s="459"/>
      <c r="H5417" s="459">
        <v>5410</v>
      </c>
      <c r="I5417" s="444">
        <f t="shared" ca="1" si="208"/>
        <v>-1678850931256698.5</v>
      </c>
      <c r="J5417" s="444">
        <f t="array" ref="J5417">IFERROR(INDEX('Retirement Calculator'!J:J,MATCH('Isaac 401k'!N5417,'Retirement Calculator'!A:A,0),0),0)</f>
        <v>0</v>
      </c>
      <c r="K5417" s="444">
        <f t="shared" ca="1" si="206"/>
        <v>-6995212213569.5771</v>
      </c>
      <c r="L5417" s="444">
        <f t="shared" ca="1" si="207"/>
        <v>-1685846143470268</v>
      </c>
      <c r="M5417" s="460">
        <f t="shared" si="209"/>
        <v>0.05</v>
      </c>
      <c r="N5417" s="464">
        <f t="shared" si="210"/>
        <v>215920</v>
      </c>
    </row>
    <row r="5418" spans="7:14" ht="11.25" customHeight="1" x14ac:dyDescent="0.3">
      <c r="G5418" s="459"/>
      <c r="H5418" s="459">
        <v>5411</v>
      </c>
      <c r="I5418" s="444">
        <f t="shared" ca="1" si="208"/>
        <v>-1685846143470268</v>
      </c>
      <c r="J5418" s="444">
        <f t="array" ref="J5418">IFERROR(INDEX('Retirement Calculator'!J:J,MATCH('Isaac 401k'!N5418,'Retirement Calculator'!A:A,0),0),0)</f>
        <v>0</v>
      </c>
      <c r="K5418" s="444">
        <f t="shared" ca="1" si="206"/>
        <v>-7024358931126.1162</v>
      </c>
      <c r="L5418" s="444">
        <f t="shared" ca="1" si="207"/>
        <v>-1692870502401394</v>
      </c>
      <c r="M5418" s="460">
        <f t="shared" si="209"/>
        <v>0.05</v>
      </c>
      <c r="N5418" s="464">
        <f t="shared" si="210"/>
        <v>215951</v>
      </c>
    </row>
    <row r="5419" spans="7:14" ht="11.25" customHeight="1" x14ac:dyDescent="0.3">
      <c r="G5419" s="459"/>
      <c r="H5419" s="459">
        <v>5412</v>
      </c>
      <c r="I5419" s="444">
        <f t="shared" ca="1" si="208"/>
        <v>-1692870502401394</v>
      </c>
      <c r="J5419" s="444">
        <f t="array" ref="J5419">IFERROR(INDEX('Retirement Calculator'!J:J,MATCH('Isaac 401k'!N5419,'Retirement Calculator'!A:A,0),0),0)</f>
        <v>0</v>
      </c>
      <c r="K5419" s="444">
        <f t="shared" ca="1" si="206"/>
        <v>-7053627093339.1416</v>
      </c>
      <c r="L5419" s="444">
        <f t="shared" ca="1" si="207"/>
        <v>-1699924129494733.3</v>
      </c>
      <c r="M5419" s="460">
        <f t="shared" si="209"/>
        <v>0.05</v>
      </c>
      <c r="N5419" s="464">
        <f t="shared" si="210"/>
        <v>215981</v>
      </c>
    </row>
    <row r="5420" spans="7:14" ht="11.25" customHeight="1" x14ac:dyDescent="0.3">
      <c r="G5420" s="459"/>
      <c r="H5420" s="459">
        <v>5413</v>
      </c>
      <c r="I5420" s="444">
        <f t="shared" ca="1" si="208"/>
        <v>-1699924129494733.3</v>
      </c>
      <c r="J5420" s="444">
        <f t="array" ref="J5420">IFERROR(INDEX('Retirement Calculator'!J:J,MATCH('Isaac 401k'!N5420,'Retirement Calculator'!A:A,0),0),0)</f>
        <v>0</v>
      </c>
      <c r="K5420" s="444">
        <f t="shared" ca="1" si="206"/>
        <v>-7083017206228.0547</v>
      </c>
      <c r="L5420" s="444">
        <f t="shared" ca="1" si="207"/>
        <v>-1707007146700961.3</v>
      </c>
      <c r="M5420" s="460">
        <f t="shared" si="209"/>
        <v>0.05</v>
      </c>
      <c r="N5420" s="464">
        <f t="shared" si="210"/>
        <v>216012</v>
      </c>
    </row>
    <row r="5421" spans="7:14" ht="11.25" customHeight="1" x14ac:dyDescent="0.3">
      <c r="G5421" s="459"/>
      <c r="H5421" s="459">
        <v>5414</v>
      </c>
      <c r="I5421" s="444">
        <f t="shared" ca="1" si="208"/>
        <v>-1707007146700961.3</v>
      </c>
      <c r="J5421" s="444">
        <f t="array" ref="J5421">IFERROR(INDEX('Retirement Calculator'!J:J,MATCH('Isaac 401k'!N5421,'Retirement Calculator'!A:A,0),0),0)</f>
        <v>0</v>
      </c>
      <c r="K5421" s="444">
        <f t="shared" ca="1" si="206"/>
        <v>-7112529777920.6719</v>
      </c>
      <c r="L5421" s="444">
        <f t="shared" ca="1" si="207"/>
        <v>-1714119676478882</v>
      </c>
      <c r="M5421" s="460">
        <f t="shared" si="209"/>
        <v>0.05</v>
      </c>
      <c r="N5421" s="464">
        <f t="shared" si="210"/>
        <v>216042</v>
      </c>
    </row>
    <row r="5422" spans="7:14" ht="11.25" customHeight="1" x14ac:dyDescent="0.3">
      <c r="G5422" s="459"/>
      <c r="H5422" s="459">
        <v>5415</v>
      </c>
      <c r="I5422" s="444">
        <f t="shared" ca="1" si="208"/>
        <v>-1714119676478882</v>
      </c>
      <c r="J5422" s="444">
        <f t="array" ref="J5422">IFERROR(INDEX('Retirement Calculator'!J:J,MATCH('Isaac 401k'!N5422,'Retirement Calculator'!A:A,0),0),0)</f>
        <v>0</v>
      </c>
      <c r="K5422" s="444">
        <f t="shared" ca="1" si="206"/>
        <v>-7142165318662.0078</v>
      </c>
      <c r="L5422" s="444">
        <f t="shared" ca="1" si="207"/>
        <v>-1721261841797544</v>
      </c>
      <c r="M5422" s="460">
        <f t="shared" si="209"/>
        <v>0.05</v>
      </c>
      <c r="N5422" s="464">
        <f t="shared" si="210"/>
        <v>216073</v>
      </c>
    </row>
    <row r="5423" spans="7:14" ht="11.25" customHeight="1" x14ac:dyDescent="0.3">
      <c r="G5423" s="459"/>
      <c r="H5423" s="459">
        <v>5416</v>
      </c>
      <c r="I5423" s="444">
        <f t="shared" ca="1" si="208"/>
        <v>-1721261841797544</v>
      </c>
      <c r="J5423" s="444">
        <f t="array" ref="J5423">IFERROR(INDEX('Retirement Calculator'!J:J,MATCH('Isaac 401k'!N5423,'Retirement Calculator'!A:A,0),0),0)</f>
        <v>0</v>
      </c>
      <c r="K5423" s="444">
        <f t="shared" ca="1" si="206"/>
        <v>-7171924340823.0996</v>
      </c>
      <c r="L5423" s="444">
        <f t="shared" ca="1" si="207"/>
        <v>-1728433766138367</v>
      </c>
      <c r="M5423" s="460">
        <f t="shared" si="209"/>
        <v>0.05</v>
      </c>
      <c r="N5423" s="464">
        <f t="shared" si="210"/>
        <v>216104</v>
      </c>
    </row>
    <row r="5424" spans="7:14" ht="11.25" customHeight="1" x14ac:dyDescent="0.3">
      <c r="G5424" s="459"/>
      <c r="H5424" s="459">
        <v>5417</v>
      </c>
      <c r="I5424" s="444">
        <f t="shared" ca="1" si="208"/>
        <v>-1728433766138367</v>
      </c>
      <c r="J5424" s="444">
        <f t="array" ref="J5424">IFERROR(INDEX('Retirement Calculator'!J:J,MATCH('Isaac 401k'!N5424,'Retirement Calculator'!A:A,0),0),0)</f>
        <v>0</v>
      </c>
      <c r="K5424" s="444">
        <f t="shared" ca="1" si="206"/>
        <v>-7201807358909.8623</v>
      </c>
      <c r="L5424" s="444">
        <f t="shared" ca="1" si="207"/>
        <v>-1735635573497276.8</v>
      </c>
      <c r="M5424" s="460">
        <f t="shared" si="209"/>
        <v>0.05</v>
      </c>
      <c r="N5424" s="464">
        <f t="shared" si="210"/>
        <v>216134</v>
      </c>
    </row>
    <row r="5425" spans="7:14" ht="11.25" customHeight="1" x14ac:dyDescent="0.3">
      <c r="G5425" s="459"/>
      <c r="H5425" s="459">
        <v>5418</v>
      </c>
      <c r="I5425" s="444">
        <f t="shared" ca="1" si="208"/>
        <v>-1735635573497276.8</v>
      </c>
      <c r="J5425" s="444">
        <f t="array" ref="J5425">IFERROR(INDEX('Retirement Calculator'!J:J,MATCH('Isaac 401k'!N5425,'Retirement Calculator'!A:A,0),0),0)</f>
        <v>0</v>
      </c>
      <c r="K5425" s="444">
        <f t="shared" ca="1" si="206"/>
        <v>-7231814889571.9863</v>
      </c>
      <c r="L5425" s="444">
        <f t="shared" ca="1" si="207"/>
        <v>-1742867388386848.8</v>
      </c>
      <c r="M5425" s="460">
        <f t="shared" si="209"/>
        <v>0.05</v>
      </c>
      <c r="N5425" s="464">
        <f t="shared" si="210"/>
        <v>216165</v>
      </c>
    </row>
    <row r="5426" spans="7:14" ht="11.25" customHeight="1" x14ac:dyDescent="0.3">
      <c r="G5426" s="459"/>
      <c r="H5426" s="459">
        <v>5419</v>
      </c>
      <c r="I5426" s="444">
        <f t="shared" ca="1" si="208"/>
        <v>-1742867388386848.8</v>
      </c>
      <c r="J5426" s="444">
        <f t="array" ref="J5426">IFERROR(INDEX('Retirement Calculator'!J:J,MATCH('Isaac 401k'!N5426,'Retirement Calculator'!A:A,0),0),0)</f>
        <v>0</v>
      </c>
      <c r="K5426" s="444">
        <f t="shared" ca="1" si="206"/>
        <v>-7261947451611.8701</v>
      </c>
      <c r="L5426" s="444">
        <f t="shared" ca="1" si="207"/>
        <v>-1750129335838460.5</v>
      </c>
      <c r="M5426" s="460">
        <f t="shared" si="209"/>
        <v>0.05</v>
      </c>
      <c r="N5426" s="464">
        <f t="shared" si="210"/>
        <v>216195</v>
      </c>
    </row>
    <row r="5427" spans="7:14" ht="11.25" customHeight="1" x14ac:dyDescent="0.3">
      <c r="G5427" s="459"/>
      <c r="H5427" s="459">
        <v>5420</v>
      </c>
      <c r="I5427" s="444">
        <f t="shared" ca="1" si="208"/>
        <v>-1750129335838460.5</v>
      </c>
      <c r="J5427" s="444">
        <f t="array" ref="J5427">IFERROR(INDEX('Retirement Calculator'!J:J,MATCH('Isaac 401k'!N5427,'Retirement Calculator'!A:A,0),0),0)</f>
        <v>0</v>
      </c>
      <c r="K5427" s="444">
        <f t="shared" ca="1" si="206"/>
        <v>-7292205565993.585</v>
      </c>
      <c r="L5427" s="444">
        <f t="shared" ca="1" si="207"/>
        <v>-1757421541404454</v>
      </c>
      <c r="M5427" s="460">
        <f t="shared" si="209"/>
        <v>0.05</v>
      </c>
      <c r="N5427" s="464">
        <f t="shared" si="210"/>
        <v>216226</v>
      </c>
    </row>
    <row r="5428" spans="7:14" ht="11.25" customHeight="1" x14ac:dyDescent="0.3">
      <c r="G5428" s="459"/>
      <c r="H5428" s="459">
        <v>5421</v>
      </c>
      <c r="I5428" s="444">
        <f t="shared" ca="1" si="208"/>
        <v>-1757421541404454</v>
      </c>
      <c r="J5428" s="444">
        <f t="array" ref="J5428">IFERROR(INDEX('Retirement Calculator'!J:J,MATCH('Isaac 401k'!N5428,'Retirement Calculator'!A:A,0),0),0)</f>
        <v>0</v>
      </c>
      <c r="K5428" s="444">
        <f t="shared" ca="1" si="206"/>
        <v>-7322589755851.8916</v>
      </c>
      <c r="L5428" s="444">
        <f t="shared" ca="1" si="207"/>
        <v>-1764744131160306</v>
      </c>
      <c r="M5428" s="460">
        <f t="shared" si="209"/>
        <v>0.05</v>
      </c>
      <c r="N5428" s="464">
        <f t="shared" si="210"/>
        <v>216257</v>
      </c>
    </row>
    <row r="5429" spans="7:14" ht="11.25" customHeight="1" x14ac:dyDescent="0.3">
      <c r="G5429" s="459"/>
      <c r="H5429" s="459">
        <v>5422</v>
      </c>
      <c r="I5429" s="444">
        <f t="shared" ca="1" si="208"/>
        <v>-1764744131160306</v>
      </c>
      <c r="J5429" s="444">
        <f t="array" ref="J5429">IFERROR(INDEX('Retirement Calculator'!J:J,MATCH('Isaac 401k'!N5429,'Retirement Calculator'!A:A,0),0),0)</f>
        <v>0</v>
      </c>
      <c r="K5429" s="444">
        <f t="shared" ca="1" si="206"/>
        <v>-7353100546501.2744</v>
      </c>
      <c r="L5429" s="444">
        <f t="shared" ca="1" si="207"/>
        <v>-1772097231706807.3</v>
      </c>
      <c r="M5429" s="460">
        <f t="shared" si="209"/>
        <v>0.05</v>
      </c>
      <c r="N5429" s="464">
        <f t="shared" si="210"/>
        <v>216286</v>
      </c>
    </row>
    <row r="5430" spans="7:14" ht="11.25" customHeight="1" x14ac:dyDescent="0.3">
      <c r="G5430" s="459"/>
      <c r="H5430" s="459">
        <v>5423</v>
      </c>
      <c r="I5430" s="444">
        <f t="shared" ca="1" si="208"/>
        <v>-1772097231706807.3</v>
      </c>
      <c r="J5430" s="444">
        <f t="array" ref="J5430">IFERROR(INDEX('Retirement Calculator'!J:J,MATCH('Isaac 401k'!N5430,'Retirement Calculator'!A:A,0),0),0)</f>
        <v>0</v>
      </c>
      <c r="K5430" s="444">
        <f t="shared" ca="1" si="206"/>
        <v>-7383738465445.0293</v>
      </c>
      <c r="L5430" s="444">
        <f t="shared" ca="1" si="207"/>
        <v>-1779480970172252.3</v>
      </c>
      <c r="M5430" s="460">
        <f t="shared" si="209"/>
        <v>0.05</v>
      </c>
      <c r="N5430" s="464">
        <f t="shared" si="210"/>
        <v>216317</v>
      </c>
    </row>
    <row r="5431" spans="7:14" ht="11.25" customHeight="1" x14ac:dyDescent="0.3">
      <c r="G5431" s="459"/>
      <c r="H5431" s="459">
        <v>5424</v>
      </c>
      <c r="I5431" s="444">
        <f t="shared" ca="1" si="208"/>
        <v>-1779480970172252.3</v>
      </c>
      <c r="J5431" s="444">
        <f t="array" ref="J5431">IFERROR(INDEX('Retirement Calculator'!J:J,MATCH('Isaac 401k'!N5431,'Retirement Calculator'!A:A,0),0),0)</f>
        <v>0</v>
      </c>
      <c r="K5431" s="444">
        <f t="shared" ca="1" si="206"/>
        <v>-7414504042384.3838</v>
      </c>
      <c r="L5431" s="444">
        <f t="shared" ca="1" si="207"/>
        <v>-1786895474214636.8</v>
      </c>
      <c r="M5431" s="460">
        <f t="shared" si="209"/>
        <v>0.05</v>
      </c>
      <c r="N5431" s="464">
        <f t="shared" si="210"/>
        <v>216347</v>
      </c>
    </row>
    <row r="5432" spans="7:14" ht="11.25" customHeight="1" x14ac:dyDescent="0.3">
      <c r="G5432" s="459"/>
      <c r="H5432" s="459">
        <v>5425</v>
      </c>
      <c r="I5432" s="444">
        <f t="shared" ca="1" si="208"/>
        <v>-1786895474214636.8</v>
      </c>
      <c r="J5432" s="444">
        <f t="array" ref="J5432">IFERROR(INDEX('Retirement Calculator'!J:J,MATCH('Isaac 401k'!N5432,'Retirement Calculator'!A:A,0),0),0)</f>
        <v>0</v>
      </c>
      <c r="K5432" s="444">
        <f t="shared" ca="1" si="206"/>
        <v>-7445397809227.6543</v>
      </c>
      <c r="L5432" s="444">
        <f t="shared" ca="1" si="207"/>
        <v>-1794340872023864.5</v>
      </c>
      <c r="M5432" s="460">
        <f t="shared" si="209"/>
        <v>0.05</v>
      </c>
      <c r="N5432" s="464">
        <f t="shared" si="210"/>
        <v>216378</v>
      </c>
    </row>
    <row r="5433" spans="7:14" ht="11.25" customHeight="1" x14ac:dyDescent="0.3">
      <c r="G5433" s="459"/>
      <c r="H5433" s="459">
        <v>5426</v>
      </c>
      <c r="I5433" s="444">
        <f t="shared" ca="1" si="208"/>
        <v>-1794340872023864.5</v>
      </c>
      <c r="J5433" s="444">
        <f t="array" ref="J5433">IFERROR(INDEX('Retirement Calculator'!J:J,MATCH('Isaac 401k'!N5433,'Retirement Calculator'!A:A,0),0),0)</f>
        <v>0</v>
      </c>
      <c r="K5433" s="444">
        <f t="shared" ca="1" si="206"/>
        <v>-7476420300099.4355</v>
      </c>
      <c r="L5433" s="444">
        <f t="shared" ca="1" si="207"/>
        <v>-1801817292323964</v>
      </c>
      <c r="M5433" s="460">
        <f t="shared" si="209"/>
        <v>0.05</v>
      </c>
      <c r="N5433" s="464">
        <f t="shared" si="210"/>
        <v>216408</v>
      </c>
    </row>
    <row r="5434" spans="7:14" ht="11.25" customHeight="1" x14ac:dyDescent="0.3">
      <c r="G5434" s="459"/>
      <c r="H5434" s="459">
        <v>5427</v>
      </c>
      <c r="I5434" s="444">
        <f t="shared" ca="1" si="208"/>
        <v>-1801817292323964</v>
      </c>
      <c r="J5434" s="444">
        <f t="array" ref="J5434">IFERROR(INDEX('Retirement Calculator'!J:J,MATCH('Isaac 401k'!N5434,'Retirement Calculator'!A:A,0),0),0)</f>
        <v>0</v>
      </c>
      <c r="K5434" s="444">
        <f t="shared" ca="1" si="206"/>
        <v>-7507572051349.8496</v>
      </c>
      <c r="L5434" s="444">
        <f t="shared" ca="1" si="207"/>
        <v>-1809324864375313.8</v>
      </c>
      <c r="M5434" s="460">
        <f t="shared" si="209"/>
        <v>0.05</v>
      </c>
      <c r="N5434" s="464">
        <f t="shared" si="210"/>
        <v>216439</v>
      </c>
    </row>
    <row r="5435" spans="7:14" ht="11.25" customHeight="1" x14ac:dyDescent="0.3">
      <c r="G5435" s="459"/>
      <c r="H5435" s="459">
        <v>5428</v>
      </c>
      <c r="I5435" s="444">
        <f t="shared" ca="1" si="208"/>
        <v>-1809324864375313.8</v>
      </c>
      <c r="J5435" s="444">
        <f t="array" ref="J5435">IFERROR(INDEX('Retirement Calculator'!J:J,MATCH('Isaac 401k'!N5435,'Retirement Calculator'!A:A,0),0),0)</f>
        <v>0</v>
      </c>
      <c r="K5435" s="444">
        <f t="shared" ca="1" si="206"/>
        <v>-7538853601563.8076</v>
      </c>
      <c r="L5435" s="444">
        <f t="shared" ca="1" si="207"/>
        <v>-1816863717976877.5</v>
      </c>
      <c r="M5435" s="460">
        <f t="shared" si="209"/>
        <v>0.05</v>
      </c>
      <c r="N5435" s="464">
        <f t="shared" si="210"/>
        <v>216470</v>
      </c>
    </row>
    <row r="5436" spans="7:14" ht="11.25" customHeight="1" x14ac:dyDescent="0.3">
      <c r="G5436" s="459"/>
      <c r="H5436" s="459">
        <v>5429</v>
      </c>
      <c r="I5436" s="444">
        <f t="shared" ca="1" si="208"/>
        <v>-1816863717976877.5</v>
      </c>
      <c r="J5436" s="444">
        <f t="array" ref="J5436">IFERROR(INDEX('Retirement Calculator'!J:J,MATCH('Isaac 401k'!N5436,'Retirement Calculator'!A:A,0),0),0)</f>
        <v>0</v>
      </c>
      <c r="K5436" s="444">
        <f t="shared" ca="1" si="206"/>
        <v>-7570265491570.3242</v>
      </c>
      <c r="L5436" s="444">
        <f t="shared" ca="1" si="207"/>
        <v>-1824433983468447.8</v>
      </c>
      <c r="M5436" s="460">
        <f t="shared" si="209"/>
        <v>0.05</v>
      </c>
      <c r="N5436" s="464">
        <f t="shared" si="210"/>
        <v>216500</v>
      </c>
    </row>
    <row r="5437" spans="7:14" ht="11.25" customHeight="1" x14ac:dyDescent="0.3">
      <c r="G5437" s="459"/>
      <c r="H5437" s="459">
        <v>5430</v>
      </c>
      <c r="I5437" s="444">
        <f t="shared" ca="1" si="208"/>
        <v>-1824433983468447.8</v>
      </c>
      <c r="J5437" s="444">
        <f t="array" ref="J5437">IFERROR(INDEX('Retirement Calculator'!J:J,MATCH('Isaac 401k'!N5437,'Retirement Calculator'!A:A,0),0),0)</f>
        <v>0</v>
      </c>
      <c r="K5437" s="444">
        <f t="shared" ca="1" si="206"/>
        <v>-7601808264451.8643</v>
      </c>
      <c r="L5437" s="444">
        <f t="shared" ca="1" si="207"/>
        <v>-1832035791732899.5</v>
      </c>
      <c r="M5437" s="460">
        <f t="shared" si="209"/>
        <v>0.05</v>
      </c>
      <c r="N5437" s="464">
        <f t="shared" si="210"/>
        <v>216531</v>
      </c>
    </row>
    <row r="5438" spans="7:14" ht="11.25" customHeight="1" x14ac:dyDescent="0.3">
      <c r="G5438" s="459"/>
      <c r="H5438" s="459">
        <v>5431</v>
      </c>
      <c r="I5438" s="444">
        <f t="shared" ca="1" si="208"/>
        <v>-1832035791732899.5</v>
      </c>
      <c r="J5438" s="444">
        <f t="array" ref="J5438">IFERROR(INDEX('Retirement Calculator'!J:J,MATCH('Isaac 401k'!N5438,'Retirement Calculator'!A:A,0),0),0)</f>
        <v>0</v>
      </c>
      <c r="K5438" s="444">
        <f t="shared" ca="1" si="206"/>
        <v>-7633482465553.749</v>
      </c>
      <c r="L5438" s="444">
        <f t="shared" ca="1" si="207"/>
        <v>-1839669274198453.3</v>
      </c>
      <c r="M5438" s="460">
        <f t="shared" si="209"/>
        <v>0.05</v>
      </c>
      <c r="N5438" s="464">
        <f t="shared" si="210"/>
        <v>216561</v>
      </c>
    </row>
    <row r="5439" spans="7:14" ht="11.25" customHeight="1" x14ac:dyDescent="0.3">
      <c r="G5439" s="459"/>
      <c r="H5439" s="459">
        <v>5432</v>
      </c>
      <c r="I5439" s="444">
        <f t="shared" ca="1" si="208"/>
        <v>-1839669274198453.3</v>
      </c>
      <c r="J5439" s="444">
        <f t="array" ref="J5439">IFERROR(INDEX('Retirement Calculator'!J:J,MATCH('Isaac 401k'!N5439,'Retirement Calculator'!A:A,0),0),0)</f>
        <v>0</v>
      </c>
      <c r="K5439" s="444">
        <f t="shared" ca="1" si="206"/>
        <v>-7665288642493.5547</v>
      </c>
      <c r="L5439" s="444">
        <f t="shared" ca="1" si="207"/>
        <v>-1847334562840946.8</v>
      </c>
      <c r="M5439" s="460">
        <f t="shared" si="209"/>
        <v>0.05</v>
      </c>
      <c r="N5439" s="464">
        <f t="shared" si="210"/>
        <v>216592</v>
      </c>
    </row>
    <row r="5440" spans="7:14" ht="11.25" customHeight="1" x14ac:dyDescent="0.3">
      <c r="G5440" s="459"/>
      <c r="H5440" s="459">
        <v>5433</v>
      </c>
      <c r="I5440" s="444">
        <f t="shared" ca="1" si="208"/>
        <v>-1847334562840946.8</v>
      </c>
      <c r="J5440" s="444">
        <f t="array" ref="J5440">IFERROR(INDEX('Retirement Calculator'!J:J,MATCH('Isaac 401k'!N5440,'Retirement Calculator'!A:A,0),0),0)</f>
        <v>0</v>
      </c>
      <c r="K5440" s="444">
        <f t="shared" ca="1" si="206"/>
        <v>-7697227345170.6113</v>
      </c>
      <c r="L5440" s="444">
        <f t="shared" ca="1" si="207"/>
        <v>-1855031790186117.3</v>
      </c>
      <c r="M5440" s="460">
        <f t="shared" si="209"/>
        <v>0.05</v>
      </c>
      <c r="N5440" s="464">
        <f t="shared" si="210"/>
        <v>216623</v>
      </c>
    </row>
    <row r="5441" spans="7:14" ht="11.25" customHeight="1" x14ac:dyDescent="0.3">
      <c r="G5441" s="459"/>
      <c r="H5441" s="459">
        <v>5434</v>
      </c>
      <c r="I5441" s="444">
        <f t="shared" ca="1" si="208"/>
        <v>-1855031790186117.3</v>
      </c>
      <c r="J5441" s="444">
        <f t="array" ref="J5441">IFERROR(INDEX('Retirement Calculator'!J:J,MATCH('Isaac 401k'!N5441,'Retirement Calculator'!A:A,0),0),0)</f>
        <v>0</v>
      </c>
      <c r="K5441" s="444">
        <f t="shared" ca="1" si="206"/>
        <v>-7729299125775.4883</v>
      </c>
      <c r="L5441" s="444">
        <f t="shared" ca="1" si="207"/>
        <v>-1862761089311892.8</v>
      </c>
      <c r="M5441" s="460">
        <f t="shared" si="209"/>
        <v>0.05</v>
      </c>
      <c r="N5441" s="464">
        <f t="shared" si="210"/>
        <v>216651</v>
      </c>
    </row>
    <row r="5442" spans="7:14" ht="11.25" customHeight="1" x14ac:dyDescent="0.3">
      <c r="G5442" s="459"/>
      <c r="H5442" s="459">
        <v>5435</v>
      </c>
      <c r="I5442" s="444">
        <f t="shared" ca="1" si="208"/>
        <v>-1862761089311892.8</v>
      </c>
      <c r="J5442" s="444">
        <f t="array" ref="J5442">IFERROR(INDEX('Retirement Calculator'!J:J,MATCH('Isaac 401k'!N5442,'Retirement Calculator'!A:A,0),0),0)</f>
        <v>0</v>
      </c>
      <c r="K5442" s="444">
        <f t="shared" ca="1" si="206"/>
        <v>-7761504538799.5537</v>
      </c>
      <c r="L5442" s="444">
        <f t="shared" ca="1" si="207"/>
        <v>-1870522593850692.3</v>
      </c>
      <c r="M5442" s="460">
        <f t="shared" si="209"/>
        <v>0.05</v>
      </c>
      <c r="N5442" s="464">
        <f t="shared" si="210"/>
        <v>216682</v>
      </c>
    </row>
    <row r="5443" spans="7:14" ht="11.25" customHeight="1" x14ac:dyDescent="0.3">
      <c r="G5443" s="459"/>
      <c r="H5443" s="459">
        <v>5436</v>
      </c>
      <c r="I5443" s="444">
        <f t="shared" ca="1" si="208"/>
        <v>-1870522593850692.3</v>
      </c>
      <c r="J5443" s="444">
        <f t="array" ref="J5443">IFERROR(INDEX('Retirement Calculator'!J:J,MATCH('Isaac 401k'!N5443,'Retirement Calculator'!A:A,0),0),0)</f>
        <v>0</v>
      </c>
      <c r="K5443" s="444">
        <f t="shared" ca="1" si="206"/>
        <v>-7793844141044.5508</v>
      </c>
      <c r="L5443" s="444">
        <f t="shared" ca="1" si="207"/>
        <v>-1878316437991736.8</v>
      </c>
      <c r="M5443" s="460">
        <f t="shared" si="209"/>
        <v>0.05</v>
      </c>
      <c r="N5443" s="464">
        <f t="shared" si="210"/>
        <v>216712</v>
      </c>
    </row>
    <row r="5444" spans="7:14" ht="11.25" customHeight="1" x14ac:dyDescent="0.3">
      <c r="G5444" s="459"/>
      <c r="H5444" s="459">
        <v>5437</v>
      </c>
      <c r="I5444" s="444">
        <f t="shared" ca="1" si="208"/>
        <v>-1878316437991736.8</v>
      </c>
      <c r="J5444" s="444">
        <f t="array" ref="J5444">IFERROR(INDEX('Retirement Calculator'!J:J,MATCH('Isaac 401k'!N5444,'Retirement Calculator'!A:A,0),0),0)</f>
        <v>0</v>
      </c>
      <c r="K5444" s="444">
        <f t="shared" ca="1" si="206"/>
        <v>-7826318491632.2373</v>
      </c>
      <c r="L5444" s="444">
        <f t="shared" ca="1" si="207"/>
        <v>-1886142756483369</v>
      </c>
      <c r="M5444" s="460">
        <f t="shared" si="209"/>
        <v>0.05</v>
      </c>
      <c r="N5444" s="464">
        <f t="shared" si="210"/>
        <v>216743</v>
      </c>
    </row>
    <row r="5445" spans="7:14" ht="11.25" customHeight="1" x14ac:dyDescent="0.3">
      <c r="G5445" s="459"/>
      <c r="H5445" s="459">
        <v>5438</v>
      </c>
      <c r="I5445" s="444">
        <f t="shared" ca="1" si="208"/>
        <v>-1886142756483369</v>
      </c>
      <c r="J5445" s="444">
        <f t="array" ref="J5445">IFERROR(INDEX('Retirement Calculator'!J:J,MATCH('Isaac 401k'!N5445,'Retirement Calculator'!A:A,0),0),0)</f>
        <v>0</v>
      </c>
      <c r="K5445" s="444">
        <f t="shared" ca="1" si="206"/>
        <v>-7858928152014.0371</v>
      </c>
      <c r="L5445" s="444">
        <f t="shared" ca="1" si="207"/>
        <v>-1894001684635383</v>
      </c>
      <c r="M5445" s="460">
        <f t="shared" si="209"/>
        <v>0.05</v>
      </c>
      <c r="N5445" s="464">
        <f t="shared" si="210"/>
        <v>216773</v>
      </c>
    </row>
    <row r="5446" spans="7:14" ht="11.25" customHeight="1" x14ac:dyDescent="0.3">
      <c r="G5446" s="459"/>
      <c r="H5446" s="459">
        <v>5439</v>
      </c>
      <c r="I5446" s="444">
        <f t="shared" ca="1" si="208"/>
        <v>-1894001684635383</v>
      </c>
      <c r="J5446" s="444">
        <f t="array" ref="J5446">IFERROR(INDEX('Retirement Calculator'!J:J,MATCH('Isaac 401k'!N5446,'Retirement Calculator'!A:A,0),0),0)</f>
        <v>0</v>
      </c>
      <c r="K5446" s="444">
        <f t="shared" ca="1" si="206"/>
        <v>-7891673685980.7617</v>
      </c>
      <c r="L5446" s="444">
        <f t="shared" ca="1" si="207"/>
        <v>-1901893358321363.8</v>
      </c>
      <c r="M5446" s="460">
        <f t="shared" si="209"/>
        <v>0.05</v>
      </c>
      <c r="N5446" s="464">
        <f t="shared" si="210"/>
        <v>216804</v>
      </c>
    </row>
    <row r="5447" spans="7:14" ht="11.25" customHeight="1" x14ac:dyDescent="0.3">
      <c r="G5447" s="459"/>
      <c r="H5447" s="459">
        <v>5440</v>
      </c>
      <c r="I5447" s="444">
        <f t="shared" ca="1" si="208"/>
        <v>-1901893358321363.8</v>
      </c>
      <c r="J5447" s="444">
        <f t="array" ref="J5447">IFERROR(INDEX('Retirement Calculator'!J:J,MATCH('Isaac 401k'!N5447,'Retirement Calculator'!A:A,0),0),0)</f>
        <v>0</v>
      </c>
      <c r="K5447" s="444">
        <f t="shared" ca="1" si="206"/>
        <v>-7924555659672.3486</v>
      </c>
      <c r="L5447" s="444">
        <f t="shared" ca="1" si="207"/>
        <v>-1909817913981036</v>
      </c>
      <c r="M5447" s="460">
        <f t="shared" si="209"/>
        <v>0.05</v>
      </c>
      <c r="N5447" s="464">
        <f t="shared" si="210"/>
        <v>216835</v>
      </c>
    </row>
    <row r="5448" spans="7:14" ht="11.25" customHeight="1" x14ac:dyDescent="0.3">
      <c r="G5448" s="459"/>
      <c r="H5448" s="459">
        <v>5441</v>
      </c>
      <c r="I5448" s="444">
        <f t="shared" ca="1" si="208"/>
        <v>-1909817913981036</v>
      </c>
      <c r="J5448" s="444">
        <f t="array" ref="J5448">IFERROR(INDEX('Retirement Calculator'!J:J,MATCH('Isaac 401k'!N5448,'Retirement Calculator'!A:A,0),0),0)</f>
        <v>0</v>
      </c>
      <c r="K5448" s="444">
        <f t="shared" ca="1" si="206"/>
        <v>-7957574641587.6514</v>
      </c>
      <c r="L5448" s="444">
        <f t="shared" ca="1" si="207"/>
        <v>-1917775488622623.8</v>
      </c>
      <c r="M5448" s="460">
        <f t="shared" si="209"/>
        <v>0.05</v>
      </c>
      <c r="N5448" s="464">
        <f t="shared" si="210"/>
        <v>216865</v>
      </c>
    </row>
    <row r="5449" spans="7:14" ht="11.25" customHeight="1" x14ac:dyDescent="0.3">
      <c r="G5449" s="459"/>
      <c r="H5449" s="459">
        <v>5442</v>
      </c>
      <c r="I5449" s="444">
        <f t="shared" ca="1" si="208"/>
        <v>-1917775488622623.8</v>
      </c>
      <c r="J5449" s="444">
        <f t="array" ref="J5449">IFERROR(INDEX('Retirement Calculator'!J:J,MATCH('Isaac 401k'!N5449,'Retirement Calculator'!A:A,0),0),0)</f>
        <v>0</v>
      </c>
      <c r="K5449" s="444">
        <f t="shared" ca="1" si="206"/>
        <v>-7990731202594.2646</v>
      </c>
      <c r="L5449" s="444">
        <f t="shared" ca="1" si="207"/>
        <v>-1925766219825218</v>
      </c>
      <c r="M5449" s="460">
        <f t="shared" si="209"/>
        <v>0.05</v>
      </c>
      <c r="N5449" s="464">
        <f t="shared" si="210"/>
        <v>216896</v>
      </c>
    </row>
    <row r="5450" spans="7:14" ht="11.25" customHeight="1" x14ac:dyDescent="0.3">
      <c r="G5450" s="459"/>
      <c r="H5450" s="459">
        <v>5443</v>
      </c>
      <c r="I5450" s="444">
        <f t="shared" ca="1" si="208"/>
        <v>-1925766219825218</v>
      </c>
      <c r="J5450" s="444">
        <f t="array" ref="J5450">IFERROR(INDEX('Retirement Calculator'!J:J,MATCH('Isaac 401k'!N5450,'Retirement Calculator'!A:A,0),0),0)</f>
        <v>0</v>
      </c>
      <c r="K5450" s="444">
        <f t="shared" ca="1" si="206"/>
        <v>-8024025915938.4082</v>
      </c>
      <c r="L5450" s="444">
        <f t="shared" ca="1" si="207"/>
        <v>-1933790245741156.5</v>
      </c>
      <c r="M5450" s="460">
        <f t="shared" si="209"/>
        <v>0.05</v>
      </c>
      <c r="N5450" s="464">
        <f t="shared" si="210"/>
        <v>216926</v>
      </c>
    </row>
    <row r="5451" spans="7:14" ht="11.25" customHeight="1" x14ac:dyDescent="0.3">
      <c r="G5451" s="459"/>
      <c r="H5451" s="459">
        <v>5444</v>
      </c>
      <c r="I5451" s="444">
        <f t="shared" ca="1" si="208"/>
        <v>-1933790245741156.5</v>
      </c>
      <c r="J5451" s="444">
        <f t="array" ref="J5451">IFERROR(INDEX('Retirement Calculator'!J:J,MATCH('Isaac 401k'!N5451,'Retirement Calculator'!A:A,0),0),0)</f>
        <v>0</v>
      </c>
      <c r="K5451" s="444">
        <f t="shared" ca="1" si="206"/>
        <v>-8057459357254.8184</v>
      </c>
      <c r="L5451" s="444">
        <f t="shared" ca="1" si="207"/>
        <v>-1941847705098411.3</v>
      </c>
      <c r="M5451" s="460">
        <f t="shared" si="209"/>
        <v>0.05</v>
      </c>
      <c r="N5451" s="464">
        <f t="shared" si="210"/>
        <v>216957</v>
      </c>
    </row>
    <row r="5452" spans="7:14" ht="11.25" customHeight="1" x14ac:dyDescent="0.3">
      <c r="G5452" s="459"/>
      <c r="H5452" s="459">
        <v>5445</v>
      </c>
      <c r="I5452" s="444">
        <f t="shared" ca="1" si="208"/>
        <v>-1941847705098411.3</v>
      </c>
      <c r="J5452" s="444">
        <f t="array" ref="J5452">IFERROR(INDEX('Retirement Calculator'!J:J,MATCH('Isaac 401k'!N5452,'Retirement Calculator'!A:A,0),0),0)</f>
        <v>0</v>
      </c>
      <c r="K5452" s="444">
        <f t="shared" ca="1" si="206"/>
        <v>-8091032104576.7139</v>
      </c>
      <c r="L5452" s="444">
        <f t="shared" ca="1" si="207"/>
        <v>-1949938737202988</v>
      </c>
      <c r="M5452" s="460">
        <f t="shared" si="209"/>
        <v>0.05</v>
      </c>
      <c r="N5452" s="464">
        <f t="shared" si="210"/>
        <v>216988</v>
      </c>
    </row>
    <row r="5453" spans="7:14" ht="11.25" customHeight="1" x14ac:dyDescent="0.3">
      <c r="G5453" s="459"/>
      <c r="H5453" s="459">
        <v>5446</v>
      </c>
      <c r="I5453" s="444">
        <f t="shared" ca="1" si="208"/>
        <v>-1949938737202988</v>
      </c>
      <c r="J5453" s="444">
        <f t="array" ref="J5453">IFERROR(INDEX('Retirement Calculator'!J:J,MATCH('Isaac 401k'!N5453,'Retirement Calculator'!A:A,0),0),0)</f>
        <v>0</v>
      </c>
      <c r="K5453" s="444">
        <f t="shared" ca="1" si="206"/>
        <v>-8124744738345.7842</v>
      </c>
      <c r="L5453" s="444">
        <f t="shared" ca="1" si="207"/>
        <v>-1958063481941333.8</v>
      </c>
      <c r="M5453" s="460">
        <f t="shared" si="209"/>
        <v>0.05</v>
      </c>
      <c r="N5453" s="464">
        <f t="shared" si="210"/>
        <v>217016</v>
      </c>
    </row>
    <row r="5454" spans="7:14" ht="11.25" customHeight="1" x14ac:dyDescent="0.3">
      <c r="G5454" s="459"/>
      <c r="H5454" s="459">
        <v>5447</v>
      </c>
      <c r="I5454" s="444">
        <f t="shared" ca="1" si="208"/>
        <v>-1958063481941333.8</v>
      </c>
      <c r="J5454" s="444">
        <f t="array" ref="J5454">IFERROR(INDEX('Retirement Calculator'!J:J,MATCH('Isaac 401k'!N5454,'Retirement Calculator'!A:A,0),0),0)</f>
        <v>0</v>
      </c>
      <c r="K5454" s="444">
        <f t="shared" ca="1" si="206"/>
        <v>-8158597841422.2236</v>
      </c>
      <c r="L5454" s="444">
        <f t="shared" ca="1" si="207"/>
        <v>-1966222079782756</v>
      </c>
      <c r="M5454" s="460">
        <f t="shared" si="209"/>
        <v>0.05</v>
      </c>
      <c r="N5454" s="464">
        <f t="shared" si="210"/>
        <v>217047</v>
      </c>
    </row>
    <row r="5455" spans="7:14" ht="11.25" customHeight="1" x14ac:dyDescent="0.3">
      <c r="G5455" s="459"/>
      <c r="H5455" s="459">
        <v>5448</v>
      </c>
      <c r="I5455" s="444">
        <f t="shared" ca="1" si="208"/>
        <v>-1966222079782756</v>
      </c>
      <c r="J5455" s="444">
        <f t="array" ref="J5455">IFERROR(INDEX('Retirement Calculator'!J:J,MATCH('Isaac 401k'!N5455,'Retirement Calculator'!A:A,0),0),0)</f>
        <v>0</v>
      </c>
      <c r="K5455" s="444">
        <f t="shared" ca="1" si="206"/>
        <v>-8192591999094.8154</v>
      </c>
      <c r="L5455" s="444">
        <f t="shared" ca="1" si="207"/>
        <v>-1974414671781850.8</v>
      </c>
      <c r="M5455" s="460">
        <f t="shared" si="209"/>
        <v>0.05</v>
      </c>
      <c r="N5455" s="464">
        <f t="shared" si="210"/>
        <v>217077</v>
      </c>
    </row>
    <row r="5456" spans="7:14" ht="11.25" customHeight="1" x14ac:dyDescent="0.3">
      <c r="G5456" s="459"/>
      <c r="H5456" s="459">
        <v>5449</v>
      </c>
      <c r="I5456" s="444">
        <f t="shared" ca="1" si="208"/>
        <v>-1974414671781850.8</v>
      </c>
      <c r="J5456" s="444">
        <f t="array" ref="J5456">IFERROR(INDEX('Retirement Calculator'!J:J,MATCH('Isaac 401k'!N5456,'Retirement Calculator'!A:A,0),0),0)</f>
        <v>0</v>
      </c>
      <c r="K5456" s="444">
        <f t="shared" ca="1" si="206"/>
        <v>-8226727799091.0449</v>
      </c>
      <c r="L5456" s="444">
        <f t="shared" ca="1" si="207"/>
        <v>-1982641399580941.8</v>
      </c>
      <c r="M5456" s="460">
        <f t="shared" si="209"/>
        <v>0.05</v>
      </c>
      <c r="N5456" s="464">
        <f t="shared" si="210"/>
        <v>217108</v>
      </c>
    </row>
    <row r="5457" spans="7:14" ht="11.25" customHeight="1" x14ac:dyDescent="0.3">
      <c r="G5457" s="459"/>
      <c r="H5457" s="459">
        <v>5450</v>
      </c>
      <c r="I5457" s="444">
        <f t="shared" ca="1" si="208"/>
        <v>-1982641399580941.8</v>
      </c>
      <c r="J5457" s="444">
        <f t="array" ref="J5457">IFERROR(INDEX('Retirement Calculator'!J:J,MATCH('Isaac 401k'!N5457,'Retirement Calculator'!A:A,0),0),0)</f>
        <v>0</v>
      </c>
      <c r="K5457" s="444">
        <f t="shared" ca="1" si="206"/>
        <v>-8261005831587.2578</v>
      </c>
      <c r="L5457" s="444">
        <f t="shared" ca="1" si="207"/>
        <v>-1990902405412529</v>
      </c>
      <c r="M5457" s="460">
        <f t="shared" si="209"/>
        <v>0.05</v>
      </c>
      <c r="N5457" s="464">
        <f t="shared" si="210"/>
        <v>217138</v>
      </c>
    </row>
    <row r="5458" spans="7:14" ht="11.25" customHeight="1" x14ac:dyDescent="0.3">
      <c r="G5458" s="459"/>
      <c r="H5458" s="459">
        <v>5451</v>
      </c>
      <c r="I5458" s="444">
        <f t="shared" ca="1" si="208"/>
        <v>-1990902405412529</v>
      </c>
      <c r="J5458" s="444">
        <f t="array" ref="J5458">IFERROR(INDEX('Retirement Calculator'!J:J,MATCH('Isaac 401k'!N5458,'Retirement Calculator'!A:A,0),0),0)</f>
        <v>0</v>
      </c>
      <c r="K5458" s="444">
        <f t="shared" ca="1" si="206"/>
        <v>-8295426689218.8701</v>
      </c>
      <c r="L5458" s="444">
        <f t="shared" ca="1" si="207"/>
        <v>-1999197832101747.8</v>
      </c>
      <c r="M5458" s="460">
        <f t="shared" si="209"/>
        <v>0.05</v>
      </c>
      <c r="N5458" s="464">
        <f t="shared" si="210"/>
        <v>217169</v>
      </c>
    </row>
    <row r="5459" spans="7:14" ht="11.25" customHeight="1" x14ac:dyDescent="0.3">
      <c r="G5459" s="459"/>
      <c r="H5459" s="459">
        <v>5452</v>
      </c>
      <c r="I5459" s="444">
        <f t="shared" ca="1" si="208"/>
        <v>-1999197832101747.8</v>
      </c>
      <c r="J5459" s="444">
        <f t="array" ref="J5459">IFERROR(INDEX('Retirement Calculator'!J:J,MATCH('Isaac 401k'!N5459,'Retirement Calculator'!A:A,0),0),0)</f>
        <v>0</v>
      </c>
      <c r="K5459" s="444">
        <f t="shared" ca="1" si="206"/>
        <v>-8329990967090.6152</v>
      </c>
      <c r="L5459" s="444">
        <f t="shared" ca="1" si="207"/>
        <v>-2007527823068838.3</v>
      </c>
      <c r="M5459" s="460">
        <f t="shared" si="209"/>
        <v>0.05</v>
      </c>
      <c r="N5459" s="464">
        <f t="shared" si="210"/>
        <v>217200</v>
      </c>
    </row>
    <row r="5460" spans="7:14" ht="11.25" customHeight="1" x14ac:dyDescent="0.3">
      <c r="G5460" s="459"/>
      <c r="H5460" s="459">
        <v>5453</v>
      </c>
      <c r="I5460" s="444">
        <f t="shared" ca="1" si="208"/>
        <v>-2007527823068838.3</v>
      </c>
      <c r="J5460" s="444">
        <f t="array" ref="J5460">IFERROR(INDEX('Retirement Calculator'!J:J,MATCH('Isaac 401k'!N5460,'Retirement Calculator'!A:A,0),0),0)</f>
        <v>0</v>
      </c>
      <c r="K5460" s="444">
        <f t="shared" ca="1" si="206"/>
        <v>-8364699262786.8262</v>
      </c>
      <c r="L5460" s="444">
        <f t="shared" ca="1" si="207"/>
        <v>-2015892522331625</v>
      </c>
      <c r="M5460" s="460">
        <f t="shared" si="209"/>
        <v>0.05</v>
      </c>
      <c r="N5460" s="464">
        <f t="shared" si="210"/>
        <v>217230</v>
      </c>
    </row>
    <row r="5461" spans="7:14" ht="11.25" customHeight="1" x14ac:dyDescent="0.3">
      <c r="G5461" s="459"/>
      <c r="H5461" s="459">
        <v>5454</v>
      </c>
      <c r="I5461" s="444">
        <f t="shared" ca="1" si="208"/>
        <v>-2015892522331625</v>
      </c>
      <c r="J5461" s="444">
        <f t="array" ref="J5461">IFERROR(INDEX('Retirement Calculator'!J:J,MATCH('Isaac 401k'!N5461,'Retirement Calculator'!A:A,0),0),0)</f>
        <v>0</v>
      </c>
      <c r="K5461" s="444">
        <f t="shared" ca="1" si="206"/>
        <v>-8399552176381.7715</v>
      </c>
      <c r="L5461" s="444">
        <f t="shared" ca="1" si="207"/>
        <v>-2024292074508006.8</v>
      </c>
      <c r="M5461" s="460">
        <f t="shared" si="209"/>
        <v>0.05</v>
      </c>
      <c r="N5461" s="464">
        <f t="shared" si="210"/>
        <v>217261</v>
      </c>
    </row>
    <row r="5462" spans="7:14" ht="11.25" customHeight="1" x14ac:dyDescent="0.3">
      <c r="G5462" s="459"/>
      <c r="H5462" s="459">
        <v>5455</v>
      </c>
      <c r="I5462" s="444">
        <f t="shared" ca="1" si="208"/>
        <v>-2024292074508006.8</v>
      </c>
      <c r="J5462" s="444">
        <f t="array" ref="J5462">IFERROR(INDEX('Retirement Calculator'!J:J,MATCH('Isaac 401k'!N5462,'Retirement Calculator'!A:A,0),0),0)</f>
        <v>0</v>
      </c>
      <c r="K5462" s="444">
        <f t="shared" ca="1" si="206"/>
        <v>-8434550310450.0283</v>
      </c>
      <c r="L5462" s="444">
        <f t="shared" ca="1" si="207"/>
        <v>-2032726624818456.8</v>
      </c>
      <c r="M5462" s="460">
        <f t="shared" si="209"/>
        <v>0.05</v>
      </c>
      <c r="N5462" s="464">
        <f t="shared" si="210"/>
        <v>217291</v>
      </c>
    </row>
    <row r="5463" spans="7:14" ht="11.25" customHeight="1" x14ac:dyDescent="0.3">
      <c r="G5463" s="459"/>
      <c r="H5463" s="459">
        <v>5456</v>
      </c>
      <c r="I5463" s="444">
        <f t="shared" ca="1" si="208"/>
        <v>-2032726624818456.8</v>
      </c>
      <c r="J5463" s="444">
        <f t="array" ref="J5463">IFERROR(INDEX('Retirement Calculator'!J:J,MATCH('Isaac 401k'!N5463,'Retirement Calculator'!A:A,0),0),0)</f>
        <v>0</v>
      </c>
      <c r="K5463" s="444">
        <f t="shared" ca="1" si="206"/>
        <v>-8469694270076.9033</v>
      </c>
      <c r="L5463" s="444">
        <f t="shared" ca="1" si="207"/>
        <v>-2041196319088533.8</v>
      </c>
      <c r="M5463" s="460">
        <f t="shared" si="209"/>
        <v>0.05</v>
      </c>
      <c r="N5463" s="464">
        <f t="shared" si="210"/>
        <v>217322</v>
      </c>
    </row>
    <row r="5464" spans="7:14" ht="11.25" customHeight="1" x14ac:dyDescent="0.3">
      <c r="G5464" s="459"/>
      <c r="H5464" s="459">
        <v>5457</v>
      </c>
      <c r="I5464" s="444">
        <f t="shared" ca="1" si="208"/>
        <v>-2041196319088533.8</v>
      </c>
      <c r="J5464" s="444">
        <f t="array" ref="J5464">IFERROR(INDEX('Retirement Calculator'!J:J,MATCH('Isaac 401k'!N5464,'Retirement Calculator'!A:A,0),0),0)</f>
        <v>0</v>
      </c>
      <c r="K5464" s="444">
        <f t="shared" ca="1" si="206"/>
        <v>-8504984662868.8906</v>
      </c>
      <c r="L5464" s="444">
        <f t="shared" ca="1" si="207"/>
        <v>-2049701303751402.8</v>
      </c>
      <c r="M5464" s="460">
        <f t="shared" si="209"/>
        <v>0.05</v>
      </c>
      <c r="N5464" s="464">
        <f t="shared" si="210"/>
        <v>217353</v>
      </c>
    </row>
    <row r="5465" spans="7:14" ht="11.25" customHeight="1" x14ac:dyDescent="0.3">
      <c r="G5465" s="459"/>
      <c r="H5465" s="459">
        <v>5458</v>
      </c>
      <c r="I5465" s="444">
        <f t="shared" ca="1" si="208"/>
        <v>-2049701303751402.8</v>
      </c>
      <c r="J5465" s="444">
        <f t="array" ref="J5465">IFERROR(INDEX('Retirement Calculator'!J:J,MATCH('Isaac 401k'!N5465,'Retirement Calculator'!A:A,0),0),0)</f>
        <v>0</v>
      </c>
      <c r="K5465" s="444">
        <f t="shared" ca="1" si="206"/>
        <v>-8540422098964.1777</v>
      </c>
      <c r="L5465" s="444">
        <f t="shared" ca="1" si="207"/>
        <v>-2058241725850367</v>
      </c>
      <c r="M5465" s="460">
        <f t="shared" si="209"/>
        <v>0.05</v>
      </c>
      <c r="N5465" s="464">
        <f t="shared" si="210"/>
        <v>217381</v>
      </c>
    </row>
    <row r="5466" spans="7:14" ht="11.25" customHeight="1" x14ac:dyDescent="0.3">
      <c r="G5466" s="459"/>
      <c r="H5466" s="459">
        <v>5459</v>
      </c>
      <c r="I5466" s="444">
        <f t="shared" ca="1" si="208"/>
        <v>-2058241725850367</v>
      </c>
      <c r="J5466" s="444">
        <f t="array" ref="J5466">IFERROR(INDEX('Retirement Calculator'!J:J,MATCH('Isaac 401k'!N5466,'Retirement Calculator'!A:A,0),0),0)</f>
        <v>0</v>
      </c>
      <c r="K5466" s="444">
        <f t="shared" ca="1" si="206"/>
        <v>-8576007191043.1943</v>
      </c>
      <c r="L5466" s="444">
        <f t="shared" ca="1" si="207"/>
        <v>-2066817733041410.3</v>
      </c>
      <c r="M5466" s="460">
        <f t="shared" si="209"/>
        <v>0.05</v>
      </c>
      <c r="N5466" s="464">
        <f t="shared" si="210"/>
        <v>217412</v>
      </c>
    </row>
    <row r="5467" spans="7:14" ht="11.25" customHeight="1" x14ac:dyDescent="0.3">
      <c r="G5467" s="459"/>
      <c r="H5467" s="459">
        <v>5460</v>
      </c>
      <c r="I5467" s="444">
        <f t="shared" ca="1" si="208"/>
        <v>-2066817733041410.3</v>
      </c>
      <c r="J5467" s="444">
        <f t="array" ref="J5467">IFERROR(INDEX('Retirement Calculator'!J:J,MATCH('Isaac 401k'!N5467,'Retirement Calculator'!A:A,0),0),0)</f>
        <v>0</v>
      </c>
      <c r="K5467" s="444">
        <f t="shared" ca="1" si="206"/>
        <v>-8611740554339.208</v>
      </c>
      <c r="L5467" s="444">
        <f t="shared" ca="1" si="207"/>
        <v>-2075429473595749.5</v>
      </c>
      <c r="M5467" s="460">
        <f t="shared" si="209"/>
        <v>0.05</v>
      </c>
      <c r="N5467" s="464">
        <f t="shared" si="210"/>
        <v>217442</v>
      </c>
    </row>
    <row r="5468" spans="7:14" ht="11.25" customHeight="1" x14ac:dyDescent="0.3">
      <c r="G5468" s="459"/>
      <c r="H5468" s="459">
        <v>5461</v>
      </c>
      <c r="I5468" s="444">
        <f t="shared" ca="1" si="208"/>
        <v>-2075429473595749.5</v>
      </c>
      <c r="J5468" s="444">
        <f t="array" ref="J5468">IFERROR(INDEX('Retirement Calculator'!J:J,MATCH('Isaac 401k'!N5468,'Retirement Calculator'!A:A,0),0),0)</f>
        <v>0</v>
      </c>
      <c r="K5468" s="444">
        <f t="shared" ca="1" si="206"/>
        <v>-8647622806648.9551</v>
      </c>
      <c r="L5468" s="444">
        <f t="shared" ca="1" si="207"/>
        <v>-2084077096402398.5</v>
      </c>
      <c r="M5468" s="460">
        <f t="shared" si="209"/>
        <v>0.05</v>
      </c>
      <c r="N5468" s="464">
        <f t="shared" si="210"/>
        <v>217473</v>
      </c>
    </row>
    <row r="5469" spans="7:14" ht="11.25" customHeight="1" x14ac:dyDescent="0.3">
      <c r="G5469" s="459"/>
      <c r="H5469" s="459">
        <v>5462</v>
      </c>
      <c r="I5469" s="444">
        <f t="shared" ca="1" si="208"/>
        <v>-2084077096402398.5</v>
      </c>
      <c r="J5469" s="444">
        <f t="array" ref="J5469">IFERROR(INDEX('Retirement Calculator'!J:J,MATCH('Isaac 401k'!N5469,'Retirement Calculator'!A:A,0),0),0)</f>
        <v>0</v>
      </c>
      <c r="K5469" s="444">
        <f t="shared" ca="1" si="206"/>
        <v>-8683654568343.3281</v>
      </c>
      <c r="L5469" s="444">
        <f t="shared" ca="1" si="207"/>
        <v>-2092760750970741.8</v>
      </c>
      <c r="M5469" s="460">
        <f t="shared" si="209"/>
        <v>0.05</v>
      </c>
      <c r="N5469" s="464">
        <f t="shared" si="210"/>
        <v>217503</v>
      </c>
    </row>
    <row r="5470" spans="7:14" ht="11.25" customHeight="1" x14ac:dyDescent="0.3">
      <c r="G5470" s="459"/>
      <c r="H5470" s="459">
        <v>5463</v>
      </c>
      <c r="I5470" s="444">
        <f t="shared" ca="1" si="208"/>
        <v>-2092760750970741.8</v>
      </c>
      <c r="J5470" s="444">
        <f t="array" ref="J5470">IFERROR(INDEX('Retirement Calculator'!J:J,MATCH('Isaac 401k'!N5470,'Retirement Calculator'!A:A,0),0),0)</f>
        <v>0</v>
      </c>
      <c r="K5470" s="444">
        <f t="shared" ca="1" si="206"/>
        <v>-8719836462378.0908</v>
      </c>
      <c r="L5470" s="444">
        <f t="shared" ca="1" si="207"/>
        <v>-2101480587433119.8</v>
      </c>
      <c r="M5470" s="460">
        <f t="shared" si="209"/>
        <v>0.05</v>
      </c>
      <c r="N5470" s="464">
        <f t="shared" si="210"/>
        <v>217534</v>
      </c>
    </row>
    <row r="5471" spans="7:14" ht="11.25" customHeight="1" x14ac:dyDescent="0.3">
      <c r="G5471" s="459"/>
      <c r="H5471" s="459">
        <v>5464</v>
      </c>
      <c r="I5471" s="444">
        <f t="shared" ca="1" si="208"/>
        <v>-2101480587433119.8</v>
      </c>
      <c r="J5471" s="444">
        <f t="array" ref="J5471">IFERROR(INDEX('Retirement Calculator'!J:J,MATCH('Isaac 401k'!N5471,'Retirement Calculator'!A:A,0),0),0)</f>
        <v>0</v>
      </c>
      <c r="K5471" s="444">
        <f t="shared" ca="1" si="206"/>
        <v>-8756169114304.665</v>
      </c>
      <c r="L5471" s="444">
        <f t="shared" ca="1" si="207"/>
        <v>-2110236756547424.5</v>
      </c>
      <c r="M5471" s="460">
        <f t="shared" si="209"/>
        <v>0.05</v>
      </c>
      <c r="N5471" s="464">
        <f t="shared" si="210"/>
        <v>217565</v>
      </c>
    </row>
    <row r="5472" spans="7:14" ht="11.25" customHeight="1" x14ac:dyDescent="0.3">
      <c r="G5472" s="459"/>
      <c r="H5472" s="459">
        <v>5465</v>
      </c>
      <c r="I5472" s="444">
        <f t="shared" ca="1" si="208"/>
        <v>-2110236756547424.5</v>
      </c>
      <c r="J5472" s="444">
        <f t="array" ref="J5472">IFERROR(INDEX('Retirement Calculator'!J:J,MATCH('Isaac 401k'!N5472,'Retirement Calculator'!A:A,0),0),0)</f>
        <v>0</v>
      </c>
      <c r="K5472" s="444">
        <f t="shared" ca="1" si="206"/>
        <v>-8792653152280.9365</v>
      </c>
      <c r="L5472" s="444">
        <f t="shared" ca="1" si="207"/>
        <v>-2119029409699705.5</v>
      </c>
      <c r="M5472" s="460">
        <f t="shared" si="209"/>
        <v>0.05</v>
      </c>
      <c r="N5472" s="464">
        <f t="shared" si="210"/>
        <v>217595</v>
      </c>
    </row>
    <row r="5473" spans="7:14" ht="11.25" customHeight="1" x14ac:dyDescent="0.3">
      <c r="G5473" s="459"/>
      <c r="H5473" s="459">
        <v>5466</v>
      </c>
      <c r="I5473" s="444">
        <f t="shared" ca="1" si="208"/>
        <v>-2119029409699705.5</v>
      </c>
      <c r="J5473" s="444">
        <f t="array" ref="J5473">IFERROR(INDEX('Retirement Calculator'!J:J,MATCH('Isaac 401k'!N5473,'Retirement Calculator'!A:A,0),0),0)</f>
        <v>0</v>
      </c>
      <c r="K5473" s="444">
        <f t="shared" ca="1" si="206"/>
        <v>-8829289207082.1055</v>
      </c>
      <c r="L5473" s="444">
        <f t="shared" ca="1" si="207"/>
        <v>-2127858698906787.5</v>
      </c>
      <c r="M5473" s="460">
        <f t="shared" si="209"/>
        <v>0.05</v>
      </c>
      <c r="N5473" s="464">
        <f t="shared" si="210"/>
        <v>217626</v>
      </c>
    </row>
    <row r="5474" spans="7:14" ht="11.25" customHeight="1" x14ac:dyDescent="0.3">
      <c r="G5474" s="459"/>
      <c r="H5474" s="459">
        <v>5467</v>
      </c>
      <c r="I5474" s="444">
        <f t="shared" ca="1" si="208"/>
        <v>-2127858698906787.5</v>
      </c>
      <c r="J5474" s="444">
        <f t="array" ref="J5474">IFERROR(INDEX('Retirement Calculator'!J:J,MATCH('Isaac 401k'!N5474,'Retirement Calculator'!A:A,0),0),0)</f>
        <v>0</v>
      </c>
      <c r="K5474" s="444">
        <f t="shared" ca="1" si="206"/>
        <v>-8866077912111.6152</v>
      </c>
      <c r="L5474" s="444">
        <f t="shared" ca="1" si="207"/>
        <v>-2136724776818899</v>
      </c>
      <c r="M5474" s="460">
        <f t="shared" si="209"/>
        <v>0.05</v>
      </c>
      <c r="N5474" s="464">
        <f t="shared" si="210"/>
        <v>217656</v>
      </c>
    </row>
    <row r="5475" spans="7:14" ht="11.25" customHeight="1" x14ac:dyDescent="0.3">
      <c r="G5475" s="459"/>
      <c r="H5475" s="459">
        <v>5468</v>
      </c>
      <c r="I5475" s="444">
        <f t="shared" ca="1" si="208"/>
        <v>-2136724776818899</v>
      </c>
      <c r="J5475" s="444">
        <f t="array" ref="J5475">IFERROR(INDEX('Retirement Calculator'!J:J,MATCH('Isaac 401k'!N5475,'Retirement Calculator'!A:A,0),0),0)</f>
        <v>0</v>
      </c>
      <c r="K5475" s="444">
        <f t="shared" ca="1" si="206"/>
        <v>-8903019903412.0801</v>
      </c>
      <c r="L5475" s="444">
        <f t="shared" ca="1" si="207"/>
        <v>-2145627796722311</v>
      </c>
      <c r="M5475" s="460">
        <f t="shared" si="209"/>
        <v>0.05</v>
      </c>
      <c r="N5475" s="464">
        <f t="shared" si="210"/>
        <v>217687</v>
      </c>
    </row>
    <row r="5476" spans="7:14" ht="11.25" customHeight="1" x14ac:dyDescent="0.3">
      <c r="G5476" s="459"/>
      <c r="H5476" s="459">
        <v>5469</v>
      </c>
      <c r="I5476" s="444">
        <f t="shared" ca="1" si="208"/>
        <v>-2145627796722311</v>
      </c>
      <c r="J5476" s="444">
        <f t="array" ref="J5476">IFERROR(INDEX('Retirement Calculator'!J:J,MATCH('Isaac 401k'!N5476,'Retirement Calculator'!A:A,0),0),0)</f>
        <v>0</v>
      </c>
      <c r="K5476" s="444">
        <f t="shared" ca="1" si="206"/>
        <v>-8940115819676.2949</v>
      </c>
      <c r="L5476" s="444">
        <f t="shared" ca="1" si="207"/>
        <v>-2154567912541987.3</v>
      </c>
      <c r="M5476" s="460">
        <f t="shared" si="209"/>
        <v>0.05</v>
      </c>
      <c r="N5476" s="464">
        <f t="shared" si="210"/>
        <v>217718</v>
      </c>
    </row>
    <row r="5477" spans="7:14" ht="11.25" customHeight="1" x14ac:dyDescent="0.3">
      <c r="G5477" s="459"/>
      <c r="H5477" s="459">
        <v>5470</v>
      </c>
      <c r="I5477" s="444">
        <f t="shared" ca="1" si="208"/>
        <v>-2154567912541987.3</v>
      </c>
      <c r="J5477" s="444">
        <f t="array" ref="J5477">IFERROR(INDEX('Retirement Calculator'!J:J,MATCH('Isaac 401k'!N5477,'Retirement Calculator'!A:A,0),0),0)</f>
        <v>0</v>
      </c>
      <c r="K5477" s="444">
        <f t="shared" ca="1" si="206"/>
        <v>-8977366302258.2793</v>
      </c>
      <c r="L5477" s="444">
        <f t="shared" ca="1" si="207"/>
        <v>-2163545278844245.5</v>
      </c>
      <c r="M5477" s="460">
        <f t="shared" si="209"/>
        <v>0.05</v>
      </c>
      <c r="N5477" s="464">
        <f t="shared" si="210"/>
        <v>217747</v>
      </c>
    </row>
    <row r="5478" spans="7:14" ht="11.25" customHeight="1" x14ac:dyDescent="0.3">
      <c r="G5478" s="459"/>
      <c r="H5478" s="459">
        <v>5471</v>
      </c>
      <c r="I5478" s="444">
        <f t="shared" ca="1" si="208"/>
        <v>-2163545278844245.5</v>
      </c>
      <c r="J5478" s="444">
        <f t="array" ref="J5478">IFERROR(INDEX('Retirement Calculator'!J:J,MATCH('Isaac 401k'!N5478,'Retirement Calculator'!A:A,0),0),0)</f>
        <v>0</v>
      </c>
      <c r="K5478" s="444">
        <f t="shared" ca="1" si="206"/>
        <v>-9014771995184.3574</v>
      </c>
      <c r="L5478" s="444">
        <f t="shared" ca="1" si="207"/>
        <v>-2172560050839429.8</v>
      </c>
      <c r="M5478" s="460">
        <f t="shared" si="209"/>
        <v>0.05</v>
      </c>
      <c r="N5478" s="464">
        <f t="shared" si="210"/>
        <v>217778</v>
      </c>
    </row>
    <row r="5479" spans="7:14" ht="11.25" customHeight="1" x14ac:dyDescent="0.3">
      <c r="G5479" s="459"/>
      <c r="H5479" s="459">
        <v>5472</v>
      </c>
      <c r="I5479" s="444">
        <f t="shared" ca="1" si="208"/>
        <v>-2172560050839429.8</v>
      </c>
      <c r="J5479" s="444">
        <f t="array" ref="J5479">IFERROR(INDEX('Retirement Calculator'!J:J,MATCH('Isaac 401k'!N5479,'Retirement Calculator'!A:A,0),0),0)</f>
        <v>0</v>
      </c>
      <c r="K5479" s="444">
        <f t="shared" ca="1" si="206"/>
        <v>-9052333545164.291</v>
      </c>
      <c r="L5479" s="444">
        <f t="shared" ca="1" si="207"/>
        <v>-2181612384384594</v>
      </c>
      <c r="M5479" s="460">
        <f t="shared" si="209"/>
        <v>0.05</v>
      </c>
      <c r="N5479" s="464">
        <f t="shared" si="210"/>
        <v>217808</v>
      </c>
    </row>
    <row r="5480" spans="7:14" ht="11.25" customHeight="1" x14ac:dyDescent="0.3">
      <c r="G5480" s="459"/>
      <c r="H5480" s="459">
        <v>5473</v>
      </c>
      <c r="I5480" s="444">
        <f t="shared" ca="1" si="208"/>
        <v>-2181612384384594</v>
      </c>
      <c r="J5480" s="444">
        <f t="array" ref="J5480">IFERROR(INDEX('Retirement Calculator'!J:J,MATCH('Isaac 401k'!N5480,'Retirement Calculator'!A:A,0),0),0)</f>
        <v>0</v>
      </c>
      <c r="K5480" s="444">
        <f t="shared" ca="1" si="206"/>
        <v>-9090051601602.4746</v>
      </c>
      <c r="L5480" s="444">
        <f t="shared" ca="1" si="207"/>
        <v>-2190702435986196.5</v>
      </c>
      <c r="M5480" s="460">
        <f t="shared" si="209"/>
        <v>0.05</v>
      </c>
      <c r="N5480" s="464">
        <f t="shared" si="210"/>
        <v>217839</v>
      </c>
    </row>
    <row r="5481" spans="7:14" ht="11.25" customHeight="1" x14ac:dyDescent="0.3">
      <c r="G5481" s="459"/>
      <c r="H5481" s="459">
        <v>5474</v>
      </c>
      <c r="I5481" s="444">
        <f t="shared" ca="1" si="208"/>
        <v>-2190702435986196.5</v>
      </c>
      <c r="J5481" s="444">
        <f t="array" ref="J5481">IFERROR(INDEX('Retirement Calculator'!J:J,MATCH('Isaac 401k'!N5481,'Retirement Calculator'!A:A,0),0),0)</f>
        <v>0</v>
      </c>
      <c r="K5481" s="444">
        <f t="shared" ca="1" si="206"/>
        <v>-9127926816609.1523</v>
      </c>
      <c r="L5481" s="444">
        <f t="shared" ca="1" si="207"/>
        <v>-2199830362802805.8</v>
      </c>
      <c r="M5481" s="460">
        <f t="shared" si="209"/>
        <v>0.05</v>
      </c>
      <c r="N5481" s="464">
        <f t="shared" si="210"/>
        <v>217869</v>
      </c>
    </row>
    <row r="5482" spans="7:14" ht="11.25" customHeight="1" x14ac:dyDescent="0.3">
      <c r="G5482" s="459"/>
      <c r="H5482" s="459">
        <v>5475</v>
      </c>
      <c r="I5482" s="444">
        <f t="shared" ca="1" si="208"/>
        <v>-2199830362802805.8</v>
      </c>
      <c r="J5482" s="444">
        <f t="array" ref="J5482">IFERROR(INDEX('Retirement Calculator'!J:J,MATCH('Isaac 401k'!N5482,'Retirement Calculator'!A:A,0),0),0)</f>
        <v>0</v>
      </c>
      <c r="K5482" s="444">
        <f t="shared" ca="1" si="206"/>
        <v>-9165959845011.6914</v>
      </c>
      <c r="L5482" s="444">
        <f t="shared" ca="1" si="207"/>
        <v>-2208996322647817.5</v>
      </c>
      <c r="M5482" s="460">
        <f t="shared" si="209"/>
        <v>0.05</v>
      </c>
      <c r="N5482" s="464">
        <f t="shared" si="210"/>
        <v>217900</v>
      </c>
    </row>
    <row r="5483" spans="7:14" ht="11.25" customHeight="1" x14ac:dyDescent="0.3">
      <c r="G5483" s="459"/>
      <c r="H5483" s="459">
        <v>5476</v>
      </c>
      <c r="I5483" s="444">
        <f t="shared" ca="1" si="208"/>
        <v>-2208996322647817.5</v>
      </c>
      <c r="J5483" s="444">
        <f t="array" ref="J5483">IFERROR(INDEX('Retirement Calculator'!J:J,MATCH('Isaac 401k'!N5483,'Retirement Calculator'!A:A,0),0),0)</f>
        <v>0</v>
      </c>
      <c r="K5483" s="444">
        <f t="shared" ca="1" si="206"/>
        <v>-9204151344365.9063</v>
      </c>
      <c r="L5483" s="444">
        <f t="shared" ca="1" si="207"/>
        <v>-2218200473992183.5</v>
      </c>
      <c r="M5483" s="460">
        <f t="shared" si="209"/>
        <v>0.05</v>
      </c>
      <c r="N5483" s="464">
        <f t="shared" si="210"/>
        <v>217931</v>
      </c>
    </row>
    <row r="5484" spans="7:14" ht="11.25" customHeight="1" x14ac:dyDescent="0.3">
      <c r="G5484" s="459"/>
      <c r="H5484" s="459">
        <v>5477</v>
      </c>
      <c r="I5484" s="444">
        <f t="shared" ca="1" si="208"/>
        <v>-2218200473992183.5</v>
      </c>
      <c r="J5484" s="444">
        <f t="array" ref="J5484">IFERROR(INDEX('Retirement Calculator'!J:J,MATCH('Isaac 401k'!N5484,'Retirement Calculator'!A:A,0),0),0)</f>
        <v>0</v>
      </c>
      <c r="K5484" s="444">
        <f t="shared" ca="1" si="206"/>
        <v>-9242501974967.4316</v>
      </c>
      <c r="L5484" s="444">
        <f t="shared" ca="1" si="207"/>
        <v>-2227442975967151</v>
      </c>
      <c r="M5484" s="460">
        <f t="shared" si="209"/>
        <v>0.05</v>
      </c>
      <c r="N5484" s="464">
        <f t="shared" si="210"/>
        <v>217961</v>
      </c>
    </row>
    <row r="5485" spans="7:14" ht="11.25" customHeight="1" x14ac:dyDescent="0.3">
      <c r="G5485" s="459"/>
      <c r="H5485" s="459">
        <v>5478</v>
      </c>
      <c r="I5485" s="444">
        <f t="shared" ca="1" si="208"/>
        <v>-2227442975967151</v>
      </c>
      <c r="J5485" s="444">
        <f t="array" ref="J5485">IFERROR(INDEX('Retirement Calculator'!J:J,MATCH('Isaac 401k'!N5485,'Retirement Calculator'!A:A,0),0),0)</f>
        <v>0</v>
      </c>
      <c r="K5485" s="444">
        <f t="shared" ca="1" si="206"/>
        <v>-9281012399863.1289</v>
      </c>
      <c r="L5485" s="444">
        <f t="shared" ca="1" si="207"/>
        <v>-2236723988367014.3</v>
      </c>
      <c r="M5485" s="460">
        <f t="shared" si="209"/>
        <v>0.05</v>
      </c>
      <c r="N5485" s="464">
        <f t="shared" si="210"/>
        <v>217992</v>
      </c>
    </row>
    <row r="5486" spans="7:14" ht="11.25" customHeight="1" x14ac:dyDescent="0.3">
      <c r="G5486" s="459"/>
      <c r="H5486" s="459">
        <v>5479</v>
      </c>
      <c r="I5486" s="444">
        <f t="shared" ca="1" si="208"/>
        <v>-2236723988367014.3</v>
      </c>
      <c r="J5486" s="444">
        <f t="array" ref="J5486">IFERROR(INDEX('Retirement Calculator'!J:J,MATCH('Isaac 401k'!N5486,'Retirement Calculator'!A:A,0),0),0)</f>
        <v>0</v>
      </c>
      <c r="K5486" s="444">
        <f t="shared" ca="1" si="206"/>
        <v>-9319683284862.5586</v>
      </c>
      <c r="L5486" s="444">
        <f t="shared" ca="1" si="207"/>
        <v>-2246043671651876.8</v>
      </c>
      <c r="M5486" s="460">
        <f t="shared" si="209"/>
        <v>0.05</v>
      </c>
      <c r="N5486" s="464">
        <f t="shared" si="210"/>
        <v>218022</v>
      </c>
    </row>
    <row r="5487" spans="7:14" ht="11.25" customHeight="1" x14ac:dyDescent="0.3">
      <c r="G5487" s="459"/>
      <c r="H5487" s="459">
        <v>5480</v>
      </c>
      <c r="I5487" s="444">
        <f t="shared" ca="1" si="208"/>
        <v>-2246043671651876.8</v>
      </c>
      <c r="J5487" s="444">
        <f t="array" ref="J5487">IFERROR(INDEX('Retirement Calculator'!J:J,MATCH('Isaac 401k'!N5487,'Retirement Calculator'!A:A,0),0),0)</f>
        <v>0</v>
      </c>
      <c r="K5487" s="444">
        <f t="shared" ca="1" si="206"/>
        <v>-9358515298549.4883</v>
      </c>
      <c r="L5487" s="444">
        <f t="shared" ca="1" si="207"/>
        <v>-2255402186950426</v>
      </c>
      <c r="M5487" s="460">
        <f t="shared" si="209"/>
        <v>0.05</v>
      </c>
      <c r="N5487" s="464">
        <f t="shared" si="210"/>
        <v>218053</v>
      </c>
    </row>
    <row r="5488" spans="7:14" ht="11.25" customHeight="1" x14ac:dyDescent="0.3">
      <c r="G5488" s="459"/>
      <c r="H5488" s="459">
        <v>5481</v>
      </c>
      <c r="I5488" s="444">
        <f t="shared" ca="1" si="208"/>
        <v>-2255402186950426</v>
      </c>
      <c r="J5488" s="444">
        <f t="array" ref="J5488">IFERROR(INDEX('Retirement Calculator'!J:J,MATCH('Isaac 401k'!N5488,'Retirement Calculator'!A:A,0),0),0)</f>
        <v>0</v>
      </c>
      <c r="K5488" s="444">
        <f t="shared" ca="1" si="206"/>
        <v>-9397509112293.4414</v>
      </c>
      <c r="L5488" s="444">
        <f t="shared" ca="1" si="207"/>
        <v>-2264799696062719.5</v>
      </c>
      <c r="M5488" s="460">
        <f t="shared" si="209"/>
        <v>0.05</v>
      </c>
      <c r="N5488" s="464">
        <f t="shared" si="210"/>
        <v>218084</v>
      </c>
    </row>
    <row r="5489" spans="7:14" ht="11.25" customHeight="1" x14ac:dyDescent="0.3">
      <c r="G5489" s="459"/>
      <c r="H5489" s="459">
        <v>5482</v>
      </c>
      <c r="I5489" s="444">
        <f t="shared" ca="1" si="208"/>
        <v>-2264799696062719.5</v>
      </c>
      <c r="J5489" s="444">
        <f t="array" ref="J5489">IFERROR(INDEX('Retirement Calculator'!J:J,MATCH('Isaac 401k'!N5489,'Retirement Calculator'!A:A,0),0),0)</f>
        <v>0</v>
      </c>
      <c r="K5489" s="444">
        <f t="shared" ca="1" si="206"/>
        <v>-9436665400261.332</v>
      </c>
      <c r="L5489" s="444">
        <f t="shared" ca="1" si="207"/>
        <v>-2274236361462981</v>
      </c>
      <c r="M5489" s="460">
        <f t="shared" si="209"/>
        <v>0.05</v>
      </c>
      <c r="N5489" s="464">
        <f t="shared" si="210"/>
        <v>218112</v>
      </c>
    </row>
    <row r="5490" spans="7:14" ht="11.25" customHeight="1" x14ac:dyDescent="0.3">
      <c r="G5490" s="459"/>
      <c r="H5490" s="459">
        <v>5483</v>
      </c>
      <c r="I5490" s="444">
        <f t="shared" ca="1" si="208"/>
        <v>-2274236361462981</v>
      </c>
      <c r="J5490" s="444">
        <f t="array" ref="J5490">IFERROR(INDEX('Retirement Calculator'!J:J,MATCH('Isaac 401k'!N5490,'Retirement Calculator'!A:A,0),0),0)</f>
        <v>0</v>
      </c>
      <c r="K5490" s="444">
        <f t="shared" ca="1" si="206"/>
        <v>-9475984839429.0879</v>
      </c>
      <c r="L5490" s="444">
        <f t="shared" ca="1" si="207"/>
        <v>-2283712346302410</v>
      </c>
      <c r="M5490" s="460">
        <f t="shared" si="209"/>
        <v>0.05</v>
      </c>
      <c r="N5490" s="464">
        <f t="shared" si="210"/>
        <v>218143</v>
      </c>
    </row>
    <row r="5491" spans="7:14" ht="11.25" customHeight="1" x14ac:dyDescent="0.3">
      <c r="G5491" s="459"/>
      <c r="H5491" s="459">
        <v>5484</v>
      </c>
      <c r="I5491" s="444">
        <f t="shared" ca="1" si="208"/>
        <v>-2283712346302410</v>
      </c>
      <c r="J5491" s="444">
        <f t="array" ref="J5491">IFERROR(INDEX('Retirement Calculator'!J:J,MATCH('Isaac 401k'!N5491,'Retirement Calculator'!A:A,0),0),0)</f>
        <v>0</v>
      </c>
      <c r="K5491" s="444">
        <f t="shared" ca="1" si="206"/>
        <v>-9515468109593.375</v>
      </c>
      <c r="L5491" s="444">
        <f t="shared" ca="1" si="207"/>
        <v>-2293227814412003.5</v>
      </c>
      <c r="M5491" s="460">
        <f t="shared" si="209"/>
        <v>0.05</v>
      </c>
      <c r="N5491" s="464">
        <f t="shared" si="210"/>
        <v>218173</v>
      </c>
    </row>
    <row r="5492" spans="7:14" ht="11.25" customHeight="1" x14ac:dyDescent="0.3">
      <c r="G5492" s="459"/>
      <c r="H5492" s="459">
        <v>5485</v>
      </c>
      <c r="I5492" s="444">
        <f t="shared" ca="1" si="208"/>
        <v>-2293227814412003.5</v>
      </c>
      <c r="J5492" s="444">
        <f t="array" ref="J5492">IFERROR(INDEX('Retirement Calculator'!J:J,MATCH('Isaac 401k'!N5492,'Retirement Calculator'!A:A,0),0),0)</f>
        <v>0</v>
      </c>
      <c r="K5492" s="444">
        <f t="shared" ca="1" si="206"/>
        <v>-9555115893383.3477</v>
      </c>
      <c r="L5492" s="444">
        <f t="shared" ca="1" si="207"/>
        <v>-2302782930305387</v>
      </c>
      <c r="M5492" s="460">
        <f t="shared" si="209"/>
        <v>0.05</v>
      </c>
      <c r="N5492" s="464">
        <f t="shared" si="210"/>
        <v>218204</v>
      </c>
    </row>
    <row r="5493" spans="7:14" ht="11.25" customHeight="1" x14ac:dyDescent="0.3">
      <c r="G5493" s="459"/>
      <c r="H5493" s="459">
        <v>5486</v>
      </c>
      <c r="I5493" s="444">
        <f t="shared" ca="1" si="208"/>
        <v>-2302782930305387</v>
      </c>
      <c r="J5493" s="444">
        <f t="array" ref="J5493">IFERROR(INDEX('Retirement Calculator'!J:J,MATCH('Isaac 401k'!N5493,'Retirement Calculator'!A:A,0),0),0)</f>
        <v>0</v>
      </c>
      <c r="K5493" s="444">
        <f t="shared" ca="1" si="206"/>
        <v>-9594928876272.4453</v>
      </c>
      <c r="L5493" s="444">
        <f t="shared" ca="1" si="207"/>
        <v>-2312377859181659.5</v>
      </c>
      <c r="M5493" s="460">
        <f t="shared" si="209"/>
        <v>0.05</v>
      </c>
      <c r="N5493" s="464">
        <f t="shared" si="210"/>
        <v>218234</v>
      </c>
    </row>
    <row r="5494" spans="7:14" ht="11.25" customHeight="1" x14ac:dyDescent="0.3">
      <c r="G5494" s="459"/>
      <c r="H5494" s="459">
        <v>5487</v>
      </c>
      <c r="I5494" s="444">
        <f t="shared" ca="1" si="208"/>
        <v>-2312377859181659.5</v>
      </c>
      <c r="J5494" s="444">
        <f t="array" ref="J5494">IFERROR(INDEX('Retirement Calculator'!J:J,MATCH('Isaac 401k'!N5494,'Retirement Calculator'!A:A,0),0),0)</f>
        <v>0</v>
      </c>
      <c r="K5494" s="444">
        <f t="shared" ca="1" si="206"/>
        <v>-9634907746590.248</v>
      </c>
      <c r="L5494" s="444">
        <f t="shared" ca="1" si="207"/>
        <v>-2322012766928249.5</v>
      </c>
      <c r="M5494" s="460">
        <f t="shared" si="209"/>
        <v>0.05</v>
      </c>
      <c r="N5494" s="464">
        <f t="shared" si="210"/>
        <v>218265</v>
      </c>
    </row>
    <row r="5495" spans="7:14" ht="11.25" customHeight="1" x14ac:dyDescent="0.3">
      <c r="G5495" s="459"/>
      <c r="H5495" s="459">
        <v>5488</v>
      </c>
      <c r="I5495" s="444">
        <f t="shared" ca="1" si="208"/>
        <v>-2322012766928249.5</v>
      </c>
      <c r="J5495" s="444">
        <f t="array" ref="J5495">IFERROR(INDEX('Retirement Calculator'!J:J,MATCH('Isaac 401k'!N5495,'Retirement Calculator'!A:A,0),0),0)</f>
        <v>0</v>
      </c>
      <c r="K5495" s="444">
        <f t="shared" ca="1" si="206"/>
        <v>-9675053195534.373</v>
      </c>
      <c r="L5495" s="444">
        <f t="shared" ca="1" si="207"/>
        <v>-2331687820123784</v>
      </c>
      <c r="M5495" s="460">
        <f t="shared" si="209"/>
        <v>0.05</v>
      </c>
      <c r="N5495" s="464">
        <f t="shared" si="210"/>
        <v>218296</v>
      </c>
    </row>
    <row r="5496" spans="7:14" ht="11.25" customHeight="1" x14ac:dyDescent="0.3">
      <c r="G5496" s="459"/>
      <c r="H5496" s="459">
        <v>5489</v>
      </c>
      <c r="I5496" s="444">
        <f t="shared" ca="1" si="208"/>
        <v>-2331687820123784</v>
      </c>
      <c r="J5496" s="444">
        <f t="array" ref="J5496">IFERROR(INDEX('Retirement Calculator'!J:J,MATCH('Isaac 401k'!N5496,'Retirement Calculator'!A:A,0),0),0)</f>
        <v>0</v>
      </c>
      <c r="K5496" s="444">
        <f t="shared" ca="1" si="206"/>
        <v>-9715365917182.4336</v>
      </c>
      <c r="L5496" s="444">
        <f t="shared" ca="1" si="207"/>
        <v>-2341403186040966.5</v>
      </c>
      <c r="M5496" s="460">
        <f t="shared" si="209"/>
        <v>0.05</v>
      </c>
      <c r="N5496" s="464">
        <f t="shared" si="210"/>
        <v>218326</v>
      </c>
    </row>
    <row r="5497" spans="7:14" ht="11.25" customHeight="1" x14ac:dyDescent="0.3">
      <c r="G5497" s="459"/>
      <c r="H5497" s="459">
        <v>5490</v>
      </c>
      <c r="I5497" s="444">
        <f t="shared" ca="1" si="208"/>
        <v>-2341403186040966.5</v>
      </c>
      <c r="J5497" s="444">
        <f t="array" ref="J5497">IFERROR(INDEX('Retirement Calculator'!J:J,MATCH('Isaac 401k'!N5497,'Retirement Calculator'!A:A,0),0),0)</f>
        <v>0</v>
      </c>
      <c r="K5497" s="444">
        <f t="shared" ca="1" si="206"/>
        <v>-9755846608504.0273</v>
      </c>
      <c r="L5497" s="444">
        <f t="shared" ca="1" si="207"/>
        <v>-2351159032649470.5</v>
      </c>
      <c r="M5497" s="460">
        <f t="shared" si="209"/>
        <v>0.05</v>
      </c>
      <c r="N5497" s="464">
        <f t="shared" si="210"/>
        <v>218357</v>
      </c>
    </row>
    <row r="5498" spans="7:14" ht="11.25" customHeight="1" x14ac:dyDescent="0.3">
      <c r="G5498" s="459"/>
      <c r="H5498" s="459">
        <v>5491</v>
      </c>
      <c r="I5498" s="444">
        <f t="shared" ca="1" si="208"/>
        <v>-2351159032649470.5</v>
      </c>
      <c r="J5498" s="444">
        <f t="array" ref="J5498">IFERROR(INDEX('Retirement Calculator'!J:J,MATCH('Isaac 401k'!N5498,'Retirement Calculator'!A:A,0),0),0)</f>
        <v>0</v>
      </c>
      <c r="K5498" s="444">
        <f t="shared" ca="1" si="206"/>
        <v>-9796495969372.793</v>
      </c>
      <c r="L5498" s="444">
        <f t="shared" ca="1" si="207"/>
        <v>-2360955528618843.5</v>
      </c>
      <c r="M5498" s="460">
        <f t="shared" si="209"/>
        <v>0.05</v>
      </c>
      <c r="N5498" s="464">
        <f t="shared" si="210"/>
        <v>218387</v>
      </c>
    </row>
    <row r="5499" spans="7:14" ht="11.25" customHeight="1" x14ac:dyDescent="0.3">
      <c r="G5499" s="459"/>
      <c r="H5499" s="459">
        <v>5492</v>
      </c>
      <c r="I5499" s="444">
        <f t="shared" ca="1" si="208"/>
        <v>-2360955528618843.5</v>
      </c>
      <c r="J5499" s="444">
        <f t="array" ref="J5499">IFERROR(INDEX('Retirement Calculator'!J:J,MATCH('Isaac 401k'!N5499,'Retirement Calculator'!A:A,0),0),0)</f>
        <v>0</v>
      </c>
      <c r="K5499" s="444">
        <f t="shared" ca="1" si="206"/>
        <v>-9837314702578.5137</v>
      </c>
      <c r="L5499" s="444">
        <f t="shared" ca="1" si="207"/>
        <v>-2370792843321422</v>
      </c>
      <c r="M5499" s="460">
        <f t="shared" si="209"/>
        <v>0.05</v>
      </c>
      <c r="N5499" s="464">
        <f t="shared" si="210"/>
        <v>218418</v>
      </c>
    </row>
    <row r="5500" spans="7:14" ht="11.25" customHeight="1" x14ac:dyDescent="0.3">
      <c r="G5500" s="459"/>
      <c r="H5500" s="459">
        <v>5493</v>
      </c>
      <c r="I5500" s="444">
        <f t="shared" ca="1" si="208"/>
        <v>-2370792843321422</v>
      </c>
      <c r="J5500" s="444">
        <f t="array" ref="J5500">IFERROR(INDEX('Retirement Calculator'!J:J,MATCH('Isaac 401k'!N5500,'Retirement Calculator'!A:A,0),0),0)</f>
        <v>0</v>
      </c>
      <c r="K5500" s="444">
        <f t="shared" ca="1" si="206"/>
        <v>-9878303513839.2578</v>
      </c>
      <c r="L5500" s="444">
        <f t="shared" ca="1" si="207"/>
        <v>-2380671146835261.5</v>
      </c>
      <c r="M5500" s="460">
        <f t="shared" si="209"/>
        <v>0.05</v>
      </c>
      <c r="N5500" s="464">
        <f t="shared" si="210"/>
        <v>218449</v>
      </c>
    </row>
    <row r="5501" spans="7:14" ht="11.25" customHeight="1" x14ac:dyDescent="0.3">
      <c r="G5501" s="459"/>
      <c r="H5501" s="459">
        <v>5494</v>
      </c>
      <c r="I5501" s="444">
        <f t="shared" ca="1" si="208"/>
        <v>-2380671146835261.5</v>
      </c>
      <c r="J5501" s="444">
        <f t="array" ref="J5501">IFERROR(INDEX('Retirement Calculator'!J:J,MATCH('Isaac 401k'!N5501,'Retirement Calculator'!A:A,0),0),0)</f>
        <v>0</v>
      </c>
      <c r="K5501" s="444">
        <f t="shared" ca="1" si="206"/>
        <v>-9919463111813.5898</v>
      </c>
      <c r="L5501" s="444">
        <f t="shared" ca="1" si="207"/>
        <v>-2390590609947075</v>
      </c>
      <c r="M5501" s="460">
        <f t="shared" si="209"/>
        <v>0.05</v>
      </c>
      <c r="N5501" s="464">
        <f t="shared" si="210"/>
        <v>218477</v>
      </c>
    </row>
    <row r="5502" spans="7:14" ht="11.25" customHeight="1" x14ac:dyDescent="0.3">
      <c r="G5502" s="459"/>
      <c r="H5502" s="459">
        <v>5495</v>
      </c>
      <c r="I5502" s="444">
        <f t="shared" ca="1" si="208"/>
        <v>-2390590609947075</v>
      </c>
      <c r="J5502" s="444">
        <f t="array" ref="J5502">IFERROR(INDEX('Retirement Calculator'!J:J,MATCH('Isaac 401k'!N5502,'Retirement Calculator'!A:A,0),0),0)</f>
        <v>0</v>
      </c>
      <c r="K5502" s="444">
        <f t="shared" ca="1" si="206"/>
        <v>-9960794208112.8125</v>
      </c>
      <c r="L5502" s="444">
        <f t="shared" ca="1" si="207"/>
        <v>-2400551404155188</v>
      </c>
      <c r="M5502" s="460">
        <f t="shared" si="209"/>
        <v>0.05</v>
      </c>
      <c r="N5502" s="464">
        <f t="shared" si="210"/>
        <v>218508</v>
      </c>
    </row>
    <row r="5503" spans="7:14" ht="11.25" customHeight="1" x14ac:dyDescent="0.3">
      <c r="G5503" s="459"/>
      <c r="H5503" s="459">
        <v>5496</v>
      </c>
      <c r="I5503" s="444">
        <f t="shared" ca="1" si="208"/>
        <v>-2400551404155188</v>
      </c>
      <c r="J5503" s="444">
        <f t="array" ref="J5503">IFERROR(INDEX('Retirement Calculator'!J:J,MATCH('Isaac 401k'!N5503,'Retirement Calculator'!A:A,0),0),0)</f>
        <v>0</v>
      </c>
      <c r="K5503" s="444">
        <f t="shared" ca="1" si="206"/>
        <v>-10002297517313.283</v>
      </c>
      <c r="L5503" s="444">
        <f t="shared" ca="1" si="207"/>
        <v>-2410553701672501.5</v>
      </c>
      <c r="M5503" s="460">
        <f t="shared" si="209"/>
        <v>0.05</v>
      </c>
      <c r="N5503" s="464">
        <f t="shared" si="210"/>
        <v>218538</v>
      </c>
    </row>
    <row r="5504" spans="7:14" ht="11.25" customHeight="1" x14ac:dyDescent="0.3">
      <c r="G5504" s="459"/>
      <c r="H5504" s="459">
        <v>5497</v>
      </c>
      <c r="I5504" s="444">
        <f t="shared" ca="1" si="208"/>
        <v>-2410553701672501.5</v>
      </c>
      <c r="J5504" s="444">
        <f t="array" ref="J5504">IFERROR(INDEX('Retirement Calculator'!J:J,MATCH('Isaac 401k'!N5504,'Retirement Calculator'!A:A,0),0),0)</f>
        <v>0</v>
      </c>
      <c r="K5504" s="444">
        <f t="shared" ca="1" si="206"/>
        <v>-10043973756968.756</v>
      </c>
      <c r="L5504" s="444">
        <f t="shared" ca="1" si="207"/>
        <v>-2420597675429470.5</v>
      </c>
      <c r="M5504" s="460">
        <f t="shared" si="209"/>
        <v>0.05</v>
      </c>
      <c r="N5504" s="464">
        <f t="shared" si="210"/>
        <v>218569</v>
      </c>
    </row>
    <row r="5505" spans="7:14" ht="11.25" customHeight="1" x14ac:dyDescent="0.3">
      <c r="G5505" s="459"/>
      <c r="H5505" s="459">
        <v>5498</v>
      </c>
      <c r="I5505" s="444">
        <f t="shared" ca="1" si="208"/>
        <v>-2420597675429470.5</v>
      </c>
      <c r="J5505" s="444">
        <f t="array" ref="J5505">IFERROR(INDEX('Retirement Calculator'!J:J,MATCH('Isaac 401k'!N5505,'Retirement Calculator'!A:A,0),0),0)</f>
        <v>0</v>
      </c>
      <c r="K5505" s="444">
        <f t="shared" ca="1" si="206"/>
        <v>-10085823647622.793</v>
      </c>
      <c r="L5505" s="444">
        <f t="shared" ca="1" si="207"/>
        <v>-2430683499077093.5</v>
      </c>
      <c r="M5505" s="460">
        <f t="shared" si="209"/>
        <v>0.05</v>
      </c>
      <c r="N5505" s="464">
        <f t="shared" si="210"/>
        <v>218599</v>
      </c>
    </row>
    <row r="5506" spans="7:14" ht="11.25" customHeight="1" x14ac:dyDescent="0.3">
      <c r="G5506" s="459"/>
      <c r="H5506" s="459">
        <v>5499</v>
      </c>
      <c r="I5506" s="444">
        <f t="shared" ca="1" si="208"/>
        <v>-2430683499077093.5</v>
      </c>
      <c r="J5506" s="444">
        <f t="array" ref="J5506">IFERROR(INDEX('Retirement Calculator'!J:J,MATCH('Isaac 401k'!N5506,'Retirement Calculator'!A:A,0),0),0)</f>
        <v>0</v>
      </c>
      <c r="K5506" s="444">
        <f t="shared" ca="1" si="206"/>
        <v>-10127847912821.223</v>
      </c>
      <c r="L5506" s="444">
        <f t="shared" ca="1" si="207"/>
        <v>-2440811346989914.5</v>
      </c>
      <c r="M5506" s="460">
        <f t="shared" si="209"/>
        <v>0.05</v>
      </c>
      <c r="N5506" s="464">
        <f t="shared" si="210"/>
        <v>218630</v>
      </c>
    </row>
    <row r="5507" spans="7:14" ht="11.25" customHeight="1" x14ac:dyDescent="0.3">
      <c r="G5507" s="459"/>
      <c r="H5507" s="459">
        <v>5500</v>
      </c>
      <c r="I5507" s="444">
        <f t="shared" ca="1" si="208"/>
        <v>-2440811346989914.5</v>
      </c>
      <c r="J5507" s="444">
        <f t="array" ref="J5507">IFERROR(INDEX('Retirement Calculator'!J:J,MATCH('Isaac 401k'!N5507,'Retirement Calculator'!A:A,0),0),0)</f>
        <v>0</v>
      </c>
      <c r="K5507" s="444">
        <f t="shared" ca="1" si="206"/>
        <v>-10170047279124.645</v>
      </c>
      <c r="L5507" s="444">
        <f t="shared" ca="1" si="207"/>
        <v>-2450981394269039</v>
      </c>
      <c r="M5507" s="460">
        <f t="shared" si="209"/>
        <v>0.05</v>
      </c>
      <c r="N5507" s="464">
        <f t="shared" si="210"/>
        <v>218661</v>
      </c>
    </row>
    <row r="5508" spans="7:14" ht="11.25" customHeight="1" x14ac:dyDescent="0.3">
      <c r="G5508" s="459"/>
      <c r="H5508" s="459">
        <v>5501</v>
      </c>
      <c r="I5508" s="444">
        <f t="shared" ca="1" si="208"/>
        <v>-2450981394269039</v>
      </c>
      <c r="J5508" s="444">
        <f t="array" ref="J5508">IFERROR(INDEX('Retirement Calculator'!J:J,MATCH('Isaac 401k'!N5508,'Retirement Calculator'!A:A,0),0),0)</f>
        <v>0</v>
      </c>
      <c r="K5508" s="444">
        <f t="shared" ca="1" si="206"/>
        <v>-10212422476120.996</v>
      </c>
      <c r="L5508" s="444">
        <f t="shared" ca="1" si="207"/>
        <v>-2461193816745160</v>
      </c>
      <c r="M5508" s="460">
        <f t="shared" si="209"/>
        <v>0.05</v>
      </c>
      <c r="N5508" s="464">
        <f t="shared" si="210"/>
        <v>218691</v>
      </c>
    </row>
    <row r="5509" spans="7:14" ht="11.25" customHeight="1" x14ac:dyDescent="0.3">
      <c r="G5509" s="459"/>
      <c r="H5509" s="459">
        <v>5502</v>
      </c>
      <c r="I5509" s="444">
        <f t="shared" ca="1" si="208"/>
        <v>-2461193816745160</v>
      </c>
      <c r="J5509" s="444">
        <f t="array" ref="J5509">IFERROR(INDEX('Retirement Calculator'!J:J,MATCH('Isaac 401k'!N5509,'Retirement Calculator'!A:A,0),0),0)</f>
        <v>0</v>
      </c>
      <c r="K5509" s="444">
        <f t="shared" ca="1" si="206"/>
        <v>-10254974236438.166</v>
      </c>
      <c r="L5509" s="444">
        <f t="shared" ca="1" si="207"/>
        <v>-2471448790981598</v>
      </c>
      <c r="M5509" s="460">
        <f t="shared" si="209"/>
        <v>0.05</v>
      </c>
      <c r="N5509" s="464">
        <f t="shared" si="210"/>
        <v>218722</v>
      </c>
    </row>
    <row r="5510" spans="7:14" ht="11.25" customHeight="1" x14ac:dyDescent="0.3">
      <c r="G5510" s="459"/>
      <c r="H5510" s="459">
        <v>5503</v>
      </c>
      <c r="I5510" s="444">
        <f t="shared" ca="1" si="208"/>
        <v>-2471448790981598</v>
      </c>
      <c r="J5510" s="444">
        <f t="array" ref="J5510">IFERROR(INDEX('Retirement Calculator'!J:J,MATCH('Isaac 401k'!N5510,'Retirement Calculator'!A:A,0),0),0)</f>
        <v>0</v>
      </c>
      <c r="K5510" s="444">
        <f t="shared" ca="1" si="206"/>
        <v>-10297703295756.658</v>
      </c>
      <c r="L5510" s="444">
        <f t="shared" ca="1" si="207"/>
        <v>-2481746494277354.5</v>
      </c>
      <c r="M5510" s="460">
        <f t="shared" si="209"/>
        <v>0.05</v>
      </c>
      <c r="N5510" s="464">
        <f t="shared" si="210"/>
        <v>218752</v>
      </c>
    </row>
    <row r="5511" spans="7:14" ht="11.25" customHeight="1" x14ac:dyDescent="0.3">
      <c r="G5511" s="459"/>
      <c r="H5511" s="459">
        <v>5504</v>
      </c>
      <c r="I5511" s="444">
        <f t="shared" ca="1" si="208"/>
        <v>-2481746494277354.5</v>
      </c>
      <c r="J5511" s="444">
        <f t="array" ref="J5511">IFERROR(INDEX('Retirement Calculator'!J:J,MATCH('Isaac 401k'!N5511,'Retirement Calculator'!A:A,0),0),0)</f>
        <v>0</v>
      </c>
      <c r="K5511" s="444">
        <f t="shared" ca="1" si="206"/>
        <v>-10340610392822.311</v>
      </c>
      <c r="L5511" s="444">
        <f t="shared" ca="1" si="207"/>
        <v>-2492087104670177</v>
      </c>
      <c r="M5511" s="460">
        <f t="shared" si="209"/>
        <v>0.05</v>
      </c>
      <c r="N5511" s="464">
        <f t="shared" si="210"/>
        <v>218783</v>
      </c>
    </row>
    <row r="5512" spans="7:14" ht="11.25" customHeight="1" x14ac:dyDescent="0.3">
      <c r="G5512" s="459"/>
      <c r="H5512" s="459">
        <v>5505</v>
      </c>
      <c r="I5512" s="444">
        <f t="shared" ca="1" si="208"/>
        <v>-2492087104670177</v>
      </c>
      <c r="J5512" s="444">
        <f t="array" ref="J5512">IFERROR(INDEX('Retirement Calculator'!J:J,MATCH('Isaac 401k'!N5512,'Retirement Calculator'!A:A,0),0),0)</f>
        <v>0</v>
      </c>
      <c r="K5512" s="444">
        <f t="shared" ca="1" si="206"/>
        <v>-10383696269459.07</v>
      </c>
      <c r="L5512" s="444">
        <f t="shared" ca="1" si="207"/>
        <v>-2502470800939636</v>
      </c>
      <c r="M5512" s="460">
        <f t="shared" si="209"/>
        <v>0.05</v>
      </c>
      <c r="N5512" s="464">
        <f t="shared" si="210"/>
        <v>218814</v>
      </c>
    </row>
    <row r="5513" spans="7:14" ht="11.25" customHeight="1" x14ac:dyDescent="0.3">
      <c r="G5513" s="459"/>
      <c r="H5513" s="459">
        <v>5506</v>
      </c>
      <c r="I5513" s="444">
        <f t="shared" ca="1" si="208"/>
        <v>-2502470800939636</v>
      </c>
      <c r="J5513" s="444">
        <f t="array" ref="J5513">IFERROR(INDEX('Retirement Calculator'!J:J,MATCH('Isaac 401k'!N5513,'Retirement Calculator'!A:A,0),0),0)</f>
        <v>0</v>
      </c>
      <c r="K5513" s="444">
        <f t="shared" ca="1" si="206"/>
        <v>-10426961670581.816</v>
      </c>
      <c r="L5513" s="444">
        <f t="shared" ca="1" si="207"/>
        <v>-2512897762610218</v>
      </c>
      <c r="M5513" s="460">
        <f t="shared" si="209"/>
        <v>0.05</v>
      </c>
      <c r="N5513" s="464">
        <f t="shared" si="210"/>
        <v>218842</v>
      </c>
    </row>
    <row r="5514" spans="7:14" ht="11.25" customHeight="1" x14ac:dyDescent="0.3">
      <c r="G5514" s="459"/>
      <c r="H5514" s="459">
        <v>5507</v>
      </c>
      <c r="I5514" s="444">
        <f t="shared" ca="1" si="208"/>
        <v>-2512897762610218</v>
      </c>
      <c r="J5514" s="444">
        <f t="array" ref="J5514">IFERROR(INDEX('Retirement Calculator'!J:J,MATCH('Isaac 401k'!N5514,'Retirement Calculator'!A:A,0),0),0)</f>
        <v>0</v>
      </c>
      <c r="K5514" s="444">
        <f t="shared" ca="1" si="206"/>
        <v>-10470407344209.242</v>
      </c>
      <c r="L5514" s="444">
        <f t="shared" ca="1" si="207"/>
        <v>-2523368169954427</v>
      </c>
      <c r="M5514" s="460">
        <f t="shared" si="209"/>
        <v>0.05</v>
      </c>
      <c r="N5514" s="464">
        <f t="shared" si="210"/>
        <v>218873</v>
      </c>
    </row>
    <row r="5515" spans="7:14" ht="11.25" customHeight="1" x14ac:dyDescent="0.3">
      <c r="G5515" s="459"/>
      <c r="H5515" s="459">
        <v>5508</v>
      </c>
      <c r="I5515" s="444">
        <f t="shared" ca="1" si="208"/>
        <v>-2523368169954427</v>
      </c>
      <c r="J5515" s="444">
        <f t="array" ref="J5515">IFERROR(INDEX('Retirement Calculator'!J:J,MATCH('Isaac 401k'!N5515,'Retirement Calculator'!A:A,0),0),0)</f>
        <v>0</v>
      </c>
      <c r="K5515" s="444">
        <f t="shared" ca="1" si="206"/>
        <v>-10514034041476.779</v>
      </c>
      <c r="L5515" s="444">
        <f t="shared" ca="1" si="207"/>
        <v>-2533882203995904</v>
      </c>
      <c r="M5515" s="460">
        <f t="shared" si="209"/>
        <v>0.05</v>
      </c>
      <c r="N5515" s="464">
        <f t="shared" si="210"/>
        <v>218903</v>
      </c>
    </row>
    <row r="5516" spans="7:14" ht="11.25" customHeight="1" x14ac:dyDescent="0.3">
      <c r="G5516" s="459"/>
      <c r="H5516" s="459">
        <v>5509</v>
      </c>
      <c r="I5516" s="444">
        <f t="shared" ca="1" si="208"/>
        <v>-2533882203995904</v>
      </c>
      <c r="J5516" s="444">
        <f t="array" ref="J5516">IFERROR(INDEX('Retirement Calculator'!J:J,MATCH('Isaac 401k'!N5516,'Retirement Calculator'!A:A,0),0),0)</f>
        <v>0</v>
      </c>
      <c r="K5516" s="444">
        <f t="shared" ca="1" si="206"/>
        <v>-10557842516649.6</v>
      </c>
      <c r="L5516" s="444">
        <f t="shared" ca="1" si="207"/>
        <v>-2544440046512553.5</v>
      </c>
      <c r="M5516" s="460">
        <f t="shared" si="209"/>
        <v>0.05</v>
      </c>
      <c r="N5516" s="464">
        <f t="shared" si="210"/>
        <v>218934</v>
      </c>
    </row>
    <row r="5517" spans="7:14" ht="11.25" customHeight="1" x14ac:dyDescent="0.3">
      <c r="G5517" s="459"/>
      <c r="H5517" s="459">
        <v>5510</v>
      </c>
      <c r="I5517" s="444">
        <f t="shared" ca="1" si="208"/>
        <v>-2544440046512553.5</v>
      </c>
      <c r="J5517" s="444">
        <f t="array" ref="J5517">IFERROR(INDEX('Retirement Calculator'!J:J,MATCH('Isaac 401k'!N5517,'Retirement Calculator'!A:A,0),0),0)</f>
        <v>0</v>
      </c>
      <c r="K5517" s="444">
        <f t="shared" ca="1" si="206"/>
        <v>-10601833527135.639</v>
      </c>
      <c r="L5517" s="444">
        <f t="shared" ca="1" si="207"/>
        <v>-2555041880039689</v>
      </c>
      <c r="M5517" s="460">
        <f t="shared" si="209"/>
        <v>0.05</v>
      </c>
      <c r="N5517" s="464">
        <f t="shared" si="210"/>
        <v>218964</v>
      </c>
    </row>
    <row r="5518" spans="7:14" ht="11.25" customHeight="1" x14ac:dyDescent="0.3">
      <c r="G5518" s="459"/>
      <c r="H5518" s="459">
        <v>5511</v>
      </c>
      <c r="I5518" s="444">
        <f t="shared" ca="1" si="208"/>
        <v>-2555041880039689</v>
      </c>
      <c r="J5518" s="444">
        <f t="array" ref="J5518">IFERROR(INDEX('Retirement Calculator'!J:J,MATCH('Isaac 401k'!N5518,'Retirement Calculator'!A:A,0),0),0)</f>
        <v>0</v>
      </c>
      <c r="K5518" s="444">
        <f t="shared" ca="1" si="206"/>
        <v>-10646007833498.703</v>
      </c>
      <c r="L5518" s="444">
        <f t="shared" ca="1" si="207"/>
        <v>-2565687887873187.5</v>
      </c>
      <c r="M5518" s="460">
        <f t="shared" si="209"/>
        <v>0.05</v>
      </c>
      <c r="N5518" s="464">
        <f t="shared" si="210"/>
        <v>218995</v>
      </c>
    </row>
    <row r="5519" spans="7:14" ht="11.25" customHeight="1" x14ac:dyDescent="0.3">
      <c r="G5519" s="459"/>
      <c r="H5519" s="459">
        <v>5512</v>
      </c>
      <c r="I5519" s="444">
        <f t="shared" ca="1" si="208"/>
        <v>-2565687887873187.5</v>
      </c>
      <c r="J5519" s="444">
        <f t="array" ref="J5519">IFERROR(INDEX('Retirement Calculator'!J:J,MATCH('Isaac 401k'!N5519,'Retirement Calculator'!A:A,0),0),0)</f>
        <v>0</v>
      </c>
      <c r="K5519" s="444">
        <f t="shared" ca="1" si="206"/>
        <v>-10690366199471.615</v>
      </c>
      <c r="L5519" s="444">
        <f t="shared" ca="1" si="207"/>
        <v>-2576378254072659</v>
      </c>
      <c r="M5519" s="460">
        <f t="shared" si="209"/>
        <v>0.05</v>
      </c>
      <c r="N5519" s="464">
        <f t="shared" si="210"/>
        <v>219026</v>
      </c>
    </row>
    <row r="5520" spans="7:14" ht="11.25" customHeight="1" x14ac:dyDescent="0.3">
      <c r="G5520" s="459"/>
      <c r="H5520" s="459">
        <v>5513</v>
      </c>
      <c r="I5520" s="444">
        <f t="shared" ca="1" si="208"/>
        <v>-2576378254072659</v>
      </c>
      <c r="J5520" s="444">
        <f t="array" ref="J5520">IFERROR(INDEX('Retirement Calculator'!J:J,MATCH('Isaac 401k'!N5520,'Retirement Calculator'!A:A,0),0),0)</f>
        <v>0</v>
      </c>
      <c r="K5520" s="444">
        <f t="shared" ca="1" si="206"/>
        <v>-10734909391969.412</v>
      </c>
      <c r="L5520" s="444">
        <f t="shared" ca="1" si="207"/>
        <v>-2587113163464628.5</v>
      </c>
      <c r="M5520" s="460">
        <f t="shared" si="209"/>
        <v>0.05</v>
      </c>
      <c r="N5520" s="464">
        <f t="shared" si="210"/>
        <v>219056</v>
      </c>
    </row>
    <row r="5521" spans="7:14" ht="11.25" customHeight="1" x14ac:dyDescent="0.3">
      <c r="G5521" s="459"/>
      <c r="H5521" s="459">
        <v>5514</v>
      </c>
      <c r="I5521" s="444">
        <f t="shared" ca="1" si="208"/>
        <v>-2587113163464628.5</v>
      </c>
      <c r="J5521" s="444">
        <f t="array" ref="J5521">IFERROR(INDEX('Retirement Calculator'!J:J,MATCH('Isaac 401k'!N5521,'Retirement Calculator'!A:A,0),0),0)</f>
        <v>0</v>
      </c>
      <c r="K5521" s="444">
        <f t="shared" ca="1" si="206"/>
        <v>-10779638181102.619</v>
      </c>
      <c r="L5521" s="444">
        <f t="shared" ca="1" si="207"/>
        <v>-2597892801645731</v>
      </c>
      <c r="M5521" s="460">
        <f t="shared" si="209"/>
        <v>0.05</v>
      </c>
      <c r="N5521" s="464">
        <f t="shared" si="210"/>
        <v>219087</v>
      </c>
    </row>
    <row r="5522" spans="7:14" ht="11.25" customHeight="1" x14ac:dyDescent="0.3">
      <c r="G5522" s="459"/>
      <c r="H5522" s="459">
        <v>5515</v>
      </c>
      <c r="I5522" s="444">
        <f t="shared" ca="1" si="208"/>
        <v>-2597892801645731</v>
      </c>
      <c r="J5522" s="444">
        <f t="array" ref="J5522">IFERROR(INDEX('Retirement Calculator'!J:J,MATCH('Isaac 401k'!N5522,'Retirement Calculator'!A:A,0),0),0)</f>
        <v>0</v>
      </c>
      <c r="K5522" s="444">
        <f t="shared" ca="1" si="206"/>
        <v>-10824553340190.545</v>
      </c>
      <c r="L5522" s="444">
        <f t="shared" ca="1" si="207"/>
        <v>-2608717354985921.5</v>
      </c>
      <c r="M5522" s="460">
        <f t="shared" si="209"/>
        <v>0.05</v>
      </c>
      <c r="N5522" s="464">
        <f t="shared" si="210"/>
        <v>219117</v>
      </c>
    </row>
    <row r="5523" spans="7:14" ht="11.25" customHeight="1" x14ac:dyDescent="0.3">
      <c r="G5523" s="459"/>
      <c r="H5523" s="459">
        <v>5516</v>
      </c>
      <c r="I5523" s="444">
        <f t="shared" ca="1" si="208"/>
        <v>-2608717354985921.5</v>
      </c>
      <c r="J5523" s="444">
        <f t="array" ref="J5523">IFERROR(INDEX('Retirement Calculator'!J:J,MATCH('Isaac 401k'!N5523,'Retirement Calculator'!A:A,0),0),0)</f>
        <v>0</v>
      </c>
      <c r="K5523" s="444">
        <f t="shared" ca="1" si="206"/>
        <v>-10869655645774.672</v>
      </c>
      <c r="L5523" s="444">
        <f t="shared" ca="1" si="207"/>
        <v>-2619587010631696</v>
      </c>
      <c r="M5523" s="460">
        <f t="shared" si="209"/>
        <v>0.05</v>
      </c>
      <c r="N5523" s="464">
        <f t="shared" si="210"/>
        <v>219148</v>
      </c>
    </row>
    <row r="5524" spans="7:14" ht="11.25" customHeight="1" x14ac:dyDescent="0.3">
      <c r="G5524" s="459"/>
      <c r="H5524" s="459">
        <v>5517</v>
      </c>
      <c r="I5524" s="444">
        <f t="shared" ca="1" si="208"/>
        <v>-2619587010631696</v>
      </c>
      <c r="J5524" s="444">
        <f t="array" ref="J5524">IFERROR(INDEX('Retirement Calculator'!J:J,MATCH('Isaac 401k'!N5524,'Retirement Calculator'!A:A,0),0),0)</f>
        <v>0</v>
      </c>
      <c r="K5524" s="444">
        <f t="shared" ca="1" si="206"/>
        <v>-10914945877632.066</v>
      </c>
      <c r="L5524" s="444">
        <f t="shared" ca="1" si="207"/>
        <v>-2630501956509328</v>
      </c>
      <c r="M5524" s="460">
        <f t="shared" si="209"/>
        <v>0.05</v>
      </c>
      <c r="N5524" s="464">
        <f t="shared" si="210"/>
        <v>219179</v>
      </c>
    </row>
    <row r="5525" spans="7:14" ht="11.25" customHeight="1" x14ac:dyDescent="0.3">
      <c r="G5525" s="459"/>
      <c r="H5525" s="459">
        <v>5518</v>
      </c>
      <c r="I5525" s="444">
        <f t="shared" ca="1" si="208"/>
        <v>-2630501956509328</v>
      </c>
      <c r="J5525" s="444">
        <f t="array" ref="J5525">IFERROR(INDEX('Retirement Calculator'!J:J,MATCH('Isaac 401k'!N5525,'Retirement Calculator'!A:A,0),0),0)</f>
        <v>0</v>
      </c>
      <c r="K5525" s="444">
        <f t="shared" ca="1" si="206"/>
        <v>-10960424818788.867</v>
      </c>
      <c r="L5525" s="444">
        <f t="shared" ca="1" si="207"/>
        <v>-2641462381328117</v>
      </c>
      <c r="M5525" s="460">
        <f t="shared" si="209"/>
        <v>0.05</v>
      </c>
      <c r="N5525" s="464">
        <f t="shared" si="210"/>
        <v>219207</v>
      </c>
    </row>
    <row r="5526" spans="7:14" ht="11.25" customHeight="1" x14ac:dyDescent="0.3">
      <c r="G5526" s="459"/>
      <c r="H5526" s="459">
        <v>5519</v>
      </c>
      <c r="I5526" s="444">
        <f t="shared" ca="1" si="208"/>
        <v>-2641462381328117</v>
      </c>
      <c r="J5526" s="444">
        <f t="array" ref="J5526">IFERROR(INDEX('Retirement Calculator'!J:J,MATCH('Isaac 401k'!N5526,'Retirement Calculator'!A:A,0),0),0)</f>
        <v>0</v>
      </c>
      <c r="K5526" s="444">
        <f t="shared" ca="1" si="206"/>
        <v>-11006093255533.82</v>
      </c>
      <c r="L5526" s="444">
        <f t="shared" ca="1" si="207"/>
        <v>-2652468474583651</v>
      </c>
      <c r="M5526" s="460">
        <f t="shared" si="209"/>
        <v>0.05</v>
      </c>
      <c r="N5526" s="464">
        <f t="shared" si="210"/>
        <v>219238</v>
      </c>
    </row>
    <row r="5527" spans="7:14" ht="11.25" customHeight="1" x14ac:dyDescent="0.3">
      <c r="G5527" s="459"/>
      <c r="H5527" s="459">
        <v>5520</v>
      </c>
      <c r="I5527" s="444">
        <f t="shared" ca="1" si="208"/>
        <v>-2652468474583651</v>
      </c>
      <c r="J5527" s="444">
        <f t="array" ref="J5527">IFERROR(INDEX('Retirement Calculator'!J:J,MATCH('Isaac 401k'!N5527,'Retirement Calculator'!A:A,0),0),0)</f>
        <v>0</v>
      </c>
      <c r="K5527" s="444">
        <f t="shared" ca="1" si="206"/>
        <v>-11051951977431.879</v>
      </c>
      <c r="L5527" s="444">
        <f t="shared" ca="1" si="207"/>
        <v>-2663520426561083</v>
      </c>
      <c r="M5527" s="460">
        <f t="shared" si="209"/>
        <v>0.05</v>
      </c>
      <c r="N5527" s="464">
        <f t="shared" si="210"/>
        <v>219268</v>
      </c>
    </row>
    <row r="5528" spans="7:14" ht="11.25" customHeight="1" x14ac:dyDescent="0.3">
      <c r="G5528" s="459"/>
      <c r="H5528" s="459">
        <v>5521</v>
      </c>
      <c r="I5528" s="444">
        <f t="shared" ca="1" si="208"/>
        <v>-2663520426561083</v>
      </c>
      <c r="J5528" s="444">
        <f t="array" ref="J5528">IFERROR(INDEX('Retirement Calculator'!J:J,MATCH('Isaac 401k'!N5528,'Retirement Calculator'!A:A,0),0),0)</f>
        <v>0</v>
      </c>
      <c r="K5528" s="444">
        <f t="shared" ca="1" si="206"/>
        <v>-11098001777337.846</v>
      </c>
      <c r="L5528" s="444">
        <f t="shared" ca="1" si="207"/>
        <v>-2674618428338421</v>
      </c>
      <c r="M5528" s="460">
        <f t="shared" si="209"/>
        <v>0.05</v>
      </c>
      <c r="N5528" s="464">
        <f t="shared" si="210"/>
        <v>219299</v>
      </c>
    </row>
    <row r="5529" spans="7:14" ht="11.25" customHeight="1" x14ac:dyDescent="0.3">
      <c r="G5529" s="459"/>
      <c r="H5529" s="459">
        <v>5522</v>
      </c>
      <c r="I5529" s="444">
        <f t="shared" ca="1" si="208"/>
        <v>-2674618428338421</v>
      </c>
      <c r="J5529" s="444">
        <f t="array" ref="J5529">IFERROR(INDEX('Retirement Calculator'!J:J,MATCH('Isaac 401k'!N5529,'Retirement Calculator'!A:A,0),0),0)</f>
        <v>0</v>
      </c>
      <c r="K5529" s="444">
        <f t="shared" ca="1" si="206"/>
        <v>-11144243451410.088</v>
      </c>
      <c r="L5529" s="444">
        <f t="shared" ca="1" si="207"/>
        <v>-2685762671789831</v>
      </c>
      <c r="M5529" s="460">
        <f t="shared" si="209"/>
        <v>0.05</v>
      </c>
      <c r="N5529" s="464">
        <f t="shared" si="210"/>
        <v>219329</v>
      </c>
    </row>
    <row r="5530" spans="7:14" ht="11.25" customHeight="1" x14ac:dyDescent="0.3">
      <c r="G5530" s="459"/>
      <c r="H5530" s="459">
        <v>5523</v>
      </c>
      <c r="I5530" s="444">
        <f t="shared" ca="1" si="208"/>
        <v>-2685762671789831</v>
      </c>
      <c r="J5530" s="444">
        <f t="array" ref="J5530">IFERROR(INDEX('Retirement Calculator'!J:J,MATCH('Isaac 401k'!N5530,'Retirement Calculator'!A:A,0),0),0)</f>
        <v>0</v>
      </c>
      <c r="K5530" s="444">
        <f t="shared" ca="1" si="206"/>
        <v>-11190677799124.295</v>
      </c>
      <c r="L5530" s="444">
        <f t="shared" ca="1" si="207"/>
        <v>-2696953349588955.5</v>
      </c>
      <c r="M5530" s="460">
        <f t="shared" si="209"/>
        <v>0.05</v>
      </c>
      <c r="N5530" s="464">
        <f t="shared" si="210"/>
        <v>219360</v>
      </c>
    </row>
    <row r="5531" spans="7:14" ht="11.25" customHeight="1" x14ac:dyDescent="0.3">
      <c r="G5531" s="459"/>
      <c r="H5531" s="459">
        <v>5524</v>
      </c>
      <c r="I5531" s="444">
        <f t="shared" ca="1" si="208"/>
        <v>-2696953349588955.5</v>
      </c>
      <c r="J5531" s="444">
        <f t="array" ref="J5531">IFERROR(INDEX('Retirement Calculator'!J:J,MATCH('Isaac 401k'!N5531,'Retirement Calculator'!A:A,0),0),0)</f>
        <v>0</v>
      </c>
      <c r="K5531" s="444">
        <f t="shared" ca="1" si="206"/>
        <v>-11237305623287.314</v>
      </c>
      <c r="L5531" s="444">
        <f t="shared" ca="1" si="207"/>
        <v>-2708190655212243</v>
      </c>
      <c r="M5531" s="460">
        <f t="shared" si="209"/>
        <v>0.05</v>
      </c>
      <c r="N5531" s="464">
        <f t="shared" si="210"/>
        <v>219391</v>
      </c>
    </row>
    <row r="5532" spans="7:14" ht="11.25" customHeight="1" x14ac:dyDescent="0.3">
      <c r="G5532" s="459"/>
      <c r="H5532" s="459">
        <v>5525</v>
      </c>
      <c r="I5532" s="444">
        <f t="shared" ca="1" si="208"/>
        <v>-2708190655212243</v>
      </c>
      <c r="J5532" s="444">
        <f t="array" ref="J5532">IFERROR(INDEX('Retirement Calculator'!J:J,MATCH('Isaac 401k'!N5532,'Retirement Calculator'!A:A,0),0),0)</f>
        <v>0</v>
      </c>
      <c r="K5532" s="444">
        <f t="shared" ca="1" si="206"/>
        <v>-11284127730051.012</v>
      </c>
      <c r="L5532" s="444">
        <f t="shared" ca="1" si="207"/>
        <v>-2719474782942294</v>
      </c>
      <c r="M5532" s="460">
        <f t="shared" si="209"/>
        <v>0.05</v>
      </c>
      <c r="N5532" s="464">
        <f t="shared" si="210"/>
        <v>219421</v>
      </c>
    </row>
    <row r="5533" spans="7:14" ht="11.25" customHeight="1" x14ac:dyDescent="0.3">
      <c r="G5533" s="459"/>
      <c r="H5533" s="459">
        <v>5526</v>
      </c>
      <c r="I5533" s="444">
        <f t="shared" ca="1" si="208"/>
        <v>-2719474782942294</v>
      </c>
      <c r="J5533" s="444">
        <f t="array" ref="J5533">IFERROR(INDEX('Retirement Calculator'!J:J,MATCH('Isaac 401k'!N5533,'Retirement Calculator'!A:A,0),0),0)</f>
        <v>0</v>
      </c>
      <c r="K5533" s="444">
        <f t="shared" ca="1" si="206"/>
        <v>-11331144928926.225</v>
      </c>
      <c r="L5533" s="444">
        <f t="shared" ca="1" si="207"/>
        <v>-2730805927871220</v>
      </c>
      <c r="M5533" s="460">
        <f t="shared" si="209"/>
        <v>0.05</v>
      </c>
      <c r="N5533" s="464">
        <f t="shared" si="210"/>
        <v>219452</v>
      </c>
    </row>
    <row r="5534" spans="7:14" ht="11.25" customHeight="1" x14ac:dyDescent="0.3">
      <c r="G5534" s="459"/>
      <c r="H5534" s="459">
        <v>5527</v>
      </c>
      <c r="I5534" s="444">
        <f t="shared" ca="1" si="208"/>
        <v>-2730805927871220</v>
      </c>
      <c r="J5534" s="444">
        <f t="array" ref="J5534">IFERROR(INDEX('Retirement Calculator'!J:J,MATCH('Isaac 401k'!N5534,'Retirement Calculator'!A:A,0),0),0)</f>
        <v>0</v>
      </c>
      <c r="K5534" s="444">
        <f t="shared" ca="1" si="206"/>
        <v>-11378358032796.75</v>
      </c>
      <c r="L5534" s="444">
        <f t="shared" ca="1" si="207"/>
        <v>-2742184285904017</v>
      </c>
      <c r="M5534" s="460">
        <f t="shared" si="209"/>
        <v>0.05</v>
      </c>
      <c r="N5534" s="464">
        <f t="shared" si="210"/>
        <v>219482</v>
      </c>
    </row>
    <row r="5535" spans="7:14" ht="11.25" customHeight="1" x14ac:dyDescent="0.3">
      <c r="G5535" s="459"/>
      <c r="H5535" s="459">
        <v>5528</v>
      </c>
      <c r="I5535" s="444">
        <f t="shared" ca="1" si="208"/>
        <v>-2742184285904017</v>
      </c>
      <c r="J5535" s="444">
        <f t="array" ref="J5535">IFERROR(INDEX('Retirement Calculator'!J:J,MATCH('Isaac 401k'!N5535,'Retirement Calculator'!A:A,0),0),0)</f>
        <v>0</v>
      </c>
      <c r="K5535" s="444">
        <f t="shared" ca="1" si="206"/>
        <v>-11425767857933.404</v>
      </c>
      <c r="L5535" s="444">
        <f t="shared" ca="1" si="207"/>
        <v>-2753610053761950.5</v>
      </c>
      <c r="M5535" s="460">
        <f t="shared" si="209"/>
        <v>0.05</v>
      </c>
      <c r="N5535" s="464">
        <f t="shared" si="210"/>
        <v>219513</v>
      </c>
    </row>
    <row r="5536" spans="7:14" ht="11.25" customHeight="1" x14ac:dyDescent="0.3">
      <c r="G5536" s="459"/>
      <c r="H5536" s="459">
        <v>5529</v>
      </c>
      <c r="I5536" s="444">
        <f t="shared" ca="1" si="208"/>
        <v>-2753610053761950.5</v>
      </c>
      <c r="J5536" s="444">
        <f t="array" ref="J5536">IFERROR(INDEX('Retirement Calculator'!J:J,MATCH('Isaac 401k'!N5536,'Retirement Calculator'!A:A,0),0),0)</f>
        <v>0</v>
      </c>
      <c r="K5536" s="444">
        <f t="shared" ca="1" si="206"/>
        <v>-11473375224008.127</v>
      </c>
      <c r="L5536" s="444">
        <f t="shared" ca="1" si="207"/>
        <v>-2765083428985958.5</v>
      </c>
      <c r="M5536" s="460">
        <f t="shared" si="209"/>
        <v>0.05</v>
      </c>
      <c r="N5536" s="464">
        <f t="shared" si="210"/>
        <v>219544</v>
      </c>
    </row>
    <row r="5537" spans="7:14" ht="11.25" customHeight="1" x14ac:dyDescent="0.3">
      <c r="G5537" s="459"/>
      <c r="H5537" s="459">
        <v>5530</v>
      </c>
      <c r="I5537" s="444">
        <f t="shared" ca="1" si="208"/>
        <v>-2765083428985958.5</v>
      </c>
      <c r="J5537" s="444">
        <f t="array" ref="J5537">IFERROR(INDEX('Retirement Calculator'!J:J,MATCH('Isaac 401k'!N5537,'Retirement Calculator'!A:A,0),0),0)</f>
        <v>0</v>
      </c>
      <c r="K5537" s="444">
        <f t="shared" ca="1" si="206"/>
        <v>-11521180954108.16</v>
      </c>
      <c r="L5537" s="444">
        <f t="shared" ca="1" si="207"/>
        <v>-2776604609940066.5</v>
      </c>
      <c r="M5537" s="460">
        <f t="shared" si="209"/>
        <v>0.05</v>
      </c>
      <c r="N5537" s="464">
        <f t="shared" si="210"/>
        <v>219572</v>
      </c>
    </row>
    <row r="5538" spans="7:14" ht="11.25" customHeight="1" x14ac:dyDescent="0.3">
      <c r="G5538" s="459"/>
      <c r="H5538" s="459">
        <v>5531</v>
      </c>
      <c r="I5538" s="444">
        <f t="shared" ca="1" si="208"/>
        <v>-2776604609940066.5</v>
      </c>
      <c r="J5538" s="444">
        <f t="array" ref="J5538">IFERROR(INDEX('Retirement Calculator'!J:J,MATCH('Isaac 401k'!N5538,'Retirement Calculator'!A:A,0),0),0)</f>
        <v>0</v>
      </c>
      <c r="K5538" s="444">
        <f t="shared" ca="1" si="206"/>
        <v>-11569185874750.277</v>
      </c>
      <c r="L5538" s="444">
        <f t="shared" ca="1" si="207"/>
        <v>-2788173795814817</v>
      </c>
      <c r="M5538" s="460">
        <f t="shared" si="209"/>
        <v>0.05</v>
      </c>
      <c r="N5538" s="464">
        <f t="shared" si="210"/>
        <v>219603</v>
      </c>
    </row>
    <row r="5539" spans="7:14" ht="11.25" customHeight="1" x14ac:dyDescent="0.3">
      <c r="G5539" s="459"/>
      <c r="H5539" s="459">
        <v>5532</v>
      </c>
      <c r="I5539" s="444">
        <f t="shared" ca="1" si="208"/>
        <v>-2788173795814817</v>
      </c>
      <c r="J5539" s="444">
        <f t="array" ref="J5539">IFERROR(INDEX('Retirement Calculator'!J:J,MATCH('Isaac 401k'!N5539,'Retirement Calculator'!A:A,0),0),0)</f>
        <v>0</v>
      </c>
      <c r="K5539" s="444">
        <f t="shared" ca="1" si="206"/>
        <v>-11617390815895.07</v>
      </c>
      <c r="L5539" s="444">
        <f t="shared" ca="1" si="207"/>
        <v>-2799791186630712</v>
      </c>
      <c r="M5539" s="460">
        <f t="shared" si="209"/>
        <v>0.05</v>
      </c>
      <c r="N5539" s="464">
        <f t="shared" si="210"/>
        <v>219633</v>
      </c>
    </row>
    <row r="5540" spans="7:14" ht="11.25" customHeight="1" x14ac:dyDescent="0.3">
      <c r="G5540" s="459"/>
      <c r="H5540" s="459">
        <v>5533</v>
      </c>
      <c r="I5540" s="444">
        <f t="shared" ca="1" si="208"/>
        <v>-2799791186630712</v>
      </c>
      <c r="J5540" s="444">
        <f t="array" ref="J5540">IFERROR(INDEX('Retirement Calculator'!J:J,MATCH('Isaac 401k'!N5540,'Retirement Calculator'!A:A,0),0),0)</f>
        <v>0</v>
      </c>
      <c r="K5540" s="444">
        <f t="shared" ca="1" si="206"/>
        <v>-11665796610961.301</v>
      </c>
      <c r="L5540" s="444">
        <f t="shared" ca="1" si="207"/>
        <v>-2811456983241673.5</v>
      </c>
      <c r="M5540" s="460">
        <f t="shared" si="209"/>
        <v>0.05</v>
      </c>
      <c r="N5540" s="464">
        <f t="shared" si="210"/>
        <v>219664</v>
      </c>
    </row>
    <row r="5541" spans="7:14" ht="11.25" customHeight="1" x14ac:dyDescent="0.3">
      <c r="G5541" s="459"/>
      <c r="H5541" s="459">
        <v>5534</v>
      </c>
      <c r="I5541" s="444">
        <f t="shared" ca="1" si="208"/>
        <v>-2811456983241673.5</v>
      </c>
      <c r="J5541" s="444">
        <f t="array" ref="J5541">IFERROR(INDEX('Retirement Calculator'!J:J,MATCH('Isaac 401k'!N5541,'Retirement Calculator'!A:A,0),0),0)</f>
        <v>0</v>
      </c>
      <c r="K5541" s="444">
        <f t="shared" ca="1" si="206"/>
        <v>-11714404096840.307</v>
      </c>
      <c r="L5541" s="444">
        <f t="shared" ca="1" si="207"/>
        <v>-2823171387338514</v>
      </c>
      <c r="M5541" s="460">
        <f t="shared" si="209"/>
        <v>0.05</v>
      </c>
      <c r="N5541" s="464">
        <f t="shared" si="210"/>
        <v>219694</v>
      </c>
    </row>
    <row r="5542" spans="7:14" ht="11.25" customHeight="1" x14ac:dyDescent="0.3">
      <c r="G5542" s="459"/>
      <c r="H5542" s="459">
        <v>5535</v>
      </c>
      <c r="I5542" s="444">
        <f t="shared" ca="1" si="208"/>
        <v>-2823171387338514</v>
      </c>
      <c r="J5542" s="444">
        <f t="array" ref="J5542">IFERROR(INDEX('Retirement Calculator'!J:J,MATCH('Isaac 401k'!N5542,'Retirement Calculator'!A:A,0),0),0)</f>
        <v>0</v>
      </c>
      <c r="K5542" s="444">
        <f t="shared" ca="1" si="206"/>
        <v>-11763214113910.475</v>
      </c>
      <c r="L5542" s="444">
        <f t="shared" ca="1" si="207"/>
        <v>-2834934601452424.5</v>
      </c>
      <c r="M5542" s="460">
        <f t="shared" si="209"/>
        <v>0.05</v>
      </c>
      <c r="N5542" s="464">
        <f t="shared" si="210"/>
        <v>219725</v>
      </c>
    </row>
    <row r="5543" spans="7:14" ht="11.25" customHeight="1" x14ac:dyDescent="0.3">
      <c r="G5543" s="459"/>
      <c r="H5543" s="459">
        <v>5536</v>
      </c>
      <c r="I5543" s="444">
        <f t="shared" ca="1" si="208"/>
        <v>-2834934601452424.5</v>
      </c>
      <c r="J5543" s="444">
        <f t="array" ref="J5543">IFERROR(INDEX('Retirement Calculator'!J:J,MATCH('Isaac 401k'!N5543,'Retirement Calculator'!A:A,0),0),0)</f>
        <v>0</v>
      </c>
      <c r="K5543" s="444">
        <f t="shared" ca="1" si="206"/>
        <v>-11812227506051.77</v>
      </c>
      <c r="L5543" s="444">
        <f t="shared" ca="1" si="207"/>
        <v>-2846746828958476.5</v>
      </c>
      <c r="M5543" s="460">
        <f t="shared" si="209"/>
        <v>0.05</v>
      </c>
      <c r="N5543" s="464">
        <f t="shared" si="210"/>
        <v>219756</v>
      </c>
    </row>
    <row r="5544" spans="7:14" ht="11.25" customHeight="1" x14ac:dyDescent="0.3">
      <c r="G5544" s="459"/>
      <c r="H5544" s="459">
        <v>5537</v>
      </c>
      <c r="I5544" s="444">
        <f t="shared" ca="1" si="208"/>
        <v>-2846746828958476.5</v>
      </c>
      <c r="J5544" s="444">
        <f t="array" ref="J5544">IFERROR(INDEX('Retirement Calculator'!J:J,MATCH('Isaac 401k'!N5544,'Retirement Calculator'!A:A,0),0),0)</f>
        <v>0</v>
      </c>
      <c r="K5544" s="444">
        <f t="shared" ca="1" si="206"/>
        <v>-11861445120660.318</v>
      </c>
      <c r="L5544" s="444">
        <f t="shared" ca="1" si="207"/>
        <v>-2858608274079137</v>
      </c>
      <c r="M5544" s="460">
        <f t="shared" si="209"/>
        <v>0.05</v>
      </c>
      <c r="N5544" s="464">
        <f t="shared" si="210"/>
        <v>219786</v>
      </c>
    </row>
    <row r="5545" spans="7:14" ht="11.25" customHeight="1" x14ac:dyDescent="0.3">
      <c r="G5545" s="459"/>
      <c r="H5545" s="459">
        <v>5538</v>
      </c>
      <c r="I5545" s="444">
        <f t="shared" ca="1" si="208"/>
        <v>-2858608274079137</v>
      </c>
      <c r="J5545" s="444">
        <f t="array" ref="J5545">IFERROR(INDEX('Retirement Calculator'!J:J,MATCH('Isaac 401k'!N5545,'Retirement Calculator'!A:A,0),0),0)</f>
        <v>0</v>
      </c>
      <c r="K5545" s="444">
        <f t="shared" ca="1" si="206"/>
        <v>-11910867808663.07</v>
      </c>
      <c r="L5545" s="444">
        <f t="shared" ca="1" si="207"/>
        <v>-2870519141887800</v>
      </c>
      <c r="M5545" s="460">
        <f t="shared" si="209"/>
        <v>0.05</v>
      </c>
      <c r="N5545" s="464">
        <f t="shared" si="210"/>
        <v>219817</v>
      </c>
    </row>
    <row r="5546" spans="7:14" ht="11.25" customHeight="1" x14ac:dyDescent="0.3">
      <c r="G5546" s="459"/>
      <c r="H5546" s="459">
        <v>5539</v>
      </c>
      <c r="I5546" s="444">
        <f t="shared" ca="1" si="208"/>
        <v>-2870519141887800</v>
      </c>
      <c r="J5546" s="444">
        <f t="array" ref="J5546">IFERROR(INDEX('Retirement Calculator'!J:J,MATCH('Isaac 401k'!N5546,'Retirement Calculator'!A:A,0),0),0)</f>
        <v>0</v>
      </c>
      <c r="K5546" s="444">
        <f t="shared" ca="1" si="206"/>
        <v>-11960496424532.5</v>
      </c>
      <c r="L5546" s="444">
        <f t="shared" ca="1" si="207"/>
        <v>-2882479638312332.5</v>
      </c>
      <c r="M5546" s="460">
        <f t="shared" si="209"/>
        <v>0.05</v>
      </c>
      <c r="N5546" s="464">
        <f t="shared" si="210"/>
        <v>219847</v>
      </c>
    </row>
    <row r="5547" spans="7:14" ht="11.25" customHeight="1" x14ac:dyDescent="0.3">
      <c r="G5547" s="459"/>
      <c r="H5547" s="459">
        <v>5540</v>
      </c>
      <c r="I5547" s="444">
        <f t="shared" ca="1" si="208"/>
        <v>-2882479638312332.5</v>
      </c>
      <c r="J5547" s="444">
        <f t="array" ref="J5547">IFERROR(INDEX('Retirement Calculator'!J:J,MATCH('Isaac 401k'!N5547,'Retirement Calculator'!A:A,0),0),0)</f>
        <v>0</v>
      </c>
      <c r="K5547" s="444">
        <f t="shared" ca="1" si="206"/>
        <v>-12010331826301.385</v>
      </c>
      <c r="L5547" s="444">
        <f t="shared" ca="1" si="207"/>
        <v>-2894489970138634</v>
      </c>
      <c r="M5547" s="460">
        <f t="shared" si="209"/>
        <v>0.05</v>
      </c>
      <c r="N5547" s="464">
        <f t="shared" si="210"/>
        <v>219878</v>
      </c>
    </row>
    <row r="5548" spans="7:14" ht="11.25" customHeight="1" x14ac:dyDescent="0.3">
      <c r="G5548" s="459"/>
      <c r="H5548" s="459">
        <v>5541</v>
      </c>
      <c r="I5548" s="444">
        <f t="shared" ca="1" si="208"/>
        <v>-2894489970138634</v>
      </c>
      <c r="J5548" s="444">
        <f t="array" ref="J5548">IFERROR(INDEX('Retirement Calculator'!J:J,MATCH('Isaac 401k'!N5548,'Retirement Calculator'!A:A,0),0),0)</f>
        <v>0</v>
      </c>
      <c r="K5548" s="444">
        <f t="shared" ca="1" si="206"/>
        <v>-12060374875577.641</v>
      </c>
      <c r="L5548" s="444">
        <f t="shared" ca="1" si="207"/>
        <v>-2906550345014211.5</v>
      </c>
      <c r="M5548" s="460">
        <f t="shared" si="209"/>
        <v>0.05</v>
      </c>
      <c r="N5548" s="464">
        <f t="shared" si="210"/>
        <v>219909</v>
      </c>
    </row>
    <row r="5549" spans="7:14" ht="11.25" customHeight="1" x14ac:dyDescent="0.3">
      <c r="G5549" s="459"/>
      <c r="H5549" s="459">
        <v>5542</v>
      </c>
      <c r="I5549" s="444">
        <f t="shared" ca="1" si="208"/>
        <v>-2906550345014211.5</v>
      </c>
      <c r="J5549" s="444">
        <f t="array" ref="J5549">IFERROR(INDEX('Retirement Calculator'!J:J,MATCH('Isaac 401k'!N5549,'Retirement Calculator'!A:A,0),0),0)</f>
        <v>0</v>
      </c>
      <c r="K5549" s="444">
        <f t="shared" ca="1" si="206"/>
        <v>-12110626437559.215</v>
      </c>
      <c r="L5549" s="444">
        <f t="shared" ca="1" si="207"/>
        <v>-2918660971451770.5</v>
      </c>
      <c r="M5549" s="460">
        <f t="shared" si="209"/>
        <v>0.05</v>
      </c>
      <c r="N5549" s="464">
        <f t="shared" si="210"/>
        <v>219937</v>
      </c>
    </row>
    <row r="5550" spans="7:14" ht="11.25" customHeight="1" x14ac:dyDescent="0.3">
      <c r="G5550" s="459"/>
      <c r="H5550" s="459">
        <v>5543</v>
      </c>
      <c r="I5550" s="444">
        <f t="shared" ca="1" si="208"/>
        <v>-2918660971451770.5</v>
      </c>
      <c r="J5550" s="444">
        <f t="array" ref="J5550">IFERROR(INDEX('Retirement Calculator'!J:J,MATCH('Isaac 401k'!N5550,'Retirement Calculator'!A:A,0),0),0)</f>
        <v>0</v>
      </c>
      <c r="K5550" s="444">
        <f t="shared" ca="1" si="206"/>
        <v>-12161087381049.043</v>
      </c>
      <c r="L5550" s="444">
        <f t="shared" ca="1" si="207"/>
        <v>-2930822058832819.5</v>
      </c>
      <c r="M5550" s="460">
        <f t="shared" si="209"/>
        <v>0.05</v>
      </c>
      <c r="N5550" s="464">
        <f t="shared" si="210"/>
        <v>219968</v>
      </c>
    </row>
    <row r="5551" spans="7:14" ht="11.25" customHeight="1" x14ac:dyDescent="0.3">
      <c r="G5551" s="459"/>
      <c r="H5551" s="459">
        <v>5544</v>
      </c>
      <c r="I5551" s="444">
        <f t="shared" ca="1" si="208"/>
        <v>-2930822058832819.5</v>
      </c>
      <c r="J5551" s="444">
        <f t="array" ref="J5551">IFERROR(INDEX('Retirement Calculator'!J:J,MATCH('Isaac 401k'!N5551,'Retirement Calculator'!A:A,0),0),0)</f>
        <v>0</v>
      </c>
      <c r="K5551" s="444">
        <f t="shared" ca="1" si="206"/>
        <v>-12211758578470.082</v>
      </c>
      <c r="L5551" s="444">
        <f t="shared" ca="1" si="207"/>
        <v>-2943033817411289.5</v>
      </c>
      <c r="M5551" s="460">
        <f t="shared" si="209"/>
        <v>0.05</v>
      </c>
      <c r="N5551" s="464">
        <f t="shared" si="210"/>
        <v>219998</v>
      </c>
    </row>
    <row r="5552" spans="7:14" ht="11.25" customHeight="1" x14ac:dyDescent="0.3">
      <c r="G5552" s="459"/>
      <c r="H5552" s="459">
        <v>5545</v>
      </c>
      <c r="I5552" s="444">
        <f t="shared" ca="1" si="208"/>
        <v>-2943033817411289.5</v>
      </c>
      <c r="J5552" s="444">
        <f t="array" ref="J5552">IFERROR(INDEX('Retirement Calculator'!J:J,MATCH('Isaac 401k'!N5552,'Retirement Calculator'!A:A,0),0),0)</f>
        <v>0</v>
      </c>
      <c r="K5552" s="444">
        <f t="shared" ca="1" si="206"/>
        <v>-12262640905880.373</v>
      </c>
      <c r="L5552" s="444">
        <f t="shared" ca="1" si="207"/>
        <v>-2955296458317170</v>
      </c>
      <c r="M5552" s="460">
        <f t="shared" si="209"/>
        <v>0.05</v>
      </c>
      <c r="N5552" s="464">
        <f t="shared" si="210"/>
        <v>220029</v>
      </c>
    </row>
    <row r="5553" spans="7:14" ht="11.25" customHeight="1" x14ac:dyDescent="0.3">
      <c r="G5553" s="459"/>
      <c r="H5553" s="459">
        <v>5546</v>
      </c>
      <c r="I5553" s="444">
        <f t="shared" ca="1" si="208"/>
        <v>-2955296458317170</v>
      </c>
      <c r="J5553" s="444">
        <f t="array" ref="J5553">IFERROR(INDEX('Retirement Calculator'!J:J,MATCH('Isaac 401k'!N5553,'Retirement Calculator'!A:A,0),0),0)</f>
        <v>0</v>
      </c>
      <c r="K5553" s="444">
        <f t="shared" ca="1" si="206"/>
        <v>-12313735242988.209</v>
      </c>
      <c r="L5553" s="444">
        <f t="shared" ca="1" si="207"/>
        <v>-2967610193560158</v>
      </c>
      <c r="M5553" s="460">
        <f t="shared" si="209"/>
        <v>0.05</v>
      </c>
      <c r="N5553" s="464">
        <f t="shared" si="210"/>
        <v>220059</v>
      </c>
    </row>
    <row r="5554" spans="7:14" ht="11.25" customHeight="1" x14ac:dyDescent="0.3">
      <c r="G5554" s="459"/>
      <c r="H5554" s="459">
        <v>5547</v>
      </c>
      <c r="I5554" s="444">
        <f t="shared" ca="1" si="208"/>
        <v>-2967610193560158</v>
      </c>
      <c r="J5554" s="444">
        <f t="array" ref="J5554">IFERROR(INDEX('Retirement Calculator'!J:J,MATCH('Isaac 401k'!N5554,'Retirement Calculator'!A:A,0),0),0)</f>
        <v>0</v>
      </c>
      <c r="K5554" s="444">
        <f t="shared" ca="1" si="206"/>
        <v>-12365042473167.324</v>
      </c>
      <c r="L5554" s="444">
        <f t="shared" ca="1" si="207"/>
        <v>-2979975236033325.5</v>
      </c>
      <c r="M5554" s="460">
        <f t="shared" si="209"/>
        <v>0.05</v>
      </c>
      <c r="N5554" s="464">
        <f t="shared" si="210"/>
        <v>220090</v>
      </c>
    </row>
    <row r="5555" spans="7:14" ht="11.25" customHeight="1" x14ac:dyDescent="0.3">
      <c r="G5555" s="459"/>
      <c r="H5555" s="459">
        <v>5548</v>
      </c>
      <c r="I5555" s="444">
        <f t="shared" ca="1" si="208"/>
        <v>-2979975236033325.5</v>
      </c>
      <c r="J5555" s="444">
        <f t="array" ref="J5555">IFERROR(INDEX('Retirement Calculator'!J:J,MATCH('Isaac 401k'!N5555,'Retirement Calculator'!A:A,0),0),0)</f>
        <v>0</v>
      </c>
      <c r="K5555" s="444">
        <f t="shared" ca="1" si="206"/>
        <v>-12416563483472.189</v>
      </c>
      <c r="L5555" s="444">
        <f t="shared" ca="1" si="207"/>
        <v>-2992391799516797.5</v>
      </c>
      <c r="M5555" s="460">
        <f t="shared" si="209"/>
        <v>0.05</v>
      </c>
      <c r="N5555" s="464">
        <f t="shared" si="210"/>
        <v>220121</v>
      </c>
    </row>
    <row r="5556" spans="7:14" ht="11.25" customHeight="1" x14ac:dyDescent="0.3">
      <c r="G5556" s="459"/>
      <c r="H5556" s="459">
        <v>5549</v>
      </c>
      <c r="I5556" s="444">
        <f t="shared" ca="1" si="208"/>
        <v>-2992391799516797.5</v>
      </c>
      <c r="J5556" s="444">
        <f t="array" ref="J5556">IFERROR(INDEX('Retirement Calculator'!J:J,MATCH('Isaac 401k'!N5556,'Retirement Calculator'!A:A,0),0),0)</f>
        <v>0</v>
      </c>
      <c r="K5556" s="444">
        <f t="shared" ca="1" si="206"/>
        <v>-12468299164653.322</v>
      </c>
      <c r="L5556" s="444">
        <f t="shared" ca="1" si="207"/>
        <v>-3004860098681451</v>
      </c>
      <c r="M5556" s="460">
        <f t="shared" si="209"/>
        <v>0.05</v>
      </c>
      <c r="N5556" s="464">
        <f t="shared" si="210"/>
        <v>220151</v>
      </c>
    </row>
    <row r="5557" spans="7:14" ht="11.25" customHeight="1" x14ac:dyDescent="0.3">
      <c r="G5557" s="459"/>
      <c r="H5557" s="459">
        <v>5550</v>
      </c>
      <c r="I5557" s="444">
        <f t="shared" ca="1" si="208"/>
        <v>-3004860098681451</v>
      </c>
      <c r="J5557" s="444">
        <f t="array" ref="J5557">IFERROR(INDEX('Retirement Calculator'!J:J,MATCH('Isaac 401k'!N5557,'Retirement Calculator'!A:A,0),0),0)</f>
        <v>0</v>
      </c>
      <c r="K5557" s="444">
        <f t="shared" ca="1" si="206"/>
        <v>-12520250411172.713</v>
      </c>
      <c r="L5557" s="444">
        <f t="shared" ca="1" si="207"/>
        <v>-3017380349092623.5</v>
      </c>
      <c r="M5557" s="460">
        <f t="shared" si="209"/>
        <v>0.05</v>
      </c>
      <c r="N5557" s="464">
        <f t="shared" si="210"/>
        <v>220182</v>
      </c>
    </row>
    <row r="5558" spans="7:14" ht="11.25" customHeight="1" x14ac:dyDescent="0.3">
      <c r="G5558" s="459"/>
      <c r="H5558" s="459">
        <v>5551</v>
      </c>
      <c r="I5558" s="444">
        <f t="shared" ca="1" si="208"/>
        <v>-3017380349092623.5</v>
      </c>
      <c r="J5558" s="444">
        <f t="array" ref="J5558">IFERROR(INDEX('Retirement Calculator'!J:J,MATCH('Isaac 401k'!N5558,'Retirement Calculator'!A:A,0),0),0)</f>
        <v>0</v>
      </c>
      <c r="K5558" s="444">
        <f t="shared" ca="1" si="206"/>
        <v>-12572418121219.264</v>
      </c>
      <c r="L5558" s="444">
        <f t="shared" ca="1" si="207"/>
        <v>-3029952767213843</v>
      </c>
      <c r="M5558" s="460">
        <f t="shared" si="209"/>
        <v>0.05</v>
      </c>
      <c r="N5558" s="464">
        <f t="shared" si="210"/>
        <v>220212</v>
      </c>
    </row>
    <row r="5559" spans="7:14" ht="11.25" customHeight="1" x14ac:dyDescent="0.3">
      <c r="G5559" s="459"/>
      <c r="H5559" s="459">
        <v>5552</v>
      </c>
      <c r="I5559" s="444">
        <f t="shared" ca="1" si="208"/>
        <v>-3029952767213843</v>
      </c>
      <c r="J5559" s="444">
        <f t="array" ref="J5559">IFERROR(INDEX('Retirement Calculator'!J:J,MATCH('Isaac 401k'!N5559,'Retirement Calculator'!A:A,0),0),0)</f>
        <v>0</v>
      </c>
      <c r="K5559" s="444">
        <f t="shared" ca="1" si="206"/>
        <v>-12624803196724.346</v>
      </c>
      <c r="L5559" s="444">
        <f t="shared" ca="1" si="207"/>
        <v>-3042577570410567.5</v>
      </c>
      <c r="M5559" s="460">
        <f t="shared" si="209"/>
        <v>0.05</v>
      </c>
      <c r="N5559" s="464">
        <f t="shared" si="210"/>
        <v>220243</v>
      </c>
    </row>
    <row r="5560" spans="7:14" ht="11.25" customHeight="1" x14ac:dyDescent="0.3">
      <c r="G5560" s="459"/>
      <c r="H5560" s="459">
        <v>5553</v>
      </c>
      <c r="I5560" s="444">
        <f t="shared" ca="1" si="208"/>
        <v>-3042577570410567.5</v>
      </c>
      <c r="J5560" s="444">
        <f t="array" ref="J5560">IFERROR(INDEX('Retirement Calculator'!J:J,MATCH('Isaac 401k'!N5560,'Retirement Calculator'!A:A,0),0),0)</f>
        <v>0</v>
      </c>
      <c r="K5560" s="444">
        <f t="shared" ca="1" si="206"/>
        <v>-12677406543377.365</v>
      </c>
      <c r="L5560" s="444">
        <f t="shared" ca="1" si="207"/>
        <v>-3055254976953945</v>
      </c>
      <c r="M5560" s="460">
        <f t="shared" si="209"/>
        <v>0.05</v>
      </c>
      <c r="N5560" s="464">
        <f t="shared" si="210"/>
        <v>220274</v>
      </c>
    </row>
    <row r="5561" spans="7:14" ht="11.25" customHeight="1" x14ac:dyDescent="0.3">
      <c r="G5561" s="459"/>
      <c r="H5561" s="459">
        <v>5554</v>
      </c>
      <c r="I5561" s="444">
        <f t="shared" ca="1" si="208"/>
        <v>-3055254976953945</v>
      </c>
      <c r="J5561" s="444">
        <f t="array" ref="J5561">IFERROR(INDEX('Retirement Calculator'!J:J,MATCH('Isaac 401k'!N5561,'Retirement Calculator'!A:A,0),0),0)</f>
        <v>0</v>
      </c>
      <c r="K5561" s="444">
        <f t="shared" ca="1" si="206"/>
        <v>-12730229070641.438</v>
      </c>
      <c r="L5561" s="444">
        <f t="shared" ca="1" si="207"/>
        <v>-3067985206024586.5</v>
      </c>
      <c r="M5561" s="460">
        <f t="shared" si="209"/>
        <v>0.05</v>
      </c>
      <c r="N5561" s="464">
        <f t="shared" si="210"/>
        <v>220302</v>
      </c>
    </row>
    <row r="5562" spans="7:14" ht="11.25" customHeight="1" x14ac:dyDescent="0.3">
      <c r="G5562" s="459"/>
      <c r="H5562" s="459">
        <v>5555</v>
      </c>
      <c r="I5562" s="444">
        <f t="shared" ca="1" si="208"/>
        <v>-3067985206024586.5</v>
      </c>
      <c r="J5562" s="444">
        <f t="array" ref="J5562">IFERROR(INDEX('Retirement Calculator'!J:J,MATCH('Isaac 401k'!N5562,'Retirement Calculator'!A:A,0),0),0)</f>
        <v>0</v>
      </c>
      <c r="K5562" s="444">
        <f t="shared" ca="1" si="206"/>
        <v>-12783271691769.109</v>
      </c>
      <c r="L5562" s="444">
        <f t="shared" ca="1" si="207"/>
        <v>-3080768477716355.5</v>
      </c>
      <c r="M5562" s="460">
        <f t="shared" si="209"/>
        <v>0.05</v>
      </c>
      <c r="N5562" s="464">
        <f t="shared" si="210"/>
        <v>220333</v>
      </c>
    </row>
    <row r="5563" spans="7:14" ht="11.25" customHeight="1" x14ac:dyDescent="0.3">
      <c r="G5563" s="459"/>
      <c r="H5563" s="459">
        <v>5556</v>
      </c>
      <c r="I5563" s="444">
        <f t="shared" ca="1" si="208"/>
        <v>-3080768477716355.5</v>
      </c>
      <c r="J5563" s="444">
        <f t="array" ref="J5563">IFERROR(INDEX('Retirement Calculator'!J:J,MATCH('Isaac 401k'!N5563,'Retirement Calculator'!A:A,0),0),0)</f>
        <v>0</v>
      </c>
      <c r="K5563" s="444">
        <f t="shared" ca="1" si="206"/>
        <v>-12836535323818.148</v>
      </c>
      <c r="L5563" s="444">
        <f t="shared" ca="1" si="207"/>
        <v>-3093605013040173.5</v>
      </c>
      <c r="M5563" s="460">
        <f t="shared" si="209"/>
        <v>0.05</v>
      </c>
      <c r="N5563" s="464">
        <f t="shared" si="210"/>
        <v>220363</v>
      </c>
    </row>
    <row r="5564" spans="7:14" ht="11.25" customHeight="1" x14ac:dyDescent="0.3">
      <c r="G5564" s="459"/>
      <c r="H5564" s="459">
        <v>5557</v>
      </c>
      <c r="I5564" s="444">
        <f t="shared" ca="1" si="208"/>
        <v>-3093605013040173.5</v>
      </c>
      <c r="J5564" s="444">
        <f t="array" ref="J5564">IFERROR(INDEX('Retirement Calculator'!J:J,MATCH('Isaac 401k'!N5564,'Retirement Calculator'!A:A,0),0),0)</f>
        <v>0</v>
      </c>
      <c r="K5564" s="444">
        <f t="shared" ca="1" si="206"/>
        <v>-12890020887667.389</v>
      </c>
      <c r="L5564" s="444">
        <f t="shared" ca="1" si="207"/>
        <v>-3106495033927841</v>
      </c>
      <c r="M5564" s="460">
        <f t="shared" si="209"/>
        <v>0.05</v>
      </c>
      <c r="N5564" s="464">
        <f t="shared" si="210"/>
        <v>220394</v>
      </c>
    </row>
    <row r="5565" spans="7:14" ht="11.25" customHeight="1" x14ac:dyDescent="0.3">
      <c r="G5565" s="459"/>
      <c r="H5565" s="459">
        <v>5558</v>
      </c>
      <c r="I5565" s="444">
        <f t="shared" ca="1" si="208"/>
        <v>-3106495033927841</v>
      </c>
      <c r="J5565" s="444">
        <f t="array" ref="J5565">IFERROR(INDEX('Retirement Calculator'!J:J,MATCH('Isaac 401k'!N5565,'Retirement Calculator'!A:A,0),0),0)</f>
        <v>0</v>
      </c>
      <c r="K5565" s="444">
        <f t="shared" ca="1" si="206"/>
        <v>-12943729308032.67</v>
      </c>
      <c r="L5565" s="444">
        <f t="shared" ca="1" si="207"/>
        <v>-3119438763235873.5</v>
      </c>
      <c r="M5565" s="460">
        <f t="shared" si="209"/>
        <v>0.05</v>
      </c>
      <c r="N5565" s="464">
        <f t="shared" si="210"/>
        <v>220424</v>
      </c>
    </row>
    <row r="5566" spans="7:14" ht="11.25" customHeight="1" x14ac:dyDescent="0.3">
      <c r="G5566" s="459"/>
      <c r="H5566" s="459">
        <v>5559</v>
      </c>
      <c r="I5566" s="444">
        <f t="shared" ca="1" si="208"/>
        <v>-3119438763235873.5</v>
      </c>
      <c r="J5566" s="444">
        <f t="array" ref="J5566">IFERROR(INDEX('Retirement Calculator'!J:J,MATCH('Isaac 401k'!N5566,'Retirement Calculator'!A:A,0),0),0)</f>
        <v>0</v>
      </c>
      <c r="K5566" s="444">
        <f t="shared" ca="1" si="206"/>
        <v>-12997661513482.807</v>
      </c>
      <c r="L5566" s="444">
        <f t="shared" ca="1" si="207"/>
        <v>-3132436424749356.5</v>
      </c>
      <c r="M5566" s="460">
        <f t="shared" si="209"/>
        <v>0.05</v>
      </c>
      <c r="N5566" s="464">
        <f t="shared" si="210"/>
        <v>220455</v>
      </c>
    </row>
    <row r="5567" spans="7:14" ht="11.25" customHeight="1" x14ac:dyDescent="0.3">
      <c r="G5567" s="459"/>
      <c r="H5567" s="459">
        <v>5560</v>
      </c>
      <c r="I5567" s="444">
        <f t="shared" ca="1" si="208"/>
        <v>-3132436424749356.5</v>
      </c>
      <c r="J5567" s="444">
        <f t="array" ref="J5567">IFERROR(INDEX('Retirement Calculator'!J:J,MATCH('Isaac 401k'!N5567,'Retirement Calculator'!A:A,0),0),0)</f>
        <v>0</v>
      </c>
      <c r="K5567" s="444">
        <f t="shared" ca="1" si="206"/>
        <v>-13051818436455.652</v>
      </c>
      <c r="L5567" s="444">
        <f t="shared" ca="1" si="207"/>
        <v>-3145488243185812</v>
      </c>
      <c r="M5567" s="460">
        <f t="shared" si="209"/>
        <v>0.05</v>
      </c>
      <c r="N5567" s="464">
        <f t="shared" si="210"/>
        <v>220486</v>
      </c>
    </row>
    <row r="5568" spans="7:14" ht="11.25" customHeight="1" x14ac:dyDescent="0.3">
      <c r="G5568" s="459"/>
      <c r="H5568" s="459">
        <v>5561</v>
      </c>
      <c r="I5568" s="444">
        <f t="shared" ca="1" si="208"/>
        <v>-3145488243185812</v>
      </c>
      <c r="J5568" s="444">
        <f t="array" ref="J5568">IFERROR(INDEX('Retirement Calculator'!J:J,MATCH('Isaac 401k'!N5568,'Retirement Calculator'!A:A,0),0),0)</f>
        <v>0</v>
      </c>
      <c r="K5568" s="444">
        <f t="shared" ca="1" si="206"/>
        <v>-13106201013274.217</v>
      </c>
      <c r="L5568" s="444">
        <f t="shared" ca="1" si="207"/>
        <v>-3158594444199086</v>
      </c>
      <c r="M5568" s="460">
        <f t="shared" si="209"/>
        <v>0.05</v>
      </c>
      <c r="N5568" s="464">
        <f t="shared" si="210"/>
        <v>220516</v>
      </c>
    </row>
    <row r="5569" spans="7:14" ht="11.25" customHeight="1" x14ac:dyDescent="0.3">
      <c r="G5569" s="459"/>
      <c r="H5569" s="459">
        <v>5562</v>
      </c>
      <c r="I5569" s="444">
        <f t="shared" ca="1" si="208"/>
        <v>-3158594444199086</v>
      </c>
      <c r="J5569" s="444">
        <f t="array" ref="J5569">IFERROR(INDEX('Retirement Calculator'!J:J,MATCH('Isaac 401k'!N5569,'Retirement Calculator'!A:A,0),0),0)</f>
        <v>0</v>
      </c>
      <c r="K5569" s="444">
        <f t="shared" ca="1" si="206"/>
        <v>-13160810184162.857</v>
      </c>
      <c r="L5569" s="444">
        <f t="shared" ca="1" si="207"/>
        <v>-3171755254383249</v>
      </c>
      <c r="M5569" s="460">
        <f t="shared" si="209"/>
        <v>0.05</v>
      </c>
      <c r="N5569" s="464">
        <f t="shared" si="210"/>
        <v>220547</v>
      </c>
    </row>
    <row r="5570" spans="7:14" ht="11.25" customHeight="1" x14ac:dyDescent="0.3">
      <c r="G5570" s="459"/>
      <c r="H5570" s="459">
        <v>5563</v>
      </c>
      <c r="I5570" s="444">
        <f t="shared" ca="1" si="208"/>
        <v>-3171755254383249</v>
      </c>
      <c r="J5570" s="444">
        <f t="array" ref="J5570">IFERROR(INDEX('Retirement Calculator'!J:J,MATCH('Isaac 401k'!N5570,'Retirement Calculator'!A:A,0),0),0)</f>
        <v>0</v>
      </c>
      <c r="K5570" s="444">
        <f t="shared" ca="1" si="206"/>
        <v>-13215646893263.537</v>
      </c>
      <c r="L5570" s="444">
        <f t="shared" ca="1" si="207"/>
        <v>-3184970901276512.5</v>
      </c>
      <c r="M5570" s="460">
        <f t="shared" si="209"/>
        <v>0.05</v>
      </c>
      <c r="N5570" s="464">
        <f t="shared" si="210"/>
        <v>220577</v>
      </c>
    </row>
    <row r="5571" spans="7:14" ht="11.25" customHeight="1" x14ac:dyDescent="0.3">
      <c r="G5571" s="459"/>
      <c r="H5571" s="459">
        <v>5564</v>
      </c>
      <c r="I5571" s="444">
        <f t="shared" ca="1" si="208"/>
        <v>-3184970901276512.5</v>
      </c>
      <c r="J5571" s="444">
        <f t="array" ref="J5571">IFERROR(INDEX('Retirement Calculator'!J:J,MATCH('Isaac 401k'!N5571,'Retirement Calculator'!A:A,0),0),0)</f>
        <v>0</v>
      </c>
      <c r="K5571" s="444">
        <f t="shared" ca="1" si="206"/>
        <v>-13270712088652.135</v>
      </c>
      <c r="L5571" s="444">
        <f t="shared" ca="1" si="207"/>
        <v>-3198241613365164.5</v>
      </c>
      <c r="M5571" s="460">
        <f t="shared" si="209"/>
        <v>0.05</v>
      </c>
      <c r="N5571" s="464">
        <f t="shared" si="210"/>
        <v>220608</v>
      </c>
    </row>
    <row r="5572" spans="7:14" ht="11.25" customHeight="1" x14ac:dyDescent="0.3">
      <c r="G5572" s="459"/>
      <c r="H5572" s="459">
        <v>5565</v>
      </c>
      <c r="I5572" s="444">
        <f t="shared" ca="1" si="208"/>
        <v>-3198241613365164.5</v>
      </c>
      <c r="J5572" s="444">
        <f t="array" ref="J5572">IFERROR(INDEX('Retirement Calculator'!J:J,MATCH('Isaac 401k'!N5572,'Retirement Calculator'!A:A,0),0),0)</f>
        <v>0</v>
      </c>
      <c r="K5572" s="444">
        <f t="shared" ca="1" si="206"/>
        <v>-13326006722354.852</v>
      </c>
      <c r="L5572" s="444">
        <f t="shared" ca="1" si="207"/>
        <v>-3211567620087519.5</v>
      </c>
      <c r="M5572" s="460">
        <f t="shared" si="209"/>
        <v>0.05</v>
      </c>
      <c r="N5572" s="464">
        <f t="shared" si="210"/>
        <v>220639</v>
      </c>
    </row>
    <row r="5573" spans="7:14" ht="11.25" customHeight="1" x14ac:dyDescent="0.3">
      <c r="G5573" s="459"/>
      <c r="H5573" s="459">
        <v>5566</v>
      </c>
      <c r="I5573" s="444">
        <f t="shared" ca="1" si="208"/>
        <v>-3211567620087519.5</v>
      </c>
      <c r="J5573" s="444">
        <f t="array" ref="J5573">IFERROR(INDEX('Retirement Calculator'!J:J,MATCH('Isaac 401k'!N5573,'Retirement Calculator'!A:A,0),0),0)</f>
        <v>0</v>
      </c>
      <c r="K5573" s="444">
        <f t="shared" ca="1" si="206"/>
        <v>-13381531750364.664</v>
      </c>
      <c r="L5573" s="444">
        <f t="shared" ca="1" si="207"/>
        <v>-3224949151837884</v>
      </c>
      <c r="M5573" s="460">
        <f t="shared" si="209"/>
        <v>0.05</v>
      </c>
      <c r="N5573" s="464">
        <f t="shared" si="210"/>
        <v>220668</v>
      </c>
    </row>
    <row r="5574" spans="7:14" ht="11.25" customHeight="1" x14ac:dyDescent="0.3">
      <c r="G5574" s="459"/>
      <c r="H5574" s="459">
        <v>5567</v>
      </c>
      <c r="I5574" s="444">
        <f t="shared" ca="1" si="208"/>
        <v>-3224949151837884</v>
      </c>
      <c r="J5574" s="444">
        <f t="array" ref="J5574">IFERROR(INDEX('Retirement Calculator'!J:J,MATCH('Isaac 401k'!N5574,'Retirement Calculator'!A:A,0),0),0)</f>
        <v>0</v>
      </c>
      <c r="K5574" s="444">
        <f t="shared" ca="1" si="206"/>
        <v>-13437288132657.85</v>
      </c>
      <c r="L5574" s="444">
        <f t="shared" ca="1" si="207"/>
        <v>-3238386439970542</v>
      </c>
      <c r="M5574" s="460">
        <f t="shared" si="209"/>
        <v>0.05</v>
      </c>
      <c r="N5574" s="464">
        <f t="shared" si="210"/>
        <v>220699</v>
      </c>
    </row>
    <row r="5575" spans="7:14" ht="11.25" customHeight="1" x14ac:dyDescent="0.3">
      <c r="G5575" s="459"/>
      <c r="H5575" s="459">
        <v>5568</v>
      </c>
      <c r="I5575" s="444">
        <f t="shared" ca="1" si="208"/>
        <v>-3238386439970542</v>
      </c>
      <c r="J5575" s="444">
        <f t="array" ref="J5575">IFERROR(INDEX('Retirement Calculator'!J:J,MATCH('Isaac 401k'!N5575,'Retirement Calculator'!A:A,0),0),0)</f>
        <v>0</v>
      </c>
      <c r="K5575" s="444">
        <f t="shared" ca="1" si="206"/>
        <v>-13493276833210.592</v>
      </c>
      <c r="L5575" s="444">
        <f t="shared" ca="1" si="207"/>
        <v>-3251879716803752.5</v>
      </c>
      <c r="M5575" s="460">
        <f t="shared" si="209"/>
        <v>0.05</v>
      </c>
      <c r="N5575" s="464">
        <f t="shared" si="210"/>
        <v>220729</v>
      </c>
    </row>
    <row r="5576" spans="7:14" ht="11.25" customHeight="1" x14ac:dyDescent="0.3">
      <c r="G5576" s="459"/>
      <c r="H5576" s="459">
        <v>5569</v>
      </c>
      <c r="I5576" s="444">
        <f t="shared" ca="1" si="208"/>
        <v>-3251879716803752.5</v>
      </c>
      <c r="J5576" s="444">
        <f t="array" ref="J5576">IFERROR(INDEX('Retirement Calculator'!J:J,MATCH('Isaac 401k'!N5576,'Retirement Calculator'!A:A,0),0),0)</f>
        <v>0</v>
      </c>
      <c r="K5576" s="444">
        <f t="shared" ca="1" si="206"/>
        <v>-13549498820015.635</v>
      </c>
      <c r="L5576" s="444">
        <f t="shared" ca="1" si="207"/>
        <v>-3265429215623768</v>
      </c>
      <c r="M5576" s="460">
        <f t="shared" si="209"/>
        <v>0.05</v>
      </c>
      <c r="N5576" s="464">
        <f t="shared" si="210"/>
        <v>220760</v>
      </c>
    </row>
    <row r="5577" spans="7:14" ht="11.25" customHeight="1" x14ac:dyDescent="0.3">
      <c r="G5577" s="459"/>
      <c r="H5577" s="459">
        <v>5570</v>
      </c>
      <c r="I5577" s="444">
        <f t="shared" ca="1" si="208"/>
        <v>-3265429215623768</v>
      </c>
      <c r="J5577" s="444">
        <f t="array" ref="J5577">IFERROR(INDEX('Retirement Calculator'!J:J,MATCH('Isaac 401k'!N5577,'Retirement Calculator'!A:A,0),0),0)</f>
        <v>0</v>
      </c>
      <c r="K5577" s="444">
        <f t="shared" ca="1" si="206"/>
        <v>-13605955065099.033</v>
      </c>
      <c r="L5577" s="444">
        <f t="shared" ca="1" si="207"/>
        <v>-3279035170688867</v>
      </c>
      <c r="M5577" s="460">
        <f t="shared" si="209"/>
        <v>0.05</v>
      </c>
      <c r="N5577" s="464">
        <f t="shared" si="210"/>
        <v>220790</v>
      </c>
    </row>
    <row r="5578" spans="7:14" ht="11.25" customHeight="1" x14ac:dyDescent="0.3">
      <c r="G5578" s="459"/>
      <c r="H5578" s="459">
        <v>5571</v>
      </c>
      <c r="I5578" s="444">
        <f t="shared" ca="1" si="208"/>
        <v>-3279035170688867</v>
      </c>
      <c r="J5578" s="444">
        <f t="array" ref="J5578">IFERROR(INDEX('Retirement Calculator'!J:J,MATCH('Isaac 401k'!N5578,'Retirement Calculator'!A:A,0),0),0)</f>
        <v>0</v>
      </c>
      <c r="K5578" s="444">
        <f t="shared" ca="1" si="206"/>
        <v>-13662646544536.945</v>
      </c>
      <c r="L5578" s="444">
        <f t="shared" ca="1" si="207"/>
        <v>-3292697817233404</v>
      </c>
      <c r="M5578" s="460">
        <f t="shared" si="209"/>
        <v>0.05</v>
      </c>
      <c r="N5578" s="464">
        <f t="shared" si="210"/>
        <v>220821</v>
      </c>
    </row>
    <row r="5579" spans="7:14" ht="11.25" customHeight="1" x14ac:dyDescent="0.3">
      <c r="G5579" s="459"/>
      <c r="H5579" s="459">
        <v>5572</v>
      </c>
      <c r="I5579" s="444">
        <f t="shared" ca="1" si="208"/>
        <v>-3292697817233404</v>
      </c>
      <c r="J5579" s="444">
        <f t="array" ref="J5579">IFERROR(INDEX('Retirement Calculator'!J:J,MATCH('Isaac 401k'!N5579,'Retirement Calculator'!A:A,0),0),0)</f>
        <v>0</v>
      </c>
      <c r="K5579" s="444">
        <f t="shared" ca="1" si="206"/>
        <v>-13719574238472.516</v>
      </c>
      <c r="L5579" s="444">
        <f t="shared" ca="1" si="207"/>
        <v>-3306417391471876.5</v>
      </c>
      <c r="M5579" s="460">
        <f t="shared" si="209"/>
        <v>0.05</v>
      </c>
      <c r="N5579" s="464">
        <f t="shared" si="210"/>
        <v>220852</v>
      </c>
    </row>
    <row r="5580" spans="7:14" ht="11.25" customHeight="1" x14ac:dyDescent="0.3">
      <c r="G5580" s="459"/>
      <c r="H5580" s="459">
        <v>5573</v>
      </c>
      <c r="I5580" s="444">
        <f t="shared" ca="1" si="208"/>
        <v>-3306417391471876.5</v>
      </c>
      <c r="J5580" s="444">
        <f t="array" ref="J5580">IFERROR(INDEX('Retirement Calculator'!J:J,MATCH('Isaac 401k'!N5580,'Retirement Calculator'!A:A,0),0),0)</f>
        <v>0</v>
      </c>
      <c r="K5580" s="444">
        <f t="shared" ca="1" si="206"/>
        <v>-13776739131132.818</v>
      </c>
      <c r="L5580" s="444">
        <f t="shared" ca="1" si="207"/>
        <v>-3320194130603009.5</v>
      </c>
      <c r="M5580" s="460">
        <f t="shared" si="209"/>
        <v>0.05</v>
      </c>
      <c r="N5580" s="464">
        <f t="shared" si="210"/>
        <v>220882</v>
      </c>
    </row>
    <row r="5581" spans="7:14" ht="11.25" customHeight="1" x14ac:dyDescent="0.3">
      <c r="G5581" s="459"/>
      <c r="H5581" s="459">
        <v>5574</v>
      </c>
      <c r="I5581" s="444">
        <f t="shared" ca="1" si="208"/>
        <v>-3320194130603009.5</v>
      </c>
      <c r="J5581" s="444">
        <f t="array" ref="J5581">IFERROR(INDEX('Retirement Calculator'!J:J,MATCH('Isaac 401k'!N5581,'Retirement Calculator'!A:A,0),0),0)</f>
        <v>0</v>
      </c>
      <c r="K5581" s="444">
        <f t="shared" ca="1" si="206"/>
        <v>-13834142210845.873</v>
      </c>
      <c r="L5581" s="444">
        <f t="shared" ca="1" si="207"/>
        <v>-3334028272813855.5</v>
      </c>
      <c r="M5581" s="460">
        <f t="shared" si="209"/>
        <v>0.05</v>
      </c>
      <c r="N5581" s="464">
        <f t="shared" si="210"/>
        <v>220913</v>
      </c>
    </row>
    <row r="5582" spans="7:14" ht="11.25" customHeight="1" x14ac:dyDescent="0.3">
      <c r="G5582" s="459"/>
      <c r="H5582" s="459">
        <v>5575</v>
      </c>
      <c r="I5582" s="444">
        <f t="shared" ca="1" si="208"/>
        <v>-3334028272813855.5</v>
      </c>
      <c r="J5582" s="444">
        <f t="array" ref="J5582">IFERROR(INDEX('Retirement Calculator'!J:J,MATCH('Isaac 401k'!N5582,'Retirement Calculator'!A:A,0),0),0)</f>
        <v>0</v>
      </c>
      <c r="K5582" s="444">
        <f t="shared" ca="1" si="206"/>
        <v>-13891784470057.73</v>
      </c>
      <c r="L5582" s="444">
        <f t="shared" ca="1" si="207"/>
        <v>-3347920057283913</v>
      </c>
      <c r="M5582" s="460">
        <f t="shared" si="209"/>
        <v>0.05</v>
      </c>
      <c r="N5582" s="464">
        <f t="shared" si="210"/>
        <v>220943</v>
      </c>
    </row>
    <row r="5583" spans="7:14" ht="11.25" customHeight="1" x14ac:dyDescent="0.3">
      <c r="G5583" s="459"/>
      <c r="H5583" s="459">
        <v>5576</v>
      </c>
      <c r="I5583" s="444">
        <f t="shared" ca="1" si="208"/>
        <v>-3347920057283913</v>
      </c>
      <c r="J5583" s="444">
        <f t="array" ref="J5583">IFERROR(INDEX('Retirement Calculator'!J:J,MATCH('Isaac 401k'!N5583,'Retirement Calculator'!A:A,0),0),0)</f>
        <v>0</v>
      </c>
      <c r="K5583" s="444">
        <f t="shared" ca="1" si="206"/>
        <v>-13949666905349.637</v>
      </c>
      <c r="L5583" s="444">
        <f t="shared" ca="1" si="207"/>
        <v>-3361869724189262.5</v>
      </c>
      <c r="M5583" s="460">
        <f t="shared" si="209"/>
        <v>0.05</v>
      </c>
      <c r="N5583" s="464">
        <f t="shared" si="210"/>
        <v>220974</v>
      </c>
    </row>
    <row r="5584" spans="7:14" ht="11.25" customHeight="1" x14ac:dyDescent="0.3">
      <c r="G5584" s="459"/>
      <c r="H5584" s="459">
        <v>5577</v>
      </c>
      <c r="I5584" s="444">
        <f t="shared" ca="1" si="208"/>
        <v>-3361869724189262.5</v>
      </c>
      <c r="J5584" s="444">
        <f t="array" ref="J5584">IFERROR(INDEX('Retirement Calculator'!J:J,MATCH('Isaac 401k'!N5584,'Retirement Calculator'!A:A,0),0),0)</f>
        <v>0</v>
      </c>
      <c r="K5584" s="444">
        <f t="shared" ca="1" si="206"/>
        <v>-14007790517455.26</v>
      </c>
      <c r="L5584" s="444">
        <f t="shared" ca="1" si="207"/>
        <v>-3375877514706718</v>
      </c>
      <c r="M5584" s="460">
        <f t="shared" si="209"/>
        <v>0.05</v>
      </c>
      <c r="N5584" s="464">
        <f t="shared" si="210"/>
        <v>221005</v>
      </c>
    </row>
    <row r="5585" spans="7:14" ht="11.25" customHeight="1" x14ac:dyDescent="0.3">
      <c r="G5585" s="459"/>
      <c r="H5585" s="459">
        <v>5578</v>
      </c>
      <c r="I5585" s="444">
        <f t="shared" ca="1" si="208"/>
        <v>-3375877514706718</v>
      </c>
      <c r="J5585" s="444">
        <f t="array" ref="J5585">IFERROR(INDEX('Retirement Calculator'!J:J,MATCH('Isaac 401k'!N5585,'Retirement Calculator'!A:A,0),0),0)</f>
        <v>0</v>
      </c>
      <c r="K5585" s="444">
        <f t="shared" ca="1" si="206"/>
        <v>-14066156311277.992</v>
      </c>
      <c r="L5585" s="444">
        <f t="shared" ca="1" si="207"/>
        <v>-3389943671017996</v>
      </c>
      <c r="M5585" s="460">
        <f t="shared" si="209"/>
        <v>0.05</v>
      </c>
      <c r="N5585" s="464">
        <f t="shared" si="210"/>
        <v>221033</v>
      </c>
    </row>
    <row r="5586" spans="7:14" ht="11.25" customHeight="1" x14ac:dyDescent="0.3">
      <c r="G5586" s="459"/>
      <c r="H5586" s="459">
        <v>5579</v>
      </c>
      <c r="I5586" s="444">
        <f t="shared" ca="1" si="208"/>
        <v>-3389943671017996</v>
      </c>
      <c r="J5586" s="444">
        <f t="array" ref="J5586">IFERROR(INDEX('Retirement Calculator'!J:J,MATCH('Isaac 401k'!N5586,'Retirement Calculator'!A:A,0),0),0)</f>
        <v>0</v>
      </c>
      <c r="K5586" s="444">
        <f t="shared" ca="1" si="206"/>
        <v>-14124765295908.316</v>
      </c>
      <c r="L5586" s="444">
        <f t="shared" ca="1" si="207"/>
        <v>-3404068436313904.5</v>
      </c>
      <c r="M5586" s="460">
        <f t="shared" si="209"/>
        <v>0.05</v>
      </c>
      <c r="N5586" s="464">
        <f t="shared" si="210"/>
        <v>221064</v>
      </c>
    </row>
    <row r="5587" spans="7:14" ht="11.25" customHeight="1" x14ac:dyDescent="0.3">
      <c r="G5587" s="459"/>
      <c r="H5587" s="459">
        <v>5580</v>
      </c>
      <c r="I5587" s="444">
        <f t="shared" ca="1" si="208"/>
        <v>-3404068436313904.5</v>
      </c>
      <c r="J5587" s="444">
        <f t="array" ref="J5587">IFERROR(INDEX('Retirement Calculator'!J:J,MATCH('Isaac 401k'!N5587,'Retirement Calculator'!A:A,0),0),0)</f>
        <v>0</v>
      </c>
      <c r="K5587" s="444">
        <f t="shared" ca="1" si="206"/>
        <v>-14183618484641.268</v>
      </c>
      <c r="L5587" s="444">
        <f t="shared" ca="1" si="207"/>
        <v>-3418252054798546</v>
      </c>
      <c r="M5587" s="460">
        <f t="shared" si="209"/>
        <v>0.05</v>
      </c>
      <c r="N5587" s="464">
        <f t="shared" si="210"/>
        <v>221094</v>
      </c>
    </row>
    <row r="5588" spans="7:14" ht="11.25" customHeight="1" x14ac:dyDescent="0.3">
      <c r="G5588" s="459"/>
      <c r="H5588" s="459">
        <v>5581</v>
      </c>
      <c r="I5588" s="444">
        <f t="shared" ca="1" si="208"/>
        <v>-3418252054798546</v>
      </c>
      <c r="J5588" s="444">
        <f t="array" ref="J5588">IFERROR(INDEX('Retirement Calculator'!J:J,MATCH('Isaac 401k'!N5588,'Retirement Calculator'!A:A,0),0),0)</f>
        <v>0</v>
      </c>
      <c r="K5588" s="444">
        <f t="shared" ca="1" si="206"/>
        <v>-14242716894993.941</v>
      </c>
      <c r="L5588" s="444">
        <f t="shared" ca="1" si="207"/>
        <v>-3432494771693540</v>
      </c>
      <c r="M5588" s="460">
        <f t="shared" si="209"/>
        <v>0.05</v>
      </c>
      <c r="N5588" s="464">
        <f t="shared" si="210"/>
        <v>221125</v>
      </c>
    </row>
    <row r="5589" spans="7:14" ht="11.25" customHeight="1" x14ac:dyDescent="0.3">
      <c r="G5589" s="459"/>
      <c r="H5589" s="459">
        <v>5582</v>
      </c>
      <c r="I5589" s="444">
        <f t="shared" ca="1" si="208"/>
        <v>-3432494771693540</v>
      </c>
      <c r="J5589" s="444">
        <f t="array" ref="J5589">IFERROR(INDEX('Retirement Calculator'!J:J,MATCH('Isaac 401k'!N5589,'Retirement Calculator'!A:A,0),0),0)</f>
        <v>0</v>
      </c>
      <c r="K5589" s="444">
        <f t="shared" ca="1" si="206"/>
        <v>-14302061548723.084</v>
      </c>
      <c r="L5589" s="444">
        <f t="shared" ca="1" si="207"/>
        <v>-3446796833242263</v>
      </c>
      <c r="M5589" s="460">
        <f t="shared" si="209"/>
        <v>0.05</v>
      </c>
      <c r="N5589" s="464">
        <f t="shared" si="210"/>
        <v>221155</v>
      </c>
    </row>
    <row r="5590" spans="7:14" ht="11.25" customHeight="1" x14ac:dyDescent="0.3">
      <c r="G5590" s="459"/>
      <c r="H5590" s="459">
        <v>5583</v>
      </c>
      <c r="I5590" s="444">
        <f t="shared" ca="1" si="208"/>
        <v>-3446796833242263</v>
      </c>
      <c r="J5590" s="444">
        <f t="array" ref="J5590">IFERROR(INDEX('Retirement Calculator'!J:J,MATCH('Isaac 401k'!N5590,'Retirement Calculator'!A:A,0),0),0)</f>
        <v>0</v>
      </c>
      <c r="K5590" s="444">
        <f t="shared" ca="1" si="206"/>
        <v>-14361653471842.762</v>
      </c>
      <c r="L5590" s="444">
        <f t="shared" ca="1" si="207"/>
        <v>-3461158486714106</v>
      </c>
      <c r="M5590" s="460">
        <f t="shared" si="209"/>
        <v>0.05</v>
      </c>
      <c r="N5590" s="464">
        <f t="shared" si="210"/>
        <v>221186</v>
      </c>
    </row>
    <row r="5591" spans="7:14" ht="11.25" customHeight="1" x14ac:dyDescent="0.3">
      <c r="G5591" s="459"/>
      <c r="H5591" s="459">
        <v>5584</v>
      </c>
      <c r="I5591" s="444">
        <f t="shared" ca="1" si="208"/>
        <v>-3461158486714106</v>
      </c>
      <c r="J5591" s="444">
        <f t="array" ref="J5591">IFERROR(INDEX('Retirement Calculator'!J:J,MATCH('Isaac 401k'!N5591,'Retirement Calculator'!A:A,0),0),0)</f>
        <v>0</v>
      </c>
      <c r="K5591" s="444">
        <f t="shared" ca="1" si="206"/>
        <v>-14421493694642.107</v>
      </c>
      <c r="L5591" s="444">
        <f t="shared" ca="1" si="207"/>
        <v>-3475579980408748</v>
      </c>
      <c r="M5591" s="460">
        <f t="shared" si="209"/>
        <v>0.05</v>
      </c>
      <c r="N5591" s="464">
        <f t="shared" si="210"/>
        <v>221217</v>
      </c>
    </row>
    <row r="5592" spans="7:14" ht="11.25" customHeight="1" x14ac:dyDescent="0.3">
      <c r="G5592" s="459"/>
      <c r="H5592" s="459">
        <v>5585</v>
      </c>
      <c r="I5592" s="444">
        <f t="shared" ca="1" si="208"/>
        <v>-3475579980408748</v>
      </c>
      <c r="J5592" s="444">
        <f t="array" ref="J5592">IFERROR(INDEX('Retirement Calculator'!J:J,MATCH('Isaac 401k'!N5592,'Retirement Calculator'!A:A,0),0),0)</f>
        <v>0</v>
      </c>
      <c r="K5592" s="444">
        <f t="shared" ca="1" si="206"/>
        <v>-14481583251703.117</v>
      </c>
      <c r="L5592" s="444">
        <f t="shared" ca="1" si="207"/>
        <v>-3490061563660451</v>
      </c>
      <c r="M5592" s="460">
        <f t="shared" si="209"/>
        <v>0.05</v>
      </c>
      <c r="N5592" s="464">
        <f t="shared" si="210"/>
        <v>221247</v>
      </c>
    </row>
    <row r="5593" spans="7:14" ht="11.25" customHeight="1" x14ac:dyDescent="0.3">
      <c r="G5593" s="459"/>
      <c r="H5593" s="459">
        <v>5586</v>
      </c>
      <c r="I5593" s="444">
        <f t="shared" ca="1" si="208"/>
        <v>-3490061563660451</v>
      </c>
      <c r="J5593" s="444">
        <f t="array" ref="J5593">IFERROR(INDEX('Retirement Calculator'!J:J,MATCH('Isaac 401k'!N5593,'Retirement Calculator'!A:A,0),0),0)</f>
        <v>0</v>
      </c>
      <c r="K5593" s="444">
        <f t="shared" ca="1" si="206"/>
        <v>-14541923181918.545</v>
      </c>
      <c r="L5593" s="444">
        <f t="shared" ca="1" si="207"/>
        <v>-3504603486842369.5</v>
      </c>
      <c r="M5593" s="460">
        <f t="shared" si="209"/>
        <v>0.05</v>
      </c>
      <c r="N5593" s="464">
        <f t="shared" si="210"/>
        <v>221278</v>
      </c>
    </row>
    <row r="5594" spans="7:14" ht="11.25" customHeight="1" x14ac:dyDescent="0.3">
      <c r="G5594" s="459"/>
      <c r="H5594" s="459">
        <v>5587</v>
      </c>
      <c r="I5594" s="444">
        <f t="shared" ca="1" si="208"/>
        <v>-3504603486842369.5</v>
      </c>
      <c r="J5594" s="444">
        <f t="array" ref="J5594">IFERROR(INDEX('Retirement Calculator'!J:J,MATCH('Isaac 401k'!N5594,'Retirement Calculator'!A:A,0),0),0)</f>
        <v>0</v>
      </c>
      <c r="K5594" s="444">
        <f t="shared" ca="1" si="206"/>
        <v>-14602514528509.873</v>
      </c>
      <c r="L5594" s="444">
        <f t="shared" ca="1" si="207"/>
        <v>-3519206001370879.5</v>
      </c>
      <c r="M5594" s="460">
        <f t="shared" si="209"/>
        <v>0.05</v>
      </c>
      <c r="N5594" s="464">
        <f t="shared" si="210"/>
        <v>221308</v>
      </c>
    </row>
    <row r="5595" spans="7:14" ht="11.25" customHeight="1" x14ac:dyDescent="0.3">
      <c r="G5595" s="459"/>
      <c r="H5595" s="459">
        <v>5588</v>
      </c>
      <c r="I5595" s="444">
        <f t="shared" ca="1" si="208"/>
        <v>-3519206001370879.5</v>
      </c>
      <c r="J5595" s="444">
        <f t="array" ref="J5595">IFERROR(INDEX('Retirement Calculator'!J:J,MATCH('Isaac 401k'!N5595,'Retirement Calculator'!A:A,0),0),0)</f>
        <v>0</v>
      </c>
      <c r="K5595" s="444">
        <f t="shared" ca="1" si="206"/>
        <v>-14663358339045.33</v>
      </c>
      <c r="L5595" s="444">
        <f t="shared" ca="1" si="207"/>
        <v>-3533869359709925</v>
      </c>
      <c r="M5595" s="460">
        <f t="shared" si="209"/>
        <v>0.05</v>
      </c>
      <c r="N5595" s="464">
        <f t="shared" si="210"/>
        <v>221339</v>
      </c>
    </row>
    <row r="5596" spans="7:14" ht="11.25" customHeight="1" x14ac:dyDescent="0.3">
      <c r="G5596" s="459"/>
      <c r="H5596" s="459">
        <v>5589</v>
      </c>
      <c r="I5596" s="444">
        <f t="shared" ca="1" si="208"/>
        <v>-3533869359709925</v>
      </c>
      <c r="J5596" s="444">
        <f t="array" ref="J5596">IFERROR(INDEX('Retirement Calculator'!J:J,MATCH('Isaac 401k'!N5596,'Retirement Calculator'!A:A,0),0),0)</f>
        <v>0</v>
      </c>
      <c r="K5596" s="444">
        <f t="shared" ca="1" si="206"/>
        <v>-14724455665458.021</v>
      </c>
      <c r="L5596" s="444">
        <f t="shared" ca="1" si="207"/>
        <v>-3548593815375383</v>
      </c>
      <c r="M5596" s="460">
        <f t="shared" si="209"/>
        <v>0.05</v>
      </c>
      <c r="N5596" s="464">
        <f t="shared" si="210"/>
        <v>221370</v>
      </c>
    </row>
    <row r="5597" spans="7:14" ht="11.25" customHeight="1" x14ac:dyDescent="0.3">
      <c r="G5597" s="459"/>
      <c r="H5597" s="459">
        <v>5590</v>
      </c>
      <c r="I5597" s="444">
        <f t="shared" ca="1" si="208"/>
        <v>-3548593815375383</v>
      </c>
      <c r="J5597" s="444">
        <f t="array" ref="J5597">IFERROR(INDEX('Retirement Calculator'!J:J,MATCH('Isaac 401k'!N5597,'Retirement Calculator'!A:A,0),0),0)</f>
        <v>0</v>
      </c>
      <c r="K5597" s="444">
        <f t="shared" ca="1" si="206"/>
        <v>-14785807564064.096</v>
      </c>
      <c r="L5597" s="444">
        <f t="shared" ca="1" si="207"/>
        <v>-3563379622939447</v>
      </c>
      <c r="M5597" s="460">
        <f t="shared" si="209"/>
        <v>0.05</v>
      </c>
      <c r="N5597" s="464">
        <f t="shared" si="210"/>
        <v>221398</v>
      </c>
    </row>
    <row r="5598" spans="7:14" ht="11.25" customHeight="1" x14ac:dyDescent="0.3">
      <c r="G5598" s="459"/>
      <c r="H5598" s="459">
        <v>5591</v>
      </c>
      <c r="I5598" s="444">
        <f t="shared" ca="1" si="208"/>
        <v>-3563379622939447</v>
      </c>
      <c r="J5598" s="444">
        <f t="array" ref="J5598">IFERROR(INDEX('Retirement Calculator'!J:J,MATCH('Isaac 401k'!N5598,'Retirement Calculator'!A:A,0),0),0)</f>
        <v>0</v>
      </c>
      <c r="K5598" s="444">
        <f t="shared" ca="1" si="206"/>
        <v>-14847415095581.031</v>
      </c>
      <c r="L5598" s="444">
        <f t="shared" ca="1" si="207"/>
        <v>-3578227038035028</v>
      </c>
      <c r="M5598" s="460">
        <f t="shared" si="209"/>
        <v>0.05</v>
      </c>
      <c r="N5598" s="464">
        <f t="shared" si="210"/>
        <v>221429</v>
      </c>
    </row>
    <row r="5599" spans="7:14" ht="11.25" customHeight="1" x14ac:dyDescent="0.3">
      <c r="G5599" s="459"/>
      <c r="H5599" s="459">
        <v>5592</v>
      </c>
      <c r="I5599" s="444">
        <f t="shared" ca="1" si="208"/>
        <v>-3578227038035028</v>
      </c>
      <c r="J5599" s="444">
        <f t="array" ref="J5599">IFERROR(INDEX('Retirement Calculator'!J:J,MATCH('Isaac 401k'!N5599,'Retirement Calculator'!A:A,0),0),0)</f>
        <v>0</v>
      </c>
      <c r="K5599" s="444">
        <f t="shared" ca="1" si="206"/>
        <v>-14909279325145.949</v>
      </c>
      <c r="L5599" s="444">
        <f t="shared" ca="1" si="207"/>
        <v>-3593136317360174</v>
      </c>
      <c r="M5599" s="460">
        <f t="shared" si="209"/>
        <v>0.05</v>
      </c>
      <c r="N5599" s="464">
        <f t="shared" si="210"/>
        <v>221459</v>
      </c>
    </row>
    <row r="5600" spans="7:14" ht="11.25" customHeight="1" x14ac:dyDescent="0.3">
      <c r="G5600" s="459"/>
      <c r="H5600" s="459">
        <v>5593</v>
      </c>
      <c r="I5600" s="444">
        <f t="shared" ca="1" si="208"/>
        <v>-3593136317360174</v>
      </c>
      <c r="J5600" s="444">
        <f t="array" ref="J5600">IFERROR(INDEX('Retirement Calculator'!J:J,MATCH('Isaac 401k'!N5600,'Retirement Calculator'!A:A,0),0),0)</f>
        <v>0</v>
      </c>
      <c r="K5600" s="444">
        <f t="shared" ca="1" si="206"/>
        <v>-14971401322334.059</v>
      </c>
      <c r="L5600" s="444">
        <f t="shared" ca="1" si="207"/>
        <v>-3608107718682508</v>
      </c>
      <c r="M5600" s="460">
        <f t="shared" si="209"/>
        <v>0.05</v>
      </c>
      <c r="N5600" s="464">
        <f t="shared" si="210"/>
        <v>221490</v>
      </c>
    </row>
    <row r="5601" spans="7:14" ht="11.25" customHeight="1" x14ac:dyDescent="0.3">
      <c r="G5601" s="459"/>
      <c r="H5601" s="459">
        <v>5594</v>
      </c>
      <c r="I5601" s="444">
        <f t="shared" ca="1" si="208"/>
        <v>-3608107718682508</v>
      </c>
      <c r="J5601" s="444">
        <f t="array" ref="J5601">IFERROR(INDEX('Retirement Calculator'!J:J,MATCH('Isaac 401k'!N5601,'Retirement Calculator'!A:A,0),0),0)</f>
        <v>0</v>
      </c>
      <c r="K5601" s="444">
        <f t="shared" ca="1" si="206"/>
        <v>-15033782161177.117</v>
      </c>
      <c r="L5601" s="444">
        <f t="shared" ca="1" si="207"/>
        <v>-3623141500843685</v>
      </c>
      <c r="M5601" s="460">
        <f t="shared" si="209"/>
        <v>0.05</v>
      </c>
      <c r="N5601" s="464">
        <f t="shared" si="210"/>
        <v>221520</v>
      </c>
    </row>
    <row r="5602" spans="7:14" ht="11.25" customHeight="1" x14ac:dyDescent="0.3">
      <c r="G5602" s="459"/>
      <c r="H5602" s="459">
        <v>5595</v>
      </c>
      <c r="I5602" s="444">
        <f t="shared" ca="1" si="208"/>
        <v>-3623141500843685</v>
      </c>
      <c r="J5602" s="444">
        <f t="array" ref="J5602">IFERROR(INDEX('Retirement Calculator'!J:J,MATCH('Isaac 401k'!N5602,'Retirement Calculator'!A:A,0),0),0)</f>
        <v>0</v>
      </c>
      <c r="K5602" s="444">
        <f t="shared" ca="1" si="206"/>
        <v>-15096422920182.018</v>
      </c>
      <c r="L5602" s="444">
        <f t="shared" ca="1" si="207"/>
        <v>-3638237923763867</v>
      </c>
      <c r="M5602" s="460">
        <f t="shared" si="209"/>
        <v>0.05</v>
      </c>
      <c r="N5602" s="464">
        <f t="shared" si="210"/>
        <v>221551</v>
      </c>
    </row>
    <row r="5603" spans="7:14" ht="11.25" customHeight="1" x14ac:dyDescent="0.3">
      <c r="G5603" s="459"/>
      <c r="H5603" s="459">
        <v>5596</v>
      </c>
      <c r="I5603" s="444">
        <f t="shared" ca="1" si="208"/>
        <v>-3638237923763867</v>
      </c>
      <c r="J5603" s="444">
        <f t="array" ref="J5603">IFERROR(INDEX('Retirement Calculator'!J:J,MATCH('Isaac 401k'!N5603,'Retirement Calculator'!A:A,0),0),0)</f>
        <v>0</v>
      </c>
      <c r="K5603" s="444">
        <f t="shared" ca="1" si="206"/>
        <v>-15159324682349.447</v>
      </c>
      <c r="L5603" s="444">
        <f t="shared" ca="1" si="207"/>
        <v>-3653397248446216.5</v>
      </c>
      <c r="M5603" s="460">
        <f t="shared" si="209"/>
        <v>0.05</v>
      </c>
      <c r="N5603" s="464">
        <f t="shared" si="210"/>
        <v>221582</v>
      </c>
    </row>
    <row r="5604" spans="7:14" ht="11.25" customHeight="1" x14ac:dyDescent="0.3">
      <c r="G5604" s="459"/>
      <c r="H5604" s="459">
        <v>5597</v>
      </c>
      <c r="I5604" s="444">
        <f t="shared" ca="1" si="208"/>
        <v>-3653397248446216.5</v>
      </c>
      <c r="J5604" s="444">
        <f t="array" ref="J5604">IFERROR(INDEX('Retirement Calculator'!J:J,MATCH('Isaac 401k'!N5604,'Retirement Calculator'!A:A,0),0),0)</f>
        <v>0</v>
      </c>
      <c r="K5604" s="444">
        <f t="shared" ca="1" si="206"/>
        <v>-15222488535192.568</v>
      </c>
      <c r="L5604" s="444">
        <f t="shared" ca="1" si="207"/>
        <v>-3668619736981409</v>
      </c>
      <c r="M5604" s="460">
        <f t="shared" si="209"/>
        <v>0.05</v>
      </c>
      <c r="N5604" s="464">
        <f t="shared" si="210"/>
        <v>221612</v>
      </c>
    </row>
    <row r="5605" spans="7:14" ht="11.25" customHeight="1" x14ac:dyDescent="0.3">
      <c r="G5605" s="459"/>
      <c r="H5605" s="459">
        <v>5598</v>
      </c>
      <c r="I5605" s="444">
        <f t="shared" ca="1" si="208"/>
        <v>-3668619736981409</v>
      </c>
      <c r="J5605" s="444">
        <f t="array" ref="J5605">IFERROR(INDEX('Retirement Calculator'!J:J,MATCH('Isaac 401k'!N5605,'Retirement Calculator'!A:A,0),0),0)</f>
        <v>0</v>
      </c>
      <c r="K5605" s="444">
        <f t="shared" ca="1" si="206"/>
        <v>-15285915570755.873</v>
      </c>
      <c r="L5605" s="444">
        <f t="shared" ca="1" si="207"/>
        <v>-3683905652552165</v>
      </c>
      <c r="M5605" s="460">
        <f t="shared" si="209"/>
        <v>0.05</v>
      </c>
      <c r="N5605" s="464">
        <f t="shared" si="210"/>
        <v>221643</v>
      </c>
    </row>
    <row r="5606" spans="7:14" ht="11.25" customHeight="1" x14ac:dyDescent="0.3">
      <c r="G5606" s="459"/>
      <c r="H5606" s="459">
        <v>5599</v>
      </c>
      <c r="I5606" s="444">
        <f t="shared" ca="1" si="208"/>
        <v>-3683905652552165</v>
      </c>
      <c r="J5606" s="444">
        <f t="array" ref="J5606">IFERROR(INDEX('Retirement Calculator'!J:J,MATCH('Isaac 401k'!N5606,'Retirement Calculator'!A:A,0),0),0)</f>
        <v>0</v>
      </c>
      <c r="K5606" s="444">
        <f t="shared" ca="1" si="206"/>
        <v>-15349606885634.021</v>
      </c>
      <c r="L5606" s="444">
        <f t="shared" ca="1" si="207"/>
        <v>-3699255259437799</v>
      </c>
      <c r="M5606" s="460">
        <f t="shared" si="209"/>
        <v>0.05</v>
      </c>
      <c r="N5606" s="464">
        <f t="shared" si="210"/>
        <v>221673</v>
      </c>
    </row>
    <row r="5607" spans="7:14" ht="11.25" customHeight="1" x14ac:dyDescent="0.3">
      <c r="G5607" s="459"/>
      <c r="H5607" s="459">
        <v>5600</v>
      </c>
      <c r="I5607" s="444">
        <f t="shared" ca="1" si="208"/>
        <v>-3699255259437799</v>
      </c>
      <c r="J5607" s="444">
        <f t="array" ref="J5607">IFERROR(INDEX('Retirement Calculator'!J:J,MATCH('Isaac 401k'!N5607,'Retirement Calculator'!A:A,0),0),0)</f>
        <v>0</v>
      </c>
      <c r="K5607" s="444">
        <f t="shared" ca="1" si="206"/>
        <v>-15413563580990.826</v>
      </c>
      <c r="L5607" s="444">
        <f t="shared" ca="1" si="207"/>
        <v>-3714668823018790</v>
      </c>
      <c r="M5607" s="460">
        <f t="shared" si="209"/>
        <v>0.05</v>
      </c>
      <c r="N5607" s="464">
        <f t="shared" si="210"/>
        <v>221704</v>
      </c>
    </row>
    <row r="5608" spans="7:14" ht="11.25" customHeight="1" x14ac:dyDescent="0.3">
      <c r="G5608" s="459"/>
      <c r="H5608" s="459">
        <v>5601</v>
      </c>
      <c r="I5608" s="444">
        <f t="shared" ca="1" si="208"/>
        <v>-3714668823018790</v>
      </c>
      <c r="J5608" s="444">
        <f t="array" ref="J5608">IFERROR(INDEX('Retirement Calculator'!J:J,MATCH('Isaac 401k'!N5608,'Retirement Calculator'!A:A,0),0),0)</f>
        <v>0</v>
      </c>
      <c r="K5608" s="444">
        <f t="shared" ca="1" si="206"/>
        <v>-15477786762578.289</v>
      </c>
      <c r="L5608" s="444">
        <f t="shared" ca="1" si="207"/>
        <v>-3730146609781368.5</v>
      </c>
      <c r="M5608" s="460">
        <f t="shared" si="209"/>
        <v>0.05</v>
      </c>
      <c r="N5608" s="464">
        <f t="shared" si="210"/>
        <v>221735</v>
      </c>
    </row>
    <row r="5609" spans="7:14" ht="11.25" customHeight="1" x14ac:dyDescent="0.3">
      <c r="G5609" s="459"/>
      <c r="H5609" s="459">
        <v>5602</v>
      </c>
      <c r="I5609" s="444">
        <f t="shared" ca="1" si="208"/>
        <v>-3730146609781368.5</v>
      </c>
      <c r="J5609" s="444">
        <f t="array" ref="J5609">IFERROR(INDEX('Retirement Calculator'!J:J,MATCH('Isaac 401k'!N5609,'Retirement Calculator'!A:A,0),0),0)</f>
        <v>0</v>
      </c>
      <c r="K5609" s="444">
        <f t="shared" ca="1" si="206"/>
        <v>-15542277540755.703</v>
      </c>
      <c r="L5609" s="444">
        <f t="shared" ca="1" si="207"/>
        <v>-3745688887322124</v>
      </c>
      <c r="M5609" s="460">
        <f t="shared" si="209"/>
        <v>0.05</v>
      </c>
      <c r="N5609" s="464">
        <f t="shared" si="210"/>
        <v>221763</v>
      </c>
    </row>
    <row r="5610" spans="7:14" ht="11.25" customHeight="1" x14ac:dyDescent="0.3">
      <c r="G5610" s="459"/>
      <c r="H5610" s="459">
        <v>5603</v>
      </c>
      <c r="I5610" s="444">
        <f t="shared" ca="1" si="208"/>
        <v>-3745688887322124</v>
      </c>
      <c r="J5610" s="444">
        <f t="array" ref="J5610">IFERROR(INDEX('Retirement Calculator'!J:J,MATCH('Isaac 401k'!N5610,'Retirement Calculator'!A:A,0),0),0)</f>
        <v>0</v>
      </c>
      <c r="K5610" s="444">
        <f t="shared" ca="1" si="206"/>
        <v>-15607037030508.852</v>
      </c>
      <c r="L5610" s="444">
        <f t="shared" ca="1" si="207"/>
        <v>-3761295924352633</v>
      </c>
      <c r="M5610" s="460">
        <f t="shared" si="209"/>
        <v>0.05</v>
      </c>
      <c r="N5610" s="464">
        <f t="shared" si="210"/>
        <v>221794</v>
      </c>
    </row>
    <row r="5611" spans="7:14" ht="11.25" customHeight="1" x14ac:dyDescent="0.3">
      <c r="G5611" s="459"/>
      <c r="H5611" s="459">
        <v>5604</v>
      </c>
      <c r="I5611" s="444">
        <f t="shared" ca="1" si="208"/>
        <v>-3761295924352633</v>
      </c>
      <c r="J5611" s="444">
        <f t="array" ref="J5611">IFERROR(INDEX('Retirement Calculator'!J:J,MATCH('Isaac 401k'!N5611,'Retirement Calculator'!A:A,0),0),0)</f>
        <v>0</v>
      </c>
      <c r="K5611" s="444">
        <f t="shared" ca="1" si="206"/>
        <v>-15672066351469.305</v>
      </c>
      <c r="L5611" s="444">
        <f t="shared" ca="1" si="207"/>
        <v>-3776967990704102.5</v>
      </c>
      <c r="M5611" s="460">
        <f t="shared" si="209"/>
        <v>0.05</v>
      </c>
      <c r="N5611" s="464">
        <f t="shared" si="210"/>
        <v>221824</v>
      </c>
    </row>
    <row r="5612" spans="7:14" ht="11.25" customHeight="1" x14ac:dyDescent="0.3">
      <c r="G5612" s="459"/>
      <c r="H5612" s="459">
        <v>5605</v>
      </c>
      <c r="I5612" s="444">
        <f t="shared" ca="1" si="208"/>
        <v>-3776967990704102.5</v>
      </c>
      <c r="J5612" s="444">
        <f t="array" ref="J5612">IFERROR(INDEX('Retirement Calculator'!J:J,MATCH('Isaac 401k'!N5612,'Retirement Calculator'!A:A,0),0),0)</f>
        <v>0</v>
      </c>
      <c r="K5612" s="444">
        <f t="shared" ca="1" si="206"/>
        <v>-15737366627933.76</v>
      </c>
      <c r="L5612" s="444">
        <f t="shared" ca="1" si="207"/>
        <v>-3792705357332036.5</v>
      </c>
      <c r="M5612" s="460">
        <f t="shared" si="209"/>
        <v>0.05</v>
      </c>
      <c r="N5612" s="464">
        <f t="shared" si="210"/>
        <v>221855</v>
      </c>
    </row>
    <row r="5613" spans="7:14" ht="11.25" customHeight="1" x14ac:dyDescent="0.3">
      <c r="G5613" s="459"/>
      <c r="H5613" s="459">
        <v>5606</v>
      </c>
      <c r="I5613" s="444">
        <f t="shared" ca="1" si="208"/>
        <v>-3792705357332036.5</v>
      </c>
      <c r="J5613" s="444">
        <f t="array" ref="J5613">IFERROR(INDEX('Retirement Calculator'!J:J,MATCH('Isaac 401k'!N5613,'Retirement Calculator'!A:A,0),0),0)</f>
        <v>0</v>
      </c>
      <c r="K5613" s="444">
        <f t="shared" ca="1" si="206"/>
        <v>-15802938988883.482</v>
      </c>
      <c r="L5613" s="444">
        <f t="shared" ca="1" si="207"/>
        <v>-3808508296320920</v>
      </c>
      <c r="M5613" s="460">
        <f t="shared" si="209"/>
        <v>0.05</v>
      </c>
      <c r="N5613" s="464">
        <f t="shared" si="210"/>
        <v>221885</v>
      </c>
    </row>
    <row r="5614" spans="7:14" ht="11.25" customHeight="1" x14ac:dyDescent="0.3">
      <c r="G5614" s="459"/>
      <c r="H5614" s="459">
        <v>5607</v>
      </c>
      <c r="I5614" s="444">
        <f t="shared" ca="1" si="208"/>
        <v>-3808508296320920</v>
      </c>
      <c r="J5614" s="444">
        <f t="array" ref="J5614">IFERROR(INDEX('Retirement Calculator'!J:J,MATCH('Isaac 401k'!N5614,'Retirement Calculator'!A:A,0),0),0)</f>
        <v>0</v>
      </c>
      <c r="K5614" s="444">
        <f t="shared" ca="1" si="206"/>
        <v>-15868784568003.834</v>
      </c>
      <c r="L5614" s="444">
        <f t="shared" ca="1" si="207"/>
        <v>-3824377080888924</v>
      </c>
      <c r="M5614" s="460">
        <f t="shared" si="209"/>
        <v>0.05</v>
      </c>
      <c r="N5614" s="464">
        <f t="shared" si="210"/>
        <v>221916</v>
      </c>
    </row>
    <row r="5615" spans="7:14" ht="11.25" customHeight="1" x14ac:dyDescent="0.3">
      <c r="G5615" s="459"/>
      <c r="H5615" s="459">
        <v>5608</v>
      </c>
      <c r="I5615" s="444">
        <f t="shared" ca="1" si="208"/>
        <v>-3824377080888924</v>
      </c>
      <c r="J5615" s="444">
        <f t="array" ref="J5615">IFERROR(INDEX('Retirement Calculator'!J:J,MATCH('Isaac 401k'!N5615,'Retirement Calculator'!A:A,0),0),0)</f>
        <v>0</v>
      </c>
      <c r="K5615" s="444">
        <f t="shared" ca="1" si="206"/>
        <v>-15934904503703.852</v>
      </c>
      <c r="L5615" s="444">
        <f t="shared" ca="1" si="207"/>
        <v>-3840311985392628</v>
      </c>
      <c r="M5615" s="460">
        <f t="shared" si="209"/>
        <v>0.05</v>
      </c>
      <c r="N5615" s="464">
        <f t="shared" si="210"/>
        <v>221947</v>
      </c>
    </row>
    <row r="5616" spans="7:14" ht="11.25" customHeight="1" x14ac:dyDescent="0.3">
      <c r="G5616" s="459"/>
      <c r="H5616" s="459">
        <v>5609</v>
      </c>
      <c r="I5616" s="444">
        <f t="shared" ca="1" si="208"/>
        <v>-3840311985392628</v>
      </c>
      <c r="J5616" s="444">
        <f t="array" ref="J5616">IFERROR(INDEX('Retirement Calculator'!J:J,MATCH('Isaac 401k'!N5616,'Retirement Calculator'!A:A,0),0),0)</f>
        <v>0</v>
      </c>
      <c r="K5616" s="444">
        <f t="shared" ca="1" si="206"/>
        <v>-16001299939135.949</v>
      </c>
      <c r="L5616" s="444">
        <f t="shared" ca="1" si="207"/>
        <v>-3856313285331764</v>
      </c>
      <c r="M5616" s="460">
        <f t="shared" si="209"/>
        <v>0.05</v>
      </c>
      <c r="N5616" s="464">
        <f t="shared" si="210"/>
        <v>221977</v>
      </c>
    </row>
    <row r="5617" spans="7:14" ht="11.25" customHeight="1" x14ac:dyDescent="0.3">
      <c r="G5617" s="459"/>
      <c r="H5617" s="459">
        <v>5610</v>
      </c>
      <c r="I5617" s="444">
        <f t="shared" ca="1" si="208"/>
        <v>-3856313285331764</v>
      </c>
      <c r="J5617" s="444">
        <f t="array" ref="J5617">IFERROR(INDEX('Retirement Calculator'!J:J,MATCH('Isaac 401k'!N5617,'Retirement Calculator'!A:A,0),0),0)</f>
        <v>0</v>
      </c>
      <c r="K5617" s="444">
        <f t="shared" ca="1" si="206"/>
        <v>-16067972022215.682</v>
      </c>
      <c r="L5617" s="444">
        <f t="shared" ca="1" si="207"/>
        <v>-3872381257353979.5</v>
      </c>
      <c r="M5617" s="460">
        <f t="shared" si="209"/>
        <v>0.05</v>
      </c>
      <c r="N5617" s="464">
        <f t="shared" si="210"/>
        <v>222008</v>
      </c>
    </row>
    <row r="5618" spans="7:14" ht="11.25" customHeight="1" x14ac:dyDescent="0.3">
      <c r="G5618" s="459"/>
      <c r="H5618" s="459">
        <v>5611</v>
      </c>
      <c r="I5618" s="444">
        <f t="shared" ca="1" si="208"/>
        <v>-3872381257353979.5</v>
      </c>
      <c r="J5618" s="444">
        <f t="array" ref="J5618">IFERROR(INDEX('Retirement Calculator'!J:J,MATCH('Isaac 401k'!N5618,'Retirement Calculator'!A:A,0),0),0)</f>
        <v>0</v>
      </c>
      <c r="K5618" s="444">
        <f t="shared" ref="K5618:K5872" ca="1" si="211">IPMT(M5618/12,1,12,-I5618+J5618,,0)</f>
        <v>-16134921905641.584</v>
      </c>
      <c r="L5618" s="444">
        <f t="shared" ref="L5618:L5872" ca="1" si="212">I5618-J5618+K5618</f>
        <v>-3888516179259621</v>
      </c>
      <c r="M5618" s="460">
        <f t="shared" si="209"/>
        <v>0.05</v>
      </c>
      <c r="N5618" s="464">
        <f t="shared" si="210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213">L5618</f>
        <v>-3888516179259621</v>
      </c>
      <c r="J5619" s="444">
        <f t="array" ref="J5619">IFERROR(INDEX('Retirement Calculator'!J:J,MATCH('Isaac 401k'!N5619,'Retirement Calculator'!A:A,0),0),0)</f>
        <v>0</v>
      </c>
      <c r="K5619" s="444">
        <f t="shared" ca="1" si="211"/>
        <v>-16202150746915.088</v>
      </c>
      <c r="L5619" s="444">
        <f t="shared" ca="1" si="212"/>
        <v>-3904718330006536</v>
      </c>
      <c r="M5619" s="460">
        <f t="shared" ref="M5619:M5873" si="214">M5618</f>
        <v>0.05</v>
      </c>
      <c r="N5619" s="464">
        <f t="shared" ref="N5619:N5873" si="215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213"/>
        <v>-3904718330006536</v>
      </c>
      <c r="J5620" s="444">
        <f t="array" ref="J5620">IFERROR(INDEX('Retirement Calculator'!J:J,MATCH('Isaac 401k'!N5620,'Retirement Calculator'!A:A,0),0),0)</f>
        <v>0</v>
      </c>
      <c r="K5620" s="444">
        <f t="shared" ca="1" si="211"/>
        <v>-16269659708360.566</v>
      </c>
      <c r="L5620" s="444">
        <f t="shared" ca="1" si="212"/>
        <v>-3920987989714896.5</v>
      </c>
      <c r="M5620" s="460">
        <f t="shared" si="214"/>
        <v>0.05</v>
      </c>
      <c r="N5620" s="464">
        <f t="shared" si="215"/>
        <v>222100</v>
      </c>
    </row>
    <row r="5621" spans="7:14" ht="11.25" customHeight="1" x14ac:dyDescent="0.3">
      <c r="G5621" s="459"/>
      <c r="H5621" s="459">
        <v>5614</v>
      </c>
      <c r="I5621" s="444">
        <f t="shared" ca="1" si="213"/>
        <v>-3920987989714896.5</v>
      </c>
      <c r="J5621" s="444">
        <f t="array" ref="J5621">IFERROR(INDEX('Retirement Calculator'!J:J,MATCH('Isaac 401k'!N5621,'Retirement Calculator'!A:A,0),0),0)</f>
        <v>0</v>
      </c>
      <c r="K5621" s="444">
        <f t="shared" ca="1" si="211"/>
        <v>-16337449957145.402</v>
      </c>
      <c r="L5621" s="444">
        <f t="shared" ca="1" si="212"/>
        <v>-3937325439672042</v>
      </c>
      <c r="M5621" s="460">
        <f t="shared" si="214"/>
        <v>0.05</v>
      </c>
      <c r="N5621" s="464">
        <f t="shared" si="215"/>
        <v>222129</v>
      </c>
    </row>
    <row r="5622" spans="7:14" ht="11.25" customHeight="1" x14ac:dyDescent="0.3">
      <c r="G5622" s="459"/>
      <c r="H5622" s="459">
        <v>5615</v>
      </c>
      <c r="I5622" s="444">
        <f t="shared" ca="1" si="213"/>
        <v>-3937325439672042</v>
      </c>
      <c r="J5622" s="444">
        <f t="array" ref="J5622">IFERROR(INDEX('Retirement Calculator'!J:J,MATCH('Isaac 401k'!N5622,'Retirement Calculator'!A:A,0),0),0)</f>
        <v>0</v>
      </c>
      <c r="K5622" s="444">
        <f t="shared" ca="1" si="211"/>
        <v>-16405522665300.174</v>
      </c>
      <c r="L5622" s="444">
        <f t="shared" ca="1" si="212"/>
        <v>-3953730962337342</v>
      </c>
      <c r="M5622" s="460">
        <f t="shared" si="214"/>
        <v>0.05</v>
      </c>
      <c r="N5622" s="464">
        <f t="shared" si="215"/>
        <v>222160</v>
      </c>
    </row>
    <row r="5623" spans="7:14" ht="11.25" customHeight="1" x14ac:dyDescent="0.3">
      <c r="G5623" s="459"/>
      <c r="H5623" s="459">
        <v>5616</v>
      </c>
      <c r="I5623" s="444">
        <f t="shared" ca="1" si="213"/>
        <v>-3953730962337342</v>
      </c>
      <c r="J5623" s="444">
        <f t="array" ref="J5623">IFERROR(INDEX('Retirement Calculator'!J:J,MATCH('Isaac 401k'!N5623,'Retirement Calculator'!A:A,0),0),0)</f>
        <v>0</v>
      </c>
      <c r="K5623" s="444">
        <f t="shared" ca="1" si="211"/>
        <v>-16473879009738.922</v>
      </c>
      <c r="L5623" s="444">
        <f t="shared" ca="1" si="212"/>
        <v>-3970204841347081</v>
      </c>
      <c r="M5623" s="460">
        <f t="shared" si="214"/>
        <v>0.05</v>
      </c>
      <c r="N5623" s="464">
        <f t="shared" si="215"/>
        <v>222190</v>
      </c>
    </row>
    <row r="5624" spans="7:14" ht="11.25" customHeight="1" x14ac:dyDescent="0.3">
      <c r="G5624" s="459"/>
      <c r="H5624" s="459">
        <v>5617</v>
      </c>
      <c r="I5624" s="444">
        <f t="shared" ca="1" si="213"/>
        <v>-3970204841347081</v>
      </c>
      <c r="J5624" s="444">
        <f t="array" ref="J5624">IFERROR(INDEX('Retirement Calculator'!J:J,MATCH('Isaac 401k'!N5624,'Retirement Calculator'!A:A,0),0),0)</f>
        <v>0</v>
      </c>
      <c r="K5624" s="444">
        <f t="shared" ca="1" si="211"/>
        <v>-16542520172279.504</v>
      </c>
      <c r="L5624" s="444">
        <f t="shared" ca="1" si="212"/>
        <v>-3986747361519360.5</v>
      </c>
      <c r="M5624" s="460">
        <f t="shared" si="214"/>
        <v>0.05</v>
      </c>
      <c r="N5624" s="464">
        <f t="shared" si="215"/>
        <v>222221</v>
      </c>
    </row>
    <row r="5625" spans="7:14" ht="11.25" customHeight="1" x14ac:dyDescent="0.3">
      <c r="G5625" s="459"/>
      <c r="H5625" s="459">
        <v>5618</v>
      </c>
      <c r="I5625" s="444">
        <f t="shared" ca="1" si="213"/>
        <v>-3986747361519360.5</v>
      </c>
      <c r="J5625" s="444">
        <f t="array" ref="J5625">IFERROR(INDEX('Retirement Calculator'!J:J,MATCH('Isaac 401k'!N5625,'Retirement Calculator'!A:A,0),0),0)</f>
        <v>0</v>
      </c>
      <c r="K5625" s="444">
        <f t="shared" ca="1" si="211"/>
        <v>-16611447339664</v>
      </c>
      <c r="L5625" s="444">
        <f t="shared" ca="1" si="212"/>
        <v>-4003358808859024.5</v>
      </c>
      <c r="M5625" s="460">
        <f t="shared" si="214"/>
        <v>0.05</v>
      </c>
      <c r="N5625" s="464">
        <f t="shared" si="215"/>
        <v>222251</v>
      </c>
    </row>
    <row r="5626" spans="7:14" ht="11.25" customHeight="1" x14ac:dyDescent="0.3">
      <c r="G5626" s="459"/>
      <c r="H5626" s="459">
        <v>5619</v>
      </c>
      <c r="I5626" s="444">
        <f t="shared" ca="1" si="213"/>
        <v>-4003358808859024.5</v>
      </c>
      <c r="J5626" s="444">
        <f t="array" ref="J5626">IFERROR(INDEX('Retirement Calculator'!J:J,MATCH('Isaac 401k'!N5626,'Retirement Calculator'!A:A,0),0),0)</f>
        <v>0</v>
      </c>
      <c r="K5626" s="444">
        <f t="shared" ca="1" si="211"/>
        <v>-16680661703579.268</v>
      </c>
      <c r="L5626" s="444">
        <f t="shared" ca="1" si="212"/>
        <v>-4020039470562604</v>
      </c>
      <c r="M5626" s="460">
        <f t="shared" si="214"/>
        <v>0.05</v>
      </c>
      <c r="N5626" s="464">
        <f t="shared" si="215"/>
        <v>222282</v>
      </c>
    </row>
    <row r="5627" spans="7:14" ht="11.25" customHeight="1" x14ac:dyDescent="0.3">
      <c r="G5627" s="459"/>
      <c r="H5627" s="459">
        <v>5620</v>
      </c>
      <c r="I5627" s="444">
        <f t="shared" ca="1" si="213"/>
        <v>-4020039470562604</v>
      </c>
      <c r="J5627" s="444">
        <f t="array" ref="J5627">IFERROR(INDEX('Retirement Calculator'!J:J,MATCH('Isaac 401k'!N5627,'Retirement Calculator'!A:A,0),0),0)</f>
        <v>0</v>
      </c>
      <c r="K5627" s="444">
        <f t="shared" ca="1" si="211"/>
        <v>-16750164460677.514</v>
      </c>
      <c r="L5627" s="444">
        <f t="shared" ca="1" si="212"/>
        <v>-4036789635023281.5</v>
      </c>
      <c r="M5627" s="460">
        <f t="shared" si="214"/>
        <v>0.05</v>
      </c>
      <c r="N5627" s="464">
        <f t="shared" si="215"/>
        <v>222313</v>
      </c>
    </row>
    <row r="5628" spans="7:14" ht="11.25" customHeight="1" x14ac:dyDescent="0.3">
      <c r="G5628" s="459"/>
      <c r="H5628" s="459">
        <v>5621</v>
      </c>
      <c r="I5628" s="444">
        <f t="shared" ca="1" si="213"/>
        <v>-4036789635023281.5</v>
      </c>
      <c r="J5628" s="444">
        <f t="array" ref="J5628">IFERROR(INDEX('Retirement Calculator'!J:J,MATCH('Isaac 401k'!N5628,'Retirement Calculator'!A:A,0),0),0)</f>
        <v>0</v>
      </c>
      <c r="K5628" s="444">
        <f t="shared" ca="1" si="211"/>
        <v>-16819956812597.008</v>
      </c>
      <c r="L5628" s="444">
        <f t="shared" ca="1" si="212"/>
        <v>-4053609591835878.5</v>
      </c>
      <c r="M5628" s="460">
        <f t="shared" si="214"/>
        <v>0.05</v>
      </c>
      <c r="N5628" s="464">
        <f t="shared" si="215"/>
        <v>222343</v>
      </c>
    </row>
    <row r="5629" spans="7:14" ht="11.25" customHeight="1" x14ac:dyDescent="0.3">
      <c r="G5629" s="459"/>
      <c r="H5629" s="459">
        <v>5622</v>
      </c>
      <c r="I5629" s="444">
        <f t="shared" ca="1" si="213"/>
        <v>-4053609591835878.5</v>
      </c>
      <c r="J5629" s="444">
        <f t="array" ref="J5629">IFERROR(INDEX('Retirement Calculator'!J:J,MATCH('Isaac 401k'!N5629,'Retirement Calculator'!A:A,0),0),0)</f>
        <v>0</v>
      </c>
      <c r="K5629" s="444">
        <f t="shared" ca="1" si="211"/>
        <v>-16890039965982.828</v>
      </c>
      <c r="L5629" s="444">
        <f t="shared" ca="1" si="212"/>
        <v>-4070499631801861.5</v>
      </c>
      <c r="M5629" s="460">
        <f t="shared" si="214"/>
        <v>0.05</v>
      </c>
      <c r="N5629" s="464">
        <f t="shared" si="215"/>
        <v>222374</v>
      </c>
    </row>
    <row r="5630" spans="7:14" ht="11.25" customHeight="1" x14ac:dyDescent="0.3">
      <c r="G5630" s="459"/>
      <c r="H5630" s="459">
        <v>5623</v>
      </c>
      <c r="I5630" s="444">
        <f t="shared" ca="1" si="213"/>
        <v>-4070499631801861.5</v>
      </c>
      <c r="J5630" s="444">
        <f t="array" ref="J5630">IFERROR(INDEX('Retirement Calculator'!J:J,MATCH('Isaac 401k'!N5630,'Retirement Calculator'!A:A,0),0),0)</f>
        <v>0</v>
      </c>
      <c r="K5630" s="444">
        <f t="shared" ca="1" si="211"/>
        <v>-16960415132507.756</v>
      </c>
      <c r="L5630" s="444">
        <f t="shared" ca="1" si="212"/>
        <v>-4087460046934369.5</v>
      </c>
      <c r="M5630" s="460">
        <f t="shared" si="214"/>
        <v>0.05</v>
      </c>
      <c r="N5630" s="464">
        <f t="shared" si="215"/>
        <v>222404</v>
      </c>
    </row>
    <row r="5631" spans="7:14" ht="11.25" customHeight="1" x14ac:dyDescent="0.3">
      <c r="G5631" s="459"/>
      <c r="H5631" s="459">
        <v>5624</v>
      </c>
      <c r="I5631" s="444">
        <f t="shared" ca="1" si="213"/>
        <v>-4087460046934369.5</v>
      </c>
      <c r="J5631" s="444">
        <f t="array" ref="J5631">IFERROR(INDEX('Retirement Calculator'!J:J,MATCH('Isaac 401k'!N5631,'Retirement Calculator'!A:A,0),0),0)</f>
        <v>0</v>
      </c>
      <c r="K5631" s="444">
        <f t="shared" ca="1" si="211"/>
        <v>-17031083528893.209</v>
      </c>
      <c r="L5631" s="444">
        <f t="shared" ca="1" si="212"/>
        <v>-4104491130463262.5</v>
      </c>
      <c r="M5631" s="460">
        <f t="shared" si="214"/>
        <v>0.05</v>
      </c>
      <c r="N5631" s="464">
        <f t="shared" si="215"/>
        <v>222435</v>
      </c>
    </row>
    <row r="5632" spans="7:14" ht="11.25" customHeight="1" x14ac:dyDescent="0.3">
      <c r="G5632" s="459"/>
      <c r="H5632" s="459">
        <v>5625</v>
      </c>
      <c r="I5632" s="444">
        <f t="shared" ca="1" si="213"/>
        <v>-4104491130463262.5</v>
      </c>
      <c r="J5632" s="444">
        <f t="array" ref="J5632">IFERROR(INDEX('Retirement Calculator'!J:J,MATCH('Isaac 401k'!N5632,'Retirement Calculator'!A:A,0),0),0)</f>
        <v>0</v>
      </c>
      <c r="K5632" s="444">
        <f t="shared" ca="1" si="211"/>
        <v>-17102046376930.26</v>
      </c>
      <c r="L5632" s="444">
        <f t="shared" ca="1" si="212"/>
        <v>-4121593176840193</v>
      </c>
      <c r="M5632" s="460">
        <f t="shared" si="214"/>
        <v>0.05</v>
      </c>
      <c r="N5632" s="464">
        <f t="shared" si="215"/>
        <v>222466</v>
      </c>
    </row>
    <row r="5633" spans="7:14" ht="11.25" customHeight="1" x14ac:dyDescent="0.3">
      <c r="G5633" s="459"/>
      <c r="H5633" s="459">
        <v>5626</v>
      </c>
      <c r="I5633" s="444">
        <f t="shared" ca="1" si="213"/>
        <v>-4121593176840193</v>
      </c>
      <c r="J5633" s="444">
        <f t="array" ref="J5633">IFERROR(INDEX('Retirement Calculator'!J:J,MATCH('Isaac 401k'!N5633,'Retirement Calculator'!A:A,0),0),0)</f>
        <v>0</v>
      </c>
      <c r="K5633" s="444">
        <f t="shared" ca="1" si="211"/>
        <v>-17173304903500.805</v>
      </c>
      <c r="L5633" s="444">
        <f t="shared" ca="1" si="212"/>
        <v>-4138766481743694</v>
      </c>
      <c r="M5633" s="460">
        <f t="shared" si="214"/>
        <v>0.05</v>
      </c>
      <c r="N5633" s="464">
        <f t="shared" si="215"/>
        <v>222494</v>
      </c>
    </row>
    <row r="5634" spans="7:14" ht="11.25" customHeight="1" x14ac:dyDescent="0.3">
      <c r="G5634" s="459"/>
      <c r="H5634" s="459">
        <v>5627</v>
      </c>
      <c r="I5634" s="444">
        <f t="shared" ca="1" si="213"/>
        <v>-4138766481743694</v>
      </c>
      <c r="J5634" s="444">
        <f t="array" ref="J5634">IFERROR(INDEX('Retirement Calculator'!J:J,MATCH('Isaac 401k'!N5634,'Retirement Calculator'!A:A,0),0),0)</f>
        <v>0</v>
      </c>
      <c r="K5634" s="444">
        <f t="shared" ca="1" si="211"/>
        <v>-17244860340598.725</v>
      </c>
      <c r="L5634" s="444">
        <f t="shared" ca="1" si="212"/>
        <v>-4156011342084292.5</v>
      </c>
      <c r="M5634" s="460">
        <f t="shared" si="214"/>
        <v>0.05</v>
      </c>
      <c r="N5634" s="464">
        <f t="shared" si="215"/>
        <v>222525</v>
      </c>
    </row>
    <row r="5635" spans="7:14" ht="11.25" customHeight="1" x14ac:dyDescent="0.3">
      <c r="G5635" s="459"/>
      <c r="H5635" s="459">
        <v>5628</v>
      </c>
      <c r="I5635" s="444">
        <f t="shared" ca="1" si="213"/>
        <v>-4156011342084292.5</v>
      </c>
      <c r="J5635" s="444">
        <f t="array" ref="J5635">IFERROR(INDEX('Retirement Calculator'!J:J,MATCH('Isaac 401k'!N5635,'Retirement Calculator'!A:A,0),0),0)</f>
        <v>0</v>
      </c>
      <c r="K5635" s="444">
        <f t="shared" ca="1" si="211"/>
        <v>-17316713925351.221</v>
      </c>
      <c r="L5635" s="444">
        <f t="shared" ca="1" si="212"/>
        <v>-4173328056009643.5</v>
      </c>
      <c r="M5635" s="460">
        <f t="shared" si="214"/>
        <v>0.05</v>
      </c>
      <c r="N5635" s="464">
        <f t="shared" si="215"/>
        <v>222555</v>
      </c>
    </row>
    <row r="5636" spans="7:14" ht="11.25" customHeight="1" x14ac:dyDescent="0.3">
      <c r="G5636" s="459"/>
      <c r="H5636" s="459">
        <v>5629</v>
      </c>
      <c r="I5636" s="444">
        <f t="shared" ca="1" si="213"/>
        <v>-4173328056009643.5</v>
      </c>
      <c r="J5636" s="444">
        <f t="array" ref="J5636">IFERROR(INDEX('Retirement Calculator'!J:J,MATCH('Isaac 401k'!N5636,'Retirement Calculator'!A:A,0),0),0)</f>
        <v>0</v>
      </c>
      <c r="K5636" s="444">
        <f t="shared" ca="1" si="211"/>
        <v>-17388866900040.182</v>
      </c>
      <c r="L5636" s="444">
        <f t="shared" ca="1" si="212"/>
        <v>-4190716922909683.5</v>
      </c>
      <c r="M5636" s="460">
        <f t="shared" si="214"/>
        <v>0.05</v>
      </c>
      <c r="N5636" s="464">
        <f t="shared" si="215"/>
        <v>222586</v>
      </c>
    </row>
    <row r="5637" spans="7:14" ht="11.25" customHeight="1" x14ac:dyDescent="0.3">
      <c r="G5637" s="459"/>
      <c r="H5637" s="459">
        <v>5630</v>
      </c>
      <c r="I5637" s="444">
        <f t="shared" ca="1" si="213"/>
        <v>-4190716922909683.5</v>
      </c>
      <c r="J5637" s="444">
        <f t="array" ref="J5637">IFERROR(INDEX('Retirement Calculator'!J:J,MATCH('Isaac 401k'!N5637,'Retirement Calculator'!A:A,0),0),0)</f>
        <v>0</v>
      </c>
      <c r="K5637" s="444">
        <f t="shared" ca="1" si="211"/>
        <v>-17461320512123.682</v>
      </c>
      <c r="L5637" s="444">
        <f t="shared" ca="1" si="212"/>
        <v>-4208178243421807</v>
      </c>
      <c r="M5637" s="460">
        <f t="shared" si="214"/>
        <v>0.05</v>
      </c>
      <c r="N5637" s="464">
        <f t="shared" si="215"/>
        <v>222616</v>
      </c>
    </row>
    <row r="5638" spans="7:14" ht="11.25" customHeight="1" x14ac:dyDescent="0.3">
      <c r="G5638" s="459"/>
      <c r="H5638" s="459">
        <v>5631</v>
      </c>
      <c r="I5638" s="444">
        <f t="shared" ca="1" si="213"/>
        <v>-4208178243421807</v>
      </c>
      <c r="J5638" s="444">
        <f t="array" ref="J5638">IFERROR(INDEX('Retirement Calculator'!J:J,MATCH('Isaac 401k'!N5638,'Retirement Calculator'!A:A,0),0),0)</f>
        <v>0</v>
      </c>
      <c r="K5638" s="444">
        <f t="shared" ca="1" si="211"/>
        <v>-17534076014257.529</v>
      </c>
      <c r="L5638" s="444">
        <f t="shared" ca="1" si="212"/>
        <v>-4225712319436064.5</v>
      </c>
      <c r="M5638" s="460">
        <f t="shared" si="214"/>
        <v>0.05</v>
      </c>
      <c r="N5638" s="464">
        <f t="shared" si="215"/>
        <v>222647</v>
      </c>
    </row>
    <row r="5639" spans="7:14" ht="11.25" customHeight="1" x14ac:dyDescent="0.3">
      <c r="G5639" s="459"/>
      <c r="H5639" s="459">
        <v>5632</v>
      </c>
      <c r="I5639" s="444">
        <f t="shared" ca="1" si="213"/>
        <v>-4225712319436064.5</v>
      </c>
      <c r="J5639" s="444">
        <f t="array" ref="J5639">IFERROR(INDEX('Retirement Calculator'!J:J,MATCH('Isaac 401k'!N5639,'Retirement Calculator'!A:A,0),0),0)</f>
        <v>0</v>
      </c>
      <c r="K5639" s="444">
        <f t="shared" ca="1" si="211"/>
        <v>-17607134664316.934</v>
      </c>
      <c r="L5639" s="444">
        <f t="shared" ca="1" si="212"/>
        <v>-4243319454100381.5</v>
      </c>
      <c r="M5639" s="460">
        <f t="shared" si="214"/>
        <v>0.05</v>
      </c>
      <c r="N5639" s="464">
        <f t="shared" si="215"/>
        <v>222678</v>
      </c>
    </row>
    <row r="5640" spans="7:14" ht="11.25" customHeight="1" x14ac:dyDescent="0.3">
      <c r="G5640" s="459"/>
      <c r="H5640" s="459">
        <v>5633</v>
      </c>
      <c r="I5640" s="444">
        <f t="shared" ca="1" si="213"/>
        <v>-4243319454100381.5</v>
      </c>
      <c r="J5640" s="444">
        <f t="array" ref="J5640">IFERROR(INDEX('Retirement Calculator'!J:J,MATCH('Isaac 401k'!N5640,'Retirement Calculator'!A:A,0),0),0)</f>
        <v>0</v>
      </c>
      <c r="K5640" s="444">
        <f t="shared" ca="1" si="211"/>
        <v>-17680497725418.254</v>
      </c>
      <c r="L5640" s="444">
        <f t="shared" ca="1" si="212"/>
        <v>-4260999951825800</v>
      </c>
      <c r="M5640" s="460">
        <f t="shared" si="214"/>
        <v>0.05</v>
      </c>
      <c r="N5640" s="464">
        <f t="shared" si="215"/>
        <v>222708</v>
      </c>
    </row>
    <row r="5641" spans="7:14" ht="11.25" customHeight="1" x14ac:dyDescent="0.3">
      <c r="G5641" s="459"/>
      <c r="H5641" s="459">
        <v>5634</v>
      </c>
      <c r="I5641" s="444">
        <f t="shared" ca="1" si="213"/>
        <v>-4260999951825800</v>
      </c>
      <c r="J5641" s="444">
        <f t="array" ref="J5641">IFERROR(INDEX('Retirement Calculator'!J:J,MATCH('Isaac 401k'!N5641,'Retirement Calculator'!A:A,0),0),0)</f>
        <v>0</v>
      </c>
      <c r="K5641" s="444">
        <f t="shared" ca="1" si="211"/>
        <v>-17754166465940.832</v>
      </c>
      <c r="L5641" s="444">
        <f t="shared" ca="1" si="212"/>
        <v>-4278754118291741</v>
      </c>
      <c r="M5641" s="460">
        <f t="shared" si="214"/>
        <v>0.05</v>
      </c>
      <c r="N5641" s="464">
        <f t="shared" si="215"/>
        <v>222739</v>
      </c>
    </row>
    <row r="5642" spans="7:14" ht="11.25" customHeight="1" x14ac:dyDescent="0.3">
      <c r="G5642" s="459"/>
      <c r="H5642" s="459">
        <v>5635</v>
      </c>
      <c r="I5642" s="444">
        <f t="shared" ca="1" si="213"/>
        <v>-4278754118291741</v>
      </c>
      <c r="J5642" s="444">
        <f t="array" ref="J5642">IFERROR(INDEX('Retirement Calculator'!J:J,MATCH('Isaac 401k'!N5642,'Retirement Calculator'!A:A,0),0),0)</f>
        <v>0</v>
      </c>
      <c r="K5642" s="444">
        <f t="shared" ca="1" si="211"/>
        <v>-17828142159548.922</v>
      </c>
      <c r="L5642" s="444">
        <f t="shared" ca="1" si="212"/>
        <v>-4296582260451290</v>
      </c>
      <c r="M5642" s="460">
        <f t="shared" si="214"/>
        <v>0.05</v>
      </c>
      <c r="N5642" s="464">
        <f t="shared" si="215"/>
        <v>222769</v>
      </c>
    </row>
    <row r="5643" spans="7:14" ht="11.25" customHeight="1" x14ac:dyDescent="0.3">
      <c r="G5643" s="459"/>
      <c r="H5643" s="459">
        <v>5636</v>
      </c>
      <c r="I5643" s="444">
        <f t="shared" ca="1" si="213"/>
        <v>-4296582260451290</v>
      </c>
      <c r="J5643" s="444">
        <f t="array" ref="J5643">IFERROR(INDEX('Retirement Calculator'!J:J,MATCH('Isaac 401k'!N5643,'Retirement Calculator'!A:A,0),0),0)</f>
        <v>0</v>
      </c>
      <c r="K5643" s="444">
        <f t="shared" ca="1" si="211"/>
        <v>-17902426085213.707</v>
      </c>
      <c r="L5643" s="444">
        <f t="shared" ca="1" si="212"/>
        <v>-4314484686536503.5</v>
      </c>
      <c r="M5643" s="460">
        <f t="shared" si="214"/>
        <v>0.05</v>
      </c>
      <c r="N5643" s="464">
        <f t="shared" si="215"/>
        <v>222800</v>
      </c>
    </row>
    <row r="5644" spans="7:14" ht="11.25" customHeight="1" x14ac:dyDescent="0.3">
      <c r="G5644" s="459"/>
      <c r="H5644" s="459">
        <v>5637</v>
      </c>
      <c r="I5644" s="444">
        <f t="shared" ca="1" si="213"/>
        <v>-4314484686536503.5</v>
      </c>
      <c r="J5644" s="444">
        <f t="array" ref="J5644">IFERROR(INDEX('Retirement Calculator'!J:J,MATCH('Isaac 401k'!N5644,'Retirement Calculator'!A:A,0),0),0)</f>
        <v>0</v>
      </c>
      <c r="K5644" s="444">
        <f t="shared" ca="1" si="211"/>
        <v>-17977019527235.434</v>
      </c>
      <c r="L5644" s="444">
        <f t="shared" ca="1" si="212"/>
        <v>-4332461706063739</v>
      </c>
      <c r="M5644" s="460">
        <f t="shared" si="214"/>
        <v>0.05</v>
      </c>
      <c r="N5644" s="464">
        <f t="shared" si="215"/>
        <v>222831</v>
      </c>
    </row>
    <row r="5645" spans="7:14" ht="11.25" customHeight="1" x14ac:dyDescent="0.3">
      <c r="G5645" s="459"/>
      <c r="H5645" s="459">
        <v>5638</v>
      </c>
      <c r="I5645" s="444">
        <f t="shared" ca="1" si="213"/>
        <v>-4332461706063739</v>
      </c>
      <c r="J5645" s="444">
        <f t="array" ref="J5645">IFERROR(INDEX('Retirement Calculator'!J:J,MATCH('Isaac 401k'!N5645,'Retirement Calculator'!A:A,0),0),0)</f>
        <v>0</v>
      </c>
      <c r="K5645" s="444">
        <f t="shared" ca="1" si="211"/>
        <v>-18051923775265.578</v>
      </c>
      <c r="L5645" s="444">
        <f t="shared" ca="1" si="212"/>
        <v>-4350513629839004.5</v>
      </c>
      <c r="M5645" s="460">
        <f t="shared" si="214"/>
        <v>0.05</v>
      </c>
      <c r="N5645" s="464">
        <f t="shared" si="215"/>
        <v>222859</v>
      </c>
    </row>
    <row r="5646" spans="7:14" ht="11.25" customHeight="1" x14ac:dyDescent="0.3">
      <c r="G5646" s="459"/>
      <c r="H5646" s="459">
        <v>5639</v>
      </c>
      <c r="I5646" s="444">
        <f t="shared" ca="1" si="213"/>
        <v>-4350513629839004.5</v>
      </c>
      <c r="J5646" s="444">
        <f t="array" ref="J5646">IFERROR(INDEX('Retirement Calculator'!J:J,MATCH('Isaac 401k'!N5646,'Retirement Calculator'!A:A,0),0),0)</f>
        <v>0</v>
      </c>
      <c r="K5646" s="444">
        <f t="shared" ca="1" si="211"/>
        <v>-18127140124329.184</v>
      </c>
      <c r="L5646" s="444">
        <f t="shared" ca="1" si="212"/>
        <v>-4368640769963333.5</v>
      </c>
      <c r="M5646" s="460">
        <f t="shared" si="214"/>
        <v>0.05</v>
      </c>
      <c r="N5646" s="464">
        <f t="shared" si="215"/>
        <v>222890</v>
      </c>
    </row>
    <row r="5647" spans="7:14" ht="11.25" customHeight="1" x14ac:dyDescent="0.3">
      <c r="G5647" s="459"/>
      <c r="H5647" s="459">
        <v>5640</v>
      </c>
      <c r="I5647" s="444">
        <f t="shared" ca="1" si="213"/>
        <v>-4368640769963333.5</v>
      </c>
      <c r="J5647" s="444">
        <f t="array" ref="J5647">IFERROR(INDEX('Retirement Calculator'!J:J,MATCH('Isaac 401k'!N5647,'Retirement Calculator'!A:A,0),0),0)</f>
        <v>0</v>
      </c>
      <c r="K5647" s="444">
        <f t="shared" ca="1" si="211"/>
        <v>-18202669874847.219</v>
      </c>
      <c r="L5647" s="444">
        <f t="shared" ca="1" si="212"/>
        <v>-4386843439838180.5</v>
      </c>
      <c r="M5647" s="460">
        <f t="shared" si="214"/>
        <v>0.05</v>
      </c>
      <c r="N5647" s="464">
        <f t="shared" si="215"/>
        <v>222920</v>
      </c>
    </row>
    <row r="5648" spans="7:14" ht="11.25" customHeight="1" x14ac:dyDescent="0.3">
      <c r="G5648" s="459"/>
      <c r="H5648" s="459">
        <v>5641</v>
      </c>
      <c r="I5648" s="444">
        <f t="shared" ca="1" si="213"/>
        <v>-4386843439838180.5</v>
      </c>
      <c r="J5648" s="444">
        <f t="array" ref="J5648">IFERROR(INDEX('Retirement Calculator'!J:J,MATCH('Isaac 401k'!N5648,'Retirement Calculator'!A:A,0),0),0)</f>
        <v>0</v>
      </c>
      <c r="K5648" s="444">
        <f t="shared" ca="1" si="211"/>
        <v>-18278514332659.086</v>
      </c>
      <c r="L5648" s="444">
        <f t="shared" ca="1" si="212"/>
        <v>-4405121954170839.5</v>
      </c>
      <c r="M5648" s="460">
        <f t="shared" si="214"/>
        <v>0.05</v>
      </c>
      <c r="N5648" s="464">
        <f t="shared" si="215"/>
        <v>222951</v>
      </c>
    </row>
    <row r="5649" spans="7:14" ht="11.25" customHeight="1" x14ac:dyDescent="0.3">
      <c r="G5649" s="459"/>
      <c r="H5649" s="459">
        <v>5642</v>
      </c>
      <c r="I5649" s="444">
        <f t="shared" ca="1" si="213"/>
        <v>-4405121954170839.5</v>
      </c>
      <c r="J5649" s="444">
        <f t="array" ref="J5649">IFERROR(INDEX('Retirement Calculator'!J:J,MATCH('Isaac 401k'!N5649,'Retirement Calculator'!A:A,0),0),0)</f>
        <v>0</v>
      </c>
      <c r="K5649" s="444">
        <f t="shared" ca="1" si="211"/>
        <v>-18354674809045.164</v>
      </c>
      <c r="L5649" s="444">
        <f t="shared" ca="1" si="212"/>
        <v>-4423476628979884.5</v>
      </c>
      <c r="M5649" s="460">
        <f t="shared" si="214"/>
        <v>0.05</v>
      </c>
      <c r="N5649" s="464">
        <f t="shared" si="215"/>
        <v>222981</v>
      </c>
    </row>
    <row r="5650" spans="7:14" ht="11.25" customHeight="1" x14ac:dyDescent="0.3">
      <c r="G5650" s="459"/>
      <c r="H5650" s="459">
        <v>5643</v>
      </c>
      <c r="I5650" s="444">
        <f t="shared" ca="1" si="213"/>
        <v>-4423476628979884.5</v>
      </c>
      <c r="J5650" s="444">
        <f t="array" ref="J5650">IFERROR(INDEX('Retirement Calculator'!J:J,MATCH('Isaac 401k'!N5650,'Retirement Calculator'!A:A,0),0),0)</f>
        <v>0</v>
      </c>
      <c r="K5650" s="444">
        <f t="shared" ca="1" si="211"/>
        <v>-18431152620749.516</v>
      </c>
      <c r="L5650" s="444">
        <f t="shared" ca="1" si="212"/>
        <v>-4441907781600634</v>
      </c>
      <c r="M5650" s="460">
        <f t="shared" si="214"/>
        <v>0.05</v>
      </c>
      <c r="N5650" s="464">
        <f t="shared" si="215"/>
        <v>223012</v>
      </c>
    </row>
    <row r="5651" spans="7:14" ht="11.25" customHeight="1" x14ac:dyDescent="0.3">
      <c r="G5651" s="459"/>
      <c r="H5651" s="459">
        <v>5644</v>
      </c>
      <c r="I5651" s="444">
        <f t="shared" ca="1" si="213"/>
        <v>-4441907781600634</v>
      </c>
      <c r="J5651" s="444">
        <f t="array" ref="J5651">IFERROR(INDEX('Retirement Calculator'!J:J,MATCH('Isaac 401k'!N5651,'Retirement Calculator'!A:A,0),0),0)</f>
        <v>0</v>
      </c>
      <c r="K5651" s="444">
        <f t="shared" ca="1" si="211"/>
        <v>-18507949090002.645</v>
      </c>
      <c r="L5651" s="444">
        <f t="shared" ca="1" si="212"/>
        <v>-4460415730690636.5</v>
      </c>
      <c r="M5651" s="460">
        <f t="shared" si="214"/>
        <v>0.05</v>
      </c>
      <c r="N5651" s="464">
        <f t="shared" si="215"/>
        <v>223043</v>
      </c>
    </row>
    <row r="5652" spans="7:14" ht="11.25" customHeight="1" x14ac:dyDescent="0.3">
      <c r="G5652" s="459"/>
      <c r="H5652" s="459">
        <v>5645</v>
      </c>
      <c r="I5652" s="444">
        <f t="shared" ca="1" si="213"/>
        <v>-4460415730690636.5</v>
      </c>
      <c r="J5652" s="444">
        <f t="array" ref="J5652">IFERROR(INDEX('Retirement Calculator'!J:J,MATCH('Isaac 401k'!N5652,'Retirement Calculator'!A:A,0),0),0)</f>
        <v>0</v>
      </c>
      <c r="K5652" s="444">
        <f t="shared" ca="1" si="211"/>
        <v>-18585065544544.32</v>
      </c>
      <c r="L5652" s="444">
        <f t="shared" ca="1" si="212"/>
        <v>-4479000796235181</v>
      </c>
      <c r="M5652" s="460">
        <f t="shared" si="214"/>
        <v>0.05</v>
      </c>
      <c r="N5652" s="464">
        <f t="shared" si="215"/>
        <v>223073</v>
      </c>
    </row>
    <row r="5653" spans="7:14" ht="11.25" customHeight="1" x14ac:dyDescent="0.3">
      <c r="G5653" s="459"/>
      <c r="H5653" s="459">
        <v>5646</v>
      </c>
      <c r="I5653" s="444">
        <f t="shared" ca="1" si="213"/>
        <v>-4479000796235181</v>
      </c>
      <c r="J5653" s="444">
        <f t="array" ref="J5653">IFERROR(INDEX('Retirement Calculator'!J:J,MATCH('Isaac 401k'!N5653,'Retirement Calculator'!A:A,0),0),0)</f>
        <v>0</v>
      </c>
      <c r="K5653" s="444">
        <f t="shared" ca="1" si="211"/>
        <v>-18662503317646.586</v>
      </c>
      <c r="L5653" s="444">
        <f t="shared" ca="1" si="212"/>
        <v>-4497663299552827.5</v>
      </c>
      <c r="M5653" s="460">
        <f t="shared" si="214"/>
        <v>0.05</v>
      </c>
      <c r="N5653" s="464">
        <f t="shared" si="215"/>
        <v>223104</v>
      </c>
    </row>
    <row r="5654" spans="7:14" ht="11.25" customHeight="1" x14ac:dyDescent="0.3">
      <c r="G5654" s="459"/>
      <c r="H5654" s="459">
        <v>5647</v>
      </c>
      <c r="I5654" s="444">
        <f t="shared" ca="1" si="213"/>
        <v>-4497663299552827.5</v>
      </c>
      <c r="J5654" s="444">
        <f t="array" ref="J5654">IFERROR(INDEX('Retirement Calculator'!J:J,MATCH('Isaac 401k'!N5654,'Retirement Calculator'!A:A,0),0),0)</f>
        <v>0</v>
      </c>
      <c r="K5654" s="444">
        <f t="shared" ca="1" si="211"/>
        <v>-18740263748136.781</v>
      </c>
      <c r="L5654" s="444">
        <f t="shared" ca="1" si="212"/>
        <v>-4516403563300964</v>
      </c>
      <c r="M5654" s="460">
        <f t="shared" si="214"/>
        <v>0.05</v>
      </c>
      <c r="N5654" s="464">
        <f t="shared" si="215"/>
        <v>223134</v>
      </c>
    </row>
    <row r="5655" spans="7:14" ht="11.25" customHeight="1" x14ac:dyDescent="0.3">
      <c r="G5655" s="459"/>
      <c r="H5655" s="459">
        <v>5648</v>
      </c>
      <c r="I5655" s="444">
        <f t="shared" ca="1" si="213"/>
        <v>-4516403563300964</v>
      </c>
      <c r="J5655" s="444">
        <f t="array" ref="J5655">IFERROR(INDEX('Retirement Calculator'!J:J,MATCH('Isaac 401k'!N5655,'Retirement Calculator'!A:A,0),0),0)</f>
        <v>0</v>
      </c>
      <c r="K5655" s="444">
        <f t="shared" ca="1" si="211"/>
        <v>-18818348180420.684</v>
      </c>
      <c r="L5655" s="444">
        <f t="shared" ca="1" si="212"/>
        <v>-4535221911481385</v>
      </c>
      <c r="M5655" s="460">
        <f t="shared" si="214"/>
        <v>0.05</v>
      </c>
      <c r="N5655" s="464">
        <f t="shared" si="215"/>
        <v>223165</v>
      </c>
    </row>
    <row r="5656" spans="7:14" ht="11.25" customHeight="1" x14ac:dyDescent="0.3">
      <c r="G5656" s="459"/>
      <c r="H5656" s="459">
        <v>5649</v>
      </c>
      <c r="I5656" s="444">
        <f t="shared" ca="1" si="213"/>
        <v>-4535221911481385</v>
      </c>
      <c r="J5656" s="444">
        <f t="array" ref="J5656">IFERROR(INDEX('Retirement Calculator'!J:J,MATCH('Isaac 401k'!N5656,'Retirement Calculator'!A:A,0),0),0)</f>
        <v>0</v>
      </c>
      <c r="K5656" s="444">
        <f t="shared" ca="1" si="211"/>
        <v>-18896757964505.77</v>
      </c>
      <c r="L5656" s="444">
        <f t="shared" ca="1" si="212"/>
        <v>-4554118669445891</v>
      </c>
      <c r="M5656" s="460">
        <f t="shared" si="214"/>
        <v>0.05</v>
      </c>
      <c r="N5656" s="464">
        <f t="shared" si="215"/>
        <v>223196</v>
      </c>
    </row>
    <row r="5657" spans="7:14" ht="11.25" customHeight="1" x14ac:dyDescent="0.3">
      <c r="G5657" s="459"/>
      <c r="H5657" s="459">
        <v>5650</v>
      </c>
      <c r="I5657" s="444">
        <f t="shared" ca="1" si="213"/>
        <v>-4554118669445891</v>
      </c>
      <c r="J5657" s="444">
        <f t="array" ref="J5657">IFERROR(INDEX('Retirement Calculator'!J:J,MATCH('Isaac 401k'!N5657,'Retirement Calculator'!A:A,0),0),0)</f>
        <v>0</v>
      </c>
      <c r="K5657" s="444">
        <f t="shared" ca="1" si="211"/>
        <v>-18975494456024.547</v>
      </c>
      <c r="L5657" s="444">
        <f t="shared" ca="1" si="212"/>
        <v>-4573094163901916</v>
      </c>
      <c r="M5657" s="460">
        <f t="shared" si="214"/>
        <v>0.05</v>
      </c>
      <c r="N5657" s="464">
        <f t="shared" si="215"/>
        <v>223224</v>
      </c>
    </row>
    <row r="5658" spans="7:14" ht="11.25" customHeight="1" x14ac:dyDescent="0.3">
      <c r="G5658" s="459"/>
      <c r="H5658" s="459">
        <v>5651</v>
      </c>
      <c r="I5658" s="444">
        <f t="shared" ca="1" si="213"/>
        <v>-4573094163901916</v>
      </c>
      <c r="J5658" s="444">
        <f t="array" ref="J5658">IFERROR(INDEX('Retirement Calculator'!J:J,MATCH('Isaac 401k'!N5658,'Retirement Calculator'!A:A,0),0),0)</f>
        <v>0</v>
      </c>
      <c r="K5658" s="444">
        <f t="shared" ca="1" si="211"/>
        <v>-19054559016257.984</v>
      </c>
      <c r="L5658" s="444">
        <f t="shared" ca="1" si="212"/>
        <v>-4592148722918174</v>
      </c>
      <c r="M5658" s="460">
        <f t="shared" si="214"/>
        <v>0.05</v>
      </c>
      <c r="N5658" s="464">
        <f t="shared" si="215"/>
        <v>223255</v>
      </c>
    </row>
    <row r="5659" spans="7:14" ht="11.25" customHeight="1" x14ac:dyDescent="0.3">
      <c r="G5659" s="459"/>
      <c r="H5659" s="459">
        <v>5652</v>
      </c>
      <c r="I5659" s="444">
        <f t="shared" ca="1" si="213"/>
        <v>-4592148722918174</v>
      </c>
      <c r="J5659" s="444">
        <f t="array" ref="J5659">IFERROR(INDEX('Retirement Calculator'!J:J,MATCH('Isaac 401k'!N5659,'Retirement Calculator'!A:A,0),0),0)</f>
        <v>0</v>
      </c>
      <c r="K5659" s="444">
        <f t="shared" ca="1" si="211"/>
        <v>-19133953012159.059</v>
      </c>
      <c r="L5659" s="444">
        <f t="shared" ca="1" si="212"/>
        <v>-4611282675930333</v>
      </c>
      <c r="M5659" s="460">
        <f t="shared" si="214"/>
        <v>0.05</v>
      </c>
      <c r="N5659" s="464">
        <f t="shared" si="215"/>
        <v>223285</v>
      </c>
    </row>
    <row r="5660" spans="7:14" ht="11.25" customHeight="1" x14ac:dyDescent="0.3">
      <c r="G5660" s="459"/>
      <c r="H5660" s="459">
        <v>5653</v>
      </c>
      <c r="I5660" s="444">
        <f t="shared" ca="1" si="213"/>
        <v>-4611282675930333</v>
      </c>
      <c r="J5660" s="444">
        <f t="array" ref="J5660">IFERROR(INDEX('Retirement Calculator'!J:J,MATCH('Isaac 401k'!N5660,'Retirement Calculator'!A:A,0),0),0)</f>
        <v>0</v>
      </c>
      <c r="K5660" s="444">
        <f t="shared" ca="1" si="211"/>
        <v>-19213677816376.387</v>
      </c>
      <c r="L5660" s="444">
        <f t="shared" ca="1" si="212"/>
        <v>-4630496353746709</v>
      </c>
      <c r="M5660" s="460">
        <f t="shared" si="214"/>
        <v>0.05</v>
      </c>
      <c r="N5660" s="464">
        <f t="shared" si="215"/>
        <v>223316</v>
      </c>
    </row>
    <row r="5661" spans="7:14" ht="11.25" customHeight="1" x14ac:dyDescent="0.3">
      <c r="G5661" s="459"/>
      <c r="H5661" s="459">
        <v>5654</v>
      </c>
      <c r="I5661" s="444">
        <f t="shared" ca="1" si="213"/>
        <v>-4630496353746709</v>
      </c>
      <c r="J5661" s="444">
        <f t="array" ref="J5661">IFERROR(INDEX('Retirement Calculator'!J:J,MATCH('Isaac 401k'!N5661,'Retirement Calculator'!A:A,0),0),0)</f>
        <v>0</v>
      </c>
      <c r="K5661" s="444">
        <f t="shared" ca="1" si="211"/>
        <v>-19293734807277.953</v>
      </c>
      <c r="L5661" s="444">
        <f t="shared" ca="1" si="212"/>
        <v>-4649790088553987</v>
      </c>
      <c r="M5661" s="460">
        <f t="shared" si="214"/>
        <v>0.05</v>
      </c>
      <c r="N5661" s="464">
        <f t="shared" si="215"/>
        <v>223346</v>
      </c>
    </row>
    <row r="5662" spans="7:14" ht="11.25" customHeight="1" x14ac:dyDescent="0.3">
      <c r="G5662" s="459"/>
      <c r="H5662" s="459">
        <v>5655</v>
      </c>
      <c r="I5662" s="444">
        <f t="shared" ca="1" si="213"/>
        <v>-4649790088553987</v>
      </c>
      <c r="J5662" s="444">
        <f t="array" ref="J5662">IFERROR(INDEX('Retirement Calculator'!J:J,MATCH('Isaac 401k'!N5662,'Retirement Calculator'!A:A,0),0),0)</f>
        <v>0</v>
      </c>
      <c r="K5662" s="444">
        <f t="shared" ca="1" si="211"/>
        <v>-19374125368974.945</v>
      </c>
      <c r="L5662" s="444">
        <f t="shared" ca="1" si="212"/>
        <v>-4669164213922962</v>
      </c>
      <c r="M5662" s="460">
        <f t="shared" si="214"/>
        <v>0.05</v>
      </c>
      <c r="N5662" s="464">
        <f t="shared" si="215"/>
        <v>223377</v>
      </c>
    </row>
    <row r="5663" spans="7:14" ht="11.25" customHeight="1" x14ac:dyDescent="0.3">
      <c r="G5663" s="459"/>
      <c r="H5663" s="459">
        <v>5656</v>
      </c>
      <c r="I5663" s="444">
        <f t="shared" ca="1" si="213"/>
        <v>-4669164213922962</v>
      </c>
      <c r="J5663" s="444">
        <f t="array" ref="J5663">IFERROR(INDEX('Retirement Calculator'!J:J,MATCH('Isaac 401k'!N5663,'Retirement Calculator'!A:A,0),0),0)</f>
        <v>0</v>
      </c>
      <c r="K5663" s="444">
        <f t="shared" ca="1" si="211"/>
        <v>-19454850891345.676</v>
      </c>
      <c r="L5663" s="444">
        <f t="shared" ca="1" si="212"/>
        <v>-4688619064814308</v>
      </c>
      <c r="M5663" s="460">
        <f t="shared" si="214"/>
        <v>0.05</v>
      </c>
      <c r="N5663" s="464">
        <f t="shared" si="215"/>
        <v>223408</v>
      </c>
    </row>
    <row r="5664" spans="7:14" ht="11.25" customHeight="1" x14ac:dyDescent="0.3">
      <c r="G5664" s="459"/>
      <c r="H5664" s="459">
        <v>5657</v>
      </c>
      <c r="I5664" s="444">
        <f t="shared" ca="1" si="213"/>
        <v>-4688619064814308</v>
      </c>
      <c r="J5664" s="444">
        <f t="array" ref="J5664">IFERROR(INDEX('Retirement Calculator'!J:J,MATCH('Isaac 401k'!N5664,'Retirement Calculator'!A:A,0),0),0)</f>
        <v>0</v>
      </c>
      <c r="K5664" s="444">
        <f t="shared" ca="1" si="211"/>
        <v>-19535912770059.617</v>
      </c>
      <c r="L5664" s="444">
        <f t="shared" ca="1" si="212"/>
        <v>-4708154977584368</v>
      </c>
      <c r="M5664" s="460">
        <f t="shared" si="214"/>
        <v>0.05</v>
      </c>
      <c r="N5664" s="464">
        <f t="shared" si="215"/>
        <v>223438</v>
      </c>
    </row>
    <row r="5665" spans="7:14" ht="11.25" customHeight="1" x14ac:dyDescent="0.3">
      <c r="G5665" s="459"/>
      <c r="H5665" s="459">
        <v>5658</v>
      </c>
      <c r="I5665" s="444">
        <f t="shared" ca="1" si="213"/>
        <v>-4708154977584368</v>
      </c>
      <c r="J5665" s="444">
        <f t="array" ref="J5665">IFERROR(INDEX('Retirement Calculator'!J:J,MATCH('Isaac 401k'!N5665,'Retirement Calculator'!A:A,0),0),0)</f>
        <v>0</v>
      </c>
      <c r="K5665" s="444">
        <f t="shared" ca="1" si="211"/>
        <v>-19617312406601.531</v>
      </c>
      <c r="L5665" s="444">
        <f t="shared" ca="1" si="212"/>
        <v>-4727772289990970</v>
      </c>
      <c r="M5665" s="460">
        <f t="shared" si="214"/>
        <v>0.05</v>
      </c>
      <c r="N5665" s="464">
        <f t="shared" si="215"/>
        <v>223469</v>
      </c>
    </row>
    <row r="5666" spans="7:14" ht="11.25" customHeight="1" x14ac:dyDescent="0.3">
      <c r="G5666" s="459"/>
      <c r="H5666" s="459">
        <v>5659</v>
      </c>
      <c r="I5666" s="444">
        <f t="shared" ca="1" si="213"/>
        <v>-4727772289990970</v>
      </c>
      <c r="J5666" s="444">
        <f t="array" ref="J5666">IFERROR(INDEX('Retirement Calculator'!J:J,MATCH('Isaac 401k'!N5666,'Retirement Calculator'!A:A,0),0),0)</f>
        <v>0</v>
      </c>
      <c r="K5666" s="444">
        <f t="shared" ca="1" si="211"/>
        <v>-19699051208295.707</v>
      </c>
      <c r="L5666" s="444">
        <f t="shared" ca="1" si="212"/>
        <v>-4747471341199266</v>
      </c>
      <c r="M5666" s="460">
        <f t="shared" si="214"/>
        <v>0.05</v>
      </c>
      <c r="N5666" s="464">
        <f t="shared" si="215"/>
        <v>223499</v>
      </c>
    </row>
    <row r="5667" spans="7:14" ht="11.25" customHeight="1" x14ac:dyDescent="0.3">
      <c r="G5667" s="459"/>
      <c r="H5667" s="459">
        <v>5660</v>
      </c>
      <c r="I5667" s="444">
        <f t="shared" ca="1" si="213"/>
        <v>-4747471341199266</v>
      </c>
      <c r="J5667" s="444">
        <f t="array" ref="J5667">IFERROR(INDEX('Retirement Calculator'!J:J,MATCH('Isaac 401k'!N5667,'Retirement Calculator'!A:A,0),0),0)</f>
        <v>0</v>
      </c>
      <c r="K5667" s="444">
        <f t="shared" ca="1" si="211"/>
        <v>-19781130588330.273</v>
      </c>
      <c r="L5667" s="444">
        <f t="shared" ca="1" si="212"/>
        <v>-4767252471787596</v>
      </c>
      <c r="M5667" s="460">
        <f t="shared" si="214"/>
        <v>0.05</v>
      </c>
      <c r="N5667" s="464">
        <f t="shared" si="215"/>
        <v>223530</v>
      </c>
    </row>
    <row r="5668" spans="7:14" ht="11.25" customHeight="1" x14ac:dyDescent="0.3">
      <c r="G5668" s="459"/>
      <c r="H5668" s="459">
        <v>5661</v>
      </c>
      <c r="I5668" s="444">
        <f t="shared" ca="1" si="213"/>
        <v>-4767252471787596</v>
      </c>
      <c r="J5668" s="444">
        <f t="array" ref="J5668">IFERROR(INDEX('Retirement Calculator'!J:J,MATCH('Isaac 401k'!N5668,'Retirement Calculator'!A:A,0),0),0)</f>
        <v>0</v>
      </c>
      <c r="K5668" s="444">
        <f t="shared" ca="1" si="211"/>
        <v>-19863551965781.648</v>
      </c>
      <c r="L5668" s="444">
        <f t="shared" ca="1" si="212"/>
        <v>-4787116023753378</v>
      </c>
      <c r="M5668" s="460">
        <f t="shared" si="214"/>
        <v>0.05</v>
      </c>
      <c r="N5668" s="464">
        <f t="shared" si="215"/>
        <v>223561</v>
      </c>
    </row>
    <row r="5669" spans="7:14" ht="11.25" customHeight="1" x14ac:dyDescent="0.3">
      <c r="G5669" s="459"/>
      <c r="H5669" s="459">
        <v>5662</v>
      </c>
      <c r="I5669" s="444">
        <f t="shared" ca="1" si="213"/>
        <v>-4787116023753378</v>
      </c>
      <c r="J5669" s="444">
        <f t="array" ref="J5669">IFERROR(INDEX('Retirement Calculator'!J:J,MATCH('Isaac 401k'!N5669,'Retirement Calculator'!A:A,0),0),0)</f>
        <v>0</v>
      </c>
      <c r="K5669" s="444">
        <f t="shared" ca="1" si="211"/>
        <v>-19946316765639.074</v>
      </c>
      <c r="L5669" s="444">
        <f t="shared" ca="1" si="212"/>
        <v>-4807062340519017</v>
      </c>
      <c r="M5669" s="460">
        <f t="shared" si="214"/>
        <v>0.05</v>
      </c>
      <c r="N5669" s="464">
        <f t="shared" si="215"/>
        <v>223590</v>
      </c>
    </row>
    <row r="5670" spans="7:14" ht="11.25" customHeight="1" x14ac:dyDescent="0.3">
      <c r="G5670" s="459"/>
      <c r="H5670" s="459">
        <v>5663</v>
      </c>
      <c r="I5670" s="444">
        <f t="shared" ca="1" si="213"/>
        <v>-4807062340519017</v>
      </c>
      <c r="J5670" s="444">
        <f t="array" ref="J5670">IFERROR(INDEX('Retirement Calculator'!J:J,MATCH('Isaac 401k'!N5670,'Retirement Calculator'!A:A,0),0),0)</f>
        <v>0</v>
      </c>
      <c r="K5670" s="444">
        <f t="shared" ca="1" si="211"/>
        <v>-20029426418829.238</v>
      </c>
      <c r="L5670" s="444">
        <f t="shared" ca="1" si="212"/>
        <v>-4827091766937846</v>
      </c>
      <c r="M5670" s="460">
        <f t="shared" si="214"/>
        <v>0.05</v>
      </c>
      <c r="N5670" s="464">
        <f t="shared" si="215"/>
        <v>223621</v>
      </c>
    </row>
    <row r="5671" spans="7:14" ht="11.25" customHeight="1" x14ac:dyDescent="0.3">
      <c r="G5671" s="459"/>
      <c r="H5671" s="459">
        <v>5664</v>
      </c>
      <c r="I5671" s="444">
        <f t="shared" ca="1" si="213"/>
        <v>-4827091766937846</v>
      </c>
      <c r="J5671" s="444">
        <f t="array" ref="J5671">IFERROR(INDEX('Retirement Calculator'!J:J,MATCH('Isaac 401k'!N5671,'Retirement Calculator'!A:A,0),0),0)</f>
        <v>0</v>
      </c>
      <c r="K5671" s="444">
        <f t="shared" ca="1" si="211"/>
        <v>-20112882362241.023</v>
      </c>
      <c r="L5671" s="444">
        <f t="shared" ca="1" si="212"/>
        <v>-4847204649300087</v>
      </c>
      <c r="M5671" s="460">
        <f t="shared" si="214"/>
        <v>0.05</v>
      </c>
      <c r="N5671" s="464">
        <f t="shared" si="215"/>
        <v>223651</v>
      </c>
    </row>
    <row r="5672" spans="7:14" ht="11.25" customHeight="1" x14ac:dyDescent="0.3">
      <c r="G5672" s="459"/>
      <c r="H5672" s="459">
        <v>5665</v>
      </c>
      <c r="I5672" s="444">
        <f t="shared" ca="1" si="213"/>
        <v>-4847204649300087</v>
      </c>
      <c r="J5672" s="444">
        <f t="array" ref="J5672">IFERROR(INDEX('Retirement Calculator'!J:J,MATCH('Isaac 401k'!N5672,'Retirement Calculator'!A:A,0),0),0)</f>
        <v>0</v>
      </c>
      <c r="K5672" s="444">
        <f t="shared" ca="1" si="211"/>
        <v>-20196686038750.363</v>
      </c>
      <c r="L5672" s="444">
        <f t="shared" ca="1" si="212"/>
        <v>-4867401335338837</v>
      </c>
      <c r="M5672" s="460">
        <f t="shared" si="214"/>
        <v>0.05</v>
      </c>
      <c r="N5672" s="464">
        <f t="shared" si="215"/>
        <v>223682</v>
      </c>
    </row>
    <row r="5673" spans="7:14" ht="11.25" customHeight="1" x14ac:dyDescent="0.3">
      <c r="G5673" s="459"/>
      <c r="H5673" s="459">
        <v>5666</v>
      </c>
      <c r="I5673" s="444">
        <f t="shared" ca="1" si="213"/>
        <v>-4867401335338837</v>
      </c>
      <c r="J5673" s="444">
        <f t="array" ref="J5673">IFERROR(INDEX('Retirement Calculator'!J:J,MATCH('Isaac 401k'!N5673,'Retirement Calculator'!A:A,0),0),0)</f>
        <v>0</v>
      </c>
      <c r="K5673" s="444">
        <f t="shared" ca="1" si="211"/>
        <v>-20280838897245.152</v>
      </c>
      <c r="L5673" s="444">
        <f t="shared" ca="1" si="212"/>
        <v>-4887682174236082</v>
      </c>
      <c r="M5673" s="460">
        <f t="shared" si="214"/>
        <v>0.05</v>
      </c>
      <c r="N5673" s="464">
        <f t="shared" si="215"/>
        <v>223712</v>
      </c>
    </row>
    <row r="5674" spans="7:14" ht="11.25" customHeight="1" x14ac:dyDescent="0.3">
      <c r="G5674" s="459"/>
      <c r="H5674" s="459">
        <v>5667</v>
      </c>
      <c r="I5674" s="444">
        <f t="shared" ca="1" si="213"/>
        <v>-4887682174236082</v>
      </c>
      <c r="J5674" s="444">
        <f t="array" ref="J5674">IFERROR(INDEX('Retirement Calculator'!J:J,MATCH('Isaac 401k'!N5674,'Retirement Calculator'!A:A,0),0),0)</f>
        <v>0</v>
      </c>
      <c r="K5674" s="444">
        <f t="shared" ca="1" si="211"/>
        <v>-20365342392650.34</v>
      </c>
      <c r="L5674" s="444">
        <f t="shared" ca="1" si="212"/>
        <v>-4908047516628732</v>
      </c>
      <c r="M5674" s="460">
        <f t="shared" si="214"/>
        <v>0.05</v>
      </c>
      <c r="N5674" s="464">
        <f t="shared" si="215"/>
        <v>223743</v>
      </c>
    </row>
    <row r="5675" spans="7:14" ht="11.25" customHeight="1" x14ac:dyDescent="0.3">
      <c r="G5675" s="459"/>
      <c r="H5675" s="459">
        <v>5668</v>
      </c>
      <c r="I5675" s="444">
        <f t="shared" ca="1" si="213"/>
        <v>-4908047516628732</v>
      </c>
      <c r="J5675" s="444">
        <f t="array" ref="J5675">IFERROR(INDEX('Retirement Calculator'!J:J,MATCH('Isaac 401k'!N5675,'Retirement Calculator'!A:A,0),0),0)</f>
        <v>0</v>
      </c>
      <c r="K5675" s="444">
        <f t="shared" ca="1" si="211"/>
        <v>-20450197985953.051</v>
      </c>
      <c r="L5675" s="444">
        <f t="shared" ca="1" si="212"/>
        <v>-4928497714614685</v>
      </c>
      <c r="M5675" s="460">
        <f t="shared" si="214"/>
        <v>0.05</v>
      </c>
      <c r="N5675" s="464">
        <f t="shared" si="215"/>
        <v>223774</v>
      </c>
    </row>
    <row r="5676" spans="7:14" ht="11.25" customHeight="1" x14ac:dyDescent="0.3">
      <c r="G5676" s="459"/>
      <c r="H5676" s="459">
        <v>5669</v>
      </c>
      <c r="I5676" s="444">
        <f t="shared" ca="1" si="213"/>
        <v>-4928497714614685</v>
      </c>
      <c r="J5676" s="444">
        <f t="array" ref="J5676">IFERROR(INDEX('Retirement Calculator'!J:J,MATCH('Isaac 401k'!N5676,'Retirement Calculator'!A:A,0),0),0)</f>
        <v>0</v>
      </c>
      <c r="K5676" s="444">
        <f t="shared" ca="1" si="211"/>
        <v>-20535407144227.855</v>
      </c>
      <c r="L5676" s="444">
        <f t="shared" ca="1" si="212"/>
        <v>-4949033121758913</v>
      </c>
      <c r="M5676" s="460">
        <f t="shared" si="214"/>
        <v>0.05</v>
      </c>
      <c r="N5676" s="464">
        <f t="shared" si="215"/>
        <v>223804</v>
      </c>
    </row>
    <row r="5677" spans="7:14" ht="11.25" customHeight="1" x14ac:dyDescent="0.3">
      <c r="G5677" s="459"/>
      <c r="H5677" s="459">
        <v>5670</v>
      </c>
      <c r="I5677" s="444">
        <f t="shared" ca="1" si="213"/>
        <v>-4949033121758913</v>
      </c>
      <c r="J5677" s="444">
        <f t="array" ref="J5677">IFERROR(INDEX('Retirement Calculator'!J:J,MATCH('Isaac 401k'!N5677,'Retirement Calculator'!A:A,0),0),0)</f>
        <v>0</v>
      </c>
      <c r="K5677" s="444">
        <f t="shared" ca="1" si="211"/>
        <v>-20620971340662.137</v>
      </c>
      <c r="L5677" s="444">
        <f t="shared" ca="1" si="212"/>
        <v>-4969654093099575</v>
      </c>
      <c r="M5677" s="460">
        <f t="shared" si="214"/>
        <v>0.05</v>
      </c>
      <c r="N5677" s="464">
        <f t="shared" si="215"/>
        <v>223835</v>
      </c>
    </row>
    <row r="5678" spans="7:14" ht="11.25" customHeight="1" x14ac:dyDescent="0.3">
      <c r="G5678" s="459"/>
      <c r="H5678" s="459">
        <v>5671</v>
      </c>
      <c r="I5678" s="444">
        <f t="shared" ca="1" si="213"/>
        <v>-4969654093099575</v>
      </c>
      <c r="J5678" s="444">
        <f t="array" ref="J5678">IFERROR(INDEX('Retirement Calculator'!J:J,MATCH('Isaac 401k'!N5678,'Retirement Calculator'!A:A,0),0),0)</f>
        <v>0</v>
      </c>
      <c r="K5678" s="444">
        <f t="shared" ca="1" si="211"/>
        <v>-20706892054581.563</v>
      </c>
      <c r="L5678" s="444">
        <f t="shared" ca="1" si="212"/>
        <v>-4990360985154157</v>
      </c>
      <c r="M5678" s="460">
        <f t="shared" si="214"/>
        <v>0.05</v>
      </c>
      <c r="N5678" s="464">
        <f t="shared" si="215"/>
        <v>223865</v>
      </c>
    </row>
    <row r="5679" spans="7:14" ht="11.25" customHeight="1" x14ac:dyDescent="0.3">
      <c r="G5679" s="459"/>
      <c r="H5679" s="459">
        <v>5672</v>
      </c>
      <c r="I5679" s="444">
        <f t="shared" ca="1" si="213"/>
        <v>-4990360985154157</v>
      </c>
      <c r="J5679" s="444">
        <f t="array" ref="J5679">IFERROR(INDEX('Retirement Calculator'!J:J,MATCH('Isaac 401k'!N5679,'Retirement Calculator'!A:A,0),0),0)</f>
        <v>0</v>
      </c>
      <c r="K5679" s="444">
        <f t="shared" ca="1" si="211"/>
        <v>-20793170771475.652</v>
      </c>
      <c r="L5679" s="444">
        <f t="shared" ca="1" si="212"/>
        <v>-5011154155925633</v>
      </c>
      <c r="M5679" s="460">
        <f t="shared" si="214"/>
        <v>0.05</v>
      </c>
      <c r="N5679" s="464">
        <f t="shared" si="215"/>
        <v>223896</v>
      </c>
    </row>
    <row r="5680" spans="7:14" ht="11.25" customHeight="1" x14ac:dyDescent="0.3">
      <c r="G5680" s="459"/>
      <c r="H5680" s="459">
        <v>5673</v>
      </c>
      <c r="I5680" s="444">
        <f t="shared" ca="1" si="213"/>
        <v>-5011154155925633</v>
      </c>
      <c r="J5680" s="444">
        <f t="array" ref="J5680">IFERROR(INDEX('Retirement Calculator'!J:J,MATCH('Isaac 401k'!N5680,'Retirement Calculator'!A:A,0),0),0)</f>
        <v>0</v>
      </c>
      <c r="K5680" s="444">
        <f t="shared" ca="1" si="211"/>
        <v>-20879808983023.469</v>
      </c>
      <c r="L5680" s="444">
        <f t="shared" ca="1" si="212"/>
        <v>-5032033964908656</v>
      </c>
      <c r="M5680" s="460">
        <f t="shared" si="214"/>
        <v>0.05</v>
      </c>
      <c r="N5680" s="464">
        <f t="shared" si="215"/>
        <v>223927</v>
      </c>
    </row>
    <row r="5681" spans="7:14" ht="11.25" customHeight="1" x14ac:dyDescent="0.3">
      <c r="G5681" s="459"/>
      <c r="H5681" s="459">
        <v>5674</v>
      </c>
      <c r="I5681" s="444">
        <f t="shared" ca="1" si="213"/>
        <v>-5032033964908656</v>
      </c>
      <c r="J5681" s="444">
        <f t="array" ref="J5681">IFERROR(INDEX('Retirement Calculator'!J:J,MATCH('Isaac 401k'!N5681,'Retirement Calculator'!A:A,0),0),0)</f>
        <v>0</v>
      </c>
      <c r="K5681" s="444">
        <f t="shared" ca="1" si="211"/>
        <v>-20966808187119.398</v>
      </c>
      <c r="L5681" s="444">
        <f t="shared" ca="1" si="212"/>
        <v>-5053000773095775</v>
      </c>
      <c r="M5681" s="460">
        <f t="shared" si="214"/>
        <v>0.05</v>
      </c>
      <c r="N5681" s="464">
        <f t="shared" si="215"/>
        <v>223955</v>
      </c>
    </row>
    <row r="5682" spans="7:14" ht="11.25" customHeight="1" x14ac:dyDescent="0.3">
      <c r="G5682" s="459"/>
      <c r="H5682" s="459">
        <v>5675</v>
      </c>
      <c r="I5682" s="444">
        <f t="shared" ca="1" si="213"/>
        <v>-5053000773095775</v>
      </c>
      <c r="J5682" s="444">
        <f t="array" ref="J5682">IFERROR(INDEX('Retirement Calculator'!J:J,MATCH('Isaac 401k'!N5682,'Retirement Calculator'!A:A,0),0),0)</f>
        <v>0</v>
      </c>
      <c r="K5682" s="444">
        <f t="shared" ca="1" si="211"/>
        <v>-21054169887899.063</v>
      </c>
      <c r="L5682" s="444">
        <f t="shared" ca="1" si="212"/>
        <v>-5074054942983674</v>
      </c>
      <c r="M5682" s="460">
        <f t="shared" si="214"/>
        <v>0.05</v>
      </c>
      <c r="N5682" s="464">
        <f t="shared" si="215"/>
        <v>223986</v>
      </c>
    </row>
    <row r="5683" spans="7:14" ht="11.25" customHeight="1" x14ac:dyDescent="0.3">
      <c r="G5683" s="459"/>
      <c r="H5683" s="459">
        <v>5676</v>
      </c>
      <c r="I5683" s="444">
        <f t="shared" ca="1" si="213"/>
        <v>-5074054942983674</v>
      </c>
      <c r="J5683" s="444">
        <f t="array" ref="J5683">IFERROR(INDEX('Retirement Calculator'!J:J,MATCH('Isaac 401k'!N5683,'Retirement Calculator'!A:A,0),0),0)</f>
        <v>0</v>
      </c>
      <c r="K5683" s="444">
        <f t="shared" ca="1" si="211"/>
        <v>-21141895595765.309</v>
      </c>
      <c r="L5683" s="444">
        <f t="shared" ca="1" si="212"/>
        <v>-5095196838579439</v>
      </c>
      <c r="M5683" s="460">
        <f t="shared" si="214"/>
        <v>0.05</v>
      </c>
      <c r="N5683" s="464">
        <f t="shared" si="215"/>
        <v>224016</v>
      </c>
    </row>
    <row r="5684" spans="7:14" ht="11.25" customHeight="1" x14ac:dyDescent="0.3">
      <c r="G5684" s="459"/>
      <c r="H5684" s="459">
        <v>5677</v>
      </c>
      <c r="I5684" s="444">
        <f t="shared" ca="1" si="213"/>
        <v>-5095196838579439</v>
      </c>
      <c r="J5684" s="444">
        <f t="array" ref="J5684">IFERROR(INDEX('Retirement Calculator'!J:J,MATCH('Isaac 401k'!N5684,'Retirement Calculator'!A:A,0),0),0)</f>
        <v>0</v>
      </c>
      <c r="K5684" s="444">
        <f t="shared" ca="1" si="211"/>
        <v>-21229986827414.328</v>
      </c>
      <c r="L5684" s="444">
        <f t="shared" ca="1" si="212"/>
        <v>-5116426825406853</v>
      </c>
      <c r="M5684" s="460">
        <f t="shared" si="214"/>
        <v>0.05</v>
      </c>
      <c r="N5684" s="464">
        <f t="shared" si="215"/>
        <v>224047</v>
      </c>
    </row>
    <row r="5685" spans="7:14" ht="11.25" customHeight="1" x14ac:dyDescent="0.3">
      <c r="G5685" s="459"/>
      <c r="H5685" s="459">
        <v>5678</v>
      </c>
      <c r="I5685" s="444">
        <f t="shared" ca="1" si="213"/>
        <v>-5116426825406853</v>
      </c>
      <c r="J5685" s="444">
        <f t="array" ref="J5685">IFERROR(INDEX('Retirement Calculator'!J:J,MATCH('Isaac 401k'!N5685,'Retirement Calculator'!A:A,0),0),0)</f>
        <v>0</v>
      </c>
      <c r="K5685" s="444">
        <f t="shared" ca="1" si="211"/>
        <v>-21318445105861.887</v>
      </c>
      <c r="L5685" s="444">
        <f t="shared" ca="1" si="212"/>
        <v>-5137745270512715</v>
      </c>
      <c r="M5685" s="460">
        <f t="shared" si="214"/>
        <v>0.05</v>
      </c>
      <c r="N5685" s="464">
        <f t="shared" si="215"/>
        <v>224077</v>
      </c>
    </row>
    <row r="5686" spans="7:14" ht="11.25" customHeight="1" x14ac:dyDescent="0.3">
      <c r="G5686" s="459"/>
      <c r="H5686" s="459">
        <v>5679</v>
      </c>
      <c r="I5686" s="444">
        <f t="shared" ca="1" si="213"/>
        <v>-5137745270512715</v>
      </c>
      <c r="J5686" s="444">
        <f t="array" ref="J5686">IFERROR(INDEX('Retirement Calculator'!J:J,MATCH('Isaac 401k'!N5686,'Retirement Calculator'!A:A,0),0),0)</f>
        <v>0</v>
      </c>
      <c r="K5686" s="444">
        <f t="shared" ca="1" si="211"/>
        <v>-21407271960469.645</v>
      </c>
      <c r="L5686" s="444">
        <f t="shared" ca="1" si="212"/>
        <v>-5159152542473185</v>
      </c>
      <c r="M5686" s="460">
        <f t="shared" si="214"/>
        <v>0.05</v>
      </c>
      <c r="N5686" s="464">
        <f t="shared" si="215"/>
        <v>224108</v>
      </c>
    </row>
    <row r="5687" spans="7:14" ht="11.25" customHeight="1" x14ac:dyDescent="0.3">
      <c r="G5687" s="459"/>
      <c r="H5687" s="459">
        <v>5680</v>
      </c>
      <c r="I5687" s="444">
        <f t="shared" ca="1" si="213"/>
        <v>-5159152542473185</v>
      </c>
      <c r="J5687" s="444">
        <f t="array" ref="J5687">IFERROR(INDEX('Retirement Calculator'!J:J,MATCH('Isaac 401k'!N5687,'Retirement Calculator'!A:A,0),0),0)</f>
        <v>0</v>
      </c>
      <c r="K5687" s="444">
        <f t="shared" ca="1" si="211"/>
        <v>-21496468926971.605</v>
      </c>
      <c r="L5687" s="444">
        <f t="shared" ca="1" si="212"/>
        <v>-5180649011400157</v>
      </c>
      <c r="M5687" s="460">
        <f t="shared" si="214"/>
        <v>0.05</v>
      </c>
      <c r="N5687" s="464">
        <f t="shared" si="215"/>
        <v>224139</v>
      </c>
    </row>
    <row r="5688" spans="7:14" ht="11.25" customHeight="1" x14ac:dyDescent="0.3">
      <c r="G5688" s="459"/>
      <c r="H5688" s="459">
        <v>5681</v>
      </c>
      <c r="I5688" s="444">
        <f t="shared" ca="1" si="213"/>
        <v>-5180649011400157</v>
      </c>
      <c r="J5688" s="444">
        <f t="array" ref="J5688">IFERROR(INDEX('Retirement Calculator'!J:J,MATCH('Isaac 401k'!N5688,'Retirement Calculator'!A:A,0),0),0)</f>
        <v>0</v>
      </c>
      <c r="K5688" s="444">
        <f t="shared" ca="1" si="211"/>
        <v>-21586037547500.652</v>
      </c>
      <c r="L5688" s="444">
        <f t="shared" ca="1" si="212"/>
        <v>-5202235048947658</v>
      </c>
      <c r="M5688" s="460">
        <f t="shared" si="214"/>
        <v>0.05</v>
      </c>
      <c r="N5688" s="464">
        <f t="shared" si="215"/>
        <v>224169</v>
      </c>
    </row>
    <row r="5689" spans="7:14" ht="11.25" customHeight="1" x14ac:dyDescent="0.3">
      <c r="G5689" s="459"/>
      <c r="H5689" s="459">
        <v>5682</v>
      </c>
      <c r="I5689" s="444">
        <f t="shared" ca="1" si="213"/>
        <v>-5202235048947658</v>
      </c>
      <c r="J5689" s="444">
        <f t="array" ref="J5689">IFERROR(INDEX('Retirement Calculator'!J:J,MATCH('Isaac 401k'!N5689,'Retirement Calculator'!A:A,0),0),0)</f>
        <v>0</v>
      </c>
      <c r="K5689" s="444">
        <f t="shared" ca="1" si="211"/>
        <v>-21675979370615.242</v>
      </c>
      <c r="L5689" s="444">
        <f t="shared" ca="1" si="212"/>
        <v>-5223911028318273</v>
      </c>
      <c r="M5689" s="460">
        <f t="shared" si="214"/>
        <v>0.05</v>
      </c>
      <c r="N5689" s="464">
        <f t="shared" si="215"/>
        <v>224200</v>
      </c>
    </row>
    <row r="5690" spans="7:14" ht="11.25" customHeight="1" x14ac:dyDescent="0.3">
      <c r="G5690" s="459"/>
      <c r="H5690" s="459">
        <v>5683</v>
      </c>
      <c r="I5690" s="444">
        <f t="shared" ca="1" si="213"/>
        <v>-5223911028318273</v>
      </c>
      <c r="J5690" s="444">
        <f t="array" ref="J5690">IFERROR(INDEX('Retirement Calculator'!J:J,MATCH('Isaac 401k'!N5690,'Retirement Calculator'!A:A,0),0),0)</f>
        <v>0</v>
      </c>
      <c r="K5690" s="444">
        <f t="shared" ca="1" si="211"/>
        <v>-21766295951326.137</v>
      </c>
      <c r="L5690" s="444">
        <f t="shared" ca="1" si="212"/>
        <v>-5245677324269599</v>
      </c>
      <c r="M5690" s="460">
        <f t="shared" si="214"/>
        <v>0.05</v>
      </c>
      <c r="N5690" s="464">
        <f t="shared" si="215"/>
        <v>224230</v>
      </c>
    </row>
    <row r="5691" spans="7:14" ht="11.25" customHeight="1" x14ac:dyDescent="0.3">
      <c r="G5691" s="459"/>
      <c r="H5691" s="459">
        <v>5684</v>
      </c>
      <c r="I5691" s="444">
        <f t="shared" ca="1" si="213"/>
        <v>-5245677324269599</v>
      </c>
      <c r="J5691" s="444">
        <f t="array" ref="J5691">IFERROR(INDEX('Retirement Calculator'!J:J,MATCH('Isaac 401k'!N5691,'Retirement Calculator'!A:A,0),0),0)</f>
        <v>0</v>
      </c>
      <c r="K5691" s="444">
        <f t="shared" ca="1" si="211"/>
        <v>-21856988851123.328</v>
      </c>
      <c r="L5691" s="444">
        <f t="shared" ca="1" si="212"/>
        <v>-5267534313120722</v>
      </c>
      <c r="M5691" s="460">
        <f t="shared" si="214"/>
        <v>0.05</v>
      </c>
      <c r="N5691" s="464">
        <f t="shared" si="215"/>
        <v>224261</v>
      </c>
    </row>
    <row r="5692" spans="7:14" ht="11.25" customHeight="1" x14ac:dyDescent="0.3">
      <c r="G5692" s="459"/>
      <c r="H5692" s="459">
        <v>5685</v>
      </c>
      <c r="I5692" s="444">
        <f t="shared" ca="1" si="213"/>
        <v>-5267534313120722</v>
      </c>
      <c r="J5692" s="444">
        <f t="array" ref="J5692">IFERROR(INDEX('Retirement Calculator'!J:J,MATCH('Isaac 401k'!N5692,'Retirement Calculator'!A:A,0),0),0)</f>
        <v>0</v>
      </c>
      <c r="K5692" s="444">
        <f t="shared" ca="1" si="211"/>
        <v>-21948059638003.008</v>
      </c>
      <c r="L5692" s="444">
        <f t="shared" ca="1" si="212"/>
        <v>-5289482372758725</v>
      </c>
      <c r="M5692" s="460">
        <f t="shared" si="214"/>
        <v>0.05</v>
      </c>
      <c r="N5692" s="464">
        <f t="shared" si="215"/>
        <v>224292</v>
      </c>
    </row>
    <row r="5693" spans="7:14" ht="11.25" customHeight="1" x14ac:dyDescent="0.3">
      <c r="G5693" s="459"/>
      <c r="H5693" s="459">
        <v>5686</v>
      </c>
      <c r="I5693" s="444">
        <f t="shared" ca="1" si="213"/>
        <v>-5289482372758725</v>
      </c>
      <c r="J5693" s="444">
        <f t="array" ref="J5693">IFERROR(INDEX('Retirement Calculator'!J:J,MATCH('Isaac 401k'!N5693,'Retirement Calculator'!A:A,0),0),0)</f>
        <v>0</v>
      </c>
      <c r="K5693" s="444">
        <f t="shared" ca="1" si="211"/>
        <v>-22039509886494.688</v>
      </c>
      <c r="L5693" s="444">
        <f t="shared" ca="1" si="212"/>
        <v>-5311521882645220</v>
      </c>
      <c r="M5693" s="460">
        <f t="shared" si="214"/>
        <v>0.05</v>
      </c>
      <c r="N5693" s="464">
        <f t="shared" si="215"/>
        <v>224320</v>
      </c>
    </row>
    <row r="5694" spans="7:14" ht="11.25" customHeight="1" x14ac:dyDescent="0.3">
      <c r="G5694" s="459"/>
      <c r="H5694" s="459">
        <v>5687</v>
      </c>
      <c r="I5694" s="444">
        <f t="shared" ca="1" si="213"/>
        <v>-5311521882645220</v>
      </c>
      <c r="J5694" s="444">
        <f t="array" ref="J5694">IFERROR(INDEX('Retirement Calculator'!J:J,MATCH('Isaac 401k'!N5694,'Retirement Calculator'!A:A,0),0),0)</f>
        <v>0</v>
      </c>
      <c r="K5694" s="444">
        <f t="shared" ca="1" si="211"/>
        <v>-22131341177688.418</v>
      </c>
      <c r="L5694" s="444">
        <f t="shared" ca="1" si="212"/>
        <v>-5333653223822908</v>
      </c>
      <c r="M5694" s="460">
        <f t="shared" si="214"/>
        <v>0.05</v>
      </c>
      <c r="N5694" s="464">
        <f t="shared" si="215"/>
        <v>224351</v>
      </c>
    </row>
    <row r="5695" spans="7:14" ht="11.25" customHeight="1" x14ac:dyDescent="0.3">
      <c r="G5695" s="459"/>
      <c r="H5695" s="459">
        <v>5688</v>
      </c>
      <c r="I5695" s="444">
        <f t="shared" ca="1" si="213"/>
        <v>-5333653223822908</v>
      </c>
      <c r="J5695" s="444">
        <f t="array" ref="J5695">IFERROR(INDEX('Retirement Calculator'!J:J,MATCH('Isaac 401k'!N5695,'Retirement Calculator'!A:A,0),0),0)</f>
        <v>0</v>
      </c>
      <c r="K5695" s="444">
        <f t="shared" ca="1" si="211"/>
        <v>-22223555099262.117</v>
      </c>
      <c r="L5695" s="444">
        <f t="shared" ca="1" si="212"/>
        <v>-5355876778922170</v>
      </c>
      <c r="M5695" s="460">
        <f t="shared" si="214"/>
        <v>0.05</v>
      </c>
      <c r="N5695" s="464">
        <f t="shared" si="215"/>
        <v>224381</v>
      </c>
    </row>
    <row r="5696" spans="7:14" ht="11.25" customHeight="1" x14ac:dyDescent="0.3">
      <c r="G5696" s="459"/>
      <c r="H5696" s="459">
        <v>5689</v>
      </c>
      <c r="I5696" s="444">
        <f t="shared" ca="1" si="213"/>
        <v>-5355876778922170</v>
      </c>
      <c r="J5696" s="444">
        <f t="array" ref="J5696">IFERROR(INDEX('Retirement Calculator'!J:J,MATCH('Isaac 401k'!N5696,'Retirement Calculator'!A:A,0),0),0)</f>
        <v>0</v>
      </c>
      <c r="K5696" s="444">
        <f t="shared" ca="1" si="211"/>
        <v>-22316153245509.043</v>
      </c>
      <c r="L5696" s="444">
        <f t="shared" ca="1" si="212"/>
        <v>-5378192932167679</v>
      </c>
      <c r="M5696" s="460">
        <f t="shared" si="214"/>
        <v>0.05</v>
      </c>
      <c r="N5696" s="464">
        <f t="shared" si="215"/>
        <v>224412</v>
      </c>
    </row>
    <row r="5697" spans="7:14" ht="11.25" customHeight="1" x14ac:dyDescent="0.3">
      <c r="G5697" s="459"/>
      <c r="H5697" s="459">
        <v>5690</v>
      </c>
      <c r="I5697" s="444">
        <f t="shared" ca="1" si="213"/>
        <v>-5378192932167679</v>
      </c>
      <c r="J5697" s="444">
        <f t="array" ref="J5697">IFERROR(INDEX('Retirement Calculator'!J:J,MATCH('Isaac 401k'!N5697,'Retirement Calculator'!A:A,0),0),0)</f>
        <v>0</v>
      </c>
      <c r="K5697" s="444">
        <f t="shared" ca="1" si="211"/>
        <v>-22409137217365.328</v>
      </c>
      <c r="L5697" s="444">
        <f t="shared" ca="1" si="212"/>
        <v>-5400602069385044</v>
      </c>
      <c r="M5697" s="460">
        <f t="shared" si="214"/>
        <v>0.05</v>
      </c>
      <c r="N5697" s="464">
        <f t="shared" si="215"/>
        <v>224442</v>
      </c>
    </row>
    <row r="5698" spans="7:14" ht="11.25" customHeight="1" x14ac:dyDescent="0.3">
      <c r="G5698" s="459"/>
      <c r="H5698" s="459">
        <v>5691</v>
      </c>
      <c r="I5698" s="444">
        <f t="shared" ca="1" si="213"/>
        <v>-5400602069385044</v>
      </c>
      <c r="J5698" s="444">
        <f t="array" ref="J5698">IFERROR(INDEX('Retirement Calculator'!J:J,MATCH('Isaac 401k'!N5698,'Retirement Calculator'!A:A,0),0),0)</f>
        <v>0</v>
      </c>
      <c r="K5698" s="444">
        <f t="shared" ca="1" si="211"/>
        <v>-22502508622437.684</v>
      </c>
      <c r="L5698" s="444">
        <f t="shared" ca="1" si="212"/>
        <v>-5423104578007482</v>
      </c>
      <c r="M5698" s="460">
        <f t="shared" si="214"/>
        <v>0.05</v>
      </c>
      <c r="N5698" s="464">
        <f t="shared" si="215"/>
        <v>224473</v>
      </c>
    </row>
    <row r="5699" spans="7:14" ht="11.25" customHeight="1" x14ac:dyDescent="0.3">
      <c r="G5699" s="459"/>
      <c r="H5699" s="459">
        <v>5692</v>
      </c>
      <c r="I5699" s="444">
        <f t="shared" ca="1" si="213"/>
        <v>-5423104578007482</v>
      </c>
      <c r="J5699" s="444">
        <f t="array" ref="J5699">IFERROR(INDEX('Retirement Calculator'!J:J,MATCH('Isaac 401k'!N5699,'Retirement Calculator'!A:A,0),0),0)</f>
        <v>0</v>
      </c>
      <c r="K5699" s="444">
        <f t="shared" ca="1" si="211"/>
        <v>-22596269075031.176</v>
      </c>
      <c r="L5699" s="444">
        <f t="shared" ca="1" si="212"/>
        <v>-5445700847082513</v>
      </c>
      <c r="M5699" s="460">
        <f t="shared" si="214"/>
        <v>0.05</v>
      </c>
      <c r="N5699" s="464">
        <f t="shared" si="215"/>
        <v>224504</v>
      </c>
    </row>
    <row r="5700" spans="7:14" ht="11.25" customHeight="1" x14ac:dyDescent="0.3">
      <c r="G5700" s="459"/>
      <c r="H5700" s="459">
        <v>5693</v>
      </c>
      <c r="I5700" s="444">
        <f t="shared" ca="1" si="213"/>
        <v>-5445700847082513</v>
      </c>
      <c r="J5700" s="444">
        <f t="array" ref="J5700">IFERROR(INDEX('Retirement Calculator'!J:J,MATCH('Isaac 401k'!N5700,'Retirement Calculator'!A:A,0),0),0)</f>
        <v>0</v>
      </c>
      <c r="K5700" s="444">
        <f t="shared" ca="1" si="211"/>
        <v>-22690420196177.137</v>
      </c>
      <c r="L5700" s="444">
        <f t="shared" ca="1" si="212"/>
        <v>-5468391267278690</v>
      </c>
      <c r="M5700" s="460">
        <f t="shared" si="214"/>
        <v>0.05</v>
      </c>
      <c r="N5700" s="464">
        <f t="shared" si="215"/>
        <v>224534</v>
      </c>
    </row>
    <row r="5701" spans="7:14" ht="11.25" customHeight="1" x14ac:dyDescent="0.3">
      <c r="G5701" s="459"/>
      <c r="H5701" s="459">
        <v>5694</v>
      </c>
      <c r="I5701" s="444">
        <f t="shared" ca="1" si="213"/>
        <v>-5468391267278690</v>
      </c>
      <c r="J5701" s="444">
        <f t="array" ref="J5701">IFERROR(INDEX('Retirement Calculator'!J:J,MATCH('Isaac 401k'!N5701,'Retirement Calculator'!A:A,0),0),0)</f>
        <v>0</v>
      </c>
      <c r="K5701" s="444">
        <f t="shared" ca="1" si="211"/>
        <v>-22784963613661.207</v>
      </c>
      <c r="L5701" s="444">
        <f t="shared" ca="1" si="212"/>
        <v>-5491176230892351</v>
      </c>
      <c r="M5701" s="460">
        <f t="shared" si="214"/>
        <v>0.05</v>
      </c>
      <c r="N5701" s="464">
        <f t="shared" si="215"/>
        <v>224565</v>
      </c>
    </row>
    <row r="5702" spans="7:14" ht="11.25" customHeight="1" x14ac:dyDescent="0.3">
      <c r="G5702" s="459"/>
      <c r="H5702" s="459">
        <v>5695</v>
      </c>
      <c r="I5702" s="444">
        <f t="shared" ca="1" si="213"/>
        <v>-5491176230892351</v>
      </c>
      <c r="J5702" s="444">
        <f t="array" ref="J5702">IFERROR(INDEX('Retirement Calculator'!J:J,MATCH('Isaac 401k'!N5702,'Retirement Calculator'!A:A,0),0),0)</f>
        <v>0</v>
      </c>
      <c r="K5702" s="444">
        <f t="shared" ca="1" si="211"/>
        <v>-22879900962051.461</v>
      </c>
      <c r="L5702" s="444">
        <f t="shared" ca="1" si="212"/>
        <v>-5514056131854402</v>
      </c>
      <c r="M5702" s="460">
        <f t="shared" si="214"/>
        <v>0.05</v>
      </c>
      <c r="N5702" s="464">
        <f t="shared" si="215"/>
        <v>224595</v>
      </c>
    </row>
    <row r="5703" spans="7:14" ht="11.25" customHeight="1" x14ac:dyDescent="0.3">
      <c r="G5703" s="459"/>
      <c r="H5703" s="459">
        <v>5696</v>
      </c>
      <c r="I5703" s="444">
        <f t="shared" ca="1" si="213"/>
        <v>-5514056131854402</v>
      </c>
      <c r="J5703" s="444">
        <f t="array" ref="J5703">IFERROR(INDEX('Retirement Calculator'!J:J,MATCH('Isaac 401k'!N5703,'Retirement Calculator'!A:A,0),0),0)</f>
        <v>0</v>
      </c>
      <c r="K5703" s="444">
        <f t="shared" ca="1" si="211"/>
        <v>-22975233882726.676</v>
      </c>
      <c r="L5703" s="444">
        <f t="shared" ca="1" si="212"/>
        <v>-5537031365737129</v>
      </c>
      <c r="M5703" s="460">
        <f t="shared" si="214"/>
        <v>0.05</v>
      </c>
      <c r="N5703" s="464">
        <f t="shared" si="215"/>
        <v>224626</v>
      </c>
    </row>
    <row r="5704" spans="7:14" ht="11.25" customHeight="1" x14ac:dyDescent="0.3">
      <c r="G5704" s="459"/>
      <c r="H5704" s="459">
        <v>5697</v>
      </c>
      <c r="I5704" s="444">
        <f t="shared" ca="1" si="213"/>
        <v>-5537031365737129</v>
      </c>
      <c r="J5704" s="444">
        <f t="array" ref="J5704">IFERROR(INDEX('Retirement Calculator'!J:J,MATCH('Isaac 401k'!N5704,'Retirement Calculator'!A:A,0),0),0)</f>
        <v>0</v>
      </c>
      <c r="K5704" s="444">
        <f t="shared" ca="1" si="211"/>
        <v>-23070964023904.703</v>
      </c>
      <c r="L5704" s="444">
        <f t="shared" ca="1" si="212"/>
        <v>-5560102329761034</v>
      </c>
      <c r="M5704" s="460">
        <f t="shared" si="214"/>
        <v>0.05</v>
      </c>
      <c r="N5704" s="464">
        <f t="shared" si="215"/>
        <v>224657</v>
      </c>
    </row>
    <row r="5705" spans="7:14" ht="11.25" customHeight="1" x14ac:dyDescent="0.3">
      <c r="G5705" s="459"/>
      <c r="H5705" s="459">
        <v>5698</v>
      </c>
      <c r="I5705" s="444">
        <f t="shared" ca="1" si="213"/>
        <v>-5560102329761034</v>
      </c>
      <c r="J5705" s="444">
        <f t="array" ref="J5705">IFERROR(INDEX('Retirement Calculator'!J:J,MATCH('Isaac 401k'!N5705,'Retirement Calculator'!A:A,0),0),0)</f>
        <v>0</v>
      </c>
      <c r="K5705" s="444">
        <f t="shared" ca="1" si="211"/>
        <v>-23167093040670.977</v>
      </c>
      <c r="L5705" s="444">
        <f t="shared" ca="1" si="212"/>
        <v>-5583269422801705</v>
      </c>
      <c r="M5705" s="460">
        <f t="shared" si="214"/>
        <v>0.05</v>
      </c>
      <c r="N5705" s="464">
        <f t="shared" si="215"/>
        <v>224685</v>
      </c>
    </row>
    <row r="5706" spans="7:14" ht="11.25" customHeight="1" x14ac:dyDescent="0.3">
      <c r="G5706" s="459"/>
      <c r="H5706" s="459">
        <v>5699</v>
      </c>
      <c r="I5706" s="444">
        <f t="shared" ca="1" si="213"/>
        <v>-5583269422801705</v>
      </c>
      <c r="J5706" s="444">
        <f t="array" ref="J5706">IFERROR(INDEX('Retirement Calculator'!J:J,MATCH('Isaac 401k'!N5706,'Retirement Calculator'!A:A,0),0),0)</f>
        <v>0</v>
      </c>
      <c r="K5706" s="444">
        <f t="shared" ca="1" si="211"/>
        <v>-23263622595007.105</v>
      </c>
      <c r="L5706" s="444">
        <f t="shared" ca="1" si="212"/>
        <v>-5606533045396712</v>
      </c>
      <c r="M5706" s="460">
        <f t="shared" si="214"/>
        <v>0.05</v>
      </c>
      <c r="N5706" s="464">
        <f t="shared" si="215"/>
        <v>224716</v>
      </c>
    </row>
    <row r="5707" spans="7:14" ht="11.25" customHeight="1" x14ac:dyDescent="0.3">
      <c r="G5707" s="459"/>
      <c r="H5707" s="459">
        <v>5700</v>
      </c>
      <c r="I5707" s="444">
        <f t="shared" ca="1" si="213"/>
        <v>-5606533045396712</v>
      </c>
      <c r="J5707" s="444">
        <f t="array" ref="J5707">IFERROR(INDEX('Retirement Calculator'!J:J,MATCH('Isaac 401k'!N5707,'Retirement Calculator'!A:A,0),0),0)</f>
        <v>0</v>
      </c>
      <c r="K5707" s="444">
        <f t="shared" ca="1" si="211"/>
        <v>-23360554355819.633</v>
      </c>
      <c r="L5707" s="444">
        <f t="shared" ca="1" si="212"/>
        <v>-5629893599752532</v>
      </c>
      <c r="M5707" s="460">
        <f t="shared" si="214"/>
        <v>0.05</v>
      </c>
      <c r="N5707" s="464">
        <f t="shared" si="215"/>
        <v>224746</v>
      </c>
    </row>
    <row r="5708" spans="7:14" ht="11.25" customHeight="1" x14ac:dyDescent="0.3">
      <c r="G5708" s="459"/>
      <c r="H5708" s="459">
        <v>5701</v>
      </c>
      <c r="I5708" s="444">
        <f t="shared" ca="1" si="213"/>
        <v>-5629893599752532</v>
      </c>
      <c r="J5708" s="444">
        <f t="array" ref="J5708">IFERROR(INDEX('Retirement Calculator'!J:J,MATCH('Isaac 401k'!N5708,'Retirement Calculator'!A:A,0),0),0)</f>
        <v>0</v>
      </c>
      <c r="K5708" s="444">
        <f t="shared" ca="1" si="211"/>
        <v>-23457889998968.883</v>
      </c>
      <c r="L5708" s="444">
        <f t="shared" ca="1" si="212"/>
        <v>-5653351489751501</v>
      </c>
      <c r="M5708" s="460">
        <f t="shared" si="214"/>
        <v>0.05</v>
      </c>
      <c r="N5708" s="464">
        <f t="shared" si="215"/>
        <v>224777</v>
      </c>
    </row>
    <row r="5709" spans="7:14" ht="11.25" customHeight="1" x14ac:dyDescent="0.3">
      <c r="G5709" s="459"/>
      <c r="H5709" s="459">
        <v>5702</v>
      </c>
      <c r="I5709" s="444">
        <f t="shared" ca="1" si="213"/>
        <v>-5653351489751501</v>
      </c>
      <c r="J5709" s="444">
        <f t="array" ref="J5709">IFERROR(INDEX('Retirement Calculator'!J:J,MATCH('Isaac 401k'!N5709,'Retirement Calculator'!A:A,0),0),0)</f>
        <v>0</v>
      </c>
      <c r="K5709" s="444">
        <f t="shared" ca="1" si="211"/>
        <v>-23555631207297.922</v>
      </c>
      <c r="L5709" s="444">
        <f t="shared" ca="1" si="212"/>
        <v>-5676907120958799</v>
      </c>
      <c r="M5709" s="460">
        <f t="shared" si="214"/>
        <v>0.05</v>
      </c>
      <c r="N5709" s="464">
        <f t="shared" si="215"/>
        <v>224807</v>
      </c>
    </row>
    <row r="5710" spans="7:14" ht="11.25" customHeight="1" x14ac:dyDescent="0.3">
      <c r="G5710" s="459"/>
      <c r="H5710" s="459">
        <v>5703</v>
      </c>
      <c r="I5710" s="444">
        <f t="shared" ca="1" si="213"/>
        <v>-5676907120958799</v>
      </c>
      <c r="J5710" s="444">
        <f t="array" ref="J5710">IFERROR(INDEX('Retirement Calculator'!J:J,MATCH('Isaac 401k'!N5710,'Retirement Calculator'!A:A,0),0),0)</f>
        <v>0</v>
      </c>
      <c r="K5710" s="444">
        <f t="shared" ca="1" si="211"/>
        <v>-23653779670661.664</v>
      </c>
      <c r="L5710" s="444">
        <f t="shared" ca="1" si="212"/>
        <v>-5700560900629461</v>
      </c>
      <c r="M5710" s="460">
        <f t="shared" si="214"/>
        <v>0.05</v>
      </c>
      <c r="N5710" s="464">
        <f t="shared" si="215"/>
        <v>224838</v>
      </c>
    </row>
    <row r="5711" spans="7:14" ht="11.25" customHeight="1" x14ac:dyDescent="0.3">
      <c r="G5711" s="459"/>
      <c r="H5711" s="459">
        <v>5704</v>
      </c>
      <c r="I5711" s="444">
        <f t="shared" ca="1" si="213"/>
        <v>-5700560900629461</v>
      </c>
      <c r="J5711" s="444">
        <f t="array" ref="J5711">IFERROR(INDEX('Retirement Calculator'!J:J,MATCH('Isaac 401k'!N5711,'Retirement Calculator'!A:A,0),0),0)</f>
        <v>0</v>
      </c>
      <c r="K5711" s="444">
        <f t="shared" ca="1" si="211"/>
        <v>-23752337085956.086</v>
      </c>
      <c r="L5711" s="444">
        <f t="shared" ca="1" si="212"/>
        <v>-5724313237715417</v>
      </c>
      <c r="M5711" s="460">
        <f t="shared" si="214"/>
        <v>0.05</v>
      </c>
      <c r="N5711" s="464">
        <f t="shared" si="215"/>
        <v>224869</v>
      </c>
    </row>
    <row r="5712" spans="7:14" ht="11.25" customHeight="1" x14ac:dyDescent="0.3">
      <c r="G5712" s="459"/>
      <c r="H5712" s="459">
        <v>5705</v>
      </c>
      <c r="I5712" s="444">
        <f t="shared" ca="1" si="213"/>
        <v>-5724313237715417</v>
      </c>
      <c r="J5712" s="444">
        <f t="array" ref="J5712">IFERROR(INDEX('Retirement Calculator'!J:J,MATCH('Isaac 401k'!N5712,'Retirement Calculator'!A:A,0),0),0)</f>
        <v>0</v>
      </c>
      <c r="K5712" s="444">
        <f t="shared" ca="1" si="211"/>
        <v>-23851305157147.57</v>
      </c>
      <c r="L5712" s="444">
        <f t="shared" ca="1" si="212"/>
        <v>-5748164542872565</v>
      </c>
      <c r="M5712" s="460">
        <f t="shared" si="214"/>
        <v>0.05</v>
      </c>
      <c r="N5712" s="464">
        <f t="shared" si="215"/>
        <v>224899</v>
      </c>
    </row>
    <row r="5713" spans="7:14" ht="11.25" customHeight="1" x14ac:dyDescent="0.3">
      <c r="G5713" s="459"/>
      <c r="H5713" s="459">
        <v>5706</v>
      </c>
      <c r="I5713" s="444">
        <f t="shared" ca="1" si="213"/>
        <v>-5748164542872565</v>
      </c>
      <c r="J5713" s="444">
        <f t="array" ref="J5713">IFERROR(INDEX('Retirement Calculator'!J:J,MATCH('Isaac 401k'!N5713,'Retirement Calculator'!A:A,0),0),0)</f>
        <v>0</v>
      </c>
      <c r="K5713" s="444">
        <f t="shared" ca="1" si="211"/>
        <v>-23950685595302.355</v>
      </c>
      <c r="L5713" s="444">
        <f t="shared" ca="1" si="212"/>
        <v>-5772115228467867</v>
      </c>
      <c r="M5713" s="460">
        <f t="shared" si="214"/>
        <v>0.05</v>
      </c>
      <c r="N5713" s="464">
        <f t="shared" si="215"/>
        <v>224930</v>
      </c>
    </row>
    <row r="5714" spans="7:14" ht="11.25" customHeight="1" x14ac:dyDescent="0.3">
      <c r="G5714" s="459"/>
      <c r="H5714" s="459">
        <v>5707</v>
      </c>
      <c r="I5714" s="444">
        <f t="shared" ca="1" si="213"/>
        <v>-5772115228467867</v>
      </c>
      <c r="J5714" s="444">
        <f t="array" ref="J5714">IFERROR(INDEX('Retirement Calculator'!J:J,MATCH('Isaac 401k'!N5714,'Retirement Calculator'!A:A,0),0),0)</f>
        <v>0</v>
      </c>
      <c r="K5714" s="444">
        <f t="shared" ca="1" si="211"/>
        <v>-24050480118616.113</v>
      </c>
      <c r="L5714" s="444">
        <f t="shared" ca="1" si="212"/>
        <v>-5796165708586483</v>
      </c>
      <c r="M5714" s="460">
        <f t="shared" si="214"/>
        <v>0.05</v>
      </c>
      <c r="N5714" s="464">
        <f t="shared" si="215"/>
        <v>224960</v>
      </c>
    </row>
    <row r="5715" spans="7:14" ht="11.25" customHeight="1" x14ac:dyDescent="0.3">
      <c r="G5715" s="459"/>
      <c r="H5715" s="459">
        <v>5708</v>
      </c>
      <c r="I5715" s="444">
        <f t="shared" ca="1" si="213"/>
        <v>-5796165708586483</v>
      </c>
      <c r="J5715" s="444">
        <f t="array" ref="J5715">IFERROR(INDEX('Retirement Calculator'!J:J,MATCH('Isaac 401k'!N5715,'Retirement Calculator'!A:A,0),0),0)</f>
        <v>0</v>
      </c>
      <c r="K5715" s="444">
        <f t="shared" ca="1" si="211"/>
        <v>-24150690452443.68</v>
      </c>
      <c r="L5715" s="444">
        <f t="shared" ca="1" si="212"/>
        <v>-5820316399038927</v>
      </c>
      <c r="M5715" s="460">
        <f t="shared" si="214"/>
        <v>0.05</v>
      </c>
      <c r="N5715" s="464">
        <f t="shared" si="215"/>
        <v>224991</v>
      </c>
    </row>
    <row r="5716" spans="7:14" ht="11.25" customHeight="1" x14ac:dyDescent="0.3">
      <c r="G5716" s="459"/>
      <c r="H5716" s="459">
        <v>5709</v>
      </c>
      <c r="I5716" s="444">
        <f t="shared" ca="1" si="213"/>
        <v>-5820316399038927</v>
      </c>
      <c r="J5716" s="444">
        <f t="array" ref="J5716">IFERROR(INDEX('Retirement Calculator'!J:J,MATCH('Isaac 401k'!N5716,'Retirement Calculator'!A:A,0),0),0)</f>
        <v>0</v>
      </c>
      <c r="K5716" s="444">
        <f t="shared" ca="1" si="211"/>
        <v>-24251318329328.863</v>
      </c>
      <c r="L5716" s="444">
        <f t="shared" ca="1" si="212"/>
        <v>-5844567717368256</v>
      </c>
      <c r="M5716" s="460">
        <f t="shared" si="214"/>
        <v>0.05</v>
      </c>
      <c r="N5716" s="464">
        <f t="shared" si="215"/>
        <v>225022</v>
      </c>
    </row>
    <row r="5717" spans="7:14" ht="11.25" customHeight="1" x14ac:dyDescent="0.3">
      <c r="G5717" s="459"/>
      <c r="H5717" s="459">
        <v>5710</v>
      </c>
      <c r="I5717" s="444">
        <f t="shared" ca="1" si="213"/>
        <v>-5844567717368256</v>
      </c>
      <c r="J5717" s="444">
        <f t="array" ref="J5717">IFERROR(INDEX('Retirement Calculator'!J:J,MATCH('Isaac 401k'!N5717,'Retirement Calculator'!A:A,0),0),0)</f>
        <v>0</v>
      </c>
      <c r="K5717" s="444">
        <f t="shared" ca="1" si="211"/>
        <v>-24352365489034.398</v>
      </c>
      <c r="L5717" s="444">
        <f t="shared" ca="1" si="212"/>
        <v>-5868920082857290</v>
      </c>
      <c r="M5717" s="460">
        <f t="shared" si="214"/>
        <v>0.05</v>
      </c>
      <c r="N5717" s="464">
        <f t="shared" si="215"/>
        <v>225051</v>
      </c>
    </row>
    <row r="5718" spans="7:14" ht="11.25" customHeight="1" x14ac:dyDescent="0.3">
      <c r="G5718" s="459"/>
      <c r="H5718" s="459">
        <v>5711</v>
      </c>
      <c r="I5718" s="444">
        <f t="shared" ca="1" si="213"/>
        <v>-5868920082857290</v>
      </c>
      <c r="J5718" s="444">
        <f t="array" ref="J5718">IFERROR(INDEX('Retirement Calculator'!J:J,MATCH('Isaac 401k'!N5718,'Retirement Calculator'!A:A,0),0),0)</f>
        <v>0</v>
      </c>
      <c r="K5718" s="444">
        <f t="shared" ca="1" si="211"/>
        <v>-24453833678572.043</v>
      </c>
      <c r="L5718" s="444">
        <f t="shared" ca="1" si="212"/>
        <v>-5893373916535862</v>
      </c>
      <c r="M5718" s="460">
        <f t="shared" si="214"/>
        <v>0.05</v>
      </c>
      <c r="N5718" s="464">
        <f t="shared" si="215"/>
        <v>225082</v>
      </c>
    </row>
    <row r="5719" spans="7:14" ht="11.25" customHeight="1" x14ac:dyDescent="0.3">
      <c r="G5719" s="459"/>
      <c r="H5719" s="459">
        <v>5712</v>
      </c>
      <c r="I5719" s="444">
        <f t="shared" ca="1" si="213"/>
        <v>-5893373916535862</v>
      </c>
      <c r="J5719" s="444">
        <f t="array" ref="J5719">IFERROR(INDEX('Retirement Calculator'!J:J,MATCH('Isaac 401k'!N5719,'Retirement Calculator'!A:A,0),0),0)</f>
        <v>0</v>
      </c>
      <c r="K5719" s="444">
        <f t="shared" ca="1" si="211"/>
        <v>-24555724652232.758</v>
      </c>
      <c r="L5719" s="444">
        <f t="shared" ca="1" si="212"/>
        <v>-5917929641188095</v>
      </c>
      <c r="M5719" s="460">
        <f t="shared" si="214"/>
        <v>0.05</v>
      </c>
      <c r="N5719" s="464">
        <f t="shared" si="215"/>
        <v>225112</v>
      </c>
    </row>
    <row r="5720" spans="7:14" ht="11.25" customHeight="1" x14ac:dyDescent="0.3">
      <c r="G5720" s="459"/>
      <c r="H5720" s="459">
        <v>5713</v>
      </c>
      <c r="I5720" s="444">
        <f t="shared" ca="1" si="213"/>
        <v>-5917929641188095</v>
      </c>
      <c r="J5720" s="444">
        <f t="array" ref="J5720">IFERROR(INDEX('Retirement Calculator'!J:J,MATCH('Isaac 401k'!N5720,'Retirement Calculator'!A:A,0),0),0)</f>
        <v>0</v>
      </c>
      <c r="K5720" s="444">
        <f t="shared" ca="1" si="211"/>
        <v>-24658040171617.063</v>
      </c>
      <c r="L5720" s="444">
        <f t="shared" ca="1" si="212"/>
        <v>-5942587681359712</v>
      </c>
      <c r="M5720" s="460">
        <f t="shared" si="214"/>
        <v>0.05</v>
      </c>
      <c r="N5720" s="464">
        <f t="shared" si="215"/>
        <v>225143</v>
      </c>
    </row>
    <row r="5721" spans="7:14" ht="11.25" customHeight="1" x14ac:dyDescent="0.3">
      <c r="G5721" s="459"/>
      <c r="H5721" s="459">
        <v>5714</v>
      </c>
      <c r="I5721" s="444">
        <f t="shared" ca="1" si="213"/>
        <v>-5942587681359712</v>
      </c>
      <c r="J5721" s="444">
        <f t="array" ref="J5721">IFERROR(INDEX('Retirement Calculator'!J:J,MATCH('Isaac 401k'!N5721,'Retirement Calculator'!A:A,0),0),0)</f>
        <v>0</v>
      </c>
      <c r="K5721" s="444">
        <f t="shared" ca="1" si="211"/>
        <v>-24760782005665.465</v>
      </c>
      <c r="L5721" s="444">
        <f t="shared" ca="1" si="212"/>
        <v>-5967348463365377</v>
      </c>
      <c r="M5721" s="460">
        <f t="shared" si="214"/>
        <v>0.05</v>
      </c>
      <c r="N5721" s="464">
        <f t="shared" si="215"/>
        <v>225173</v>
      </c>
    </row>
    <row r="5722" spans="7:14" ht="11.25" customHeight="1" x14ac:dyDescent="0.3">
      <c r="G5722" s="459"/>
      <c r="H5722" s="459">
        <v>5715</v>
      </c>
      <c r="I5722" s="444">
        <f t="shared" ca="1" si="213"/>
        <v>-5967348463365377</v>
      </c>
      <c r="J5722" s="444">
        <f t="array" ref="J5722">IFERROR(INDEX('Retirement Calculator'!J:J,MATCH('Isaac 401k'!N5722,'Retirement Calculator'!A:A,0),0),0)</f>
        <v>0</v>
      </c>
      <c r="K5722" s="444">
        <f t="shared" ca="1" si="211"/>
        <v>-24863951930689.07</v>
      </c>
      <c r="L5722" s="444">
        <f t="shared" ca="1" si="212"/>
        <v>-5992212415296066</v>
      </c>
      <c r="M5722" s="460">
        <f t="shared" si="214"/>
        <v>0.05</v>
      </c>
      <c r="N5722" s="464">
        <f t="shared" si="215"/>
        <v>225204</v>
      </c>
    </row>
    <row r="5723" spans="7:14" ht="11.25" customHeight="1" x14ac:dyDescent="0.3">
      <c r="G5723" s="459"/>
      <c r="H5723" s="459">
        <v>5716</v>
      </c>
      <c r="I5723" s="444">
        <f t="shared" ca="1" si="213"/>
        <v>-5992212415296066</v>
      </c>
      <c r="J5723" s="444">
        <f t="array" ref="J5723">IFERROR(INDEX('Retirement Calculator'!J:J,MATCH('Isaac 401k'!N5723,'Retirement Calculator'!A:A,0),0),0)</f>
        <v>0</v>
      </c>
      <c r="K5723" s="444">
        <f t="shared" ca="1" si="211"/>
        <v>-24967551730400.273</v>
      </c>
      <c r="L5723" s="444">
        <f t="shared" ca="1" si="212"/>
        <v>-6017179967026466</v>
      </c>
      <c r="M5723" s="460">
        <f t="shared" si="214"/>
        <v>0.05</v>
      </c>
      <c r="N5723" s="464">
        <f t="shared" si="215"/>
        <v>225235</v>
      </c>
    </row>
    <row r="5724" spans="7:14" ht="11.25" customHeight="1" x14ac:dyDescent="0.3">
      <c r="G5724" s="459"/>
      <c r="H5724" s="459">
        <v>5717</v>
      </c>
      <c r="I5724" s="444">
        <f t="shared" ca="1" si="213"/>
        <v>-6017179967026466</v>
      </c>
      <c r="J5724" s="444">
        <f t="array" ref="J5724">IFERROR(INDEX('Retirement Calculator'!J:J,MATCH('Isaac 401k'!N5724,'Retirement Calculator'!A:A,0),0),0)</f>
        <v>0</v>
      </c>
      <c r="K5724" s="444">
        <f t="shared" ca="1" si="211"/>
        <v>-25071583195943.609</v>
      </c>
      <c r="L5724" s="444">
        <f t="shared" ca="1" si="212"/>
        <v>-6042251550222410</v>
      </c>
      <c r="M5724" s="460">
        <f t="shared" si="214"/>
        <v>0.05</v>
      </c>
      <c r="N5724" s="464">
        <f t="shared" si="215"/>
        <v>225265</v>
      </c>
    </row>
    <row r="5725" spans="7:14" ht="11.25" customHeight="1" x14ac:dyDescent="0.3">
      <c r="G5725" s="459"/>
      <c r="H5725" s="459">
        <v>5718</v>
      </c>
      <c r="I5725" s="444">
        <f t="shared" ca="1" si="213"/>
        <v>-6042251550222410</v>
      </c>
      <c r="J5725" s="444">
        <f t="array" ref="J5725">IFERROR(INDEX('Retirement Calculator'!J:J,MATCH('Isaac 401k'!N5725,'Retirement Calculator'!A:A,0),0),0)</f>
        <v>0</v>
      </c>
      <c r="K5725" s="444">
        <f t="shared" ca="1" si="211"/>
        <v>-25176048125926.707</v>
      </c>
      <c r="L5725" s="444">
        <f t="shared" ca="1" si="212"/>
        <v>-6067427598348337</v>
      </c>
      <c r="M5725" s="460">
        <f t="shared" si="214"/>
        <v>0.05</v>
      </c>
      <c r="N5725" s="464">
        <f t="shared" si="215"/>
        <v>225296</v>
      </c>
    </row>
    <row r="5726" spans="7:14" ht="11.25" customHeight="1" x14ac:dyDescent="0.3">
      <c r="G5726" s="459"/>
      <c r="H5726" s="459">
        <v>5719</v>
      </c>
      <c r="I5726" s="444">
        <f t="shared" ca="1" si="213"/>
        <v>-6067427598348337</v>
      </c>
      <c r="J5726" s="444">
        <f t="array" ref="J5726">IFERROR(INDEX('Retirement Calculator'!J:J,MATCH('Isaac 401k'!N5726,'Retirement Calculator'!A:A,0),0),0)</f>
        <v>0</v>
      </c>
      <c r="K5726" s="444">
        <f t="shared" ca="1" si="211"/>
        <v>-25280948326451.402</v>
      </c>
      <c r="L5726" s="444">
        <f t="shared" ca="1" si="212"/>
        <v>-6092708546674788</v>
      </c>
      <c r="M5726" s="460">
        <f t="shared" si="214"/>
        <v>0.05</v>
      </c>
      <c r="N5726" s="464">
        <f t="shared" si="215"/>
        <v>225326</v>
      </c>
    </row>
    <row r="5727" spans="7:14" ht="11.25" customHeight="1" x14ac:dyDescent="0.3">
      <c r="G5727" s="459"/>
      <c r="H5727" s="459">
        <v>5720</v>
      </c>
      <c r="I5727" s="444">
        <f t="shared" ca="1" si="213"/>
        <v>-6092708546674788</v>
      </c>
      <c r="J5727" s="444">
        <f t="array" ref="J5727">IFERROR(INDEX('Retirement Calculator'!J:J,MATCH('Isaac 401k'!N5727,'Retirement Calculator'!A:A,0),0),0)</f>
        <v>0</v>
      </c>
      <c r="K5727" s="444">
        <f t="shared" ca="1" si="211"/>
        <v>-25386285611144.949</v>
      </c>
      <c r="L5727" s="444">
        <f t="shared" ca="1" si="212"/>
        <v>-6118094832285933</v>
      </c>
      <c r="M5727" s="460">
        <f t="shared" si="214"/>
        <v>0.05</v>
      </c>
      <c r="N5727" s="464">
        <f t="shared" si="215"/>
        <v>225357</v>
      </c>
    </row>
    <row r="5728" spans="7:14" ht="11.25" customHeight="1" x14ac:dyDescent="0.3">
      <c r="G5728" s="459"/>
      <c r="H5728" s="459">
        <v>5721</v>
      </c>
      <c r="I5728" s="444">
        <f t="shared" ca="1" si="213"/>
        <v>-6118094832285933</v>
      </c>
      <c r="J5728" s="444">
        <f t="array" ref="J5728">IFERROR(INDEX('Retirement Calculator'!J:J,MATCH('Isaac 401k'!N5728,'Retirement Calculator'!A:A,0),0),0)</f>
        <v>0</v>
      </c>
      <c r="K5728" s="444">
        <f t="shared" ca="1" si="211"/>
        <v>-25492061801191.387</v>
      </c>
      <c r="L5728" s="444">
        <f t="shared" ca="1" si="212"/>
        <v>-6143586894087124</v>
      </c>
      <c r="M5728" s="460">
        <f t="shared" si="214"/>
        <v>0.05</v>
      </c>
      <c r="N5728" s="464">
        <f t="shared" si="215"/>
        <v>225388</v>
      </c>
    </row>
    <row r="5729" spans="7:14" ht="11.25" customHeight="1" x14ac:dyDescent="0.3">
      <c r="G5729" s="459"/>
      <c r="H5729" s="459">
        <v>5722</v>
      </c>
      <c r="I5729" s="444">
        <f t="shared" ca="1" si="213"/>
        <v>-6143586894087124</v>
      </c>
      <c r="J5729" s="444">
        <f t="array" ref="J5729">IFERROR(INDEX('Retirement Calculator'!J:J,MATCH('Isaac 401k'!N5729,'Retirement Calculator'!A:A,0),0),0)</f>
        <v>0</v>
      </c>
      <c r="K5729" s="444">
        <f t="shared" ca="1" si="211"/>
        <v>-25598278725363.016</v>
      </c>
      <c r="L5729" s="444">
        <f t="shared" ca="1" si="212"/>
        <v>-6169185172812487</v>
      </c>
      <c r="M5729" s="460">
        <f t="shared" si="214"/>
        <v>0.05</v>
      </c>
      <c r="N5729" s="464">
        <f t="shared" si="215"/>
        <v>225416</v>
      </c>
    </row>
    <row r="5730" spans="7:14" ht="11.25" customHeight="1" x14ac:dyDescent="0.3">
      <c r="G5730" s="459"/>
      <c r="H5730" s="459">
        <v>5723</v>
      </c>
      <c r="I5730" s="444">
        <f t="shared" ca="1" si="213"/>
        <v>-6169185172812487</v>
      </c>
      <c r="J5730" s="444">
        <f t="array" ref="J5730">IFERROR(INDEX('Retirement Calculator'!J:J,MATCH('Isaac 401k'!N5730,'Retirement Calculator'!A:A,0),0),0)</f>
        <v>0</v>
      </c>
      <c r="K5730" s="444">
        <f t="shared" ca="1" si="211"/>
        <v>-25704938220052.027</v>
      </c>
      <c r="L5730" s="444">
        <f t="shared" ca="1" si="212"/>
        <v>-6194890111032539</v>
      </c>
      <c r="M5730" s="460">
        <f t="shared" si="214"/>
        <v>0.05</v>
      </c>
      <c r="N5730" s="464">
        <f t="shared" si="215"/>
        <v>225447</v>
      </c>
    </row>
    <row r="5731" spans="7:14" ht="11.25" customHeight="1" x14ac:dyDescent="0.3">
      <c r="G5731" s="459"/>
      <c r="H5731" s="459">
        <v>5724</v>
      </c>
      <c r="I5731" s="444">
        <f t="shared" ca="1" si="213"/>
        <v>-6194890111032539</v>
      </c>
      <c r="J5731" s="444">
        <f t="array" ref="J5731">IFERROR(INDEX('Retirement Calculator'!J:J,MATCH('Isaac 401k'!N5731,'Retirement Calculator'!A:A,0),0),0)</f>
        <v>0</v>
      </c>
      <c r="K5731" s="444">
        <f t="shared" ca="1" si="211"/>
        <v>-25812042129302.246</v>
      </c>
      <c r="L5731" s="444">
        <f t="shared" ca="1" si="212"/>
        <v>-6220702153161841</v>
      </c>
      <c r="M5731" s="460">
        <f t="shared" si="214"/>
        <v>0.05</v>
      </c>
      <c r="N5731" s="464">
        <f t="shared" si="215"/>
        <v>225477</v>
      </c>
    </row>
    <row r="5732" spans="7:14" ht="11.25" customHeight="1" x14ac:dyDescent="0.3">
      <c r="G5732" s="459"/>
      <c r="H5732" s="459">
        <v>5725</v>
      </c>
      <c r="I5732" s="444">
        <f t="shared" ca="1" si="213"/>
        <v>-6220702153161841</v>
      </c>
      <c r="J5732" s="444">
        <f t="array" ref="J5732">IFERROR(INDEX('Retirement Calculator'!J:J,MATCH('Isaac 401k'!N5732,'Retirement Calculator'!A:A,0),0),0)</f>
        <v>0</v>
      </c>
      <c r="K5732" s="444">
        <f t="shared" ca="1" si="211"/>
        <v>-25919592304841.004</v>
      </c>
      <c r="L5732" s="444">
        <f t="shared" ca="1" si="212"/>
        <v>-6246621745466682</v>
      </c>
      <c r="M5732" s="460">
        <f t="shared" si="214"/>
        <v>0.05</v>
      </c>
      <c r="N5732" s="464">
        <f t="shared" si="215"/>
        <v>225508</v>
      </c>
    </row>
    <row r="5733" spans="7:14" ht="11.25" customHeight="1" x14ac:dyDescent="0.3">
      <c r="G5733" s="459"/>
      <c r="H5733" s="459">
        <v>5726</v>
      </c>
      <c r="I5733" s="444">
        <f t="shared" ca="1" si="213"/>
        <v>-6246621745466682</v>
      </c>
      <c r="J5733" s="444">
        <f t="array" ref="J5733">IFERROR(INDEX('Retirement Calculator'!J:J,MATCH('Isaac 401k'!N5733,'Retirement Calculator'!A:A,0),0),0)</f>
        <v>0</v>
      </c>
      <c r="K5733" s="444">
        <f t="shared" ca="1" si="211"/>
        <v>-26027590606111.176</v>
      </c>
      <c r="L5733" s="444">
        <f t="shared" ca="1" si="212"/>
        <v>-6272649336072793</v>
      </c>
      <c r="M5733" s="460">
        <f t="shared" si="214"/>
        <v>0.05</v>
      </c>
      <c r="N5733" s="464">
        <f t="shared" si="215"/>
        <v>225538</v>
      </c>
    </row>
    <row r="5734" spans="7:14" ht="11.25" customHeight="1" x14ac:dyDescent="0.3">
      <c r="G5734" s="459"/>
      <c r="H5734" s="459">
        <v>5727</v>
      </c>
      <c r="I5734" s="444">
        <f t="shared" ca="1" si="213"/>
        <v>-6272649336072793</v>
      </c>
      <c r="J5734" s="444">
        <f t="array" ref="J5734">IFERROR(INDEX('Retirement Calculator'!J:J,MATCH('Isaac 401k'!N5734,'Retirement Calculator'!A:A,0),0),0)</f>
        <v>0</v>
      </c>
      <c r="K5734" s="444">
        <f t="shared" ca="1" si="211"/>
        <v>-26136038900303.305</v>
      </c>
      <c r="L5734" s="444">
        <f t="shared" ca="1" si="212"/>
        <v>-6298785374973096</v>
      </c>
      <c r="M5734" s="460">
        <f t="shared" si="214"/>
        <v>0.05</v>
      </c>
      <c r="N5734" s="464">
        <f t="shared" si="215"/>
        <v>225569</v>
      </c>
    </row>
    <row r="5735" spans="7:14" ht="11.25" customHeight="1" x14ac:dyDescent="0.3">
      <c r="G5735" s="459"/>
      <c r="H5735" s="459">
        <v>5728</v>
      </c>
      <c r="I5735" s="444">
        <f t="shared" ca="1" si="213"/>
        <v>-6298785374973096</v>
      </c>
      <c r="J5735" s="444">
        <f t="array" ref="J5735">IFERROR(INDEX('Retirement Calculator'!J:J,MATCH('Isaac 401k'!N5735,'Retirement Calculator'!A:A,0),0),0)</f>
        <v>0</v>
      </c>
      <c r="K5735" s="444">
        <f t="shared" ca="1" si="211"/>
        <v>-26244939062387.898</v>
      </c>
      <c r="L5735" s="444">
        <f t="shared" ca="1" si="212"/>
        <v>-6325030314035484</v>
      </c>
      <c r="M5735" s="460">
        <f t="shared" si="214"/>
        <v>0.05</v>
      </c>
      <c r="N5735" s="464">
        <f t="shared" si="215"/>
        <v>225600</v>
      </c>
    </row>
    <row r="5736" spans="7:14" ht="11.25" customHeight="1" x14ac:dyDescent="0.3">
      <c r="G5736" s="459"/>
      <c r="H5736" s="459">
        <v>5729</v>
      </c>
      <c r="I5736" s="444">
        <f t="shared" ca="1" si="213"/>
        <v>-6325030314035484</v>
      </c>
      <c r="J5736" s="444">
        <f t="array" ref="J5736">IFERROR(INDEX('Retirement Calculator'!J:J,MATCH('Isaac 401k'!N5736,'Retirement Calculator'!A:A,0),0),0)</f>
        <v>0</v>
      </c>
      <c r="K5736" s="444">
        <f t="shared" ca="1" si="211"/>
        <v>-26354292975147.852</v>
      </c>
      <c r="L5736" s="444">
        <f t="shared" ca="1" si="212"/>
        <v>-6351384607010632</v>
      </c>
      <c r="M5736" s="460">
        <f t="shared" si="214"/>
        <v>0.05</v>
      </c>
      <c r="N5736" s="464">
        <f t="shared" si="215"/>
        <v>225630</v>
      </c>
    </row>
    <row r="5737" spans="7:14" ht="11.25" customHeight="1" x14ac:dyDescent="0.3">
      <c r="G5737" s="459"/>
      <c r="H5737" s="459">
        <v>5730</v>
      </c>
      <c r="I5737" s="444">
        <f t="shared" ca="1" si="213"/>
        <v>-6351384607010632</v>
      </c>
      <c r="J5737" s="444">
        <f t="array" ref="J5737">IFERROR(INDEX('Retirement Calculator'!J:J,MATCH('Isaac 401k'!N5737,'Retirement Calculator'!A:A,0),0),0)</f>
        <v>0</v>
      </c>
      <c r="K5737" s="444">
        <f t="shared" ca="1" si="211"/>
        <v>-26464102529210.965</v>
      </c>
      <c r="L5737" s="444">
        <f t="shared" ca="1" si="212"/>
        <v>-6377848709539843</v>
      </c>
      <c r="M5737" s="460">
        <f t="shared" si="214"/>
        <v>0.05</v>
      </c>
      <c r="N5737" s="464">
        <f t="shared" si="215"/>
        <v>225661</v>
      </c>
    </row>
    <row r="5738" spans="7:14" ht="11.25" customHeight="1" x14ac:dyDescent="0.3">
      <c r="G5738" s="459"/>
      <c r="H5738" s="459">
        <v>5731</v>
      </c>
      <c r="I5738" s="444">
        <f t="shared" ca="1" si="213"/>
        <v>-6377848709539843</v>
      </c>
      <c r="J5738" s="444">
        <f t="array" ref="J5738">IFERROR(INDEX('Retirement Calculator'!J:J,MATCH('Isaac 401k'!N5738,'Retirement Calculator'!A:A,0),0),0)</f>
        <v>0</v>
      </c>
      <c r="K5738" s="444">
        <f t="shared" ca="1" si="211"/>
        <v>-26574369623082.68</v>
      </c>
      <c r="L5738" s="444">
        <f t="shared" ca="1" si="212"/>
        <v>-6404423079162926</v>
      </c>
      <c r="M5738" s="460">
        <f t="shared" si="214"/>
        <v>0.05</v>
      </c>
      <c r="N5738" s="464">
        <f t="shared" si="215"/>
        <v>225691</v>
      </c>
    </row>
    <row r="5739" spans="7:14" ht="11.25" customHeight="1" x14ac:dyDescent="0.3">
      <c r="G5739" s="459"/>
      <c r="H5739" s="459">
        <v>5732</v>
      </c>
      <c r="I5739" s="444">
        <f t="shared" ca="1" si="213"/>
        <v>-6404423079162926</v>
      </c>
      <c r="J5739" s="444">
        <f t="array" ref="J5739">IFERROR(INDEX('Retirement Calculator'!J:J,MATCH('Isaac 401k'!N5739,'Retirement Calculator'!A:A,0),0),0)</f>
        <v>0</v>
      </c>
      <c r="K5739" s="444">
        <f t="shared" ca="1" si="211"/>
        <v>-26685096163178.859</v>
      </c>
      <c r="L5739" s="444">
        <f t="shared" ca="1" si="212"/>
        <v>-6431108175326105</v>
      </c>
      <c r="M5739" s="460">
        <f t="shared" si="214"/>
        <v>0.05</v>
      </c>
      <c r="N5739" s="464">
        <f t="shared" si="215"/>
        <v>225722</v>
      </c>
    </row>
    <row r="5740" spans="7:14" ht="11.25" customHeight="1" x14ac:dyDescent="0.3">
      <c r="G5740" s="459"/>
      <c r="H5740" s="459">
        <v>5733</v>
      </c>
      <c r="I5740" s="444">
        <f t="shared" ca="1" si="213"/>
        <v>-6431108175326105</v>
      </c>
      <c r="J5740" s="444">
        <f t="array" ref="J5740">IFERROR(INDEX('Retirement Calculator'!J:J,MATCH('Isaac 401k'!N5740,'Retirement Calculator'!A:A,0),0),0)</f>
        <v>0</v>
      </c>
      <c r="K5740" s="444">
        <f t="shared" ca="1" si="211"/>
        <v>-26796284063858.77</v>
      </c>
      <c r="L5740" s="444">
        <f t="shared" ca="1" si="212"/>
        <v>-6457904459389964</v>
      </c>
      <c r="M5740" s="460">
        <f t="shared" si="214"/>
        <v>0.05</v>
      </c>
      <c r="N5740" s="464">
        <f t="shared" si="215"/>
        <v>225753</v>
      </c>
    </row>
    <row r="5741" spans="7:14" ht="11.25" customHeight="1" x14ac:dyDescent="0.3">
      <c r="G5741" s="459"/>
      <c r="H5741" s="459">
        <v>5734</v>
      </c>
      <c r="I5741" s="444">
        <f t="shared" ca="1" si="213"/>
        <v>-6457904459389964</v>
      </c>
      <c r="J5741" s="444">
        <f t="array" ref="J5741">IFERROR(INDEX('Retirement Calculator'!J:J,MATCH('Isaac 401k'!N5741,'Retirement Calculator'!A:A,0),0),0)</f>
        <v>0</v>
      </c>
      <c r="K5741" s="444">
        <f t="shared" ca="1" si="211"/>
        <v>-26907935247458.184</v>
      </c>
      <c r="L5741" s="444">
        <f t="shared" ca="1" si="212"/>
        <v>-6484812394637422</v>
      </c>
      <c r="M5741" s="460">
        <f t="shared" si="214"/>
        <v>0.05</v>
      </c>
      <c r="N5741" s="464">
        <f t="shared" si="215"/>
        <v>225781</v>
      </c>
    </row>
    <row r="5742" spans="7:14" ht="11.25" customHeight="1" x14ac:dyDescent="0.3">
      <c r="G5742" s="459"/>
      <c r="H5742" s="459">
        <v>5735</v>
      </c>
      <c r="I5742" s="444">
        <f t="shared" ca="1" si="213"/>
        <v>-6484812394637422</v>
      </c>
      <c r="J5742" s="444">
        <f t="array" ref="J5742">IFERROR(INDEX('Retirement Calculator'!J:J,MATCH('Isaac 401k'!N5742,'Retirement Calculator'!A:A,0),0),0)</f>
        <v>0</v>
      </c>
      <c r="K5742" s="444">
        <f t="shared" ca="1" si="211"/>
        <v>-27020051644322.59</v>
      </c>
      <c r="L5742" s="444">
        <f t="shared" ca="1" si="212"/>
        <v>-6511832446281745</v>
      </c>
      <c r="M5742" s="460">
        <f t="shared" si="214"/>
        <v>0.05</v>
      </c>
      <c r="N5742" s="464">
        <f t="shared" si="215"/>
        <v>225812</v>
      </c>
    </row>
    <row r="5743" spans="7:14" ht="11.25" customHeight="1" x14ac:dyDescent="0.3">
      <c r="G5743" s="459"/>
      <c r="H5743" s="459">
        <v>5736</v>
      </c>
      <c r="I5743" s="444">
        <f t="shared" ca="1" si="213"/>
        <v>-6511832446281745</v>
      </c>
      <c r="J5743" s="444">
        <f t="array" ref="J5743">IFERROR(INDEX('Retirement Calculator'!J:J,MATCH('Isaac 401k'!N5743,'Retirement Calculator'!A:A,0),0),0)</f>
        <v>0</v>
      </c>
      <c r="K5743" s="444">
        <f t="shared" ca="1" si="211"/>
        <v>-27132635192840.605</v>
      </c>
      <c r="L5743" s="444">
        <f t="shared" ca="1" si="212"/>
        <v>-6538965081474586</v>
      </c>
      <c r="M5743" s="460">
        <f t="shared" si="214"/>
        <v>0.05</v>
      </c>
      <c r="N5743" s="464">
        <f t="shared" si="215"/>
        <v>225842</v>
      </c>
    </row>
    <row r="5744" spans="7:14" ht="11.25" customHeight="1" x14ac:dyDescent="0.3">
      <c r="G5744" s="459"/>
      <c r="H5744" s="459">
        <v>5737</v>
      </c>
      <c r="I5744" s="444">
        <f t="shared" ca="1" si="213"/>
        <v>-6538965081474586</v>
      </c>
      <c r="J5744" s="444">
        <f t="array" ref="J5744">IFERROR(INDEX('Retirement Calculator'!J:J,MATCH('Isaac 401k'!N5744,'Retirement Calculator'!A:A,0),0),0)</f>
        <v>0</v>
      </c>
      <c r="K5744" s="444">
        <f t="shared" ca="1" si="211"/>
        <v>-27245687839477.441</v>
      </c>
      <c r="L5744" s="444">
        <f t="shared" ca="1" si="212"/>
        <v>-6566210769314063</v>
      </c>
      <c r="M5744" s="460">
        <f t="shared" si="214"/>
        <v>0.05</v>
      </c>
      <c r="N5744" s="464">
        <f t="shared" si="215"/>
        <v>225873</v>
      </c>
    </row>
    <row r="5745" spans="7:14" ht="11.25" customHeight="1" x14ac:dyDescent="0.3">
      <c r="G5745" s="459"/>
      <c r="H5745" s="459">
        <v>5738</v>
      </c>
      <c r="I5745" s="444">
        <f t="shared" ca="1" si="213"/>
        <v>-6566210769314063</v>
      </c>
      <c r="J5745" s="444">
        <f t="array" ref="J5745">IFERROR(INDEX('Retirement Calculator'!J:J,MATCH('Isaac 401k'!N5745,'Retirement Calculator'!A:A,0),0),0)</f>
        <v>0</v>
      </c>
      <c r="K5745" s="444">
        <f t="shared" ca="1" si="211"/>
        <v>-27359211538808.594</v>
      </c>
      <c r="L5745" s="444">
        <f t="shared" ca="1" si="212"/>
        <v>-6593569980852872</v>
      </c>
      <c r="M5745" s="460">
        <f t="shared" si="214"/>
        <v>0.05</v>
      </c>
      <c r="N5745" s="464">
        <f t="shared" si="215"/>
        <v>225903</v>
      </c>
    </row>
    <row r="5746" spans="7:14" ht="11.25" customHeight="1" x14ac:dyDescent="0.3">
      <c r="G5746" s="459"/>
      <c r="H5746" s="459">
        <v>5739</v>
      </c>
      <c r="I5746" s="444">
        <f t="shared" ca="1" si="213"/>
        <v>-6593569980852872</v>
      </c>
      <c r="J5746" s="444">
        <f t="array" ref="J5746">IFERROR(INDEX('Retirement Calculator'!J:J,MATCH('Isaac 401k'!N5746,'Retirement Calculator'!A:A,0),0),0)</f>
        <v>0</v>
      </c>
      <c r="K5746" s="444">
        <f t="shared" ca="1" si="211"/>
        <v>-27473208253553.633</v>
      </c>
      <c r="L5746" s="444">
        <f t="shared" ca="1" si="212"/>
        <v>-6621043189106426</v>
      </c>
      <c r="M5746" s="460">
        <f t="shared" si="214"/>
        <v>0.05</v>
      </c>
      <c r="N5746" s="464">
        <f t="shared" si="215"/>
        <v>225934</v>
      </c>
    </row>
    <row r="5747" spans="7:14" ht="11.25" customHeight="1" x14ac:dyDescent="0.3">
      <c r="G5747" s="459"/>
      <c r="H5747" s="459">
        <v>5740</v>
      </c>
      <c r="I5747" s="444">
        <f t="shared" ca="1" si="213"/>
        <v>-6621043189106426</v>
      </c>
      <c r="J5747" s="444">
        <f t="array" ref="J5747">IFERROR(INDEX('Retirement Calculator'!J:J,MATCH('Isaac 401k'!N5747,'Retirement Calculator'!A:A,0),0),0)</f>
        <v>0</v>
      </c>
      <c r="K5747" s="444">
        <f t="shared" ca="1" si="211"/>
        <v>-27587679954610.109</v>
      </c>
      <c r="L5747" s="444">
        <f t="shared" ca="1" si="212"/>
        <v>-6648630869061036</v>
      </c>
      <c r="M5747" s="460">
        <f t="shared" si="214"/>
        <v>0.05</v>
      </c>
      <c r="N5747" s="464">
        <f t="shared" si="215"/>
        <v>225965</v>
      </c>
    </row>
    <row r="5748" spans="7:14" ht="11.25" customHeight="1" x14ac:dyDescent="0.3">
      <c r="G5748" s="459"/>
      <c r="H5748" s="459">
        <v>5741</v>
      </c>
      <c r="I5748" s="444">
        <f t="shared" ca="1" si="213"/>
        <v>-6648630869061036</v>
      </c>
      <c r="J5748" s="444">
        <f t="array" ref="J5748">IFERROR(INDEX('Retirement Calculator'!J:J,MATCH('Isaac 401k'!N5748,'Retirement Calculator'!A:A,0),0),0)</f>
        <v>0</v>
      </c>
      <c r="K5748" s="444">
        <f t="shared" ca="1" si="211"/>
        <v>-27702628621087.648</v>
      </c>
      <c r="L5748" s="444">
        <f t="shared" ca="1" si="212"/>
        <v>-6676333497682124</v>
      </c>
      <c r="M5748" s="460">
        <f t="shared" si="214"/>
        <v>0.05</v>
      </c>
      <c r="N5748" s="464">
        <f t="shared" si="215"/>
        <v>225995</v>
      </c>
    </row>
    <row r="5749" spans="7:14" ht="11.25" customHeight="1" x14ac:dyDescent="0.3">
      <c r="G5749" s="459"/>
      <c r="H5749" s="459">
        <v>5742</v>
      </c>
      <c r="I5749" s="444">
        <f t="shared" ca="1" si="213"/>
        <v>-6676333497682124</v>
      </c>
      <c r="J5749" s="444">
        <f t="array" ref="J5749">IFERROR(INDEX('Retirement Calculator'!J:J,MATCH('Isaac 401k'!N5749,'Retirement Calculator'!A:A,0),0),0)</f>
        <v>0</v>
      </c>
      <c r="K5749" s="444">
        <f t="shared" ca="1" si="211"/>
        <v>-27818056240342.184</v>
      </c>
      <c r="L5749" s="444">
        <f t="shared" ca="1" si="212"/>
        <v>-6704151553922466</v>
      </c>
      <c r="M5749" s="460">
        <f t="shared" si="214"/>
        <v>0.05</v>
      </c>
      <c r="N5749" s="464">
        <f t="shared" si="215"/>
        <v>226026</v>
      </c>
    </row>
    <row r="5750" spans="7:14" ht="11.25" customHeight="1" x14ac:dyDescent="0.3">
      <c r="G5750" s="459"/>
      <c r="H5750" s="459">
        <v>5743</v>
      </c>
      <c r="I5750" s="444">
        <f t="shared" ca="1" si="213"/>
        <v>-6704151553922466</v>
      </c>
      <c r="J5750" s="444">
        <f t="array" ref="J5750">IFERROR(INDEX('Retirement Calculator'!J:J,MATCH('Isaac 401k'!N5750,'Retirement Calculator'!A:A,0),0),0)</f>
        <v>0</v>
      </c>
      <c r="K5750" s="444">
        <f t="shared" ca="1" si="211"/>
        <v>-27933964808010.273</v>
      </c>
      <c r="L5750" s="444">
        <f t="shared" ca="1" si="212"/>
        <v>-6732085518730476</v>
      </c>
      <c r="M5750" s="460">
        <f t="shared" si="214"/>
        <v>0.05</v>
      </c>
      <c r="N5750" s="464">
        <f t="shared" si="215"/>
        <v>226056</v>
      </c>
    </row>
    <row r="5751" spans="7:14" ht="11.25" customHeight="1" x14ac:dyDescent="0.3">
      <c r="G5751" s="459"/>
      <c r="H5751" s="459">
        <v>5744</v>
      </c>
      <c r="I5751" s="444">
        <f t="shared" ca="1" si="213"/>
        <v>-6732085518730476</v>
      </c>
      <c r="J5751" s="444">
        <f t="array" ref="J5751">IFERROR(INDEX('Retirement Calculator'!J:J,MATCH('Isaac 401k'!N5751,'Retirement Calculator'!A:A,0),0),0)</f>
        <v>0</v>
      </c>
      <c r="K5751" s="444">
        <f t="shared" ca="1" si="211"/>
        <v>-28050356328043.648</v>
      </c>
      <c r="L5751" s="444">
        <f t="shared" ca="1" si="212"/>
        <v>-6760135875058520</v>
      </c>
      <c r="M5751" s="460">
        <f t="shared" si="214"/>
        <v>0.05</v>
      </c>
      <c r="N5751" s="464">
        <f t="shared" si="215"/>
        <v>226087</v>
      </c>
    </row>
    <row r="5752" spans="7:14" ht="11.25" customHeight="1" x14ac:dyDescent="0.3">
      <c r="G5752" s="459"/>
      <c r="H5752" s="459">
        <v>5745</v>
      </c>
      <c r="I5752" s="444">
        <f t="shared" ca="1" si="213"/>
        <v>-6760135875058520</v>
      </c>
      <c r="J5752" s="444">
        <f t="array" ref="J5752">IFERROR(INDEX('Retirement Calculator'!J:J,MATCH('Isaac 401k'!N5752,'Retirement Calculator'!A:A,0),0),0)</f>
        <v>0</v>
      </c>
      <c r="K5752" s="444">
        <f t="shared" ca="1" si="211"/>
        <v>-28167232812743.832</v>
      </c>
      <c r="L5752" s="444">
        <f t="shared" ca="1" si="212"/>
        <v>-6788303107871264</v>
      </c>
      <c r="M5752" s="460">
        <f t="shared" si="214"/>
        <v>0.05</v>
      </c>
      <c r="N5752" s="464">
        <f t="shared" si="215"/>
        <v>226118</v>
      </c>
    </row>
    <row r="5753" spans="7:14" ht="11.25" customHeight="1" x14ac:dyDescent="0.3">
      <c r="G5753" s="459"/>
      <c r="H5753" s="459">
        <v>5746</v>
      </c>
      <c r="I5753" s="444">
        <f t="shared" ca="1" si="213"/>
        <v>-6788303107871264</v>
      </c>
      <c r="J5753" s="444">
        <f t="array" ref="J5753">IFERROR(INDEX('Retirement Calculator'!J:J,MATCH('Isaac 401k'!N5753,'Retirement Calculator'!A:A,0),0),0)</f>
        <v>0</v>
      </c>
      <c r="K5753" s="444">
        <f t="shared" ca="1" si="211"/>
        <v>-28284596282796.934</v>
      </c>
      <c r="L5753" s="444">
        <f t="shared" ca="1" si="212"/>
        <v>-6816587704154061</v>
      </c>
      <c r="M5753" s="460">
        <f t="shared" si="214"/>
        <v>0.05</v>
      </c>
      <c r="N5753" s="464">
        <f t="shared" si="215"/>
        <v>226146</v>
      </c>
    </row>
    <row r="5754" spans="7:14" ht="11.25" customHeight="1" x14ac:dyDescent="0.3">
      <c r="G5754" s="459"/>
      <c r="H5754" s="459">
        <v>5747</v>
      </c>
      <c r="I5754" s="444">
        <f t="shared" ca="1" si="213"/>
        <v>-6816587704154061</v>
      </c>
      <c r="J5754" s="444">
        <f t="array" ref="J5754">IFERROR(INDEX('Retirement Calculator'!J:J,MATCH('Isaac 401k'!N5754,'Retirement Calculator'!A:A,0),0),0)</f>
        <v>0</v>
      </c>
      <c r="K5754" s="444">
        <f t="shared" ca="1" si="211"/>
        <v>-28402448767308.586</v>
      </c>
      <c r="L5754" s="444">
        <f t="shared" ca="1" si="212"/>
        <v>-6844990152921370</v>
      </c>
      <c r="M5754" s="460">
        <f t="shared" si="214"/>
        <v>0.05</v>
      </c>
      <c r="N5754" s="464">
        <f t="shared" si="215"/>
        <v>226177</v>
      </c>
    </row>
    <row r="5755" spans="7:14" ht="11.25" customHeight="1" x14ac:dyDescent="0.3">
      <c r="G5755" s="459"/>
      <c r="H5755" s="459">
        <v>5748</v>
      </c>
      <c r="I5755" s="444">
        <f t="shared" ca="1" si="213"/>
        <v>-6844990152921370</v>
      </c>
      <c r="J5755" s="444">
        <f t="array" ref="J5755">IFERROR(INDEX('Retirement Calculator'!J:J,MATCH('Isaac 401k'!N5755,'Retirement Calculator'!A:A,0),0),0)</f>
        <v>0</v>
      </c>
      <c r="K5755" s="444">
        <f t="shared" ca="1" si="211"/>
        <v>-28520792303839.043</v>
      </c>
      <c r="L5755" s="444">
        <f t="shared" ca="1" si="212"/>
        <v>-6873510945225209</v>
      </c>
      <c r="M5755" s="460">
        <f t="shared" si="214"/>
        <v>0.05</v>
      </c>
      <c r="N5755" s="464">
        <f t="shared" si="215"/>
        <v>226207</v>
      </c>
    </row>
    <row r="5756" spans="7:14" ht="11.25" customHeight="1" x14ac:dyDescent="0.3">
      <c r="G5756" s="459"/>
      <c r="H5756" s="459">
        <v>5749</v>
      </c>
      <c r="I5756" s="444">
        <f t="shared" ca="1" si="213"/>
        <v>-6873510945225209</v>
      </c>
      <c r="J5756" s="444">
        <f t="array" ref="J5756">IFERROR(INDEX('Retirement Calculator'!J:J,MATCH('Isaac 401k'!N5756,'Retirement Calculator'!A:A,0),0),0)</f>
        <v>0</v>
      </c>
      <c r="K5756" s="444">
        <f t="shared" ca="1" si="211"/>
        <v>-28639628938438.371</v>
      </c>
      <c r="L5756" s="444">
        <f t="shared" ca="1" si="212"/>
        <v>-6902150574163647</v>
      </c>
      <c r="M5756" s="460">
        <f t="shared" si="214"/>
        <v>0.05</v>
      </c>
      <c r="N5756" s="464">
        <f t="shared" si="215"/>
        <v>226238</v>
      </c>
    </row>
    <row r="5757" spans="7:14" ht="11.25" customHeight="1" x14ac:dyDescent="0.3">
      <c r="G5757" s="459"/>
      <c r="H5757" s="459">
        <v>5750</v>
      </c>
      <c r="I5757" s="444">
        <f t="shared" ca="1" si="213"/>
        <v>-6902150574163647</v>
      </c>
      <c r="J5757" s="444">
        <f t="array" ref="J5757">IFERROR(INDEX('Retirement Calculator'!J:J,MATCH('Isaac 401k'!N5757,'Retirement Calculator'!A:A,0),0),0)</f>
        <v>0</v>
      </c>
      <c r="K5757" s="444">
        <f t="shared" ca="1" si="211"/>
        <v>-28758960725681.863</v>
      </c>
      <c r="L5757" s="444">
        <f t="shared" ca="1" si="212"/>
        <v>-6930909534889329</v>
      </c>
      <c r="M5757" s="460">
        <f t="shared" si="214"/>
        <v>0.05</v>
      </c>
      <c r="N5757" s="464">
        <f t="shared" si="215"/>
        <v>226268</v>
      </c>
    </row>
    <row r="5758" spans="7:14" ht="11.25" customHeight="1" x14ac:dyDescent="0.3">
      <c r="G5758" s="459"/>
      <c r="H5758" s="459">
        <v>5751</v>
      </c>
      <c r="I5758" s="444">
        <f t="shared" ca="1" si="213"/>
        <v>-6930909534889329</v>
      </c>
      <c r="J5758" s="444">
        <f t="array" ref="J5758">IFERROR(INDEX('Retirement Calculator'!J:J,MATCH('Isaac 401k'!N5758,'Retirement Calculator'!A:A,0),0),0)</f>
        <v>0</v>
      </c>
      <c r="K5758" s="444">
        <f t="shared" ca="1" si="211"/>
        <v>-28878789728705.535</v>
      </c>
      <c r="L5758" s="444">
        <f t="shared" ca="1" si="212"/>
        <v>-6959788324618035</v>
      </c>
      <c r="M5758" s="460">
        <f t="shared" si="214"/>
        <v>0.05</v>
      </c>
      <c r="N5758" s="464">
        <f t="shared" si="215"/>
        <v>226299</v>
      </c>
    </row>
    <row r="5759" spans="7:14" ht="11.25" customHeight="1" x14ac:dyDescent="0.3">
      <c r="G5759" s="459"/>
      <c r="H5759" s="459">
        <v>5752</v>
      </c>
      <c r="I5759" s="444">
        <f t="shared" ca="1" si="213"/>
        <v>-6959788324618035</v>
      </c>
      <c r="J5759" s="444">
        <f t="array" ref="J5759">IFERROR(INDEX('Retirement Calculator'!J:J,MATCH('Isaac 401k'!N5759,'Retirement Calculator'!A:A,0),0),0)</f>
        <v>0</v>
      </c>
      <c r="K5759" s="444">
        <f t="shared" ca="1" si="211"/>
        <v>-28999118019241.813</v>
      </c>
      <c r="L5759" s="444">
        <f t="shared" ca="1" si="212"/>
        <v>-6988787442637277</v>
      </c>
      <c r="M5759" s="460">
        <f t="shared" si="214"/>
        <v>0.05</v>
      </c>
      <c r="N5759" s="464">
        <f t="shared" si="215"/>
        <v>226330</v>
      </c>
    </row>
    <row r="5760" spans="7:14" ht="11.25" customHeight="1" x14ac:dyDescent="0.3">
      <c r="G5760" s="459"/>
      <c r="H5760" s="459">
        <v>5753</v>
      </c>
      <c r="I5760" s="444">
        <f t="shared" ca="1" si="213"/>
        <v>-6988787442637277</v>
      </c>
      <c r="J5760" s="444">
        <f t="array" ref="J5760">IFERROR(INDEX('Retirement Calculator'!J:J,MATCH('Isaac 401k'!N5760,'Retirement Calculator'!A:A,0),0),0)</f>
        <v>0</v>
      </c>
      <c r="K5760" s="444">
        <f t="shared" ca="1" si="211"/>
        <v>-29119947677655.32</v>
      </c>
      <c r="L5760" s="444">
        <f t="shared" ca="1" si="212"/>
        <v>-7017907390314932</v>
      </c>
      <c r="M5760" s="460">
        <f t="shared" si="214"/>
        <v>0.05</v>
      </c>
      <c r="N5760" s="464">
        <f t="shared" si="215"/>
        <v>226360</v>
      </c>
    </row>
    <row r="5761" spans="7:14" ht="11.25" customHeight="1" x14ac:dyDescent="0.3">
      <c r="G5761" s="459"/>
      <c r="H5761" s="459">
        <v>5754</v>
      </c>
      <c r="I5761" s="444">
        <f t="shared" ca="1" si="213"/>
        <v>-7017907390314932</v>
      </c>
      <c r="J5761" s="444">
        <f t="array" ref="J5761">IFERROR(INDEX('Retirement Calculator'!J:J,MATCH('Isaac 401k'!N5761,'Retirement Calculator'!A:A,0),0),0)</f>
        <v>0</v>
      </c>
      <c r="K5761" s="444">
        <f t="shared" ca="1" si="211"/>
        <v>-29241280792978.883</v>
      </c>
      <c r="L5761" s="444">
        <f t="shared" ca="1" si="212"/>
        <v>-7047148671107911</v>
      </c>
      <c r="M5761" s="460">
        <f t="shared" si="214"/>
        <v>0.05</v>
      </c>
      <c r="N5761" s="464">
        <f t="shared" si="215"/>
        <v>226391</v>
      </c>
    </row>
    <row r="5762" spans="7:14" ht="11.25" customHeight="1" x14ac:dyDescent="0.3">
      <c r="G5762" s="459"/>
      <c r="H5762" s="459">
        <v>5755</v>
      </c>
      <c r="I5762" s="444">
        <f t="shared" ca="1" si="213"/>
        <v>-7047148671107911</v>
      </c>
      <c r="J5762" s="444">
        <f t="array" ref="J5762">IFERROR(INDEX('Retirement Calculator'!J:J,MATCH('Isaac 401k'!N5762,'Retirement Calculator'!A:A,0),0),0)</f>
        <v>0</v>
      </c>
      <c r="K5762" s="444">
        <f t="shared" ca="1" si="211"/>
        <v>-29363119462949.629</v>
      </c>
      <c r="L5762" s="444">
        <f t="shared" ca="1" si="212"/>
        <v>-7076511790570861</v>
      </c>
      <c r="M5762" s="460">
        <f t="shared" si="214"/>
        <v>0.05</v>
      </c>
      <c r="N5762" s="464">
        <f t="shared" si="215"/>
        <v>226421</v>
      </c>
    </row>
    <row r="5763" spans="7:14" ht="11.25" customHeight="1" x14ac:dyDescent="0.3">
      <c r="G5763" s="459"/>
      <c r="H5763" s="459">
        <v>5756</v>
      </c>
      <c r="I5763" s="444">
        <f t="shared" ca="1" si="213"/>
        <v>-7076511790570861</v>
      </c>
      <c r="J5763" s="444">
        <f t="array" ref="J5763">IFERROR(INDEX('Retirement Calculator'!J:J,MATCH('Isaac 401k'!N5763,'Retirement Calculator'!A:A,0),0),0)</f>
        <v>0</v>
      </c>
      <c r="K5763" s="444">
        <f t="shared" ca="1" si="211"/>
        <v>-29485465794045.254</v>
      </c>
      <c r="L5763" s="444">
        <f t="shared" ca="1" si="212"/>
        <v>-7105997256364906</v>
      </c>
      <c r="M5763" s="460">
        <f t="shared" si="214"/>
        <v>0.05</v>
      </c>
      <c r="N5763" s="464">
        <f t="shared" si="215"/>
        <v>226452</v>
      </c>
    </row>
    <row r="5764" spans="7:14" ht="11.25" customHeight="1" x14ac:dyDescent="0.3">
      <c r="G5764" s="459"/>
      <c r="H5764" s="459">
        <v>5757</v>
      </c>
      <c r="I5764" s="444">
        <f t="shared" ca="1" si="213"/>
        <v>-7105997256364906</v>
      </c>
      <c r="J5764" s="444">
        <f t="array" ref="J5764">IFERROR(INDEX('Retirement Calculator'!J:J,MATCH('Isaac 401k'!N5764,'Retirement Calculator'!A:A,0),0),0)</f>
        <v>0</v>
      </c>
      <c r="K5764" s="444">
        <f t="shared" ca="1" si="211"/>
        <v>-29608321901520.445</v>
      </c>
      <c r="L5764" s="444">
        <f t="shared" ca="1" si="212"/>
        <v>-7135605578266426</v>
      </c>
      <c r="M5764" s="460">
        <f t="shared" si="214"/>
        <v>0.05</v>
      </c>
      <c r="N5764" s="464">
        <f t="shared" si="215"/>
        <v>226483</v>
      </c>
    </row>
    <row r="5765" spans="7:14" ht="11.25" customHeight="1" x14ac:dyDescent="0.3">
      <c r="G5765" s="459"/>
      <c r="H5765" s="459">
        <v>5758</v>
      </c>
      <c r="I5765" s="444">
        <f t="shared" ca="1" si="213"/>
        <v>-7135605578266426</v>
      </c>
      <c r="J5765" s="444">
        <f t="array" ref="J5765">IFERROR(INDEX('Retirement Calculator'!J:J,MATCH('Isaac 401k'!N5765,'Retirement Calculator'!A:A,0),0),0)</f>
        <v>0</v>
      </c>
      <c r="K5765" s="444">
        <f t="shared" ca="1" si="211"/>
        <v>-29731689909443.438</v>
      </c>
      <c r="L5765" s="444">
        <f t="shared" ca="1" si="212"/>
        <v>-7165337268175869</v>
      </c>
      <c r="M5765" s="460">
        <f t="shared" si="214"/>
        <v>0.05</v>
      </c>
      <c r="N5765" s="464">
        <f t="shared" si="215"/>
        <v>226512</v>
      </c>
    </row>
    <row r="5766" spans="7:14" ht="11.25" customHeight="1" x14ac:dyDescent="0.3">
      <c r="G5766" s="459"/>
      <c r="H5766" s="459">
        <v>5759</v>
      </c>
      <c r="I5766" s="444">
        <f t="shared" ca="1" si="213"/>
        <v>-7165337268175869</v>
      </c>
      <c r="J5766" s="444">
        <f t="array" ref="J5766">IFERROR(INDEX('Retirement Calculator'!J:J,MATCH('Isaac 401k'!N5766,'Retirement Calculator'!A:A,0),0),0)</f>
        <v>0</v>
      </c>
      <c r="K5766" s="444">
        <f t="shared" ca="1" si="211"/>
        <v>-29855571950732.785</v>
      </c>
      <c r="L5766" s="444">
        <f t="shared" ca="1" si="212"/>
        <v>-7195192840126602</v>
      </c>
      <c r="M5766" s="460">
        <f t="shared" si="214"/>
        <v>0.05</v>
      </c>
      <c r="N5766" s="464">
        <f t="shared" si="215"/>
        <v>226543</v>
      </c>
    </row>
    <row r="5767" spans="7:14" ht="11.25" customHeight="1" x14ac:dyDescent="0.3">
      <c r="G5767" s="459"/>
      <c r="H5767" s="459">
        <v>5760</v>
      </c>
      <c r="I5767" s="444">
        <f t="shared" ca="1" si="213"/>
        <v>-7195192840126602</v>
      </c>
      <c r="J5767" s="444">
        <f t="array" ref="J5767">IFERROR(INDEX('Retirement Calculator'!J:J,MATCH('Isaac 401k'!N5767,'Retirement Calculator'!A:A,0),0),0)</f>
        <v>0</v>
      </c>
      <c r="K5767" s="444">
        <f t="shared" ca="1" si="211"/>
        <v>-29979970167194.176</v>
      </c>
      <c r="L5767" s="444">
        <f t="shared" ca="1" si="212"/>
        <v>-7225172810293796</v>
      </c>
      <c r="M5767" s="460">
        <f t="shared" si="214"/>
        <v>0.05</v>
      </c>
      <c r="N5767" s="464">
        <f t="shared" si="215"/>
        <v>226573</v>
      </c>
    </row>
    <row r="5768" spans="7:14" ht="11.25" customHeight="1" x14ac:dyDescent="0.3">
      <c r="G5768" s="459"/>
      <c r="H5768" s="459">
        <v>5761</v>
      </c>
      <c r="I5768" s="444">
        <f t="shared" ca="1" si="213"/>
        <v>-7225172810293796</v>
      </c>
      <c r="J5768" s="444">
        <f t="array" ref="J5768">IFERROR(INDEX('Retirement Calculator'!J:J,MATCH('Isaac 401k'!N5768,'Retirement Calculator'!A:A,0),0),0)</f>
        <v>0</v>
      </c>
      <c r="K5768" s="444">
        <f t="shared" ca="1" si="211"/>
        <v>-30104886709557.484</v>
      </c>
      <c r="L5768" s="444">
        <f t="shared" ca="1" si="212"/>
        <v>-7255277697003353</v>
      </c>
      <c r="M5768" s="460">
        <f t="shared" si="214"/>
        <v>0.05</v>
      </c>
      <c r="N5768" s="464">
        <f t="shared" si="215"/>
        <v>226604</v>
      </c>
    </row>
    <row r="5769" spans="7:14" ht="11.25" customHeight="1" x14ac:dyDescent="0.3">
      <c r="G5769" s="459"/>
      <c r="H5769" s="459">
        <v>5762</v>
      </c>
      <c r="I5769" s="444">
        <f t="shared" ca="1" si="213"/>
        <v>-7255277697003353</v>
      </c>
      <c r="J5769" s="444">
        <f t="array" ref="J5769">IFERROR(INDEX('Retirement Calculator'!J:J,MATCH('Isaac 401k'!N5769,'Retirement Calculator'!A:A,0),0),0)</f>
        <v>0</v>
      </c>
      <c r="K5769" s="444">
        <f t="shared" ca="1" si="211"/>
        <v>-30230323737513.969</v>
      </c>
      <c r="L5769" s="444">
        <f t="shared" ca="1" si="212"/>
        <v>-7285508020740867</v>
      </c>
      <c r="M5769" s="460">
        <f t="shared" si="214"/>
        <v>0.05</v>
      </c>
      <c r="N5769" s="464">
        <f t="shared" si="215"/>
        <v>226634</v>
      </c>
    </row>
    <row r="5770" spans="7:14" ht="11.25" customHeight="1" x14ac:dyDescent="0.3">
      <c r="G5770" s="459"/>
      <c r="H5770" s="459">
        <v>5763</v>
      </c>
      <c r="I5770" s="444">
        <f t="shared" ca="1" si="213"/>
        <v>-7285508020740867</v>
      </c>
      <c r="J5770" s="444">
        <f t="array" ref="J5770">IFERROR(INDEX('Retirement Calculator'!J:J,MATCH('Isaac 401k'!N5770,'Retirement Calculator'!A:A,0),0),0)</f>
        <v>0</v>
      </c>
      <c r="K5770" s="444">
        <f t="shared" ca="1" si="211"/>
        <v>-30356283419753.613</v>
      </c>
      <c r="L5770" s="444">
        <f t="shared" ca="1" si="212"/>
        <v>-7315864304160621</v>
      </c>
      <c r="M5770" s="460">
        <f t="shared" si="214"/>
        <v>0.05</v>
      </c>
      <c r="N5770" s="464">
        <f t="shared" si="215"/>
        <v>226665</v>
      </c>
    </row>
    <row r="5771" spans="7:14" ht="11.25" customHeight="1" x14ac:dyDescent="0.3">
      <c r="G5771" s="459"/>
      <c r="H5771" s="459">
        <v>5764</v>
      </c>
      <c r="I5771" s="444">
        <f t="shared" ca="1" si="213"/>
        <v>-7315864304160621</v>
      </c>
      <c r="J5771" s="444">
        <f t="array" ref="J5771">IFERROR(INDEX('Retirement Calculator'!J:J,MATCH('Isaac 401k'!N5771,'Retirement Calculator'!A:A,0),0),0)</f>
        <v>0</v>
      </c>
      <c r="K5771" s="444">
        <f t="shared" ca="1" si="211"/>
        <v>-30482767934002.582</v>
      </c>
      <c r="L5771" s="444">
        <f t="shared" ca="1" si="212"/>
        <v>-7346347072094624</v>
      </c>
      <c r="M5771" s="460">
        <f t="shared" si="214"/>
        <v>0.05</v>
      </c>
      <c r="N5771" s="464">
        <f t="shared" si="215"/>
        <v>226696</v>
      </c>
    </row>
    <row r="5772" spans="7:14" ht="11.25" customHeight="1" x14ac:dyDescent="0.3">
      <c r="G5772" s="459"/>
      <c r="H5772" s="459">
        <v>5765</v>
      </c>
      <c r="I5772" s="444">
        <f t="shared" ca="1" si="213"/>
        <v>-7346347072094624</v>
      </c>
      <c r="J5772" s="444">
        <f t="array" ref="J5772">IFERROR(INDEX('Retirement Calculator'!J:J,MATCH('Isaac 401k'!N5772,'Retirement Calculator'!A:A,0),0),0)</f>
        <v>0</v>
      </c>
      <c r="K5772" s="444">
        <f t="shared" ca="1" si="211"/>
        <v>-30609779467060.934</v>
      </c>
      <c r="L5772" s="444">
        <f t="shared" ca="1" si="212"/>
        <v>-7376956851561685</v>
      </c>
      <c r="M5772" s="460">
        <f t="shared" si="214"/>
        <v>0.05</v>
      </c>
      <c r="N5772" s="464">
        <f t="shared" si="215"/>
        <v>226726</v>
      </c>
    </row>
    <row r="5773" spans="7:14" ht="11.25" customHeight="1" x14ac:dyDescent="0.3">
      <c r="G5773" s="459"/>
      <c r="H5773" s="459">
        <v>5766</v>
      </c>
      <c r="I5773" s="444">
        <f t="shared" ca="1" si="213"/>
        <v>-7376956851561685</v>
      </c>
      <c r="J5773" s="444">
        <f t="array" ref="J5773">IFERROR(INDEX('Retirement Calculator'!J:J,MATCH('Isaac 401k'!N5773,'Retirement Calculator'!A:A,0),0),0)</f>
        <v>0</v>
      </c>
      <c r="K5773" s="444">
        <f t="shared" ca="1" si="211"/>
        <v>-30737320214840.355</v>
      </c>
      <c r="L5773" s="444">
        <f t="shared" ca="1" si="212"/>
        <v>-7407694171776525</v>
      </c>
      <c r="M5773" s="460">
        <f t="shared" si="214"/>
        <v>0.05</v>
      </c>
      <c r="N5773" s="464">
        <f t="shared" si="215"/>
        <v>226757</v>
      </c>
    </row>
    <row r="5774" spans="7:14" ht="11.25" customHeight="1" x14ac:dyDescent="0.3">
      <c r="G5774" s="459"/>
      <c r="H5774" s="459">
        <v>5767</v>
      </c>
      <c r="I5774" s="444">
        <f t="shared" ca="1" si="213"/>
        <v>-7407694171776525</v>
      </c>
      <c r="J5774" s="444">
        <f t="array" ref="J5774">IFERROR(INDEX('Retirement Calculator'!J:J,MATCH('Isaac 401k'!N5774,'Retirement Calculator'!A:A,0),0),0)</f>
        <v>0</v>
      </c>
      <c r="K5774" s="444">
        <f t="shared" ca="1" si="211"/>
        <v>-30865392382402.188</v>
      </c>
      <c r="L5774" s="444">
        <f t="shared" ca="1" si="212"/>
        <v>-7438559564158927</v>
      </c>
      <c r="M5774" s="460">
        <f t="shared" si="214"/>
        <v>0.05</v>
      </c>
      <c r="N5774" s="464">
        <f t="shared" si="215"/>
        <v>226787</v>
      </c>
    </row>
    <row r="5775" spans="7:14" ht="11.25" customHeight="1" x14ac:dyDescent="0.3">
      <c r="G5775" s="459"/>
      <c r="H5775" s="459">
        <v>5768</v>
      </c>
      <c r="I5775" s="444">
        <f t="shared" ca="1" si="213"/>
        <v>-7438559564158927</v>
      </c>
      <c r="J5775" s="444">
        <f t="array" ref="J5775">IFERROR(INDEX('Retirement Calculator'!J:J,MATCH('Isaac 401k'!N5775,'Retirement Calculator'!A:A,0),0),0)</f>
        <v>0</v>
      </c>
      <c r="K5775" s="444">
        <f t="shared" ca="1" si="211"/>
        <v>-30993998183995.527</v>
      </c>
      <c r="L5775" s="444">
        <f t="shared" ca="1" si="212"/>
        <v>-7469553562342923</v>
      </c>
      <c r="M5775" s="460">
        <f t="shared" si="214"/>
        <v>0.05</v>
      </c>
      <c r="N5775" s="464">
        <f t="shared" si="215"/>
        <v>226818</v>
      </c>
    </row>
    <row r="5776" spans="7:14" ht="11.25" customHeight="1" x14ac:dyDescent="0.3">
      <c r="G5776" s="459"/>
      <c r="H5776" s="459">
        <v>5769</v>
      </c>
      <c r="I5776" s="444">
        <f t="shared" ca="1" si="213"/>
        <v>-7469553562342923</v>
      </c>
      <c r="J5776" s="444">
        <f t="array" ref="J5776">IFERROR(INDEX('Retirement Calculator'!J:J,MATCH('Isaac 401k'!N5776,'Retirement Calculator'!A:A,0),0),0)</f>
        <v>0</v>
      </c>
      <c r="K5776" s="444">
        <f t="shared" ca="1" si="211"/>
        <v>-31123139843095.516</v>
      </c>
      <c r="L5776" s="444">
        <f t="shared" ca="1" si="212"/>
        <v>-7500676702186019</v>
      </c>
      <c r="M5776" s="460">
        <f t="shared" si="214"/>
        <v>0.05</v>
      </c>
      <c r="N5776" s="464">
        <f t="shared" si="215"/>
        <v>226849</v>
      </c>
    </row>
    <row r="5777" spans="7:14" ht="11.25" customHeight="1" x14ac:dyDescent="0.3">
      <c r="G5777" s="459"/>
      <c r="H5777" s="459">
        <v>5770</v>
      </c>
      <c r="I5777" s="444">
        <f t="shared" ca="1" si="213"/>
        <v>-7500676702186019</v>
      </c>
      <c r="J5777" s="444">
        <f t="array" ref="J5777">IFERROR(INDEX('Retirement Calculator'!J:J,MATCH('Isaac 401k'!N5777,'Retirement Calculator'!A:A,0),0),0)</f>
        <v>0</v>
      </c>
      <c r="K5777" s="444">
        <f t="shared" ca="1" si="211"/>
        <v>-31252819592441.746</v>
      </c>
      <c r="L5777" s="444">
        <f t="shared" ca="1" si="212"/>
        <v>-7531929521778461</v>
      </c>
      <c r="M5777" s="460">
        <f t="shared" si="214"/>
        <v>0.05</v>
      </c>
      <c r="N5777" s="464">
        <f t="shared" si="215"/>
        <v>226877</v>
      </c>
    </row>
    <row r="5778" spans="7:14" ht="11.25" customHeight="1" x14ac:dyDescent="0.3">
      <c r="G5778" s="459"/>
      <c r="H5778" s="459">
        <v>5771</v>
      </c>
      <c r="I5778" s="444">
        <f t="shared" ca="1" si="213"/>
        <v>-7531929521778461</v>
      </c>
      <c r="J5778" s="444">
        <f t="array" ref="J5778">IFERROR(INDEX('Retirement Calculator'!J:J,MATCH('Isaac 401k'!N5778,'Retirement Calculator'!A:A,0),0),0)</f>
        <v>0</v>
      </c>
      <c r="K5778" s="444">
        <f t="shared" ca="1" si="211"/>
        <v>-31383039674076.926</v>
      </c>
      <c r="L5778" s="444">
        <f t="shared" ca="1" si="212"/>
        <v>-7563312561452538</v>
      </c>
      <c r="M5778" s="460">
        <f t="shared" si="214"/>
        <v>0.05</v>
      </c>
      <c r="N5778" s="464">
        <f t="shared" si="215"/>
        <v>226908</v>
      </c>
    </row>
    <row r="5779" spans="7:14" ht="11.25" customHeight="1" x14ac:dyDescent="0.3">
      <c r="G5779" s="459"/>
      <c r="H5779" s="459">
        <v>5772</v>
      </c>
      <c r="I5779" s="444">
        <f t="shared" ca="1" si="213"/>
        <v>-7563312561452538</v>
      </c>
      <c r="J5779" s="444">
        <f t="array" ref="J5779">IFERROR(INDEX('Retirement Calculator'!J:J,MATCH('Isaac 401k'!N5779,'Retirement Calculator'!A:A,0),0),0)</f>
        <v>0</v>
      </c>
      <c r="K5779" s="444">
        <f t="shared" ca="1" si="211"/>
        <v>-31513802339385.574</v>
      </c>
      <c r="L5779" s="444">
        <f t="shared" ca="1" si="212"/>
        <v>-7594826363791924</v>
      </c>
      <c r="M5779" s="460">
        <f t="shared" si="214"/>
        <v>0.05</v>
      </c>
      <c r="N5779" s="464">
        <f t="shared" si="215"/>
        <v>226938</v>
      </c>
    </row>
    <row r="5780" spans="7:14" ht="11.25" customHeight="1" x14ac:dyDescent="0.3">
      <c r="G5780" s="459"/>
      <c r="H5780" s="459">
        <v>5773</v>
      </c>
      <c r="I5780" s="444">
        <f t="shared" ca="1" si="213"/>
        <v>-7594826363791924</v>
      </c>
      <c r="J5780" s="444">
        <f t="array" ref="J5780">IFERROR(INDEX('Retirement Calculator'!J:J,MATCH('Isaac 401k'!N5780,'Retirement Calculator'!A:A,0),0),0)</f>
        <v>0</v>
      </c>
      <c r="K5780" s="444">
        <f t="shared" ca="1" si="211"/>
        <v>-31645109849133.016</v>
      </c>
      <c r="L5780" s="444">
        <f t="shared" ca="1" si="212"/>
        <v>-7626471473641057</v>
      </c>
      <c r="M5780" s="460">
        <f t="shared" si="214"/>
        <v>0.05</v>
      </c>
      <c r="N5780" s="464">
        <f t="shared" si="215"/>
        <v>226969</v>
      </c>
    </row>
    <row r="5781" spans="7:14" ht="11.25" customHeight="1" x14ac:dyDescent="0.3">
      <c r="G5781" s="459"/>
      <c r="H5781" s="459">
        <v>5774</v>
      </c>
      <c r="I5781" s="444">
        <f t="shared" ca="1" si="213"/>
        <v>-7626471473641057</v>
      </c>
      <c r="J5781" s="444">
        <f t="array" ref="J5781">IFERROR(INDEX('Retirement Calculator'!J:J,MATCH('Isaac 401k'!N5781,'Retirement Calculator'!A:A,0),0),0)</f>
        <v>0</v>
      </c>
      <c r="K5781" s="444">
        <f t="shared" ca="1" si="211"/>
        <v>-31776964473504.398</v>
      </c>
      <c r="L5781" s="444">
        <f t="shared" ca="1" si="212"/>
        <v>-7658248438114561</v>
      </c>
      <c r="M5781" s="460">
        <f t="shared" si="214"/>
        <v>0.05</v>
      </c>
      <c r="N5781" s="464">
        <f t="shared" si="215"/>
        <v>226999</v>
      </c>
    </row>
    <row r="5782" spans="7:14" ht="11.25" customHeight="1" x14ac:dyDescent="0.3">
      <c r="G5782" s="459"/>
      <c r="H5782" s="459">
        <v>5775</v>
      </c>
      <c r="I5782" s="444">
        <f t="shared" ca="1" si="213"/>
        <v>-7658248438114561</v>
      </c>
      <c r="J5782" s="444">
        <f t="array" ref="J5782">IFERROR(INDEX('Retirement Calculator'!J:J,MATCH('Isaac 401k'!N5782,'Retirement Calculator'!A:A,0),0),0)</f>
        <v>0</v>
      </c>
      <c r="K5782" s="444">
        <f t="shared" ca="1" si="211"/>
        <v>-31909368492144</v>
      </c>
      <c r="L5782" s="444">
        <f t="shared" ca="1" si="212"/>
        <v>-7690157806606705</v>
      </c>
      <c r="M5782" s="460">
        <f t="shared" si="214"/>
        <v>0.05</v>
      </c>
      <c r="N5782" s="464">
        <f t="shared" si="215"/>
        <v>227030</v>
      </c>
    </row>
    <row r="5783" spans="7:14" ht="11.25" customHeight="1" x14ac:dyDescent="0.3">
      <c r="G5783" s="459"/>
      <c r="H5783" s="459">
        <v>5776</v>
      </c>
      <c r="I5783" s="444">
        <f t="shared" ca="1" si="213"/>
        <v>-7690157806606705</v>
      </c>
      <c r="J5783" s="444">
        <f t="array" ref="J5783">IFERROR(INDEX('Retirement Calculator'!J:J,MATCH('Isaac 401k'!N5783,'Retirement Calculator'!A:A,0),0),0)</f>
        <v>0</v>
      </c>
      <c r="K5783" s="444">
        <f t="shared" ca="1" si="211"/>
        <v>-32042324194194.609</v>
      </c>
      <c r="L5783" s="444">
        <f t="shared" ca="1" si="212"/>
        <v>-7722200130800900</v>
      </c>
      <c r="M5783" s="460">
        <f t="shared" si="214"/>
        <v>0.05</v>
      </c>
      <c r="N5783" s="464">
        <f t="shared" si="215"/>
        <v>227061</v>
      </c>
    </row>
    <row r="5784" spans="7:14" ht="11.25" customHeight="1" x14ac:dyDescent="0.3">
      <c r="G5784" s="459"/>
      <c r="H5784" s="459">
        <v>5777</v>
      </c>
      <c r="I5784" s="444">
        <f t="shared" ca="1" si="213"/>
        <v>-7722200130800900</v>
      </c>
      <c r="J5784" s="444">
        <f t="array" ref="J5784">IFERROR(INDEX('Retirement Calculator'!J:J,MATCH('Isaac 401k'!N5784,'Retirement Calculator'!A:A,0),0),0)</f>
        <v>0</v>
      </c>
      <c r="K5784" s="444">
        <f t="shared" ca="1" si="211"/>
        <v>-32175833878337.082</v>
      </c>
      <c r="L5784" s="444">
        <f t="shared" ca="1" si="212"/>
        <v>-7754375964679237</v>
      </c>
      <c r="M5784" s="460">
        <f t="shared" si="214"/>
        <v>0.05</v>
      </c>
      <c r="N5784" s="464">
        <f t="shared" si="215"/>
        <v>227091</v>
      </c>
    </row>
    <row r="5785" spans="7:14" ht="11.25" customHeight="1" x14ac:dyDescent="0.3">
      <c r="G5785" s="459"/>
      <c r="H5785" s="459">
        <v>5778</v>
      </c>
      <c r="I5785" s="444">
        <f t="shared" ca="1" si="213"/>
        <v>-7754375964679237</v>
      </c>
      <c r="J5785" s="444">
        <f t="array" ref="J5785">IFERROR(INDEX('Retirement Calculator'!J:J,MATCH('Isaac 401k'!N5785,'Retirement Calculator'!A:A,0),0),0)</f>
        <v>0</v>
      </c>
      <c r="K5785" s="444">
        <f t="shared" ca="1" si="211"/>
        <v>-32309899852830.156</v>
      </c>
      <c r="L5785" s="444">
        <f t="shared" ca="1" si="212"/>
        <v>-7786685864532067</v>
      </c>
      <c r="M5785" s="460">
        <f t="shared" si="214"/>
        <v>0.05</v>
      </c>
      <c r="N5785" s="464">
        <f t="shared" si="215"/>
        <v>227122</v>
      </c>
    </row>
    <row r="5786" spans="7:14" ht="11.25" customHeight="1" x14ac:dyDescent="0.3">
      <c r="G5786" s="459"/>
      <c r="H5786" s="459">
        <v>5779</v>
      </c>
      <c r="I5786" s="444">
        <f t="shared" ca="1" si="213"/>
        <v>-7786685864532067</v>
      </c>
      <c r="J5786" s="444">
        <f t="array" ref="J5786">IFERROR(INDEX('Retirement Calculator'!J:J,MATCH('Isaac 401k'!N5786,'Retirement Calculator'!A:A,0),0),0)</f>
        <v>0</v>
      </c>
      <c r="K5786" s="444">
        <f t="shared" ca="1" si="211"/>
        <v>-32444524435550.277</v>
      </c>
      <c r="L5786" s="444">
        <f t="shared" ca="1" si="212"/>
        <v>-7819130388967617</v>
      </c>
      <c r="M5786" s="460">
        <f t="shared" si="214"/>
        <v>0.05</v>
      </c>
      <c r="N5786" s="464">
        <f t="shared" si="215"/>
        <v>227152</v>
      </c>
    </row>
    <row r="5787" spans="7:14" ht="11.25" customHeight="1" x14ac:dyDescent="0.3">
      <c r="G5787" s="459"/>
      <c r="H5787" s="459">
        <v>5780</v>
      </c>
      <c r="I5787" s="444">
        <f t="shared" ca="1" si="213"/>
        <v>-7819130388967617</v>
      </c>
      <c r="J5787" s="444">
        <f t="array" ref="J5787">IFERROR(INDEX('Retirement Calculator'!J:J,MATCH('Isaac 401k'!N5787,'Retirement Calculator'!A:A,0),0),0)</f>
        <v>0</v>
      </c>
      <c r="K5787" s="444">
        <f t="shared" ca="1" si="211"/>
        <v>-32579709954031.738</v>
      </c>
      <c r="L5787" s="444">
        <f t="shared" ca="1" si="212"/>
        <v>-7851710098921649</v>
      </c>
      <c r="M5787" s="460">
        <f t="shared" si="214"/>
        <v>0.05</v>
      </c>
      <c r="N5787" s="464">
        <f t="shared" si="215"/>
        <v>227183</v>
      </c>
    </row>
    <row r="5788" spans="7:14" ht="11.25" customHeight="1" x14ac:dyDescent="0.3">
      <c r="G5788" s="459"/>
      <c r="H5788" s="459">
        <v>5781</v>
      </c>
      <c r="I5788" s="444">
        <f t="shared" ca="1" si="213"/>
        <v>-7851710098921649</v>
      </c>
      <c r="J5788" s="444">
        <f t="array" ref="J5788">IFERROR(INDEX('Retirement Calculator'!J:J,MATCH('Isaac 401k'!N5788,'Retirement Calculator'!A:A,0),0),0)</f>
        <v>0</v>
      </c>
      <c r="K5788" s="444">
        <f t="shared" ca="1" si="211"/>
        <v>-32715458745506.871</v>
      </c>
      <c r="L5788" s="444">
        <f t="shared" ca="1" si="212"/>
        <v>-7884425557667156</v>
      </c>
      <c r="M5788" s="460">
        <f t="shared" si="214"/>
        <v>0.05</v>
      </c>
      <c r="N5788" s="464">
        <f t="shared" si="215"/>
        <v>227214</v>
      </c>
    </row>
    <row r="5789" spans="7:14" ht="11.25" customHeight="1" x14ac:dyDescent="0.3">
      <c r="G5789" s="459"/>
      <c r="H5789" s="459">
        <v>5782</v>
      </c>
      <c r="I5789" s="444">
        <f t="shared" ca="1" si="213"/>
        <v>-7884425557667156</v>
      </c>
      <c r="J5789" s="444">
        <f t="array" ref="J5789">IFERROR(INDEX('Retirement Calculator'!J:J,MATCH('Isaac 401k'!N5789,'Retirement Calculator'!A:A,0),0),0)</f>
        <v>0</v>
      </c>
      <c r="K5789" s="444">
        <f t="shared" ca="1" si="211"/>
        <v>-32851773156946.484</v>
      </c>
      <c r="L5789" s="444">
        <f t="shared" ca="1" si="212"/>
        <v>-7917277330824102</v>
      </c>
      <c r="M5789" s="460">
        <f t="shared" si="214"/>
        <v>0.05</v>
      </c>
      <c r="N5789" s="464">
        <f t="shared" si="215"/>
        <v>227242</v>
      </c>
    </row>
    <row r="5790" spans="7:14" ht="11.25" customHeight="1" x14ac:dyDescent="0.3">
      <c r="G5790" s="459"/>
      <c r="H5790" s="459">
        <v>5783</v>
      </c>
      <c r="I5790" s="444">
        <f t="shared" ca="1" si="213"/>
        <v>-7917277330824102</v>
      </c>
      <c r="J5790" s="444">
        <f t="array" ref="J5790">IFERROR(INDEX('Retirement Calculator'!J:J,MATCH('Isaac 401k'!N5790,'Retirement Calculator'!A:A,0),0),0)</f>
        <v>0</v>
      </c>
      <c r="K5790" s="444">
        <f t="shared" ca="1" si="211"/>
        <v>-32988655545100.43</v>
      </c>
      <c r="L5790" s="444">
        <f t="shared" ca="1" si="212"/>
        <v>-7950265986369202</v>
      </c>
      <c r="M5790" s="460">
        <f t="shared" si="214"/>
        <v>0.05</v>
      </c>
      <c r="N5790" s="464">
        <f t="shared" si="215"/>
        <v>227273</v>
      </c>
    </row>
    <row r="5791" spans="7:14" ht="11.25" customHeight="1" x14ac:dyDescent="0.3">
      <c r="G5791" s="459"/>
      <c r="H5791" s="459">
        <v>5784</v>
      </c>
      <c r="I5791" s="444">
        <f t="shared" ca="1" si="213"/>
        <v>-7950265986369202</v>
      </c>
      <c r="J5791" s="444">
        <f t="array" ref="J5791">IFERROR(INDEX('Retirement Calculator'!J:J,MATCH('Isaac 401k'!N5791,'Retirement Calculator'!A:A,0),0),0)</f>
        <v>0</v>
      </c>
      <c r="K5791" s="444">
        <f t="shared" ca="1" si="211"/>
        <v>-33126108276538.336</v>
      </c>
      <c r="L5791" s="444">
        <f t="shared" ca="1" si="212"/>
        <v>-7983392094645740</v>
      </c>
      <c r="M5791" s="460">
        <f t="shared" si="214"/>
        <v>0.05</v>
      </c>
      <c r="N5791" s="464">
        <f t="shared" si="215"/>
        <v>227303</v>
      </c>
    </row>
    <row r="5792" spans="7:14" ht="11.25" customHeight="1" x14ac:dyDescent="0.3">
      <c r="G5792" s="459"/>
      <c r="H5792" s="459">
        <v>5785</v>
      </c>
      <c r="I5792" s="444">
        <f t="shared" ca="1" si="213"/>
        <v>-7983392094645740</v>
      </c>
      <c r="J5792" s="444">
        <f t="array" ref="J5792">IFERROR(INDEX('Retirement Calculator'!J:J,MATCH('Isaac 401k'!N5792,'Retirement Calculator'!A:A,0),0),0)</f>
        <v>0</v>
      </c>
      <c r="K5792" s="444">
        <f t="shared" ca="1" si="211"/>
        <v>-33264133727690.582</v>
      </c>
      <c r="L5792" s="444">
        <f t="shared" ca="1" si="212"/>
        <v>-8016656228373431</v>
      </c>
      <c r="M5792" s="460">
        <f t="shared" si="214"/>
        <v>0.05</v>
      </c>
      <c r="N5792" s="464">
        <f t="shared" si="215"/>
        <v>227334</v>
      </c>
    </row>
    <row r="5793" spans="7:14" ht="11.25" customHeight="1" x14ac:dyDescent="0.3">
      <c r="G5793" s="459"/>
      <c r="H5793" s="459">
        <v>5786</v>
      </c>
      <c r="I5793" s="444">
        <f t="shared" ca="1" si="213"/>
        <v>-8016656228373431</v>
      </c>
      <c r="J5793" s="444">
        <f t="array" ref="J5793">IFERROR(INDEX('Retirement Calculator'!J:J,MATCH('Isaac 401k'!N5793,'Retirement Calculator'!A:A,0),0),0)</f>
        <v>0</v>
      </c>
      <c r="K5793" s="444">
        <f t="shared" ca="1" si="211"/>
        <v>-33402734284889.301</v>
      </c>
      <c r="L5793" s="444">
        <f t="shared" ca="1" si="212"/>
        <v>-8050058962658320</v>
      </c>
      <c r="M5793" s="460">
        <f t="shared" si="214"/>
        <v>0.05</v>
      </c>
      <c r="N5793" s="464">
        <f t="shared" si="215"/>
        <v>227364</v>
      </c>
    </row>
    <row r="5794" spans="7:14" ht="11.25" customHeight="1" x14ac:dyDescent="0.3">
      <c r="G5794" s="459"/>
      <c r="H5794" s="459">
        <v>5787</v>
      </c>
      <c r="I5794" s="444">
        <f t="shared" ca="1" si="213"/>
        <v>-8050058962658320</v>
      </c>
      <c r="J5794" s="444">
        <f t="array" ref="J5794">IFERROR(INDEX('Retirement Calculator'!J:J,MATCH('Isaac 401k'!N5794,'Retirement Calculator'!A:A,0),0),0)</f>
        <v>0</v>
      </c>
      <c r="K5794" s="444">
        <f t="shared" ca="1" si="211"/>
        <v>-33541912344409.66</v>
      </c>
      <c r="L5794" s="444">
        <f t="shared" ca="1" si="212"/>
        <v>-8083600875002730</v>
      </c>
      <c r="M5794" s="460">
        <f t="shared" si="214"/>
        <v>0.05</v>
      </c>
      <c r="N5794" s="464">
        <f t="shared" si="215"/>
        <v>227395</v>
      </c>
    </row>
    <row r="5795" spans="7:14" ht="11.25" customHeight="1" x14ac:dyDescent="0.3">
      <c r="G5795" s="459"/>
      <c r="H5795" s="459">
        <v>5788</v>
      </c>
      <c r="I5795" s="444">
        <f t="shared" ca="1" si="213"/>
        <v>-8083600875002730</v>
      </c>
      <c r="J5795" s="444">
        <f t="array" ref="J5795">IFERROR(INDEX('Retirement Calculator'!J:J,MATCH('Isaac 401k'!N5795,'Retirement Calculator'!A:A,0),0),0)</f>
        <v>0</v>
      </c>
      <c r="K5795" s="444">
        <f t="shared" ca="1" si="211"/>
        <v>-33681670312511.375</v>
      </c>
      <c r="L5795" s="444">
        <f t="shared" ca="1" si="212"/>
        <v>-8117282545315241</v>
      </c>
      <c r="M5795" s="460">
        <f t="shared" si="214"/>
        <v>0.05</v>
      </c>
      <c r="N5795" s="464">
        <f t="shared" si="215"/>
        <v>227426</v>
      </c>
    </row>
    <row r="5796" spans="7:14" ht="11.25" customHeight="1" x14ac:dyDescent="0.3">
      <c r="G5796" s="459"/>
      <c r="H5796" s="459">
        <v>5789</v>
      </c>
      <c r="I5796" s="444">
        <f t="shared" ca="1" si="213"/>
        <v>-8117282545315241</v>
      </c>
      <c r="J5796" s="444">
        <f t="array" ref="J5796">IFERROR(INDEX('Retirement Calculator'!J:J,MATCH('Isaac 401k'!N5796,'Retirement Calculator'!A:A,0),0),0)</f>
        <v>0</v>
      </c>
      <c r="K5796" s="444">
        <f t="shared" ca="1" si="211"/>
        <v>-33822010605480.176</v>
      </c>
      <c r="L5796" s="444">
        <f t="shared" ca="1" si="212"/>
        <v>-8151104555920721</v>
      </c>
      <c r="M5796" s="460">
        <f t="shared" si="214"/>
        <v>0.05</v>
      </c>
      <c r="N5796" s="464">
        <f t="shared" si="215"/>
        <v>227456</v>
      </c>
    </row>
    <row r="5797" spans="7:14" ht="11.25" customHeight="1" x14ac:dyDescent="0.3">
      <c r="G5797" s="459"/>
      <c r="H5797" s="459">
        <v>5790</v>
      </c>
      <c r="I5797" s="444">
        <f t="shared" ca="1" si="213"/>
        <v>-8151104555920721</v>
      </c>
      <c r="J5797" s="444">
        <f t="array" ref="J5797">IFERROR(INDEX('Retirement Calculator'!J:J,MATCH('Isaac 401k'!N5797,'Retirement Calculator'!A:A,0),0),0)</f>
        <v>0</v>
      </c>
      <c r="K5797" s="444">
        <f t="shared" ca="1" si="211"/>
        <v>-33962935649669.672</v>
      </c>
      <c r="L5797" s="444">
        <f t="shared" ca="1" si="212"/>
        <v>-8185067491570391</v>
      </c>
      <c r="M5797" s="460">
        <f t="shared" si="214"/>
        <v>0.05</v>
      </c>
      <c r="N5797" s="464">
        <f t="shared" si="215"/>
        <v>227487</v>
      </c>
    </row>
    <row r="5798" spans="7:14" ht="11.25" customHeight="1" x14ac:dyDescent="0.3">
      <c r="G5798" s="459"/>
      <c r="H5798" s="459">
        <v>5791</v>
      </c>
      <c r="I5798" s="444">
        <f t="shared" ca="1" si="213"/>
        <v>-8185067491570391</v>
      </c>
      <c r="J5798" s="444">
        <f t="array" ref="J5798">IFERROR(INDEX('Retirement Calculator'!J:J,MATCH('Isaac 401k'!N5798,'Retirement Calculator'!A:A,0),0),0)</f>
        <v>0</v>
      </c>
      <c r="K5798" s="444">
        <f t="shared" ca="1" si="211"/>
        <v>-34104447881543.293</v>
      </c>
      <c r="L5798" s="444">
        <f t="shared" ca="1" si="212"/>
        <v>-8219171939451934</v>
      </c>
      <c r="M5798" s="460">
        <f t="shared" si="214"/>
        <v>0.05</v>
      </c>
      <c r="N5798" s="464">
        <f t="shared" si="215"/>
        <v>227517</v>
      </c>
    </row>
    <row r="5799" spans="7:14" ht="11.25" customHeight="1" x14ac:dyDescent="0.3">
      <c r="G5799" s="459"/>
      <c r="H5799" s="459">
        <v>5792</v>
      </c>
      <c r="I5799" s="444">
        <f t="shared" ca="1" si="213"/>
        <v>-8219171939451934</v>
      </c>
      <c r="J5799" s="444">
        <f t="array" ref="J5799">IFERROR(INDEX('Retirement Calculator'!J:J,MATCH('Isaac 401k'!N5799,'Retirement Calculator'!A:A,0),0),0)</f>
        <v>0</v>
      </c>
      <c r="K5799" s="444">
        <f t="shared" ca="1" si="211"/>
        <v>-34246549747716.391</v>
      </c>
      <c r="L5799" s="444">
        <f t="shared" ca="1" si="212"/>
        <v>-8253418489199650</v>
      </c>
      <c r="M5799" s="460">
        <f t="shared" si="214"/>
        <v>0.05</v>
      </c>
      <c r="N5799" s="464">
        <f t="shared" si="215"/>
        <v>227548</v>
      </c>
    </row>
    <row r="5800" spans="7:14" ht="11.25" customHeight="1" x14ac:dyDescent="0.3">
      <c r="G5800" s="459"/>
      <c r="H5800" s="459">
        <v>5793</v>
      </c>
      <c r="I5800" s="444">
        <f t="shared" ca="1" si="213"/>
        <v>-8253418489199650</v>
      </c>
      <c r="J5800" s="444">
        <f t="array" ref="J5800">IFERROR(INDEX('Retirement Calculator'!J:J,MATCH('Isaac 401k'!N5800,'Retirement Calculator'!A:A,0),0),0)</f>
        <v>0</v>
      </c>
      <c r="K5800" s="444">
        <f t="shared" ca="1" si="211"/>
        <v>-34389243704998.543</v>
      </c>
      <c r="L5800" s="444">
        <f t="shared" ca="1" si="212"/>
        <v>-8287807732904649</v>
      </c>
      <c r="M5800" s="460">
        <f t="shared" si="214"/>
        <v>0.05</v>
      </c>
      <c r="N5800" s="464">
        <f t="shared" si="215"/>
        <v>227579</v>
      </c>
    </row>
    <row r="5801" spans="7:14" ht="11.25" customHeight="1" x14ac:dyDescent="0.3">
      <c r="G5801" s="459"/>
      <c r="H5801" s="459">
        <v>5794</v>
      </c>
      <c r="I5801" s="444">
        <f t="shared" ca="1" si="213"/>
        <v>-8287807732904649</v>
      </c>
      <c r="J5801" s="444">
        <f t="array" ref="J5801">IFERROR(INDEX('Retirement Calculator'!J:J,MATCH('Isaac 401k'!N5801,'Retirement Calculator'!A:A,0),0),0)</f>
        <v>0</v>
      </c>
      <c r="K5801" s="444">
        <f t="shared" ca="1" si="211"/>
        <v>-34532532220436.031</v>
      </c>
      <c r="L5801" s="444">
        <f t="shared" ca="1" si="212"/>
        <v>-8322340265125085</v>
      </c>
      <c r="M5801" s="460">
        <f t="shared" si="214"/>
        <v>0.05</v>
      </c>
      <c r="N5801" s="464">
        <f t="shared" si="215"/>
        <v>227607</v>
      </c>
    </row>
    <row r="5802" spans="7:14" ht="11.25" customHeight="1" x14ac:dyDescent="0.3">
      <c r="G5802" s="459"/>
      <c r="H5802" s="459">
        <v>5795</v>
      </c>
      <c r="I5802" s="444">
        <f t="shared" ca="1" si="213"/>
        <v>-8322340265125085</v>
      </c>
      <c r="J5802" s="444">
        <f t="array" ref="J5802">IFERROR(INDEX('Retirement Calculator'!J:J,MATCH('Isaac 401k'!N5802,'Retirement Calculator'!A:A,0),0),0)</f>
        <v>0</v>
      </c>
      <c r="K5802" s="444">
        <f t="shared" ca="1" si="211"/>
        <v>-34676417771354.52</v>
      </c>
      <c r="L5802" s="444">
        <f t="shared" ca="1" si="212"/>
        <v>-8357016682896440</v>
      </c>
      <c r="M5802" s="460">
        <f t="shared" si="214"/>
        <v>0.05</v>
      </c>
      <c r="N5802" s="464">
        <f t="shared" si="215"/>
        <v>227638</v>
      </c>
    </row>
    <row r="5803" spans="7:14" ht="11.25" customHeight="1" x14ac:dyDescent="0.3">
      <c r="G5803" s="459"/>
      <c r="H5803" s="459">
        <v>5796</v>
      </c>
      <c r="I5803" s="444">
        <f t="shared" ca="1" si="213"/>
        <v>-8357016682896440</v>
      </c>
      <c r="J5803" s="444">
        <f t="array" ref="J5803">IFERROR(INDEX('Retirement Calculator'!J:J,MATCH('Isaac 401k'!N5803,'Retirement Calculator'!A:A,0),0),0)</f>
        <v>0</v>
      </c>
      <c r="K5803" s="444">
        <f t="shared" ca="1" si="211"/>
        <v>-34820902845401.832</v>
      </c>
      <c r="L5803" s="444">
        <f t="shared" ca="1" si="212"/>
        <v>-8391837585741842</v>
      </c>
      <c r="M5803" s="460">
        <f t="shared" si="214"/>
        <v>0.05</v>
      </c>
      <c r="N5803" s="464">
        <f t="shared" si="215"/>
        <v>227668</v>
      </c>
    </row>
    <row r="5804" spans="7:14" ht="11.25" customHeight="1" x14ac:dyDescent="0.3">
      <c r="G5804" s="459"/>
      <c r="H5804" s="459">
        <v>5797</v>
      </c>
      <c r="I5804" s="444">
        <f t="shared" ca="1" si="213"/>
        <v>-8391837585741842</v>
      </c>
      <c r="J5804" s="444">
        <f t="array" ref="J5804">IFERROR(INDEX('Retirement Calculator'!J:J,MATCH('Isaac 401k'!N5804,'Retirement Calculator'!A:A,0),0),0)</f>
        <v>0</v>
      </c>
      <c r="K5804" s="444">
        <f t="shared" ca="1" si="211"/>
        <v>-34965989940591.008</v>
      </c>
      <c r="L5804" s="444">
        <f t="shared" ca="1" si="212"/>
        <v>-8426803575682433</v>
      </c>
      <c r="M5804" s="460">
        <f t="shared" si="214"/>
        <v>0.05</v>
      </c>
      <c r="N5804" s="464">
        <f t="shared" si="215"/>
        <v>227699</v>
      </c>
    </row>
    <row r="5805" spans="7:14" ht="11.25" customHeight="1" x14ac:dyDescent="0.3">
      <c r="G5805" s="459"/>
      <c r="H5805" s="459">
        <v>5798</v>
      </c>
      <c r="I5805" s="444">
        <f t="shared" ca="1" si="213"/>
        <v>-8426803575682433</v>
      </c>
      <c r="J5805" s="444">
        <f t="array" ref="J5805">IFERROR(INDEX('Retirement Calculator'!J:J,MATCH('Isaac 401k'!N5805,'Retirement Calculator'!A:A,0),0),0)</f>
        <v>0</v>
      </c>
      <c r="K5805" s="444">
        <f t="shared" ca="1" si="211"/>
        <v>-35111681565343.469</v>
      </c>
      <c r="L5805" s="444">
        <f t="shared" ca="1" si="212"/>
        <v>-8461915257247776</v>
      </c>
      <c r="M5805" s="460">
        <f t="shared" si="214"/>
        <v>0.05</v>
      </c>
      <c r="N5805" s="464">
        <f t="shared" si="215"/>
        <v>227729</v>
      </c>
    </row>
    <row r="5806" spans="7:14" ht="11.25" customHeight="1" x14ac:dyDescent="0.3">
      <c r="G5806" s="459"/>
      <c r="H5806" s="459">
        <v>5799</v>
      </c>
      <c r="I5806" s="444">
        <f t="shared" ca="1" si="213"/>
        <v>-8461915257247776</v>
      </c>
      <c r="J5806" s="444">
        <f t="array" ref="J5806">IFERROR(INDEX('Retirement Calculator'!J:J,MATCH('Isaac 401k'!N5806,'Retirement Calculator'!A:A,0),0),0)</f>
        <v>0</v>
      </c>
      <c r="K5806" s="444">
        <f t="shared" ca="1" si="211"/>
        <v>-35257980238532.398</v>
      </c>
      <c r="L5806" s="444">
        <f t="shared" ca="1" si="212"/>
        <v>-8497173237486308</v>
      </c>
      <c r="M5806" s="460">
        <f t="shared" si="214"/>
        <v>0.05</v>
      </c>
      <c r="N5806" s="464">
        <f t="shared" si="215"/>
        <v>227760</v>
      </c>
    </row>
    <row r="5807" spans="7:14" ht="11.25" customHeight="1" x14ac:dyDescent="0.3">
      <c r="G5807" s="459"/>
      <c r="H5807" s="459">
        <v>5800</v>
      </c>
      <c r="I5807" s="444">
        <f t="shared" ca="1" si="213"/>
        <v>-8497173237486308</v>
      </c>
      <c r="J5807" s="444">
        <f t="array" ref="J5807">IFERROR(INDEX('Retirement Calculator'!J:J,MATCH('Isaac 401k'!N5807,'Retirement Calculator'!A:A,0),0),0)</f>
        <v>0</v>
      </c>
      <c r="K5807" s="444">
        <f t="shared" ca="1" si="211"/>
        <v>-35404888489526.281</v>
      </c>
      <c r="L5807" s="444">
        <f t="shared" ca="1" si="212"/>
        <v>-8532578125975834</v>
      </c>
      <c r="M5807" s="460">
        <f t="shared" si="214"/>
        <v>0.05</v>
      </c>
      <c r="N5807" s="464">
        <f t="shared" si="215"/>
        <v>227791</v>
      </c>
    </row>
    <row r="5808" spans="7:14" ht="11.25" customHeight="1" x14ac:dyDescent="0.3">
      <c r="G5808" s="459"/>
      <c r="H5808" s="459">
        <v>5801</v>
      </c>
      <c r="I5808" s="444">
        <f t="shared" ca="1" si="213"/>
        <v>-8532578125975834</v>
      </c>
      <c r="J5808" s="444">
        <f t="array" ref="J5808">IFERROR(INDEX('Retirement Calculator'!J:J,MATCH('Isaac 401k'!N5808,'Retirement Calculator'!A:A,0),0),0)</f>
        <v>0</v>
      </c>
      <c r="K5808" s="444">
        <f t="shared" ca="1" si="211"/>
        <v>-35552408858232.641</v>
      </c>
      <c r="L5808" s="444">
        <f t="shared" ca="1" si="212"/>
        <v>-8568130534834067</v>
      </c>
      <c r="M5808" s="460">
        <f t="shared" si="214"/>
        <v>0.05</v>
      </c>
      <c r="N5808" s="464">
        <f t="shared" si="215"/>
        <v>227821</v>
      </c>
    </row>
    <row r="5809" spans="7:14" ht="11.25" customHeight="1" x14ac:dyDescent="0.3">
      <c r="G5809" s="459"/>
      <c r="H5809" s="459">
        <v>5802</v>
      </c>
      <c r="I5809" s="444">
        <f t="shared" ca="1" si="213"/>
        <v>-8568130534834067</v>
      </c>
      <c r="J5809" s="444">
        <f t="array" ref="J5809">IFERROR(INDEX('Retirement Calculator'!J:J,MATCH('Isaac 401k'!N5809,'Retirement Calculator'!A:A,0),0),0)</f>
        <v>0</v>
      </c>
      <c r="K5809" s="444">
        <f t="shared" ca="1" si="211"/>
        <v>-35700543895141.945</v>
      </c>
      <c r="L5809" s="444">
        <f t="shared" ca="1" si="212"/>
        <v>-8603831078729209</v>
      </c>
      <c r="M5809" s="460">
        <f t="shared" si="214"/>
        <v>0.05</v>
      </c>
      <c r="N5809" s="464">
        <f t="shared" si="215"/>
        <v>227852</v>
      </c>
    </row>
    <row r="5810" spans="7:14" ht="11.25" customHeight="1" x14ac:dyDescent="0.3">
      <c r="G5810" s="459"/>
      <c r="H5810" s="459">
        <v>5803</v>
      </c>
      <c r="I5810" s="444">
        <f t="shared" ca="1" si="213"/>
        <v>-8603831078729209</v>
      </c>
      <c r="J5810" s="444">
        <f t="array" ref="J5810">IFERROR(INDEX('Retirement Calculator'!J:J,MATCH('Isaac 401k'!N5810,'Retirement Calculator'!A:A,0),0),0)</f>
        <v>0</v>
      </c>
      <c r="K5810" s="444">
        <f t="shared" ca="1" si="211"/>
        <v>-35849296161371.703</v>
      </c>
      <c r="L5810" s="444">
        <f t="shared" ca="1" si="212"/>
        <v>-8639680374890581</v>
      </c>
      <c r="M5810" s="460">
        <f t="shared" si="214"/>
        <v>0.05</v>
      </c>
      <c r="N5810" s="464">
        <f t="shared" si="215"/>
        <v>227882</v>
      </c>
    </row>
    <row r="5811" spans="7:14" ht="11.25" customHeight="1" x14ac:dyDescent="0.3">
      <c r="G5811" s="459"/>
      <c r="H5811" s="459">
        <v>5804</v>
      </c>
      <c r="I5811" s="444">
        <f t="shared" ca="1" si="213"/>
        <v>-8639680374890581</v>
      </c>
      <c r="J5811" s="444">
        <f t="array" ref="J5811">IFERROR(INDEX('Retirement Calculator'!J:J,MATCH('Isaac 401k'!N5811,'Retirement Calculator'!A:A,0),0),0)</f>
        <v>0</v>
      </c>
      <c r="K5811" s="444">
        <f t="shared" ca="1" si="211"/>
        <v>-35998668228710.75</v>
      </c>
      <c r="L5811" s="444">
        <f t="shared" ca="1" si="212"/>
        <v>-8675679043119292</v>
      </c>
      <c r="M5811" s="460">
        <f t="shared" si="214"/>
        <v>0.05</v>
      </c>
      <c r="N5811" s="464">
        <f t="shared" si="215"/>
        <v>227913</v>
      </c>
    </row>
    <row r="5812" spans="7:14" ht="11.25" customHeight="1" x14ac:dyDescent="0.3">
      <c r="G5812" s="459"/>
      <c r="H5812" s="459">
        <v>5805</v>
      </c>
      <c r="I5812" s="444">
        <f t="shared" ca="1" si="213"/>
        <v>-8675679043119292</v>
      </c>
      <c r="J5812" s="444">
        <f t="array" ref="J5812">IFERROR(INDEX('Retirement Calculator'!J:J,MATCH('Isaac 401k'!N5812,'Retirement Calculator'!A:A,0),0),0)</f>
        <v>0</v>
      </c>
      <c r="K5812" s="444">
        <f t="shared" ca="1" si="211"/>
        <v>-36148662679663.711</v>
      </c>
      <c r="L5812" s="444">
        <f t="shared" ca="1" si="212"/>
        <v>-8711827705798956</v>
      </c>
      <c r="M5812" s="460">
        <f t="shared" si="214"/>
        <v>0.05</v>
      </c>
      <c r="N5812" s="464">
        <f t="shared" si="215"/>
        <v>227944</v>
      </c>
    </row>
    <row r="5813" spans="7:14" ht="11.25" customHeight="1" x14ac:dyDescent="0.3">
      <c r="G5813" s="459"/>
      <c r="H5813" s="459">
        <v>5806</v>
      </c>
      <c r="I5813" s="444">
        <f t="shared" ca="1" si="213"/>
        <v>-8711827705798956</v>
      </c>
      <c r="J5813" s="444">
        <f t="array" ref="J5813">IFERROR(INDEX('Retirement Calculator'!J:J,MATCH('Isaac 401k'!N5813,'Retirement Calculator'!A:A,0),0),0)</f>
        <v>0</v>
      </c>
      <c r="K5813" s="444">
        <f t="shared" ca="1" si="211"/>
        <v>-36299282107495.648</v>
      </c>
      <c r="L5813" s="444">
        <f t="shared" ca="1" si="212"/>
        <v>-8748126987906452</v>
      </c>
      <c r="M5813" s="460">
        <f t="shared" si="214"/>
        <v>0.05</v>
      </c>
      <c r="N5813" s="464">
        <f t="shared" si="215"/>
        <v>227973</v>
      </c>
    </row>
    <row r="5814" spans="7:14" ht="11.25" customHeight="1" x14ac:dyDescent="0.3">
      <c r="G5814" s="459"/>
      <c r="H5814" s="459">
        <v>5807</v>
      </c>
      <c r="I5814" s="444">
        <f t="shared" ca="1" si="213"/>
        <v>-8748126987906452</v>
      </c>
      <c r="J5814" s="444">
        <f t="array" ref="J5814">IFERROR(INDEX('Retirement Calculator'!J:J,MATCH('Isaac 401k'!N5814,'Retirement Calculator'!A:A,0),0),0)</f>
        <v>0</v>
      </c>
      <c r="K5814" s="444">
        <f t="shared" ca="1" si="211"/>
        <v>-36450529116276.875</v>
      </c>
      <c r="L5814" s="444">
        <f t="shared" ca="1" si="212"/>
        <v>-8784577517022729</v>
      </c>
      <c r="M5814" s="460">
        <f t="shared" si="214"/>
        <v>0.05</v>
      </c>
      <c r="N5814" s="464">
        <f t="shared" si="215"/>
        <v>228004</v>
      </c>
    </row>
    <row r="5815" spans="7:14" ht="11.25" customHeight="1" x14ac:dyDescent="0.3">
      <c r="G5815" s="459"/>
      <c r="H5815" s="459">
        <v>5808</v>
      </c>
      <c r="I5815" s="444">
        <f t="shared" ca="1" si="213"/>
        <v>-8784577517022729</v>
      </c>
      <c r="J5815" s="444">
        <f t="array" ref="J5815">IFERROR(INDEX('Retirement Calculator'!J:J,MATCH('Isaac 401k'!N5815,'Retirement Calculator'!A:A,0),0),0)</f>
        <v>0</v>
      </c>
      <c r="K5815" s="444">
        <f t="shared" ca="1" si="211"/>
        <v>-36602406320928.039</v>
      </c>
      <c r="L5815" s="444">
        <f t="shared" ca="1" si="212"/>
        <v>-8821179923343657</v>
      </c>
      <c r="M5815" s="460">
        <f t="shared" si="214"/>
        <v>0.05</v>
      </c>
      <c r="N5815" s="464">
        <f t="shared" si="215"/>
        <v>228034</v>
      </c>
    </row>
    <row r="5816" spans="7:14" ht="11.25" customHeight="1" x14ac:dyDescent="0.3">
      <c r="G5816" s="459"/>
      <c r="H5816" s="459">
        <v>5809</v>
      </c>
      <c r="I5816" s="444">
        <f t="shared" ca="1" si="213"/>
        <v>-8821179923343657</v>
      </c>
      <c r="J5816" s="444">
        <f t="array" ref="J5816">IFERROR(INDEX('Retirement Calculator'!J:J,MATCH('Isaac 401k'!N5816,'Retirement Calculator'!A:A,0),0),0)</f>
        <v>0</v>
      </c>
      <c r="K5816" s="444">
        <f t="shared" ca="1" si="211"/>
        <v>-36754916347265.234</v>
      </c>
      <c r="L5816" s="444">
        <f t="shared" ca="1" si="212"/>
        <v>-8857934839690922</v>
      </c>
      <c r="M5816" s="460">
        <f t="shared" si="214"/>
        <v>0.05</v>
      </c>
      <c r="N5816" s="464">
        <f t="shared" si="215"/>
        <v>228065</v>
      </c>
    </row>
    <row r="5817" spans="7:14" ht="11.25" customHeight="1" x14ac:dyDescent="0.3">
      <c r="G5817" s="459"/>
      <c r="H5817" s="459">
        <v>5810</v>
      </c>
      <c r="I5817" s="444">
        <f t="shared" ca="1" si="213"/>
        <v>-8857934839690922</v>
      </c>
      <c r="J5817" s="444">
        <f t="array" ref="J5817">IFERROR(INDEX('Retirement Calculator'!J:J,MATCH('Isaac 401k'!N5817,'Retirement Calculator'!A:A,0),0),0)</f>
        <v>0</v>
      </c>
      <c r="K5817" s="444">
        <f t="shared" ca="1" si="211"/>
        <v>-36908061832045.508</v>
      </c>
      <c r="L5817" s="444">
        <f t="shared" ca="1" si="212"/>
        <v>-8894842901522968</v>
      </c>
      <c r="M5817" s="460">
        <f t="shared" si="214"/>
        <v>0.05</v>
      </c>
      <c r="N5817" s="464">
        <f t="shared" si="215"/>
        <v>228095</v>
      </c>
    </row>
    <row r="5818" spans="7:14" ht="11.25" customHeight="1" x14ac:dyDescent="0.3">
      <c r="G5818" s="459"/>
      <c r="H5818" s="459">
        <v>5811</v>
      </c>
      <c r="I5818" s="444">
        <f t="shared" ca="1" si="213"/>
        <v>-8894842901522968</v>
      </c>
      <c r="J5818" s="444">
        <f t="array" ref="J5818">IFERROR(INDEX('Retirement Calculator'!J:J,MATCH('Isaac 401k'!N5818,'Retirement Calculator'!A:A,0),0),0)</f>
        <v>0</v>
      </c>
      <c r="K5818" s="444">
        <f t="shared" ca="1" si="211"/>
        <v>-37061845423012.367</v>
      </c>
      <c r="L5818" s="444">
        <f t="shared" ca="1" si="212"/>
        <v>-8931904746945980</v>
      </c>
      <c r="M5818" s="460">
        <f t="shared" si="214"/>
        <v>0.05</v>
      </c>
      <c r="N5818" s="464">
        <f t="shared" si="215"/>
        <v>228126</v>
      </c>
    </row>
    <row r="5819" spans="7:14" ht="11.25" customHeight="1" x14ac:dyDescent="0.3">
      <c r="G5819" s="459"/>
      <c r="H5819" s="459">
        <v>5812</v>
      </c>
      <c r="I5819" s="444">
        <f t="shared" ca="1" si="213"/>
        <v>-8931904746945980</v>
      </c>
      <c r="J5819" s="444">
        <f t="array" ref="J5819">IFERROR(INDEX('Retirement Calculator'!J:J,MATCH('Isaac 401k'!N5819,'Retirement Calculator'!A:A,0),0),0)</f>
        <v>0</v>
      </c>
      <c r="K5819" s="444">
        <f t="shared" ca="1" si="211"/>
        <v>-37216269778941.586</v>
      </c>
      <c r="L5819" s="444">
        <f t="shared" ca="1" si="212"/>
        <v>-8969121016724922</v>
      </c>
      <c r="M5819" s="460">
        <f t="shared" si="214"/>
        <v>0.05</v>
      </c>
      <c r="N5819" s="464">
        <f t="shared" si="215"/>
        <v>228157</v>
      </c>
    </row>
    <row r="5820" spans="7:14" ht="11.25" customHeight="1" x14ac:dyDescent="0.3">
      <c r="G5820" s="459"/>
      <c r="H5820" s="459">
        <v>5813</v>
      </c>
      <c r="I5820" s="444">
        <f t="shared" ca="1" si="213"/>
        <v>-8969121016724922</v>
      </c>
      <c r="J5820" s="444">
        <f t="array" ref="J5820">IFERROR(INDEX('Retirement Calculator'!J:J,MATCH('Isaac 401k'!N5820,'Retirement Calculator'!A:A,0),0),0)</f>
        <v>0</v>
      </c>
      <c r="K5820" s="444">
        <f t="shared" ca="1" si="211"/>
        <v>-37371337569687.172</v>
      </c>
      <c r="L5820" s="444">
        <f t="shared" ca="1" si="212"/>
        <v>-9006492354294609</v>
      </c>
      <c r="M5820" s="460">
        <f t="shared" si="214"/>
        <v>0.05</v>
      </c>
      <c r="N5820" s="464">
        <f t="shared" si="215"/>
        <v>228187</v>
      </c>
    </row>
    <row r="5821" spans="7:14" ht="11.25" customHeight="1" x14ac:dyDescent="0.3">
      <c r="G5821" s="459"/>
      <c r="H5821" s="459">
        <v>5814</v>
      </c>
      <c r="I5821" s="444">
        <f t="shared" ca="1" si="213"/>
        <v>-9006492354294609</v>
      </c>
      <c r="J5821" s="444">
        <f t="array" ref="J5821">IFERROR(INDEX('Retirement Calculator'!J:J,MATCH('Isaac 401k'!N5821,'Retirement Calculator'!A:A,0),0),0)</f>
        <v>0</v>
      </c>
      <c r="K5821" s="444">
        <f t="shared" ca="1" si="211"/>
        <v>-37527051476227.531</v>
      </c>
      <c r="L5821" s="444">
        <f t="shared" ca="1" si="212"/>
        <v>-9044019405770836</v>
      </c>
      <c r="M5821" s="460">
        <f t="shared" si="214"/>
        <v>0.05</v>
      </c>
      <c r="N5821" s="464">
        <f t="shared" si="215"/>
        <v>228218</v>
      </c>
    </row>
    <row r="5822" spans="7:14" ht="11.25" customHeight="1" x14ac:dyDescent="0.3">
      <c r="G5822" s="459"/>
      <c r="H5822" s="459">
        <v>5815</v>
      </c>
      <c r="I5822" s="444">
        <f t="shared" ca="1" si="213"/>
        <v>-9044019405770836</v>
      </c>
      <c r="J5822" s="444">
        <f t="array" ref="J5822">IFERROR(INDEX('Retirement Calculator'!J:J,MATCH('Isaac 401k'!N5822,'Retirement Calculator'!A:A,0),0),0)</f>
        <v>0</v>
      </c>
      <c r="K5822" s="444">
        <f t="shared" ca="1" si="211"/>
        <v>-37683414190711.813</v>
      </c>
      <c r="L5822" s="444">
        <f t="shared" ca="1" si="212"/>
        <v>-9081702819961548</v>
      </c>
      <c r="M5822" s="460">
        <f t="shared" si="214"/>
        <v>0.05</v>
      </c>
      <c r="N5822" s="464">
        <f t="shared" si="215"/>
        <v>228248</v>
      </c>
    </row>
    <row r="5823" spans="7:14" ht="11.25" customHeight="1" x14ac:dyDescent="0.3">
      <c r="G5823" s="459"/>
      <c r="H5823" s="459">
        <v>5816</v>
      </c>
      <c r="I5823" s="444">
        <f t="shared" ca="1" si="213"/>
        <v>-9081702819961548</v>
      </c>
      <c r="J5823" s="444">
        <f t="array" ref="J5823">IFERROR(INDEX('Retirement Calculator'!J:J,MATCH('Isaac 401k'!N5823,'Retirement Calculator'!A:A,0),0),0)</f>
        <v>0</v>
      </c>
      <c r="K5823" s="444">
        <f t="shared" ca="1" si="211"/>
        <v>-37840428416506.453</v>
      </c>
      <c r="L5823" s="444">
        <f t="shared" ca="1" si="212"/>
        <v>-9119543248378054</v>
      </c>
      <c r="M5823" s="460">
        <f t="shared" si="214"/>
        <v>0.05</v>
      </c>
      <c r="N5823" s="464">
        <f t="shared" si="215"/>
        <v>228279</v>
      </c>
    </row>
    <row r="5824" spans="7:14" ht="11.25" customHeight="1" x14ac:dyDescent="0.3">
      <c r="G5824" s="459"/>
      <c r="H5824" s="459">
        <v>5817</v>
      </c>
      <c r="I5824" s="444">
        <f t="shared" ca="1" si="213"/>
        <v>-9119543248378054</v>
      </c>
      <c r="J5824" s="444">
        <f t="array" ref="J5824">IFERROR(INDEX('Retirement Calculator'!J:J,MATCH('Isaac 401k'!N5824,'Retirement Calculator'!A:A,0),0),0)</f>
        <v>0</v>
      </c>
      <c r="K5824" s="444">
        <f t="shared" ca="1" si="211"/>
        <v>-37998096868241.891</v>
      </c>
      <c r="L5824" s="444">
        <f t="shared" ca="1" si="212"/>
        <v>-9157541345246296</v>
      </c>
      <c r="M5824" s="460">
        <f t="shared" si="214"/>
        <v>0.05</v>
      </c>
      <c r="N5824" s="464">
        <f t="shared" si="215"/>
        <v>228310</v>
      </c>
    </row>
    <row r="5825" spans="7:14" ht="11.25" customHeight="1" x14ac:dyDescent="0.3">
      <c r="G5825" s="459"/>
      <c r="H5825" s="459">
        <v>5818</v>
      </c>
      <c r="I5825" s="444">
        <f t="shared" ca="1" si="213"/>
        <v>-9157541345246296</v>
      </c>
      <c r="J5825" s="444">
        <f t="array" ref="J5825">IFERROR(INDEX('Retirement Calculator'!J:J,MATCH('Isaac 401k'!N5825,'Retirement Calculator'!A:A,0),0),0)</f>
        <v>0</v>
      </c>
      <c r="K5825" s="444">
        <f t="shared" ca="1" si="211"/>
        <v>-38156422271859.563</v>
      </c>
      <c r="L5825" s="444">
        <f t="shared" ca="1" si="212"/>
        <v>-9195697767518156</v>
      </c>
      <c r="M5825" s="460">
        <f t="shared" si="214"/>
        <v>0.05</v>
      </c>
      <c r="N5825" s="464">
        <f t="shared" si="215"/>
        <v>228338</v>
      </c>
    </row>
    <row r="5826" spans="7:14" ht="11.25" customHeight="1" x14ac:dyDescent="0.3">
      <c r="G5826" s="459"/>
      <c r="H5826" s="459">
        <v>5819</v>
      </c>
      <c r="I5826" s="444">
        <f t="shared" ca="1" si="213"/>
        <v>-9195697767518156</v>
      </c>
      <c r="J5826" s="444">
        <f t="array" ref="J5826">IFERROR(INDEX('Retirement Calculator'!J:J,MATCH('Isaac 401k'!N5826,'Retirement Calculator'!A:A,0),0),0)</f>
        <v>0</v>
      </c>
      <c r="K5826" s="444">
        <f t="shared" ca="1" si="211"/>
        <v>-38315407364658.984</v>
      </c>
      <c r="L5826" s="444">
        <f t="shared" ca="1" si="212"/>
        <v>-9234013174882814</v>
      </c>
      <c r="M5826" s="460">
        <f t="shared" si="214"/>
        <v>0.05</v>
      </c>
      <c r="N5826" s="464">
        <f t="shared" si="215"/>
        <v>228369</v>
      </c>
    </row>
    <row r="5827" spans="7:14" ht="11.25" customHeight="1" x14ac:dyDescent="0.3">
      <c r="G5827" s="459"/>
      <c r="H5827" s="459">
        <v>5820</v>
      </c>
      <c r="I5827" s="444">
        <f t="shared" ca="1" si="213"/>
        <v>-9234013174882814</v>
      </c>
      <c r="J5827" s="444">
        <f t="array" ref="J5827">IFERROR(INDEX('Retirement Calculator'!J:J,MATCH('Isaac 401k'!N5827,'Retirement Calculator'!A:A,0),0),0)</f>
        <v>0</v>
      </c>
      <c r="K5827" s="444">
        <f t="shared" ca="1" si="211"/>
        <v>-38475054895345.055</v>
      </c>
      <c r="L5827" s="444">
        <f t="shared" ca="1" si="212"/>
        <v>-9272488229778160</v>
      </c>
      <c r="M5827" s="460">
        <f t="shared" si="214"/>
        <v>0.05</v>
      </c>
      <c r="N5827" s="464">
        <f t="shared" si="215"/>
        <v>228399</v>
      </c>
    </row>
    <row r="5828" spans="7:14" ht="11.25" customHeight="1" x14ac:dyDescent="0.3">
      <c r="G5828" s="459"/>
      <c r="H5828" s="459">
        <v>5821</v>
      </c>
      <c r="I5828" s="444">
        <f t="shared" ca="1" si="213"/>
        <v>-9272488229778160</v>
      </c>
      <c r="J5828" s="444">
        <f t="array" ref="J5828">IFERROR(INDEX('Retirement Calculator'!J:J,MATCH('Isaac 401k'!N5828,'Retirement Calculator'!A:A,0),0),0)</f>
        <v>0</v>
      </c>
      <c r="K5828" s="444">
        <f t="shared" ca="1" si="211"/>
        <v>-38635367624075.664</v>
      </c>
      <c r="L5828" s="444">
        <f t="shared" ca="1" si="212"/>
        <v>-9311123597402236</v>
      </c>
      <c r="M5828" s="460">
        <f t="shared" si="214"/>
        <v>0.05</v>
      </c>
      <c r="N5828" s="464">
        <f t="shared" si="215"/>
        <v>228430</v>
      </c>
    </row>
    <row r="5829" spans="7:14" ht="11.25" customHeight="1" x14ac:dyDescent="0.3">
      <c r="G5829" s="459"/>
      <c r="H5829" s="459">
        <v>5822</v>
      </c>
      <c r="I5829" s="444">
        <f t="shared" ca="1" si="213"/>
        <v>-9311123597402236</v>
      </c>
      <c r="J5829" s="444">
        <f t="array" ref="J5829">IFERROR(INDEX('Retirement Calculator'!J:J,MATCH('Isaac 401k'!N5829,'Retirement Calculator'!A:A,0),0),0)</f>
        <v>0</v>
      </c>
      <c r="K5829" s="444">
        <f t="shared" ca="1" si="211"/>
        <v>-38796348322509.313</v>
      </c>
      <c r="L5829" s="444">
        <f t="shared" ca="1" si="212"/>
        <v>-9349919945724746</v>
      </c>
      <c r="M5829" s="460">
        <f t="shared" si="214"/>
        <v>0.05</v>
      </c>
      <c r="N5829" s="464">
        <f t="shared" si="215"/>
        <v>228460</v>
      </c>
    </row>
    <row r="5830" spans="7:14" ht="11.25" customHeight="1" x14ac:dyDescent="0.3">
      <c r="G5830" s="459"/>
      <c r="H5830" s="459">
        <v>5823</v>
      </c>
      <c r="I5830" s="444">
        <f t="shared" ca="1" si="213"/>
        <v>-9349919945724746</v>
      </c>
      <c r="J5830" s="444">
        <f t="array" ref="J5830">IFERROR(INDEX('Retirement Calculator'!J:J,MATCH('Isaac 401k'!N5830,'Retirement Calculator'!A:A,0),0),0)</f>
        <v>0</v>
      </c>
      <c r="K5830" s="444">
        <f t="shared" ca="1" si="211"/>
        <v>-38957999773853.109</v>
      </c>
      <c r="L5830" s="444">
        <f t="shared" ca="1" si="212"/>
        <v>-9388877945498600</v>
      </c>
      <c r="M5830" s="460">
        <f t="shared" si="214"/>
        <v>0.05</v>
      </c>
      <c r="N5830" s="464">
        <f t="shared" si="215"/>
        <v>228491</v>
      </c>
    </row>
    <row r="5831" spans="7:14" ht="11.25" customHeight="1" x14ac:dyDescent="0.3">
      <c r="G5831" s="459"/>
      <c r="H5831" s="459">
        <v>5824</v>
      </c>
      <c r="I5831" s="444">
        <f t="shared" ca="1" si="213"/>
        <v>-9388877945498600</v>
      </c>
      <c r="J5831" s="444">
        <f t="array" ref="J5831">IFERROR(INDEX('Retirement Calculator'!J:J,MATCH('Isaac 401k'!N5831,'Retirement Calculator'!A:A,0),0),0)</f>
        <v>0</v>
      </c>
      <c r="K5831" s="444">
        <f t="shared" ca="1" si="211"/>
        <v>-39120324772910.836</v>
      </c>
      <c r="L5831" s="444">
        <f t="shared" ca="1" si="212"/>
        <v>-9427998270271510</v>
      </c>
      <c r="M5831" s="460">
        <f t="shared" si="214"/>
        <v>0.05</v>
      </c>
      <c r="N5831" s="464">
        <f t="shared" si="215"/>
        <v>228522</v>
      </c>
    </row>
    <row r="5832" spans="7:14" ht="11.25" customHeight="1" x14ac:dyDescent="0.3">
      <c r="G5832" s="459"/>
      <c r="H5832" s="459">
        <v>5825</v>
      </c>
      <c r="I5832" s="444">
        <f t="shared" ca="1" si="213"/>
        <v>-9427998270271510</v>
      </c>
      <c r="J5832" s="444">
        <f t="array" ref="J5832">IFERROR(INDEX('Retirement Calculator'!J:J,MATCH('Isaac 401k'!N5832,'Retirement Calculator'!A:A,0),0),0)</f>
        <v>0</v>
      </c>
      <c r="K5832" s="444">
        <f t="shared" ca="1" si="211"/>
        <v>-39283326126131.289</v>
      </c>
      <c r="L5832" s="444">
        <f t="shared" ca="1" si="212"/>
        <v>-9467281596397642</v>
      </c>
      <c r="M5832" s="460">
        <f t="shared" si="214"/>
        <v>0.05</v>
      </c>
      <c r="N5832" s="464">
        <f t="shared" si="215"/>
        <v>228552</v>
      </c>
    </row>
    <row r="5833" spans="7:14" ht="11.25" customHeight="1" x14ac:dyDescent="0.3">
      <c r="G5833" s="459"/>
      <c r="H5833" s="459">
        <v>5826</v>
      </c>
      <c r="I5833" s="444">
        <f t="shared" ca="1" si="213"/>
        <v>-9467281596397642</v>
      </c>
      <c r="J5833" s="444">
        <f t="array" ref="J5833">IFERROR(INDEX('Retirement Calculator'!J:J,MATCH('Isaac 401k'!N5833,'Retirement Calculator'!A:A,0),0),0)</f>
        <v>0</v>
      </c>
      <c r="K5833" s="444">
        <f t="shared" ca="1" si="211"/>
        <v>-39447006651656.844</v>
      </c>
      <c r="L5833" s="444">
        <f t="shared" ca="1" si="212"/>
        <v>-9506728603049298</v>
      </c>
      <c r="M5833" s="460">
        <f t="shared" si="214"/>
        <v>0.05</v>
      </c>
      <c r="N5833" s="464">
        <f t="shared" si="215"/>
        <v>228583</v>
      </c>
    </row>
    <row r="5834" spans="7:14" ht="11.25" customHeight="1" x14ac:dyDescent="0.3">
      <c r="G5834" s="459"/>
      <c r="H5834" s="459">
        <v>5827</v>
      </c>
      <c r="I5834" s="444">
        <f t="shared" ca="1" si="213"/>
        <v>-9506728603049298</v>
      </c>
      <c r="J5834" s="444">
        <f t="array" ref="J5834">IFERROR(INDEX('Retirement Calculator'!J:J,MATCH('Isaac 401k'!N5834,'Retirement Calculator'!A:A,0),0),0)</f>
        <v>0</v>
      </c>
      <c r="K5834" s="444">
        <f t="shared" ca="1" si="211"/>
        <v>-39611369179372.078</v>
      </c>
      <c r="L5834" s="444">
        <f t="shared" ca="1" si="212"/>
        <v>-9546339972228670</v>
      </c>
      <c r="M5834" s="460">
        <f t="shared" si="214"/>
        <v>0.05</v>
      </c>
      <c r="N5834" s="464">
        <f t="shared" si="215"/>
        <v>228613</v>
      </c>
    </row>
    <row r="5835" spans="7:14" ht="11.25" customHeight="1" x14ac:dyDescent="0.3">
      <c r="G5835" s="459"/>
      <c r="H5835" s="459">
        <v>5828</v>
      </c>
      <c r="I5835" s="444">
        <f t="shared" ca="1" si="213"/>
        <v>-9546339972228670</v>
      </c>
      <c r="J5835" s="444">
        <f t="array" ref="J5835">IFERROR(INDEX('Retirement Calculator'!J:J,MATCH('Isaac 401k'!N5835,'Retirement Calculator'!A:A,0),0),0)</f>
        <v>0</v>
      </c>
      <c r="K5835" s="444">
        <f t="shared" ca="1" si="211"/>
        <v>-39776416550952.789</v>
      </c>
      <c r="L5835" s="444">
        <f t="shared" ca="1" si="212"/>
        <v>-9586116388779622</v>
      </c>
      <c r="M5835" s="460">
        <f t="shared" si="214"/>
        <v>0.05</v>
      </c>
      <c r="N5835" s="464">
        <f t="shared" si="215"/>
        <v>228644</v>
      </c>
    </row>
    <row r="5836" spans="7:14" ht="11.25" customHeight="1" x14ac:dyDescent="0.3">
      <c r="G5836" s="459"/>
      <c r="H5836" s="459">
        <v>5829</v>
      </c>
      <c r="I5836" s="444">
        <f t="shared" ca="1" si="213"/>
        <v>-9586116388779622</v>
      </c>
      <c r="J5836" s="444">
        <f t="array" ref="J5836">IFERROR(INDEX('Retirement Calculator'!J:J,MATCH('Isaac 401k'!N5836,'Retirement Calculator'!A:A,0),0),0)</f>
        <v>0</v>
      </c>
      <c r="K5836" s="444">
        <f t="shared" ca="1" si="211"/>
        <v>-39942151619915.094</v>
      </c>
      <c r="L5836" s="444">
        <f t="shared" ca="1" si="212"/>
        <v>-9626058540399538</v>
      </c>
      <c r="M5836" s="460">
        <f t="shared" si="214"/>
        <v>0.05</v>
      </c>
      <c r="N5836" s="464">
        <f t="shared" si="215"/>
        <v>228675</v>
      </c>
    </row>
    <row r="5837" spans="7:14" ht="11.25" customHeight="1" x14ac:dyDescent="0.3">
      <c r="G5837" s="459"/>
      <c r="H5837" s="459">
        <v>5830</v>
      </c>
      <c r="I5837" s="444">
        <f t="shared" ca="1" si="213"/>
        <v>-9626058540399538</v>
      </c>
      <c r="J5837" s="444">
        <f t="array" ref="J5837">IFERROR(INDEX('Retirement Calculator'!J:J,MATCH('Isaac 401k'!N5837,'Retirement Calculator'!A:A,0),0),0)</f>
        <v>0</v>
      </c>
      <c r="K5837" s="444">
        <f t="shared" ca="1" si="211"/>
        <v>-40108577251664.742</v>
      </c>
      <c r="L5837" s="444">
        <f t="shared" ca="1" si="212"/>
        <v>-9666167117651202</v>
      </c>
      <c r="M5837" s="460">
        <f t="shared" si="214"/>
        <v>0.05</v>
      </c>
      <c r="N5837" s="464">
        <f t="shared" si="215"/>
        <v>228703</v>
      </c>
    </row>
    <row r="5838" spans="7:14" ht="11.25" customHeight="1" x14ac:dyDescent="0.3">
      <c r="G5838" s="459"/>
      <c r="H5838" s="459">
        <v>5831</v>
      </c>
      <c r="I5838" s="444">
        <f t="shared" ca="1" si="213"/>
        <v>-9666167117651202</v>
      </c>
      <c r="J5838" s="444">
        <f t="array" ref="J5838">IFERROR(INDEX('Retirement Calculator'!J:J,MATCH('Isaac 401k'!N5838,'Retirement Calculator'!A:A,0),0),0)</f>
        <v>0</v>
      </c>
      <c r="K5838" s="444">
        <f t="shared" ca="1" si="211"/>
        <v>-40275696323546.672</v>
      </c>
      <c r="L5838" s="444">
        <f t="shared" ca="1" si="212"/>
        <v>-9706442813974748</v>
      </c>
      <c r="M5838" s="460">
        <f t="shared" si="214"/>
        <v>0.05</v>
      </c>
      <c r="N5838" s="464">
        <f t="shared" si="215"/>
        <v>228734</v>
      </c>
    </row>
    <row r="5839" spans="7:14" ht="11.25" customHeight="1" x14ac:dyDescent="0.3">
      <c r="G5839" s="459"/>
      <c r="H5839" s="459">
        <v>5832</v>
      </c>
      <c r="I5839" s="444">
        <f t="shared" ca="1" si="213"/>
        <v>-9706442813974748</v>
      </c>
      <c r="J5839" s="444">
        <f t="array" ref="J5839">IFERROR(INDEX('Retirement Calculator'!J:J,MATCH('Isaac 401k'!N5839,'Retirement Calculator'!A:A,0),0),0)</f>
        <v>0</v>
      </c>
      <c r="K5839" s="444">
        <f t="shared" ca="1" si="211"/>
        <v>-40443511724894.781</v>
      </c>
      <c r="L5839" s="444">
        <f t="shared" ca="1" si="212"/>
        <v>-9746886325699642</v>
      </c>
      <c r="M5839" s="460">
        <f t="shared" si="214"/>
        <v>0.05</v>
      </c>
      <c r="N5839" s="464">
        <f t="shared" si="215"/>
        <v>228764</v>
      </c>
    </row>
    <row r="5840" spans="7:14" ht="11.25" customHeight="1" x14ac:dyDescent="0.3">
      <c r="G5840" s="459"/>
      <c r="H5840" s="459">
        <v>5833</v>
      </c>
      <c r="I5840" s="444">
        <f t="shared" ca="1" si="213"/>
        <v>-9746886325699642</v>
      </c>
      <c r="J5840" s="444">
        <f t="array" ref="J5840">IFERROR(INDEX('Retirement Calculator'!J:J,MATCH('Isaac 401k'!N5840,'Retirement Calculator'!A:A,0),0),0)</f>
        <v>0</v>
      </c>
      <c r="K5840" s="444">
        <f t="shared" ca="1" si="211"/>
        <v>-40612026357081.844</v>
      </c>
      <c r="L5840" s="444">
        <f t="shared" ca="1" si="212"/>
        <v>-9787498352056724</v>
      </c>
      <c r="M5840" s="460">
        <f t="shared" si="214"/>
        <v>0.05</v>
      </c>
      <c r="N5840" s="464">
        <f t="shared" si="215"/>
        <v>228795</v>
      </c>
    </row>
    <row r="5841" spans="7:14" ht="11.25" customHeight="1" x14ac:dyDescent="0.3">
      <c r="G5841" s="459"/>
      <c r="H5841" s="459">
        <v>5834</v>
      </c>
      <c r="I5841" s="444">
        <f t="shared" ca="1" si="213"/>
        <v>-9787498352056724</v>
      </c>
      <c r="J5841" s="444">
        <f t="array" ref="J5841">IFERROR(INDEX('Retirement Calculator'!J:J,MATCH('Isaac 401k'!N5841,'Retirement Calculator'!A:A,0),0),0)</f>
        <v>0</v>
      </c>
      <c r="K5841" s="444">
        <f t="shared" ca="1" si="211"/>
        <v>-40781243133569.68</v>
      </c>
      <c r="L5841" s="444">
        <f t="shared" ca="1" si="212"/>
        <v>-9828279595190294</v>
      </c>
      <c r="M5841" s="460">
        <f t="shared" si="214"/>
        <v>0.05</v>
      </c>
      <c r="N5841" s="464">
        <f t="shared" si="215"/>
        <v>228825</v>
      </c>
    </row>
    <row r="5842" spans="7:14" ht="11.25" customHeight="1" x14ac:dyDescent="0.3">
      <c r="G5842" s="459"/>
      <c r="H5842" s="459">
        <v>5835</v>
      </c>
      <c r="I5842" s="444">
        <f t="shared" ca="1" si="213"/>
        <v>-9828279595190294</v>
      </c>
      <c r="J5842" s="444">
        <f t="array" ref="J5842">IFERROR(INDEX('Retirement Calculator'!J:J,MATCH('Isaac 401k'!N5842,'Retirement Calculator'!A:A,0),0),0)</f>
        <v>0</v>
      </c>
      <c r="K5842" s="444">
        <f t="shared" ca="1" si="211"/>
        <v>-40951164979959.555</v>
      </c>
      <c r="L5842" s="444">
        <f t="shared" ca="1" si="212"/>
        <v>-9869230760170254</v>
      </c>
      <c r="M5842" s="460">
        <f t="shared" si="214"/>
        <v>0.05</v>
      </c>
      <c r="N5842" s="464">
        <f t="shared" si="215"/>
        <v>228856</v>
      </c>
    </row>
    <row r="5843" spans="7:14" ht="11.25" customHeight="1" x14ac:dyDescent="0.3">
      <c r="G5843" s="459"/>
      <c r="H5843" s="459">
        <v>5836</v>
      </c>
      <c r="I5843" s="444">
        <f t="shared" ca="1" si="213"/>
        <v>-9869230760170254</v>
      </c>
      <c r="J5843" s="444">
        <f t="array" ref="J5843">IFERROR(INDEX('Retirement Calculator'!J:J,MATCH('Isaac 401k'!N5843,'Retirement Calculator'!A:A,0),0),0)</f>
        <v>0</v>
      </c>
      <c r="K5843" s="444">
        <f t="shared" ca="1" si="211"/>
        <v>-41121794834042.727</v>
      </c>
      <c r="L5843" s="444">
        <f t="shared" ca="1" si="212"/>
        <v>-9910352555004296</v>
      </c>
      <c r="M5843" s="460">
        <f t="shared" si="214"/>
        <v>0.05</v>
      </c>
      <c r="N5843" s="464">
        <f t="shared" si="215"/>
        <v>228887</v>
      </c>
    </row>
    <row r="5844" spans="7:14" ht="11.25" customHeight="1" x14ac:dyDescent="0.3">
      <c r="G5844" s="459"/>
      <c r="H5844" s="459">
        <v>5837</v>
      </c>
      <c r="I5844" s="444">
        <f t="shared" ca="1" si="213"/>
        <v>-9910352555004296</v>
      </c>
      <c r="J5844" s="444">
        <f t="array" ref="J5844">IFERROR(INDEX('Retirement Calculator'!J:J,MATCH('Isaac 401k'!N5844,'Retirement Calculator'!A:A,0),0),0)</f>
        <v>0</v>
      </c>
      <c r="K5844" s="444">
        <f t="shared" ca="1" si="211"/>
        <v>-41293135645851.234</v>
      </c>
      <c r="L5844" s="444">
        <f t="shared" ca="1" si="212"/>
        <v>-9951645690650148</v>
      </c>
      <c r="M5844" s="460">
        <f t="shared" si="214"/>
        <v>0.05</v>
      </c>
      <c r="N5844" s="464">
        <f t="shared" si="215"/>
        <v>228917</v>
      </c>
    </row>
    <row r="5845" spans="7:14" ht="11.25" customHeight="1" x14ac:dyDescent="0.3">
      <c r="G5845" s="459"/>
      <c r="H5845" s="459">
        <v>5838</v>
      </c>
      <c r="I5845" s="444">
        <f t="shared" ca="1" si="213"/>
        <v>-9951645690650148</v>
      </c>
      <c r="J5845" s="444">
        <f t="array" ref="J5845">IFERROR(INDEX('Retirement Calculator'!J:J,MATCH('Isaac 401k'!N5845,'Retirement Calculator'!A:A,0),0),0)</f>
        <v>0</v>
      </c>
      <c r="K5845" s="444">
        <f t="shared" ca="1" si="211"/>
        <v>-41465190377708.953</v>
      </c>
      <c r="L5845" s="444">
        <f t="shared" ca="1" si="212"/>
        <v>-9993110881027856</v>
      </c>
      <c r="M5845" s="460">
        <f t="shared" si="214"/>
        <v>0.05</v>
      </c>
      <c r="N5845" s="464">
        <f t="shared" si="215"/>
        <v>228948</v>
      </c>
    </row>
    <row r="5846" spans="7:14" ht="11.25" customHeight="1" x14ac:dyDescent="0.3">
      <c r="G5846" s="459"/>
      <c r="H5846" s="459">
        <v>5839</v>
      </c>
      <c r="I5846" s="444">
        <f t="shared" ca="1" si="213"/>
        <v>-9993110881027856</v>
      </c>
      <c r="J5846" s="444">
        <f t="array" ref="J5846">IFERROR(INDEX('Retirement Calculator'!J:J,MATCH('Isaac 401k'!N5846,'Retirement Calculator'!A:A,0),0),0)</f>
        <v>0</v>
      </c>
      <c r="K5846" s="444">
        <f t="shared" ca="1" si="211"/>
        <v>-41637962004282.734</v>
      </c>
      <c r="L5846" s="444">
        <f t="shared" ca="1" si="212"/>
        <v>-1.0034748843032138E+16</v>
      </c>
      <c r="M5846" s="460">
        <f t="shared" si="214"/>
        <v>0.05</v>
      </c>
      <c r="N5846" s="464">
        <f t="shared" si="215"/>
        <v>228978</v>
      </c>
    </row>
    <row r="5847" spans="7:14" ht="11.25" customHeight="1" x14ac:dyDescent="0.3">
      <c r="G5847" s="459"/>
      <c r="H5847" s="459">
        <v>5840</v>
      </c>
      <c r="I5847" s="444">
        <f t="shared" ca="1" si="213"/>
        <v>-1.0034748843032138E+16</v>
      </c>
      <c r="J5847" s="444">
        <f t="array" ref="J5847">IFERROR(INDEX('Retirement Calculator'!J:J,MATCH('Isaac 401k'!N5847,'Retirement Calculator'!A:A,0),0),0)</f>
        <v>0</v>
      </c>
      <c r="K5847" s="444">
        <f t="shared" ca="1" si="211"/>
        <v>-41811453512633.906</v>
      </c>
      <c r="L5847" s="444">
        <f t="shared" ca="1" si="212"/>
        <v>-1.0076560296544772E+16</v>
      </c>
      <c r="M5847" s="460">
        <f t="shared" si="214"/>
        <v>0.05</v>
      </c>
      <c r="N5847" s="464">
        <f t="shared" si="215"/>
        <v>229009</v>
      </c>
    </row>
    <row r="5848" spans="7:14" ht="11.25" customHeight="1" x14ac:dyDescent="0.3">
      <c r="G5848" s="459"/>
      <c r="H5848" s="459">
        <v>5841</v>
      </c>
      <c r="I5848" s="444">
        <f t="shared" ca="1" si="213"/>
        <v>-1.0076560296544772E+16</v>
      </c>
      <c r="J5848" s="444">
        <f t="array" ref="J5848">IFERROR(INDEX('Retirement Calculator'!J:J,MATCH('Isaac 401k'!N5848,'Retirement Calculator'!A:A,0),0),0)</f>
        <v>0</v>
      </c>
      <c r="K5848" s="444">
        <f t="shared" ca="1" si="211"/>
        <v>-41985667902269.883</v>
      </c>
      <c r="L5848" s="444">
        <f t="shared" ca="1" si="212"/>
        <v>-1.0118545964447042E+16</v>
      </c>
      <c r="M5848" s="460">
        <f t="shared" si="214"/>
        <v>0.05</v>
      </c>
      <c r="N5848" s="464">
        <f t="shared" si="215"/>
        <v>229040</v>
      </c>
    </row>
    <row r="5849" spans="7:14" ht="11.25" customHeight="1" x14ac:dyDescent="0.3">
      <c r="G5849" s="459"/>
      <c r="H5849" s="459">
        <v>5842</v>
      </c>
      <c r="I5849" s="444">
        <f t="shared" ca="1" si="213"/>
        <v>-1.0118545964447042E+16</v>
      </c>
      <c r="J5849" s="444">
        <f t="array" ref="J5849">IFERROR(INDEX('Retirement Calculator'!J:J,MATCH('Isaac 401k'!N5849,'Retirement Calculator'!A:A,0),0),0)</f>
        <v>0</v>
      </c>
      <c r="K5849" s="444">
        <f t="shared" ca="1" si="211"/>
        <v>-42160608185196.008</v>
      </c>
      <c r="L5849" s="444">
        <f t="shared" ca="1" si="212"/>
        <v>-1.0160706572632238E+16</v>
      </c>
      <c r="M5849" s="460">
        <f t="shared" si="214"/>
        <v>0.05</v>
      </c>
      <c r="N5849" s="464">
        <f t="shared" si="215"/>
        <v>229068</v>
      </c>
    </row>
    <row r="5850" spans="7:14" ht="11.25" customHeight="1" x14ac:dyDescent="0.3">
      <c r="G5850" s="459"/>
      <c r="H5850" s="459">
        <v>5843</v>
      </c>
      <c r="I5850" s="444">
        <f t="shared" ca="1" si="213"/>
        <v>-1.0160706572632238E+16</v>
      </c>
      <c r="J5850" s="444">
        <f t="array" ref="J5850">IFERROR(INDEX('Retirement Calculator'!J:J,MATCH('Isaac 401k'!N5850,'Retirement Calculator'!A:A,0),0),0)</f>
        <v>0</v>
      </c>
      <c r="K5850" s="444">
        <f t="shared" ca="1" si="211"/>
        <v>-42336277385967.656</v>
      </c>
      <c r="L5850" s="444">
        <f t="shared" ca="1" si="212"/>
        <v>-1.0203042850018206E+16</v>
      </c>
      <c r="M5850" s="460">
        <f t="shared" si="214"/>
        <v>0.05</v>
      </c>
      <c r="N5850" s="464">
        <f t="shared" si="215"/>
        <v>229099</v>
      </c>
    </row>
    <row r="5851" spans="7:14" ht="11.25" customHeight="1" x14ac:dyDescent="0.3">
      <c r="G5851" s="459"/>
      <c r="H5851" s="459">
        <v>5844</v>
      </c>
      <c r="I5851" s="444">
        <f t="shared" ca="1" si="213"/>
        <v>-1.0203042850018206E+16</v>
      </c>
      <c r="J5851" s="444">
        <f t="array" ref="J5851">IFERROR(INDEX('Retirement Calculator'!J:J,MATCH('Isaac 401k'!N5851,'Retirement Calculator'!A:A,0),0),0)</f>
        <v>0</v>
      </c>
      <c r="K5851" s="444">
        <f t="shared" ca="1" si="211"/>
        <v>-42512678541742.523</v>
      </c>
      <c r="L5851" s="444">
        <f t="shared" ca="1" si="212"/>
        <v>-1.0245555528559948E+16</v>
      </c>
      <c r="M5851" s="460">
        <f t="shared" si="214"/>
        <v>0.05</v>
      </c>
      <c r="N5851" s="464">
        <f t="shared" si="215"/>
        <v>229129</v>
      </c>
    </row>
    <row r="5852" spans="7:14" ht="11.25" customHeight="1" x14ac:dyDescent="0.3">
      <c r="G5852" s="459"/>
      <c r="H5852" s="459">
        <v>5845</v>
      </c>
      <c r="I5852" s="444">
        <f t="shared" ca="1" si="213"/>
        <v>-1.0245555528559948E+16</v>
      </c>
      <c r="J5852" s="444">
        <f t="array" ref="J5852">IFERROR(INDEX('Retirement Calculator'!J:J,MATCH('Isaac 401k'!N5852,'Retirement Calculator'!A:A,0),0),0)</f>
        <v>0</v>
      </c>
      <c r="K5852" s="444">
        <f t="shared" ca="1" si="211"/>
        <v>-42689814702333.117</v>
      </c>
      <c r="L5852" s="444">
        <f t="shared" ca="1" si="212"/>
        <v>-1.0288245343262282E+16</v>
      </c>
      <c r="M5852" s="460">
        <f t="shared" si="214"/>
        <v>0.05</v>
      </c>
      <c r="N5852" s="464">
        <f t="shared" si="215"/>
        <v>229160</v>
      </c>
    </row>
    <row r="5853" spans="7:14" ht="11.25" customHeight="1" x14ac:dyDescent="0.3">
      <c r="G5853" s="459"/>
      <c r="H5853" s="459">
        <v>5846</v>
      </c>
      <c r="I5853" s="444">
        <f t="shared" ca="1" si="213"/>
        <v>-1.0288245343262282E+16</v>
      </c>
      <c r="J5853" s="444">
        <f t="array" ref="J5853">IFERROR(INDEX('Retirement Calculator'!J:J,MATCH('Isaac 401k'!N5853,'Retirement Calculator'!A:A,0),0),0)</f>
        <v>0</v>
      </c>
      <c r="K5853" s="444">
        <f t="shared" ca="1" si="211"/>
        <v>-42867688930259.508</v>
      </c>
      <c r="L5853" s="444">
        <f t="shared" ca="1" si="212"/>
        <v>-1.0331113032192542E+16</v>
      </c>
      <c r="M5853" s="460">
        <f t="shared" si="214"/>
        <v>0.05</v>
      </c>
      <c r="N5853" s="464">
        <f t="shared" si="215"/>
        <v>229190</v>
      </c>
    </row>
    <row r="5854" spans="7:14" ht="11.25" customHeight="1" x14ac:dyDescent="0.3">
      <c r="G5854" s="459"/>
      <c r="H5854" s="459">
        <v>5847</v>
      </c>
      <c r="I5854" s="444">
        <f t="shared" ca="1" si="213"/>
        <v>-1.0331113032192542E+16</v>
      </c>
      <c r="J5854" s="444">
        <f t="array" ref="J5854">IFERROR(INDEX('Retirement Calculator'!J:J,MATCH('Isaac 401k'!N5854,'Retirement Calculator'!A:A,0),0),0)</f>
        <v>0</v>
      </c>
      <c r="K5854" s="444">
        <f t="shared" ca="1" si="211"/>
        <v>-43046304300802.258</v>
      </c>
      <c r="L5854" s="444">
        <f t="shared" ca="1" si="212"/>
        <v>-1.0374159336493344E+16</v>
      </c>
      <c r="M5854" s="460">
        <f t="shared" si="214"/>
        <v>0.05</v>
      </c>
      <c r="N5854" s="464">
        <f t="shared" si="215"/>
        <v>229221</v>
      </c>
    </row>
    <row r="5855" spans="7:14" ht="11.25" customHeight="1" x14ac:dyDescent="0.3">
      <c r="G5855" s="459"/>
      <c r="H5855" s="459">
        <v>5848</v>
      </c>
      <c r="I5855" s="444">
        <f t="shared" ca="1" si="213"/>
        <v>-1.0374159336493344E+16</v>
      </c>
      <c r="J5855" s="444">
        <f t="array" ref="J5855">IFERROR(INDEX('Retirement Calculator'!J:J,MATCH('Isaac 401k'!N5855,'Retirement Calculator'!A:A,0),0),0)</f>
        <v>0</v>
      </c>
      <c r="K5855" s="444">
        <f t="shared" ca="1" si="211"/>
        <v>-43225663902055.602</v>
      </c>
      <c r="L5855" s="444">
        <f t="shared" ca="1" si="212"/>
        <v>-1.04173850003954E+16</v>
      </c>
      <c r="M5855" s="460">
        <f t="shared" si="214"/>
        <v>0.05</v>
      </c>
      <c r="N5855" s="464">
        <f t="shared" si="215"/>
        <v>229252</v>
      </c>
    </row>
    <row r="5856" spans="7:14" ht="11.25" customHeight="1" x14ac:dyDescent="0.3">
      <c r="G5856" s="459"/>
      <c r="H5856" s="459">
        <v>5849</v>
      </c>
      <c r="I5856" s="444">
        <f t="shared" ca="1" si="213"/>
        <v>-1.04173850003954E+16</v>
      </c>
      <c r="J5856" s="444">
        <f t="array" ref="J5856">IFERROR(INDEX('Retirement Calculator'!J:J,MATCH('Isaac 401k'!N5856,'Retirement Calculator'!A:A,0),0),0)</f>
        <v>0</v>
      </c>
      <c r="K5856" s="444">
        <f t="shared" ca="1" si="211"/>
        <v>-43405770834980.836</v>
      </c>
      <c r="L5856" s="444">
        <f t="shared" ca="1" si="212"/>
        <v>-1.046079077123038E+16</v>
      </c>
      <c r="M5856" s="460">
        <f t="shared" si="214"/>
        <v>0.05</v>
      </c>
      <c r="N5856" s="464">
        <f t="shared" si="215"/>
        <v>229282</v>
      </c>
    </row>
    <row r="5857" spans="7:14" ht="11.25" customHeight="1" x14ac:dyDescent="0.3">
      <c r="G5857" s="459"/>
      <c r="H5857" s="459">
        <v>5850</v>
      </c>
      <c r="I5857" s="444">
        <f t="shared" ca="1" si="213"/>
        <v>-1.046079077123038E+16</v>
      </c>
      <c r="J5857" s="444">
        <f t="array" ref="J5857">IFERROR(INDEX('Retirement Calculator'!J:J,MATCH('Isaac 401k'!N5857,'Retirement Calculator'!A:A,0),0),0)</f>
        <v>0</v>
      </c>
      <c r="K5857" s="444">
        <f t="shared" ca="1" si="211"/>
        <v>-43586628213459.914</v>
      </c>
      <c r="L5857" s="444">
        <f t="shared" ca="1" si="212"/>
        <v>-1.050437739944384E+16</v>
      </c>
      <c r="M5857" s="460">
        <f t="shared" si="214"/>
        <v>0.05</v>
      </c>
      <c r="N5857" s="464">
        <f t="shared" si="215"/>
        <v>229313</v>
      </c>
    </row>
    <row r="5858" spans="7:14" ht="11.25" customHeight="1" x14ac:dyDescent="0.3">
      <c r="G5858" s="459"/>
      <c r="H5858" s="459">
        <v>5851</v>
      </c>
      <c r="I5858" s="444">
        <f t="shared" ca="1" si="213"/>
        <v>-1.050437739944384E+16</v>
      </c>
      <c r="J5858" s="444">
        <f t="array" ref="J5858">IFERROR(INDEX('Retirement Calculator'!J:J,MATCH('Isaac 401k'!N5858,'Retirement Calculator'!A:A,0),0),0)</f>
        <v>0</v>
      </c>
      <c r="K5858" s="444">
        <f t="shared" ca="1" si="211"/>
        <v>-43768239164349.336</v>
      </c>
      <c r="L5858" s="444">
        <f t="shared" ca="1" si="212"/>
        <v>-1.054814563860819E+16</v>
      </c>
      <c r="M5858" s="460">
        <f t="shared" si="214"/>
        <v>0.05</v>
      </c>
      <c r="N5858" s="464">
        <f t="shared" si="215"/>
        <v>229343</v>
      </c>
    </row>
    <row r="5859" spans="7:14" ht="11.25" customHeight="1" x14ac:dyDescent="0.3">
      <c r="G5859" s="459"/>
      <c r="H5859" s="459">
        <v>5852</v>
      </c>
      <c r="I5859" s="444">
        <f t="shared" ca="1" si="213"/>
        <v>-1.054814563860819E+16</v>
      </c>
      <c r="J5859" s="444">
        <f t="array" ref="J5859">IFERROR(INDEX('Retirement Calculator'!J:J,MATCH('Isaac 401k'!N5859,'Retirement Calculator'!A:A,0),0),0)</f>
        <v>0</v>
      </c>
      <c r="K5859" s="444">
        <f t="shared" ca="1" si="211"/>
        <v>-43950606827534.125</v>
      </c>
      <c r="L5859" s="444">
        <f t="shared" ca="1" si="212"/>
        <v>-1.0592096245435724E+16</v>
      </c>
      <c r="M5859" s="460">
        <f t="shared" si="214"/>
        <v>0.05</v>
      </c>
      <c r="N5859" s="464">
        <f t="shared" si="215"/>
        <v>229374</v>
      </c>
    </row>
    <row r="5860" spans="7:14" ht="11.25" customHeight="1" x14ac:dyDescent="0.3">
      <c r="G5860" s="459"/>
      <c r="H5860" s="459">
        <v>5853</v>
      </c>
      <c r="I5860" s="444">
        <f t="shared" ca="1" si="213"/>
        <v>-1.0592096245435724E+16</v>
      </c>
      <c r="J5860" s="444">
        <f t="array" ref="J5860">IFERROR(INDEX('Retirement Calculator'!J:J,MATCH('Isaac 401k'!N5860,'Retirement Calculator'!A:A,0),0),0)</f>
        <v>0</v>
      </c>
      <c r="K5860" s="444">
        <f t="shared" ca="1" si="211"/>
        <v>-44133734355982.18</v>
      </c>
      <c r="L5860" s="444">
        <f t="shared" ca="1" si="212"/>
        <v>-1.0636229979791706E+16</v>
      </c>
      <c r="M5860" s="460">
        <f t="shared" si="214"/>
        <v>0.05</v>
      </c>
      <c r="N5860" s="464">
        <f t="shared" si="215"/>
        <v>229405</v>
      </c>
    </row>
    <row r="5861" spans="7:14" ht="11.25" customHeight="1" x14ac:dyDescent="0.3">
      <c r="G5861" s="459"/>
      <c r="H5861" s="459">
        <v>5854</v>
      </c>
      <c r="I5861" s="444">
        <f t="shared" ca="1" si="213"/>
        <v>-1.0636229979791706E+16</v>
      </c>
      <c r="J5861" s="444">
        <f t="array" ref="J5861">IFERROR(INDEX('Retirement Calculator'!J:J,MATCH('Isaac 401k'!N5861,'Retirement Calculator'!A:A,0),0),0)</f>
        <v>0</v>
      </c>
      <c r="K5861" s="444">
        <f t="shared" ca="1" si="211"/>
        <v>-44317624915798.773</v>
      </c>
      <c r="L5861" s="444">
        <f t="shared" ca="1" si="212"/>
        <v>-1.0680547604707504E+16</v>
      </c>
      <c r="M5861" s="460">
        <f t="shared" si="214"/>
        <v>0.05</v>
      </c>
      <c r="N5861" s="464">
        <f t="shared" si="215"/>
        <v>229434</v>
      </c>
    </row>
    <row r="5862" spans="7:14" ht="11.25" customHeight="1" x14ac:dyDescent="0.3">
      <c r="G5862" s="459"/>
      <c r="H5862" s="459">
        <v>5855</v>
      </c>
      <c r="I5862" s="444">
        <f t="shared" ca="1" si="213"/>
        <v>-1.0680547604707504E+16</v>
      </c>
      <c r="J5862" s="444">
        <f t="array" ref="J5862">IFERROR(INDEX('Retirement Calculator'!J:J,MATCH('Isaac 401k'!N5862,'Retirement Calculator'!A:A,0),0),0)</f>
        <v>0</v>
      </c>
      <c r="K5862" s="444">
        <f t="shared" ca="1" si="211"/>
        <v>-44502281686281.266</v>
      </c>
      <c r="L5862" s="444">
        <f t="shared" ca="1" si="212"/>
        <v>-1.0725049886393786E+16</v>
      </c>
      <c r="M5862" s="460">
        <f t="shared" si="214"/>
        <v>0.05</v>
      </c>
      <c r="N5862" s="464">
        <f t="shared" si="215"/>
        <v>229465</v>
      </c>
    </row>
    <row r="5863" spans="7:14" ht="11.25" customHeight="1" x14ac:dyDescent="0.3">
      <c r="G5863" s="459"/>
      <c r="H5863" s="459">
        <v>5856</v>
      </c>
      <c r="I5863" s="444">
        <f t="shared" ca="1" si="213"/>
        <v>-1.0725049886393786E+16</v>
      </c>
      <c r="J5863" s="444">
        <f t="array" ref="J5863">IFERROR(INDEX('Retirement Calculator'!J:J,MATCH('Isaac 401k'!N5863,'Retirement Calculator'!A:A,0),0),0)</f>
        <v>0</v>
      </c>
      <c r="K5863" s="444">
        <f t="shared" ca="1" si="211"/>
        <v>-44687707859974.109</v>
      </c>
      <c r="L5863" s="444">
        <f t="shared" ca="1" si="212"/>
        <v>-1.076973759425376E+16</v>
      </c>
      <c r="M5863" s="460">
        <f t="shared" si="214"/>
        <v>0.05</v>
      </c>
      <c r="N5863" s="464">
        <f t="shared" si="215"/>
        <v>229495</v>
      </c>
    </row>
    <row r="5864" spans="7:14" ht="11.25" customHeight="1" x14ac:dyDescent="0.3">
      <c r="G5864" s="459"/>
      <c r="H5864" s="459">
        <v>5857</v>
      </c>
      <c r="I5864" s="444">
        <f t="shared" ca="1" si="213"/>
        <v>-1.076973759425376E+16</v>
      </c>
      <c r="J5864" s="444">
        <f t="array" ref="J5864">IFERROR(INDEX('Retirement Calculator'!J:J,MATCH('Isaac 401k'!N5864,'Retirement Calculator'!A:A,0),0),0)</f>
        <v>0</v>
      </c>
      <c r="K5864" s="444">
        <f t="shared" ca="1" si="211"/>
        <v>-44873906642724</v>
      </c>
      <c r="L5864" s="444">
        <f t="shared" ca="1" si="212"/>
        <v>-1.0814611500896484E+16</v>
      </c>
      <c r="M5864" s="460">
        <f t="shared" si="214"/>
        <v>0.05</v>
      </c>
      <c r="N5864" s="464">
        <f t="shared" si="215"/>
        <v>229526</v>
      </c>
    </row>
    <row r="5865" spans="7:14" ht="11.25" customHeight="1" x14ac:dyDescent="0.3">
      <c r="G5865" s="459"/>
      <c r="H5865" s="459">
        <v>5858</v>
      </c>
      <c r="I5865" s="444">
        <f t="shared" ca="1" si="213"/>
        <v>-1.0814611500896484E+16</v>
      </c>
      <c r="J5865" s="444">
        <f t="array" ref="J5865">IFERROR(INDEX('Retirement Calculator'!J:J,MATCH('Isaac 401k'!N5865,'Retirement Calculator'!A:A,0),0),0)</f>
        <v>0</v>
      </c>
      <c r="K5865" s="444">
        <f t="shared" ca="1" si="211"/>
        <v>-45060881253735.352</v>
      </c>
      <c r="L5865" s="444">
        <f t="shared" ca="1" si="212"/>
        <v>-1.085967238215022E+16</v>
      </c>
      <c r="M5865" s="460">
        <f t="shared" si="214"/>
        <v>0.05</v>
      </c>
      <c r="N5865" s="464">
        <f t="shared" si="215"/>
        <v>229556</v>
      </c>
    </row>
    <row r="5866" spans="7:14" ht="11.25" customHeight="1" x14ac:dyDescent="0.3">
      <c r="G5866" s="459"/>
      <c r="H5866" s="459">
        <v>5859</v>
      </c>
      <c r="I5866" s="444">
        <f t="shared" ca="1" si="213"/>
        <v>-1.085967238215022E+16</v>
      </c>
      <c r="J5866" s="444">
        <f t="array" ref="J5866">IFERROR(INDEX('Retirement Calculator'!J:J,MATCH('Isaac 401k'!N5866,'Retirement Calculator'!A:A,0),0),0)</f>
        <v>0</v>
      </c>
      <c r="K5866" s="444">
        <f t="shared" ca="1" si="211"/>
        <v>-45248634925625.914</v>
      </c>
      <c r="L5866" s="444">
        <f t="shared" ca="1" si="212"/>
        <v>-1.0904921017075846E+16</v>
      </c>
      <c r="M5866" s="460">
        <f t="shared" si="214"/>
        <v>0.05</v>
      </c>
      <c r="N5866" s="464">
        <f t="shared" si="215"/>
        <v>229587</v>
      </c>
    </row>
    <row r="5867" spans="7:14" ht="11.25" customHeight="1" x14ac:dyDescent="0.3">
      <c r="G5867" s="459"/>
      <c r="H5867" s="459">
        <v>5860</v>
      </c>
      <c r="I5867" s="444">
        <f t="shared" ca="1" si="213"/>
        <v>-1.0904921017075846E+16</v>
      </c>
      <c r="J5867" s="444">
        <f t="array" ref="J5867">IFERROR(INDEX('Retirement Calculator'!J:J,MATCH('Isaac 401k'!N5867,'Retirement Calculator'!A:A,0),0),0)</f>
        <v>0</v>
      </c>
      <c r="K5867" s="444">
        <f t="shared" ca="1" si="211"/>
        <v>-45437170904482.688</v>
      </c>
      <c r="L5867" s="444">
        <f t="shared" ca="1" si="212"/>
        <v>-1.0950358187980328E+16</v>
      </c>
      <c r="M5867" s="460">
        <f t="shared" si="214"/>
        <v>0.05</v>
      </c>
      <c r="N5867" s="464">
        <f t="shared" si="215"/>
        <v>229618</v>
      </c>
    </row>
    <row r="5868" spans="7:14" ht="11.25" customHeight="1" x14ac:dyDescent="0.3">
      <c r="G5868" s="459"/>
      <c r="H5868" s="459">
        <v>5861</v>
      </c>
      <c r="I5868" s="444">
        <f t="shared" ca="1" si="213"/>
        <v>-1.0950358187980328E+16</v>
      </c>
      <c r="J5868" s="444">
        <f t="array" ref="J5868">IFERROR(INDEX('Retirement Calculator'!J:J,MATCH('Isaac 401k'!N5868,'Retirement Calculator'!A:A,0),0),0)</f>
        <v>0</v>
      </c>
      <c r="K5868" s="444">
        <f t="shared" ca="1" si="211"/>
        <v>-45626492449918.031</v>
      </c>
      <c r="L5868" s="444">
        <f t="shared" ca="1" si="212"/>
        <v>-1.0995984680430246E+16</v>
      </c>
      <c r="M5868" s="460">
        <f t="shared" si="214"/>
        <v>0.05</v>
      </c>
      <c r="N5868" s="464">
        <f t="shared" si="215"/>
        <v>229648</v>
      </c>
    </row>
    <row r="5869" spans="7:14" ht="11.25" customHeight="1" x14ac:dyDescent="0.3">
      <c r="G5869" s="459"/>
      <c r="H5869" s="459">
        <v>5862</v>
      </c>
      <c r="I5869" s="444">
        <f t="shared" ca="1" si="213"/>
        <v>-1.0995984680430246E+16</v>
      </c>
      <c r="J5869" s="444">
        <f t="array" ref="J5869">IFERROR(INDEX('Retirement Calculator'!J:J,MATCH('Isaac 401k'!N5869,'Retirement Calculator'!A:A,0),0),0)</f>
        <v>0</v>
      </c>
      <c r="K5869" s="444">
        <f t="shared" ca="1" si="211"/>
        <v>-45816602835126.023</v>
      </c>
      <c r="L5869" s="444">
        <f t="shared" ca="1" si="212"/>
        <v>-1.1041801283265372E+16</v>
      </c>
      <c r="M5869" s="460">
        <f t="shared" si="214"/>
        <v>0.05</v>
      </c>
      <c r="N5869" s="464">
        <f t="shared" si="215"/>
        <v>229679</v>
      </c>
    </row>
    <row r="5870" spans="7:14" ht="11.25" customHeight="1" x14ac:dyDescent="0.3">
      <c r="G5870" s="459"/>
      <c r="H5870" s="459">
        <v>5863</v>
      </c>
      <c r="I5870" s="444">
        <f t="shared" ca="1" si="213"/>
        <v>-1.1041801283265372E+16</v>
      </c>
      <c r="J5870" s="444">
        <f t="array" ref="J5870">IFERROR(INDEX('Retirement Calculator'!J:J,MATCH('Isaac 401k'!N5870,'Retirement Calculator'!A:A,0),0),0)</f>
        <v>0</v>
      </c>
      <c r="K5870" s="444">
        <f t="shared" ca="1" si="211"/>
        <v>-46007505346939.047</v>
      </c>
      <c r="L5870" s="444">
        <f t="shared" ca="1" si="212"/>
        <v>-1.1087808788612312E+16</v>
      </c>
      <c r="M5870" s="460">
        <f t="shared" si="214"/>
        <v>0.05</v>
      </c>
      <c r="N5870" s="464">
        <f t="shared" si="215"/>
        <v>229709</v>
      </c>
    </row>
    <row r="5871" spans="7:14" ht="11.25" customHeight="1" x14ac:dyDescent="0.3">
      <c r="G5871" s="459"/>
      <c r="H5871" s="459">
        <v>5864</v>
      </c>
      <c r="I5871" s="444">
        <f t="shared" ca="1" si="213"/>
        <v>-1.1087808788612312E+16</v>
      </c>
      <c r="J5871" s="444">
        <f t="array" ref="J5871">IFERROR(INDEX('Retirement Calculator'!J:J,MATCH('Isaac 401k'!N5871,'Retirement Calculator'!A:A,0),0),0)</f>
        <v>0</v>
      </c>
      <c r="K5871" s="444">
        <f t="shared" ca="1" si="211"/>
        <v>-46199203285884.633</v>
      </c>
      <c r="L5871" s="444">
        <f t="shared" ca="1" si="212"/>
        <v>-1.1134007991898196E+16</v>
      </c>
      <c r="M5871" s="460">
        <f t="shared" si="214"/>
        <v>0.05</v>
      </c>
      <c r="N5871" s="464">
        <f t="shared" si="215"/>
        <v>229740</v>
      </c>
    </row>
    <row r="5872" spans="7:14" ht="11.25" customHeight="1" x14ac:dyDescent="0.3">
      <c r="G5872" s="459"/>
      <c r="H5872" s="459">
        <v>5865</v>
      </c>
      <c r="I5872" s="444">
        <f t="shared" ca="1" si="213"/>
        <v>-1.1134007991898196E+16</v>
      </c>
      <c r="J5872" s="444">
        <f t="array" ref="J5872">IFERROR(INDEX('Retirement Calculator'!J:J,MATCH('Isaac 401k'!N5872,'Retirement Calculator'!A:A,0),0),0)</f>
        <v>0</v>
      </c>
      <c r="K5872" s="444">
        <f t="shared" ca="1" si="211"/>
        <v>-46391699966242.484</v>
      </c>
      <c r="L5872" s="444">
        <f t="shared" ca="1" si="212"/>
        <v>-1.1180399691864438E+16</v>
      </c>
      <c r="M5872" s="460">
        <f t="shared" si="214"/>
        <v>0.05</v>
      </c>
      <c r="N5872" s="464">
        <f t="shared" si="215"/>
        <v>229771</v>
      </c>
    </row>
    <row r="5873" spans="7:14" ht="11.25" customHeight="1" x14ac:dyDescent="0.3">
      <c r="G5873" s="459"/>
      <c r="H5873" s="459">
        <v>5866</v>
      </c>
      <c r="I5873" s="444">
        <f t="shared" ca="1" si="213"/>
        <v>-1.1180399691864438E+16</v>
      </c>
      <c r="J5873" s="444">
        <f t="array" ref="J5873">IFERROR(INDEX('Retirement Calculator'!J:J,MATCH('Isaac 401k'!N5873,'Retirement Calculator'!A:A,0),0),0)</f>
        <v>0</v>
      </c>
      <c r="K5873" s="444">
        <f t="shared" ref="K5873:K6127" ca="1" si="216">IPMT(M5873/12,1,12,-I5873+J5873,,0)</f>
        <v>-46584998716101.828</v>
      </c>
      <c r="L5873" s="444">
        <f t="shared" ref="L5873:L6127" ca="1" si="217">I5873-J5873+K5873</f>
        <v>-1.122698469058054E+16</v>
      </c>
      <c r="M5873" s="460">
        <f t="shared" si="214"/>
        <v>0.05</v>
      </c>
      <c r="N5873" s="464">
        <f t="shared" si="215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18">L5873</f>
        <v>-1.122698469058054E+16</v>
      </c>
      <c r="J5874" s="444">
        <f t="array" ref="J5874">IFERROR(INDEX('Retirement Calculator'!J:J,MATCH('Isaac 401k'!N5874,'Retirement Calculator'!A:A,0),0),0)</f>
        <v>0</v>
      </c>
      <c r="K5874" s="444">
        <f t="shared" ca="1" si="216"/>
        <v>-46779102877418.914</v>
      </c>
      <c r="L5874" s="444">
        <f t="shared" ca="1" si="217"/>
        <v>-1.1273763793457958E+16</v>
      </c>
      <c r="M5874" s="460">
        <f t="shared" ref="M5874:M6128" si="219">M5873</f>
        <v>0.05</v>
      </c>
      <c r="N5874" s="464">
        <f t="shared" ref="N5874:N6128" si="220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18"/>
        <v>-1.1273763793457958E+16</v>
      </c>
      <c r="J5875" s="444">
        <f t="array" ref="J5875">IFERROR(INDEX('Retirement Calculator'!J:J,MATCH('Isaac 401k'!N5875,'Retirement Calculator'!A:A,0),0),0)</f>
        <v>0</v>
      </c>
      <c r="K5875" s="444">
        <f t="shared" ca="1" si="216"/>
        <v>-46974015806074.828</v>
      </c>
      <c r="L5875" s="444">
        <f t="shared" ca="1" si="217"/>
        <v>-1.1320737809264032E+16</v>
      </c>
      <c r="M5875" s="460">
        <f t="shared" si="219"/>
        <v>0.05</v>
      </c>
      <c r="N5875" s="464">
        <f t="shared" si="220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18"/>
        <v>-1.1320737809264032E+16</v>
      </c>
      <c r="J5876" s="444">
        <f t="array" ref="J5876">IFERROR(INDEX('Retirement Calculator'!J:J,MATCH('Isaac 401k'!N5876,'Retirement Calculator'!A:A,0),0),0)</f>
        <v>0</v>
      </c>
      <c r="K5876" s="444">
        <f t="shared" ca="1" si="216"/>
        <v>-47169740871933.469</v>
      </c>
      <c r="L5876" s="444">
        <f t="shared" ca="1" si="217"/>
        <v>-1.1367907550135966E+16</v>
      </c>
      <c r="M5876" s="460">
        <f t="shared" si="219"/>
        <v>0.05</v>
      </c>
      <c r="N5876" s="464">
        <f t="shared" si="220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18"/>
        <v>-1.1367907550135966E+16</v>
      </c>
      <c r="J5877" s="444">
        <f t="array" ref="J5877">IFERROR(INDEX('Retirement Calculator'!J:J,MATCH('Isaac 401k'!N5877,'Retirement Calculator'!A:A,0),0),0)</f>
        <v>0</v>
      </c>
      <c r="K5877" s="444">
        <f t="shared" ca="1" si="216"/>
        <v>-47366281458899.859</v>
      </c>
      <c r="L5877" s="444">
        <f t="shared" ca="1" si="217"/>
        <v>-1.1415273831594866E+16</v>
      </c>
      <c r="M5877" s="460">
        <f t="shared" si="219"/>
        <v>0.05</v>
      </c>
      <c r="N5877" s="464">
        <f t="shared" si="220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18"/>
        <v>-1.1415273831594866E+16</v>
      </c>
      <c r="J5878" s="444">
        <f t="array" ref="J5878">IFERROR(INDEX('Retirement Calculator'!J:J,MATCH('Isaac 401k'!N5878,'Retirement Calculator'!A:A,0),0),0)</f>
        <v>0</v>
      </c>
      <c r="K5878" s="444">
        <f t="shared" ca="1" si="216"/>
        <v>-47563640964978.609</v>
      </c>
      <c r="L5878" s="444">
        <f t="shared" ca="1" si="217"/>
        <v>-1.1462837472559844E+16</v>
      </c>
      <c r="M5878" s="460">
        <f t="shared" si="219"/>
        <v>0.05</v>
      </c>
      <c r="N5878" s="464">
        <f t="shared" si="220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18"/>
        <v>-1.1462837472559844E+16</v>
      </c>
      <c r="J5879" s="444">
        <f t="array" ref="J5879">IFERROR(INDEX('Retirement Calculator'!J:J,MATCH('Isaac 401k'!N5879,'Retirement Calculator'!A:A,0),0),0)</f>
        <v>0</v>
      </c>
      <c r="K5879" s="444">
        <f t="shared" ca="1" si="216"/>
        <v>-47761822802332.68</v>
      </c>
      <c r="L5879" s="444">
        <f t="shared" ca="1" si="217"/>
        <v>-1.1510599295362176E+16</v>
      </c>
      <c r="M5879" s="460">
        <f t="shared" si="219"/>
        <v>0.05</v>
      </c>
      <c r="N5879" s="464">
        <f t="shared" si="220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18"/>
        <v>-1.1510599295362176E+16</v>
      </c>
      <c r="J5880" s="444">
        <f t="array" ref="J5880">IFERROR(INDEX('Retirement Calculator'!J:J,MATCH('Isaac 401k'!N5880,'Retirement Calculator'!A:A,0),0),0)</f>
        <v>0</v>
      </c>
      <c r="K5880" s="444">
        <f t="shared" ca="1" si="216"/>
        <v>-47960830397342.398</v>
      </c>
      <c r="L5880" s="444">
        <f t="shared" ca="1" si="217"/>
        <v>-1.1558560125759518E+16</v>
      </c>
      <c r="M5880" s="460">
        <f t="shared" si="219"/>
        <v>0.05</v>
      </c>
      <c r="N5880" s="464">
        <f t="shared" si="220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18"/>
        <v>-1.1558560125759518E+16</v>
      </c>
      <c r="J5881" s="444">
        <f t="array" ref="J5881">IFERROR(INDEX('Retirement Calculator'!J:J,MATCH('Isaac 401k'!N5881,'Retirement Calculator'!A:A,0),0),0)</f>
        <v>0</v>
      </c>
      <c r="K5881" s="444">
        <f t="shared" ca="1" si="216"/>
        <v>-48160667190664.656</v>
      </c>
      <c r="L5881" s="444">
        <f t="shared" ca="1" si="217"/>
        <v>-1.1606720792950182E+16</v>
      </c>
      <c r="M5881" s="460">
        <f t="shared" si="219"/>
        <v>0.05</v>
      </c>
      <c r="N5881" s="464">
        <f t="shared" si="220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18"/>
        <v>-1.1606720792950182E+16</v>
      </c>
      <c r="J5882" s="444">
        <f t="array" ref="J5882">IFERROR(INDEX('Retirement Calculator'!J:J,MATCH('Isaac 401k'!N5882,'Retirement Calculator'!A:A,0),0),0)</f>
        <v>0</v>
      </c>
      <c r="K5882" s="444">
        <f t="shared" ca="1" si="216"/>
        <v>-48361336637292.422</v>
      </c>
      <c r="L5882" s="444">
        <f t="shared" ca="1" si="217"/>
        <v>-1.1655082129587474E+16</v>
      </c>
      <c r="M5882" s="460">
        <f t="shared" si="219"/>
        <v>0.05</v>
      </c>
      <c r="N5882" s="464">
        <f t="shared" si="220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18"/>
        <v>-1.1655082129587474E+16</v>
      </c>
      <c r="J5883" s="444">
        <f t="array" ref="J5883">IFERROR(INDEX('Retirement Calculator'!J:J,MATCH('Isaac 401k'!N5883,'Retirement Calculator'!A:A,0),0),0)</f>
        <v>0</v>
      </c>
      <c r="K5883" s="444">
        <f t="shared" ca="1" si="216"/>
        <v>-48562842206614.477</v>
      </c>
      <c r="L5883" s="444">
        <f t="shared" ca="1" si="217"/>
        <v>-1.1703644971794088E+16</v>
      </c>
      <c r="M5883" s="460">
        <f t="shared" si="219"/>
        <v>0.05</v>
      </c>
      <c r="N5883" s="464">
        <f t="shared" si="220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18"/>
        <v>-1.1703644971794088E+16</v>
      </c>
      <c r="J5884" s="444">
        <f t="array" ref="J5884">IFERROR(INDEX('Retirement Calculator'!J:J,MATCH('Isaac 401k'!N5884,'Retirement Calculator'!A:A,0),0),0)</f>
        <v>0</v>
      </c>
      <c r="K5884" s="444">
        <f t="shared" ca="1" si="216"/>
        <v>-48765187382475.367</v>
      </c>
      <c r="L5884" s="444">
        <f t="shared" ca="1" si="217"/>
        <v>-1.1752410159176564E+16</v>
      </c>
      <c r="M5884" s="460">
        <f t="shared" si="219"/>
        <v>0.05</v>
      </c>
      <c r="N5884" s="464">
        <f t="shared" si="220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18"/>
        <v>-1.1752410159176564E+16</v>
      </c>
      <c r="J5885" s="444">
        <f t="array" ref="J5885">IFERROR(INDEX('Retirement Calculator'!J:J,MATCH('Isaac 401k'!N5885,'Retirement Calculator'!A:A,0),0),0)</f>
        <v>0</v>
      </c>
      <c r="K5885" s="444">
        <f t="shared" ca="1" si="216"/>
        <v>-48968375663235.68</v>
      </c>
      <c r="L5885" s="444">
        <f t="shared" ca="1" si="217"/>
        <v>-1.18013785348398E+16</v>
      </c>
      <c r="M5885" s="460">
        <f t="shared" si="219"/>
        <v>0.05</v>
      </c>
      <c r="N5885" s="464">
        <f t="shared" si="220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18"/>
        <v>-1.18013785348398E+16</v>
      </c>
      <c r="J5886" s="444">
        <f t="array" ref="J5886">IFERROR(INDEX('Retirement Calculator'!J:J,MATCH('Isaac 401k'!N5886,'Retirement Calculator'!A:A,0),0),0)</f>
        <v>0</v>
      </c>
      <c r="K5886" s="444">
        <f t="shared" ca="1" si="216"/>
        <v>-49172410561832.5</v>
      </c>
      <c r="L5886" s="444">
        <f t="shared" ca="1" si="217"/>
        <v>-1.1850550945401632E+16</v>
      </c>
      <c r="M5886" s="460">
        <f t="shared" si="219"/>
        <v>0.05</v>
      </c>
      <c r="N5886" s="464">
        <f t="shared" si="220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18"/>
        <v>-1.1850550945401632E+16</v>
      </c>
      <c r="J5887" s="444">
        <f t="array" ref="J5887">IFERROR(INDEX('Retirement Calculator'!J:J,MATCH('Isaac 401k'!N5887,'Retirement Calculator'!A:A,0),0),0)</f>
        <v>0</v>
      </c>
      <c r="K5887" s="444">
        <f t="shared" ca="1" si="216"/>
        <v>-49377295605840.133</v>
      </c>
      <c r="L5887" s="444">
        <f t="shared" ca="1" si="217"/>
        <v>-1.1899928241007472E+16</v>
      </c>
      <c r="M5887" s="460">
        <f t="shared" si="219"/>
        <v>0.05</v>
      </c>
      <c r="N5887" s="464">
        <f t="shared" si="220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18"/>
        <v>-1.1899928241007472E+16</v>
      </c>
      <c r="J5888" s="444">
        <f t="array" ref="J5888">IFERROR(INDEX('Retirement Calculator'!J:J,MATCH('Isaac 401k'!N5888,'Retirement Calculator'!A:A,0),0),0)</f>
        <v>0</v>
      </c>
      <c r="K5888" s="444">
        <f t="shared" ca="1" si="216"/>
        <v>-49583034337531.133</v>
      </c>
      <c r="L5888" s="444">
        <f t="shared" ca="1" si="217"/>
        <v>-1.1949511275345004E+16</v>
      </c>
      <c r="M5888" s="460">
        <f t="shared" si="219"/>
        <v>0.05</v>
      </c>
      <c r="N5888" s="464">
        <f t="shared" si="220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18"/>
        <v>-1.1949511275345004E+16</v>
      </c>
      <c r="J5889" s="444">
        <f t="array" ref="J5889">IFERROR(INDEX('Retirement Calculator'!J:J,MATCH('Isaac 401k'!N5889,'Retirement Calculator'!A:A,0),0),0)</f>
        <v>0</v>
      </c>
      <c r="K5889" s="444">
        <f t="shared" ca="1" si="216"/>
        <v>-49789630313937.516</v>
      </c>
      <c r="L5889" s="444">
        <f t="shared" ca="1" si="217"/>
        <v>-1.1999300905658942E+16</v>
      </c>
      <c r="M5889" s="460">
        <f t="shared" si="219"/>
        <v>0.05</v>
      </c>
      <c r="N5889" s="464">
        <f t="shared" si="220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18"/>
        <v>-1.1999300905658942E+16</v>
      </c>
      <c r="J5890" s="444">
        <f t="array" ref="J5890">IFERROR(INDEX('Retirement Calculator'!J:J,MATCH('Isaac 401k'!N5890,'Retirement Calculator'!A:A,0),0),0)</f>
        <v>0</v>
      </c>
      <c r="K5890" s="444">
        <f t="shared" ca="1" si="216"/>
        <v>-49997087106912.258</v>
      </c>
      <c r="L5890" s="444">
        <f t="shared" ca="1" si="217"/>
        <v>-1.2049297992765854E+16</v>
      </c>
      <c r="M5890" s="460">
        <f t="shared" si="219"/>
        <v>0.05</v>
      </c>
      <c r="N5890" s="464">
        <f t="shared" si="220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18"/>
        <v>-1.2049297992765854E+16</v>
      </c>
      <c r="J5891" s="444">
        <f t="array" ref="J5891">IFERROR(INDEX('Retirement Calculator'!J:J,MATCH('Isaac 401k'!N5891,'Retirement Calculator'!A:A,0),0),0)</f>
        <v>0</v>
      </c>
      <c r="K5891" s="444">
        <f t="shared" ca="1" si="216"/>
        <v>-50205408303191.055</v>
      </c>
      <c r="L5891" s="444">
        <f t="shared" ca="1" si="217"/>
        <v>-1.2099503401069046E+16</v>
      </c>
      <c r="M5891" s="460">
        <f t="shared" si="219"/>
        <v>0.05</v>
      </c>
      <c r="N5891" s="464">
        <f t="shared" si="220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18"/>
        <v>-1.2099503401069046E+16</v>
      </c>
      <c r="J5892" s="444">
        <f t="array" ref="J5892">IFERROR(INDEX('Retirement Calculator'!J:J,MATCH('Isaac 401k'!N5892,'Retirement Calculator'!A:A,0),0),0)</f>
        <v>0</v>
      </c>
      <c r="K5892" s="444">
        <f t="shared" ca="1" si="216"/>
        <v>-50414597504454.359</v>
      </c>
      <c r="L5892" s="444">
        <f t="shared" ca="1" si="217"/>
        <v>-1.21499179985735E+16</v>
      </c>
      <c r="M5892" s="460">
        <f t="shared" si="219"/>
        <v>0.05</v>
      </c>
      <c r="N5892" s="464">
        <f t="shared" si="220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18"/>
        <v>-1.21499179985735E+16</v>
      </c>
      <c r="J5893" s="444">
        <f t="array" ref="J5893">IFERROR(INDEX('Retirement Calculator'!J:J,MATCH('Isaac 401k'!N5893,'Retirement Calculator'!A:A,0),0),0)</f>
        <v>0</v>
      </c>
      <c r="K5893" s="444">
        <f t="shared" ca="1" si="216"/>
        <v>-50624658327389.586</v>
      </c>
      <c r="L5893" s="444">
        <f t="shared" ca="1" si="217"/>
        <v>-1.220054265690089E+16</v>
      </c>
      <c r="M5893" s="460">
        <f t="shared" si="219"/>
        <v>0.05</v>
      </c>
      <c r="N5893" s="464">
        <f t="shared" si="220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18"/>
        <v>-1.220054265690089E+16</v>
      </c>
      <c r="J5894" s="444">
        <f t="array" ref="J5894">IFERROR(INDEX('Retirement Calculator'!J:J,MATCH('Isaac 401k'!N5894,'Retirement Calculator'!A:A,0),0),0)</f>
        <v>0</v>
      </c>
      <c r="K5894" s="444">
        <f t="shared" ca="1" si="216"/>
        <v>-50835594403753.711</v>
      </c>
      <c r="L5894" s="444">
        <f t="shared" ca="1" si="217"/>
        <v>-1.2251378251304644E+16</v>
      </c>
      <c r="M5894" s="460">
        <f t="shared" si="219"/>
        <v>0.05</v>
      </c>
      <c r="N5894" s="464">
        <f t="shared" si="220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18"/>
        <v>-1.2251378251304644E+16</v>
      </c>
      <c r="J5895" s="444">
        <f t="array" ref="J5895">IFERROR(INDEX('Retirement Calculator'!J:J,MATCH('Isaac 401k'!N5895,'Retirement Calculator'!A:A,0),0),0)</f>
        <v>0</v>
      </c>
      <c r="K5895" s="444">
        <f t="shared" ca="1" si="216"/>
        <v>-51047409380436.016</v>
      </c>
      <c r="L5895" s="444">
        <f t="shared" ca="1" si="217"/>
        <v>-1.230242566068508E+16</v>
      </c>
      <c r="M5895" s="460">
        <f t="shared" si="219"/>
        <v>0.05</v>
      </c>
      <c r="N5895" s="464">
        <f t="shared" si="220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18"/>
        <v>-1.230242566068508E+16</v>
      </c>
      <c r="J5896" s="444">
        <f t="array" ref="J5896">IFERROR(INDEX('Retirement Calculator'!J:J,MATCH('Isaac 401k'!N5896,'Retirement Calculator'!A:A,0),0),0)</f>
        <v>0</v>
      </c>
      <c r="K5896" s="444">
        <f t="shared" ca="1" si="216"/>
        <v>-51260106919521.164</v>
      </c>
      <c r="L5896" s="444">
        <f t="shared" ca="1" si="217"/>
        <v>-1.2353685767604602E+16</v>
      </c>
      <c r="M5896" s="460">
        <f t="shared" si="219"/>
        <v>0.05</v>
      </c>
      <c r="N5896" s="464">
        <f t="shared" si="220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18"/>
        <v>-1.2353685767604602E+16</v>
      </c>
      <c r="J5897" s="444">
        <f t="array" ref="J5897">IFERROR(INDEX('Retirement Calculator'!J:J,MATCH('Isaac 401k'!N5897,'Retirement Calculator'!A:A,0),0),0)</f>
        <v>0</v>
      </c>
      <c r="K5897" s="444">
        <f t="shared" ca="1" si="216"/>
        <v>-51473690698352.508</v>
      </c>
      <c r="L5897" s="444">
        <f t="shared" ca="1" si="217"/>
        <v>-1.2405159458302954E+16</v>
      </c>
      <c r="M5897" s="460">
        <f t="shared" si="219"/>
        <v>0.05</v>
      </c>
      <c r="N5897" s="464">
        <f t="shared" si="220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18"/>
        <v>-1.2405159458302954E+16</v>
      </c>
      <c r="J5898" s="444">
        <f t="array" ref="J5898">IFERROR(INDEX('Retirement Calculator'!J:J,MATCH('Isaac 401k'!N5898,'Retirement Calculator'!A:A,0),0),0)</f>
        <v>0</v>
      </c>
      <c r="K5898" s="444">
        <f t="shared" ca="1" si="216"/>
        <v>-51688164409595.641</v>
      </c>
      <c r="L5898" s="444">
        <f t="shared" ca="1" si="217"/>
        <v>-1.245684762271255E+16</v>
      </c>
      <c r="M5898" s="460">
        <f t="shared" si="219"/>
        <v>0.05</v>
      </c>
      <c r="N5898" s="464">
        <f t="shared" si="220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18"/>
        <v>-1.245684762271255E+16</v>
      </c>
      <c r="J5899" s="444">
        <f t="array" ref="J5899">IFERROR(INDEX('Retirement Calculator'!J:J,MATCH('Isaac 401k'!N5899,'Retirement Calculator'!A:A,0),0),0)</f>
        <v>0</v>
      </c>
      <c r="K5899" s="444">
        <f t="shared" ca="1" si="216"/>
        <v>-51903531761302.289</v>
      </c>
      <c r="L5899" s="444">
        <f t="shared" ca="1" si="217"/>
        <v>-1.2508751154473852E+16</v>
      </c>
      <c r="M5899" s="460">
        <f t="shared" si="219"/>
        <v>0.05</v>
      </c>
      <c r="N5899" s="464">
        <f t="shared" si="220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18"/>
        <v>-1.2508751154473852E+16</v>
      </c>
      <c r="J5900" s="444">
        <f t="array" ref="J5900">IFERROR(INDEX('Retirement Calculator'!J:J,MATCH('Isaac 401k'!N5900,'Retirement Calculator'!A:A,0),0),0)</f>
        <v>0</v>
      </c>
      <c r="K5900" s="444">
        <f t="shared" ca="1" si="216"/>
        <v>-52119796476974.383</v>
      </c>
      <c r="L5900" s="444">
        <f t="shared" ca="1" si="217"/>
        <v>-1.2560870950950826E+16</v>
      </c>
      <c r="M5900" s="460">
        <f t="shared" si="219"/>
        <v>0.05</v>
      </c>
      <c r="N5900" s="464">
        <f t="shared" si="220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18"/>
        <v>-1.2560870950950826E+16</v>
      </c>
      <c r="J5901" s="444">
        <f t="array" ref="J5901">IFERROR(INDEX('Retirement Calculator'!J:J,MATCH('Isaac 401k'!N5901,'Retirement Calculator'!A:A,0),0),0)</f>
        <v>0</v>
      </c>
      <c r="K5901" s="444">
        <f t="shared" ca="1" si="216"/>
        <v>-52336962295628.438</v>
      </c>
      <c r="L5901" s="444">
        <f t="shared" ca="1" si="217"/>
        <v>-1.2613207913246454E+16</v>
      </c>
      <c r="M5901" s="460">
        <f t="shared" si="219"/>
        <v>0.05</v>
      </c>
      <c r="N5901" s="464">
        <f t="shared" si="220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18"/>
        <v>-1.2613207913246454E+16</v>
      </c>
      <c r="J5902" s="444">
        <f t="array" ref="J5902">IFERROR(INDEX('Retirement Calculator'!J:J,MATCH('Isaac 401k'!N5902,'Retirement Calculator'!A:A,0),0),0)</f>
        <v>0</v>
      </c>
      <c r="K5902" s="444">
        <f t="shared" ca="1" si="216"/>
        <v>-52555032971860.227</v>
      </c>
      <c r="L5902" s="444">
        <f t="shared" ca="1" si="217"/>
        <v>-1.2665762946218314E+16</v>
      </c>
      <c r="M5902" s="460">
        <f t="shared" si="219"/>
        <v>0.05</v>
      </c>
      <c r="N5902" s="464">
        <f t="shared" si="220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18"/>
        <v>-1.2665762946218314E+16</v>
      </c>
      <c r="J5903" s="444">
        <f t="array" ref="J5903">IFERROR(INDEX('Retirement Calculator'!J:J,MATCH('Isaac 401k'!N5903,'Retirement Calculator'!A:A,0),0),0)</f>
        <v>0</v>
      </c>
      <c r="K5903" s="444">
        <f t="shared" ca="1" si="216"/>
        <v>-52774012275909.641</v>
      </c>
      <c r="L5903" s="444">
        <f t="shared" ca="1" si="217"/>
        <v>-1.2718536958494224E+16</v>
      </c>
      <c r="M5903" s="460">
        <f t="shared" si="219"/>
        <v>0.05</v>
      </c>
      <c r="N5903" s="464">
        <f t="shared" si="220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18"/>
        <v>-1.2718536958494224E+16</v>
      </c>
      <c r="J5904" s="444">
        <f t="array" ref="J5904">IFERROR(INDEX('Retirement Calculator'!J:J,MATCH('Isaac 401k'!N5904,'Retirement Calculator'!A:A,0),0),0)</f>
        <v>0</v>
      </c>
      <c r="K5904" s="444">
        <f t="shared" ca="1" si="216"/>
        <v>-52993903993725.93</v>
      </c>
      <c r="L5904" s="444">
        <f t="shared" ca="1" si="217"/>
        <v>-1.277153086248795E+16</v>
      </c>
      <c r="M5904" s="460">
        <f t="shared" si="219"/>
        <v>0.05</v>
      </c>
      <c r="N5904" s="464">
        <f t="shared" si="220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18"/>
        <v>-1.277153086248795E+16</v>
      </c>
      <c r="J5905" s="444">
        <f t="array" ref="J5905">IFERROR(INDEX('Retirement Calculator'!J:J,MATCH('Isaac 401k'!N5905,'Retirement Calculator'!A:A,0),0),0)</f>
        <v>0</v>
      </c>
      <c r="K5905" s="444">
        <f t="shared" ca="1" si="216"/>
        <v>-53214711927033.125</v>
      </c>
      <c r="L5905" s="444">
        <f t="shared" ca="1" si="217"/>
        <v>-1.2824745574414984E+16</v>
      </c>
      <c r="M5905" s="460">
        <f t="shared" si="219"/>
        <v>0.05</v>
      </c>
      <c r="N5905" s="464">
        <f t="shared" si="220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18"/>
        <v>-1.2824745574414984E+16</v>
      </c>
      <c r="J5906" s="444">
        <f t="array" ref="J5906">IFERROR(INDEX('Retirement Calculator'!J:J,MATCH('Isaac 401k'!N5906,'Retirement Calculator'!A:A,0),0),0)</f>
        <v>0</v>
      </c>
      <c r="K5906" s="444">
        <f t="shared" ca="1" si="216"/>
        <v>-53436439893395.766</v>
      </c>
      <c r="L5906" s="444">
        <f t="shared" ca="1" si="217"/>
        <v>-1.287818201430838E+16</v>
      </c>
      <c r="M5906" s="460">
        <f t="shared" si="219"/>
        <v>0.05</v>
      </c>
      <c r="N5906" s="464">
        <f t="shared" si="220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18"/>
        <v>-1.287818201430838E+16</v>
      </c>
      <c r="J5907" s="444">
        <f t="array" ref="J5907">IFERROR(INDEX('Retirement Calculator'!J:J,MATCH('Isaac 401k'!N5907,'Retirement Calculator'!A:A,0),0),0)</f>
        <v>0</v>
      </c>
      <c r="K5907" s="444">
        <f t="shared" ca="1" si="216"/>
        <v>-53659091726284.914</v>
      </c>
      <c r="L5907" s="444">
        <f t="shared" ca="1" si="217"/>
        <v>-1.2931841106034664E+16</v>
      </c>
      <c r="M5907" s="460">
        <f t="shared" si="219"/>
        <v>0.05</v>
      </c>
      <c r="N5907" s="464">
        <f t="shared" si="220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18"/>
        <v>-1.2931841106034664E+16</v>
      </c>
      <c r="J5908" s="444">
        <f t="array" ref="J5908">IFERROR(INDEX('Retirement Calculator'!J:J,MATCH('Isaac 401k'!N5908,'Retirement Calculator'!A:A,0),0),0)</f>
        <v>0</v>
      </c>
      <c r="K5908" s="444">
        <f t="shared" ca="1" si="216"/>
        <v>-53882671275144.43</v>
      </c>
      <c r="L5908" s="444">
        <f t="shared" ca="1" si="217"/>
        <v>-1.2985723777309808E+16</v>
      </c>
      <c r="M5908" s="460">
        <f t="shared" si="219"/>
        <v>0.05</v>
      </c>
      <c r="N5908" s="464">
        <f t="shared" si="220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18"/>
        <v>-1.2985723777309808E+16</v>
      </c>
      <c r="J5909" s="444">
        <f t="array" ref="J5909">IFERROR(INDEX('Retirement Calculator'!J:J,MATCH('Isaac 401k'!N5909,'Retirement Calculator'!A:A,0),0),0)</f>
        <v>0</v>
      </c>
      <c r="K5909" s="444">
        <f t="shared" ca="1" si="216"/>
        <v>-54107182405457.531</v>
      </c>
      <c r="L5909" s="444">
        <f t="shared" ca="1" si="217"/>
        <v>-1.3039830959715266E+16</v>
      </c>
      <c r="M5909" s="460">
        <f t="shared" si="219"/>
        <v>0.05</v>
      </c>
      <c r="N5909" s="464">
        <f t="shared" si="220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18"/>
        <v>-1.3039830959715266E+16</v>
      </c>
      <c r="J5910" s="444">
        <f t="array" ref="J5910">IFERROR(INDEX('Retirement Calculator'!J:J,MATCH('Isaac 401k'!N5910,'Retirement Calculator'!A:A,0),0),0)</f>
        <v>0</v>
      </c>
      <c r="K5910" s="444">
        <f t="shared" ca="1" si="216"/>
        <v>-54332628998813.609</v>
      </c>
      <c r="L5910" s="444">
        <f t="shared" ca="1" si="217"/>
        <v>-1.309416358871408E+16</v>
      </c>
      <c r="M5910" s="460">
        <f t="shared" si="219"/>
        <v>0.05</v>
      </c>
      <c r="N5910" s="464">
        <f t="shared" si="220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18"/>
        <v>-1.309416358871408E+16</v>
      </c>
      <c r="J5911" s="444">
        <f t="array" ref="J5911">IFERROR(INDEX('Retirement Calculator'!J:J,MATCH('Isaac 401k'!N5911,'Retirement Calculator'!A:A,0),0),0)</f>
        <v>0</v>
      </c>
      <c r="K5911" s="444">
        <f t="shared" ca="1" si="216"/>
        <v>-54559014952975.336</v>
      </c>
      <c r="L5911" s="444">
        <f t="shared" ca="1" si="217"/>
        <v>-1.3148722603667056E+16</v>
      </c>
      <c r="M5911" s="460">
        <f t="shared" si="219"/>
        <v>0.05</v>
      </c>
      <c r="N5911" s="464">
        <f t="shared" si="220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18"/>
        <v>-1.3148722603667056E+16</v>
      </c>
      <c r="J5912" s="444">
        <f t="array" ref="J5912">IFERROR(INDEX('Retirement Calculator'!J:J,MATCH('Isaac 401k'!N5912,'Retirement Calculator'!A:A,0),0),0)</f>
        <v>0</v>
      </c>
      <c r="K5912" s="444">
        <f t="shared" ca="1" si="216"/>
        <v>-54786344181946.063</v>
      </c>
      <c r="L5912" s="444">
        <f t="shared" ca="1" si="217"/>
        <v>-1.3203508947849002E+16</v>
      </c>
      <c r="M5912" s="460">
        <f t="shared" si="219"/>
        <v>0.05</v>
      </c>
      <c r="N5912" s="464">
        <f t="shared" si="220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18"/>
        <v>-1.3203508947849002E+16</v>
      </c>
      <c r="J5913" s="444">
        <f t="array" ref="J5913">IFERROR(INDEX('Retirement Calculator'!J:J,MATCH('Isaac 401k'!N5913,'Retirement Calculator'!A:A,0),0),0)</f>
        <v>0</v>
      </c>
      <c r="K5913" s="444">
        <f t="shared" ca="1" si="216"/>
        <v>-55014620616037.508</v>
      </c>
      <c r="L5913" s="444">
        <f t="shared" ca="1" si="217"/>
        <v>-1.325852356846504E+16</v>
      </c>
      <c r="M5913" s="460">
        <f t="shared" si="219"/>
        <v>0.05</v>
      </c>
      <c r="N5913" s="464">
        <f t="shared" si="220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18"/>
        <v>-1.325852356846504E+16</v>
      </c>
      <c r="J5914" s="444">
        <f t="array" ref="J5914">IFERROR(INDEX('Retirement Calculator'!J:J,MATCH('Isaac 401k'!N5914,'Retirement Calculator'!A:A,0),0),0)</f>
        <v>0</v>
      </c>
      <c r="K5914" s="444">
        <f t="shared" ca="1" si="216"/>
        <v>-55243848201937.664</v>
      </c>
      <c r="L5914" s="444">
        <f t="shared" ca="1" si="217"/>
        <v>-1.3313767416666978E+16</v>
      </c>
      <c r="M5914" s="460">
        <f t="shared" si="219"/>
        <v>0.05</v>
      </c>
      <c r="N5914" s="464">
        <f t="shared" si="220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18"/>
        <v>-1.3313767416666978E+16</v>
      </c>
      <c r="J5915" s="444">
        <f t="array" ref="J5915">IFERROR(INDEX('Retirement Calculator'!J:J,MATCH('Isaac 401k'!N5915,'Retirement Calculator'!A:A,0),0),0)</f>
        <v>0</v>
      </c>
      <c r="K5915" s="444">
        <f t="shared" ca="1" si="216"/>
        <v>-55474030902779.078</v>
      </c>
      <c r="L5915" s="444">
        <f t="shared" ca="1" si="217"/>
        <v>-1.3369241447569758E+16</v>
      </c>
      <c r="M5915" s="460">
        <f t="shared" si="219"/>
        <v>0.05</v>
      </c>
      <c r="N5915" s="464">
        <f t="shared" si="220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18"/>
        <v>-1.3369241447569758E+16</v>
      </c>
      <c r="J5916" s="444">
        <f t="array" ref="J5916">IFERROR(INDEX('Retirement Calculator'!J:J,MATCH('Isaac 401k'!N5916,'Retirement Calculator'!A:A,0),0),0)</f>
        <v>0</v>
      </c>
      <c r="K5916" s="444">
        <f t="shared" ca="1" si="216"/>
        <v>-55705172698207.328</v>
      </c>
      <c r="L5916" s="444">
        <f t="shared" ca="1" si="217"/>
        <v>-1.3424946620267966E+16</v>
      </c>
      <c r="M5916" s="460">
        <f t="shared" si="219"/>
        <v>0.05</v>
      </c>
      <c r="N5916" s="464">
        <f t="shared" si="220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18"/>
        <v>-1.3424946620267966E+16</v>
      </c>
      <c r="J5917" s="444">
        <f t="array" ref="J5917">IFERROR(INDEX('Retirement Calculator'!J:J,MATCH('Isaac 401k'!N5917,'Retirement Calculator'!A:A,0),0),0)</f>
        <v>0</v>
      </c>
      <c r="K5917" s="444">
        <f t="shared" ca="1" si="216"/>
        <v>-55937277584449.859</v>
      </c>
      <c r="L5917" s="444">
        <f t="shared" ca="1" si="217"/>
        <v>-1.3480883897852416E+16</v>
      </c>
      <c r="M5917" s="460">
        <f t="shared" si="219"/>
        <v>0.05</v>
      </c>
      <c r="N5917" s="464">
        <f t="shared" si="220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18"/>
        <v>-1.3480883897852416E+16</v>
      </c>
      <c r="J5918" s="444">
        <f t="array" ref="J5918">IFERROR(INDEX('Retirement Calculator'!J:J,MATCH('Isaac 401k'!N5918,'Retirement Calculator'!A:A,0),0),0)</f>
        <v>0</v>
      </c>
      <c r="K5918" s="444">
        <f t="shared" ca="1" si="216"/>
        <v>-56170349574385.063</v>
      </c>
      <c r="L5918" s="444">
        <f t="shared" ca="1" si="217"/>
        <v>-1.3537054247426802E+16</v>
      </c>
      <c r="M5918" s="460">
        <f t="shared" si="219"/>
        <v>0.05</v>
      </c>
      <c r="N5918" s="464">
        <f t="shared" si="220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18"/>
        <v>-1.3537054247426802E+16</v>
      </c>
      <c r="J5919" s="444">
        <f t="array" ref="J5919">IFERROR(INDEX('Retirement Calculator'!J:J,MATCH('Isaac 401k'!N5919,'Retirement Calculator'!A:A,0),0),0)</f>
        <v>0</v>
      </c>
      <c r="K5919" s="444">
        <f t="shared" ca="1" si="216"/>
        <v>-56404392697611.672</v>
      </c>
      <c r="L5919" s="444">
        <f t="shared" ca="1" si="217"/>
        <v>-1.3593458640124414E+16</v>
      </c>
      <c r="M5919" s="460">
        <f t="shared" si="219"/>
        <v>0.05</v>
      </c>
      <c r="N5919" s="464">
        <f t="shared" si="220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18"/>
        <v>-1.3593458640124414E+16</v>
      </c>
      <c r="J5920" s="444">
        <f t="array" ref="J5920">IFERROR(INDEX('Retirement Calculator'!J:J,MATCH('Isaac 401k'!N5920,'Retirement Calculator'!A:A,0),0),0)</f>
        <v>0</v>
      </c>
      <c r="K5920" s="444">
        <f t="shared" ca="1" si="216"/>
        <v>-56639411000518.391</v>
      </c>
      <c r="L5920" s="444">
        <f t="shared" ca="1" si="217"/>
        <v>-1.3650098051124932E+16</v>
      </c>
      <c r="M5920" s="460">
        <f t="shared" si="219"/>
        <v>0.05</v>
      </c>
      <c r="N5920" s="464">
        <f t="shared" si="220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18"/>
        <v>-1.3650098051124932E+16</v>
      </c>
      <c r="J5921" s="444">
        <f t="array" ref="J5921">IFERROR(INDEX('Retirement Calculator'!J:J,MATCH('Isaac 401k'!N5921,'Retirement Calculator'!A:A,0),0),0)</f>
        <v>0</v>
      </c>
      <c r="K5921" s="444">
        <f t="shared" ca="1" si="216"/>
        <v>-56875408546353.883</v>
      </c>
      <c r="L5921" s="444">
        <f t="shared" ca="1" si="217"/>
        <v>-1.3706973459671286E+16</v>
      </c>
      <c r="M5921" s="460">
        <f t="shared" si="219"/>
        <v>0.05</v>
      </c>
      <c r="N5921" s="464">
        <f t="shared" si="220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18"/>
        <v>-1.3706973459671286E+16</v>
      </c>
      <c r="J5922" s="444">
        <f t="array" ref="J5922">IFERROR(INDEX('Retirement Calculator'!J:J,MATCH('Isaac 401k'!N5922,'Retirement Calculator'!A:A,0),0),0)</f>
        <v>0</v>
      </c>
      <c r="K5922" s="444">
        <f t="shared" ca="1" si="216"/>
        <v>-57112389415297.023</v>
      </c>
      <c r="L5922" s="444">
        <f t="shared" ca="1" si="217"/>
        <v>-1.3764085849086584E+16</v>
      </c>
      <c r="M5922" s="460">
        <f t="shared" si="219"/>
        <v>0.05</v>
      </c>
      <c r="N5922" s="464">
        <f t="shared" si="220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18"/>
        <v>-1.3764085849086584E+16</v>
      </c>
      <c r="J5923" s="444">
        <f t="array" ref="J5923">IFERROR(INDEX('Retirement Calculator'!J:J,MATCH('Isaac 401k'!N5923,'Retirement Calculator'!A:A,0),0),0)</f>
        <v>0</v>
      </c>
      <c r="K5923" s="444">
        <f t="shared" ca="1" si="216"/>
        <v>-57350357704527.43</v>
      </c>
      <c r="L5923" s="444">
        <f t="shared" ca="1" si="217"/>
        <v>-1.3821436206791112E+16</v>
      </c>
      <c r="M5923" s="460">
        <f t="shared" si="219"/>
        <v>0.05</v>
      </c>
      <c r="N5923" s="464">
        <f t="shared" si="220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18"/>
        <v>-1.3821436206791112E+16</v>
      </c>
      <c r="J5924" s="444">
        <f t="array" ref="J5924">IFERROR(INDEX('Retirement Calculator'!J:J,MATCH('Isaac 401k'!N5924,'Retirement Calculator'!A:A,0),0),0)</f>
        <v>0</v>
      </c>
      <c r="K5924" s="444">
        <f t="shared" ca="1" si="216"/>
        <v>-57589317528296.297</v>
      </c>
      <c r="L5924" s="444">
        <f t="shared" ca="1" si="217"/>
        <v>-1.3879025524319408E+16</v>
      </c>
      <c r="M5924" s="460">
        <f t="shared" si="219"/>
        <v>0.05</v>
      </c>
      <c r="N5924" s="464">
        <f t="shared" si="220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18"/>
        <v>-1.3879025524319408E+16</v>
      </c>
      <c r="J5925" s="444">
        <f t="array" ref="J5925">IFERROR(INDEX('Retirement Calculator'!J:J,MATCH('Isaac 401k'!N5925,'Retirement Calculator'!A:A,0),0),0)</f>
        <v>0</v>
      </c>
      <c r="K5925" s="444">
        <f t="shared" ca="1" si="216"/>
        <v>-57829273017997.531</v>
      </c>
      <c r="L5925" s="444">
        <f t="shared" ca="1" si="217"/>
        <v>-1.3936854797337406E+16</v>
      </c>
      <c r="M5925" s="460">
        <f t="shared" si="219"/>
        <v>0.05</v>
      </c>
      <c r="N5925" s="464">
        <f t="shared" si="220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18"/>
        <v>-1.3936854797337406E+16</v>
      </c>
      <c r="J5926" s="444">
        <f t="array" ref="J5926">IFERROR(INDEX('Retirement Calculator'!J:J,MATCH('Isaac 401k'!N5926,'Retirement Calculator'!A:A,0),0),0)</f>
        <v>0</v>
      </c>
      <c r="K5926" s="444">
        <f t="shared" ca="1" si="216"/>
        <v>-58070228322239.188</v>
      </c>
      <c r="L5926" s="444">
        <f t="shared" ca="1" si="217"/>
        <v>-1.3994925025659646E+16</v>
      </c>
      <c r="M5926" s="460">
        <f t="shared" si="219"/>
        <v>0.05</v>
      </c>
      <c r="N5926" s="464">
        <f t="shared" si="220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18"/>
        <v>-1.3994925025659646E+16</v>
      </c>
      <c r="J5927" s="444">
        <f t="array" ref="J5927">IFERROR(INDEX('Retirement Calculator'!J:J,MATCH('Isaac 401k'!N5927,'Retirement Calculator'!A:A,0),0),0)</f>
        <v>0</v>
      </c>
      <c r="K5927" s="444">
        <f t="shared" ca="1" si="216"/>
        <v>-58312187606915.188</v>
      </c>
      <c r="L5927" s="444">
        <f t="shared" ca="1" si="217"/>
        <v>-1.4053237213266562E+16</v>
      </c>
      <c r="M5927" s="460">
        <f t="shared" si="219"/>
        <v>0.05</v>
      </c>
      <c r="N5927" s="464">
        <f t="shared" si="220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18"/>
        <v>-1.4053237213266562E+16</v>
      </c>
      <c r="J5928" s="444">
        <f t="array" ref="J5928">IFERROR(INDEX('Retirement Calculator'!J:J,MATCH('Isaac 401k'!N5928,'Retirement Calculator'!A:A,0),0),0)</f>
        <v>0</v>
      </c>
      <c r="K5928" s="444">
        <f t="shared" ca="1" si="216"/>
        <v>-58555155055277.352</v>
      </c>
      <c r="L5928" s="444">
        <f t="shared" ca="1" si="217"/>
        <v>-1.411179236832184E+16</v>
      </c>
      <c r="M5928" s="460">
        <f t="shared" si="219"/>
        <v>0.05</v>
      </c>
      <c r="N5928" s="464">
        <f t="shared" si="220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18"/>
        <v>-1.411179236832184E+16</v>
      </c>
      <c r="J5929" s="444">
        <f t="array" ref="J5929">IFERROR(INDEX('Retirement Calculator'!J:J,MATCH('Isaac 401k'!N5929,'Retirement Calculator'!A:A,0),0),0)</f>
        <v>0</v>
      </c>
      <c r="K5929" s="444">
        <f t="shared" ca="1" si="216"/>
        <v>-58799134868007.664</v>
      </c>
      <c r="L5929" s="444">
        <f t="shared" ca="1" si="217"/>
        <v>-1.4170591503189848E+16</v>
      </c>
      <c r="M5929" s="460">
        <f t="shared" si="219"/>
        <v>0.05</v>
      </c>
      <c r="N5929" s="464">
        <f t="shared" si="220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18"/>
        <v>-1.4170591503189848E+16</v>
      </c>
      <c r="J5930" s="444">
        <f t="array" ref="J5930">IFERROR(INDEX('Retirement Calculator'!J:J,MATCH('Isaac 401k'!N5930,'Retirement Calculator'!A:A,0),0),0)</f>
        <v>0</v>
      </c>
      <c r="K5930" s="444">
        <f t="shared" ca="1" si="216"/>
        <v>-59044131263291.031</v>
      </c>
      <c r="L5930" s="444">
        <f t="shared" ca="1" si="217"/>
        <v>-1.422963563445314E+16</v>
      </c>
      <c r="M5930" s="460">
        <f t="shared" si="219"/>
        <v>0.05</v>
      </c>
      <c r="N5930" s="464">
        <f t="shared" si="220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18"/>
        <v>-1.422963563445314E+16</v>
      </c>
      <c r="J5931" s="444">
        <f t="array" ref="J5931">IFERROR(INDEX('Retirement Calculator'!J:J,MATCH('Isaac 401k'!N5931,'Retirement Calculator'!A:A,0),0),0)</f>
        <v>0</v>
      </c>
      <c r="K5931" s="444">
        <f t="shared" ca="1" si="216"/>
        <v>-59290148476888.086</v>
      </c>
      <c r="L5931" s="444">
        <f t="shared" ca="1" si="217"/>
        <v>-1.4288925782930028E+16</v>
      </c>
      <c r="M5931" s="460">
        <f t="shared" si="219"/>
        <v>0.05</v>
      </c>
      <c r="N5931" s="464">
        <f t="shared" si="220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18"/>
        <v>-1.4288925782930028E+16</v>
      </c>
      <c r="J5932" s="444">
        <f t="array" ref="J5932">IFERROR(INDEX('Retirement Calculator'!J:J,MATCH('Isaac 401k'!N5932,'Retirement Calculator'!A:A,0),0),0)</f>
        <v>0</v>
      </c>
      <c r="K5932" s="444">
        <f t="shared" ca="1" si="216"/>
        <v>-59537190762208.445</v>
      </c>
      <c r="L5932" s="444">
        <f t="shared" ca="1" si="217"/>
        <v>-1.4348462973692236E+16</v>
      </c>
      <c r="M5932" s="460">
        <f t="shared" si="219"/>
        <v>0.05</v>
      </c>
      <c r="N5932" s="464">
        <f t="shared" si="220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18"/>
        <v>-1.4348462973692236E+16</v>
      </c>
      <c r="J5933" s="444">
        <f t="array" ref="J5933">IFERROR(INDEX('Retirement Calculator'!J:J,MATCH('Isaac 401k'!N5933,'Retirement Calculator'!A:A,0),0),0)</f>
        <v>0</v>
      </c>
      <c r="K5933" s="444">
        <f t="shared" ca="1" si="216"/>
        <v>-59785262390384.313</v>
      </c>
      <c r="L5933" s="444">
        <f t="shared" ca="1" si="217"/>
        <v>-1.440824823608262E+16</v>
      </c>
      <c r="M5933" s="460">
        <f t="shared" si="219"/>
        <v>0.05</v>
      </c>
      <c r="N5933" s="464">
        <f t="shared" si="220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18"/>
        <v>-1.440824823608262E+16</v>
      </c>
      <c r="J5934" s="444">
        <f t="array" ref="J5934">IFERROR(INDEX('Retirement Calculator'!J:J,MATCH('Isaac 401k'!N5934,'Retirement Calculator'!A:A,0),0),0)</f>
        <v>0</v>
      </c>
      <c r="K5934" s="444">
        <f t="shared" ca="1" si="216"/>
        <v>-60034367650344.25</v>
      </c>
      <c r="L5934" s="444">
        <f t="shared" ca="1" si="217"/>
        <v>-1.4468282603732964E+16</v>
      </c>
      <c r="M5934" s="460">
        <f t="shared" si="219"/>
        <v>0.05</v>
      </c>
      <c r="N5934" s="464">
        <f t="shared" si="220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18"/>
        <v>-1.4468282603732964E+16</v>
      </c>
      <c r="J5935" s="444">
        <f t="array" ref="J5935">IFERROR(INDEX('Retirement Calculator'!J:J,MATCH('Isaac 401k'!N5935,'Retirement Calculator'!A:A,0),0),0)</f>
        <v>0</v>
      </c>
      <c r="K5935" s="444">
        <f t="shared" ca="1" si="216"/>
        <v>-60284510848887.359</v>
      </c>
      <c r="L5935" s="444">
        <f t="shared" ca="1" si="217"/>
        <v>-1.4528567114581852E+16</v>
      </c>
      <c r="M5935" s="460">
        <f t="shared" si="219"/>
        <v>0.05</v>
      </c>
      <c r="N5935" s="464">
        <f t="shared" si="220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18"/>
        <v>-1.4528567114581852E+16</v>
      </c>
      <c r="J5936" s="444">
        <f t="array" ref="J5936">IFERROR(INDEX('Retirement Calculator'!J:J,MATCH('Isaac 401k'!N5936,'Retirement Calculator'!A:A,0),0),0)</f>
        <v>0</v>
      </c>
      <c r="K5936" s="444">
        <f t="shared" ca="1" si="216"/>
        <v>-60535696310757.719</v>
      </c>
      <c r="L5936" s="444">
        <f t="shared" ca="1" si="217"/>
        <v>-1.458910281089261E+16</v>
      </c>
      <c r="M5936" s="460">
        <f t="shared" si="219"/>
        <v>0.05</v>
      </c>
      <c r="N5936" s="464">
        <f t="shared" si="220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18"/>
        <v>-1.458910281089261E+16</v>
      </c>
      <c r="J5937" s="444">
        <f t="array" ref="J5937">IFERROR(INDEX('Retirement Calculator'!J:J,MATCH('Isaac 401k'!N5937,'Retirement Calculator'!A:A,0),0),0)</f>
        <v>0</v>
      </c>
      <c r="K5937" s="444">
        <f t="shared" ca="1" si="216"/>
        <v>-60787928378719.211</v>
      </c>
      <c r="L5937" s="444">
        <f t="shared" ca="1" si="217"/>
        <v>-1.464989073927133E+16</v>
      </c>
      <c r="M5937" s="460">
        <f t="shared" si="219"/>
        <v>0.05</v>
      </c>
      <c r="N5937" s="464">
        <f t="shared" si="220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18"/>
        <v>-1.464989073927133E+16</v>
      </c>
      <c r="J5938" s="444">
        <f t="array" ref="J5938">IFERROR(INDEX('Retirement Calculator'!J:J,MATCH('Isaac 401k'!N5938,'Retirement Calculator'!A:A,0),0),0)</f>
        <v>0</v>
      </c>
      <c r="K5938" s="444">
        <f t="shared" ca="1" si="216"/>
        <v>-61041211413630.547</v>
      </c>
      <c r="L5938" s="444">
        <f t="shared" ca="1" si="217"/>
        <v>-1.471093195068496E+16</v>
      </c>
      <c r="M5938" s="460">
        <f t="shared" si="219"/>
        <v>0.05</v>
      </c>
      <c r="N5938" s="464">
        <f t="shared" si="220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18"/>
        <v>-1.471093195068496E+16</v>
      </c>
      <c r="J5939" s="444">
        <f t="array" ref="J5939">IFERROR(INDEX('Retirement Calculator'!J:J,MATCH('Isaac 401k'!N5939,'Retirement Calculator'!A:A,0),0),0)</f>
        <v>0</v>
      </c>
      <c r="K5939" s="444">
        <f t="shared" ca="1" si="216"/>
        <v>-61295549794520.664</v>
      </c>
      <c r="L5939" s="444">
        <f t="shared" ca="1" si="217"/>
        <v>-1.477222750047948E+16</v>
      </c>
      <c r="M5939" s="460">
        <f t="shared" si="219"/>
        <v>0.05</v>
      </c>
      <c r="N5939" s="464">
        <f t="shared" si="220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18"/>
        <v>-1.477222750047948E+16</v>
      </c>
      <c r="J5940" s="444">
        <f t="array" ref="J5940">IFERROR(INDEX('Retirement Calculator'!J:J,MATCH('Isaac 401k'!N5940,'Retirement Calculator'!A:A,0),0),0)</f>
        <v>0</v>
      </c>
      <c r="K5940" s="444">
        <f t="shared" ca="1" si="216"/>
        <v>-61550947918664.5</v>
      </c>
      <c r="L5940" s="444">
        <f t="shared" ca="1" si="217"/>
        <v>-1.4833778448398144E+16</v>
      </c>
      <c r="M5940" s="460">
        <f t="shared" si="219"/>
        <v>0.05</v>
      </c>
      <c r="N5940" s="464">
        <f t="shared" si="220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18"/>
        <v>-1.4833778448398144E+16</v>
      </c>
      <c r="J5941" s="444">
        <f t="array" ref="J5941">IFERROR(INDEX('Retirement Calculator'!J:J,MATCH('Isaac 401k'!N5941,'Retirement Calculator'!A:A,0),0),0)</f>
        <v>0</v>
      </c>
      <c r="K5941" s="444">
        <f t="shared" ca="1" si="216"/>
        <v>-61807410201658.93</v>
      </c>
      <c r="L5941" s="444">
        <f t="shared" ca="1" si="217"/>
        <v>-1.4895585858599802E+16</v>
      </c>
      <c r="M5941" s="460">
        <f t="shared" si="219"/>
        <v>0.05</v>
      </c>
      <c r="N5941" s="464">
        <f t="shared" si="220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18"/>
        <v>-1.4895585858599802E+16</v>
      </c>
      <c r="J5942" s="444">
        <f t="array" ref="J5942">IFERROR(INDEX('Retirement Calculator'!J:J,MATCH('Isaac 401k'!N5942,'Retirement Calculator'!A:A,0),0),0)</f>
        <v>0</v>
      </c>
      <c r="K5942" s="444">
        <f t="shared" ca="1" si="216"/>
        <v>-62064941077499.164</v>
      </c>
      <c r="L5942" s="444">
        <f t="shared" ca="1" si="217"/>
        <v>-1.4957650799677302E+16</v>
      </c>
      <c r="M5942" s="460">
        <f t="shared" si="219"/>
        <v>0.05</v>
      </c>
      <c r="N5942" s="464">
        <f t="shared" si="220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18"/>
        <v>-1.4957650799677302E+16</v>
      </c>
      <c r="J5943" s="444">
        <f t="array" ref="J5943">IFERROR(INDEX('Retirement Calculator'!J:J,MATCH('Isaac 401k'!N5943,'Retirement Calculator'!A:A,0),0),0)</f>
        <v>0</v>
      </c>
      <c r="K5943" s="444">
        <f t="shared" ca="1" si="216"/>
        <v>-62323544998655.414</v>
      </c>
      <c r="L5943" s="444">
        <f t="shared" ca="1" si="217"/>
        <v>-1.5019974344675958E+16</v>
      </c>
      <c r="M5943" s="460">
        <f t="shared" si="219"/>
        <v>0.05</v>
      </c>
      <c r="N5943" s="464">
        <f t="shared" si="220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18"/>
        <v>-1.5019974344675958E+16</v>
      </c>
      <c r="J5944" s="444">
        <f t="array" ref="J5944">IFERROR(INDEX('Retirement Calculator'!J:J,MATCH('Isaac 401k'!N5944,'Retirement Calculator'!A:A,0),0),0)</f>
        <v>0</v>
      </c>
      <c r="K5944" s="444">
        <f t="shared" ca="1" si="216"/>
        <v>-62583226436149.82</v>
      </c>
      <c r="L5944" s="444">
        <f t="shared" ca="1" si="217"/>
        <v>-1.5082557571112108E+16</v>
      </c>
      <c r="M5944" s="460">
        <f t="shared" si="219"/>
        <v>0.05</v>
      </c>
      <c r="N5944" s="464">
        <f t="shared" si="220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18"/>
        <v>-1.5082557571112108E+16</v>
      </c>
      <c r="J5945" s="444">
        <f t="array" ref="J5945">IFERROR(INDEX('Retirement Calculator'!J:J,MATCH('Isaac 401k'!N5945,'Retirement Calculator'!A:A,0),0),0)</f>
        <v>0</v>
      </c>
      <c r="K5945" s="444">
        <f t="shared" ca="1" si="216"/>
        <v>-62843989879633.789</v>
      </c>
      <c r="L5945" s="444">
        <f t="shared" ca="1" si="217"/>
        <v>-1.5145401560991742E+16</v>
      </c>
      <c r="M5945" s="460">
        <f t="shared" si="219"/>
        <v>0.05</v>
      </c>
      <c r="N5945" s="464">
        <f t="shared" si="220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18"/>
        <v>-1.5145401560991742E+16</v>
      </c>
      <c r="J5946" s="444">
        <f t="array" ref="J5946">IFERROR(INDEX('Retirement Calculator'!J:J,MATCH('Isaac 401k'!N5946,'Retirement Calculator'!A:A,0),0),0)</f>
        <v>0</v>
      </c>
      <c r="K5946" s="444">
        <f t="shared" ca="1" si="216"/>
        <v>-63105839837465.594</v>
      </c>
      <c r="L5946" s="444">
        <f t="shared" ca="1" si="217"/>
        <v>-1.5208507400829208E+16</v>
      </c>
      <c r="M5946" s="460">
        <f t="shared" si="219"/>
        <v>0.05</v>
      </c>
      <c r="N5946" s="464">
        <f t="shared" si="220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18"/>
        <v>-1.5208507400829208E+16</v>
      </c>
      <c r="J5947" s="444">
        <f t="array" ref="J5947">IFERROR(INDEX('Retirement Calculator'!J:J,MATCH('Isaac 401k'!N5947,'Retirement Calculator'!A:A,0),0),0)</f>
        <v>0</v>
      </c>
      <c r="K5947" s="444">
        <f t="shared" ca="1" si="216"/>
        <v>-63368780836788.359</v>
      </c>
      <c r="L5947" s="444">
        <f t="shared" ca="1" si="217"/>
        <v>-1.5271876181665996E+16</v>
      </c>
      <c r="M5947" s="460">
        <f t="shared" si="219"/>
        <v>0.05</v>
      </c>
      <c r="N5947" s="464">
        <f t="shared" si="220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18"/>
        <v>-1.5271876181665996E+16</v>
      </c>
      <c r="J5948" s="444">
        <f t="array" ref="J5948">IFERROR(INDEX('Retirement Calculator'!J:J,MATCH('Isaac 401k'!N5948,'Retirement Calculator'!A:A,0),0),0)</f>
        <v>0</v>
      </c>
      <c r="K5948" s="444">
        <f t="shared" ca="1" si="216"/>
        <v>-63632817423608.32</v>
      </c>
      <c r="L5948" s="444">
        <f t="shared" ca="1" si="217"/>
        <v>-1.5335508999089604E+16</v>
      </c>
      <c r="M5948" s="460">
        <f t="shared" si="219"/>
        <v>0.05</v>
      </c>
      <c r="N5948" s="464">
        <f t="shared" si="220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18"/>
        <v>-1.5335508999089604E+16</v>
      </c>
      <c r="J5949" s="444">
        <f t="array" ref="J5949">IFERROR(INDEX('Retirement Calculator'!J:J,MATCH('Isaac 401k'!N5949,'Retirement Calculator'!A:A,0),0),0)</f>
        <v>0</v>
      </c>
      <c r="K5949" s="444">
        <f t="shared" ca="1" si="216"/>
        <v>-63897954162873.352</v>
      </c>
      <c r="L5949" s="444">
        <f t="shared" ca="1" si="217"/>
        <v>-1.5399406953252478E+16</v>
      </c>
      <c r="M5949" s="460">
        <f t="shared" si="219"/>
        <v>0.05</v>
      </c>
      <c r="N5949" s="464">
        <f t="shared" si="220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18"/>
        <v>-1.5399406953252478E+16</v>
      </c>
      <c r="J5950" s="444">
        <f t="array" ref="J5950">IFERROR(INDEX('Retirement Calculator'!J:J,MATCH('Isaac 401k'!N5950,'Retirement Calculator'!A:A,0),0),0)</f>
        <v>0</v>
      </c>
      <c r="K5950" s="444">
        <f t="shared" ca="1" si="216"/>
        <v>-64164195638551.984</v>
      </c>
      <c r="L5950" s="444">
        <f t="shared" ca="1" si="217"/>
        <v>-1.546357114889103E+16</v>
      </c>
      <c r="M5950" s="460">
        <f t="shared" si="219"/>
        <v>0.05</v>
      </c>
      <c r="N5950" s="464">
        <f t="shared" si="220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18"/>
        <v>-1.546357114889103E+16</v>
      </c>
      <c r="J5951" s="444">
        <f t="array" ref="J5951">IFERROR(INDEX('Retirement Calculator'!J:J,MATCH('Isaac 401k'!N5951,'Retirement Calculator'!A:A,0),0),0)</f>
        <v>0</v>
      </c>
      <c r="K5951" s="444">
        <f t="shared" ca="1" si="216"/>
        <v>-64431546453712.633</v>
      </c>
      <c r="L5951" s="444">
        <f t="shared" ca="1" si="217"/>
        <v>-1.5528002695344742E+16</v>
      </c>
      <c r="M5951" s="460">
        <f t="shared" si="219"/>
        <v>0.05</v>
      </c>
      <c r="N5951" s="464">
        <f t="shared" si="220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18"/>
        <v>-1.5528002695344742E+16</v>
      </c>
      <c r="J5952" s="444">
        <f t="array" ref="J5952">IFERROR(INDEX('Retirement Calculator'!J:J,MATCH('Isaac 401k'!N5952,'Retirement Calculator'!A:A,0),0),0)</f>
        <v>0</v>
      </c>
      <c r="K5952" s="444">
        <f t="shared" ca="1" si="216"/>
        <v>-64700011230603.102</v>
      </c>
      <c r="L5952" s="444">
        <f t="shared" ca="1" si="217"/>
        <v>-1.5592702706575346E+16</v>
      </c>
      <c r="M5952" s="460">
        <f t="shared" si="219"/>
        <v>0.05</v>
      </c>
      <c r="N5952" s="464">
        <f t="shared" si="220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18"/>
        <v>-1.5592702706575346E+16</v>
      </c>
      <c r="J5953" s="444">
        <f t="array" ref="J5953">IFERROR(INDEX('Retirement Calculator'!J:J,MATCH('Isaac 401k'!N5953,'Retirement Calculator'!A:A,0),0),0)</f>
        <v>0</v>
      </c>
      <c r="K5953" s="444">
        <f t="shared" ca="1" si="216"/>
        <v>-64969594610730.602</v>
      </c>
      <c r="L5953" s="444">
        <f t="shared" ca="1" si="217"/>
        <v>-1.5657672301186076E+16</v>
      </c>
      <c r="M5953" s="460">
        <f t="shared" si="219"/>
        <v>0.05</v>
      </c>
      <c r="N5953" s="464">
        <f t="shared" si="220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18"/>
        <v>-1.5657672301186076E+16</v>
      </c>
      <c r="J5954" s="444">
        <f t="array" ref="J5954">IFERROR(INDEX('Retirement Calculator'!J:J,MATCH('Isaac 401k'!N5954,'Retirement Calculator'!A:A,0),0),0)</f>
        <v>0</v>
      </c>
      <c r="K5954" s="444">
        <f t="shared" ca="1" si="216"/>
        <v>-65240301254941.992</v>
      </c>
      <c r="L5954" s="444">
        <f t="shared" ca="1" si="217"/>
        <v>-1.5722912602441018E+16</v>
      </c>
      <c r="M5954" s="460">
        <f t="shared" si="219"/>
        <v>0.05</v>
      </c>
      <c r="N5954" s="464">
        <f t="shared" si="220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18"/>
        <v>-1.5722912602441018E+16</v>
      </c>
      <c r="J5955" s="444">
        <f t="array" ref="J5955">IFERROR(INDEX('Retirement Calculator'!J:J,MATCH('Isaac 401k'!N5955,'Retirement Calculator'!A:A,0),0),0)</f>
        <v>0</v>
      </c>
      <c r="K5955" s="444">
        <f t="shared" ca="1" si="216"/>
        <v>-65512135843504.25</v>
      </c>
      <c r="L5955" s="444">
        <f t="shared" ca="1" si="217"/>
        <v>-1.5788424738284522E+16</v>
      </c>
      <c r="M5955" s="460">
        <f t="shared" si="219"/>
        <v>0.05</v>
      </c>
      <c r="N5955" s="464">
        <f t="shared" si="220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18"/>
        <v>-1.5788424738284522E+16</v>
      </c>
      <c r="J5956" s="444">
        <f t="array" ref="J5956">IFERROR(INDEX('Retirement Calculator'!J:J,MATCH('Isaac 401k'!N5956,'Retirement Calculator'!A:A,0),0),0)</f>
        <v>0</v>
      </c>
      <c r="K5956" s="444">
        <f t="shared" ca="1" si="216"/>
        <v>-65785103076185.5</v>
      </c>
      <c r="L5956" s="444">
        <f t="shared" ca="1" si="217"/>
        <v>-1.5854209841360708E+16</v>
      </c>
      <c r="M5956" s="460">
        <f t="shared" si="219"/>
        <v>0.05</v>
      </c>
      <c r="N5956" s="464">
        <f t="shared" si="220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18"/>
        <v>-1.5854209841360708E+16</v>
      </c>
      <c r="J5957" s="444">
        <f t="array" ref="J5957">IFERROR(INDEX('Retirement Calculator'!J:J,MATCH('Isaac 401k'!N5957,'Retirement Calculator'!A:A,0),0),0)</f>
        <v>0</v>
      </c>
      <c r="K5957" s="444">
        <f t="shared" ca="1" si="216"/>
        <v>-66059207672336.281</v>
      </c>
      <c r="L5957" s="444">
        <f t="shared" ca="1" si="217"/>
        <v>-1.5920269049033044E+16</v>
      </c>
      <c r="M5957" s="460">
        <f t="shared" si="219"/>
        <v>0.05</v>
      </c>
      <c r="N5957" s="464">
        <f t="shared" si="220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18"/>
        <v>-1.5920269049033044E+16</v>
      </c>
      <c r="J5958" s="444">
        <f t="array" ref="J5958">IFERROR(INDEX('Retirement Calculator'!J:J,MATCH('Isaac 401k'!N5958,'Retirement Calculator'!A:A,0),0),0)</f>
        <v>0</v>
      </c>
      <c r="K5958" s="444">
        <f t="shared" ca="1" si="216"/>
        <v>-66334454370971.023</v>
      </c>
      <c r="L5958" s="444">
        <f t="shared" ca="1" si="217"/>
        <v>-1.5986603503404016E+16</v>
      </c>
      <c r="M5958" s="460">
        <f t="shared" si="219"/>
        <v>0.05</v>
      </c>
      <c r="N5958" s="464">
        <f t="shared" si="220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18"/>
        <v>-1.5986603503404016E+16</v>
      </c>
      <c r="J5959" s="444">
        <f t="array" ref="J5959">IFERROR(INDEX('Retirement Calculator'!J:J,MATCH('Isaac 401k'!N5959,'Retirement Calculator'!A:A,0),0),0)</f>
        <v>0</v>
      </c>
      <c r="K5959" s="444">
        <f t="shared" ca="1" si="216"/>
        <v>-66610847930850.055</v>
      </c>
      <c r="L5959" s="444">
        <f t="shared" ca="1" si="217"/>
        <v>-1.6053214351334866E+16</v>
      </c>
      <c r="M5959" s="460">
        <f t="shared" si="219"/>
        <v>0.05</v>
      </c>
      <c r="N5959" s="464">
        <f t="shared" si="220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18"/>
        <v>-1.6053214351334866E+16</v>
      </c>
      <c r="J5960" s="444">
        <f t="array" ref="J5960">IFERROR(INDEX('Retirement Calculator'!J:J,MATCH('Isaac 401k'!N5960,'Retirement Calculator'!A:A,0),0),0)</f>
        <v>0</v>
      </c>
      <c r="K5960" s="444">
        <f t="shared" ca="1" si="216"/>
        <v>-66888393130561.938</v>
      </c>
      <c r="L5960" s="444">
        <f t="shared" ca="1" si="217"/>
        <v>-1.6120102744465428E+16</v>
      </c>
      <c r="M5960" s="460">
        <f t="shared" si="219"/>
        <v>0.05</v>
      </c>
      <c r="N5960" s="464">
        <f t="shared" si="220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18"/>
        <v>-1.6120102744465428E+16</v>
      </c>
      <c r="J5961" s="444">
        <f t="array" ref="J5961">IFERROR(INDEX('Retirement Calculator'!J:J,MATCH('Isaac 401k'!N5961,'Retirement Calculator'!A:A,0),0),0)</f>
        <v>0</v>
      </c>
      <c r="K5961" s="444">
        <f t="shared" ca="1" si="216"/>
        <v>-67167094768605.945</v>
      </c>
      <c r="L5961" s="444">
        <f t="shared" ca="1" si="217"/>
        <v>-1.6187269839234034E+16</v>
      </c>
      <c r="M5961" s="460">
        <f t="shared" si="219"/>
        <v>0.05</v>
      </c>
      <c r="N5961" s="464">
        <f t="shared" si="220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18"/>
        <v>-1.6187269839234034E+16</v>
      </c>
      <c r="J5962" s="444">
        <f t="array" ref="J5962">IFERROR(INDEX('Retirement Calculator'!J:J,MATCH('Isaac 401k'!N5962,'Retirement Calculator'!A:A,0),0),0)</f>
        <v>0</v>
      </c>
      <c r="K5962" s="444">
        <f t="shared" ca="1" si="216"/>
        <v>-67446957663475.148</v>
      </c>
      <c r="L5962" s="444">
        <f t="shared" ca="1" si="217"/>
        <v>-1.625471679689751E+16</v>
      </c>
      <c r="M5962" s="460">
        <f t="shared" si="219"/>
        <v>0.05</v>
      </c>
      <c r="N5962" s="464">
        <f t="shared" si="220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18"/>
        <v>-1.625471679689751E+16</v>
      </c>
      <c r="J5963" s="444">
        <f t="array" ref="J5963">IFERROR(INDEX('Retirement Calculator'!J:J,MATCH('Isaac 401k'!N5963,'Retirement Calculator'!A:A,0),0),0)</f>
        <v>0</v>
      </c>
      <c r="K5963" s="444">
        <f t="shared" ca="1" si="216"/>
        <v>-67727986653739.625</v>
      </c>
      <c r="L5963" s="444">
        <f t="shared" ca="1" si="217"/>
        <v>-1.632244478355125E+16</v>
      </c>
      <c r="M5963" s="460">
        <f t="shared" si="219"/>
        <v>0.05</v>
      </c>
      <c r="N5963" s="464">
        <f t="shared" si="220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18"/>
        <v>-1.632244478355125E+16</v>
      </c>
      <c r="J5964" s="444">
        <f t="array" ref="J5964">IFERROR(INDEX('Retirement Calculator'!J:J,MATCH('Isaac 401k'!N5964,'Retirement Calculator'!A:A,0),0),0)</f>
        <v>0</v>
      </c>
      <c r="K5964" s="444">
        <f t="shared" ca="1" si="216"/>
        <v>-68010186598130.211</v>
      </c>
      <c r="L5964" s="444">
        <f t="shared" ca="1" si="217"/>
        <v>-1.639045497014938E+16</v>
      </c>
      <c r="M5964" s="460">
        <f t="shared" si="219"/>
        <v>0.05</v>
      </c>
      <c r="N5964" s="464">
        <f t="shared" si="220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18"/>
        <v>-1.639045497014938E+16</v>
      </c>
      <c r="J5965" s="444">
        <f t="array" ref="J5965">IFERROR(INDEX('Retirement Calculator'!J:J,MATCH('Isaac 401k'!N5965,'Retirement Calculator'!A:A,0),0),0)</f>
        <v>0</v>
      </c>
      <c r="K5965" s="444">
        <f t="shared" ca="1" si="216"/>
        <v>-68293562375622.414</v>
      </c>
      <c r="L5965" s="444">
        <f t="shared" ca="1" si="217"/>
        <v>-1.6458748532525002E+16</v>
      </c>
      <c r="M5965" s="460">
        <f t="shared" si="219"/>
        <v>0.05</v>
      </c>
      <c r="N5965" s="464">
        <f t="shared" si="220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18"/>
        <v>-1.6458748532525002E+16</v>
      </c>
      <c r="J5966" s="444">
        <f t="array" ref="J5966">IFERROR(INDEX('Retirement Calculator'!J:J,MATCH('Isaac 401k'!N5966,'Retirement Calculator'!A:A,0),0),0)</f>
        <v>0</v>
      </c>
      <c r="K5966" s="444">
        <f t="shared" ca="1" si="216"/>
        <v>-68578118885520.844</v>
      </c>
      <c r="L5966" s="444">
        <f t="shared" ca="1" si="217"/>
        <v>-1.6527326651410522E+16</v>
      </c>
      <c r="M5966" s="460">
        <f t="shared" si="219"/>
        <v>0.05</v>
      </c>
      <c r="N5966" s="464">
        <f t="shared" si="220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18"/>
        <v>-1.6527326651410522E+16</v>
      </c>
      <c r="J5967" s="444">
        <f t="array" ref="J5967">IFERROR(INDEX('Retirement Calculator'!J:J,MATCH('Isaac 401k'!N5967,'Retirement Calculator'!A:A,0),0),0)</f>
        <v>0</v>
      </c>
      <c r="K5967" s="444">
        <f t="shared" ca="1" si="216"/>
        <v>-68863861047543.836</v>
      </c>
      <c r="L5967" s="444">
        <f t="shared" ca="1" si="217"/>
        <v>-1.6596190512458066E+16</v>
      </c>
      <c r="M5967" s="460">
        <f t="shared" si="219"/>
        <v>0.05</v>
      </c>
      <c r="N5967" s="464">
        <f t="shared" si="220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18"/>
        <v>-1.6596190512458066E+16</v>
      </c>
      <c r="J5968" s="444">
        <f t="array" ref="J5968">IFERROR(INDEX('Retirement Calculator'!J:J,MATCH('Isaac 401k'!N5968,'Retirement Calculator'!A:A,0),0),0)</f>
        <v>0</v>
      </c>
      <c r="K5968" s="444">
        <f t="shared" ca="1" si="216"/>
        <v>-69150793801908.609</v>
      </c>
      <c r="L5968" s="444">
        <f t="shared" ca="1" si="217"/>
        <v>-1.6665341306259974E+16</v>
      </c>
      <c r="M5968" s="460">
        <f t="shared" si="219"/>
        <v>0.05</v>
      </c>
      <c r="N5968" s="464">
        <f t="shared" si="220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18"/>
        <v>-1.6665341306259974E+16</v>
      </c>
      <c r="J5969" s="444">
        <f t="array" ref="J5969">IFERROR(INDEX('Retirement Calculator'!J:J,MATCH('Isaac 401k'!N5969,'Retirement Calculator'!A:A,0),0),0)</f>
        <v>0</v>
      </c>
      <c r="K5969" s="444">
        <f t="shared" ca="1" si="216"/>
        <v>-69438922109416.555</v>
      </c>
      <c r="L5969" s="444">
        <f t="shared" ca="1" si="217"/>
        <v>-1.673478022836939E+16</v>
      </c>
      <c r="M5969" s="460">
        <f t="shared" si="219"/>
        <v>0.05</v>
      </c>
      <c r="N5969" s="464">
        <f t="shared" si="220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18"/>
        <v>-1.673478022836939E+16</v>
      </c>
      <c r="J5970" s="444">
        <f t="array" ref="J5970">IFERROR(INDEX('Retirement Calculator'!J:J,MATCH('Isaac 401k'!N5970,'Retirement Calculator'!A:A,0),0),0)</f>
        <v>0</v>
      </c>
      <c r="K5970" s="444">
        <f t="shared" ca="1" si="216"/>
        <v>-69728250951539.125</v>
      </c>
      <c r="L5970" s="444">
        <f t="shared" ca="1" si="217"/>
        <v>-1.680450847932093E+16</v>
      </c>
      <c r="M5970" s="460">
        <f t="shared" si="219"/>
        <v>0.05</v>
      </c>
      <c r="N5970" s="464">
        <f t="shared" si="220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18"/>
        <v>-1.680450847932093E+16</v>
      </c>
      <c r="J5971" s="444">
        <f t="array" ref="J5971">IFERROR(INDEX('Retirement Calculator'!J:J,MATCH('Isaac 401k'!N5971,'Retirement Calculator'!A:A,0),0),0)</f>
        <v>0</v>
      </c>
      <c r="K5971" s="444">
        <f t="shared" ca="1" si="216"/>
        <v>-70018785330503.875</v>
      </c>
      <c r="L5971" s="444">
        <f t="shared" ca="1" si="217"/>
        <v>-1.6874527264651434E+16</v>
      </c>
      <c r="M5971" s="460">
        <f t="shared" si="219"/>
        <v>0.05</v>
      </c>
      <c r="N5971" s="464">
        <f t="shared" si="220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18"/>
        <v>-1.6874527264651434E+16</v>
      </c>
      <c r="J5972" s="444">
        <f t="array" ref="J5972">IFERROR(INDEX('Retirement Calculator'!J:J,MATCH('Isaac 401k'!N5972,'Retirement Calculator'!A:A,0),0),0)</f>
        <v>0</v>
      </c>
      <c r="K5972" s="444">
        <f t="shared" ca="1" si="216"/>
        <v>-70310530269380.977</v>
      </c>
      <c r="L5972" s="444">
        <f t="shared" ca="1" si="217"/>
        <v>-1.6944837794920814E+16</v>
      </c>
      <c r="M5972" s="460">
        <f t="shared" si="219"/>
        <v>0.05</v>
      </c>
      <c r="N5972" s="464">
        <f t="shared" si="220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18"/>
        <v>-1.6944837794920814E+16</v>
      </c>
      <c r="J5973" s="444">
        <f t="array" ref="J5973">IFERROR(INDEX('Retirement Calculator'!J:J,MATCH('Isaac 401k'!N5973,'Retirement Calculator'!A:A,0),0),0)</f>
        <v>0</v>
      </c>
      <c r="K5973" s="444">
        <f t="shared" ca="1" si="216"/>
        <v>-70603490812170.063</v>
      </c>
      <c r="L5973" s="444">
        <f t="shared" ca="1" si="217"/>
        <v>-1.7015441285732984E+16</v>
      </c>
      <c r="M5973" s="460">
        <f t="shared" si="219"/>
        <v>0.05</v>
      </c>
      <c r="N5973" s="464">
        <f t="shared" si="220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18"/>
        <v>-1.7015441285732984E+16</v>
      </c>
      <c r="J5974" s="444">
        <f t="array" ref="J5974">IFERROR(INDEX('Retirement Calculator'!J:J,MATCH('Isaac 401k'!N5974,'Retirement Calculator'!A:A,0),0),0)</f>
        <v>0</v>
      </c>
      <c r="K5974" s="444">
        <f t="shared" ca="1" si="216"/>
        <v>-70897672023887.438</v>
      </c>
      <c r="L5974" s="444">
        <f t="shared" ca="1" si="217"/>
        <v>-1.7086338957756872E+16</v>
      </c>
      <c r="M5974" s="460">
        <f t="shared" si="219"/>
        <v>0.05</v>
      </c>
      <c r="N5974" s="464">
        <f t="shared" si="220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18"/>
        <v>-1.7086338957756872E+16</v>
      </c>
      <c r="J5975" s="444">
        <f t="array" ref="J5975">IFERROR(INDEX('Retirement Calculator'!J:J,MATCH('Isaac 401k'!N5975,'Retirement Calculator'!A:A,0),0),0)</f>
        <v>0</v>
      </c>
      <c r="K5975" s="444">
        <f t="shared" ca="1" si="216"/>
        <v>-71193078990653.625</v>
      </c>
      <c r="L5975" s="444">
        <f t="shared" ca="1" si="217"/>
        <v>-1.7157532036747526E+16</v>
      </c>
      <c r="M5975" s="460">
        <f t="shared" si="219"/>
        <v>0.05</v>
      </c>
      <c r="N5975" s="464">
        <f t="shared" si="220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18"/>
        <v>-1.7157532036747526E+16</v>
      </c>
      <c r="J5976" s="444">
        <f t="array" ref="J5976">IFERROR(INDEX('Retirement Calculator'!J:J,MATCH('Isaac 401k'!N5976,'Retirement Calculator'!A:A,0),0),0)</f>
        <v>0</v>
      </c>
      <c r="K5976" s="444">
        <f t="shared" ca="1" si="216"/>
        <v>-71489716819781.344</v>
      </c>
      <c r="L5976" s="444">
        <f t="shared" ca="1" si="217"/>
        <v>-1.7229021753567308E+16</v>
      </c>
      <c r="M5976" s="460">
        <f t="shared" si="219"/>
        <v>0.05</v>
      </c>
      <c r="N5976" s="464">
        <f t="shared" si="220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18"/>
        <v>-1.7229021753567308E+16</v>
      </c>
      <c r="J5977" s="444">
        <f t="array" ref="J5977">IFERROR(INDEX('Retirement Calculator'!J:J,MATCH('Isaac 401k'!N5977,'Retirement Calculator'!A:A,0),0),0)</f>
        <v>0</v>
      </c>
      <c r="K5977" s="444">
        <f t="shared" ca="1" si="216"/>
        <v>-71787590639863.781</v>
      </c>
      <c r="L5977" s="444">
        <f t="shared" ca="1" si="217"/>
        <v>-1.7300809344207172E+16</v>
      </c>
      <c r="M5977" s="460">
        <f t="shared" si="219"/>
        <v>0.05</v>
      </c>
      <c r="N5977" s="464">
        <f t="shared" si="220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18"/>
        <v>-1.7300809344207172E+16</v>
      </c>
      <c r="J5978" s="444">
        <f t="array" ref="J5978">IFERROR(INDEX('Retirement Calculator'!J:J,MATCH('Isaac 401k'!N5978,'Retirement Calculator'!A:A,0),0),0)</f>
        <v>0</v>
      </c>
      <c r="K5978" s="444">
        <f t="shared" ca="1" si="216"/>
        <v>-72086705600863.219</v>
      </c>
      <c r="L5978" s="444">
        <f t="shared" ca="1" si="217"/>
        <v>-1.7372896049808036E+16</v>
      </c>
      <c r="M5978" s="460">
        <f t="shared" si="219"/>
        <v>0.05</v>
      </c>
      <c r="N5978" s="464">
        <f t="shared" si="220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18"/>
        <v>-1.7372896049808036E+16</v>
      </c>
      <c r="J5979" s="444">
        <f t="array" ref="J5979">IFERROR(INDEX('Retirement Calculator'!J:J,MATCH('Isaac 401k'!N5979,'Retirement Calculator'!A:A,0),0),0)</f>
        <v>0</v>
      </c>
      <c r="K5979" s="444">
        <f t="shared" ca="1" si="216"/>
        <v>-72387066874200.141</v>
      </c>
      <c r="L5979" s="444">
        <f t="shared" ca="1" si="217"/>
        <v>-1.7445283116682236E+16</v>
      </c>
      <c r="M5979" s="460">
        <f t="shared" si="219"/>
        <v>0.05</v>
      </c>
      <c r="N5979" s="464">
        <f t="shared" si="220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18"/>
        <v>-1.7445283116682236E+16</v>
      </c>
      <c r="J5980" s="444">
        <f t="array" ref="J5980">IFERROR(INDEX('Retirement Calculator'!J:J,MATCH('Isaac 401k'!N5980,'Retirement Calculator'!A:A,0),0),0)</f>
        <v>0</v>
      </c>
      <c r="K5980" s="444">
        <f t="shared" ca="1" si="216"/>
        <v>-72688679652842.656</v>
      </c>
      <c r="L5980" s="444">
        <f t="shared" ca="1" si="217"/>
        <v>-1.7517971796335078E+16</v>
      </c>
      <c r="M5980" s="460">
        <f t="shared" si="219"/>
        <v>0.05</v>
      </c>
      <c r="N5980" s="464">
        <f t="shared" si="220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18"/>
        <v>-1.7517971796335078E+16</v>
      </c>
      <c r="J5981" s="444">
        <f t="array" ref="J5981">IFERROR(INDEX('Retirement Calculator'!J:J,MATCH('Isaac 401k'!N5981,'Retirement Calculator'!A:A,0),0),0)</f>
        <v>0</v>
      </c>
      <c r="K5981" s="444">
        <f t="shared" ca="1" si="216"/>
        <v>-72991549151396.156</v>
      </c>
      <c r="L5981" s="444">
        <f t="shared" ca="1" si="217"/>
        <v>-1.7590963345486474E+16</v>
      </c>
      <c r="M5981" s="460">
        <f t="shared" si="219"/>
        <v>0.05</v>
      </c>
      <c r="N5981" s="464">
        <f t="shared" si="220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18"/>
        <v>-1.7590963345486474E+16</v>
      </c>
      <c r="J5982" s="444">
        <f t="array" ref="J5982">IFERROR(INDEX('Retirement Calculator'!J:J,MATCH('Isaac 401k'!N5982,'Retirement Calculator'!A:A,0),0),0)</f>
        <v>0</v>
      </c>
      <c r="K5982" s="444">
        <f t="shared" ca="1" si="216"/>
        <v>-73295680606193.641</v>
      </c>
      <c r="L5982" s="444">
        <f t="shared" ca="1" si="217"/>
        <v>-1.7664259026092668E+16</v>
      </c>
      <c r="M5982" s="460">
        <f t="shared" si="219"/>
        <v>0.05</v>
      </c>
      <c r="N5982" s="464">
        <f t="shared" si="220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18"/>
        <v>-1.7664259026092668E+16</v>
      </c>
      <c r="J5983" s="444">
        <f t="array" ref="J5983">IFERROR(INDEX('Retirement Calculator'!J:J,MATCH('Isaac 401k'!N5983,'Retirement Calculator'!A:A,0),0),0)</f>
        <v>0</v>
      </c>
      <c r="K5983" s="444">
        <f t="shared" ca="1" si="216"/>
        <v>-73601079275386.109</v>
      </c>
      <c r="L5983" s="444">
        <f t="shared" ca="1" si="217"/>
        <v>-1.7737860105368054E+16</v>
      </c>
      <c r="M5983" s="460">
        <f t="shared" si="219"/>
        <v>0.05</v>
      </c>
      <c r="N5983" s="464">
        <f t="shared" si="220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18"/>
        <v>-1.7737860105368054E+16</v>
      </c>
      <c r="J5984" s="444">
        <f t="array" ref="J5984">IFERROR(INDEX('Retirement Calculator'!J:J,MATCH('Isaac 401k'!N5984,'Retirement Calculator'!A:A,0),0),0)</f>
        <v>0</v>
      </c>
      <c r="K5984" s="444">
        <f t="shared" ca="1" si="216"/>
        <v>-73907750439033.563</v>
      </c>
      <c r="L5984" s="444">
        <f t="shared" ca="1" si="217"/>
        <v>-1.7811767855807088E+16</v>
      </c>
      <c r="M5984" s="460">
        <f t="shared" si="219"/>
        <v>0.05</v>
      </c>
      <c r="N5984" s="464">
        <f t="shared" si="220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18"/>
        <v>-1.7811767855807088E+16</v>
      </c>
      <c r="J5985" s="444">
        <f t="array" ref="J5985">IFERROR(INDEX('Retirement Calculator'!J:J,MATCH('Isaac 401k'!N5985,'Retirement Calculator'!A:A,0),0),0)</f>
        <v>0</v>
      </c>
      <c r="K5985" s="444">
        <f t="shared" ca="1" si="216"/>
        <v>-74215699399196.203</v>
      </c>
      <c r="L5985" s="444">
        <f t="shared" ca="1" si="217"/>
        <v>-1.7885983555206284E+16</v>
      </c>
      <c r="M5985" s="460">
        <f t="shared" si="219"/>
        <v>0.05</v>
      </c>
      <c r="N5985" s="464">
        <f t="shared" si="220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18"/>
        <v>-1.7885983555206284E+16</v>
      </c>
      <c r="J5986" s="444">
        <f t="array" ref="J5986">IFERROR(INDEX('Retirement Calculator'!J:J,MATCH('Isaac 401k'!N5986,'Retirement Calculator'!A:A,0),0),0)</f>
        <v>0</v>
      </c>
      <c r="K5986" s="444">
        <f t="shared" ca="1" si="216"/>
        <v>-74524931480026.188</v>
      </c>
      <c r="L5986" s="444">
        <f t="shared" ca="1" si="217"/>
        <v>-1.796050848668631E+16</v>
      </c>
      <c r="M5986" s="460">
        <f t="shared" si="219"/>
        <v>0.05</v>
      </c>
      <c r="N5986" s="464">
        <f t="shared" si="220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18"/>
        <v>-1.796050848668631E+16</v>
      </c>
      <c r="J5987" s="444">
        <f t="array" ref="J5987">IFERROR(INDEX('Retirement Calculator'!J:J,MATCH('Isaac 401k'!N5987,'Retirement Calculator'!A:A,0),0),0)</f>
        <v>0</v>
      </c>
      <c r="K5987" s="444">
        <f t="shared" ca="1" si="216"/>
        <v>-74835452027859.625</v>
      </c>
      <c r="L5987" s="444">
        <f t="shared" ca="1" si="217"/>
        <v>-1.8035343938714168E+16</v>
      </c>
      <c r="M5987" s="460">
        <f t="shared" si="219"/>
        <v>0.05</v>
      </c>
      <c r="N5987" s="464">
        <f t="shared" si="220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18"/>
        <v>-1.8035343938714168E+16</v>
      </c>
      <c r="J5988" s="444">
        <f t="array" ref="J5988">IFERROR(INDEX('Retirement Calculator'!J:J,MATCH('Isaac 401k'!N5988,'Retirement Calculator'!A:A,0),0),0)</f>
        <v>0</v>
      </c>
      <c r="K5988" s="444">
        <f t="shared" ca="1" si="216"/>
        <v>-75147266411309.031</v>
      </c>
      <c r="L5988" s="444">
        <f t="shared" ca="1" si="217"/>
        <v>-1.8110491205125476E+16</v>
      </c>
      <c r="M5988" s="460">
        <f t="shared" si="219"/>
        <v>0.05</v>
      </c>
      <c r="N5988" s="464">
        <f t="shared" si="220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18"/>
        <v>-1.8110491205125476E+16</v>
      </c>
      <c r="J5989" s="444">
        <f t="array" ref="J5989">IFERROR(INDEX('Retirement Calculator'!J:J,MATCH('Isaac 401k'!N5989,'Retirement Calculator'!A:A,0),0),0)</f>
        <v>0</v>
      </c>
      <c r="K5989" s="444">
        <f t="shared" ca="1" si="216"/>
        <v>-75460380021356.156</v>
      </c>
      <c r="L5989" s="444">
        <f t="shared" ca="1" si="217"/>
        <v>-1.8185951585146832E+16</v>
      </c>
      <c r="M5989" s="460">
        <f t="shared" si="219"/>
        <v>0.05</v>
      </c>
      <c r="N5989" s="464">
        <f t="shared" si="220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18"/>
        <v>-1.8185951585146832E+16</v>
      </c>
      <c r="J5990" s="444">
        <f t="array" ref="J5990">IFERROR(INDEX('Retirement Calculator'!J:J,MATCH('Isaac 401k'!N5990,'Retirement Calculator'!A:A,0),0),0)</f>
        <v>0</v>
      </c>
      <c r="K5990" s="444">
        <f t="shared" ca="1" si="216"/>
        <v>-75774798271445.125</v>
      </c>
      <c r="L5990" s="444">
        <f t="shared" ca="1" si="217"/>
        <v>-1.8261726383418276E+16</v>
      </c>
      <c r="M5990" s="460">
        <f t="shared" si="219"/>
        <v>0.05</v>
      </c>
      <c r="N5990" s="464">
        <f t="shared" si="220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18"/>
        <v>-1.8261726383418276E+16</v>
      </c>
      <c r="J5991" s="444">
        <f t="array" ref="J5991">IFERROR(INDEX('Retirement Calculator'!J:J,MATCH('Isaac 401k'!N5991,'Retirement Calculator'!A:A,0),0),0)</f>
        <v>0</v>
      </c>
      <c r="K5991" s="444">
        <f t="shared" ca="1" si="216"/>
        <v>-76090526597576.156</v>
      </c>
      <c r="L5991" s="444">
        <f t="shared" ca="1" si="217"/>
        <v>-1.8337816910015852E+16</v>
      </c>
      <c r="M5991" s="460">
        <f t="shared" si="219"/>
        <v>0.05</v>
      </c>
      <c r="N5991" s="464">
        <f t="shared" si="220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18"/>
        <v>-1.8337816910015852E+16</v>
      </c>
      <c r="J5992" s="444">
        <f t="array" ref="J5992">IFERROR(INDEX('Retirement Calculator'!J:J,MATCH('Isaac 401k'!N5992,'Retirement Calculator'!A:A,0),0),0)</f>
        <v>0</v>
      </c>
      <c r="K5992" s="444">
        <f t="shared" ca="1" si="216"/>
        <v>-76407570458399.375</v>
      </c>
      <c r="L5992" s="444">
        <f t="shared" ca="1" si="217"/>
        <v>-1.8414224480474252E+16</v>
      </c>
      <c r="M5992" s="460">
        <f t="shared" si="219"/>
        <v>0.05</v>
      </c>
      <c r="N5992" s="464">
        <f t="shared" si="220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18"/>
        <v>-1.8414224480474252E+16</v>
      </c>
      <c r="J5993" s="444">
        <f t="array" ref="J5993">IFERROR(INDEX('Retirement Calculator'!J:J,MATCH('Isaac 401k'!N5993,'Retirement Calculator'!A:A,0),0),0)</f>
        <v>0</v>
      </c>
      <c r="K5993" s="444">
        <f t="shared" ca="1" si="216"/>
        <v>-76725935335309.375</v>
      </c>
      <c r="L5993" s="444">
        <f t="shared" ca="1" si="217"/>
        <v>-1.849095041580956E+16</v>
      </c>
      <c r="M5993" s="460">
        <f t="shared" si="219"/>
        <v>0.05</v>
      </c>
      <c r="N5993" s="464">
        <f t="shared" si="220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18"/>
        <v>-1.849095041580956E+16</v>
      </c>
      <c r="J5994" s="444">
        <f t="array" ref="J5994">IFERROR(INDEX('Retirement Calculator'!J:J,MATCH('Isaac 401k'!N5994,'Retirement Calculator'!A:A,0),0),0)</f>
        <v>0</v>
      </c>
      <c r="K5994" s="444">
        <f t="shared" ca="1" si="216"/>
        <v>-77045626732539.828</v>
      </c>
      <c r="L5994" s="444">
        <f t="shared" ca="1" si="217"/>
        <v>-1.85679960425421E+16</v>
      </c>
      <c r="M5994" s="460">
        <f t="shared" si="219"/>
        <v>0.05</v>
      </c>
      <c r="N5994" s="464">
        <f t="shared" si="220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18"/>
        <v>-1.85679960425421E+16</v>
      </c>
      <c r="J5995" s="444">
        <f t="array" ref="J5995">IFERROR(INDEX('Retirement Calculator'!J:J,MATCH('Isaac 401k'!N5995,'Retirement Calculator'!A:A,0),0),0)</f>
        <v>0</v>
      </c>
      <c r="K5995" s="444">
        <f t="shared" ca="1" si="216"/>
        <v>-77366650177258.75</v>
      </c>
      <c r="L5995" s="444">
        <f t="shared" ca="1" si="217"/>
        <v>-1.864536269271936E+16</v>
      </c>
      <c r="M5995" s="460">
        <f t="shared" si="219"/>
        <v>0.05</v>
      </c>
      <c r="N5995" s="464">
        <f t="shared" si="220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18"/>
        <v>-1.864536269271936E+16</v>
      </c>
      <c r="J5996" s="444">
        <f t="array" ref="J5996">IFERROR(INDEX('Retirement Calculator'!J:J,MATCH('Isaac 401k'!N5996,'Retirement Calculator'!A:A,0),0),0)</f>
        <v>0</v>
      </c>
      <c r="K5996" s="444">
        <f t="shared" ca="1" si="216"/>
        <v>-77689011219664</v>
      </c>
      <c r="L5996" s="444">
        <f t="shared" ca="1" si="217"/>
        <v>-1.8723051703939024E+16</v>
      </c>
      <c r="M5996" s="460">
        <f t="shared" si="219"/>
        <v>0.05</v>
      </c>
      <c r="N5996" s="464">
        <f t="shared" si="220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18"/>
        <v>-1.8723051703939024E+16</v>
      </c>
      <c r="J5997" s="444">
        <f t="array" ref="J5997">IFERROR(INDEX('Retirement Calculator'!J:J,MATCH('Isaac 401k'!N5997,'Retirement Calculator'!A:A,0),0),0)</f>
        <v>0</v>
      </c>
      <c r="K5997" s="444">
        <f t="shared" ca="1" si="216"/>
        <v>-78012715433079.266</v>
      </c>
      <c r="L5997" s="444">
        <f t="shared" ca="1" si="217"/>
        <v>-1.8801064419372104E+16</v>
      </c>
      <c r="M5997" s="460">
        <f t="shared" si="219"/>
        <v>0.05</v>
      </c>
      <c r="N5997" s="464">
        <f t="shared" si="220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18"/>
        <v>-1.8801064419372104E+16</v>
      </c>
      <c r="J5998" s="444">
        <f t="array" ref="J5998">IFERROR(INDEX('Retirement Calculator'!J:J,MATCH('Isaac 401k'!N5998,'Retirement Calculator'!A:A,0),0),0)</f>
        <v>0</v>
      </c>
      <c r="K5998" s="444">
        <f t="shared" ca="1" si="216"/>
        <v>-78337768414050.438</v>
      </c>
      <c r="L5998" s="444">
        <f t="shared" ca="1" si="217"/>
        <v>-1.8879402187786156E+16</v>
      </c>
      <c r="M5998" s="460">
        <f t="shared" si="219"/>
        <v>0.05</v>
      </c>
      <c r="N5998" s="464">
        <f t="shared" si="220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18"/>
        <v>-1.8879402187786156E+16</v>
      </c>
      <c r="J5999" s="444">
        <f t="array" ref="J5999">IFERROR(INDEX('Retirement Calculator'!J:J,MATCH('Isaac 401k'!N5999,'Retirement Calculator'!A:A,0),0),0)</f>
        <v>0</v>
      </c>
      <c r="K5999" s="444">
        <f t="shared" ca="1" si="216"/>
        <v>-78664175782442.313</v>
      </c>
      <c r="L5999" s="444">
        <f t="shared" ca="1" si="217"/>
        <v>-1.89580663635686E+16</v>
      </c>
      <c r="M5999" s="460">
        <f t="shared" si="219"/>
        <v>0.05</v>
      </c>
      <c r="N5999" s="464">
        <f t="shared" si="220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18"/>
        <v>-1.89580663635686E+16</v>
      </c>
      <c r="J6000" s="444">
        <f t="array" ref="J6000">IFERROR(INDEX('Retirement Calculator'!J:J,MATCH('Isaac 401k'!N6000,'Retirement Calculator'!A:A,0),0),0)</f>
        <v>0</v>
      </c>
      <c r="K6000" s="444">
        <f t="shared" ca="1" si="216"/>
        <v>-78991943181535.828</v>
      </c>
      <c r="L6000" s="444">
        <f t="shared" ca="1" si="217"/>
        <v>-1.9037058306750136E+16</v>
      </c>
      <c r="M6000" s="460">
        <f t="shared" si="219"/>
        <v>0.05</v>
      </c>
      <c r="N6000" s="464">
        <f t="shared" si="220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18"/>
        <v>-1.9037058306750136E+16</v>
      </c>
      <c r="J6001" s="444">
        <f t="array" ref="J6001">IFERROR(INDEX('Retirement Calculator'!J:J,MATCH('Isaac 401k'!N6001,'Retirement Calculator'!A:A,0),0),0)</f>
        <v>0</v>
      </c>
      <c r="K6001" s="444">
        <f t="shared" ca="1" si="216"/>
        <v>-79321076278125.563</v>
      </c>
      <c r="L6001" s="444">
        <f t="shared" ca="1" si="217"/>
        <v>-1.911637938302826E+16</v>
      </c>
      <c r="M6001" s="460">
        <f t="shared" si="219"/>
        <v>0.05</v>
      </c>
      <c r="N6001" s="464">
        <f t="shared" si="220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18"/>
        <v>-1.911637938302826E+16</v>
      </c>
      <c r="J6002" s="444">
        <f t="array" ref="J6002">IFERROR(INDEX('Retirement Calculator'!J:J,MATCH('Isaac 401k'!N6002,'Retirement Calculator'!A:A,0),0),0)</f>
        <v>0</v>
      </c>
      <c r="K6002" s="444">
        <f t="shared" ca="1" si="216"/>
        <v>-79651580762617.75</v>
      </c>
      <c r="L6002" s="444">
        <f t="shared" ca="1" si="217"/>
        <v>-1.9196030963790876E+16</v>
      </c>
      <c r="M6002" s="460">
        <f t="shared" si="219"/>
        <v>0.05</v>
      </c>
      <c r="N6002" s="464">
        <f t="shared" si="220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18"/>
        <v>-1.9196030963790876E+16</v>
      </c>
      <c r="J6003" s="444">
        <f t="array" ref="J6003">IFERROR(INDEX('Retirement Calculator'!J:J,MATCH('Isaac 401k'!N6003,'Retirement Calculator'!A:A,0),0),0)</f>
        <v>0</v>
      </c>
      <c r="K6003" s="444">
        <f t="shared" ca="1" si="216"/>
        <v>-79983462349128.656</v>
      </c>
      <c r="L6003" s="444">
        <f t="shared" ca="1" si="217"/>
        <v>-1.9276014426140004E+16</v>
      </c>
      <c r="M6003" s="460">
        <f t="shared" si="219"/>
        <v>0.05</v>
      </c>
      <c r="N6003" s="464">
        <f t="shared" si="220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18"/>
        <v>-1.9276014426140004E+16</v>
      </c>
      <c r="J6004" s="444">
        <f t="array" ref="J6004">IFERROR(INDEX('Retirement Calculator'!J:J,MATCH('Isaac 401k'!N6004,'Retirement Calculator'!A:A,0),0),0)</f>
        <v>0</v>
      </c>
      <c r="K6004" s="444">
        <f t="shared" ca="1" si="216"/>
        <v>-80316726775583.344</v>
      </c>
      <c r="L6004" s="444">
        <f t="shared" ca="1" si="217"/>
        <v>-1.9356331152915588E+16</v>
      </c>
      <c r="M6004" s="460">
        <f t="shared" si="219"/>
        <v>0.05</v>
      </c>
      <c r="N6004" s="464">
        <f t="shared" si="220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18"/>
        <v>-1.9356331152915588E+16</v>
      </c>
      <c r="J6005" s="444">
        <f t="array" ref="J6005">IFERROR(INDEX('Retirement Calculator'!J:J,MATCH('Isaac 401k'!N6005,'Retirement Calculator'!A:A,0),0),0)</f>
        <v>0</v>
      </c>
      <c r="K6005" s="444">
        <f t="shared" ca="1" si="216"/>
        <v>-80651379803814.953</v>
      </c>
      <c r="L6005" s="444">
        <f t="shared" ca="1" si="217"/>
        <v>-1.9436982532719404E+16</v>
      </c>
      <c r="M6005" s="460">
        <f t="shared" si="219"/>
        <v>0.05</v>
      </c>
      <c r="N6005" s="464">
        <f t="shared" si="220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18"/>
        <v>-1.9436982532719404E+16</v>
      </c>
      <c r="J6006" s="444">
        <f t="array" ref="J6006">IFERROR(INDEX('Retirement Calculator'!J:J,MATCH('Isaac 401k'!N6006,'Retirement Calculator'!A:A,0),0),0)</f>
        <v>0</v>
      </c>
      <c r="K6006" s="444">
        <f t="shared" ca="1" si="216"/>
        <v>-80987427219664.188</v>
      </c>
      <c r="L6006" s="444">
        <f t="shared" ca="1" si="217"/>
        <v>-1.9517969959939068E+16</v>
      </c>
      <c r="M6006" s="460">
        <f t="shared" si="219"/>
        <v>0.05</v>
      </c>
      <c r="N6006" s="464">
        <f t="shared" si="220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18"/>
        <v>-1.9517969959939068E+16</v>
      </c>
      <c r="J6007" s="444">
        <f t="array" ref="J6007">IFERROR(INDEX('Retirement Calculator'!J:J,MATCH('Isaac 401k'!N6007,'Retirement Calculator'!A:A,0),0),0)</f>
        <v>0</v>
      </c>
      <c r="K6007" s="444">
        <f t="shared" ca="1" si="216"/>
        <v>-81324874833079.453</v>
      </c>
      <c r="L6007" s="444">
        <f t="shared" ca="1" si="217"/>
        <v>-1.9599294834772148E+16</v>
      </c>
      <c r="M6007" s="460">
        <f t="shared" si="219"/>
        <v>0.05</v>
      </c>
      <c r="N6007" s="464">
        <f t="shared" si="220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18"/>
        <v>-1.9599294834772148E+16</v>
      </c>
      <c r="J6008" s="444">
        <f t="array" ref="J6008">IFERROR(INDEX('Retirement Calculator'!J:J,MATCH('Isaac 401k'!N6008,'Retirement Calculator'!A:A,0),0),0)</f>
        <v>0</v>
      </c>
      <c r="K6008" s="444">
        <f t="shared" ca="1" si="216"/>
        <v>-81663728478217.281</v>
      </c>
      <c r="L6008" s="444">
        <f t="shared" ca="1" si="217"/>
        <v>-1.9680958563250364E+16</v>
      </c>
      <c r="M6008" s="460">
        <f t="shared" si="219"/>
        <v>0.05</v>
      </c>
      <c r="N6008" s="464">
        <f t="shared" si="220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18"/>
        <v>-1.9680958563250364E+16</v>
      </c>
      <c r="J6009" s="444">
        <f t="array" ref="J6009">IFERROR(INDEX('Retirement Calculator'!J:J,MATCH('Isaac 401k'!N6009,'Retirement Calculator'!A:A,0),0),0)</f>
        <v>0</v>
      </c>
      <c r="K6009" s="444">
        <f t="shared" ca="1" si="216"/>
        <v>-82003994013543.188</v>
      </c>
      <c r="L6009" s="444">
        <f t="shared" ca="1" si="217"/>
        <v>-1.9762962557263908E+16</v>
      </c>
      <c r="M6009" s="460">
        <f t="shared" si="219"/>
        <v>0.05</v>
      </c>
      <c r="N6009" s="464">
        <f t="shared" si="220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18"/>
        <v>-1.9762962557263908E+16</v>
      </c>
      <c r="J6010" s="444">
        <f t="array" ref="J6010">IFERROR(INDEX('Retirement Calculator'!J:J,MATCH('Isaac 401k'!N6010,'Retirement Calculator'!A:A,0),0),0)</f>
        <v>0</v>
      </c>
      <c r="K6010" s="444">
        <f t="shared" ca="1" si="216"/>
        <v>-82345677321932.953</v>
      </c>
      <c r="L6010" s="444">
        <f t="shared" ca="1" si="217"/>
        <v>-1.984530823458584E+16</v>
      </c>
      <c r="M6010" s="460">
        <f t="shared" si="219"/>
        <v>0.05</v>
      </c>
      <c r="N6010" s="464">
        <f t="shared" si="220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18"/>
        <v>-1.984530823458584E+16</v>
      </c>
      <c r="J6011" s="444">
        <f t="array" ref="J6011">IFERROR(INDEX('Retirement Calculator'!J:J,MATCH('Isaac 401k'!N6011,'Retirement Calculator'!A:A,0),0),0)</f>
        <v>0</v>
      </c>
      <c r="K6011" s="444">
        <f t="shared" ca="1" si="216"/>
        <v>-82688784310774.328</v>
      </c>
      <c r="L6011" s="444">
        <f t="shared" ca="1" si="217"/>
        <v>-1.9927997018896616E+16</v>
      </c>
      <c r="M6011" s="460">
        <f t="shared" si="219"/>
        <v>0.05</v>
      </c>
      <c r="N6011" s="464">
        <f t="shared" si="220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18"/>
        <v>-1.9927997018896616E+16</v>
      </c>
      <c r="J6012" s="444">
        <f t="array" ref="J6012">IFERROR(INDEX('Retirement Calculator'!J:J,MATCH('Isaac 401k'!N6012,'Retirement Calculator'!A:A,0),0),0)</f>
        <v>0</v>
      </c>
      <c r="K6012" s="444">
        <f t="shared" ca="1" si="216"/>
        <v>-83033320912069.234</v>
      </c>
      <c r="L6012" s="444">
        <f t="shared" ca="1" si="217"/>
        <v>-2.0011030339808684E+16</v>
      </c>
      <c r="M6012" s="460">
        <f t="shared" si="219"/>
        <v>0.05</v>
      </c>
      <c r="N6012" s="464">
        <f t="shared" si="220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18"/>
        <v>-2.0011030339808684E+16</v>
      </c>
      <c r="J6013" s="444">
        <f t="array" ref="J6013">IFERROR(INDEX('Retirement Calculator'!J:J,MATCH('Isaac 401k'!N6013,'Retirement Calculator'!A:A,0),0),0)</f>
        <v>0</v>
      </c>
      <c r="K6013" s="444">
        <f t="shared" ca="1" si="216"/>
        <v>-83379293082536.188</v>
      </c>
      <c r="L6013" s="444">
        <f t="shared" ca="1" si="217"/>
        <v>-2.009440963289122E+16</v>
      </c>
      <c r="M6013" s="460">
        <f t="shared" si="219"/>
        <v>0.05</v>
      </c>
      <c r="N6013" s="464">
        <f t="shared" si="220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18"/>
        <v>-2.009440963289122E+16</v>
      </c>
      <c r="J6014" s="444">
        <f t="array" ref="J6014">IFERROR(INDEX('Retirement Calculator'!J:J,MATCH('Isaac 401k'!N6014,'Retirement Calculator'!A:A,0),0),0)</f>
        <v>0</v>
      </c>
      <c r="K6014" s="444">
        <f t="shared" ca="1" si="216"/>
        <v>-83726706803713.422</v>
      </c>
      <c r="L6014" s="444">
        <f t="shared" ca="1" si="217"/>
        <v>-2.0178136339694932E+16</v>
      </c>
      <c r="M6014" s="460">
        <f t="shared" si="219"/>
        <v>0.05</v>
      </c>
      <c r="N6014" s="464">
        <f t="shared" si="220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18"/>
        <v>-2.0178136339694932E+16</v>
      </c>
      <c r="J6015" s="444">
        <f t="array" ref="J6015">IFERROR(INDEX('Retirement Calculator'!J:J,MATCH('Isaac 401k'!N6015,'Retirement Calculator'!A:A,0),0),0)</f>
        <v>0</v>
      </c>
      <c r="K6015" s="444">
        <f t="shared" ca="1" si="216"/>
        <v>-84075568082062.219</v>
      </c>
      <c r="L6015" s="444">
        <f t="shared" ca="1" si="217"/>
        <v>-2.0262211907776996E+16</v>
      </c>
      <c r="M6015" s="460">
        <f t="shared" si="219"/>
        <v>0.05</v>
      </c>
      <c r="N6015" s="464">
        <f t="shared" si="220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18"/>
        <v>-2.0262211907776996E+16</v>
      </c>
      <c r="J6016" s="444">
        <f t="array" ref="J6016">IFERROR(INDEX('Retirement Calculator'!J:J,MATCH('Isaac 401k'!N6016,'Retirement Calculator'!A:A,0),0),0)</f>
        <v>0</v>
      </c>
      <c r="K6016" s="444">
        <f t="shared" ca="1" si="216"/>
        <v>-84425882949070.813</v>
      </c>
      <c r="L6016" s="444">
        <f t="shared" ca="1" si="217"/>
        <v>-2.0346637790726068E+16</v>
      </c>
      <c r="M6016" s="460">
        <f t="shared" si="219"/>
        <v>0.05</v>
      </c>
      <c r="N6016" s="464">
        <f t="shared" si="220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18"/>
        <v>-2.0346637790726068E+16</v>
      </c>
      <c r="J6017" s="444">
        <f t="array" ref="J6017">IFERROR(INDEX('Retirement Calculator'!J:J,MATCH('Isaac 401k'!N6017,'Retirement Calculator'!A:A,0),0),0)</f>
        <v>0</v>
      </c>
      <c r="K6017" s="444">
        <f t="shared" ca="1" si="216"/>
        <v>-84777657461358.609</v>
      </c>
      <c r="L6017" s="444">
        <f t="shared" ca="1" si="217"/>
        <v>-2.0431415448187428E+16</v>
      </c>
      <c r="M6017" s="460">
        <f t="shared" si="219"/>
        <v>0.05</v>
      </c>
      <c r="N6017" s="464">
        <f t="shared" si="220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18"/>
        <v>-2.0431415448187428E+16</v>
      </c>
      <c r="J6018" s="444">
        <f t="array" ref="J6018">IFERROR(INDEX('Retirement Calculator'!J:J,MATCH('Isaac 401k'!N6018,'Retirement Calculator'!A:A,0),0),0)</f>
        <v>0</v>
      </c>
      <c r="K6018" s="444">
        <f t="shared" ca="1" si="216"/>
        <v>-85130897700780.953</v>
      </c>
      <c r="L6018" s="444">
        <f t="shared" ca="1" si="217"/>
        <v>-2.0516546345888208E+16</v>
      </c>
      <c r="M6018" s="460">
        <f t="shared" si="219"/>
        <v>0.05</v>
      </c>
      <c r="N6018" s="464">
        <f t="shared" si="220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18"/>
        <v>-2.0516546345888208E+16</v>
      </c>
      <c r="J6019" s="444">
        <f t="array" ref="J6019">IFERROR(INDEX('Retirement Calculator'!J:J,MATCH('Isaac 401k'!N6019,'Retirement Calculator'!A:A,0),0),0)</f>
        <v>0</v>
      </c>
      <c r="K6019" s="444">
        <f t="shared" ca="1" si="216"/>
        <v>-85485609774534.203</v>
      </c>
      <c r="L6019" s="444">
        <f t="shared" ca="1" si="217"/>
        <v>-2.0602031955662744E+16</v>
      </c>
      <c r="M6019" s="460">
        <f t="shared" si="219"/>
        <v>0.05</v>
      </c>
      <c r="N6019" s="464">
        <f t="shared" si="220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18"/>
        <v>-2.0602031955662744E+16</v>
      </c>
      <c r="J6020" s="444">
        <f t="array" ref="J6020">IFERROR(INDEX('Retirement Calculator'!J:J,MATCH('Isaac 401k'!N6020,'Retirement Calculator'!A:A,0),0),0)</f>
        <v>0</v>
      </c>
      <c r="K6020" s="444">
        <f t="shared" ca="1" si="216"/>
        <v>-85841799815261.438</v>
      </c>
      <c r="L6020" s="444">
        <f t="shared" ca="1" si="217"/>
        <v>-2.0687873755478004E+16</v>
      </c>
      <c r="M6020" s="460">
        <f t="shared" si="219"/>
        <v>0.05</v>
      </c>
      <c r="N6020" s="464">
        <f t="shared" si="220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18"/>
        <v>-2.0687873755478004E+16</v>
      </c>
      <c r="J6021" s="444">
        <f t="array" ref="J6021">IFERROR(INDEX('Retirement Calculator'!J:J,MATCH('Isaac 401k'!N6021,'Retirement Calculator'!A:A,0),0),0)</f>
        <v>0</v>
      </c>
      <c r="K6021" s="444">
        <f t="shared" ca="1" si="216"/>
        <v>-86199473981158.344</v>
      </c>
      <c r="L6021" s="444">
        <f t="shared" ca="1" si="217"/>
        <v>-2.0774073229459164E+16</v>
      </c>
      <c r="M6021" s="460">
        <f t="shared" si="219"/>
        <v>0.05</v>
      </c>
      <c r="N6021" s="464">
        <f t="shared" si="220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18"/>
        <v>-2.0774073229459164E+16</v>
      </c>
      <c r="J6022" s="444">
        <f t="array" ref="J6022">IFERROR(INDEX('Retirement Calculator'!J:J,MATCH('Isaac 401k'!N6022,'Retirement Calculator'!A:A,0),0),0)</f>
        <v>0</v>
      </c>
      <c r="K6022" s="444">
        <f t="shared" ca="1" si="216"/>
        <v>-86558638456079.844</v>
      </c>
      <c r="L6022" s="444">
        <f t="shared" ca="1" si="217"/>
        <v>-2.0860631867915244E+16</v>
      </c>
      <c r="M6022" s="460">
        <f t="shared" si="219"/>
        <v>0.05</v>
      </c>
      <c r="N6022" s="464">
        <f t="shared" si="220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18"/>
        <v>-2.0860631867915244E+16</v>
      </c>
      <c r="J6023" s="444">
        <f t="array" ref="J6023">IFERROR(INDEX('Retirement Calculator'!J:J,MATCH('Isaac 401k'!N6023,'Retirement Calculator'!A:A,0),0),0)</f>
        <v>0</v>
      </c>
      <c r="K6023" s="444">
        <f t="shared" ca="1" si="216"/>
        <v>-86919299449646.844</v>
      </c>
      <c r="L6023" s="444">
        <f t="shared" ca="1" si="217"/>
        <v>-2.0947551167364892E+16</v>
      </c>
      <c r="M6023" s="460">
        <f t="shared" si="219"/>
        <v>0.05</v>
      </c>
      <c r="N6023" s="464">
        <f t="shared" si="220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18"/>
        <v>-2.0947551167364892E+16</v>
      </c>
      <c r="J6024" s="444">
        <f t="array" ref="J6024">IFERROR(INDEX('Retirement Calculator'!J:J,MATCH('Isaac 401k'!N6024,'Retirement Calculator'!A:A,0),0),0)</f>
        <v>0</v>
      </c>
      <c r="K6024" s="444">
        <f t="shared" ca="1" si="216"/>
        <v>-87281463197353.719</v>
      </c>
      <c r="L6024" s="444">
        <f t="shared" ca="1" si="217"/>
        <v>-2.1034832630562244E+16</v>
      </c>
      <c r="M6024" s="460">
        <f t="shared" si="219"/>
        <v>0.05</v>
      </c>
      <c r="N6024" s="464">
        <f t="shared" si="220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18"/>
        <v>-2.1034832630562244E+16</v>
      </c>
      <c r="J6025" s="444">
        <f t="array" ref="J6025">IFERROR(INDEX('Retirement Calculator'!J:J,MATCH('Isaac 401k'!N6025,'Retirement Calculator'!A:A,0),0),0)</f>
        <v>0</v>
      </c>
      <c r="K6025" s="444">
        <f t="shared" ca="1" si="216"/>
        <v>-87645135960676.016</v>
      </c>
      <c r="L6025" s="444">
        <f t="shared" ca="1" si="217"/>
        <v>-2.112247776652292E+16</v>
      </c>
      <c r="M6025" s="460">
        <f t="shared" si="219"/>
        <v>0.05</v>
      </c>
      <c r="N6025" s="464">
        <f t="shared" si="220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18"/>
        <v>-2.112247776652292E+16</v>
      </c>
      <c r="J6026" s="444">
        <f t="array" ref="J6026">IFERROR(INDEX('Retirement Calculator'!J:J,MATCH('Isaac 401k'!N6026,'Retirement Calculator'!A:A,0),0),0)</f>
        <v>0</v>
      </c>
      <c r="K6026" s="444">
        <f t="shared" ca="1" si="216"/>
        <v>-88010324027178.828</v>
      </c>
      <c r="L6026" s="444">
        <f t="shared" ca="1" si="217"/>
        <v>-2.12104880905501E+16</v>
      </c>
      <c r="M6026" s="460">
        <f t="shared" si="219"/>
        <v>0.05</v>
      </c>
      <c r="N6026" s="464">
        <f t="shared" si="220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18"/>
        <v>-2.12104880905501E+16</v>
      </c>
      <c r="J6027" s="444">
        <f t="array" ref="J6027">IFERROR(INDEX('Retirement Calculator'!J:J,MATCH('Isaac 401k'!N6027,'Retirement Calculator'!A:A,0),0),0)</f>
        <v>0</v>
      </c>
      <c r="K6027" s="444">
        <f t="shared" ca="1" si="216"/>
        <v>-88377033710625.422</v>
      </c>
      <c r="L6027" s="444">
        <f t="shared" ca="1" si="217"/>
        <v>-2.1298865124260724E+16</v>
      </c>
      <c r="M6027" s="460">
        <f t="shared" si="219"/>
        <v>0.05</v>
      </c>
      <c r="N6027" s="464">
        <f t="shared" si="220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18"/>
        <v>-2.1298865124260724E+16</v>
      </c>
      <c r="J6028" s="444">
        <f t="array" ref="J6028">IFERROR(INDEX('Retirement Calculator'!J:J,MATCH('Isaac 401k'!N6028,'Retirement Calculator'!A:A,0),0),0)</f>
        <v>0</v>
      </c>
      <c r="K6028" s="444">
        <f t="shared" ca="1" si="216"/>
        <v>-88745271351086.344</v>
      </c>
      <c r="L6028" s="444">
        <f t="shared" ca="1" si="217"/>
        <v>-2.1387610395611812E+16</v>
      </c>
      <c r="M6028" s="460">
        <f t="shared" si="219"/>
        <v>0.05</v>
      </c>
      <c r="N6028" s="464">
        <f t="shared" si="220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18"/>
        <v>-2.1387610395611812E+16</v>
      </c>
      <c r="J6029" s="444">
        <f t="array" ref="J6029">IFERROR(INDEX('Retirement Calculator'!J:J,MATCH('Isaac 401k'!N6029,'Retirement Calculator'!A:A,0),0),0)</f>
        <v>0</v>
      </c>
      <c r="K6029" s="444">
        <f t="shared" ca="1" si="216"/>
        <v>-89115043315049.219</v>
      </c>
      <c r="L6029" s="444">
        <f t="shared" ca="1" si="217"/>
        <v>-2.147672543892686E+16</v>
      </c>
      <c r="M6029" s="460">
        <f t="shared" si="219"/>
        <v>0.05</v>
      </c>
      <c r="N6029" s="464">
        <f t="shared" si="220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18"/>
        <v>-2.147672543892686E+16</v>
      </c>
      <c r="J6030" s="444">
        <f t="array" ref="J6030">IFERROR(INDEX('Retirement Calculator'!J:J,MATCH('Isaac 401k'!N6030,'Retirement Calculator'!A:A,0),0),0)</f>
        <v>0</v>
      </c>
      <c r="K6030" s="444">
        <f t="shared" ca="1" si="216"/>
        <v>-89486355995528.578</v>
      </c>
      <c r="L6030" s="444">
        <f t="shared" ca="1" si="217"/>
        <v>-2.1566211794922388E+16</v>
      </c>
      <c r="M6030" s="460">
        <f t="shared" si="219"/>
        <v>0.05</v>
      </c>
      <c r="N6030" s="464">
        <f t="shared" si="220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18"/>
        <v>-2.1566211794922388E+16</v>
      </c>
      <c r="J6031" s="444">
        <f t="array" ref="J6031">IFERROR(INDEX('Retirement Calculator'!J:J,MATCH('Isaac 401k'!N6031,'Retirement Calculator'!A:A,0),0),0)</f>
        <v>0</v>
      </c>
      <c r="K6031" s="444">
        <f t="shared" ca="1" si="216"/>
        <v>-89859215812176.609</v>
      </c>
      <c r="L6031" s="444">
        <f t="shared" ca="1" si="217"/>
        <v>-2.1656071010734564E+16</v>
      </c>
      <c r="M6031" s="460">
        <f t="shared" si="219"/>
        <v>0.05</v>
      </c>
      <c r="N6031" s="464">
        <f t="shared" si="220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18"/>
        <v>-2.1656071010734564E+16</v>
      </c>
      <c r="J6032" s="444">
        <f t="array" ref="J6032">IFERROR(INDEX('Retirement Calculator'!J:J,MATCH('Isaac 401k'!N6032,'Retirement Calculator'!A:A,0),0),0)</f>
        <v>0</v>
      </c>
      <c r="K6032" s="444">
        <f t="shared" ca="1" si="216"/>
        <v>-90233629211394.016</v>
      </c>
      <c r="L6032" s="444">
        <f t="shared" ca="1" si="217"/>
        <v>-2.174630463994596E+16</v>
      </c>
      <c r="M6032" s="460">
        <f t="shared" si="219"/>
        <v>0.05</v>
      </c>
      <c r="N6032" s="464">
        <f t="shared" si="220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18"/>
        <v>-2.174630463994596E+16</v>
      </c>
      <c r="J6033" s="444">
        <f t="array" ref="J6033">IFERROR(INDEX('Retirement Calculator'!J:J,MATCH('Isaac 401k'!N6033,'Retirement Calculator'!A:A,0),0),0)</f>
        <v>0</v>
      </c>
      <c r="K6033" s="444">
        <f t="shared" ca="1" si="216"/>
        <v>-90609602666441.5</v>
      </c>
      <c r="L6033" s="444">
        <f t="shared" ca="1" si="217"/>
        <v>-2.18369142426124E+16</v>
      </c>
      <c r="M6033" s="460">
        <f t="shared" si="219"/>
        <v>0.05</v>
      </c>
      <c r="N6033" s="464">
        <f t="shared" si="220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18"/>
        <v>-2.18369142426124E+16</v>
      </c>
      <c r="J6034" s="444">
        <f t="array" ref="J6034">IFERROR(INDEX('Retirement Calculator'!J:J,MATCH('Isaac 401k'!N6034,'Retirement Calculator'!A:A,0),0),0)</f>
        <v>0</v>
      </c>
      <c r="K6034" s="444">
        <f t="shared" ca="1" si="216"/>
        <v>-90987142677551.672</v>
      </c>
      <c r="L6034" s="444">
        <f t="shared" ca="1" si="217"/>
        <v>-2.1927901385289952E+16</v>
      </c>
      <c r="M6034" s="460">
        <f t="shared" si="219"/>
        <v>0.05</v>
      </c>
      <c r="N6034" s="464">
        <f t="shared" si="220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18"/>
        <v>-2.1927901385289952E+16</v>
      </c>
      <c r="J6035" s="444">
        <f t="array" ref="J6035">IFERROR(INDEX('Retirement Calculator'!J:J,MATCH('Isaac 401k'!N6035,'Retirement Calculator'!A:A,0),0),0)</f>
        <v>0</v>
      </c>
      <c r="K6035" s="444">
        <f t="shared" ca="1" si="216"/>
        <v>-91366255772041.469</v>
      </c>
      <c r="L6035" s="444">
        <f t="shared" ca="1" si="217"/>
        <v>-2.2019267641061992E+16</v>
      </c>
      <c r="M6035" s="460">
        <f t="shared" si="219"/>
        <v>0.05</v>
      </c>
      <c r="N6035" s="464">
        <f t="shared" si="220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18"/>
        <v>-2.2019267641061992E+16</v>
      </c>
      <c r="J6036" s="444">
        <f t="array" ref="J6036">IFERROR(INDEX('Retirement Calculator'!J:J,MATCH('Isaac 401k'!N6036,'Retirement Calculator'!A:A,0),0),0)</f>
        <v>0</v>
      </c>
      <c r="K6036" s="444">
        <f t="shared" ca="1" si="216"/>
        <v>-91746948504424.969</v>
      </c>
      <c r="L6036" s="444">
        <f t="shared" ca="1" si="217"/>
        <v>-2.2111014589566416E+16</v>
      </c>
      <c r="M6036" s="460">
        <f t="shared" si="219"/>
        <v>0.05</v>
      </c>
      <c r="N6036" s="464">
        <f t="shared" si="220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18"/>
        <v>-2.2111014589566416E+16</v>
      </c>
      <c r="J6037" s="444">
        <f t="array" ref="J6037">IFERROR(INDEX('Retirement Calculator'!J:J,MATCH('Isaac 401k'!N6037,'Retirement Calculator'!A:A,0),0),0)</f>
        <v>0</v>
      </c>
      <c r="K6037" s="444">
        <f t="shared" ca="1" si="216"/>
        <v>-92129227456526.734</v>
      </c>
      <c r="L6037" s="444">
        <f t="shared" ca="1" si="217"/>
        <v>-2.2203143817022944E+16</v>
      </c>
      <c r="M6037" s="460">
        <f t="shared" si="219"/>
        <v>0.05</v>
      </c>
      <c r="N6037" s="464">
        <f t="shared" si="220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18"/>
        <v>-2.2203143817022944E+16</v>
      </c>
      <c r="J6038" s="444">
        <f t="array" ref="J6038">IFERROR(INDEX('Retirement Calculator'!J:J,MATCH('Isaac 401k'!N6038,'Retirement Calculator'!A:A,0),0),0)</f>
        <v>0</v>
      </c>
      <c r="K6038" s="444">
        <f t="shared" ca="1" si="216"/>
        <v>-92513099237595.594</v>
      </c>
      <c r="L6038" s="444">
        <f t="shared" ca="1" si="217"/>
        <v>-2.229565691626054E+16</v>
      </c>
      <c r="M6038" s="460">
        <f t="shared" si="219"/>
        <v>0.05</v>
      </c>
      <c r="N6038" s="464">
        <f t="shared" si="220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18"/>
        <v>-2.229565691626054E+16</v>
      </c>
      <c r="J6039" s="444">
        <f t="array" ref="J6039">IFERROR(INDEX('Retirement Calculator'!J:J,MATCH('Isaac 401k'!N6039,'Retirement Calculator'!A:A,0),0),0)</f>
        <v>0</v>
      </c>
      <c r="K6039" s="444">
        <f t="shared" ca="1" si="216"/>
        <v>-92898570484418.922</v>
      </c>
      <c r="L6039" s="444">
        <f t="shared" ca="1" si="217"/>
        <v>-2.238855548674496E+16</v>
      </c>
      <c r="M6039" s="460">
        <f t="shared" si="219"/>
        <v>0.05</v>
      </c>
      <c r="N6039" s="464">
        <f t="shared" si="220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18"/>
        <v>-2.238855548674496E+16</v>
      </c>
      <c r="J6040" s="444">
        <f t="array" ref="J6040">IFERROR(INDEX('Retirement Calculator'!J:J,MATCH('Isaac 401k'!N6040,'Retirement Calculator'!A:A,0),0),0)</f>
        <v>0</v>
      </c>
      <c r="K6040" s="444">
        <f t="shared" ca="1" si="216"/>
        <v>-93285647861437.328</v>
      </c>
      <c r="L6040" s="444">
        <f t="shared" ca="1" si="217"/>
        <v>-2.2481841134606396E+16</v>
      </c>
      <c r="M6040" s="460">
        <f t="shared" si="219"/>
        <v>0.05</v>
      </c>
      <c r="N6040" s="464">
        <f t="shared" si="220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18"/>
        <v>-2.2481841134606396E+16</v>
      </c>
      <c r="J6041" s="444">
        <f t="array" ref="J6041">IFERROR(INDEX('Retirement Calculator'!J:J,MATCH('Isaac 401k'!N6041,'Retirement Calculator'!A:A,0),0),0)</f>
        <v>0</v>
      </c>
      <c r="K6041" s="444">
        <f t="shared" ca="1" si="216"/>
        <v>-93674338060859.984</v>
      </c>
      <c r="L6041" s="444">
        <f t="shared" ca="1" si="217"/>
        <v>-2.2575515472667256E+16</v>
      </c>
      <c r="M6041" s="460">
        <f t="shared" si="219"/>
        <v>0.05</v>
      </c>
      <c r="N6041" s="464">
        <f t="shared" si="220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18"/>
        <v>-2.2575515472667256E+16</v>
      </c>
      <c r="J6042" s="444">
        <f t="array" ref="J6042">IFERROR(INDEX('Retirement Calculator'!J:J,MATCH('Isaac 401k'!N6042,'Retirement Calculator'!A:A,0),0),0)</f>
        <v>0</v>
      </c>
      <c r="K6042" s="444">
        <f t="shared" ca="1" si="216"/>
        <v>-94064647802780.234</v>
      </c>
      <c r="L6042" s="444">
        <f t="shared" ca="1" si="217"/>
        <v>-2.2669580120470036E+16</v>
      </c>
      <c r="M6042" s="460">
        <f t="shared" si="219"/>
        <v>0.05</v>
      </c>
      <c r="N6042" s="464">
        <f t="shared" si="220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18"/>
        <v>-2.2669580120470036E+16</v>
      </c>
      <c r="J6043" s="444">
        <f t="array" ref="J6043">IFERROR(INDEX('Retirement Calculator'!J:J,MATCH('Isaac 401k'!N6043,'Retirement Calculator'!A:A,0),0),0)</f>
        <v>0</v>
      </c>
      <c r="K6043" s="444">
        <f t="shared" ca="1" si="216"/>
        <v>-94456583835291.813</v>
      </c>
      <c r="L6043" s="444">
        <f t="shared" ca="1" si="217"/>
        <v>-2.2764036704305328E+16</v>
      </c>
      <c r="M6043" s="460">
        <f t="shared" si="219"/>
        <v>0.05</v>
      </c>
      <c r="N6043" s="464">
        <f t="shared" si="220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18"/>
        <v>-2.2764036704305328E+16</v>
      </c>
      <c r="J6044" s="444">
        <f t="array" ref="J6044">IFERROR(INDEX('Retirement Calculator'!J:J,MATCH('Isaac 401k'!N6044,'Retirement Calculator'!A:A,0),0),0)</f>
        <v>0</v>
      </c>
      <c r="K6044" s="444">
        <f t="shared" ca="1" si="216"/>
        <v>-94850152934605.531</v>
      </c>
      <c r="L6044" s="444">
        <f t="shared" ca="1" si="217"/>
        <v>-2.2858886857239932E+16</v>
      </c>
      <c r="M6044" s="460">
        <f t="shared" si="219"/>
        <v>0.05</v>
      </c>
      <c r="N6044" s="464">
        <f t="shared" si="220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18"/>
        <v>-2.2858886857239932E+16</v>
      </c>
      <c r="J6045" s="444">
        <f t="array" ref="J6045">IFERROR(INDEX('Retirement Calculator'!J:J,MATCH('Isaac 401k'!N6045,'Retirement Calculator'!A:A,0),0),0)</f>
        <v>0</v>
      </c>
      <c r="K6045" s="444">
        <f t="shared" ca="1" si="216"/>
        <v>-95245361905166.375</v>
      </c>
      <c r="L6045" s="444">
        <f t="shared" ca="1" si="217"/>
        <v>-2.29541322191451E+16</v>
      </c>
      <c r="M6045" s="460">
        <f t="shared" si="219"/>
        <v>0.05</v>
      </c>
      <c r="N6045" s="464">
        <f t="shared" si="220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18"/>
        <v>-2.29541322191451E+16</v>
      </c>
      <c r="J6046" s="444">
        <f t="array" ref="J6046">IFERROR(INDEX('Retirement Calculator'!J:J,MATCH('Isaac 401k'!N6046,'Retirement Calculator'!A:A,0),0),0)</f>
        <v>0</v>
      </c>
      <c r="K6046" s="444">
        <f t="shared" ca="1" si="216"/>
        <v>-95642217579771.25</v>
      </c>
      <c r="L6046" s="444">
        <f t="shared" ca="1" si="217"/>
        <v>-2.3049774436724872E+16</v>
      </c>
      <c r="M6046" s="460">
        <f t="shared" si="219"/>
        <v>0.05</v>
      </c>
      <c r="N6046" s="464">
        <f t="shared" si="220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18"/>
        <v>-2.3049774436724872E+16</v>
      </c>
      <c r="J6047" s="444">
        <f t="array" ref="J6047">IFERROR(INDEX('Retirement Calculator'!J:J,MATCH('Isaac 401k'!N6047,'Retirement Calculator'!A:A,0),0),0)</f>
        <v>0</v>
      </c>
      <c r="K6047" s="444">
        <f t="shared" ca="1" si="216"/>
        <v>-96040726819686.969</v>
      </c>
      <c r="L6047" s="444">
        <f t="shared" ca="1" si="217"/>
        <v>-2.314581516354456E+16</v>
      </c>
      <c r="M6047" s="460">
        <f t="shared" si="219"/>
        <v>0.05</v>
      </c>
      <c r="N6047" s="464">
        <f t="shared" si="220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18"/>
        <v>-2.314581516354456E+16</v>
      </c>
      <c r="J6048" s="444">
        <f t="array" ref="J6048">IFERROR(INDEX('Retirement Calculator'!J:J,MATCH('Isaac 401k'!N6048,'Retirement Calculator'!A:A,0),0),0)</f>
        <v>0</v>
      </c>
      <c r="K6048" s="444">
        <f t="shared" ca="1" si="216"/>
        <v>-96440896514769</v>
      </c>
      <c r="L6048" s="444">
        <f t="shared" ca="1" si="217"/>
        <v>-2.3242256060059328E+16</v>
      </c>
      <c r="M6048" s="460">
        <f t="shared" si="219"/>
        <v>0.05</v>
      </c>
      <c r="N6048" s="464">
        <f t="shared" si="220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18"/>
        <v>-2.3242256060059328E+16</v>
      </c>
      <c r="J6049" s="444">
        <f t="array" ref="J6049">IFERROR(INDEX('Retirement Calculator'!J:J,MATCH('Isaac 401k'!N6049,'Retirement Calculator'!A:A,0),0),0)</f>
        <v>0</v>
      </c>
      <c r="K6049" s="444">
        <f t="shared" ca="1" si="216"/>
        <v>-96842733583580.531</v>
      </c>
      <c r="L6049" s="444">
        <f t="shared" ca="1" si="217"/>
        <v>-2.3339098793642908E+16</v>
      </c>
      <c r="M6049" s="460">
        <f t="shared" si="219"/>
        <v>0.05</v>
      </c>
      <c r="N6049" s="464">
        <f t="shared" si="220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18"/>
        <v>-2.3339098793642908E+16</v>
      </c>
      <c r="J6050" s="444">
        <f t="array" ref="J6050">IFERROR(INDEX('Retirement Calculator'!J:J,MATCH('Isaac 401k'!N6050,'Retirement Calculator'!A:A,0),0),0)</f>
        <v>0</v>
      </c>
      <c r="K6050" s="444">
        <f t="shared" ca="1" si="216"/>
        <v>-97246244973512.109</v>
      </c>
      <c r="L6050" s="444">
        <f t="shared" ca="1" si="217"/>
        <v>-2.343634503861642E+16</v>
      </c>
      <c r="M6050" s="460">
        <f t="shared" si="219"/>
        <v>0.05</v>
      </c>
      <c r="N6050" s="464">
        <f t="shared" si="220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18"/>
        <v>-2.343634503861642E+16</v>
      </c>
      <c r="J6051" s="444">
        <f t="array" ref="J6051">IFERROR(INDEX('Retirement Calculator'!J:J,MATCH('Isaac 401k'!N6051,'Retirement Calculator'!A:A,0),0),0)</f>
        <v>0</v>
      </c>
      <c r="K6051" s="444">
        <f t="shared" ca="1" si="216"/>
        <v>-97651437660901.75</v>
      </c>
      <c r="L6051" s="444">
        <f t="shared" ca="1" si="217"/>
        <v>-2.353399647627732E+16</v>
      </c>
      <c r="M6051" s="460">
        <f t="shared" si="219"/>
        <v>0.05</v>
      </c>
      <c r="N6051" s="464">
        <f t="shared" si="220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18"/>
        <v>-2.353399647627732E+16</v>
      </c>
      <c r="J6052" s="444">
        <f t="array" ref="J6052">IFERROR(INDEX('Retirement Calculator'!J:J,MATCH('Isaac 401k'!N6052,'Retirement Calculator'!A:A,0),0),0)</f>
        <v>0</v>
      </c>
      <c r="K6052" s="444">
        <f t="shared" ca="1" si="216"/>
        <v>-98058318651155.5</v>
      </c>
      <c r="L6052" s="444">
        <f t="shared" ca="1" si="217"/>
        <v>-2.3632054794928476E+16</v>
      </c>
      <c r="M6052" s="460">
        <f t="shared" si="219"/>
        <v>0.05</v>
      </c>
      <c r="N6052" s="464">
        <f t="shared" si="220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18"/>
        <v>-2.3632054794928476E+16</v>
      </c>
      <c r="J6053" s="444">
        <f t="array" ref="J6053">IFERROR(INDEX('Retirement Calculator'!J:J,MATCH('Isaac 401k'!N6053,'Retirement Calculator'!A:A,0),0),0)</f>
        <v>0</v>
      </c>
      <c r="K6053" s="444">
        <f t="shared" ca="1" si="216"/>
        <v>-98466894978868.656</v>
      </c>
      <c r="L6053" s="444">
        <f t="shared" ca="1" si="217"/>
        <v>-2.3730521689907344E+16</v>
      </c>
      <c r="M6053" s="460">
        <f t="shared" si="219"/>
        <v>0.05</v>
      </c>
      <c r="N6053" s="464">
        <f t="shared" si="220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18"/>
        <v>-2.3730521689907344E+16</v>
      </c>
      <c r="J6054" s="444">
        <f t="array" ref="J6054">IFERROR(INDEX('Retirement Calculator'!J:J,MATCH('Isaac 401k'!N6054,'Retirement Calculator'!A:A,0),0),0)</f>
        <v>0</v>
      </c>
      <c r="K6054" s="444">
        <f t="shared" ca="1" si="216"/>
        <v>-98877173707947.266</v>
      </c>
      <c r="L6054" s="444">
        <f t="shared" ca="1" si="217"/>
        <v>-2.3829398863615292E+16</v>
      </c>
      <c r="M6054" s="460">
        <f t="shared" si="219"/>
        <v>0.05</v>
      </c>
      <c r="N6054" s="464">
        <f t="shared" si="220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18"/>
        <v>-2.3829398863615292E+16</v>
      </c>
      <c r="J6055" s="444">
        <f t="array" ref="J6055">IFERROR(INDEX('Retirement Calculator'!J:J,MATCH('Isaac 401k'!N6055,'Retirement Calculator'!A:A,0),0),0)</f>
        <v>0</v>
      </c>
      <c r="K6055" s="444">
        <f t="shared" ca="1" si="216"/>
        <v>-99289161931730.375</v>
      </c>
      <c r="L6055" s="444">
        <f t="shared" ca="1" si="217"/>
        <v>-2.3928688025547024E+16</v>
      </c>
      <c r="M6055" s="460">
        <f t="shared" si="219"/>
        <v>0.05</v>
      </c>
      <c r="N6055" s="464">
        <f t="shared" si="220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18"/>
        <v>-2.3928688025547024E+16</v>
      </c>
      <c r="J6056" s="444">
        <f t="array" ref="J6056">IFERROR(INDEX('Retirement Calculator'!J:J,MATCH('Isaac 401k'!N6056,'Retirement Calculator'!A:A,0),0),0)</f>
        <v>0</v>
      </c>
      <c r="K6056" s="444">
        <f t="shared" ca="1" si="216"/>
        <v>-99702866773112.594</v>
      </c>
      <c r="L6056" s="444">
        <f t="shared" ca="1" si="217"/>
        <v>-2.4028390892320136E+16</v>
      </c>
      <c r="M6056" s="460">
        <f t="shared" si="219"/>
        <v>0.05</v>
      </c>
      <c r="N6056" s="464">
        <f t="shared" si="220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18"/>
        <v>-2.4028390892320136E+16</v>
      </c>
      <c r="J6057" s="444">
        <f t="array" ref="J6057">IFERROR(INDEX('Retirement Calculator'!J:J,MATCH('Isaac 401k'!N6057,'Retirement Calculator'!A:A,0),0),0)</f>
        <v>0</v>
      </c>
      <c r="K6057" s="444">
        <f t="shared" ca="1" si="216"/>
        <v>-100118295384667.23</v>
      </c>
      <c r="L6057" s="444">
        <f t="shared" ca="1" si="217"/>
        <v>-2.4128509187704804E+16</v>
      </c>
      <c r="M6057" s="460">
        <f t="shared" si="219"/>
        <v>0.05</v>
      </c>
      <c r="N6057" s="464">
        <f t="shared" si="220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18"/>
        <v>-2.4128509187704804E+16</v>
      </c>
      <c r="J6058" s="444">
        <f t="array" ref="J6058">IFERROR(INDEX('Retirement Calculator'!J:J,MATCH('Isaac 401k'!N6058,'Retirement Calculator'!A:A,0),0),0)</f>
        <v>0</v>
      </c>
      <c r="K6058" s="444">
        <f t="shared" ca="1" si="216"/>
        <v>-100535454948770.02</v>
      </c>
      <c r="L6058" s="444">
        <f t="shared" ca="1" si="217"/>
        <v>-2.4229044642653576E+16</v>
      </c>
      <c r="M6058" s="460">
        <f t="shared" si="219"/>
        <v>0.05</v>
      </c>
      <c r="N6058" s="464">
        <f t="shared" si="220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18"/>
        <v>-2.4229044642653576E+16</v>
      </c>
      <c r="J6059" s="444">
        <f t="array" ref="J6059">IFERROR(INDEX('Retirement Calculator'!J:J,MATCH('Isaac 401k'!N6059,'Retirement Calculator'!A:A,0),0),0)</f>
        <v>0</v>
      </c>
      <c r="K6059" s="444">
        <f t="shared" ca="1" si="216"/>
        <v>-100954352677723.23</v>
      </c>
      <c r="L6059" s="444">
        <f t="shared" ca="1" si="217"/>
        <v>-2.43299989953313E+16</v>
      </c>
      <c r="M6059" s="460">
        <f t="shared" si="219"/>
        <v>0.05</v>
      </c>
      <c r="N6059" s="464">
        <f t="shared" si="220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18"/>
        <v>-2.43299989953313E+16</v>
      </c>
      <c r="J6060" s="444">
        <f t="array" ref="J6060">IFERROR(INDEX('Retirement Calculator'!J:J,MATCH('Isaac 401k'!N6060,'Retirement Calculator'!A:A,0),0),0)</f>
        <v>0</v>
      </c>
      <c r="K6060" s="444">
        <f t="shared" ca="1" si="216"/>
        <v>-101374995813880.42</v>
      </c>
      <c r="L6060" s="444">
        <f t="shared" ca="1" si="217"/>
        <v>-2.443137399114518E+16</v>
      </c>
      <c r="M6060" s="460">
        <f t="shared" si="219"/>
        <v>0.05</v>
      </c>
      <c r="N6060" s="464">
        <f t="shared" si="220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18"/>
        <v>-2.443137399114518E+16</v>
      </c>
      <c r="J6061" s="444">
        <f t="array" ref="J6061">IFERROR(INDEX('Retirement Calculator'!J:J,MATCH('Isaac 401k'!N6061,'Retirement Calculator'!A:A,0),0),0)</f>
        <v>0</v>
      </c>
      <c r="K6061" s="444">
        <f t="shared" ca="1" si="216"/>
        <v>-101797391629771.58</v>
      </c>
      <c r="L6061" s="444">
        <f t="shared" ca="1" si="217"/>
        <v>-2.4533171382774952E+16</v>
      </c>
      <c r="M6061" s="460">
        <f t="shared" si="219"/>
        <v>0.05</v>
      </c>
      <c r="N6061" s="464">
        <f t="shared" si="220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18"/>
        <v>-2.4533171382774952E+16</v>
      </c>
      <c r="J6062" s="444">
        <f t="array" ref="J6062">IFERROR(INDEX('Retirement Calculator'!J:J,MATCH('Isaac 401k'!N6062,'Retirement Calculator'!A:A,0),0),0)</f>
        <v>0</v>
      </c>
      <c r="K6062" s="444">
        <f t="shared" ca="1" si="216"/>
        <v>-102221547428228.97</v>
      </c>
      <c r="L6062" s="444">
        <f t="shared" ca="1" si="217"/>
        <v>-2.463539293020318E+16</v>
      </c>
      <c r="M6062" s="460">
        <f t="shared" si="219"/>
        <v>0.05</v>
      </c>
      <c r="N6062" s="464">
        <f t="shared" si="220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18"/>
        <v>-2.463539293020318E+16</v>
      </c>
      <c r="J6063" s="444">
        <f t="array" ref="J6063">IFERROR(INDEX('Retirement Calculator'!J:J,MATCH('Isaac 401k'!N6063,'Retirement Calculator'!A:A,0),0),0)</f>
        <v>0</v>
      </c>
      <c r="K6063" s="444">
        <f t="shared" ca="1" si="216"/>
        <v>-102647470542513.25</v>
      </c>
      <c r="L6063" s="444">
        <f t="shared" ca="1" si="217"/>
        <v>-2.4738040400745692E+16</v>
      </c>
      <c r="M6063" s="460">
        <f t="shared" si="219"/>
        <v>0.05</v>
      </c>
      <c r="N6063" s="464">
        <f t="shared" si="220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18"/>
        <v>-2.4738040400745692E+16</v>
      </c>
      <c r="J6064" s="444">
        <f t="array" ref="J6064">IFERROR(INDEX('Retirement Calculator'!J:J,MATCH('Isaac 401k'!N6064,'Retirement Calculator'!A:A,0),0),0)</f>
        <v>0</v>
      </c>
      <c r="K6064" s="444">
        <f t="shared" ca="1" si="216"/>
        <v>-103075168336440.38</v>
      </c>
      <c r="L6064" s="444">
        <f t="shared" ca="1" si="217"/>
        <v>-2.4841115569082132E+16</v>
      </c>
      <c r="M6064" s="460">
        <f t="shared" si="219"/>
        <v>0.05</v>
      </c>
      <c r="N6064" s="464">
        <f t="shared" si="220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18"/>
        <v>-2.4841115569082132E+16</v>
      </c>
      <c r="J6065" s="444">
        <f t="array" ref="J6065">IFERROR(INDEX('Retirement Calculator'!J:J,MATCH('Isaac 401k'!N6065,'Retirement Calculator'!A:A,0),0),0)</f>
        <v>0</v>
      </c>
      <c r="K6065" s="444">
        <f t="shared" ca="1" si="216"/>
        <v>-103504648204508.88</v>
      </c>
      <c r="L6065" s="444">
        <f t="shared" ca="1" si="217"/>
        <v>-2.494462021728664E+16</v>
      </c>
      <c r="M6065" s="460">
        <f t="shared" si="219"/>
        <v>0.05</v>
      </c>
      <c r="N6065" s="464">
        <f t="shared" si="220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18"/>
        <v>-2.494462021728664E+16</v>
      </c>
      <c r="J6066" s="444">
        <f t="array" ref="J6066">IFERROR(INDEX('Retirement Calculator'!J:J,MATCH('Isaac 401k'!N6066,'Retirement Calculator'!A:A,0),0),0)</f>
        <v>0</v>
      </c>
      <c r="K6066" s="444">
        <f t="shared" ca="1" si="216"/>
        <v>-103935917572027.67</v>
      </c>
      <c r="L6066" s="444">
        <f t="shared" ca="1" si="217"/>
        <v>-2.5048556134858668E+16</v>
      </c>
      <c r="M6066" s="460">
        <f t="shared" si="219"/>
        <v>0.05</v>
      </c>
      <c r="N6066" s="464">
        <f t="shared" si="220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18"/>
        <v>-2.5048556134858668E+16</v>
      </c>
      <c r="J6067" s="444">
        <f t="array" ref="J6067">IFERROR(INDEX('Retirement Calculator'!J:J,MATCH('Isaac 401k'!N6067,'Retirement Calculator'!A:A,0),0),0)</f>
        <v>0</v>
      </c>
      <c r="K6067" s="444">
        <f t="shared" ca="1" si="216"/>
        <v>-104368983895244.45</v>
      </c>
      <c r="L6067" s="444">
        <f t="shared" ca="1" si="217"/>
        <v>-2.5152925118753912E+16</v>
      </c>
      <c r="M6067" s="460">
        <f t="shared" si="219"/>
        <v>0.05</v>
      </c>
      <c r="N6067" s="464">
        <f t="shared" si="220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18"/>
        <v>-2.5152925118753912E+16</v>
      </c>
      <c r="J6068" s="444">
        <f t="array" ref="J6068">IFERROR(INDEX('Retirement Calculator'!J:J,MATCH('Isaac 401k'!N6068,'Retirement Calculator'!A:A,0),0),0)</f>
        <v>0</v>
      </c>
      <c r="K6068" s="444">
        <f t="shared" ca="1" si="216"/>
        <v>-104803854661474.63</v>
      </c>
      <c r="L6068" s="444">
        <f t="shared" ca="1" si="217"/>
        <v>-2.5257728973415388E+16</v>
      </c>
      <c r="M6068" s="460">
        <f t="shared" si="219"/>
        <v>0.05</v>
      </c>
      <c r="N6068" s="464">
        <f t="shared" si="220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18"/>
        <v>-2.5257728973415388E+16</v>
      </c>
      <c r="J6069" s="444">
        <f t="array" ref="J6069">IFERROR(INDEX('Retirement Calculator'!J:J,MATCH('Isaac 401k'!N6069,'Retirement Calculator'!A:A,0),0),0)</f>
        <v>0</v>
      </c>
      <c r="K6069" s="444">
        <f t="shared" ca="1" si="216"/>
        <v>-105240537389230.78</v>
      </c>
      <c r="L6069" s="444">
        <f t="shared" ca="1" si="217"/>
        <v>-2.536296951080462E+16</v>
      </c>
      <c r="M6069" s="460">
        <f t="shared" si="219"/>
        <v>0.05</v>
      </c>
      <c r="N6069" s="464">
        <f t="shared" si="220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18"/>
        <v>-2.536296951080462E+16</v>
      </c>
      <c r="J6070" s="444">
        <f t="array" ref="J6070">IFERROR(INDEX('Retirement Calculator'!J:J,MATCH('Isaac 401k'!N6070,'Retirement Calculator'!A:A,0),0),0)</f>
        <v>0</v>
      </c>
      <c r="K6070" s="444">
        <f t="shared" ca="1" si="216"/>
        <v>-105679039628352.58</v>
      </c>
      <c r="L6070" s="444">
        <f t="shared" ca="1" si="217"/>
        <v>-2.5468648550432972E+16</v>
      </c>
      <c r="M6070" s="460">
        <f t="shared" si="219"/>
        <v>0.05</v>
      </c>
      <c r="N6070" s="464">
        <f t="shared" si="220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18"/>
        <v>-2.5468648550432972E+16</v>
      </c>
      <c r="J6071" s="444">
        <f t="array" ref="J6071">IFERROR(INDEX('Retirement Calculator'!J:J,MATCH('Isaac 401k'!N6071,'Retirement Calculator'!A:A,0),0),0)</f>
        <v>0</v>
      </c>
      <c r="K6071" s="444">
        <f t="shared" ca="1" si="216"/>
        <v>-106119368960137.38</v>
      </c>
      <c r="L6071" s="444">
        <f t="shared" ca="1" si="217"/>
        <v>-2.5574767919393108E+16</v>
      </c>
      <c r="M6071" s="460">
        <f t="shared" si="219"/>
        <v>0.05</v>
      </c>
      <c r="N6071" s="464">
        <f t="shared" si="220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18"/>
        <v>-2.5574767919393108E+16</v>
      </c>
      <c r="J6072" s="444">
        <f t="array" ref="J6072">IFERROR(INDEX('Retirement Calculator'!J:J,MATCH('Isaac 401k'!N6072,'Retirement Calculator'!A:A,0),0),0)</f>
        <v>0</v>
      </c>
      <c r="K6072" s="444">
        <f t="shared" ca="1" si="216"/>
        <v>-106561532997471.28</v>
      </c>
      <c r="L6072" s="444">
        <f t="shared" ca="1" si="217"/>
        <v>-2.568132945239058E+16</v>
      </c>
      <c r="M6072" s="460">
        <f t="shared" si="219"/>
        <v>0.05</v>
      </c>
      <c r="N6072" s="464">
        <f t="shared" si="220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18"/>
        <v>-2.568132945239058E+16</v>
      </c>
      <c r="J6073" s="444">
        <f t="array" ref="J6073">IFERROR(INDEX('Retirement Calculator'!J:J,MATCH('Isaac 401k'!N6073,'Retirement Calculator'!A:A,0),0),0)</f>
        <v>0</v>
      </c>
      <c r="K6073" s="444">
        <f t="shared" ca="1" si="216"/>
        <v>-107005539384960.75</v>
      </c>
      <c r="L6073" s="444">
        <f t="shared" ca="1" si="217"/>
        <v>-2.578833499177554E+16</v>
      </c>
      <c r="M6073" s="460">
        <f t="shared" si="219"/>
        <v>0.05</v>
      </c>
      <c r="N6073" s="464">
        <f t="shared" si="220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18"/>
        <v>-2.578833499177554E+16</v>
      </c>
      <c r="J6074" s="444">
        <f t="array" ref="J6074">IFERROR(INDEX('Retirement Calculator'!J:J,MATCH('Isaac 401k'!N6074,'Retirement Calculator'!A:A,0),0),0)</f>
        <v>0</v>
      </c>
      <c r="K6074" s="444">
        <f t="shared" ca="1" si="216"/>
        <v>-107451395799064.75</v>
      </c>
      <c r="L6074" s="444">
        <f t="shared" ca="1" si="217"/>
        <v>-2.5895786387574604E+16</v>
      </c>
      <c r="M6074" s="460">
        <f t="shared" si="219"/>
        <v>0.05</v>
      </c>
      <c r="N6074" s="464">
        <f t="shared" si="220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18"/>
        <v>-2.5895786387574604E+16</v>
      </c>
      <c r="J6075" s="444">
        <f t="array" ref="J6075">IFERROR(INDEX('Retirement Calculator'!J:J,MATCH('Isaac 401k'!N6075,'Retirement Calculator'!A:A,0),0),0)</f>
        <v>0</v>
      </c>
      <c r="K6075" s="444">
        <f t="shared" ca="1" si="216"/>
        <v>-107899109948227.52</v>
      </c>
      <c r="L6075" s="444">
        <f t="shared" ca="1" si="217"/>
        <v>-2.6003685497522832E+16</v>
      </c>
      <c r="M6075" s="460">
        <f t="shared" si="219"/>
        <v>0.05</v>
      </c>
      <c r="N6075" s="464">
        <f t="shared" si="220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18"/>
        <v>-2.6003685497522832E+16</v>
      </c>
      <c r="J6076" s="444">
        <f t="array" ref="J6076">IFERROR(INDEX('Retirement Calculator'!J:J,MATCH('Isaac 401k'!N6076,'Retirement Calculator'!A:A,0),0),0)</f>
        <v>0</v>
      </c>
      <c r="K6076" s="444">
        <f t="shared" ca="1" si="216"/>
        <v>-108348689573011.8</v>
      </c>
      <c r="L6076" s="444">
        <f t="shared" ca="1" si="217"/>
        <v>-2.6112034187095844E+16</v>
      </c>
      <c r="M6076" s="460">
        <f t="shared" si="219"/>
        <v>0.05</v>
      </c>
      <c r="N6076" s="464">
        <f t="shared" si="220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18"/>
        <v>-2.6112034187095844E+16</v>
      </c>
      <c r="J6077" s="444">
        <f t="array" ref="J6077">IFERROR(INDEX('Retirement Calculator'!J:J,MATCH('Isaac 401k'!N6077,'Retirement Calculator'!A:A,0),0),0)</f>
        <v>0</v>
      </c>
      <c r="K6077" s="444">
        <f t="shared" ca="1" si="216"/>
        <v>-108800142446232.69</v>
      </c>
      <c r="L6077" s="444">
        <f t="shared" ca="1" si="217"/>
        <v>-2.6220834329542076E+16</v>
      </c>
      <c r="M6077" s="460">
        <f t="shared" si="219"/>
        <v>0.05</v>
      </c>
      <c r="N6077" s="464">
        <f t="shared" si="220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18"/>
        <v>-2.6220834329542076E+16</v>
      </c>
      <c r="J6078" s="444">
        <f t="array" ref="J6078">IFERROR(INDEX('Retirement Calculator'!J:J,MATCH('Isaac 401k'!N6078,'Retirement Calculator'!A:A,0),0),0)</f>
        <v>0</v>
      </c>
      <c r="K6078" s="444">
        <f t="shared" ca="1" si="216"/>
        <v>-109253476373091.98</v>
      </c>
      <c r="L6078" s="444">
        <f t="shared" ca="1" si="217"/>
        <v>-2.6330087805915168E+16</v>
      </c>
      <c r="M6078" s="460">
        <f t="shared" si="219"/>
        <v>0.05</v>
      </c>
      <c r="N6078" s="464">
        <f t="shared" si="220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18"/>
        <v>-2.6330087805915168E+16</v>
      </c>
      <c r="J6079" s="444">
        <f t="array" ref="J6079">IFERROR(INDEX('Retirement Calculator'!J:J,MATCH('Isaac 401k'!N6079,'Retirement Calculator'!A:A,0),0),0)</f>
        <v>0</v>
      </c>
      <c r="K6079" s="444">
        <f t="shared" ca="1" si="216"/>
        <v>-109708699191313.2</v>
      </c>
      <c r="L6079" s="444">
        <f t="shared" ca="1" si="217"/>
        <v>-2.643979650510648E+16</v>
      </c>
      <c r="M6079" s="460">
        <f t="shared" si="219"/>
        <v>0.05</v>
      </c>
      <c r="N6079" s="464">
        <f t="shared" si="220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18"/>
        <v>-2.643979650510648E+16</v>
      </c>
      <c r="J6080" s="444">
        <f t="array" ref="J6080">IFERROR(INDEX('Retirement Calculator'!J:J,MATCH('Isaac 401k'!N6080,'Retirement Calculator'!A:A,0),0),0)</f>
        <v>0</v>
      </c>
      <c r="K6080" s="444">
        <f t="shared" ca="1" si="216"/>
        <v>-110165818771277</v>
      </c>
      <c r="L6080" s="444">
        <f t="shared" ca="1" si="217"/>
        <v>-2.6549962323877756E+16</v>
      </c>
      <c r="M6080" s="460">
        <f t="shared" si="219"/>
        <v>0.05</v>
      </c>
      <c r="N6080" s="464">
        <f t="shared" si="220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18"/>
        <v>-2.6549962323877756E+16</v>
      </c>
      <c r="J6081" s="444">
        <f t="array" ref="J6081">IFERROR(INDEX('Retirement Calculator'!J:J,MATCH('Isaac 401k'!N6081,'Retirement Calculator'!A:A,0),0),0)</f>
        <v>0</v>
      </c>
      <c r="K6081" s="444">
        <f t="shared" ca="1" si="216"/>
        <v>-110624843016157.31</v>
      </c>
      <c r="L6081" s="444">
        <f t="shared" ca="1" si="217"/>
        <v>-2.6660587166893912E+16</v>
      </c>
      <c r="M6081" s="460">
        <f t="shared" si="219"/>
        <v>0.05</v>
      </c>
      <c r="N6081" s="464">
        <f t="shared" si="220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18"/>
        <v>-2.6660587166893912E+16</v>
      </c>
      <c r="J6082" s="444">
        <f t="array" ref="J6082">IFERROR(INDEX('Retirement Calculator'!J:J,MATCH('Isaac 401k'!N6082,'Retirement Calculator'!A:A,0),0),0)</f>
        <v>0</v>
      </c>
      <c r="K6082" s="444">
        <f t="shared" ca="1" si="216"/>
        <v>-111085779862057.97</v>
      </c>
      <c r="L6082" s="444">
        <f t="shared" ca="1" si="217"/>
        <v>-2.6771672946755968E+16</v>
      </c>
      <c r="M6082" s="460">
        <f t="shared" si="219"/>
        <v>0.05</v>
      </c>
      <c r="N6082" s="464">
        <f t="shared" si="220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18"/>
        <v>-2.6771672946755968E+16</v>
      </c>
      <c r="J6083" s="444">
        <f t="array" ref="J6083">IFERROR(INDEX('Retirement Calculator'!J:J,MATCH('Isaac 401k'!N6083,'Retirement Calculator'!A:A,0),0),0)</f>
        <v>0</v>
      </c>
      <c r="K6083" s="444">
        <f t="shared" ca="1" si="216"/>
        <v>-111548637278149.86</v>
      </c>
      <c r="L6083" s="444">
        <f t="shared" ca="1" si="217"/>
        <v>-2.6883221584034116E+16</v>
      </c>
      <c r="M6083" s="460">
        <f t="shared" si="219"/>
        <v>0.05</v>
      </c>
      <c r="N6083" s="464">
        <f t="shared" si="220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18"/>
        <v>-2.6883221584034116E+16</v>
      </c>
      <c r="J6084" s="444">
        <f t="array" ref="J6084">IFERROR(INDEX('Retirement Calculator'!J:J,MATCH('Isaac 401k'!N6084,'Retirement Calculator'!A:A,0),0),0)</f>
        <v>0</v>
      </c>
      <c r="K6084" s="444">
        <f t="shared" ca="1" si="216"/>
        <v>-112013423266808.81</v>
      </c>
      <c r="L6084" s="444">
        <f t="shared" ca="1" si="217"/>
        <v>-2.6995235007300924E+16</v>
      </c>
      <c r="M6084" s="460">
        <f t="shared" si="219"/>
        <v>0.05</v>
      </c>
      <c r="N6084" s="464">
        <f t="shared" si="220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18"/>
        <v>-2.6995235007300924E+16</v>
      </c>
      <c r="J6085" s="444">
        <f t="array" ref="J6085">IFERROR(INDEX('Retirement Calculator'!J:J,MATCH('Isaac 401k'!N6085,'Retirement Calculator'!A:A,0),0),0)</f>
        <v>0</v>
      </c>
      <c r="K6085" s="444">
        <f t="shared" ca="1" si="216"/>
        <v>-112480145863753.84</v>
      </c>
      <c r="L6085" s="444">
        <f t="shared" ca="1" si="217"/>
        <v>-2.7107715153164676E+16</v>
      </c>
      <c r="M6085" s="460">
        <f t="shared" si="219"/>
        <v>0.05</v>
      </c>
      <c r="N6085" s="464">
        <f t="shared" si="220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18"/>
        <v>-2.7107715153164676E+16</v>
      </c>
      <c r="J6086" s="444">
        <f t="array" ref="J6086">IFERROR(INDEX('Retirement Calculator'!J:J,MATCH('Isaac 401k'!N6086,'Retirement Calculator'!A:A,0),0),0)</f>
        <v>0</v>
      </c>
      <c r="K6086" s="444">
        <f t="shared" ca="1" si="216"/>
        <v>-112948813138186.14</v>
      </c>
      <c r="L6086" s="444">
        <f t="shared" ca="1" si="217"/>
        <v>-2.7220663966302864E+16</v>
      </c>
      <c r="M6086" s="460">
        <f t="shared" si="219"/>
        <v>0.05</v>
      </c>
      <c r="N6086" s="464">
        <f t="shared" si="220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18"/>
        <v>-2.7220663966302864E+16</v>
      </c>
      <c r="J6087" s="444">
        <f t="array" ref="J6087">IFERROR(INDEX('Retirement Calculator'!J:J,MATCH('Isaac 401k'!N6087,'Retirement Calculator'!A:A,0),0),0)</f>
        <v>0</v>
      </c>
      <c r="K6087" s="444">
        <f t="shared" ca="1" si="216"/>
        <v>-113419433192928.59</v>
      </c>
      <c r="L6087" s="444">
        <f t="shared" ca="1" si="217"/>
        <v>-2.7334083399495792E+16</v>
      </c>
      <c r="M6087" s="460">
        <f t="shared" si="219"/>
        <v>0.05</v>
      </c>
      <c r="N6087" s="464">
        <f t="shared" si="220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18"/>
        <v>-2.7334083399495792E+16</v>
      </c>
      <c r="J6088" s="444">
        <f t="array" ref="J6088">IFERROR(INDEX('Retirement Calculator'!J:J,MATCH('Isaac 401k'!N6088,'Retirement Calculator'!A:A,0),0),0)</f>
        <v>0</v>
      </c>
      <c r="K6088" s="444">
        <f t="shared" ca="1" si="216"/>
        <v>-113892014164565.8</v>
      </c>
      <c r="L6088" s="444">
        <f t="shared" ca="1" si="217"/>
        <v>-2.7447975413660356E+16</v>
      </c>
      <c r="M6088" s="460">
        <f t="shared" si="219"/>
        <v>0.05</v>
      </c>
      <c r="N6088" s="464">
        <f t="shared" si="220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18"/>
        <v>-2.7447975413660356E+16</v>
      </c>
      <c r="J6089" s="444">
        <f t="array" ref="J6089">IFERROR(INDEX('Retirement Calculator'!J:J,MATCH('Isaac 401k'!N6089,'Retirement Calculator'!A:A,0),0),0)</f>
        <v>0</v>
      </c>
      <c r="K6089" s="444">
        <f t="shared" ca="1" si="216"/>
        <v>-114366564223584.81</v>
      </c>
      <c r="L6089" s="444">
        <f t="shared" ca="1" si="217"/>
        <v>-2.756234197788394E+16</v>
      </c>
      <c r="M6089" s="460">
        <f t="shared" si="219"/>
        <v>0.05</v>
      </c>
      <c r="N6089" s="464">
        <f t="shared" si="220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18"/>
        <v>-2.756234197788394E+16</v>
      </c>
      <c r="J6090" s="444">
        <f t="array" ref="J6090">IFERROR(INDEX('Retirement Calculator'!J:J,MATCH('Isaac 401k'!N6090,'Retirement Calculator'!A:A,0),0),0)</f>
        <v>0</v>
      </c>
      <c r="K6090" s="444">
        <f t="shared" ca="1" si="216"/>
        <v>-114843091574516.42</v>
      </c>
      <c r="L6090" s="444">
        <f t="shared" ca="1" si="217"/>
        <v>-2.7677185069458456E+16</v>
      </c>
      <c r="M6090" s="460">
        <f t="shared" si="219"/>
        <v>0.05</v>
      </c>
      <c r="N6090" s="464">
        <f t="shared" si="220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18"/>
        <v>-2.7677185069458456E+16</v>
      </c>
      <c r="J6091" s="444">
        <f t="array" ref="J6091">IFERROR(INDEX('Retirement Calculator'!J:J,MATCH('Isaac 401k'!N6091,'Retirement Calculator'!A:A,0),0),0)</f>
        <v>0</v>
      </c>
      <c r="K6091" s="444">
        <f t="shared" ca="1" si="216"/>
        <v>-115321604456076.89</v>
      </c>
      <c r="L6091" s="444">
        <f t="shared" ca="1" si="217"/>
        <v>-2.7792506673914532E+16</v>
      </c>
      <c r="M6091" s="460">
        <f t="shared" si="219"/>
        <v>0.05</v>
      </c>
      <c r="N6091" s="464">
        <f t="shared" si="220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18"/>
        <v>-2.7792506673914532E+16</v>
      </c>
      <c r="J6092" s="444">
        <f t="array" ref="J6092">IFERROR(INDEX('Retirement Calculator'!J:J,MATCH('Isaac 401k'!N6092,'Retirement Calculator'!A:A,0),0),0)</f>
        <v>0</v>
      </c>
      <c r="K6092" s="444">
        <f t="shared" ca="1" si="216"/>
        <v>-115802111141310.55</v>
      </c>
      <c r="L6092" s="444">
        <f t="shared" ca="1" si="217"/>
        <v>-2.7908308785055844E+16</v>
      </c>
      <c r="M6092" s="460">
        <f t="shared" si="219"/>
        <v>0.05</v>
      </c>
      <c r="N6092" s="464">
        <f t="shared" si="220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18"/>
        <v>-2.7908308785055844E+16</v>
      </c>
      <c r="J6093" s="444">
        <f t="array" ref="J6093">IFERROR(INDEX('Retirement Calculator'!J:J,MATCH('Isaac 401k'!N6093,'Retirement Calculator'!A:A,0),0),0)</f>
        <v>0</v>
      </c>
      <c r="K6093" s="444">
        <f t="shared" ca="1" si="216"/>
        <v>-116284619937732.69</v>
      </c>
      <c r="L6093" s="444">
        <f t="shared" ca="1" si="217"/>
        <v>-2.8024593404993576E+16</v>
      </c>
      <c r="M6093" s="460">
        <f t="shared" si="219"/>
        <v>0.05</v>
      </c>
      <c r="N6093" s="464">
        <f t="shared" si="220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18"/>
        <v>-2.8024593404993576E+16</v>
      </c>
      <c r="J6094" s="444">
        <f t="array" ref="J6094">IFERROR(INDEX('Retirement Calculator'!J:J,MATCH('Isaac 401k'!N6094,'Retirement Calculator'!A:A,0),0),0)</f>
        <v>0</v>
      </c>
      <c r="K6094" s="444">
        <f t="shared" ca="1" si="216"/>
        <v>-116769139187473.23</v>
      </c>
      <c r="L6094" s="444">
        <f t="shared" ca="1" si="217"/>
        <v>-2.8141362544181048E+16</v>
      </c>
      <c r="M6094" s="460">
        <f t="shared" si="219"/>
        <v>0.05</v>
      </c>
      <c r="N6094" s="464">
        <f t="shared" si="220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18"/>
        <v>-2.8141362544181048E+16</v>
      </c>
      <c r="J6095" s="444">
        <f t="array" ref="J6095">IFERROR(INDEX('Retirement Calculator'!J:J,MATCH('Isaac 401k'!N6095,'Retirement Calculator'!A:A,0),0),0)</f>
        <v>0</v>
      </c>
      <c r="K6095" s="444">
        <f t="shared" ca="1" si="216"/>
        <v>-117255677267421.02</v>
      </c>
      <c r="L6095" s="444">
        <f t="shared" ca="1" si="217"/>
        <v>-2.8258618221448468E+16</v>
      </c>
      <c r="M6095" s="460">
        <f t="shared" si="219"/>
        <v>0.05</v>
      </c>
      <c r="N6095" s="464">
        <f t="shared" si="220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18"/>
        <v>-2.8258618221448468E+16</v>
      </c>
      <c r="J6096" s="444">
        <f t="array" ref="J6096">IFERROR(INDEX('Retirement Calculator'!J:J,MATCH('Isaac 401k'!N6096,'Retirement Calculator'!A:A,0),0),0)</f>
        <v>0</v>
      </c>
      <c r="K6096" s="444">
        <f t="shared" ca="1" si="216"/>
        <v>-117744242589368.59</v>
      </c>
      <c r="L6096" s="444">
        <f t="shared" ca="1" si="217"/>
        <v>-2.8376362464037836E+16</v>
      </c>
      <c r="M6096" s="460">
        <f t="shared" si="219"/>
        <v>0.05</v>
      </c>
      <c r="N6096" s="464">
        <f t="shared" si="220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18"/>
        <v>-2.8376362464037836E+16</v>
      </c>
      <c r="J6097" s="444">
        <f t="array" ref="J6097">IFERROR(INDEX('Retirement Calculator'!J:J,MATCH('Isaac 401k'!N6097,'Retirement Calculator'!A:A,0),0),0)</f>
        <v>0</v>
      </c>
      <c r="K6097" s="444">
        <f t="shared" ca="1" si="216"/>
        <v>-118234843600157.64</v>
      </c>
      <c r="L6097" s="444">
        <f t="shared" ca="1" si="217"/>
        <v>-2.8494597307637992E+16</v>
      </c>
      <c r="M6097" s="460">
        <f t="shared" si="219"/>
        <v>0.05</v>
      </c>
      <c r="N6097" s="464">
        <f t="shared" si="220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18"/>
        <v>-2.8494597307637992E+16</v>
      </c>
      <c r="J6098" s="444">
        <f t="array" ref="J6098">IFERROR(INDEX('Retirement Calculator'!J:J,MATCH('Isaac 401k'!N6098,'Retirement Calculator'!A:A,0),0),0)</f>
        <v>0</v>
      </c>
      <c r="K6098" s="444">
        <f t="shared" ca="1" si="216"/>
        <v>-118727488781824.97</v>
      </c>
      <c r="L6098" s="444">
        <f t="shared" ca="1" si="217"/>
        <v>-2.8613324796419816E+16</v>
      </c>
      <c r="M6098" s="460">
        <f t="shared" si="219"/>
        <v>0.05</v>
      </c>
      <c r="N6098" s="464">
        <f t="shared" si="220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18"/>
        <v>-2.8613324796419816E+16</v>
      </c>
      <c r="J6099" s="444">
        <f t="array" ref="J6099">IFERROR(INDEX('Retirement Calculator'!J:J,MATCH('Isaac 401k'!N6099,'Retirement Calculator'!A:A,0),0),0)</f>
        <v>0</v>
      </c>
      <c r="K6099" s="444">
        <f t="shared" ca="1" si="216"/>
        <v>-119222186651749.23</v>
      </c>
      <c r="L6099" s="444">
        <f t="shared" ca="1" si="217"/>
        <v>-2.8732546983071564E+16</v>
      </c>
      <c r="M6099" s="460">
        <f t="shared" si="219"/>
        <v>0.05</v>
      </c>
      <c r="N6099" s="464">
        <f t="shared" si="220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18"/>
        <v>-2.8732546983071564E+16</v>
      </c>
      <c r="J6100" s="444">
        <f t="array" ref="J6100">IFERROR(INDEX('Retirement Calculator'!J:J,MATCH('Isaac 401k'!N6100,'Retirement Calculator'!A:A,0),0),0)</f>
        <v>0</v>
      </c>
      <c r="K6100" s="444">
        <f t="shared" ca="1" si="216"/>
        <v>-119718945762798.19</v>
      </c>
      <c r="L6100" s="444">
        <f t="shared" ca="1" si="217"/>
        <v>-2.8852265928834364E+16</v>
      </c>
      <c r="M6100" s="460">
        <f t="shared" si="219"/>
        <v>0.05</v>
      </c>
      <c r="N6100" s="464">
        <f t="shared" si="220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18"/>
        <v>-2.8852265928834364E+16</v>
      </c>
      <c r="J6101" s="444">
        <f t="array" ref="J6101">IFERROR(INDEX('Retirement Calculator'!J:J,MATCH('Isaac 401k'!N6101,'Retirement Calculator'!A:A,0),0),0)</f>
        <v>0</v>
      </c>
      <c r="K6101" s="444">
        <f t="shared" ca="1" si="216"/>
        <v>-120217774703476.53</v>
      </c>
      <c r="L6101" s="444">
        <f t="shared" ca="1" si="217"/>
        <v>-2.897248370353784E+16</v>
      </c>
      <c r="M6101" s="460">
        <f t="shared" si="219"/>
        <v>0.05</v>
      </c>
      <c r="N6101" s="464">
        <f t="shared" si="220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18"/>
        <v>-2.897248370353784E+16</v>
      </c>
      <c r="J6102" s="444">
        <f t="array" ref="J6102">IFERROR(INDEX('Retirement Calculator'!J:J,MATCH('Isaac 401k'!N6102,'Retirement Calculator'!A:A,0),0),0)</f>
        <v>0</v>
      </c>
      <c r="K6102" s="444">
        <f t="shared" ca="1" si="216"/>
        <v>-120718682098074.33</v>
      </c>
      <c r="L6102" s="444">
        <f t="shared" ca="1" si="217"/>
        <v>-2.9093202385635916E+16</v>
      </c>
      <c r="M6102" s="460">
        <f t="shared" si="219"/>
        <v>0.05</v>
      </c>
      <c r="N6102" s="464">
        <f t="shared" si="220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18"/>
        <v>-2.9093202385635916E+16</v>
      </c>
      <c r="J6103" s="444">
        <f t="array" ref="J6103">IFERROR(INDEX('Retirement Calculator'!J:J,MATCH('Isaac 401k'!N6103,'Retirement Calculator'!A:A,0),0),0)</f>
        <v>0</v>
      </c>
      <c r="K6103" s="444">
        <f t="shared" ca="1" si="216"/>
        <v>-121221676606816.31</v>
      </c>
      <c r="L6103" s="444">
        <f t="shared" ca="1" si="217"/>
        <v>-2.9214424062242732E+16</v>
      </c>
      <c r="M6103" s="460">
        <f t="shared" si="219"/>
        <v>0.05</v>
      </c>
      <c r="N6103" s="464">
        <f t="shared" si="220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18"/>
        <v>-2.9214424062242732E+16</v>
      </c>
      <c r="J6104" s="444">
        <f t="array" ref="J6104">IFERROR(INDEX('Retirement Calculator'!J:J,MATCH('Isaac 401k'!N6104,'Retirement Calculator'!A:A,0),0),0)</f>
        <v>0</v>
      </c>
      <c r="K6104" s="444">
        <f t="shared" ca="1" si="216"/>
        <v>-121726766926011.38</v>
      </c>
      <c r="L6104" s="444">
        <f t="shared" ca="1" si="217"/>
        <v>-2.9336150829168744E+16</v>
      </c>
      <c r="M6104" s="460">
        <f t="shared" si="219"/>
        <v>0.05</v>
      </c>
      <c r="N6104" s="464">
        <f t="shared" si="220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18"/>
        <v>-2.9336150829168744E+16</v>
      </c>
      <c r="J6105" s="444">
        <f t="array" ref="J6105">IFERROR(INDEX('Retirement Calculator'!J:J,MATCH('Isaac 401k'!N6105,'Retirement Calculator'!A:A,0),0),0)</f>
        <v>0</v>
      </c>
      <c r="K6105" s="444">
        <f t="shared" ca="1" si="216"/>
        <v>-122233961788203.09</v>
      </c>
      <c r="L6105" s="444">
        <f t="shared" ca="1" si="217"/>
        <v>-2.9458384790956948E+16</v>
      </c>
      <c r="M6105" s="460">
        <f t="shared" si="219"/>
        <v>0.05</v>
      </c>
      <c r="N6105" s="464">
        <f t="shared" si="220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18"/>
        <v>-2.9458384790956948E+16</v>
      </c>
      <c r="J6106" s="444">
        <f t="array" ref="J6106">IFERROR(INDEX('Retirement Calculator'!J:J,MATCH('Isaac 401k'!N6106,'Retirement Calculator'!A:A,0),0),0)</f>
        <v>0</v>
      </c>
      <c r="K6106" s="444">
        <f t="shared" ca="1" si="216"/>
        <v>-122743269962320.61</v>
      </c>
      <c r="L6106" s="444">
        <f t="shared" ca="1" si="217"/>
        <v>-2.9581128060919268E+16</v>
      </c>
      <c r="M6106" s="460">
        <f t="shared" si="219"/>
        <v>0.05</v>
      </c>
      <c r="N6106" s="464">
        <f t="shared" si="220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18"/>
        <v>-2.9581128060919268E+16</v>
      </c>
      <c r="J6107" s="444">
        <f t="array" ref="J6107">IFERROR(INDEX('Retirement Calculator'!J:J,MATCH('Isaac 401k'!N6107,'Retirement Calculator'!A:A,0),0),0)</f>
        <v>0</v>
      </c>
      <c r="K6107" s="444">
        <f t="shared" ca="1" si="216"/>
        <v>-123254700253830.28</v>
      </c>
      <c r="L6107" s="444">
        <f t="shared" ca="1" si="217"/>
        <v>-2.97043827611731E+16</v>
      </c>
      <c r="M6107" s="460">
        <f t="shared" si="219"/>
        <v>0.05</v>
      </c>
      <c r="N6107" s="464">
        <f t="shared" si="220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18"/>
        <v>-2.97043827611731E+16</v>
      </c>
      <c r="J6108" s="444">
        <f t="array" ref="J6108">IFERROR(INDEX('Retirement Calculator'!J:J,MATCH('Isaac 401k'!N6108,'Retirement Calculator'!A:A,0),0),0)</f>
        <v>0</v>
      </c>
      <c r="K6108" s="444">
        <f t="shared" ca="1" si="216"/>
        <v>-123768261504887.92</v>
      </c>
      <c r="L6108" s="444">
        <f t="shared" ca="1" si="217"/>
        <v>-2.9828151022677988E+16</v>
      </c>
      <c r="M6108" s="460">
        <f t="shared" si="219"/>
        <v>0.05</v>
      </c>
      <c r="N6108" s="464">
        <f t="shared" si="220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18"/>
        <v>-2.9828151022677988E+16</v>
      </c>
      <c r="J6109" s="444">
        <f t="array" ref="J6109">IFERROR(INDEX('Retirement Calculator'!J:J,MATCH('Isaac 401k'!N6109,'Retirement Calculator'!A:A,0),0),0)</f>
        <v>0</v>
      </c>
      <c r="K6109" s="444">
        <f t="shared" ca="1" si="216"/>
        <v>-124283962594491.61</v>
      </c>
      <c r="L6109" s="444">
        <f t="shared" ca="1" si="217"/>
        <v>-2.995243498527248E+16</v>
      </c>
      <c r="M6109" s="460">
        <f t="shared" si="219"/>
        <v>0.05</v>
      </c>
      <c r="N6109" s="464">
        <f t="shared" si="220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18"/>
        <v>-2.995243498527248E+16</v>
      </c>
      <c r="J6110" s="444">
        <f t="array" ref="J6110">IFERROR(INDEX('Retirement Calculator'!J:J,MATCH('Isaac 401k'!N6110,'Retirement Calculator'!A:A,0),0),0)</f>
        <v>0</v>
      </c>
      <c r="K6110" s="444">
        <f t="shared" ca="1" si="216"/>
        <v>-124801812438635.33</v>
      </c>
      <c r="L6110" s="444">
        <f t="shared" ca="1" si="217"/>
        <v>-3.0077236797711116E+16</v>
      </c>
      <c r="M6110" s="460">
        <f t="shared" si="219"/>
        <v>0.05</v>
      </c>
      <c r="N6110" s="464">
        <f t="shared" si="220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18"/>
        <v>-3.0077236797711116E+16</v>
      </c>
      <c r="J6111" s="444">
        <f t="array" ref="J6111">IFERROR(INDEX('Retirement Calculator'!J:J,MATCH('Isaac 401k'!N6111,'Retirement Calculator'!A:A,0),0),0)</f>
        <v>0</v>
      </c>
      <c r="K6111" s="444">
        <f t="shared" ca="1" si="216"/>
        <v>-125321819990462.98</v>
      </c>
      <c r="L6111" s="444">
        <f t="shared" ca="1" si="217"/>
        <v>-3.020255861770158E+16</v>
      </c>
      <c r="M6111" s="460">
        <f t="shared" si="219"/>
        <v>0.05</v>
      </c>
      <c r="N6111" s="464">
        <f t="shared" si="220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18"/>
        <v>-3.020255861770158E+16</v>
      </c>
      <c r="J6112" s="444">
        <f t="array" ref="J6112">IFERROR(INDEX('Retirement Calculator'!J:J,MATCH('Isaac 401k'!N6112,'Retirement Calculator'!A:A,0),0),0)</f>
        <v>0</v>
      </c>
      <c r="K6112" s="444">
        <f t="shared" ca="1" si="216"/>
        <v>-125843994240423.25</v>
      </c>
      <c r="L6112" s="444">
        <f t="shared" ca="1" si="217"/>
        <v>-3.0328402611942004E+16</v>
      </c>
      <c r="M6112" s="460">
        <f t="shared" si="219"/>
        <v>0.05</v>
      </c>
      <c r="N6112" s="464">
        <f t="shared" si="220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18"/>
        <v>-3.0328402611942004E+16</v>
      </c>
      <c r="J6113" s="444">
        <f t="array" ref="J6113">IFERROR(INDEX('Retirement Calculator'!J:J,MATCH('Isaac 401k'!N6113,'Retirement Calculator'!A:A,0),0),0)</f>
        <v>0</v>
      </c>
      <c r="K6113" s="444">
        <f t="shared" ca="1" si="216"/>
        <v>-126368344216425.03</v>
      </c>
      <c r="L6113" s="444">
        <f t="shared" ca="1" si="217"/>
        <v>-3.0454770956158428E+16</v>
      </c>
      <c r="M6113" s="460">
        <f t="shared" si="219"/>
        <v>0.05</v>
      </c>
      <c r="N6113" s="464">
        <f t="shared" si="220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18"/>
        <v>-3.0454770956158428E+16</v>
      </c>
      <c r="J6114" s="444">
        <f t="array" ref="J6114">IFERROR(INDEX('Retirement Calculator'!J:J,MATCH('Isaac 401k'!N6114,'Retirement Calculator'!A:A,0),0),0)</f>
        <v>0</v>
      </c>
      <c r="K6114" s="444">
        <f t="shared" ca="1" si="216"/>
        <v>-126894878983993.45</v>
      </c>
      <c r="L6114" s="444">
        <f t="shared" ca="1" si="217"/>
        <v>-3.058166583514242E+16</v>
      </c>
      <c r="M6114" s="460">
        <f t="shared" si="219"/>
        <v>0.05</v>
      </c>
      <c r="N6114" s="464">
        <f t="shared" si="220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18"/>
        <v>-3.058166583514242E+16</v>
      </c>
      <c r="J6115" s="444">
        <f t="array" ref="J6115">IFERROR(INDEX('Retirement Calculator'!J:J,MATCH('Isaac 401k'!N6115,'Retirement Calculator'!A:A,0),0),0)</f>
        <v>0</v>
      </c>
      <c r="K6115" s="444">
        <f t="shared" ca="1" si="216"/>
        <v>-127423607646426.73</v>
      </c>
      <c r="L6115" s="444">
        <f t="shared" ca="1" si="217"/>
        <v>-3.0709089442788848E+16</v>
      </c>
      <c r="M6115" s="460">
        <f t="shared" si="219"/>
        <v>0.05</v>
      </c>
      <c r="N6115" s="464">
        <f t="shared" si="220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18"/>
        <v>-3.0709089442788848E+16</v>
      </c>
      <c r="J6116" s="444">
        <f t="array" ref="J6116">IFERROR(INDEX('Retirement Calculator'!J:J,MATCH('Isaac 401k'!N6116,'Retirement Calculator'!A:A,0),0),0)</f>
        <v>0</v>
      </c>
      <c r="K6116" s="444">
        <f t="shared" ca="1" si="216"/>
        <v>-127954539344953.55</v>
      </c>
      <c r="L6116" s="444">
        <f t="shared" ca="1" si="217"/>
        <v>-3.08370439821338E+16</v>
      </c>
      <c r="M6116" s="460">
        <f t="shared" si="219"/>
        <v>0.05</v>
      </c>
      <c r="N6116" s="464">
        <f t="shared" si="220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18"/>
        <v>-3.08370439821338E+16</v>
      </c>
      <c r="J6117" s="444">
        <f t="array" ref="J6117">IFERROR(INDEX('Retirement Calculator'!J:J,MATCH('Isaac 401k'!N6117,'Retirement Calculator'!A:A,0),0),0)</f>
        <v>0</v>
      </c>
      <c r="K6117" s="444">
        <f t="shared" ca="1" si="216"/>
        <v>-128487683258890.81</v>
      </c>
      <c r="L6117" s="444">
        <f t="shared" ca="1" si="217"/>
        <v>-3.0965531665392692E+16</v>
      </c>
      <c r="M6117" s="460">
        <f t="shared" si="219"/>
        <v>0.05</v>
      </c>
      <c r="N6117" s="464">
        <f t="shared" si="220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18"/>
        <v>-3.0965531665392692E+16</v>
      </c>
      <c r="J6118" s="444">
        <f t="array" ref="J6118">IFERROR(INDEX('Retirement Calculator'!J:J,MATCH('Isaac 401k'!N6118,'Retirement Calculator'!A:A,0),0),0)</f>
        <v>0</v>
      </c>
      <c r="K6118" s="444">
        <f t="shared" ca="1" si="216"/>
        <v>-129023048605802.88</v>
      </c>
      <c r="L6118" s="444">
        <f t="shared" ca="1" si="217"/>
        <v>-3.1094554713998496E+16</v>
      </c>
      <c r="M6118" s="460">
        <f t="shared" si="219"/>
        <v>0.05</v>
      </c>
      <c r="N6118" s="464">
        <f t="shared" si="220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18"/>
        <v>-3.1094554713998496E+16</v>
      </c>
      <c r="J6119" s="444">
        <f t="array" ref="J6119">IFERROR(INDEX('Retirement Calculator'!J:J,MATCH('Isaac 401k'!N6119,'Retirement Calculator'!A:A,0),0),0)</f>
        <v>0</v>
      </c>
      <c r="K6119" s="444">
        <f t="shared" ca="1" si="216"/>
        <v>-129560644641660.39</v>
      </c>
      <c r="L6119" s="444">
        <f t="shared" ca="1" si="217"/>
        <v>-3.1224115358640156E+16</v>
      </c>
      <c r="M6119" s="460">
        <f t="shared" si="219"/>
        <v>0.05</v>
      </c>
      <c r="N6119" s="464">
        <f t="shared" si="220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18"/>
        <v>-3.1224115358640156E+16</v>
      </c>
      <c r="J6120" s="444">
        <f t="array" ref="J6120">IFERROR(INDEX('Retirement Calculator'!J:J,MATCH('Isaac 401k'!N6120,'Retirement Calculator'!A:A,0),0),0)</f>
        <v>0</v>
      </c>
      <c r="K6120" s="444">
        <f t="shared" ca="1" si="216"/>
        <v>-130100480661000.64</v>
      </c>
      <c r="L6120" s="444">
        <f t="shared" ca="1" si="217"/>
        <v>-3.1354215839301156E+16</v>
      </c>
      <c r="M6120" s="460">
        <f t="shared" si="219"/>
        <v>0.05</v>
      </c>
      <c r="N6120" s="464">
        <f t="shared" si="220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18"/>
        <v>-3.1354215839301156E+16</v>
      </c>
      <c r="J6121" s="444">
        <f t="array" ref="J6121">IFERROR(INDEX('Retirement Calculator'!J:J,MATCH('Isaac 401k'!N6121,'Retirement Calculator'!A:A,0),0),0)</f>
        <v>0</v>
      </c>
      <c r="K6121" s="444">
        <f t="shared" ca="1" si="216"/>
        <v>-130642565997088.13</v>
      </c>
      <c r="L6121" s="444">
        <f t="shared" ca="1" si="217"/>
        <v>-3.1484858405298244E+16</v>
      </c>
      <c r="M6121" s="460">
        <f t="shared" si="219"/>
        <v>0.05</v>
      </c>
      <c r="N6121" s="464">
        <f t="shared" si="220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18"/>
        <v>-3.1484858405298244E+16</v>
      </c>
      <c r="J6122" s="444">
        <f t="array" ref="J6122">IFERROR(INDEX('Retirement Calculator'!J:J,MATCH('Isaac 401k'!N6122,'Retirement Calculator'!A:A,0),0),0)</f>
        <v>0</v>
      </c>
      <c r="K6122" s="444">
        <f t="shared" ca="1" si="216"/>
        <v>-131186910022076.02</v>
      </c>
      <c r="L6122" s="444">
        <f t="shared" ca="1" si="217"/>
        <v>-3.161604531532032E+16</v>
      </c>
      <c r="M6122" s="460">
        <f t="shared" si="219"/>
        <v>0.05</v>
      </c>
      <c r="N6122" s="464">
        <f t="shared" si="220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18"/>
        <v>-3.161604531532032E+16</v>
      </c>
      <c r="J6123" s="444">
        <f t="array" ref="J6123">IFERROR(INDEX('Retirement Calculator'!J:J,MATCH('Isaac 401k'!N6123,'Retirement Calculator'!A:A,0),0),0)</f>
        <v>0</v>
      </c>
      <c r="K6123" s="444">
        <f t="shared" ca="1" si="216"/>
        <v>-131733522147168</v>
      </c>
      <c r="L6123" s="444">
        <f t="shared" ca="1" si="217"/>
        <v>-3.1747778837467488E+16</v>
      </c>
      <c r="M6123" s="460">
        <f t="shared" si="219"/>
        <v>0.05</v>
      </c>
      <c r="N6123" s="464">
        <f t="shared" si="220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18"/>
        <v>-3.1747778837467488E+16</v>
      </c>
      <c r="J6124" s="444">
        <f t="array" ref="J6124">IFERROR(INDEX('Retirement Calculator'!J:J,MATCH('Isaac 401k'!N6124,'Retirement Calculator'!A:A,0),0),0)</f>
        <v>0</v>
      </c>
      <c r="K6124" s="444">
        <f t="shared" ca="1" si="216"/>
        <v>-132282411822781.2</v>
      </c>
      <c r="L6124" s="444">
        <f t="shared" ca="1" si="217"/>
        <v>-3.1880061249290268E+16</v>
      </c>
      <c r="M6124" s="460">
        <f t="shared" si="219"/>
        <v>0.05</v>
      </c>
      <c r="N6124" s="464">
        <f t="shared" si="220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18"/>
        <v>-3.1880061249290268E+16</v>
      </c>
      <c r="J6125" s="444">
        <f t="array" ref="J6125">IFERROR(INDEX('Retirement Calculator'!J:J,MATCH('Isaac 401k'!N6125,'Retirement Calculator'!A:A,0),0),0)</f>
        <v>0</v>
      </c>
      <c r="K6125" s="444">
        <f t="shared" ca="1" si="216"/>
        <v>-132833588538709.44</v>
      </c>
      <c r="L6125" s="444">
        <f t="shared" ca="1" si="217"/>
        <v>-3.2012894837828976E+16</v>
      </c>
      <c r="M6125" s="460">
        <f t="shared" si="219"/>
        <v>0.05</v>
      </c>
      <c r="N6125" s="464">
        <f t="shared" si="220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18"/>
        <v>-3.2012894837828976E+16</v>
      </c>
      <c r="J6126" s="444">
        <f t="array" ref="J6126">IFERROR(INDEX('Retirement Calculator'!J:J,MATCH('Isaac 401k'!N6126,'Retirement Calculator'!A:A,0),0),0)</f>
        <v>0</v>
      </c>
      <c r="K6126" s="444">
        <f t="shared" ca="1" si="216"/>
        <v>-133387061824287.39</v>
      </c>
      <c r="L6126" s="444">
        <f t="shared" ca="1" si="217"/>
        <v>-3.2146281899653264E+16</v>
      </c>
      <c r="M6126" s="460">
        <f t="shared" si="219"/>
        <v>0.05</v>
      </c>
      <c r="N6126" s="464">
        <f t="shared" si="220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18"/>
        <v>-3.2146281899653264E+16</v>
      </c>
      <c r="J6127" s="444">
        <f t="array" ref="J6127">IFERROR(INDEX('Retirement Calculator'!J:J,MATCH('Isaac 401k'!N6127,'Retirement Calculator'!A:A,0),0),0)</f>
        <v>0</v>
      </c>
      <c r="K6127" s="444">
        <f t="shared" ca="1" si="216"/>
        <v>-133942841248555.25</v>
      </c>
      <c r="L6127" s="444">
        <f t="shared" ca="1" si="217"/>
        <v>-3.228022474090182E+16</v>
      </c>
      <c r="M6127" s="460">
        <f t="shared" si="219"/>
        <v>0.05</v>
      </c>
      <c r="N6127" s="464">
        <f t="shared" si="220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18"/>
        <v>-3.228022474090182E+16</v>
      </c>
      <c r="J6128" s="444">
        <f t="array" ref="J6128">IFERROR(INDEX('Retirement Calculator'!J:J,MATCH('Isaac 401k'!N6128,'Retirement Calculator'!A:A,0),0),0)</f>
        <v>0</v>
      </c>
      <c r="K6128" s="444">
        <f t="shared" ref="K6128:K6250" ca="1" si="221">IPMT(M6128/12,1,12,-I6128+J6128,,0)</f>
        <v>-134500936420424.25</v>
      </c>
      <c r="L6128" s="444">
        <f t="shared" ref="L6128:L6250" ca="1" si="222">I6128-J6128+K6128</f>
        <v>-3.2414725677322244E+16</v>
      </c>
      <c r="M6128" s="460">
        <f t="shared" si="219"/>
        <v>0.05</v>
      </c>
      <c r="N6128" s="464">
        <f t="shared" si="220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23">L6128</f>
        <v>-3.2414725677322244E+16</v>
      </c>
      <c r="J6129" s="444">
        <f t="array" ref="J6129">IFERROR(INDEX('Retirement Calculator'!J:J,MATCH('Isaac 401k'!N6129,'Retirement Calculator'!A:A,0),0),0)</f>
        <v>0</v>
      </c>
      <c r="K6129" s="444">
        <f t="shared" ca="1" si="221"/>
        <v>-135061356988842.67</v>
      </c>
      <c r="L6129" s="444">
        <f t="shared" ca="1" si="222"/>
        <v>-3.2549787034311088E+16</v>
      </c>
      <c r="M6129" s="460">
        <f t="shared" ref="M6129:M6250" si="224">M6128</f>
        <v>0.05</v>
      </c>
      <c r="N6129" s="464">
        <f t="shared" ref="N6129:N6250" si="225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23"/>
        <v>-3.2549787034311088E+16</v>
      </c>
      <c r="J6130" s="444">
        <f t="array" ref="J6130">IFERROR(INDEX('Retirement Calculator'!J:J,MATCH('Isaac 401k'!N6130,'Retirement Calculator'!A:A,0),0),0)</f>
        <v>0</v>
      </c>
      <c r="K6130" s="444">
        <f t="shared" ca="1" si="221"/>
        <v>-135624112642962.86</v>
      </c>
      <c r="L6130" s="444">
        <f t="shared" ca="1" si="222"/>
        <v>-3.2685411146954052E+16</v>
      </c>
      <c r="M6130" s="460">
        <f t="shared" si="224"/>
        <v>0.05</v>
      </c>
      <c r="N6130" s="464">
        <f t="shared" si="225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23"/>
        <v>-3.2685411146954052E+16</v>
      </c>
      <c r="J6131" s="444">
        <f t="array" ref="J6131">IFERROR(INDEX('Retirement Calculator'!J:J,MATCH('Isaac 401k'!N6131,'Retirement Calculator'!A:A,0),0),0)</f>
        <v>0</v>
      </c>
      <c r="K6131" s="444">
        <f t="shared" ca="1" si="221"/>
        <v>-136189213112308.53</v>
      </c>
      <c r="L6131" s="444">
        <f t="shared" ca="1" si="222"/>
        <v>-3.282160036006636E+16</v>
      </c>
      <c r="M6131" s="460">
        <f t="shared" si="224"/>
        <v>0.05</v>
      </c>
      <c r="N6131" s="464">
        <f t="shared" si="225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23"/>
        <v>-3.282160036006636E+16</v>
      </c>
      <c r="J6132" s="444">
        <f t="array" ref="J6132">IFERROR(INDEX('Retirement Calculator'!J:J,MATCH('Isaac 401k'!N6132,'Retirement Calculator'!A:A,0),0),0)</f>
        <v>0</v>
      </c>
      <c r="K6132" s="444">
        <f t="shared" ca="1" si="221"/>
        <v>-136756668166943.17</v>
      </c>
      <c r="L6132" s="444">
        <f t="shared" ca="1" si="222"/>
        <v>-3.2958357028233304E+16</v>
      </c>
      <c r="M6132" s="460">
        <f t="shared" si="224"/>
        <v>0.05</v>
      </c>
      <c r="N6132" s="464">
        <f t="shared" si="225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23"/>
        <v>-3.2958357028233304E+16</v>
      </c>
      <c r="J6133" s="444">
        <f t="array" ref="J6133">IFERROR(INDEX('Retirement Calculator'!J:J,MATCH('Isaac 401k'!N6133,'Retirement Calculator'!A:A,0),0),0)</f>
        <v>0</v>
      </c>
      <c r="K6133" s="444">
        <f t="shared" ca="1" si="221"/>
        <v>-137326487617638.75</v>
      </c>
      <c r="L6133" s="444">
        <f t="shared" ca="1" si="222"/>
        <v>-3.3095683515850944E+16</v>
      </c>
      <c r="M6133" s="460">
        <f t="shared" si="224"/>
        <v>0.05</v>
      </c>
      <c r="N6133" s="464">
        <f t="shared" si="225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23"/>
        <v>-3.3095683515850944E+16</v>
      </c>
      <c r="J6134" s="444">
        <f t="array" ref="J6134">IFERROR(INDEX('Retirement Calculator'!J:J,MATCH('Isaac 401k'!N6134,'Retirement Calculator'!A:A,0),0),0)</f>
        <v>0</v>
      </c>
      <c r="K6134" s="444">
        <f t="shared" ca="1" si="221"/>
        <v>-137898681316045.59</v>
      </c>
      <c r="L6134" s="444">
        <f t="shared" ca="1" si="222"/>
        <v>-3.3233582197166988E+16</v>
      </c>
      <c r="M6134" s="460">
        <f t="shared" si="224"/>
        <v>0.05</v>
      </c>
      <c r="N6134" s="464">
        <f t="shared" si="225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23"/>
        <v>-3.3233582197166988E+16</v>
      </c>
      <c r="J6135" s="444">
        <f t="array" ref="J6135">IFERROR(INDEX('Retirement Calculator'!J:J,MATCH('Isaac 401k'!N6135,'Retirement Calculator'!A:A,0),0),0)</f>
        <v>0</v>
      </c>
      <c r="K6135" s="444">
        <f t="shared" ca="1" si="221"/>
        <v>-138473259154862.44</v>
      </c>
      <c r="L6135" s="444">
        <f t="shared" ca="1" si="222"/>
        <v>-3.3372055456321852E+16</v>
      </c>
      <c r="M6135" s="460">
        <f t="shared" si="224"/>
        <v>0.05</v>
      </c>
      <c r="N6135" s="464">
        <f t="shared" si="225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23"/>
        <v>-3.3372055456321852E+16</v>
      </c>
      <c r="J6136" s="444">
        <f t="array" ref="J6136">IFERROR(INDEX('Retirement Calculator'!J:J,MATCH('Isaac 401k'!N6136,'Retirement Calculator'!A:A,0),0),0)</f>
        <v>0</v>
      </c>
      <c r="K6136" s="444">
        <f t="shared" ca="1" si="221"/>
        <v>-139050231068007.73</v>
      </c>
      <c r="L6136" s="444">
        <f t="shared" ca="1" si="222"/>
        <v>-3.351110568738986E+16</v>
      </c>
      <c r="M6136" s="460">
        <f t="shared" si="224"/>
        <v>0.05</v>
      </c>
      <c r="N6136" s="464">
        <f t="shared" si="225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23"/>
        <v>-3.351110568738986E+16</v>
      </c>
      <c r="J6137" s="444">
        <f t="array" ref="J6137">IFERROR(INDEX('Retirement Calculator'!J:J,MATCH('Isaac 401k'!N6137,'Retirement Calculator'!A:A,0),0),0)</f>
        <v>0</v>
      </c>
      <c r="K6137" s="444">
        <f t="shared" ca="1" si="221"/>
        <v>-139629607030791.08</v>
      </c>
      <c r="L6137" s="444">
        <f t="shared" ca="1" si="222"/>
        <v>-3.3650735294420652E+16</v>
      </c>
      <c r="M6137" s="460">
        <f t="shared" si="224"/>
        <v>0.05</v>
      </c>
      <c r="N6137" s="464">
        <f t="shared" si="225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23"/>
        <v>-3.3650735294420652E+16</v>
      </c>
      <c r="J6138" s="444">
        <f t="array" ref="J6138">IFERROR(INDEX('Retirement Calculator'!J:J,MATCH('Isaac 401k'!N6138,'Retirement Calculator'!A:A,0),0),0)</f>
        <v>0</v>
      </c>
      <c r="K6138" s="444">
        <f t="shared" ca="1" si="221"/>
        <v>-140211397060086.06</v>
      </c>
      <c r="L6138" s="444">
        <f t="shared" ca="1" si="222"/>
        <v>-3.379094669148074E+16</v>
      </c>
      <c r="M6138" s="460">
        <f t="shared" si="224"/>
        <v>0.05</v>
      </c>
      <c r="N6138" s="464">
        <f t="shared" si="225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23"/>
        <v>-3.379094669148074E+16</v>
      </c>
      <c r="J6139" s="444">
        <f t="array" ref="J6139">IFERROR(INDEX('Retirement Calculator'!J:J,MATCH('Isaac 401k'!N6139,'Retirement Calculator'!A:A,0),0),0)</f>
        <v>0</v>
      </c>
      <c r="K6139" s="444">
        <f t="shared" ca="1" si="221"/>
        <v>-140795611214503.09</v>
      </c>
      <c r="L6139" s="444">
        <f t="shared" ca="1" si="222"/>
        <v>-3.3931742302695244E+16</v>
      </c>
      <c r="M6139" s="460">
        <f t="shared" si="224"/>
        <v>0.05</v>
      </c>
      <c r="N6139" s="464">
        <f t="shared" si="225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23"/>
        <v>-3.3931742302695244E+16</v>
      </c>
      <c r="J6140" s="444">
        <f t="array" ref="J6140">IFERROR(INDEX('Retirement Calculator'!J:J,MATCH('Isaac 401k'!N6140,'Retirement Calculator'!A:A,0),0),0)</f>
        <v>0</v>
      </c>
      <c r="K6140" s="444">
        <f t="shared" ca="1" si="221"/>
        <v>-141382259594563.5</v>
      </c>
      <c r="L6140" s="444">
        <f t="shared" ca="1" si="222"/>
        <v>-3.4073124562289808E+16</v>
      </c>
      <c r="M6140" s="460">
        <f t="shared" si="224"/>
        <v>0.05</v>
      </c>
      <c r="N6140" s="464">
        <f t="shared" si="225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23"/>
        <v>-3.4073124562289808E+16</v>
      </c>
      <c r="J6141" s="444">
        <f t="array" ref="J6141">IFERROR(INDEX('Retirement Calculator'!J:J,MATCH('Isaac 401k'!N6141,'Retirement Calculator'!A:A,0),0),0)</f>
        <v>0</v>
      </c>
      <c r="K6141" s="444">
        <f t="shared" ca="1" si="221"/>
        <v>-141971352342874.19</v>
      </c>
      <c r="L6141" s="444">
        <f t="shared" ca="1" si="222"/>
        <v>-3.4215095914632684E+16</v>
      </c>
      <c r="M6141" s="460">
        <f t="shared" si="224"/>
        <v>0.05</v>
      </c>
      <c r="N6141" s="464">
        <f t="shared" si="225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23"/>
        <v>-3.4215095914632684E+16</v>
      </c>
      <c r="J6142" s="444">
        <f t="array" ref="J6142">IFERROR(INDEX('Retirement Calculator'!J:J,MATCH('Isaac 401k'!N6142,'Retirement Calculator'!A:A,0),0),0)</f>
        <v>0</v>
      </c>
      <c r="K6142" s="444">
        <f t="shared" ca="1" si="221"/>
        <v>-142562899644302.84</v>
      </c>
      <c r="L6142" s="444">
        <f t="shared" ca="1" si="222"/>
        <v>-3.4357658814276988E+16</v>
      </c>
      <c r="M6142" s="460">
        <f t="shared" si="224"/>
        <v>0.05</v>
      </c>
      <c r="N6142" s="464">
        <f t="shared" si="225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23"/>
        <v>-3.4357658814276988E+16</v>
      </c>
      <c r="J6143" s="444">
        <f t="array" ref="J6143">IFERROR(INDEX('Retirement Calculator'!J:J,MATCH('Isaac 401k'!N6143,'Retirement Calculator'!A:A,0),0),0)</f>
        <v>0</v>
      </c>
      <c r="K6143" s="444">
        <f t="shared" ca="1" si="221"/>
        <v>-143156911726154.13</v>
      </c>
      <c r="L6143" s="444">
        <f t="shared" ca="1" si="222"/>
        <v>-3.4500815726003144E+16</v>
      </c>
      <c r="M6143" s="460">
        <f t="shared" si="224"/>
        <v>0.05</v>
      </c>
      <c r="N6143" s="464">
        <f t="shared" si="225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23"/>
        <v>-3.4500815726003144E+16</v>
      </c>
      <c r="J6144" s="444">
        <f t="array" ref="J6144">IFERROR(INDEX('Retirement Calculator'!J:J,MATCH('Isaac 401k'!N6144,'Retirement Calculator'!A:A,0),0),0)</f>
        <v>0</v>
      </c>
      <c r="K6144" s="444">
        <f t="shared" ca="1" si="221"/>
        <v>-143753398858346.44</v>
      </c>
      <c r="L6144" s="444">
        <f t="shared" ca="1" si="222"/>
        <v>-3.4644569124861492E+16</v>
      </c>
      <c r="M6144" s="460">
        <f t="shared" si="224"/>
        <v>0.05</v>
      </c>
      <c r="N6144" s="464">
        <f t="shared" si="225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23"/>
        <v>-3.4644569124861492E+16</v>
      </c>
      <c r="J6145" s="444">
        <f t="array" ref="J6145">IFERROR(INDEX('Retirement Calculator'!J:J,MATCH('Isaac 401k'!N6145,'Retirement Calculator'!A:A,0),0),0)</f>
        <v>0</v>
      </c>
      <c r="K6145" s="444">
        <f t="shared" ca="1" si="221"/>
        <v>-144352371353589.56</v>
      </c>
      <c r="L6145" s="444">
        <f t="shared" ca="1" si="222"/>
        <v>-3.478892149621508E+16</v>
      </c>
      <c r="M6145" s="460">
        <f t="shared" si="224"/>
        <v>0.05</v>
      </c>
      <c r="N6145" s="464">
        <f t="shared" si="225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23"/>
        <v>-3.478892149621508E+16</v>
      </c>
      <c r="J6146" s="444">
        <f t="array" ref="J6146">IFERROR(INDEX('Retirement Calculator'!J:J,MATCH('Isaac 401k'!N6146,'Retirement Calculator'!A:A,0),0),0)</f>
        <v>0</v>
      </c>
      <c r="K6146" s="444">
        <f t="shared" ca="1" si="221"/>
        <v>-144953839567562.84</v>
      </c>
      <c r="L6146" s="444">
        <f t="shared" ca="1" si="222"/>
        <v>-3.4933875335782644E+16</v>
      </c>
      <c r="M6146" s="460">
        <f t="shared" si="224"/>
        <v>0.05</v>
      </c>
      <c r="N6146" s="464">
        <f t="shared" si="225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23"/>
        <v>-3.4933875335782644E+16</v>
      </c>
      <c r="J6147" s="444">
        <f t="array" ref="J6147">IFERROR(INDEX('Retirement Calculator'!J:J,MATCH('Isaac 401k'!N6147,'Retirement Calculator'!A:A,0),0),0)</f>
        <v>0</v>
      </c>
      <c r="K6147" s="444">
        <f t="shared" ca="1" si="221"/>
        <v>-145557813899094.34</v>
      </c>
      <c r="L6147" s="444">
        <f t="shared" ca="1" si="222"/>
        <v>-3.507943314968174E+16</v>
      </c>
      <c r="M6147" s="460">
        <f t="shared" si="224"/>
        <v>0.05</v>
      </c>
      <c r="N6147" s="464">
        <f t="shared" si="225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23"/>
        <v>-3.507943314968174E+16</v>
      </c>
      <c r="J6148" s="444">
        <f t="array" ref="J6148">IFERROR(INDEX('Retirement Calculator'!J:J,MATCH('Isaac 401k'!N6148,'Retirement Calculator'!A:A,0),0),0)</f>
        <v>0</v>
      </c>
      <c r="K6148" s="444">
        <f t="shared" ca="1" si="221"/>
        <v>-146164304790340.59</v>
      </c>
      <c r="L6148" s="444">
        <f t="shared" ca="1" si="222"/>
        <v>-3.522559745447208E+16</v>
      </c>
      <c r="M6148" s="460">
        <f t="shared" si="224"/>
        <v>0.05</v>
      </c>
      <c r="N6148" s="464">
        <f t="shared" si="225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23"/>
        <v>-3.522559745447208E+16</v>
      </c>
      <c r="J6149" s="444">
        <f t="array" ref="J6149">IFERROR(INDEX('Retirement Calculator'!J:J,MATCH('Isaac 401k'!N6149,'Retirement Calculator'!A:A,0),0),0)</f>
        <v>0</v>
      </c>
      <c r="K6149" s="444">
        <f t="shared" ca="1" si="221"/>
        <v>-146773322726967</v>
      </c>
      <c r="L6149" s="444">
        <f t="shared" ca="1" si="222"/>
        <v>-3.5372370777199048E+16</v>
      </c>
      <c r="M6149" s="460">
        <f t="shared" si="224"/>
        <v>0.05</v>
      </c>
      <c r="N6149" s="464">
        <f t="shared" si="225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23"/>
        <v>-3.5372370777199048E+16</v>
      </c>
      <c r="J6150" s="444">
        <f t="array" ref="J6150">IFERROR(INDEX('Retirement Calculator'!J:J,MATCH('Isaac 401k'!N6150,'Retirement Calculator'!A:A,0),0),0)</f>
        <v>0</v>
      </c>
      <c r="K6150" s="444">
        <f t="shared" ca="1" si="221"/>
        <v>-147384878238329.38</v>
      </c>
      <c r="L6150" s="444">
        <f t="shared" ca="1" si="222"/>
        <v>-3.5519755655437376E+16</v>
      </c>
      <c r="M6150" s="460">
        <f t="shared" si="224"/>
        <v>0.05</v>
      </c>
      <c r="N6150" s="464">
        <f t="shared" si="225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23"/>
        <v>-3.5519755655437376E+16</v>
      </c>
      <c r="J6151" s="444">
        <f t="array" ref="J6151">IFERROR(INDEX('Retirement Calculator'!J:J,MATCH('Isaac 401k'!N6151,'Retirement Calculator'!A:A,0),0),0)</f>
        <v>0</v>
      </c>
      <c r="K6151" s="444">
        <f t="shared" ca="1" si="221"/>
        <v>-147998981897655.72</v>
      </c>
      <c r="L6151" s="444">
        <f t="shared" ca="1" si="222"/>
        <v>-3.5667754637335032E+16</v>
      </c>
      <c r="M6151" s="460">
        <f t="shared" si="224"/>
        <v>0.05</v>
      </c>
      <c r="N6151" s="464">
        <f t="shared" si="225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23"/>
        <v>-3.5667754637335032E+16</v>
      </c>
      <c r="J6152" s="444">
        <f t="array" ref="J6152">IFERROR(INDEX('Retirement Calculator'!J:J,MATCH('Isaac 401k'!N6152,'Retirement Calculator'!A:A,0),0),0)</f>
        <v>0</v>
      </c>
      <c r="K6152" s="444">
        <f t="shared" ca="1" si="221"/>
        <v>-148615644322229.31</v>
      </c>
      <c r="L6152" s="444">
        <f t="shared" ca="1" si="222"/>
        <v>-3.581637028165726E+16</v>
      </c>
      <c r="M6152" s="460">
        <f t="shared" si="224"/>
        <v>0.05</v>
      </c>
      <c r="N6152" s="464">
        <f t="shared" si="225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23"/>
        <v>-3.581637028165726E+16</v>
      </c>
      <c r="J6153" s="444">
        <f t="array" ref="J6153">IFERROR(INDEX('Retirement Calculator'!J:J,MATCH('Isaac 401k'!N6153,'Retirement Calculator'!A:A,0),0),0)</f>
        <v>0</v>
      </c>
      <c r="K6153" s="444">
        <f t="shared" ca="1" si="221"/>
        <v>-149234876173571.91</v>
      </c>
      <c r="L6153" s="444">
        <f t="shared" ca="1" si="222"/>
        <v>-3.5965605157830832E+16</v>
      </c>
      <c r="M6153" s="460">
        <f t="shared" si="224"/>
        <v>0.05</v>
      </c>
      <c r="N6153" s="464">
        <f t="shared" si="225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23"/>
        <v>-3.5965605157830832E+16</v>
      </c>
      <c r="J6154" s="444">
        <f t="array" ref="J6154">IFERROR(INDEX('Retirement Calculator'!J:J,MATCH('Isaac 401k'!N6154,'Retirement Calculator'!A:A,0),0),0)</f>
        <v>0</v>
      </c>
      <c r="K6154" s="444">
        <f t="shared" ca="1" si="221"/>
        <v>-149856688157628.47</v>
      </c>
      <c r="L6154" s="444">
        <f t="shared" ca="1" si="222"/>
        <v>-3.6115461845988464E+16</v>
      </c>
      <c r="M6154" s="460">
        <f t="shared" si="224"/>
        <v>0.05</v>
      </c>
      <c r="N6154" s="464">
        <f t="shared" si="225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23"/>
        <v>-3.6115461845988464E+16</v>
      </c>
      <c r="J6155" s="444">
        <f t="array" ref="J6155">IFERROR(INDEX('Retirement Calculator'!J:J,MATCH('Isaac 401k'!N6155,'Retirement Calculator'!A:A,0),0),0)</f>
        <v>0</v>
      </c>
      <c r="K6155" s="444">
        <f t="shared" ca="1" si="221"/>
        <v>-150481091024951.94</v>
      </c>
      <c r="L6155" s="444">
        <f t="shared" ca="1" si="222"/>
        <v>-3.6265942937013416E+16</v>
      </c>
      <c r="M6155" s="460">
        <f t="shared" si="224"/>
        <v>0.05</v>
      </c>
      <c r="N6155" s="464">
        <f t="shared" si="225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23"/>
        <v>-3.6265942937013416E+16</v>
      </c>
      <c r="J6156" s="444">
        <f t="array" ref="J6156">IFERROR(INDEX('Retirement Calculator'!J:J,MATCH('Isaac 401k'!N6156,'Retirement Calculator'!A:A,0),0),0)</f>
        <v>0</v>
      </c>
      <c r="K6156" s="444">
        <f t="shared" ca="1" si="221"/>
        <v>-151108095570889.22</v>
      </c>
      <c r="L6156" s="444">
        <f t="shared" ca="1" si="222"/>
        <v>-3.6417051032584304E+16</v>
      </c>
      <c r="M6156" s="460">
        <f t="shared" si="224"/>
        <v>0.05</v>
      </c>
      <c r="N6156" s="464">
        <f t="shared" si="225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23"/>
        <v>-3.6417051032584304E+16</v>
      </c>
      <c r="J6157" s="444">
        <f t="array" ref="J6157">IFERROR(INDEX('Retirement Calculator'!J:J,MATCH('Isaac 401k'!N6157,'Retirement Calculator'!A:A,0),0),0)</f>
        <v>0</v>
      </c>
      <c r="K6157" s="444">
        <f t="shared" ca="1" si="221"/>
        <v>-151737712635767.94</v>
      </c>
      <c r="L6157" s="444">
        <f t="shared" ca="1" si="222"/>
        <v>-3.6568788745220072E+16</v>
      </c>
      <c r="M6157" s="460">
        <f t="shared" si="224"/>
        <v>0.05</v>
      </c>
      <c r="N6157" s="464">
        <f t="shared" si="225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23"/>
        <v>-3.6568788745220072E+16</v>
      </c>
      <c r="J6158" s="444">
        <f t="array" ref="J6158">IFERROR(INDEX('Retirement Calculator'!J:J,MATCH('Isaac 401k'!N6158,'Retirement Calculator'!A:A,0),0),0)</f>
        <v>0</v>
      </c>
      <c r="K6158" s="444">
        <f t="shared" ca="1" si="221"/>
        <v>-152369953105083.63</v>
      </c>
      <c r="L6158" s="444">
        <f t="shared" ca="1" si="222"/>
        <v>-3.6721158698325152E+16</v>
      </c>
      <c r="M6158" s="460">
        <f t="shared" si="224"/>
        <v>0.05</v>
      </c>
      <c r="N6158" s="464">
        <f t="shared" si="225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23"/>
        <v>-3.6721158698325152E+16</v>
      </c>
      <c r="J6159" s="444">
        <f t="array" ref="J6159">IFERROR(INDEX('Retirement Calculator'!J:J,MATCH('Isaac 401k'!N6159,'Retirement Calculator'!A:A,0),0),0)</f>
        <v>0</v>
      </c>
      <c r="K6159" s="444">
        <f t="shared" ca="1" si="221"/>
        <v>-153004827909688.13</v>
      </c>
      <c r="L6159" s="444">
        <f t="shared" ca="1" si="222"/>
        <v>-3.687416352623484E+16</v>
      </c>
      <c r="M6159" s="460">
        <f t="shared" si="224"/>
        <v>0.05</v>
      </c>
      <c r="N6159" s="464">
        <f t="shared" si="225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23"/>
        <v>-3.687416352623484E+16</v>
      </c>
      <c r="J6160" s="444">
        <f t="array" ref="J6160">IFERROR(INDEX('Retirement Calculator'!J:J,MATCH('Isaac 401k'!N6160,'Retirement Calculator'!A:A,0),0),0)</f>
        <v>0</v>
      </c>
      <c r="K6160" s="444">
        <f t="shared" ca="1" si="221"/>
        <v>-153642348025978.5</v>
      </c>
      <c r="L6160" s="444">
        <f t="shared" ca="1" si="222"/>
        <v>-3.7027805874260816E+16</v>
      </c>
      <c r="M6160" s="460">
        <f t="shared" si="224"/>
        <v>0.05</v>
      </c>
      <c r="N6160" s="464">
        <f t="shared" si="225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23"/>
        <v>-3.7027805874260816E+16</v>
      </c>
      <c r="J6161" s="444">
        <f t="array" ref="J6161">IFERROR(INDEX('Retirement Calculator'!J:J,MATCH('Isaac 401k'!N6161,'Retirement Calculator'!A:A,0),0),0)</f>
        <v>0</v>
      </c>
      <c r="K6161" s="444">
        <f t="shared" ca="1" si="221"/>
        <v>-154282524476086.72</v>
      </c>
      <c r="L6161" s="444">
        <f t="shared" ca="1" si="222"/>
        <v>-3.7182088398736904E+16</v>
      </c>
      <c r="M6161" s="460">
        <f t="shared" si="224"/>
        <v>0.05</v>
      </c>
      <c r="N6161" s="464">
        <f t="shared" si="225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23"/>
        <v>-3.7182088398736904E+16</v>
      </c>
      <c r="J6162" s="444">
        <f t="array" ref="J6162">IFERROR(INDEX('Retirement Calculator'!J:J,MATCH('Isaac 401k'!N6162,'Retirement Calculator'!A:A,0),0),0)</f>
        <v>0</v>
      </c>
      <c r="K6162" s="444">
        <f t="shared" ca="1" si="221"/>
        <v>-154925368328070.44</v>
      </c>
      <c r="L6162" s="444">
        <f t="shared" ca="1" si="222"/>
        <v>-3.7337013767064976E+16</v>
      </c>
      <c r="M6162" s="460">
        <f t="shared" si="224"/>
        <v>0.05</v>
      </c>
      <c r="N6162" s="464">
        <f t="shared" si="225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23"/>
        <v>-3.7337013767064976E+16</v>
      </c>
      <c r="J6163" s="444">
        <f t="array" ref="J6163">IFERROR(INDEX('Retirement Calculator'!J:J,MATCH('Isaac 401k'!N6163,'Retirement Calculator'!A:A,0),0),0)</f>
        <v>0</v>
      </c>
      <c r="K6163" s="444">
        <f t="shared" ca="1" si="221"/>
        <v>-155570890696104.06</v>
      </c>
      <c r="L6163" s="444">
        <f t="shared" ca="1" si="222"/>
        <v>-3.749258465776108E+16</v>
      </c>
      <c r="M6163" s="460">
        <f t="shared" si="224"/>
        <v>0.05</v>
      </c>
      <c r="N6163" s="464">
        <f t="shared" si="225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23"/>
        <v>-3.749258465776108E+16</v>
      </c>
      <c r="J6164" s="444">
        <f t="array" ref="J6164">IFERROR(INDEX('Retirement Calculator'!J:J,MATCH('Isaac 401k'!N6164,'Retirement Calculator'!A:A,0),0),0)</f>
        <v>0</v>
      </c>
      <c r="K6164" s="444">
        <f t="shared" ca="1" si="221"/>
        <v>-156219102740671.16</v>
      </c>
      <c r="L6164" s="444">
        <f t="shared" ca="1" si="222"/>
        <v>-3.7648803760501752E+16</v>
      </c>
      <c r="M6164" s="460">
        <f t="shared" si="224"/>
        <v>0.05</v>
      </c>
      <c r="N6164" s="464">
        <f t="shared" si="225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23"/>
        <v>-3.7648803760501752E+16</v>
      </c>
      <c r="J6165" s="444">
        <f t="array" ref="J6165">IFERROR(INDEX('Retirement Calculator'!J:J,MATCH('Isaac 401k'!N6165,'Retirement Calculator'!A:A,0),0),0)</f>
        <v>0</v>
      </c>
      <c r="K6165" s="444">
        <f t="shared" ca="1" si="221"/>
        <v>-156870015668757.31</v>
      </c>
      <c r="L6165" s="444">
        <f t="shared" ca="1" si="222"/>
        <v>-3.7805673776170512E+16</v>
      </c>
      <c r="M6165" s="460">
        <f t="shared" si="224"/>
        <v>0.05</v>
      </c>
      <c r="N6165" s="464">
        <f t="shared" si="225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23"/>
        <v>-3.7805673776170512E+16</v>
      </c>
      <c r="J6166" s="444">
        <f t="array" ref="J6166">IFERROR(INDEX('Retirement Calculator'!J:J,MATCH('Isaac 401k'!N6166,'Retirement Calculator'!A:A,0),0),0)</f>
        <v>0</v>
      </c>
      <c r="K6166" s="444">
        <f t="shared" ca="1" si="221"/>
        <v>-157523640734043.81</v>
      </c>
      <c r="L6166" s="444">
        <f t="shared" ca="1" si="222"/>
        <v>-3.7963197416904552E+16</v>
      </c>
      <c r="M6166" s="460">
        <f t="shared" si="224"/>
        <v>0.05</v>
      </c>
      <c r="N6166" s="464">
        <f t="shared" si="225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23"/>
        <v>-3.7963197416904552E+16</v>
      </c>
      <c r="J6167" s="444">
        <f t="array" ref="J6167">IFERROR(INDEX('Retirement Calculator'!J:J,MATCH('Isaac 401k'!N6167,'Retirement Calculator'!A:A,0),0),0)</f>
        <v>0</v>
      </c>
      <c r="K6167" s="444">
        <f t="shared" ca="1" si="221"/>
        <v>-158179989237102.31</v>
      </c>
      <c r="L6167" s="444">
        <f t="shared" ca="1" si="222"/>
        <v>-3.8121377406141656E+16</v>
      </c>
      <c r="M6167" s="460">
        <f t="shared" si="224"/>
        <v>0.05</v>
      </c>
      <c r="N6167" s="464">
        <f t="shared" si="225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23"/>
        <v>-3.8121377406141656E+16</v>
      </c>
      <c r="J6168" s="444">
        <f t="array" ref="J6168">IFERROR(INDEX('Retirement Calculator'!J:J,MATCH('Isaac 401k'!N6168,'Retirement Calculator'!A:A,0),0),0)</f>
        <v>0</v>
      </c>
      <c r="K6168" s="444">
        <f t="shared" ca="1" si="221"/>
        <v>-158839072525590.22</v>
      </c>
      <c r="L6168" s="444">
        <f t="shared" ca="1" si="222"/>
        <v>-3.8280216478667248E+16</v>
      </c>
      <c r="M6168" s="460">
        <f t="shared" si="224"/>
        <v>0.05</v>
      </c>
      <c r="N6168" s="464">
        <f t="shared" si="225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23"/>
        <v>-3.8280216478667248E+16</v>
      </c>
      <c r="J6169" s="444">
        <f t="array" ref="J6169">IFERROR(INDEX('Retirement Calculator'!J:J,MATCH('Isaac 401k'!N6169,'Retirement Calculator'!A:A,0),0),0)</f>
        <v>0</v>
      </c>
      <c r="K6169" s="444">
        <f t="shared" ca="1" si="221"/>
        <v>-159500901994446.88</v>
      </c>
      <c r="L6169" s="444">
        <f t="shared" ca="1" si="222"/>
        <v>-3.8439717380661696E+16</v>
      </c>
      <c r="M6169" s="460">
        <f t="shared" si="224"/>
        <v>0.05</v>
      </c>
      <c r="N6169" s="464">
        <f t="shared" si="225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23"/>
        <v>-3.8439717380661696E+16</v>
      </c>
      <c r="J6170" s="444">
        <f t="array" ref="J6170">IFERROR(INDEX('Retirement Calculator'!J:J,MATCH('Isaac 401k'!N6170,'Retirement Calculator'!A:A,0),0),0)</f>
        <v>0</v>
      </c>
      <c r="K6170" s="444">
        <f t="shared" ca="1" si="221"/>
        <v>-160165489086090.41</v>
      </c>
      <c r="L6170" s="444">
        <f t="shared" ca="1" si="222"/>
        <v>-3.8599882869747784E+16</v>
      </c>
      <c r="M6170" s="460">
        <f t="shared" si="224"/>
        <v>0.05</v>
      </c>
      <c r="N6170" s="464">
        <f t="shared" si="225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23"/>
        <v>-3.8599882869747784E+16</v>
      </c>
      <c r="J6171" s="444">
        <f t="array" ref="J6171">IFERROR(INDEX('Retirement Calculator'!J:J,MATCH('Isaac 401k'!N6171,'Retirement Calculator'!A:A,0),0),0)</f>
        <v>0</v>
      </c>
      <c r="K6171" s="444">
        <f t="shared" ca="1" si="221"/>
        <v>-160832845290615.75</v>
      </c>
      <c r="L6171" s="444">
        <f t="shared" ca="1" si="222"/>
        <v>-3.87607157150384E+16</v>
      </c>
      <c r="M6171" s="460">
        <f t="shared" si="224"/>
        <v>0.05</v>
      </c>
      <c r="N6171" s="464">
        <f t="shared" si="225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23"/>
        <v>-3.87607157150384E+16</v>
      </c>
      <c r="J6172" s="444">
        <f t="array" ref="J6172">IFERROR(INDEX('Retirement Calculator'!J:J,MATCH('Isaac 401k'!N6172,'Retirement Calculator'!A:A,0),0),0)</f>
        <v>0</v>
      </c>
      <c r="K6172" s="444">
        <f t="shared" ca="1" si="221"/>
        <v>-161502982145993.34</v>
      </c>
      <c r="L6172" s="444">
        <f t="shared" ca="1" si="222"/>
        <v>-3.8922218697184392E+16</v>
      </c>
      <c r="M6172" s="460">
        <f t="shared" si="224"/>
        <v>0.05</v>
      </c>
      <c r="N6172" s="464">
        <f t="shared" si="225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23"/>
        <v>-3.8922218697184392E+16</v>
      </c>
      <c r="J6173" s="444">
        <f t="array" ref="J6173">IFERROR(INDEX('Retirement Calculator'!J:J,MATCH('Isaac 401k'!N6173,'Retirement Calculator'!A:A,0),0),0)</f>
        <v>0</v>
      </c>
      <c r="K6173" s="444">
        <f t="shared" ca="1" si="221"/>
        <v>-162175911238268.31</v>
      </c>
      <c r="L6173" s="444">
        <f t="shared" ca="1" si="222"/>
        <v>-3.9084394608422664E+16</v>
      </c>
      <c r="M6173" s="460">
        <f t="shared" si="224"/>
        <v>0.05</v>
      </c>
      <c r="N6173" s="464">
        <f t="shared" si="225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23"/>
        <v>-3.9084394608422664E+16</v>
      </c>
      <c r="J6174" s="444">
        <f t="array" ref="J6174">IFERROR(INDEX('Retirement Calculator'!J:J,MATCH('Isaac 401k'!N6174,'Retirement Calculator'!A:A,0),0),0)</f>
        <v>0</v>
      </c>
      <c r="K6174" s="444">
        <f t="shared" ca="1" si="221"/>
        <v>-162851644201761.09</v>
      </c>
      <c r="L6174" s="444">
        <f t="shared" ca="1" si="222"/>
        <v>-3.9247246252624424E+16</v>
      </c>
      <c r="M6174" s="460">
        <f t="shared" si="224"/>
        <v>0.05</v>
      </c>
      <c r="N6174" s="464">
        <f t="shared" si="225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23"/>
        <v>-3.9247246252624424E+16</v>
      </c>
      <c r="J6175" s="444">
        <f t="array" ref="J6175">IFERROR(INDEX('Retirement Calculator'!J:J,MATCH('Isaac 401k'!N6175,'Retirement Calculator'!A:A,0),0),0)</f>
        <v>0</v>
      </c>
      <c r="K6175" s="444">
        <f t="shared" ca="1" si="221"/>
        <v>-163530192719268.44</v>
      </c>
      <c r="L6175" s="444">
        <f t="shared" ca="1" si="222"/>
        <v>-3.9410776445343696E+16</v>
      </c>
      <c r="M6175" s="460">
        <f t="shared" si="224"/>
        <v>0.05</v>
      </c>
      <c r="N6175" s="464">
        <f t="shared" si="225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23"/>
        <v>-3.9410776445343696E+16</v>
      </c>
      <c r="J6176" s="444">
        <f t="array" ref="J6176">IFERROR(INDEX('Retirement Calculator'!J:J,MATCH('Isaac 401k'!N6176,'Retirement Calculator'!A:A,0),0),0)</f>
        <v>0</v>
      </c>
      <c r="K6176" s="444">
        <f t="shared" ca="1" si="221"/>
        <v>-164211568522265.41</v>
      </c>
      <c r="L6176" s="444">
        <f t="shared" ca="1" si="222"/>
        <v>-3.957498801386596E+16</v>
      </c>
      <c r="M6176" s="460">
        <f t="shared" si="224"/>
        <v>0.05</v>
      </c>
      <c r="N6176" s="464">
        <f t="shared" si="225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23"/>
        <v>-3.957498801386596E+16</v>
      </c>
      <c r="J6177" s="444">
        <f t="array" ref="J6177">IFERROR(INDEX('Retirement Calculator'!J:J,MATCH('Isaac 401k'!N6177,'Retirement Calculator'!A:A,0),0),0)</f>
        <v>0</v>
      </c>
      <c r="K6177" s="444">
        <f t="shared" ca="1" si="221"/>
        <v>-164895783391108.16</v>
      </c>
      <c r="L6177" s="444">
        <f t="shared" ca="1" si="222"/>
        <v>-3.9739883797257072E+16</v>
      </c>
      <c r="M6177" s="460">
        <f t="shared" si="224"/>
        <v>0.05</v>
      </c>
      <c r="N6177" s="464">
        <f t="shared" si="225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23"/>
        <v>-3.9739883797257072E+16</v>
      </c>
      <c r="J6178" s="444">
        <f t="array" ref="J6178">IFERROR(INDEX('Retirement Calculator'!J:J,MATCH('Isaac 401k'!N6178,'Retirement Calculator'!A:A,0),0),0)</f>
        <v>0</v>
      </c>
      <c r="K6178" s="444">
        <f t="shared" ca="1" si="221"/>
        <v>-165582849155237.81</v>
      </c>
      <c r="L6178" s="444">
        <f t="shared" ca="1" si="222"/>
        <v>-3.9905466646412312E+16</v>
      </c>
      <c r="M6178" s="460">
        <f t="shared" si="224"/>
        <v>0.05</v>
      </c>
      <c r="N6178" s="464">
        <f t="shared" si="225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23"/>
        <v>-3.9905466646412312E+16</v>
      </c>
      <c r="J6179" s="444">
        <f t="array" ref="J6179">IFERROR(INDEX('Retirement Calculator'!J:J,MATCH('Isaac 401k'!N6179,'Retirement Calculator'!A:A,0),0),0)</f>
        <v>0</v>
      </c>
      <c r="K6179" s="444">
        <f t="shared" ca="1" si="221"/>
        <v>-166272777693384.63</v>
      </c>
      <c r="L6179" s="444">
        <f t="shared" ca="1" si="222"/>
        <v>-4.0071739424105696E+16</v>
      </c>
      <c r="M6179" s="460">
        <f t="shared" si="224"/>
        <v>0.05</v>
      </c>
      <c r="N6179" s="464">
        <f t="shared" si="225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23"/>
        <v>-4.0071739424105696E+16</v>
      </c>
      <c r="J6180" s="444">
        <f t="array" ref="J6180">IFERROR(INDEX('Retirement Calculator'!J:J,MATCH('Isaac 401k'!N6180,'Retirement Calculator'!A:A,0),0),0)</f>
        <v>0</v>
      </c>
      <c r="K6180" s="444">
        <f t="shared" ca="1" si="221"/>
        <v>-166965580933773.72</v>
      </c>
      <c r="L6180" s="444">
        <f t="shared" ca="1" si="222"/>
        <v>-4.0238705005039472E+16</v>
      </c>
      <c r="M6180" s="460">
        <f t="shared" si="224"/>
        <v>0.05</v>
      </c>
      <c r="N6180" s="464">
        <f t="shared" si="225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23"/>
        <v>-4.0238705005039472E+16</v>
      </c>
      <c r="J6181" s="444">
        <f t="array" ref="J6181">IFERROR(INDEX('Retirement Calculator'!J:J,MATCH('Isaac 401k'!N6181,'Retirement Calculator'!A:A,0),0),0)</f>
        <v>0</v>
      </c>
      <c r="K6181" s="444">
        <f t="shared" ca="1" si="221"/>
        <v>-167661270854331.13</v>
      </c>
      <c r="L6181" s="444">
        <f t="shared" ca="1" si="222"/>
        <v>-4.04063662758938E+16</v>
      </c>
      <c r="M6181" s="460">
        <f t="shared" si="224"/>
        <v>0.05</v>
      </c>
      <c r="N6181" s="464">
        <f t="shared" si="225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23"/>
        <v>-4.04063662758938E+16</v>
      </c>
      <c r="J6182" s="444">
        <f t="array" ref="J6182">IFERROR(INDEX('Retirement Calculator'!J:J,MATCH('Isaac 401k'!N6182,'Retirement Calculator'!A:A,0),0),0)</f>
        <v>0</v>
      </c>
      <c r="K6182" s="444">
        <f t="shared" ca="1" si="221"/>
        <v>-168359859482890.84</v>
      </c>
      <c r="L6182" s="444">
        <f t="shared" ca="1" si="222"/>
        <v>-4.0574726135376688E+16</v>
      </c>
      <c r="M6182" s="460">
        <f t="shared" si="224"/>
        <v>0.05</v>
      </c>
      <c r="N6182" s="464">
        <f t="shared" si="225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23"/>
        <v>-4.0574726135376688E+16</v>
      </c>
      <c r="J6183" s="444">
        <f t="array" ref="J6183">IFERROR(INDEX('Retirement Calculator'!J:J,MATCH('Isaac 401k'!N6183,'Retirement Calculator'!A:A,0),0),0)</f>
        <v>0</v>
      </c>
      <c r="K6183" s="444">
        <f t="shared" ca="1" si="221"/>
        <v>-169061358897402.88</v>
      </c>
      <c r="L6183" s="444">
        <f t="shared" ca="1" si="222"/>
        <v>-4.0743787494274088E+16</v>
      </c>
      <c r="M6183" s="460">
        <f t="shared" si="224"/>
        <v>0.05</v>
      </c>
      <c r="N6183" s="464">
        <f t="shared" si="225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23"/>
        <v>-4.0743787494274088E+16</v>
      </c>
      <c r="J6184" s="444">
        <f t="array" ref="J6184">IFERROR(INDEX('Retirement Calculator'!J:J,MATCH('Isaac 401k'!N6184,'Retirement Calculator'!A:A,0),0),0)</f>
        <v>0</v>
      </c>
      <c r="K6184" s="444">
        <f t="shared" ca="1" si="221"/>
        <v>-169765781226142.03</v>
      </c>
      <c r="L6184" s="444">
        <f t="shared" ca="1" si="222"/>
        <v>-4.0913553275500232E+16</v>
      </c>
      <c r="M6184" s="460">
        <f t="shared" si="224"/>
        <v>0.05</v>
      </c>
      <c r="N6184" s="464">
        <f t="shared" si="225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23"/>
        <v>-4.0913553275500232E+16</v>
      </c>
      <c r="J6185" s="444">
        <f t="array" ref="J6185">IFERROR(INDEX('Retirement Calculator'!J:J,MATCH('Isaac 401k'!N6185,'Retirement Calculator'!A:A,0),0),0)</f>
        <v>0</v>
      </c>
      <c r="K6185" s="444">
        <f t="shared" ca="1" si="221"/>
        <v>-170473138647917.63</v>
      </c>
      <c r="L6185" s="444">
        <f t="shared" ca="1" si="222"/>
        <v>-4.1084026414148152E+16</v>
      </c>
      <c r="M6185" s="460">
        <f t="shared" si="224"/>
        <v>0.05</v>
      </c>
      <c r="N6185" s="464">
        <f t="shared" si="225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23"/>
        <v>-4.1084026414148152E+16</v>
      </c>
      <c r="J6186" s="444">
        <f t="array" ref="J6186">IFERROR(INDEX('Retirement Calculator'!J:J,MATCH('Isaac 401k'!N6186,'Retirement Calculator'!A:A,0),0),0)</f>
        <v>0</v>
      </c>
      <c r="K6186" s="444">
        <f t="shared" ca="1" si="221"/>
        <v>-171183443392283.97</v>
      </c>
      <c r="L6186" s="444">
        <f t="shared" ca="1" si="222"/>
        <v>-4.1255209857540432E+16</v>
      </c>
      <c r="M6186" s="460">
        <f t="shared" si="224"/>
        <v>0.05</v>
      </c>
      <c r="N6186" s="464">
        <f t="shared" si="225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23"/>
        <v>-4.1255209857540432E+16</v>
      </c>
      <c r="J6187" s="444">
        <f t="array" ref="J6187">IFERROR(INDEX('Retirement Calculator'!J:J,MATCH('Isaac 401k'!N6187,'Retirement Calculator'!A:A,0),0),0)</f>
        <v>0</v>
      </c>
      <c r="K6187" s="444">
        <f t="shared" ca="1" si="221"/>
        <v>-171896707739751.81</v>
      </c>
      <c r="L6187" s="444">
        <f t="shared" ca="1" si="222"/>
        <v>-4.1427106565280184E+16</v>
      </c>
      <c r="M6187" s="460">
        <f t="shared" si="224"/>
        <v>0.05</v>
      </c>
      <c r="N6187" s="464">
        <f t="shared" si="225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23"/>
        <v>-4.1427106565280184E+16</v>
      </c>
      <c r="J6188" s="444">
        <f t="array" ref="J6188">IFERROR(INDEX('Retirement Calculator'!J:J,MATCH('Isaac 401k'!N6188,'Retirement Calculator'!A:A,0),0),0)</f>
        <v>0</v>
      </c>
      <c r="K6188" s="444">
        <f t="shared" ca="1" si="221"/>
        <v>-172612944022000.75</v>
      </c>
      <c r="L6188" s="444">
        <f t="shared" ca="1" si="222"/>
        <v>-4.1599719509302184E+16</v>
      </c>
      <c r="M6188" s="460">
        <f t="shared" si="224"/>
        <v>0.05</v>
      </c>
      <c r="N6188" s="464">
        <f t="shared" si="225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23"/>
        <v>-4.1599719509302184E+16</v>
      </c>
      <c r="J6189" s="444">
        <f t="array" ref="J6189">IFERROR(INDEX('Retirement Calculator'!J:J,MATCH('Isaac 401k'!N6189,'Retirement Calculator'!A:A,0),0),0)</f>
        <v>0</v>
      </c>
      <c r="K6189" s="444">
        <f t="shared" ca="1" si="221"/>
        <v>-173332164622092.44</v>
      </c>
      <c r="L6189" s="444">
        <f t="shared" ca="1" si="222"/>
        <v>-4.177305167392428E+16</v>
      </c>
      <c r="M6189" s="460">
        <f t="shared" si="224"/>
        <v>0.05</v>
      </c>
      <c r="N6189" s="464">
        <f t="shared" si="225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23"/>
        <v>-4.177305167392428E+16</v>
      </c>
      <c r="J6190" s="444">
        <f t="array" ref="J6190">IFERROR(INDEX('Retirement Calculator'!J:J,MATCH('Isaac 401k'!N6190,'Retirement Calculator'!A:A,0),0),0)</f>
        <v>0</v>
      </c>
      <c r="K6190" s="444">
        <f t="shared" ca="1" si="221"/>
        <v>-174054381974684.5</v>
      </c>
      <c r="L6190" s="444">
        <f t="shared" ca="1" si="222"/>
        <v>-4.1947106055898968E+16</v>
      </c>
      <c r="M6190" s="460">
        <f t="shared" si="224"/>
        <v>0.05</v>
      </c>
      <c r="N6190" s="464">
        <f t="shared" si="225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23"/>
        <v>-4.1947106055898968E+16</v>
      </c>
      <c r="J6191" s="444">
        <f t="array" ref="J6191">IFERROR(INDEX('Retirement Calculator'!J:J,MATCH('Isaac 401k'!N6191,'Retirement Calculator'!A:A,0),0),0)</f>
        <v>0</v>
      </c>
      <c r="K6191" s="444">
        <f t="shared" ca="1" si="221"/>
        <v>-174779608566245.69</v>
      </c>
      <c r="L6191" s="444">
        <f t="shared" ca="1" si="222"/>
        <v>-4.2121885664465216E+16</v>
      </c>
      <c r="M6191" s="460">
        <f t="shared" si="224"/>
        <v>0.05</v>
      </c>
      <c r="N6191" s="464">
        <f t="shared" si="225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23"/>
        <v>-4.2121885664465216E+16</v>
      </c>
      <c r="J6192" s="444">
        <f t="array" ref="J6192">IFERROR(INDEX('Retirement Calculator'!J:J,MATCH('Isaac 401k'!N6192,'Retirement Calculator'!A:A,0),0),0)</f>
        <v>0</v>
      </c>
      <c r="K6192" s="444">
        <f t="shared" ca="1" si="221"/>
        <v>-175507856935271.72</v>
      </c>
      <c r="L6192" s="444">
        <f t="shared" ca="1" si="222"/>
        <v>-4.2297393521400488E+16</v>
      </c>
      <c r="M6192" s="460">
        <f t="shared" si="224"/>
        <v>0.05</v>
      </c>
      <c r="N6192" s="464">
        <f t="shared" si="225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23"/>
        <v>-4.2297393521400488E+16</v>
      </c>
      <c r="J6193" s="444">
        <f t="array" ref="J6193">IFERROR(INDEX('Retirement Calculator'!J:J,MATCH('Isaac 401k'!N6193,'Retirement Calculator'!A:A,0),0),0)</f>
        <v>0</v>
      </c>
      <c r="K6193" s="444">
        <f t="shared" ca="1" si="221"/>
        <v>-176239139672502.03</v>
      </c>
      <c r="L6193" s="444">
        <f t="shared" ca="1" si="222"/>
        <v>-4.2473632661072992E+16</v>
      </c>
      <c r="M6193" s="460">
        <f t="shared" si="224"/>
        <v>0.05</v>
      </c>
      <c r="N6193" s="464">
        <f t="shared" si="225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23"/>
        <v>-4.2473632661072992E+16</v>
      </c>
      <c r="J6194" s="444">
        <f t="array" ref="J6194">IFERROR(INDEX('Retirement Calculator'!J:J,MATCH('Isaac 401k'!N6194,'Retirement Calculator'!A:A,0),0),0)</f>
        <v>0</v>
      </c>
      <c r="K6194" s="444">
        <f t="shared" ca="1" si="221"/>
        <v>-176973469421137.47</v>
      </c>
      <c r="L6194" s="444">
        <f t="shared" ca="1" si="222"/>
        <v>-4.2650606130494128E+16</v>
      </c>
      <c r="M6194" s="460">
        <f t="shared" si="224"/>
        <v>0.05</v>
      </c>
      <c r="N6194" s="464">
        <f t="shared" si="225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23"/>
        <v>-4.2650606130494128E+16</v>
      </c>
      <c r="J6195" s="444">
        <f t="array" ref="J6195">IFERROR(INDEX('Retirement Calculator'!J:J,MATCH('Isaac 401k'!N6195,'Retirement Calculator'!A:A,0),0),0)</f>
        <v>0</v>
      </c>
      <c r="K6195" s="444">
        <f t="shared" ca="1" si="221"/>
        <v>-177710858877058.88</v>
      </c>
      <c r="L6195" s="444">
        <f t="shared" ca="1" si="222"/>
        <v>-4.2828316989371184E+16</v>
      </c>
      <c r="M6195" s="460">
        <f t="shared" si="224"/>
        <v>0.05</v>
      </c>
      <c r="N6195" s="464">
        <f t="shared" si="225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23"/>
        <v>-4.2828316989371184E+16</v>
      </c>
      <c r="J6196" s="444">
        <f t="array" ref="J6196">IFERROR(INDEX('Retirement Calculator'!J:J,MATCH('Isaac 401k'!N6196,'Retirement Calculator'!A:A,0),0),0)</f>
        <v>0</v>
      </c>
      <c r="K6196" s="444">
        <f t="shared" ca="1" si="221"/>
        <v>-178451320789046.59</v>
      </c>
      <c r="L6196" s="444">
        <f t="shared" ca="1" si="222"/>
        <v>-4.3006768310160232E+16</v>
      </c>
      <c r="M6196" s="460">
        <f t="shared" si="224"/>
        <v>0.05</v>
      </c>
      <c r="N6196" s="464">
        <f t="shared" si="225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23"/>
        <v>-4.3006768310160232E+16</v>
      </c>
      <c r="J6197" s="444">
        <f t="array" ref="J6197">IFERROR(INDEX('Retirement Calculator'!J:J,MATCH('Isaac 401k'!N6197,'Retirement Calculator'!A:A,0),0),0)</f>
        <v>0</v>
      </c>
      <c r="K6197" s="444">
        <f t="shared" ca="1" si="221"/>
        <v>-179194867959000.97</v>
      </c>
      <c r="L6197" s="444">
        <f t="shared" ca="1" si="222"/>
        <v>-4.3185963178119232E+16</v>
      </c>
      <c r="M6197" s="460">
        <f t="shared" si="224"/>
        <v>0.05</v>
      </c>
      <c r="N6197" s="464">
        <f t="shared" si="225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23"/>
        <v>-4.3185963178119232E+16</v>
      </c>
      <c r="J6198" s="444">
        <f t="array" ref="J6198">IFERROR(INDEX('Retirement Calculator'!J:J,MATCH('Isaac 401k'!N6198,'Retirement Calculator'!A:A,0),0),0)</f>
        <v>0</v>
      </c>
      <c r="K6198" s="444">
        <f t="shared" ca="1" si="221"/>
        <v>-179941513242163.47</v>
      </c>
      <c r="L6198" s="444">
        <f t="shared" ca="1" si="222"/>
        <v>-4.3365904691361392E+16</v>
      </c>
      <c r="M6198" s="460">
        <f t="shared" si="224"/>
        <v>0.05</v>
      </c>
      <c r="N6198" s="464">
        <f t="shared" si="225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23"/>
        <v>-4.3365904691361392E+16</v>
      </c>
      <c r="J6199" s="444">
        <f t="array" ref="J6199">IFERROR(INDEX('Retirement Calculator'!J:J,MATCH('Isaac 401k'!N6199,'Retirement Calculator'!A:A,0),0),0)</f>
        <v>0</v>
      </c>
      <c r="K6199" s="444">
        <f t="shared" ca="1" si="221"/>
        <v>-180691269547339.13</v>
      </c>
      <c r="L6199" s="444">
        <f t="shared" ca="1" si="222"/>
        <v>-4.3546595960908728E+16</v>
      </c>
      <c r="M6199" s="460">
        <f t="shared" si="224"/>
        <v>0.05</v>
      </c>
      <c r="N6199" s="464">
        <f t="shared" si="225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23"/>
        <v>-4.3546595960908728E+16</v>
      </c>
      <c r="J6200" s="444">
        <f t="array" ref="J6200">IFERROR(INDEX('Retirement Calculator'!J:J,MATCH('Isaac 401k'!N6200,'Retirement Calculator'!A:A,0),0),0)</f>
        <v>0</v>
      </c>
      <c r="K6200" s="444">
        <f t="shared" ca="1" si="221"/>
        <v>-181444149837119.69</v>
      </c>
      <c r="L6200" s="444">
        <f t="shared" ca="1" si="222"/>
        <v>-4.3728040110745848E+16</v>
      </c>
      <c r="M6200" s="460">
        <f t="shared" si="224"/>
        <v>0.05</v>
      </c>
      <c r="N6200" s="464">
        <f t="shared" si="225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23"/>
        <v>-4.3728040110745848E+16</v>
      </c>
      <c r="J6201" s="444">
        <f t="array" ref="J6201">IFERROR(INDEX('Retirement Calculator'!J:J,MATCH('Isaac 401k'!N6201,'Retirement Calculator'!A:A,0),0),0)</f>
        <v>0</v>
      </c>
      <c r="K6201" s="444">
        <f t="shared" ca="1" si="221"/>
        <v>-182200167128107.69</v>
      </c>
      <c r="L6201" s="444">
        <f t="shared" ca="1" si="222"/>
        <v>-4.3910240277873952E+16</v>
      </c>
      <c r="M6201" s="460">
        <f t="shared" si="224"/>
        <v>0.05</v>
      </c>
      <c r="N6201" s="464">
        <f t="shared" si="225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23"/>
        <v>-4.3910240277873952E+16</v>
      </c>
      <c r="J6202" s="444">
        <f t="array" ref="J6202">IFERROR(INDEX('Retirement Calculator'!J:J,MATCH('Isaac 401k'!N6202,'Retirement Calculator'!A:A,0),0),0)</f>
        <v>0</v>
      </c>
      <c r="K6202" s="444">
        <f t="shared" ca="1" si="221"/>
        <v>-182959334491141.47</v>
      </c>
      <c r="L6202" s="444">
        <f t="shared" ca="1" si="222"/>
        <v>-4.4093199612365096E+16</v>
      </c>
      <c r="M6202" s="460">
        <f t="shared" si="224"/>
        <v>0.05</v>
      </c>
      <c r="N6202" s="464">
        <f t="shared" si="225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23"/>
        <v>-4.4093199612365096E+16</v>
      </c>
      <c r="J6203" s="444">
        <f t="array" ref="J6203">IFERROR(INDEX('Retirement Calculator'!J:J,MATCH('Isaac 401k'!N6203,'Retirement Calculator'!A:A,0),0),0)</f>
        <v>0</v>
      </c>
      <c r="K6203" s="444">
        <f t="shared" ca="1" si="221"/>
        <v>-183721665051521.22</v>
      </c>
      <c r="L6203" s="444">
        <f t="shared" ca="1" si="222"/>
        <v>-4.4276921277416616E+16</v>
      </c>
      <c r="M6203" s="460">
        <f t="shared" si="224"/>
        <v>0.05</v>
      </c>
      <c r="N6203" s="464">
        <f t="shared" si="225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23"/>
        <v>-4.4276921277416616E+16</v>
      </c>
      <c r="J6204" s="444">
        <f t="array" ref="J6204">IFERROR(INDEX('Retirement Calculator'!J:J,MATCH('Isaac 401k'!N6204,'Retirement Calculator'!A:A,0),0),0)</f>
        <v>0</v>
      </c>
      <c r="K6204" s="444">
        <f t="shared" ca="1" si="221"/>
        <v>-184487171989235.91</v>
      </c>
      <c r="L6204" s="444">
        <f t="shared" ca="1" si="222"/>
        <v>-4.4461408449405848E+16</v>
      </c>
      <c r="M6204" s="460">
        <f t="shared" si="224"/>
        <v>0.05</v>
      </c>
      <c r="N6204" s="464">
        <f t="shared" si="225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23"/>
        <v>-4.4461408449405848E+16</v>
      </c>
      <c r="J6205" s="444">
        <f t="array" ref="J6205">IFERROR(INDEX('Retirement Calculator'!J:J,MATCH('Isaac 401k'!N6205,'Retirement Calculator'!A:A,0),0),0)</f>
        <v>0</v>
      </c>
      <c r="K6205" s="444">
        <f t="shared" ca="1" si="221"/>
        <v>-185255868539191.03</v>
      </c>
      <c r="L6205" s="444">
        <f t="shared" ca="1" si="222"/>
        <v>-4.464666431794504E+16</v>
      </c>
      <c r="M6205" s="460">
        <f t="shared" si="224"/>
        <v>0.05</v>
      </c>
      <c r="N6205" s="464">
        <f t="shared" si="225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23"/>
        <v>-4.464666431794504E+16</v>
      </c>
      <c r="J6206" s="444">
        <f t="array" ref="J6206">IFERROR(INDEX('Retirement Calculator'!J:J,MATCH('Isaac 401k'!N6206,'Retirement Calculator'!A:A,0),0),0)</f>
        <v>0</v>
      </c>
      <c r="K6206" s="444">
        <f t="shared" ca="1" si="221"/>
        <v>-186027767991437.66</v>
      </c>
      <c r="L6206" s="444">
        <f t="shared" ca="1" si="222"/>
        <v>-4.483269208593648E+16</v>
      </c>
      <c r="M6206" s="460">
        <f t="shared" si="224"/>
        <v>0.05</v>
      </c>
      <c r="N6206" s="464">
        <f t="shared" si="225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23"/>
        <v>-4.483269208593648E+16</v>
      </c>
      <c r="J6207" s="444">
        <f t="array" ref="J6207">IFERROR(INDEX('Retirement Calculator'!J:J,MATCH('Isaac 401k'!N6207,'Retirement Calculator'!A:A,0),0),0)</f>
        <v>0</v>
      </c>
      <c r="K6207" s="444">
        <f t="shared" ca="1" si="221"/>
        <v>-186802883691402</v>
      </c>
      <c r="L6207" s="444">
        <f t="shared" ca="1" si="222"/>
        <v>-4.501949496962788E+16</v>
      </c>
      <c r="M6207" s="460">
        <f t="shared" si="224"/>
        <v>0.05</v>
      </c>
      <c r="N6207" s="464">
        <f t="shared" si="225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23"/>
        <v>-4.501949496962788E+16</v>
      </c>
      <c r="J6208" s="444">
        <f t="array" ref="J6208">IFERROR(INDEX('Retirement Calculator'!J:J,MATCH('Isaac 401k'!N6208,'Retirement Calculator'!A:A,0),0),0)</f>
        <v>0</v>
      </c>
      <c r="K6208" s="444">
        <f t="shared" ca="1" si="221"/>
        <v>-187581229040116.16</v>
      </c>
      <c r="L6208" s="444">
        <f t="shared" ca="1" si="222"/>
        <v>-4.5207076198668E+16</v>
      </c>
      <c r="M6208" s="460">
        <f t="shared" si="224"/>
        <v>0.05</v>
      </c>
      <c r="N6208" s="464">
        <f t="shared" si="225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23"/>
        <v>-4.5207076198668E+16</v>
      </c>
      <c r="J6209" s="444">
        <f t="array" ref="J6209">IFERROR(INDEX('Retirement Calculator'!J:J,MATCH('Isaac 401k'!N6209,'Retirement Calculator'!A:A,0),0),0)</f>
        <v>0</v>
      </c>
      <c r="K6209" s="444">
        <f t="shared" ca="1" si="221"/>
        <v>-188362817494450</v>
      </c>
      <c r="L6209" s="444">
        <f t="shared" ca="1" si="222"/>
        <v>-4.5395439016162448E+16</v>
      </c>
      <c r="M6209" s="460">
        <f t="shared" si="224"/>
        <v>0.05</v>
      </c>
      <c r="N6209" s="464">
        <f t="shared" si="225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23"/>
        <v>-4.5395439016162448E+16</v>
      </c>
      <c r="J6210" s="444">
        <f t="array" ref="J6210">IFERROR(INDEX('Retirement Calculator'!J:J,MATCH('Isaac 401k'!N6210,'Retirement Calculator'!A:A,0),0),0)</f>
        <v>0</v>
      </c>
      <c r="K6210" s="444">
        <f t="shared" ca="1" si="221"/>
        <v>-189147662567343.53</v>
      </c>
      <c r="L6210" s="444">
        <f t="shared" ca="1" si="222"/>
        <v>-4.5584586678729792E+16</v>
      </c>
      <c r="M6210" s="460">
        <f t="shared" si="224"/>
        <v>0.05</v>
      </c>
      <c r="N6210" s="464">
        <f t="shared" si="225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23"/>
        <v>-4.5584586678729792E+16</v>
      </c>
      <c r="J6211" s="444">
        <f t="array" ref="J6211">IFERROR(INDEX('Retirement Calculator'!J:J,MATCH('Isaac 401k'!N6211,'Retirement Calculator'!A:A,0),0),0)</f>
        <v>0</v>
      </c>
      <c r="K6211" s="444">
        <f t="shared" ca="1" si="221"/>
        <v>-189935777828040.81</v>
      </c>
      <c r="L6211" s="444">
        <f t="shared" ca="1" si="222"/>
        <v>-4.5774522456557832E+16</v>
      </c>
      <c r="M6211" s="460">
        <f t="shared" si="224"/>
        <v>0.05</v>
      </c>
      <c r="N6211" s="464">
        <f t="shared" si="225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23"/>
        <v>-4.5774522456557832E+16</v>
      </c>
      <c r="J6212" s="444">
        <f t="array" ref="J6212">IFERROR(INDEX('Retirement Calculator'!J:J,MATCH('Isaac 401k'!N6212,'Retirement Calculator'!A:A,0),0),0)</f>
        <v>0</v>
      </c>
      <c r="K6212" s="444">
        <f t="shared" ca="1" si="221"/>
        <v>-190727176902324.31</v>
      </c>
      <c r="L6212" s="444">
        <f t="shared" ca="1" si="222"/>
        <v>-4.596524963346016E+16</v>
      </c>
      <c r="M6212" s="460">
        <f t="shared" si="224"/>
        <v>0.05</v>
      </c>
      <c r="N6212" s="464">
        <f t="shared" si="225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23"/>
        <v>-4.596524963346016E+16</v>
      </c>
      <c r="J6213" s="444">
        <f t="array" ref="J6213">IFERROR(INDEX('Retirement Calculator'!J:J,MATCH('Isaac 401k'!N6213,'Retirement Calculator'!A:A,0),0),0)</f>
        <v>0</v>
      </c>
      <c r="K6213" s="444">
        <f t="shared" ca="1" si="221"/>
        <v>-191521873472750.66</v>
      </c>
      <c r="L6213" s="444">
        <f t="shared" ca="1" si="222"/>
        <v>-4.6156771506932912E+16</v>
      </c>
      <c r="M6213" s="460">
        <f t="shared" si="224"/>
        <v>0.05</v>
      </c>
      <c r="N6213" s="464">
        <f t="shared" si="225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23"/>
        <v>-4.6156771506932912E+16</v>
      </c>
      <c r="J6214" s="444">
        <f t="array" ref="J6214">IFERROR(INDEX('Retirement Calculator'!J:J,MATCH('Isaac 401k'!N6214,'Retirement Calculator'!A:A,0),0),0)</f>
        <v>0</v>
      </c>
      <c r="K6214" s="444">
        <f t="shared" ca="1" si="221"/>
        <v>-192319881278887.13</v>
      </c>
      <c r="L6214" s="444">
        <f t="shared" ca="1" si="222"/>
        <v>-4.63490913882118E+16</v>
      </c>
      <c r="M6214" s="460">
        <f t="shared" si="224"/>
        <v>0.05</v>
      </c>
      <c r="N6214" s="464">
        <f t="shared" si="225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23"/>
        <v>-4.63490913882118E+16</v>
      </c>
      <c r="J6215" s="444">
        <f t="array" ref="J6215">IFERROR(INDEX('Retirement Calculator'!J:J,MATCH('Isaac 401k'!N6215,'Retirement Calculator'!A:A,0),0),0)</f>
        <v>0</v>
      </c>
      <c r="K6215" s="444">
        <f t="shared" ca="1" si="221"/>
        <v>-193121214117549.16</v>
      </c>
      <c r="L6215" s="444">
        <f t="shared" ca="1" si="222"/>
        <v>-4.6542212602329352E+16</v>
      </c>
      <c r="M6215" s="460">
        <f t="shared" si="224"/>
        <v>0.05</v>
      </c>
      <c r="N6215" s="464">
        <f t="shared" si="225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23"/>
        <v>-4.6542212602329352E+16</v>
      </c>
      <c r="J6216" s="444">
        <f t="array" ref="J6216">IFERROR(INDEX('Retirement Calculator'!J:J,MATCH('Isaac 401k'!N6216,'Retirement Calculator'!A:A,0),0),0)</f>
        <v>0</v>
      </c>
      <c r="K6216" s="444">
        <f t="shared" ca="1" si="221"/>
        <v>-193925885843038.97</v>
      </c>
      <c r="L6216" s="444">
        <f t="shared" ca="1" si="222"/>
        <v>-4.6736138488172392E+16</v>
      </c>
      <c r="M6216" s="460">
        <f t="shared" si="224"/>
        <v>0.05</v>
      </c>
      <c r="N6216" s="464">
        <f t="shared" si="225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23"/>
        <v>-4.6736138488172392E+16</v>
      </c>
      <c r="J6217" s="444">
        <f t="array" ref="J6217">IFERROR(INDEX('Retirement Calculator'!J:J,MATCH('Isaac 401k'!N6217,'Retirement Calculator'!A:A,0),0),0)</f>
        <v>0</v>
      </c>
      <c r="K6217" s="444">
        <f t="shared" ca="1" si="221"/>
        <v>-194733910367384.97</v>
      </c>
      <c r="L6217" s="444">
        <f t="shared" ca="1" si="222"/>
        <v>-4.6930872398539776E+16</v>
      </c>
      <c r="M6217" s="460">
        <f t="shared" si="224"/>
        <v>0.05</v>
      </c>
      <c r="N6217" s="464">
        <f t="shared" si="225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23"/>
        <v>-4.6930872398539776E+16</v>
      </c>
      <c r="J6218" s="444">
        <f t="array" ref="J6218">IFERROR(INDEX('Retirement Calculator'!J:J,MATCH('Isaac 401k'!N6218,'Retirement Calculator'!A:A,0),0),0)</f>
        <v>0</v>
      </c>
      <c r="K6218" s="444">
        <f t="shared" ca="1" si="221"/>
        <v>-195545301660582.41</v>
      </c>
      <c r="L6218" s="444">
        <f t="shared" ca="1" si="222"/>
        <v>-4.712641770020036E+16</v>
      </c>
      <c r="M6218" s="460">
        <f t="shared" si="224"/>
        <v>0.05</v>
      </c>
      <c r="N6218" s="464">
        <f t="shared" si="225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23"/>
        <v>-4.712641770020036E+16</v>
      </c>
      <c r="J6219" s="444">
        <f t="array" ref="J6219">IFERROR(INDEX('Retirement Calculator'!J:J,MATCH('Isaac 401k'!N6219,'Retirement Calculator'!A:A,0),0),0)</f>
        <v>0</v>
      </c>
      <c r="K6219" s="444">
        <f t="shared" ca="1" si="221"/>
        <v>-196360073750834.84</v>
      </c>
      <c r="L6219" s="444">
        <f t="shared" ca="1" si="222"/>
        <v>-4.7322777773951192E+16</v>
      </c>
      <c r="M6219" s="460">
        <f t="shared" si="224"/>
        <v>0.05</v>
      </c>
      <c r="N6219" s="464">
        <f t="shared" si="225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23"/>
        <v>-4.7322777773951192E+16</v>
      </c>
      <c r="J6220" s="444">
        <f t="array" ref="J6220">IFERROR(INDEX('Retirement Calculator'!J:J,MATCH('Isaac 401k'!N6220,'Retirement Calculator'!A:A,0),0),0)</f>
        <v>0</v>
      </c>
      <c r="K6220" s="444">
        <f t="shared" ca="1" si="221"/>
        <v>-197178240724796.63</v>
      </c>
      <c r="L6220" s="444">
        <f t="shared" ca="1" si="222"/>
        <v>-4.7519956014675992E+16</v>
      </c>
      <c r="M6220" s="460">
        <f t="shared" si="224"/>
        <v>0.05</v>
      </c>
      <c r="N6220" s="464">
        <f t="shared" si="225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23"/>
        <v>-4.7519956014675992E+16</v>
      </c>
      <c r="J6221" s="444">
        <f t="array" ref="J6221">IFERROR(INDEX('Retirement Calculator'!J:J,MATCH('Isaac 401k'!N6221,'Retirement Calculator'!A:A,0),0),0)</f>
        <v>0</v>
      </c>
      <c r="K6221" s="444">
        <f t="shared" ca="1" si="221"/>
        <v>-197999816727816.63</v>
      </c>
      <c r="L6221" s="444">
        <f t="shared" ca="1" si="222"/>
        <v>-4.7717955831403808E+16</v>
      </c>
      <c r="M6221" s="460">
        <f t="shared" si="224"/>
        <v>0.05</v>
      </c>
      <c r="N6221" s="464">
        <f t="shared" si="225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23"/>
        <v>-4.7717955831403808E+16</v>
      </c>
      <c r="J6222" s="444">
        <f t="array" ref="J6222">IFERROR(INDEX('Retirement Calculator'!J:J,MATCH('Isaac 401k'!N6222,'Retirement Calculator'!A:A,0),0),0)</f>
        <v>0</v>
      </c>
      <c r="K6222" s="444">
        <f t="shared" ca="1" si="221"/>
        <v>-198824815964182.53</v>
      </c>
      <c r="L6222" s="444">
        <f t="shared" ca="1" si="222"/>
        <v>-4.7916780647367992E+16</v>
      </c>
      <c r="M6222" s="460">
        <f t="shared" si="224"/>
        <v>0.05</v>
      </c>
      <c r="N6222" s="464">
        <f t="shared" si="225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23"/>
        <v>-4.7916780647367992E+16</v>
      </c>
      <c r="J6223" s="444">
        <f t="array" ref="J6223">IFERROR(INDEX('Retirement Calculator'!J:J,MATCH('Isaac 401k'!N6223,'Retirement Calculator'!A:A,0),0),0)</f>
        <v>0</v>
      </c>
      <c r="K6223" s="444">
        <f t="shared" ca="1" si="221"/>
        <v>-199653252697366.63</v>
      </c>
      <c r="L6223" s="444">
        <f t="shared" ca="1" si="222"/>
        <v>-4.811643390006536E+16</v>
      </c>
      <c r="M6223" s="460">
        <f t="shared" si="224"/>
        <v>0.05</v>
      </c>
      <c r="N6223" s="464">
        <f t="shared" si="225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23"/>
        <v>-4.811643390006536E+16</v>
      </c>
      <c r="J6224" s="444">
        <f t="array" ref="J6224">IFERROR(INDEX('Retirement Calculator'!J:J,MATCH('Isaac 401k'!N6224,'Retirement Calculator'!A:A,0),0),0)</f>
        <v>0</v>
      </c>
      <c r="K6224" s="444">
        <f t="shared" ca="1" si="221"/>
        <v>-200485141250272.34</v>
      </c>
      <c r="L6224" s="444">
        <f t="shared" ca="1" si="222"/>
        <v>-4.8316919041315632E+16</v>
      </c>
      <c r="M6224" s="460">
        <f t="shared" si="224"/>
        <v>0.05</v>
      </c>
      <c r="N6224" s="464">
        <f t="shared" si="225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23"/>
        <v>-4.8316919041315632E+16</v>
      </c>
      <c r="J6225" s="444">
        <f t="array" ref="J6225">IFERROR(INDEX('Retirement Calculator'!J:J,MATCH('Isaac 401k'!N6225,'Retirement Calculator'!A:A,0),0),0)</f>
        <v>0</v>
      </c>
      <c r="K6225" s="444">
        <f t="shared" ca="1" si="221"/>
        <v>-201320496005481.81</v>
      </c>
      <c r="L6225" s="444">
        <f t="shared" ca="1" si="222"/>
        <v>-4.8518239537321112E+16</v>
      </c>
      <c r="M6225" s="460">
        <f t="shared" si="224"/>
        <v>0.05</v>
      </c>
      <c r="N6225" s="464">
        <f t="shared" si="225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23"/>
        <v>-4.8518239537321112E+16</v>
      </c>
      <c r="J6226" s="444">
        <f t="array" ref="J6226">IFERROR(INDEX('Retirement Calculator'!J:J,MATCH('Isaac 401k'!N6226,'Retirement Calculator'!A:A,0),0),0)</f>
        <v>0</v>
      </c>
      <c r="K6226" s="444">
        <f t="shared" ca="1" si="221"/>
        <v>-202159331405504.63</v>
      </c>
      <c r="L6226" s="444">
        <f t="shared" ca="1" si="222"/>
        <v>-4.8720398868726616E+16</v>
      </c>
      <c r="M6226" s="460">
        <f t="shared" si="224"/>
        <v>0.05</v>
      </c>
      <c r="N6226" s="464">
        <f t="shared" si="225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23"/>
        <v>-4.8720398868726616E+16</v>
      </c>
      <c r="J6227" s="444">
        <f t="array" ref="J6227">IFERROR(INDEX('Retirement Calculator'!J:J,MATCH('Isaac 401k'!N6227,'Retirement Calculator'!A:A,0),0),0)</f>
        <v>0</v>
      </c>
      <c r="K6227" s="444">
        <f t="shared" ca="1" si="221"/>
        <v>-203001661953027.56</v>
      </c>
      <c r="L6227" s="444">
        <f t="shared" ca="1" si="222"/>
        <v>-4.892340053067964E+16</v>
      </c>
      <c r="M6227" s="460">
        <f t="shared" si="224"/>
        <v>0.05</v>
      </c>
      <c r="N6227" s="464">
        <f t="shared" si="225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23"/>
        <v>-4.892340053067964E+16</v>
      </c>
      <c r="J6228" s="444">
        <f t="array" ref="J6228">IFERROR(INDEX('Retirement Calculator'!J:J,MATCH('Isaac 401k'!N6228,'Retirement Calculator'!A:A,0),0),0)</f>
        <v>0</v>
      </c>
      <c r="K6228" s="444">
        <f t="shared" ca="1" si="221"/>
        <v>-203847502211165.16</v>
      </c>
      <c r="L6228" s="444">
        <f t="shared" ca="1" si="222"/>
        <v>-4.9127248032890808E+16</v>
      </c>
      <c r="M6228" s="460">
        <f t="shared" si="224"/>
        <v>0.05</v>
      </c>
      <c r="N6228" s="464">
        <f t="shared" si="225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23"/>
        <v>-4.9127248032890808E+16</v>
      </c>
      <c r="J6229" s="444">
        <f t="array" ref="J6229">IFERROR(INDEX('Retirement Calculator'!J:J,MATCH('Isaac 401k'!N6229,'Retirement Calculator'!A:A,0),0),0)</f>
        <v>0</v>
      </c>
      <c r="K6229" s="444">
        <f t="shared" ca="1" si="221"/>
        <v>-204696866803711.69</v>
      </c>
      <c r="L6229" s="444">
        <f t="shared" ca="1" si="222"/>
        <v>-4.933194489969452E+16</v>
      </c>
      <c r="M6229" s="460">
        <f t="shared" si="224"/>
        <v>0.05</v>
      </c>
      <c r="N6229" s="464">
        <f t="shared" si="225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23"/>
        <v>-4.933194489969452E+16</v>
      </c>
      <c r="J6230" s="444">
        <f t="array" ref="J6230">IFERROR(INDEX('Retirement Calculator'!J:J,MATCH('Isaac 401k'!N6230,'Retirement Calculator'!A:A,0),0),0)</f>
        <v>0</v>
      </c>
      <c r="K6230" s="444">
        <f t="shared" ca="1" si="221"/>
        <v>-205549770415393.84</v>
      </c>
      <c r="L6230" s="444">
        <f t="shared" ca="1" si="222"/>
        <v>-4.9537494670109912E+16</v>
      </c>
      <c r="M6230" s="460">
        <f t="shared" si="224"/>
        <v>0.05</v>
      </c>
      <c r="N6230" s="464">
        <f t="shared" si="225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23"/>
        <v>-4.9537494670109912E+16</v>
      </c>
      <c r="J6231" s="444">
        <f t="array" ref="J6231">IFERROR(INDEX('Retirement Calculator'!J:J,MATCH('Isaac 401k'!N6231,'Retirement Calculator'!A:A,0),0),0)</f>
        <v>0</v>
      </c>
      <c r="K6231" s="444">
        <f t="shared" ca="1" si="221"/>
        <v>-206406227792124.63</v>
      </c>
      <c r="L6231" s="444">
        <f t="shared" ca="1" si="222"/>
        <v>-4.974390089790204E+16</v>
      </c>
      <c r="M6231" s="460">
        <f t="shared" si="224"/>
        <v>0.05</v>
      </c>
      <c r="N6231" s="464">
        <f t="shared" si="225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23"/>
        <v>-4.974390089790204E+16</v>
      </c>
      <c r="J6232" s="444">
        <f t="array" ref="J6232">IFERROR(INDEX('Retirement Calculator'!J:J,MATCH('Isaac 401k'!N6232,'Retirement Calculator'!A:A,0),0),0)</f>
        <v>0</v>
      </c>
      <c r="K6232" s="444">
        <f t="shared" ca="1" si="221"/>
        <v>-207266253741258.5</v>
      </c>
      <c r="L6232" s="444">
        <f t="shared" ca="1" si="222"/>
        <v>-4.9951167151643296E+16</v>
      </c>
      <c r="M6232" s="460">
        <f t="shared" si="224"/>
        <v>0.05</v>
      </c>
      <c r="N6232" s="464">
        <f t="shared" si="225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23"/>
        <v>-4.9951167151643296E+16</v>
      </c>
      <c r="J6233" s="444">
        <f t="array" ref="J6233">IFERROR(INDEX('Retirement Calculator'!J:J,MATCH('Isaac 401k'!N6233,'Retirement Calculator'!A:A,0),0),0)</f>
        <v>0</v>
      </c>
      <c r="K6233" s="444">
        <f t="shared" ca="1" si="221"/>
        <v>-208129863131847.06</v>
      </c>
      <c r="L6233" s="444">
        <f t="shared" ca="1" si="222"/>
        <v>-5.0159297014775144E+16</v>
      </c>
      <c r="M6233" s="460">
        <f t="shared" si="224"/>
        <v>0.05</v>
      </c>
      <c r="N6233" s="464">
        <f t="shared" si="225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23"/>
        <v>-5.0159297014775144E+16</v>
      </c>
      <c r="J6234" s="444">
        <f t="array" ref="J6234">IFERROR(INDEX('Retirement Calculator'!J:J,MATCH('Isaac 401k'!N6234,'Retirement Calculator'!A:A,0),0),0)</f>
        <v>0</v>
      </c>
      <c r="K6234" s="444">
        <f t="shared" ca="1" si="221"/>
        <v>-208997070894896.44</v>
      </c>
      <c r="L6234" s="444">
        <f t="shared" ca="1" si="222"/>
        <v>-5.036829408567004E+16</v>
      </c>
      <c r="M6234" s="460">
        <f t="shared" si="224"/>
        <v>0.05</v>
      </c>
      <c r="N6234" s="464">
        <f t="shared" si="225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23"/>
        <v>-5.036829408567004E+16</v>
      </c>
      <c r="J6235" s="444">
        <f t="array" ref="J6235">IFERROR(INDEX('Retirement Calculator'!J:J,MATCH('Isaac 401k'!N6235,'Retirement Calculator'!A:A,0),0),0)</f>
        <v>0</v>
      </c>
      <c r="K6235" s="444">
        <f t="shared" ca="1" si="221"/>
        <v>-209867892023625.16</v>
      </c>
      <c r="L6235" s="444">
        <f t="shared" ca="1" si="222"/>
        <v>-5.0578161977693664E+16</v>
      </c>
      <c r="M6235" s="460">
        <f t="shared" si="224"/>
        <v>0.05</v>
      </c>
      <c r="N6235" s="464">
        <f t="shared" si="225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23"/>
        <v>-5.0578161977693664E+16</v>
      </c>
      <c r="J6236" s="444">
        <f t="array" ref="J6236">IFERROR(INDEX('Retirement Calculator'!J:J,MATCH('Isaac 401k'!N6236,'Retirement Calculator'!A:A,0),0),0)</f>
        <v>0</v>
      </c>
      <c r="K6236" s="444">
        <f t="shared" ca="1" si="221"/>
        <v>-210742341573723.59</v>
      </c>
      <c r="L6236" s="444">
        <f t="shared" ca="1" si="222"/>
        <v>-5.0788904319267384E+16</v>
      </c>
      <c r="M6236" s="460">
        <f t="shared" si="224"/>
        <v>0.05</v>
      </c>
      <c r="N6236" s="464">
        <f t="shared" si="225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23"/>
        <v>-5.0788904319267384E+16</v>
      </c>
      <c r="J6237" s="444">
        <f t="array" ref="J6237">IFERROR(INDEX('Retirement Calculator'!J:J,MATCH('Isaac 401k'!N6237,'Retirement Calculator'!A:A,0),0),0)</f>
        <v>0</v>
      </c>
      <c r="K6237" s="444">
        <f t="shared" ca="1" si="221"/>
        <v>-211620434663614.09</v>
      </c>
      <c r="L6237" s="444">
        <f t="shared" ca="1" si="222"/>
        <v>-5.1000524753931E+16</v>
      </c>
      <c r="M6237" s="460">
        <f t="shared" si="224"/>
        <v>0.05</v>
      </c>
      <c r="N6237" s="464">
        <f t="shared" si="225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23"/>
        <v>-5.1000524753931E+16</v>
      </c>
      <c r="J6238" s="444">
        <f t="array" ref="J6238">IFERROR(INDEX('Retirement Calculator'!J:J,MATCH('Isaac 401k'!N6238,'Retirement Calculator'!A:A,0),0),0)</f>
        <v>0</v>
      </c>
      <c r="K6238" s="444">
        <f t="shared" ca="1" si="221"/>
        <v>-212502186474712.5</v>
      </c>
      <c r="L6238" s="444">
        <f t="shared" ca="1" si="222"/>
        <v>-5.1213026940405712E+16</v>
      </c>
      <c r="M6238" s="460">
        <f t="shared" si="224"/>
        <v>0.05</v>
      </c>
      <c r="N6238" s="464">
        <f t="shared" si="225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23"/>
        <v>-5.1213026940405712E+16</v>
      </c>
      <c r="J6239" s="444">
        <f t="array" ref="J6239">IFERROR(INDEX('Retirement Calculator'!J:J,MATCH('Isaac 401k'!N6239,'Retirement Calculator'!A:A,0),0),0)</f>
        <v>0</v>
      </c>
      <c r="K6239" s="444">
        <f t="shared" ca="1" si="221"/>
        <v>-213387612251690.47</v>
      </c>
      <c r="L6239" s="444">
        <f t="shared" ca="1" si="222"/>
        <v>-5.14264145526574E+16</v>
      </c>
      <c r="M6239" s="460">
        <f t="shared" si="224"/>
        <v>0.05</v>
      </c>
      <c r="N6239" s="464">
        <f t="shared" si="225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23"/>
        <v>-5.14264145526574E+16</v>
      </c>
      <c r="J6240" s="444">
        <f t="array" ref="J6240">IFERROR(INDEX('Retirement Calculator'!J:J,MATCH('Isaac 401k'!N6240,'Retirement Calculator'!A:A,0),0),0)</f>
        <v>0</v>
      </c>
      <c r="K6240" s="444">
        <f t="shared" ca="1" si="221"/>
        <v>-214276727302739.16</v>
      </c>
      <c r="L6240" s="444">
        <f t="shared" ca="1" si="222"/>
        <v>-5.1640691279960136E+16</v>
      </c>
      <c r="M6240" s="460">
        <f t="shared" si="224"/>
        <v>0.05</v>
      </c>
      <c r="N6240" s="464">
        <f t="shared" si="225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23"/>
        <v>-5.1640691279960136E+16</v>
      </c>
      <c r="J6241" s="444">
        <f t="array" ref="J6241">IFERROR(INDEX('Retirement Calculator'!J:J,MATCH('Isaac 401k'!N6241,'Retirement Calculator'!A:A,0),0),0)</f>
        <v>0</v>
      </c>
      <c r="K6241" s="444">
        <f t="shared" ca="1" si="221"/>
        <v>-215169546999833.91</v>
      </c>
      <c r="L6241" s="444">
        <f t="shared" ca="1" si="222"/>
        <v>-5.1855860826959968E+16</v>
      </c>
      <c r="M6241" s="460">
        <f t="shared" si="224"/>
        <v>0.05</v>
      </c>
      <c r="N6241" s="464">
        <f t="shared" si="225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23"/>
        <v>-5.1855860826959968E+16</v>
      </c>
      <c r="J6242" s="444">
        <f t="array" ref="J6242">IFERROR(INDEX('Retirement Calculator'!J:J,MATCH('Isaac 401k'!N6242,'Retirement Calculator'!A:A,0),0),0)</f>
        <v>0</v>
      </c>
      <c r="K6242" s="444">
        <f t="shared" ca="1" si="221"/>
        <v>-216066086778999.88</v>
      </c>
      <c r="L6242" s="444">
        <f t="shared" ca="1" si="222"/>
        <v>-5.2071926913738968E+16</v>
      </c>
      <c r="M6242" s="460">
        <f t="shared" si="224"/>
        <v>0.05</v>
      </c>
      <c r="N6242" s="464">
        <f t="shared" si="225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23"/>
        <v>-5.2071926913738968E+16</v>
      </c>
      <c r="J6243" s="444">
        <f t="array" ref="J6243">IFERROR(INDEX('Retirement Calculator'!J:J,MATCH('Isaac 401k'!N6243,'Retirement Calculator'!A:A,0),0),0)</f>
        <v>0</v>
      </c>
      <c r="K6243" s="444">
        <f t="shared" ca="1" si="221"/>
        <v>-216966362140579.03</v>
      </c>
      <c r="L6243" s="444">
        <f t="shared" ca="1" si="222"/>
        <v>-5.2288893275879544E+16</v>
      </c>
      <c r="M6243" s="460">
        <f t="shared" si="224"/>
        <v>0.05</v>
      </c>
      <c r="N6243" s="464">
        <f t="shared" si="225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23"/>
        <v>-5.2288893275879544E+16</v>
      </c>
      <c r="J6244" s="444">
        <f t="array" ref="J6244">IFERROR(INDEX('Retirement Calculator'!J:J,MATCH('Isaac 401k'!N6244,'Retirement Calculator'!A:A,0),0),0)</f>
        <v>0</v>
      </c>
      <c r="K6244" s="444">
        <f t="shared" ca="1" si="221"/>
        <v>-217870388649498.09</v>
      </c>
      <c r="L6244" s="444">
        <f t="shared" ca="1" si="222"/>
        <v>-5.250676366452904E+16</v>
      </c>
      <c r="M6244" s="460">
        <f t="shared" si="224"/>
        <v>0.05</v>
      </c>
      <c r="N6244" s="464">
        <f t="shared" si="225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23"/>
        <v>-5.250676366452904E+16</v>
      </c>
      <c r="J6245" s="444">
        <f t="array" ref="J6245">IFERROR(INDEX('Retirement Calculator'!J:J,MATCH('Isaac 401k'!N6245,'Retirement Calculator'!A:A,0),0),0)</f>
        <v>0</v>
      </c>
      <c r="K6245" s="444">
        <f t="shared" ca="1" si="221"/>
        <v>-218778181935537.66</v>
      </c>
      <c r="L6245" s="444">
        <f t="shared" ca="1" si="222"/>
        <v>-5.2725541846464576E+16</v>
      </c>
      <c r="M6245" s="460">
        <f t="shared" si="224"/>
        <v>0.05</v>
      </c>
      <c r="N6245" s="464">
        <f t="shared" si="225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23"/>
        <v>-5.2725541846464576E+16</v>
      </c>
      <c r="J6246" s="444">
        <f t="array" ref="J6246">IFERROR(INDEX('Retirement Calculator'!J:J,MATCH('Isaac 401k'!N6246,'Retirement Calculator'!A:A,0),0),0)</f>
        <v>0</v>
      </c>
      <c r="K6246" s="444">
        <f t="shared" ca="1" si="221"/>
        <v>-219689757693602.41</v>
      </c>
      <c r="L6246" s="444">
        <f t="shared" ca="1" si="222"/>
        <v>-5.2945231604158176E+16</v>
      </c>
      <c r="M6246" s="460">
        <f t="shared" si="224"/>
        <v>0.05</v>
      </c>
      <c r="N6246" s="464">
        <f t="shared" si="225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23"/>
        <v>-5.2945231604158176E+16</v>
      </c>
      <c r="J6247" s="444">
        <f t="array" ref="J6247">IFERROR(INDEX('Retirement Calculator'!J:J,MATCH('Isaac 401k'!N6247,'Retirement Calculator'!A:A,0),0),0)</f>
        <v>0</v>
      </c>
      <c r="K6247" s="444">
        <f t="shared" ca="1" si="221"/>
        <v>-220605131683992.41</v>
      </c>
      <c r="L6247" s="444">
        <f t="shared" ca="1" si="222"/>
        <v>-5.3165836735842168E+16</v>
      </c>
      <c r="M6247" s="460">
        <f t="shared" si="224"/>
        <v>0.05</v>
      </c>
      <c r="N6247" s="464">
        <f t="shared" si="225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23"/>
        <v>-5.3165836735842168E+16</v>
      </c>
      <c r="J6248" s="444">
        <f t="array" ref="J6248">IFERROR(INDEX('Retirement Calculator'!J:J,MATCH('Isaac 401k'!N6248,'Retirement Calculator'!A:A,0),0),0)</f>
        <v>0</v>
      </c>
      <c r="K6248" s="444">
        <f t="shared" ca="1" si="221"/>
        <v>-221524319732675.69</v>
      </c>
      <c r="L6248" s="444">
        <f t="shared" ca="1" si="222"/>
        <v>-5.338736105557484E+16</v>
      </c>
      <c r="M6248" s="460">
        <f t="shared" si="224"/>
        <v>0.05</v>
      </c>
      <c r="N6248" s="464">
        <f t="shared" si="225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23"/>
        <v>-5.338736105557484E+16</v>
      </c>
      <c r="J6249" s="444">
        <f t="array" ref="J6249">IFERROR(INDEX('Retirement Calculator'!J:J,MATCH('Isaac 401k'!N6249,'Retirement Calculator'!A:A,0),0),0)</f>
        <v>0</v>
      </c>
      <c r="K6249" s="444">
        <f t="shared" ca="1" si="221"/>
        <v>-222447337731561.84</v>
      </c>
      <c r="L6249" s="444">
        <f t="shared" ca="1" si="222"/>
        <v>-5.36098083933064E+16</v>
      </c>
      <c r="M6249" s="460">
        <f t="shared" si="224"/>
        <v>0.05</v>
      </c>
      <c r="N6249" s="464">
        <f t="shared" si="225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23"/>
        <v>-5.36098083933064E+16</v>
      </c>
      <c r="J6250" s="444">
        <f t="array" ref="J6250">IFERROR(INDEX('Retirement Calculator'!J:J,MATCH('Isaac 401k'!N6250,'Retirement Calculator'!A:A,0),0),0)</f>
        <v>0</v>
      </c>
      <c r="K6250" s="444">
        <f t="shared" ca="1" si="221"/>
        <v>-223374201638776.66</v>
      </c>
      <c r="L6250" s="444">
        <f t="shared" ca="1" si="222"/>
        <v>-5.3833182594945176E+16</v>
      </c>
      <c r="M6250" s="460">
        <f t="shared" si="224"/>
        <v>0.05</v>
      </c>
      <c r="N6250" s="464">
        <f t="shared" si="225"/>
        <v>241275</v>
      </c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1.6640625" customWidth="1"/>
    <col min="6" max="6" width="14.6640625" customWidth="1"/>
    <col min="7" max="7" width="2.6640625" customWidth="1"/>
    <col min="8" max="8" width="5.44140625" customWidth="1"/>
    <col min="9" max="9" width="18" customWidth="1"/>
    <col min="10" max="10" width="9.109375" customWidth="1"/>
    <col min="11" max="11" width="14.88671875" customWidth="1"/>
    <col min="12" max="12" width="18" customWidth="1"/>
    <col min="13" max="13" width="9.4414062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Retirement'!I8+'Combined Retirement'!K8</f>
        <v>3387534.1049882076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64"/>
    </row>
    <row r="2" spans="1:14" ht="11.25" customHeight="1" x14ac:dyDescent="0.3">
      <c r="A2" s="459" t="s">
        <v>658</v>
      </c>
      <c r="B2" s="460">
        <v>0.05</v>
      </c>
      <c r="C2" s="446" t="s">
        <v>667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64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64"/>
    </row>
    <row r="4" spans="1:14" ht="11.25" customHeight="1" x14ac:dyDescent="0.3">
      <c r="A4" s="459" t="s">
        <v>660</v>
      </c>
      <c r="B4" s="451">
        <f ca="1">(SUMIFS(H:H,I:I,"&gt;0",L:L,"&lt;0"))/12</f>
        <v>43.416666666666664</v>
      </c>
      <c r="C4" s="463">
        <f ca="1">(SUMIFS(H:H,I:I,"&gt;0",L:L,"&lt;0"))</f>
        <v>521</v>
      </c>
      <c r="D4" s="456">
        <f t="array" aca="1" ref="D4" ca="1">INDEX(N:N,MATCH(C4,H:H,0),0)</f>
        <v>67115</v>
      </c>
      <c r="E4" s="446"/>
      <c r="F4" s="446"/>
      <c r="G4" s="459"/>
      <c r="H4" s="459"/>
      <c r="I4" s="446"/>
      <c r="J4" s="431"/>
      <c r="K4" s="431"/>
      <c r="L4" s="431"/>
      <c r="M4" s="462"/>
      <c r="N4" s="464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64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64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64" t="s">
        <v>592</v>
      </c>
    </row>
    <row r="8" spans="1:14" ht="11.25" customHeight="1" x14ac:dyDescent="0.3">
      <c r="A8" s="459">
        <v>1</v>
      </c>
      <c r="B8" s="447">
        <f ca="1">B1</f>
        <v>3387534.1049882076</v>
      </c>
      <c r="C8" s="447">
        <f t="shared" ref="C8:C71" si="0">SUMIF(G:G,A8,J:J)</f>
        <v>0</v>
      </c>
      <c r="D8" s="447">
        <f ca="1">SUMIF(G:G,1,K:K)</f>
        <v>173312.67395029511</v>
      </c>
      <c r="E8" s="447">
        <f t="shared" ref="E8:E71" ca="1" si="1">B8-C8+D8</f>
        <v>3560846.7789385025</v>
      </c>
      <c r="F8" s="431"/>
      <c r="G8" s="459">
        <v>1</v>
      </c>
      <c r="H8" s="459">
        <v>1</v>
      </c>
      <c r="I8" s="444">
        <f ca="1">B1</f>
        <v>3387534.1049882076</v>
      </c>
      <c r="J8" s="444">
        <f t="array" ref="J8">IFERROR(INDEX('Retirement Calculator'!K:K,MATCH('Lorri 401b'!N8,'Retirement Calculator'!A:A,0),0),0)</f>
        <v>0</v>
      </c>
      <c r="K8" s="444">
        <f t="shared" ref="K8:K262" ca="1" si="2">IPMT(M8/12,1,12,-I8+J8,,0)</f>
        <v>14114.725437450863</v>
      </c>
      <c r="L8" s="444">
        <f t="shared" ref="L8:L262" ca="1" si="3">I8-J8+K8</f>
        <v>3401648.8304256583</v>
      </c>
      <c r="M8" s="460">
        <f>B2</f>
        <v>0.05</v>
      </c>
      <c r="N8" s="464">
        <f>'Retirement Calculator'!D7</f>
        <v>51288</v>
      </c>
    </row>
    <row r="9" spans="1:14" ht="11.25" customHeight="1" x14ac:dyDescent="0.3">
      <c r="A9" s="459">
        <v>2</v>
      </c>
      <c r="B9" s="447">
        <f t="shared" ref="B9:B71" ca="1" si="4">E8</f>
        <v>3560846.7789385025</v>
      </c>
      <c r="C9" s="447">
        <f t="shared" si="0"/>
        <v>0</v>
      </c>
      <c r="D9" s="447">
        <f ca="1">SUMIF(G:G,2,K:K)</f>
        <v>182179.67927655025</v>
      </c>
      <c r="E9" s="447">
        <f t="shared" ca="1" si="1"/>
        <v>3743026.4582150527</v>
      </c>
      <c r="F9" s="431"/>
      <c r="G9" s="459">
        <v>1</v>
      </c>
      <c r="H9" s="459">
        <v>2</v>
      </c>
      <c r="I9" s="444">
        <f t="shared" ref="I9:I263" ca="1" si="5">L8</f>
        <v>3401648.8304256583</v>
      </c>
      <c r="J9" s="444">
        <f t="array" ref="J9">IFERROR(INDEX('Retirement Calculator'!K:K,MATCH('Lorri 401b'!N9,'Retirement Calculator'!A:A,0),0),0)</f>
        <v>0</v>
      </c>
      <c r="K9" s="444">
        <f t="shared" ca="1" si="2"/>
        <v>14173.536793440244</v>
      </c>
      <c r="L9" s="444">
        <f t="shared" ca="1" si="3"/>
        <v>3415822.3672190984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3743026.4582150527</v>
      </c>
      <c r="C10" s="447">
        <f t="shared" si="0"/>
        <v>0</v>
      </c>
      <c r="D10" s="447">
        <f ca="1">SUMIF(G:G,3,K:K)</f>
        <v>191500.33742382398</v>
      </c>
      <c r="E10" s="447">
        <f t="shared" ca="1" si="1"/>
        <v>3934526.7956388765</v>
      </c>
      <c r="F10" s="431"/>
      <c r="G10" s="459">
        <v>1</v>
      </c>
      <c r="H10" s="459">
        <v>3</v>
      </c>
      <c r="I10" s="444">
        <f t="shared" ca="1" si="5"/>
        <v>3415822.3672190984</v>
      </c>
      <c r="J10" s="444">
        <f t="array" ref="J10">IFERROR(INDEX('Retirement Calculator'!K:K,MATCH('Lorri 401b'!N10,'Retirement Calculator'!A:A,0),0),0)</f>
        <v>0</v>
      </c>
      <c r="K10" s="444">
        <f t="shared" ca="1" si="2"/>
        <v>14232.593196746246</v>
      </c>
      <c r="L10" s="444">
        <f t="shared" ca="1" si="3"/>
        <v>3430054.9604158448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3934526.7956388765</v>
      </c>
      <c r="C11" s="447">
        <f t="shared" si="0"/>
        <v>0</v>
      </c>
      <c r="D11" s="447">
        <f ca="1">SUMIF(G:G,4,K:K)</f>
        <v>201297.85813141914</v>
      </c>
      <c r="E11" s="447">
        <f t="shared" ca="1" si="1"/>
        <v>4135824.6537702954</v>
      </c>
      <c r="F11" s="431"/>
      <c r="G11" s="459">
        <v>1</v>
      </c>
      <c r="H11" s="459">
        <v>4</v>
      </c>
      <c r="I11" s="444">
        <f t="shared" ca="1" si="5"/>
        <v>3430054.9604158448</v>
      </c>
      <c r="J11" s="444">
        <f t="array" ref="J11">IFERROR(INDEX('Retirement Calculator'!K:K,MATCH('Lorri 401b'!N11,'Retirement Calculator'!A:A,0),0),0)</f>
        <v>0</v>
      </c>
      <c r="K11" s="444">
        <f t="shared" ca="1" si="2"/>
        <v>14291.895668399353</v>
      </c>
      <c r="L11" s="444">
        <f t="shared" ca="1" si="3"/>
        <v>3444346.8560842443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4135824.6537702954</v>
      </c>
      <c r="C12" s="447">
        <f t="shared" si="0"/>
        <v>0</v>
      </c>
      <c r="D12" s="447">
        <f ca="1">SUMIF(G:G,5,K:K)</f>
        <v>211596.63859295042</v>
      </c>
      <c r="E12" s="447">
        <f t="shared" ca="1" si="1"/>
        <v>4347421.292363246</v>
      </c>
      <c r="F12" s="431"/>
      <c r="G12" s="459">
        <v>1</v>
      </c>
      <c r="H12" s="459">
        <v>5</v>
      </c>
      <c r="I12" s="444">
        <f t="shared" ca="1" si="5"/>
        <v>3444346.8560842443</v>
      </c>
      <c r="J12" s="444">
        <f t="array" ref="J12">IFERROR(INDEX('Retirement Calculator'!K:K,MATCH('Lorri 401b'!N12,'Retirement Calculator'!A:A,0),0),0)</f>
        <v>0</v>
      </c>
      <c r="K12" s="444">
        <f t="shared" ca="1" si="2"/>
        <v>14351.445233684351</v>
      </c>
      <c r="L12" s="444">
        <f t="shared" ca="1" si="3"/>
        <v>3458698.3013179288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4347421.292363246</v>
      </c>
      <c r="C13" s="447">
        <f t="shared" si="0"/>
        <v>116996.01957289393</v>
      </c>
      <c r="D13" s="447">
        <f ca="1">SUMIF(G:G,6,K:K)</f>
        <v>220951.72380841148</v>
      </c>
      <c r="E13" s="447">
        <f t="shared" ca="1" si="1"/>
        <v>4451376.9965987634</v>
      </c>
      <c r="F13" s="431"/>
      <c r="G13" s="459">
        <v>1</v>
      </c>
      <c r="H13" s="459">
        <v>6</v>
      </c>
      <c r="I13" s="444">
        <f t="shared" ca="1" si="5"/>
        <v>3458698.3013179288</v>
      </c>
      <c r="J13" s="444">
        <f t="array" ref="J13">IFERROR(INDEX('Retirement Calculator'!K:K,MATCH('Lorri 401b'!N13,'Retirement Calculator'!A:A,0),0),0)</f>
        <v>0</v>
      </c>
      <c r="K13" s="444">
        <f t="shared" ca="1" si="2"/>
        <v>14411.242922158037</v>
      </c>
      <c r="L13" s="444">
        <f t="shared" ca="1" si="3"/>
        <v>3473109.5442400868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4451376.9965987634</v>
      </c>
      <c r="C14" s="447">
        <f t="shared" si="0"/>
        <v>280790.44697494537</v>
      </c>
      <c r="D14" s="447">
        <f ca="1">SUMIF(G:G,7,K:K)</f>
        <v>220018.75114086844</v>
      </c>
      <c r="E14" s="447">
        <f t="shared" ca="1" si="1"/>
        <v>4390605.3007646864</v>
      </c>
      <c r="F14" s="431"/>
      <c r="G14" s="459">
        <v>1</v>
      </c>
      <c r="H14" s="459">
        <v>7</v>
      </c>
      <c r="I14" s="444">
        <f t="shared" ca="1" si="5"/>
        <v>3473109.5442400868</v>
      </c>
      <c r="J14" s="444">
        <f t="array" ref="J14">IFERROR(INDEX('Retirement Calculator'!K:K,MATCH('Lorri 401b'!N14,'Retirement Calculator'!A:A,0),0),0)</f>
        <v>0</v>
      </c>
      <c r="K14" s="444">
        <f t="shared" ca="1" si="2"/>
        <v>14471.289767667027</v>
      </c>
      <c r="L14" s="444">
        <f t="shared" ca="1" si="3"/>
        <v>3487580.834007754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4390605.3007646864</v>
      </c>
      <c r="C15" s="447">
        <f t="shared" si="0"/>
        <v>280790.44697494537</v>
      </c>
      <c r="D15" s="447">
        <f ca="1">SUMIF(G:G,8,K:K)</f>
        <v>216909.55584450549</v>
      </c>
      <c r="E15" s="447">
        <f t="shared" ca="1" si="1"/>
        <v>4326724.4096342465</v>
      </c>
      <c r="F15" s="431"/>
      <c r="G15" s="459">
        <v>1</v>
      </c>
      <c r="H15" s="459">
        <v>8</v>
      </c>
      <c r="I15" s="444">
        <f t="shared" ca="1" si="5"/>
        <v>3487580.834007754</v>
      </c>
      <c r="J15" s="444">
        <f t="array" ref="J15">IFERROR(INDEX('Retirement Calculator'!K:K,MATCH('Lorri 401b'!N15,'Retirement Calculator'!A:A,0),0),0)</f>
        <v>0</v>
      </c>
      <c r="K15" s="444">
        <f t="shared" ca="1" si="2"/>
        <v>14531.586808365641</v>
      </c>
      <c r="L15" s="444">
        <f t="shared" ca="1" si="3"/>
        <v>3502112.4208161198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4326724.4096342465</v>
      </c>
      <c r="C16" s="447">
        <f t="shared" si="0"/>
        <v>261607.54257494543</v>
      </c>
      <c r="D16" s="447">
        <f ca="1">SUMIF(G:G,9,K:K)</f>
        <v>214127.58441926722</v>
      </c>
      <c r="E16" s="447">
        <f t="shared" ca="1" si="1"/>
        <v>4279244.4514785679</v>
      </c>
      <c r="F16" s="431"/>
      <c r="G16" s="459">
        <v>1</v>
      </c>
      <c r="H16" s="459">
        <v>9</v>
      </c>
      <c r="I16" s="444">
        <f t="shared" ca="1" si="5"/>
        <v>3502112.4208161198</v>
      </c>
      <c r="J16" s="444">
        <f t="array" ref="J16">IFERROR(INDEX('Retirement Calculator'!K:K,MATCH('Lorri 401b'!N16,'Retirement Calculator'!A:A,0),0),0)</f>
        <v>0</v>
      </c>
      <c r="K16" s="444">
        <f t="shared" ca="1" si="2"/>
        <v>14592.135086733833</v>
      </c>
      <c r="L16" s="444">
        <f t="shared" ca="1" si="3"/>
        <v>3516704.5559028536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4279244.4514785679</v>
      </c>
      <c r="C17" s="447">
        <f t="shared" si="0"/>
        <v>259863.64217494545</v>
      </c>
      <c r="D17" s="447">
        <f ca="1">SUMIF(G:G,10,K:K)</f>
        <v>211787.64090285843</v>
      </c>
      <c r="E17" s="447">
        <f t="shared" ca="1" si="1"/>
        <v>4231168.4502064809</v>
      </c>
      <c r="F17" s="431"/>
      <c r="G17" s="459">
        <v>1</v>
      </c>
      <c r="H17" s="459">
        <v>10</v>
      </c>
      <c r="I17" s="444">
        <f t="shared" ca="1" si="5"/>
        <v>3516704.5559028536</v>
      </c>
      <c r="J17" s="444">
        <f t="array" ref="J17">IFERROR(INDEX('Retirement Calculator'!K:K,MATCH('Lorri 401b'!N17,'Retirement Calculator'!A:A,0),0),0)</f>
        <v>0</v>
      </c>
      <c r="K17" s="444">
        <f t="shared" ca="1" si="2"/>
        <v>14652.935649595225</v>
      </c>
      <c r="L17" s="444">
        <f t="shared" ca="1" si="3"/>
        <v>3531357.4915524488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4231168.4502064809</v>
      </c>
      <c r="C18" s="447">
        <f t="shared" si="0"/>
        <v>259863.64217494545</v>
      </c>
      <c r="D18" s="447">
        <f ca="1">SUMIF(G:G,11,K:K)</f>
        <v>209327.98143521402</v>
      </c>
      <c r="E18" s="447">
        <f t="shared" ca="1" si="1"/>
        <v>4180632.7894667499</v>
      </c>
      <c r="F18" s="431"/>
      <c r="G18" s="459">
        <v>1</v>
      </c>
      <c r="H18" s="459">
        <v>11</v>
      </c>
      <c r="I18" s="444">
        <f t="shared" ca="1" si="5"/>
        <v>3531357.4915524488</v>
      </c>
      <c r="J18" s="444">
        <f t="array" ref="J18">IFERROR(INDEX('Retirement Calculator'!K:K,MATCH('Lorri 401b'!N18,'Retirement Calculator'!A:A,0),0),0)</f>
        <v>0</v>
      </c>
      <c r="K18" s="444">
        <f t="shared" ca="1" si="2"/>
        <v>14713.989548135201</v>
      </c>
      <c r="L18" s="444">
        <f t="shared" ca="1" si="3"/>
        <v>3546071.4811005839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4180632.7894667499</v>
      </c>
      <c r="C19" s="447">
        <f t="shared" si="0"/>
        <v>259863.64217494545</v>
      </c>
      <c r="D19" s="447">
        <f ca="1">SUMIF(G:G,12,K:K)</f>
        <v>206742.48112106198</v>
      </c>
      <c r="E19" s="447">
        <f t="shared" ca="1" si="1"/>
        <v>4127511.6284128665</v>
      </c>
      <c r="F19" s="431"/>
      <c r="G19" s="459">
        <v>1</v>
      </c>
      <c r="H19" s="459">
        <v>12</v>
      </c>
      <c r="I19" s="444">
        <f t="shared" ca="1" si="5"/>
        <v>3546071.4811005839</v>
      </c>
      <c r="J19" s="444">
        <f t="array" ref="J19">IFERROR(INDEX('Retirement Calculator'!K:K,MATCH('Lorri 401b'!N19,'Retirement Calculator'!A:A,0),0),0)</f>
        <v>0</v>
      </c>
      <c r="K19" s="444">
        <f t="shared" ca="1" si="2"/>
        <v>14775.297837919099</v>
      </c>
      <c r="L19" s="444">
        <f t="shared" ca="1" si="3"/>
        <v>3560846.778938503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4127511.6284128665</v>
      </c>
      <c r="C20" s="447">
        <f t="shared" si="0"/>
        <v>259863.64217494545</v>
      </c>
      <c r="D20" s="447">
        <f ca="1">SUMIF(G:G,13,K:K)</f>
        <v>204024.70170386406</v>
      </c>
      <c r="E20" s="447">
        <f t="shared" ca="1" si="1"/>
        <v>4071672.687941785</v>
      </c>
      <c r="F20" s="431"/>
      <c r="G20" s="459">
        <v>2</v>
      </c>
      <c r="H20" s="459">
        <v>13</v>
      </c>
      <c r="I20" s="444">
        <f t="shared" ca="1" si="5"/>
        <v>3560846.778938503</v>
      </c>
      <c r="J20" s="444">
        <f t="array" ref="J20">IFERROR(INDEX('Retirement Calculator'!K:K,MATCH('Lorri 401b'!N20,'Retirement Calculator'!A:A,0),0),0)</f>
        <v>0</v>
      </c>
      <c r="K20" s="444">
        <f t="shared" ca="1" si="2"/>
        <v>14836.86157891043</v>
      </c>
      <c r="L20" s="444">
        <f t="shared" ca="1" si="3"/>
        <v>3575683.6405174136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4071672.687941785</v>
      </c>
      <c r="C21" s="447">
        <f t="shared" si="0"/>
        <v>259863.64217494545</v>
      </c>
      <c r="D21" s="447">
        <f ca="1">SUMIF(G:G,14,K:K)</f>
        <v>201167.87553365843</v>
      </c>
      <c r="E21" s="447">
        <f t="shared" ca="1" si="1"/>
        <v>4012976.9213004983</v>
      </c>
      <c r="F21" s="431"/>
      <c r="G21" s="459">
        <v>2</v>
      </c>
      <c r="H21" s="459">
        <v>14</v>
      </c>
      <c r="I21" s="444">
        <f t="shared" ca="1" si="5"/>
        <v>3575683.6405174136</v>
      </c>
      <c r="J21" s="444">
        <f t="array" ref="J21">IFERROR(INDEX('Retirement Calculator'!K:K,MATCH('Lorri 401b'!N21,'Retirement Calculator'!A:A,0),0),0)</f>
        <v>0</v>
      </c>
      <c r="K21" s="444">
        <f t="shared" ca="1" si="2"/>
        <v>14898.681835489226</v>
      </c>
      <c r="L21" s="444">
        <f t="shared" ca="1" si="3"/>
        <v>3590582.322352903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4012976.9213004983</v>
      </c>
      <c r="C22" s="447">
        <f t="shared" si="0"/>
        <v>259863.64217494545</v>
      </c>
      <c r="D22" s="447">
        <f ca="1">SUMIF(G:G,15,K:K)</f>
        <v>198164.8887146668</v>
      </c>
      <c r="E22" s="447">
        <f t="shared" ca="1" si="1"/>
        <v>3951278.1678402196</v>
      </c>
      <c r="F22" s="431"/>
      <c r="G22" s="459">
        <v>2</v>
      </c>
      <c r="H22" s="459">
        <v>15</v>
      </c>
      <c r="I22" s="444">
        <f t="shared" ca="1" si="5"/>
        <v>3590582.322352903</v>
      </c>
      <c r="J22" s="444">
        <f t="array" ref="J22">IFERROR(INDEX('Retirement Calculator'!K:K,MATCH('Lorri 401b'!N22,'Retirement Calculator'!A:A,0),0),0)</f>
        <v>0</v>
      </c>
      <c r="K22" s="444">
        <f t="shared" ca="1" si="2"/>
        <v>14960.759676470429</v>
      </c>
      <c r="L22" s="444">
        <f t="shared" ca="1" si="3"/>
        <v>3605543.0820293734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3951278.1678402196</v>
      </c>
      <c r="C23" s="447">
        <f t="shared" si="0"/>
        <v>259863.64217494545</v>
      </c>
      <c r="D23" s="447">
        <f ca="1">SUMIF(G:G,16,K:K)</f>
        <v>195008.26339070173</v>
      </c>
      <c r="E23" s="447">
        <f t="shared" ca="1" si="1"/>
        <v>3886422.7890559756</v>
      </c>
      <c r="F23" s="431"/>
      <c r="G23" s="459">
        <v>2</v>
      </c>
      <c r="H23" s="459">
        <v>16</v>
      </c>
      <c r="I23" s="444">
        <f t="shared" ca="1" si="5"/>
        <v>3605543.0820293734</v>
      </c>
      <c r="J23" s="444">
        <f t="array" ref="J23">IFERROR(INDEX('Retirement Calculator'!K:K,MATCH('Lorri 401b'!N23,'Retirement Calculator'!A:A,0),0),0)</f>
        <v>0</v>
      </c>
      <c r="K23" s="444">
        <f t="shared" ca="1" si="2"/>
        <v>15023.096175122389</v>
      </c>
      <c r="L23" s="444">
        <f t="shared" ca="1" si="3"/>
        <v>3620566.1782044959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3886422.7890559756</v>
      </c>
      <c r="C24" s="447">
        <f t="shared" si="0"/>
        <v>259863.64217494545</v>
      </c>
      <c r="D24" s="447">
        <f ca="1">SUMIF(G:G,17,K:K)</f>
        <v>191690.13912426113</v>
      </c>
      <c r="E24" s="447">
        <f t="shared" ca="1" si="1"/>
        <v>3818249.2860052912</v>
      </c>
      <c r="F24" s="431"/>
      <c r="G24" s="459">
        <v>2</v>
      </c>
      <c r="H24" s="459">
        <v>17</v>
      </c>
      <c r="I24" s="444">
        <f t="shared" ca="1" si="5"/>
        <v>3620566.1782044959</v>
      </c>
      <c r="J24" s="444">
        <f t="array" ref="J24">IFERROR(INDEX('Retirement Calculator'!K:K,MATCH('Lorri 401b'!N24,'Retirement Calculator'!A:A,0),0),0)</f>
        <v>0</v>
      </c>
      <c r="K24" s="444">
        <f t="shared" ca="1" si="2"/>
        <v>15085.692409185398</v>
      </c>
      <c r="L24" s="444">
        <f t="shared" ca="1" si="3"/>
        <v>3635651.8706136812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3818249.2860052912</v>
      </c>
      <c r="C25" s="447">
        <f t="shared" si="0"/>
        <v>259863.64217494545</v>
      </c>
      <c r="D25" s="447">
        <f ca="1">SUMIF(G:G,18,K:K)</f>
        <v>188202.25332294198</v>
      </c>
      <c r="E25" s="447">
        <f t="shared" ca="1" si="1"/>
        <v>3746587.8971532881</v>
      </c>
      <c r="F25" s="431"/>
      <c r="G25" s="459">
        <v>2</v>
      </c>
      <c r="H25" s="459">
        <v>18</v>
      </c>
      <c r="I25" s="444">
        <f t="shared" ca="1" si="5"/>
        <v>3635651.8706136812</v>
      </c>
      <c r="J25" s="444">
        <f t="array" ref="J25">IFERROR(INDEX('Retirement Calculator'!K:K,MATCH('Lorri 401b'!N25,'Retirement Calculator'!A:A,0),0),0)</f>
        <v>0</v>
      </c>
      <c r="K25" s="444">
        <f t="shared" ca="1" si="2"/>
        <v>15148.549460890337</v>
      </c>
      <c r="L25" s="444">
        <f t="shared" ca="1" si="3"/>
        <v>3650800.4200745714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3746587.8971532881</v>
      </c>
      <c r="C26" s="447">
        <f t="shared" si="0"/>
        <v>259863.64217494545</v>
      </c>
      <c r="D26" s="447">
        <f ca="1">SUMIF(G:G,19,K:K)</f>
        <v>184535.92066443257</v>
      </c>
      <c r="E26" s="447">
        <f t="shared" ca="1" si="1"/>
        <v>3671260.1756427754</v>
      </c>
      <c r="F26" s="431"/>
      <c r="G26" s="459">
        <v>2</v>
      </c>
      <c r="H26" s="459">
        <v>19</v>
      </c>
      <c r="I26" s="444">
        <f t="shared" ca="1" si="5"/>
        <v>3650800.4200745714</v>
      </c>
      <c r="J26" s="444">
        <f t="array" ref="J26">IFERROR(INDEX('Retirement Calculator'!K:K,MATCH('Lorri 401b'!N26,'Retirement Calculator'!A:A,0),0),0)</f>
        <v>0</v>
      </c>
      <c r="K26" s="444">
        <f t="shared" ca="1" si="2"/>
        <v>15211.66841697738</v>
      </c>
      <c r="L26" s="444">
        <f t="shared" ca="1" si="3"/>
        <v>3666012.0884915488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3671260.1756427754</v>
      </c>
      <c r="C27" s="447">
        <f t="shared" si="0"/>
        <v>259863.64217494545</v>
      </c>
      <c r="D27" s="447">
        <f ca="1">SUMIF(G:G,20,K:K)</f>
        <v>180682.01146884807</v>
      </c>
      <c r="E27" s="447">
        <f t="shared" ca="1" si="1"/>
        <v>3592078.5449366784</v>
      </c>
      <c r="F27" s="431"/>
      <c r="G27" s="459">
        <v>2</v>
      </c>
      <c r="H27" s="459">
        <v>20</v>
      </c>
      <c r="I27" s="444">
        <f t="shared" ca="1" si="5"/>
        <v>3666012.0884915488</v>
      </c>
      <c r="J27" s="444">
        <f t="array" ref="J27">IFERROR(INDEX('Retirement Calculator'!K:K,MATCH('Lorri 401b'!N27,'Retirement Calculator'!A:A,0),0),0)</f>
        <v>0</v>
      </c>
      <c r="K27" s="444">
        <f t="shared" ca="1" si="2"/>
        <v>15275.050368714788</v>
      </c>
      <c r="L27" s="444">
        <f t="shared" ca="1" si="3"/>
        <v>3681287.1388602634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3592078.5449366784</v>
      </c>
      <c r="C28" s="447">
        <f t="shared" si="0"/>
        <v>259863.64217494545</v>
      </c>
      <c r="D28" s="447">
        <f ca="1">SUMIF(G:G,21,K:K)</f>
        <v>176630.92896455355</v>
      </c>
      <c r="E28" s="447">
        <f t="shared" ca="1" si="1"/>
        <v>3508845.8317262866</v>
      </c>
      <c r="F28" s="431"/>
      <c r="G28" s="459">
        <v>2</v>
      </c>
      <c r="H28" s="459">
        <v>21</v>
      </c>
      <c r="I28" s="444">
        <f t="shared" ca="1" si="5"/>
        <v>3681287.1388602634</v>
      </c>
      <c r="J28" s="444">
        <f t="array" ref="J28">IFERROR(INDEX('Retirement Calculator'!K:K,MATCH('Lorri 401b'!N28,'Retirement Calculator'!A:A,0),0),0)</f>
        <v>0</v>
      </c>
      <c r="K28" s="444">
        <f t="shared" ca="1" si="2"/>
        <v>15338.696411917765</v>
      </c>
      <c r="L28" s="444">
        <f t="shared" ca="1" si="3"/>
        <v>3696625.8352721813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3508845.8317262866</v>
      </c>
      <c r="C29" s="447">
        <f t="shared" si="0"/>
        <v>259863.64217494545</v>
      </c>
      <c r="D29" s="447">
        <f ca="1">SUMIF(G:G,22,K:K)</f>
        <v>172372.58539086391</v>
      </c>
      <c r="E29" s="447">
        <f t="shared" ca="1" si="1"/>
        <v>3421354.7749422053</v>
      </c>
      <c r="F29" s="431"/>
      <c r="G29" s="459">
        <v>2</v>
      </c>
      <c r="H29" s="459">
        <v>22</v>
      </c>
      <c r="I29" s="444">
        <f t="shared" ca="1" si="5"/>
        <v>3696625.8352721813</v>
      </c>
      <c r="J29" s="444">
        <f t="array" ref="J29">IFERROR(INDEX('Retirement Calculator'!K:K,MATCH('Lorri 401b'!N29,'Retirement Calculator'!A:A,0),0),0)</f>
        <v>0</v>
      </c>
      <c r="K29" s="444">
        <f t="shared" ca="1" si="2"/>
        <v>15402.607646967423</v>
      </c>
      <c r="L29" s="444">
        <f t="shared" ca="1" si="3"/>
        <v>3712028.4429191486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3421354.7749422053</v>
      </c>
      <c r="C30" s="447">
        <f t="shared" si="0"/>
        <v>259863.64217494545</v>
      </c>
      <c r="D30" s="447">
        <f ca="1">SUMIF(G:G,23,K:K)</f>
        <v>167896.37687811174</v>
      </c>
      <c r="E30" s="447">
        <f t="shared" ca="1" si="1"/>
        <v>3329387.5096453717</v>
      </c>
      <c r="F30" s="431"/>
      <c r="G30" s="459">
        <v>2</v>
      </c>
      <c r="H30" s="459">
        <v>23</v>
      </c>
      <c r="I30" s="444">
        <f t="shared" ca="1" si="5"/>
        <v>3712028.4429191486</v>
      </c>
      <c r="J30" s="444">
        <f t="array" ref="J30">IFERROR(INDEX('Retirement Calculator'!K:K,MATCH('Lorri 401b'!N30,'Retirement Calculator'!A:A,0),0),0)</f>
        <v>0</v>
      </c>
      <c r="K30" s="444">
        <f t="shared" ca="1" si="2"/>
        <v>15466.785178829785</v>
      </c>
      <c r="L30" s="444">
        <f t="shared" ca="1" si="3"/>
        <v>3727495.2280979785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3329387.5096453717</v>
      </c>
      <c r="C31" s="447">
        <f t="shared" si="0"/>
        <v>259863.64217494545</v>
      </c>
      <c r="D31" s="447">
        <f ca="1">SUMIF(G:G,24,K:K)</f>
        <v>163191.15704253287</v>
      </c>
      <c r="E31" s="447">
        <f t="shared" ca="1" si="1"/>
        <v>3232715.0245129592</v>
      </c>
      <c r="F31" s="431"/>
      <c r="G31" s="459">
        <v>2</v>
      </c>
      <c r="H31" s="459">
        <v>24</v>
      </c>
      <c r="I31" s="444">
        <f t="shared" ca="1" si="5"/>
        <v>3727495.2280979785</v>
      </c>
      <c r="J31" s="444">
        <f t="array" ref="J31">IFERROR(INDEX('Retirement Calculator'!K:K,MATCH('Lorri 401b'!N31,'Retirement Calculator'!A:A,0),0),0)</f>
        <v>0</v>
      </c>
      <c r="K31" s="444">
        <f t="shared" ca="1" si="2"/>
        <v>15531.230117074911</v>
      </c>
      <c r="L31" s="444">
        <f t="shared" ca="1" si="3"/>
        <v>3743026.4582150532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3232715.0245129592</v>
      </c>
      <c r="C32" s="447">
        <f t="shared" si="0"/>
        <v>259863.64217494545</v>
      </c>
      <c r="D32" s="447">
        <f ca="1">SUMIF(G:G,25,K:K)</f>
        <v>158245.20923021491</v>
      </c>
      <c r="E32" s="447">
        <f t="shared" ca="1" si="1"/>
        <v>3131096.5915682283</v>
      </c>
      <c r="F32" s="431"/>
      <c r="G32" s="459">
        <v>3</v>
      </c>
      <c r="H32" s="459">
        <v>25</v>
      </c>
      <c r="I32" s="444">
        <f t="shared" ca="1" si="5"/>
        <v>3743026.4582150532</v>
      </c>
      <c r="J32" s="444">
        <f t="array" ref="J32">IFERROR(INDEX('Retirement Calculator'!K:K,MATCH('Lorri 401b'!N32,'Retirement Calculator'!A:A,0),0),0)</f>
        <v>0</v>
      </c>
      <c r="K32" s="444">
        <f t="shared" ca="1" si="2"/>
        <v>15595.943575896057</v>
      </c>
      <c r="L32" s="444">
        <f t="shared" ca="1" si="3"/>
        <v>3758622.4017909491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3131096.5915682283</v>
      </c>
      <c r="C33" s="447">
        <f t="shared" si="0"/>
        <v>259863.64217494545</v>
      </c>
      <c r="D33" s="447">
        <f ca="1">SUMIF(G:G,26,K:K)</f>
        <v>153046.21734099489</v>
      </c>
      <c r="E33" s="447">
        <f t="shared" ca="1" si="1"/>
        <v>3024279.1667342777</v>
      </c>
      <c r="F33" s="431"/>
      <c r="G33" s="459">
        <v>3</v>
      </c>
      <c r="H33" s="459">
        <v>26</v>
      </c>
      <c r="I33" s="444">
        <f t="shared" ca="1" si="5"/>
        <v>3758622.4017909491</v>
      </c>
      <c r="J33" s="444">
        <f t="array" ref="J33">IFERROR(INDEX('Retirement Calculator'!K:K,MATCH('Lorri 401b'!N33,'Retirement Calculator'!A:A,0),0),0)</f>
        <v>0</v>
      </c>
      <c r="K33" s="444">
        <f t="shared" ca="1" si="2"/>
        <v>15660.926674128954</v>
      </c>
      <c r="L33" s="444">
        <f t="shared" ca="1" si="3"/>
        <v>3774283.328465078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3024279.1667342777</v>
      </c>
      <c r="C34" s="447">
        <f t="shared" si="0"/>
        <v>259863.64217494545</v>
      </c>
      <c r="D34" s="447">
        <f ca="1">SUMIF(G:G,27,K:K)</f>
        <v>147581.2351596505</v>
      </c>
      <c r="E34" s="447">
        <f t="shared" ca="1" si="1"/>
        <v>2911996.7597189825</v>
      </c>
      <c r="F34" s="431"/>
      <c r="G34" s="459">
        <v>3</v>
      </c>
      <c r="H34" s="459">
        <v>27</v>
      </c>
      <c r="I34" s="444">
        <f t="shared" ca="1" si="5"/>
        <v>3774283.328465078</v>
      </c>
      <c r="J34" s="444">
        <f t="array" ref="J34">IFERROR(INDEX('Retirement Calculator'!K:K,MATCH('Lorri 401b'!N34,'Retirement Calculator'!A:A,0),0),0)</f>
        <v>0</v>
      </c>
      <c r="K34" s="444">
        <f t="shared" ca="1" si="2"/>
        <v>15726.180535271156</v>
      </c>
      <c r="L34" s="444">
        <f t="shared" ca="1" si="3"/>
        <v>3790009.5090003493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2911996.7597189825</v>
      </c>
      <c r="C35" s="447">
        <f t="shared" si="0"/>
        <v>259863.64217494545</v>
      </c>
      <c r="D35" s="447">
        <f ca="1">SUMIF(G:G,28,K:K)</f>
        <v>141836.65411801872</v>
      </c>
      <c r="E35" s="447">
        <f t="shared" ca="1" si="1"/>
        <v>2793969.771662056</v>
      </c>
      <c r="F35" s="431"/>
      <c r="G35" s="459">
        <v>3</v>
      </c>
      <c r="H35" s="459">
        <v>28</v>
      </c>
      <c r="I35" s="444">
        <f t="shared" ca="1" si="5"/>
        <v>3790009.5090003493</v>
      </c>
      <c r="J35" s="444">
        <f t="array" ref="J35">IFERROR(INDEX('Retirement Calculator'!K:K,MATCH('Lorri 401b'!N35,'Retirement Calculator'!A:A,0),0),0)</f>
        <v>0</v>
      </c>
      <c r="K35" s="444">
        <f t="shared" ca="1" si="2"/>
        <v>15791.706287501454</v>
      </c>
      <c r="L35" s="444">
        <f t="shared" ca="1" si="3"/>
        <v>3805801.2152878507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2793969.771662056</v>
      </c>
      <c r="C36" s="447">
        <f t="shared" si="0"/>
        <v>259863.64217494545</v>
      </c>
      <c r="D36" s="447">
        <f ca="1">SUMIF(G:G,29,K:K)</f>
        <v>135798.16940776166</v>
      </c>
      <c r="E36" s="447">
        <f t="shared" ca="1" si="1"/>
        <v>2669904.298894872</v>
      </c>
      <c r="F36" s="431"/>
      <c r="G36" s="459">
        <v>3</v>
      </c>
      <c r="H36" s="459">
        <v>29</v>
      </c>
      <c r="I36" s="444">
        <f t="shared" ca="1" si="5"/>
        <v>3805801.2152878507</v>
      </c>
      <c r="J36" s="444">
        <f t="array" ref="J36">IFERROR(INDEX('Retirement Calculator'!K:K,MATCH('Lorri 401b'!N36,'Retirement Calculator'!A:A,0),0),0)</f>
        <v>0</v>
      </c>
      <c r="K36" s="444">
        <f t="shared" ca="1" si="2"/>
        <v>15857.505063699378</v>
      </c>
      <c r="L36" s="444">
        <f t="shared" ca="1" si="3"/>
        <v>3821658.7203515503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2669904.298894872</v>
      </c>
      <c r="C37" s="447">
        <f t="shared" si="0"/>
        <v>259863.64217494545</v>
      </c>
      <c r="D37" s="447">
        <f ca="1">SUMIF(G:G,30,K:K)</f>
        <v>129450.74435939798</v>
      </c>
      <c r="E37" s="447">
        <f t="shared" ca="1" si="1"/>
        <v>2539491.4010793245</v>
      </c>
      <c r="F37" s="431"/>
      <c r="G37" s="459">
        <v>3</v>
      </c>
      <c r="H37" s="459">
        <v>30</v>
      </c>
      <c r="I37" s="444">
        <f t="shared" ca="1" si="5"/>
        <v>3821658.7203515503</v>
      </c>
      <c r="J37" s="444">
        <f t="array" ref="J37">IFERROR(INDEX('Retirement Calculator'!K:K,MATCH('Lorri 401b'!N37,'Retirement Calculator'!A:A,0),0),0)</f>
        <v>0</v>
      </c>
      <c r="K37" s="444">
        <f t="shared" ca="1" si="2"/>
        <v>15923.578001464792</v>
      </c>
      <c r="L37" s="444">
        <f t="shared" ca="1" si="3"/>
        <v>3837582.298353015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2539491.4010793245</v>
      </c>
      <c r="C38" s="447">
        <f t="shared" si="0"/>
        <v>259863.64217494545</v>
      </c>
      <c r="D38" s="447">
        <f ca="1">SUMIF(G:G,31,K:K)</f>
        <v>122778.57299889796</v>
      </c>
      <c r="E38" s="447">
        <f t="shared" ca="1" si="1"/>
        <v>2402406.331903277</v>
      </c>
      <c r="F38" s="431"/>
      <c r="G38" s="459">
        <v>3</v>
      </c>
      <c r="H38" s="459">
        <v>31</v>
      </c>
      <c r="I38" s="444">
        <f t="shared" ca="1" si="5"/>
        <v>3837582.298353015</v>
      </c>
      <c r="J38" s="444">
        <f t="array" ref="J38">IFERROR(INDEX('Retirement Calculator'!K:K,MATCH('Lorri 401b'!N38,'Retirement Calculator'!A:A,0),0),0)</f>
        <v>0</v>
      </c>
      <c r="K38" s="444">
        <f t="shared" ca="1" si="2"/>
        <v>15989.926243137565</v>
      </c>
      <c r="L38" s="444">
        <f t="shared" ca="1" si="3"/>
        <v>3853572.2245961525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2402406.331903277</v>
      </c>
      <c r="C39" s="447">
        <f t="shared" si="0"/>
        <v>259863.64217494545</v>
      </c>
      <c r="D39" s="447">
        <f ca="1">SUMIF(G:G,32,K:K)</f>
        <v>115765.04068860268</v>
      </c>
      <c r="E39" s="447">
        <f t="shared" ca="1" si="1"/>
        <v>2258307.7304169345</v>
      </c>
      <c r="F39" s="431"/>
      <c r="G39" s="459">
        <v>3</v>
      </c>
      <c r="H39" s="459">
        <v>32</v>
      </c>
      <c r="I39" s="444">
        <f t="shared" ca="1" si="5"/>
        <v>3853572.2245961525</v>
      </c>
      <c r="J39" s="444">
        <f t="array" ref="J39">IFERROR(INDEX('Retirement Calculator'!K:K,MATCH('Lorri 401b'!N39,'Retirement Calculator'!A:A,0),0),0)</f>
        <v>0</v>
      </c>
      <c r="K39" s="444">
        <f t="shared" ca="1" si="2"/>
        <v>16056.550935817302</v>
      </c>
      <c r="L39" s="444">
        <f t="shared" ca="1" si="3"/>
        <v>3869628.77553197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2258307.7304169345</v>
      </c>
      <c r="C40" s="447">
        <f t="shared" si="0"/>
        <v>259863.64217494545</v>
      </c>
      <c r="D40" s="447">
        <f ca="1">SUMIF(G:G,33,K:K)</f>
        <v>108392.68275445781</v>
      </c>
      <c r="E40" s="447">
        <f t="shared" ca="1" si="1"/>
        <v>2106836.7709964467</v>
      </c>
      <c r="F40" s="431"/>
      <c r="G40" s="459">
        <v>3</v>
      </c>
      <c r="H40" s="459">
        <v>33</v>
      </c>
      <c r="I40" s="444">
        <f t="shared" ca="1" si="5"/>
        <v>3869628.77553197</v>
      </c>
      <c r="J40" s="444">
        <f t="array" ref="J40">IFERROR(INDEX('Retirement Calculator'!K:K,MATCH('Lorri 401b'!N40,'Retirement Calculator'!A:A,0),0),0)</f>
        <v>0</v>
      </c>
      <c r="K40" s="444">
        <f t="shared" ca="1" si="2"/>
        <v>16123.45323138321</v>
      </c>
      <c r="L40" s="444">
        <f t="shared" ca="1" si="3"/>
        <v>3885752.2287633531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2106836.7709964467</v>
      </c>
      <c r="C41" s="447">
        <f t="shared" si="0"/>
        <v>259863.64217494545</v>
      </c>
      <c r="D41" s="447">
        <f ca="1">SUMIF(G:G,34,K:K)</f>
        <v>100643.14099653864</v>
      </c>
      <c r="E41" s="447">
        <f t="shared" ca="1" si="1"/>
        <v>1947616.2698180398</v>
      </c>
      <c r="F41" s="431"/>
      <c r="G41" s="459">
        <v>3</v>
      </c>
      <c r="H41" s="459">
        <v>34</v>
      </c>
      <c r="I41" s="444">
        <f t="shared" ca="1" si="5"/>
        <v>3885752.2287633531</v>
      </c>
      <c r="J41" s="444">
        <f t="array" ref="J41">IFERROR(INDEX('Retirement Calculator'!K:K,MATCH('Lorri 401b'!N41,'Retirement Calculator'!A:A,0),0),0)</f>
        <v>0</v>
      </c>
      <c r="K41" s="444">
        <f t="shared" ca="1" si="2"/>
        <v>16190.634286513969</v>
      </c>
      <c r="L41" s="444">
        <f t="shared" ca="1" si="3"/>
        <v>3901942.8630498671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1947616.2698180398</v>
      </c>
      <c r="C42" s="447">
        <f t="shared" si="0"/>
        <v>259863.64217494545</v>
      </c>
      <c r="D42" s="447">
        <f ca="1">SUMIF(G:G,35,K:K)</f>
        <v>92497.117974570559</v>
      </c>
      <c r="E42" s="447">
        <f t="shared" ca="1" si="1"/>
        <v>1780249.7456176649</v>
      </c>
      <c r="F42" s="431"/>
      <c r="G42" s="459">
        <v>3</v>
      </c>
      <c r="H42" s="459">
        <v>35</v>
      </c>
      <c r="I42" s="444">
        <f t="shared" ca="1" si="5"/>
        <v>3901942.8630498671</v>
      </c>
      <c r="J42" s="444">
        <f t="array" ref="J42">IFERROR(INDEX('Retirement Calculator'!K:K,MATCH('Lorri 401b'!N42,'Retirement Calculator'!A:A,0),0),0)</f>
        <v>0</v>
      </c>
      <c r="K42" s="444">
        <f t="shared" ca="1" si="2"/>
        <v>16258.095262707777</v>
      </c>
      <c r="L42" s="444">
        <f t="shared" ca="1" si="3"/>
        <v>3918200.9583125748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1780249.7456176649</v>
      </c>
      <c r="C43" s="447">
        <f t="shared" si="0"/>
        <v>259863.64217494545</v>
      </c>
      <c r="D43" s="447">
        <f ca="1">SUMIF(G:G,36,K:K)</f>
        <v>83934.328954610319</v>
      </c>
      <c r="E43" s="447">
        <f t="shared" ca="1" si="1"/>
        <v>1604320.4323973297</v>
      </c>
      <c r="F43" s="431"/>
      <c r="G43" s="459">
        <v>3</v>
      </c>
      <c r="H43" s="459">
        <v>36</v>
      </c>
      <c r="I43" s="444">
        <f t="shared" ca="1" si="5"/>
        <v>3918200.9583125748</v>
      </c>
      <c r="J43" s="444">
        <f t="array" ref="J43">IFERROR(INDEX('Retirement Calculator'!K:K,MATCH('Lorri 401b'!N43,'Retirement Calculator'!A:A,0),0),0)</f>
        <v>0</v>
      </c>
      <c r="K43" s="444">
        <f t="shared" ca="1" si="2"/>
        <v>16325.837326302395</v>
      </c>
      <c r="L43" s="444">
        <f t="shared" ca="1" si="3"/>
        <v>3934526.795638877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1604320.4323973297</v>
      </c>
      <c r="C44" s="447">
        <f t="shared" si="0"/>
        <v>259863.64217494545</v>
      </c>
      <c r="D44" s="447">
        <f ca="1">SUMIF(G:G,37,K:K)</f>
        <v>74933.451397228055</v>
      </c>
      <c r="E44" s="447">
        <f t="shared" ca="1" si="1"/>
        <v>1419390.2416196123</v>
      </c>
      <c r="F44" s="431"/>
      <c r="G44" s="459">
        <v>4</v>
      </c>
      <c r="H44" s="459">
        <v>37</v>
      </c>
      <c r="I44" s="444">
        <f t="shared" ca="1" si="5"/>
        <v>3934526.795638877</v>
      </c>
      <c r="J44" s="444">
        <f t="array" ref="J44">IFERROR(INDEX('Retirement Calculator'!K:K,MATCH('Lorri 401b'!N44,'Retirement Calculator'!A:A,0),0),0)</f>
        <v>0</v>
      </c>
      <c r="K44" s="444">
        <f t="shared" ca="1" si="2"/>
        <v>16393.861648495324</v>
      </c>
      <c r="L44" s="444">
        <f t="shared" ca="1" si="3"/>
        <v>3950920.6572873723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1419390.2416196123</v>
      </c>
      <c r="C45" s="447">
        <f t="shared" si="0"/>
        <v>259863.64217494545</v>
      </c>
      <c r="D45" s="447">
        <f ca="1">SUMIF(G:G,38,K:K)</f>
        <v>65472.071861408993</v>
      </c>
      <c r="E45" s="447">
        <f t="shared" ca="1" si="1"/>
        <v>1224998.6713060758</v>
      </c>
      <c r="F45" s="431"/>
      <c r="G45" s="459">
        <v>4</v>
      </c>
      <c r="H45" s="459">
        <v>38</v>
      </c>
      <c r="I45" s="444">
        <f t="shared" ca="1" si="5"/>
        <v>3950920.6572873723</v>
      </c>
      <c r="J45" s="444">
        <f t="array" ref="J45">IFERROR(INDEX('Retirement Calculator'!K:K,MATCH('Lorri 401b'!N45,'Retirement Calculator'!A:A,0),0),0)</f>
        <v>0</v>
      </c>
      <c r="K45" s="444">
        <f t="shared" ca="1" si="2"/>
        <v>16462.169405364049</v>
      </c>
      <c r="L45" s="444">
        <f t="shared" ca="1" si="3"/>
        <v>3967382.8266927362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1224998.6713060758</v>
      </c>
      <c r="C46" s="447">
        <f t="shared" si="0"/>
        <v>259863.64217494545</v>
      </c>
      <c r="D46" s="447">
        <f ca="1">SUMIF(G:G,39,K:K)</f>
        <v>55526.630191958066</v>
      </c>
      <c r="E46" s="447">
        <f t="shared" ca="1" si="1"/>
        <v>1020661.6593230884</v>
      </c>
      <c r="F46" s="431"/>
      <c r="G46" s="459">
        <v>4</v>
      </c>
      <c r="H46" s="459">
        <v>39</v>
      </c>
      <c r="I46" s="444">
        <f t="shared" ca="1" si="5"/>
        <v>3967382.8266927362</v>
      </c>
      <c r="J46" s="444">
        <f t="array" ref="J46">IFERROR(INDEX('Retirement Calculator'!K:K,MATCH('Lorri 401b'!N46,'Retirement Calculator'!A:A,0),0),0)</f>
        <v>0</v>
      </c>
      <c r="K46" s="444">
        <f t="shared" ca="1" si="2"/>
        <v>16530.761777886401</v>
      </c>
      <c r="L46" s="444">
        <f t="shared" ca="1" si="3"/>
        <v>3983913.5884706224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1020661.6593230884</v>
      </c>
      <c r="C47" s="447">
        <f t="shared" si="0"/>
        <v>259863.64217494545</v>
      </c>
      <c r="D47" s="447">
        <f ca="1">SUMIF(G:G,40,K:K)</f>
        <v>45072.360851425954</v>
      </c>
      <c r="E47" s="447">
        <f t="shared" ca="1" si="1"/>
        <v>805870.37799956882</v>
      </c>
      <c r="F47" s="431"/>
      <c r="G47" s="459">
        <v>4</v>
      </c>
      <c r="H47" s="459">
        <v>40</v>
      </c>
      <c r="I47" s="444">
        <f t="shared" ca="1" si="5"/>
        <v>3983913.5884706224</v>
      </c>
      <c r="J47" s="444">
        <f t="array" ref="J47">IFERROR(INDEX('Retirement Calculator'!K:K,MATCH('Lorri 401b'!N47,'Retirement Calculator'!A:A,0),0),0)</f>
        <v>0</v>
      </c>
      <c r="K47" s="444">
        <f t="shared" ca="1" si="2"/>
        <v>16599.639951960926</v>
      </c>
      <c r="L47" s="444">
        <f t="shared" ca="1" si="3"/>
        <v>4000513.2284225835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805870.37799956882</v>
      </c>
      <c r="C48" s="447">
        <f t="shared" si="0"/>
        <v>259863.64217494545</v>
      </c>
      <c r="D48" s="447">
        <f ca="1">SUMIF(G:G,41,K:K)</f>
        <v>34083.23125046544</v>
      </c>
      <c r="E48" s="447">
        <f t="shared" ca="1" si="1"/>
        <v>580089.96707508876</v>
      </c>
      <c r="F48" s="431"/>
      <c r="G48" s="459">
        <v>4</v>
      </c>
      <c r="H48" s="459">
        <v>41</v>
      </c>
      <c r="I48" s="444">
        <f t="shared" ca="1" si="5"/>
        <v>4000513.2284225835</v>
      </c>
      <c r="J48" s="444">
        <f t="array" ref="J48">IFERROR(INDEX('Retirement Calculator'!K:K,MATCH('Lorri 401b'!N48,'Retirement Calculator'!A:A,0),0),0)</f>
        <v>0</v>
      </c>
      <c r="K48" s="444">
        <f t="shared" ca="1" si="2"/>
        <v>16668.805118427434</v>
      </c>
      <c r="L48" s="444">
        <f t="shared" ca="1" si="3"/>
        <v>4017182.0335410112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580089.96707508876</v>
      </c>
      <c r="C49" s="447">
        <f t="shared" si="0"/>
        <v>259863.64217494545</v>
      </c>
      <c r="D49" s="447">
        <f ca="1">SUMIF(G:G,42,K:K)</f>
        <v>22531.876923051444</v>
      </c>
      <c r="E49" s="447">
        <f t="shared" ca="1" si="1"/>
        <v>342758.20182319474</v>
      </c>
      <c r="F49" s="431"/>
      <c r="G49" s="459">
        <v>4</v>
      </c>
      <c r="H49" s="459">
        <v>42</v>
      </c>
      <c r="I49" s="444">
        <f t="shared" ca="1" si="5"/>
        <v>4017182.0335410112</v>
      </c>
      <c r="J49" s="444">
        <f t="array" ref="J49">IFERROR(INDEX('Retirement Calculator'!K:K,MATCH('Lorri 401b'!N49,'Retirement Calculator'!A:A,0),0),0)</f>
        <v>0</v>
      </c>
      <c r="K49" s="444">
        <f t="shared" ca="1" si="2"/>
        <v>16738.25847308755</v>
      </c>
      <c r="L49" s="444">
        <f t="shared" ca="1" si="3"/>
        <v>4033920.2920140987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342758.20182319474</v>
      </c>
      <c r="C50" s="447">
        <f t="shared" si="0"/>
        <v>259863.64217494545</v>
      </c>
      <c r="D50" s="447">
        <f ca="1">SUMIF(G:G,43,K:K)</f>
        <v>10389.533385142571</v>
      </c>
      <c r="E50" s="447">
        <f t="shared" ca="1" si="1"/>
        <v>93284.093033391866</v>
      </c>
      <c r="F50" s="431"/>
      <c r="G50" s="459">
        <v>4</v>
      </c>
      <c r="H50" s="459">
        <v>43</v>
      </c>
      <c r="I50" s="444">
        <f t="shared" ca="1" si="5"/>
        <v>4033920.2920140987</v>
      </c>
      <c r="J50" s="444">
        <f t="array" ref="J50">IFERROR(INDEX('Retirement Calculator'!K:K,MATCH('Lorri 401b'!N50,'Retirement Calculator'!A:A,0),0),0)</f>
        <v>0</v>
      </c>
      <c r="K50" s="444">
        <f t="shared" ca="1" si="2"/>
        <v>16808.00121672541</v>
      </c>
      <c r="L50" s="444">
        <f t="shared" ca="1" si="3"/>
        <v>4050728.2932308242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93284.093033391866</v>
      </c>
      <c r="C51" s="447">
        <f t="shared" si="0"/>
        <v>259863.64217494545</v>
      </c>
      <c r="D51" s="447">
        <f ca="1">SUMIF(G:G,44,K:K)</f>
        <v>-2374.0354928977217</v>
      </c>
      <c r="E51" s="447">
        <f t="shared" ca="1" si="1"/>
        <v>-168953.58463445131</v>
      </c>
      <c r="F51" s="431"/>
      <c r="G51" s="459">
        <v>4</v>
      </c>
      <c r="H51" s="459">
        <v>44</v>
      </c>
      <c r="I51" s="444">
        <f t="shared" ca="1" si="5"/>
        <v>4050728.2932308242</v>
      </c>
      <c r="J51" s="444">
        <f t="array" ref="J51">IFERROR(INDEX('Retirement Calculator'!K:K,MATCH('Lorri 401b'!N51,'Retirement Calculator'!A:A,0),0),0)</f>
        <v>0</v>
      </c>
      <c r="K51" s="444">
        <f t="shared" ca="1" si="2"/>
        <v>16878.034555128434</v>
      </c>
      <c r="L51" s="444">
        <f t="shared" ca="1" si="3"/>
        <v>4067606.3277859525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-168953.58463445131</v>
      </c>
      <c r="C52" s="447">
        <f t="shared" si="0"/>
        <v>259863.64217494545</v>
      </c>
      <c r="D52" s="447">
        <f ca="1">SUMIF(G:G,45,K:K)</f>
        <v>-15790.61277848278</v>
      </c>
      <c r="E52" s="447">
        <f t="shared" ca="1" si="1"/>
        <v>-444607.83958787954</v>
      </c>
      <c r="F52" s="431"/>
      <c r="G52" s="459">
        <v>4</v>
      </c>
      <c r="H52" s="459">
        <v>45</v>
      </c>
      <c r="I52" s="444">
        <f t="shared" ca="1" si="5"/>
        <v>4067606.3277859525</v>
      </c>
      <c r="J52" s="444">
        <f t="array" ref="J52">IFERROR(INDEX('Retirement Calculator'!K:K,MATCH('Lorri 401b'!N52,'Retirement Calculator'!A:A,0),0),0)</f>
        <v>0</v>
      </c>
      <c r="K52" s="444">
        <f t="shared" ca="1" si="2"/>
        <v>16948.359699108136</v>
      </c>
      <c r="L52" s="444">
        <f t="shared" ca="1" si="3"/>
        <v>4084554.6874850607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-444607.83958787954</v>
      </c>
      <c r="C53" s="447">
        <f t="shared" si="0"/>
        <v>259863.64217494545</v>
      </c>
      <c r="D53" s="447">
        <f ca="1">SUMIF(G:G,46,K:K)</f>
        <v>-29893.60762107532</v>
      </c>
      <c r="E53" s="447">
        <f t="shared" ca="1" si="1"/>
        <v>-734365.0893839004</v>
      </c>
      <c r="F53" s="431"/>
      <c r="G53" s="459">
        <v>4</v>
      </c>
      <c r="H53" s="459">
        <v>46</v>
      </c>
      <c r="I53" s="444">
        <f t="shared" ca="1" si="5"/>
        <v>4084554.6874850607</v>
      </c>
      <c r="J53" s="444">
        <f t="array" ref="J53">IFERROR(INDEX('Retirement Calculator'!K:K,MATCH('Lorri 401b'!N53,'Retirement Calculator'!A:A,0),0),0)</f>
        <v>0</v>
      </c>
      <c r="K53" s="444">
        <f t="shared" ca="1" si="2"/>
        <v>17018.977864521083</v>
      </c>
      <c r="L53" s="444">
        <f t="shared" ca="1" si="3"/>
        <v>4101573.6653495817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-734365.0893839004</v>
      </c>
      <c r="C54" s="447">
        <f t="shared" si="0"/>
        <v>259863.64217494545</v>
      </c>
      <c r="D54" s="447">
        <f ca="1">SUMIF(G:G,47,K:K)</f>
        <v>-44718.138445631179</v>
      </c>
      <c r="E54" s="447">
        <f t="shared" ca="1" si="1"/>
        <v>-1038946.870004477</v>
      </c>
      <c r="F54" s="431"/>
      <c r="G54" s="459">
        <v>4</v>
      </c>
      <c r="H54" s="459">
        <v>47</v>
      </c>
      <c r="I54" s="444">
        <f t="shared" ca="1" si="5"/>
        <v>4101573.6653495817</v>
      </c>
      <c r="J54" s="444">
        <f t="array" ref="J54">IFERROR(INDEX('Retirement Calculator'!K:K,MATCH('Lorri 401b'!N54,'Retirement Calculator'!A:A,0),0),0)</f>
        <v>0</v>
      </c>
      <c r="K54" s="444">
        <f t="shared" ca="1" si="2"/>
        <v>17089.890272289926</v>
      </c>
      <c r="L54" s="444">
        <f t="shared" ca="1" si="3"/>
        <v>4118663.5556218717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-1038946.870004477</v>
      </c>
      <c r="C55" s="447">
        <f t="shared" si="0"/>
        <v>259863.64217494545</v>
      </c>
      <c r="D55" s="447">
        <f ca="1">SUMIF(G:G,48,K:K)</f>
        <v>-60301.120402377586</v>
      </c>
      <c r="E55" s="447">
        <f t="shared" ca="1" si="1"/>
        <v>-1359111.6325818</v>
      </c>
      <c r="F55" s="431"/>
      <c r="G55" s="459">
        <v>4</v>
      </c>
      <c r="H55" s="459">
        <v>48</v>
      </c>
      <c r="I55" s="444">
        <f t="shared" ca="1" si="5"/>
        <v>4118663.5556218717</v>
      </c>
      <c r="J55" s="444">
        <f t="array" ref="J55">IFERROR(INDEX('Retirement Calculator'!K:K,MATCH('Lorri 401b'!N55,'Retirement Calculator'!A:A,0),0),0)</f>
        <v>0</v>
      </c>
      <c r="K55" s="444">
        <f t="shared" ca="1" si="2"/>
        <v>17161.098148424466</v>
      </c>
      <c r="L55" s="444">
        <f t="shared" ca="1" si="3"/>
        <v>4135824.6537702964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-1359111.6325818</v>
      </c>
      <c r="C56" s="447">
        <f t="shared" si="0"/>
        <v>259863.64217494545</v>
      </c>
      <c r="D56" s="447">
        <f ca="1">SUMIF(G:G,49,K:K)</f>
        <v>-76681.357290687971</v>
      </c>
      <c r="E56" s="447">
        <f t="shared" ca="1" si="1"/>
        <v>-1695656.6320474334</v>
      </c>
      <c r="F56" s="431"/>
      <c r="G56" s="459">
        <f>G55+1</f>
        <v>5</v>
      </c>
      <c r="H56" s="459">
        <v>49</v>
      </c>
      <c r="I56" s="444">
        <f t="shared" ca="1" si="5"/>
        <v>4135824.6537702964</v>
      </c>
      <c r="J56" s="444">
        <f t="array" ref="J56">IFERROR(INDEX('Retirement Calculator'!K:K,MATCH('Lorri 401b'!N56,'Retirement Calculator'!A:A,0),0),0)</f>
        <v>0</v>
      </c>
      <c r="K56" s="444">
        <f t="shared" ca="1" si="2"/>
        <v>17232.602724042903</v>
      </c>
      <c r="L56" s="444">
        <f t="shared" ca="1" si="3"/>
        <v>4153057.2564943391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-1695656.6320474334</v>
      </c>
      <c r="C57" s="447">
        <f t="shared" si="0"/>
        <v>259863.64217494545</v>
      </c>
      <c r="D57" s="447">
        <f ca="1">SUMIF(G:G,50,K:K)</f>
        <v>-93899.63818595669</v>
      </c>
      <c r="E57" s="447">
        <f t="shared" ca="1" si="1"/>
        <v>-2049419.9124083356</v>
      </c>
      <c r="F57" s="431"/>
      <c r="G57" s="459">
        <f t="shared" ref="G57:G67" si="8">G56</f>
        <v>5</v>
      </c>
      <c r="H57" s="459">
        <v>50</v>
      </c>
      <c r="I57" s="444">
        <f t="shared" ca="1" si="5"/>
        <v>4153057.2564943391</v>
      </c>
      <c r="J57" s="444">
        <f t="array" ref="J57">IFERROR(INDEX('Retirement Calculator'!K:K,MATCH('Lorri 401b'!N57,'Retirement Calculator'!A:A,0),0),0)</f>
        <v>0</v>
      </c>
      <c r="K57" s="444">
        <f t="shared" ca="1" si="2"/>
        <v>17304.405235393078</v>
      </c>
      <c r="L57" s="444">
        <f t="shared" ca="1" si="3"/>
        <v>4170361.6617297321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-2049419.9124083356</v>
      </c>
      <c r="C58" s="447">
        <f t="shared" si="0"/>
        <v>259863.64217494545</v>
      </c>
      <c r="D58" s="447">
        <f ca="1">SUMIF(G:G,51,K:K)</f>
        <v>-111998.83901008815</v>
      </c>
      <c r="E58" s="447">
        <f t="shared" ca="1" si="1"/>
        <v>-2421282.3935933695</v>
      </c>
      <c r="F58" s="431"/>
      <c r="G58" s="459">
        <f t="shared" si="8"/>
        <v>5</v>
      </c>
      <c r="H58" s="459">
        <v>51</v>
      </c>
      <c r="I58" s="444">
        <f t="shared" ca="1" si="5"/>
        <v>4170361.6617297321</v>
      </c>
      <c r="J58" s="444">
        <f t="array" ref="J58">IFERROR(INDEX('Retirement Calculator'!K:K,MATCH('Lorri 401b'!N58,'Retirement Calculator'!A:A,0),0),0)</f>
        <v>0</v>
      </c>
      <c r="K58" s="444">
        <f t="shared" ca="1" si="2"/>
        <v>17376.50692387388</v>
      </c>
      <c r="L58" s="444">
        <f t="shared" ca="1" si="3"/>
        <v>4187738.168653606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-2421282.3935933695</v>
      </c>
      <c r="C59" s="447">
        <f t="shared" si="0"/>
        <v>259863.64217494545</v>
      </c>
      <c r="D59" s="447">
        <f ca="1">SUMIF(G:G,52,K:K)</f>
        <v>-131024.02929852481</v>
      </c>
      <c r="E59" s="447">
        <f t="shared" ca="1" si="1"/>
        <v>-2812170.06506684</v>
      </c>
      <c r="F59" s="431"/>
      <c r="G59" s="459">
        <f t="shared" si="8"/>
        <v>5</v>
      </c>
      <c r="H59" s="459">
        <v>52</v>
      </c>
      <c r="I59" s="444">
        <f t="shared" ca="1" si="5"/>
        <v>4187738.168653606</v>
      </c>
      <c r="J59" s="444">
        <f t="array" ref="J59">IFERROR(INDEX('Retirement Calculator'!K:K,MATCH('Lorri 401b'!N59,'Retirement Calculator'!A:A,0),0),0)</f>
        <v>0</v>
      </c>
      <c r="K59" s="444">
        <f t="shared" ca="1" si="2"/>
        <v>17448.909036056692</v>
      </c>
      <c r="L59" s="444">
        <f t="shared" ca="1" si="3"/>
        <v>4205187.0776896626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-2812170.06506684</v>
      </c>
      <c r="C60" s="447">
        <f t="shared" si="0"/>
        <v>259863.64217494545</v>
      </c>
      <c r="D60" s="447">
        <f ca="1">SUMIF(G:G,53,K:K)</f>
        <v>-151022.584429679</v>
      </c>
      <c r="E60" s="447">
        <f t="shared" ca="1" si="1"/>
        <v>-3223056.2916714647</v>
      </c>
      <c r="F60" s="431"/>
      <c r="G60" s="459">
        <f t="shared" si="8"/>
        <v>5</v>
      </c>
      <c r="H60" s="459">
        <v>53</v>
      </c>
      <c r="I60" s="444">
        <f t="shared" ca="1" si="5"/>
        <v>4205187.0776896626</v>
      </c>
      <c r="J60" s="444">
        <f t="array" ref="J60">IFERROR(INDEX('Retirement Calculator'!K:K,MATCH('Lorri 401b'!N60,'Retirement Calculator'!A:A,0),0),0)</f>
        <v>0</v>
      </c>
      <c r="K60" s="444">
        <f t="shared" ca="1" si="2"/>
        <v>17521.612823706928</v>
      </c>
      <c r="L60" s="444">
        <f t="shared" ca="1" si="3"/>
        <v>4222708.6905133696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-3223056.2916714647</v>
      </c>
      <c r="C61" s="447">
        <f t="shared" si="0"/>
        <v>259863.64217494545</v>
      </c>
      <c r="D61" s="447">
        <f ca="1">SUMIF(G:G,54,K:K)</f>
        <v>-172044.30359623552</v>
      </c>
      <c r="E61" s="447">
        <f t="shared" ca="1" si="1"/>
        <v>-3654964.2374426457</v>
      </c>
      <c r="F61" s="431"/>
      <c r="G61" s="459">
        <f t="shared" si="8"/>
        <v>5</v>
      </c>
      <c r="H61" s="459">
        <v>54</v>
      </c>
      <c r="I61" s="444">
        <f t="shared" ca="1" si="5"/>
        <v>4222708.6905133696</v>
      </c>
      <c r="J61" s="444">
        <f t="array" ref="J61">IFERROR(INDEX('Retirement Calculator'!K:K,MATCH('Lorri 401b'!N61,'Retirement Calculator'!A:A,0),0),0)</f>
        <v>0</v>
      </c>
      <c r="K61" s="444">
        <f t="shared" ca="1" si="2"/>
        <v>17594.619543805708</v>
      </c>
      <c r="L61" s="444">
        <f t="shared" ca="1" si="3"/>
        <v>4240303.3100571753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-3654964.2374426457</v>
      </c>
      <c r="C62" s="447">
        <f t="shared" si="0"/>
        <v>259863.64217494545</v>
      </c>
      <c r="D62" s="447">
        <f ca="1">SUMIF(G:G,55,K:K)</f>
        <v>-194141.53381208982</v>
      </c>
      <c r="E62" s="447">
        <f t="shared" ca="1" si="1"/>
        <v>-4108969.4134296812</v>
      </c>
      <c r="F62" s="431"/>
      <c r="G62" s="459">
        <f t="shared" si="8"/>
        <v>5</v>
      </c>
      <c r="H62" s="459">
        <v>55</v>
      </c>
      <c r="I62" s="444">
        <f t="shared" ca="1" si="5"/>
        <v>4240303.3100571753</v>
      </c>
      <c r="J62" s="444">
        <f t="array" ref="J62">IFERROR(INDEX('Retirement Calculator'!K:K,MATCH('Lorri 401b'!N62,'Retirement Calculator'!A:A,0),0),0)</f>
        <v>0</v>
      </c>
      <c r="K62" s="444">
        <f t="shared" ca="1" si="2"/>
        <v>17667.930458571565</v>
      </c>
      <c r="L62" s="444">
        <f t="shared" ca="1" si="3"/>
        <v>4257971.2405157471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-4108969.4134296812</v>
      </c>
      <c r="C63" s="447">
        <f t="shared" si="0"/>
        <v>259863.64217494545</v>
      </c>
      <c r="D63" s="447">
        <f ca="1">SUMIF(G:G,56,K:K)</f>
        <v>-217369.30026371678</v>
      </c>
      <c r="E63" s="447">
        <f t="shared" ca="1" si="1"/>
        <v>-4586202.3558683433</v>
      </c>
      <c r="F63" s="431"/>
      <c r="G63" s="459">
        <f t="shared" si="8"/>
        <v>5</v>
      </c>
      <c r="H63" s="459">
        <v>56</v>
      </c>
      <c r="I63" s="444">
        <f t="shared" ca="1" si="5"/>
        <v>4257971.2405157471</v>
      </c>
      <c r="J63" s="444">
        <f t="array" ref="J63">IFERROR(INDEX('Retirement Calculator'!K:K,MATCH('Lorri 401b'!N63,'Retirement Calculator'!A:A,0),0),0)</f>
        <v>0</v>
      </c>
      <c r="K63" s="444">
        <f t="shared" ca="1" si="2"/>
        <v>17741.546835482281</v>
      </c>
      <c r="L63" s="444">
        <f t="shared" ca="1" si="3"/>
        <v>4275712.7873512292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-4586202.3558683433</v>
      </c>
      <c r="C64" s="447">
        <f t="shared" si="0"/>
        <v>259863.64217494545</v>
      </c>
      <c r="D64" s="447">
        <f ca="1">SUMIF(G:G,57,K:K)</f>
        <v>-241785.4433305625</v>
      </c>
      <c r="E64" s="447">
        <f t="shared" ca="1" si="1"/>
        <v>-5087851.4413738512</v>
      </c>
      <c r="F64" s="431"/>
      <c r="G64" s="459">
        <f t="shared" si="8"/>
        <v>5</v>
      </c>
      <c r="H64" s="459">
        <v>57</v>
      </c>
      <c r="I64" s="444">
        <f t="shared" ca="1" si="5"/>
        <v>4275712.7873512292</v>
      </c>
      <c r="J64" s="444">
        <f t="array" ref="J64">IFERROR(INDEX('Retirement Calculator'!K:K,MATCH('Lorri 401b'!N64,'Retirement Calculator'!A:A,0),0),0)</f>
        <v>0</v>
      </c>
      <c r="K64" s="444">
        <f t="shared" ca="1" si="2"/>
        <v>17815.469947296788</v>
      </c>
      <c r="L64" s="444">
        <f t="shared" ca="1" si="3"/>
        <v>4293528.2572985264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-5087851.4413738512</v>
      </c>
      <c r="C65" s="447">
        <f t="shared" si="0"/>
        <v>259863.64217494545</v>
      </c>
      <c r="D65" s="447">
        <f ca="1">SUMIF(G:G,58,K:K)</f>
        <v>-267450.76261565991</v>
      </c>
      <c r="E65" s="447">
        <f t="shared" ca="1" si="1"/>
        <v>-5615165.8461644566</v>
      </c>
      <c r="F65" s="431"/>
      <c r="G65" s="459">
        <f t="shared" si="8"/>
        <v>5</v>
      </c>
      <c r="H65" s="459">
        <v>58</v>
      </c>
      <c r="I65" s="444">
        <f t="shared" ca="1" si="5"/>
        <v>4293528.2572985264</v>
      </c>
      <c r="J65" s="444">
        <f t="array" ref="J65">IFERROR(INDEX('Retirement Calculator'!K:K,MATCH('Lorri 401b'!N65,'Retirement Calculator'!A:A,0),0),0)</f>
        <v>0</v>
      </c>
      <c r="K65" s="444">
        <f t="shared" ca="1" si="2"/>
        <v>17889.701072077194</v>
      </c>
      <c r="L65" s="444">
        <f t="shared" ca="1" si="3"/>
        <v>4311417.9583706036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-5615165.8461644566</v>
      </c>
      <c r="C66" s="447">
        <f t="shared" si="0"/>
        <v>259863.64217494545</v>
      </c>
      <c r="D66" s="447">
        <f ca="1">SUMIF(G:G,59,K:K)</f>
        <v>-294429.16834512359</v>
      </c>
      <c r="E66" s="447">
        <f t="shared" ca="1" si="1"/>
        <v>-6169458.6566845253</v>
      </c>
      <c r="F66" s="431"/>
      <c r="G66" s="459">
        <f t="shared" si="8"/>
        <v>5</v>
      </c>
      <c r="H66" s="459">
        <v>59</v>
      </c>
      <c r="I66" s="444">
        <f t="shared" ca="1" si="5"/>
        <v>4311417.9583706036</v>
      </c>
      <c r="J66" s="444">
        <f t="array" ref="J66">IFERROR(INDEX('Retirement Calculator'!K:K,MATCH('Lorri 401b'!N66,'Retirement Calculator'!A:A,0),0),0)</f>
        <v>0</v>
      </c>
      <c r="K66" s="444">
        <f t="shared" ca="1" si="2"/>
        <v>17964.241493210848</v>
      </c>
      <c r="L66" s="444">
        <f t="shared" ca="1" si="3"/>
        <v>4329382.1998638147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-6169458.6566845253</v>
      </c>
      <c r="C67" s="447">
        <f t="shared" si="0"/>
        <v>259863.64217494545</v>
      </c>
      <c r="D67" s="447">
        <f t="shared" ref="D67:D71" ca="1" si="9">SUMIF(G:G,60,K:K)</f>
        <v>-322787.84051353001</v>
      </c>
      <c r="E67" s="447">
        <f t="shared" ca="1" si="1"/>
        <v>-6752110.1393730007</v>
      </c>
      <c r="F67" s="431"/>
      <c r="G67" s="459">
        <f t="shared" si="8"/>
        <v>5</v>
      </c>
      <c r="H67" s="459">
        <v>60</v>
      </c>
      <c r="I67" s="444">
        <f t="shared" ca="1" si="5"/>
        <v>4329382.1998638147</v>
      </c>
      <c r="J67" s="444">
        <f t="array" ref="J67">IFERROR(INDEX('Retirement Calculator'!K:K,MATCH('Lorri 401b'!N67,'Retirement Calculator'!A:A,0),0),0)</f>
        <v>0</v>
      </c>
      <c r="K67" s="444">
        <f t="shared" ca="1" si="2"/>
        <v>18039.092499432561</v>
      </c>
      <c r="L67" s="444">
        <f t="shared" ca="1" si="3"/>
        <v>4347421.2923632469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-6752110.1393730007</v>
      </c>
      <c r="C68" s="447">
        <f t="shared" si="0"/>
        <v>259863.64217494545</v>
      </c>
      <c r="D68" s="447">
        <f t="shared" ca="1" si="9"/>
        <v>-322787.84051353001</v>
      </c>
      <c r="E68" s="447">
        <f t="shared" ca="1" si="1"/>
        <v>-7334761.6220614761</v>
      </c>
      <c r="F68" s="431"/>
      <c r="G68" s="459">
        <f>G67+1</f>
        <v>6</v>
      </c>
      <c r="H68" s="459">
        <v>61</v>
      </c>
      <c r="I68" s="444">
        <f t="shared" ca="1" si="5"/>
        <v>4347421.2923632469</v>
      </c>
      <c r="J68" s="444">
        <f t="array" ref="J68">IFERROR(INDEX('Retirement Calculator'!K:K,MATCH('Lorri 401b'!N68,'Retirement Calculator'!A:A,0),0),0)</f>
        <v>0</v>
      </c>
      <c r="K68" s="444">
        <f t="shared" ca="1" si="2"/>
        <v>18114.255384846863</v>
      </c>
      <c r="L68" s="444">
        <f t="shared" ca="1" si="3"/>
        <v>4365535.5477480935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-7334761.6220614761</v>
      </c>
      <c r="C69" s="447">
        <f t="shared" si="0"/>
        <v>259863.64217494545</v>
      </c>
      <c r="D69" s="447">
        <f t="shared" ca="1" si="9"/>
        <v>-322787.84051353001</v>
      </c>
      <c r="E69" s="447">
        <f t="shared" ca="1" si="1"/>
        <v>-7917413.1047499515</v>
      </c>
      <c r="F69" s="431"/>
      <c r="G69" s="459">
        <f t="shared" ref="G69:G79" si="10">G68</f>
        <v>6</v>
      </c>
      <c r="H69" s="459">
        <v>62</v>
      </c>
      <c r="I69" s="444">
        <f t="shared" ca="1" si="5"/>
        <v>4365535.5477480935</v>
      </c>
      <c r="J69" s="444">
        <f t="array" ref="J69">IFERROR(INDEX('Retirement Calculator'!K:K,MATCH('Lorri 401b'!N69,'Retirement Calculator'!A:A,0),0),0)</f>
        <v>0</v>
      </c>
      <c r="K69" s="444">
        <f t="shared" ca="1" si="2"/>
        <v>18189.731448950388</v>
      </c>
      <c r="L69" s="444">
        <f t="shared" ca="1" si="3"/>
        <v>4383725.2791970437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-7917413.1047499515</v>
      </c>
      <c r="C70" s="447">
        <f t="shared" si="0"/>
        <v>259863.64217494545</v>
      </c>
      <c r="D70" s="447">
        <f t="shared" ca="1" si="9"/>
        <v>-322787.84051353001</v>
      </c>
      <c r="E70" s="447">
        <f t="shared" ca="1" si="1"/>
        <v>-8500064.5874384269</v>
      </c>
      <c r="F70" s="431"/>
      <c r="G70" s="459">
        <f t="shared" si="10"/>
        <v>6</v>
      </c>
      <c r="H70" s="459">
        <v>63</v>
      </c>
      <c r="I70" s="444">
        <f t="shared" ca="1" si="5"/>
        <v>4383725.2791970437</v>
      </c>
      <c r="J70" s="444">
        <f t="array" ref="J70">IFERROR(INDEX('Retirement Calculator'!K:K,MATCH('Lorri 401b'!N70,'Retirement Calculator'!A:A,0),0),0)</f>
        <v>0</v>
      </c>
      <c r="K70" s="444">
        <f t="shared" ca="1" si="2"/>
        <v>18265.521996654348</v>
      </c>
      <c r="L70" s="444">
        <f t="shared" ca="1" si="3"/>
        <v>4401990.8011936983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-8500064.5874384269</v>
      </c>
      <c r="C71" s="447">
        <f t="shared" si="0"/>
        <v>259863.64217494545</v>
      </c>
      <c r="D71" s="447">
        <f t="shared" ca="1" si="9"/>
        <v>-322787.84051353001</v>
      </c>
      <c r="E71" s="447">
        <f t="shared" ca="1" si="1"/>
        <v>-9082716.0701269023</v>
      </c>
      <c r="F71" s="431"/>
      <c r="G71" s="459">
        <f t="shared" si="10"/>
        <v>6</v>
      </c>
      <c r="H71" s="459">
        <v>64</v>
      </c>
      <c r="I71" s="444">
        <f t="shared" ca="1" si="5"/>
        <v>4401990.8011936983</v>
      </c>
      <c r="J71" s="444">
        <f t="array" ref="J71">IFERROR(INDEX('Retirement Calculator'!K:K,MATCH('Lorri 401b'!N71,'Retirement Calculator'!A:A,0),0),0)</f>
        <v>0</v>
      </c>
      <c r="K71" s="444">
        <f t="shared" ca="1" si="2"/>
        <v>18341.628338307077</v>
      </c>
      <c r="L71" s="444">
        <f t="shared" ca="1" si="3"/>
        <v>4420332.4295320055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31"/>
      <c r="C72" s="431"/>
      <c r="D72" s="431"/>
      <c r="E72" s="431"/>
      <c r="F72" s="431"/>
      <c r="G72" s="459">
        <f t="shared" si="10"/>
        <v>6</v>
      </c>
      <c r="H72" s="459">
        <v>65</v>
      </c>
      <c r="I72" s="444">
        <f t="shared" ca="1" si="5"/>
        <v>4420332.4295320055</v>
      </c>
      <c r="J72" s="444">
        <f t="array" ref="J72">IFERROR(INDEX('Retirement Calculator'!K:K,MATCH('Lorri 401b'!N72,'Retirement Calculator'!A:A,0),0),0)</f>
        <v>0</v>
      </c>
      <c r="K72" s="444">
        <f t="shared" ca="1" si="2"/>
        <v>18418.05178971669</v>
      </c>
      <c r="L72" s="444">
        <f t="shared" ca="1" si="3"/>
        <v>4438750.4813217223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31"/>
      <c r="C73" s="431"/>
      <c r="D73" s="431"/>
      <c r="E73" s="431"/>
      <c r="F73" s="431"/>
      <c r="G73" s="459">
        <f t="shared" si="10"/>
        <v>6</v>
      </c>
      <c r="H73" s="459">
        <v>66</v>
      </c>
      <c r="I73" s="444">
        <f t="shared" ca="1" si="5"/>
        <v>4438750.4813217223</v>
      </c>
      <c r="J73" s="444">
        <f t="array" ref="J73">IFERROR(INDEX('Retirement Calculator'!K:K,MATCH('Lorri 401b'!N73,'Retirement Calculator'!A:A,0),0),0)</f>
        <v>0</v>
      </c>
      <c r="K73" s="444">
        <f t="shared" ca="1" si="2"/>
        <v>18494.793672173844</v>
      </c>
      <c r="L73" s="444">
        <f t="shared" ca="1" si="3"/>
        <v>4457245.2749938965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31"/>
      <c r="C74" s="431"/>
      <c r="D74" s="431"/>
      <c r="E74" s="431"/>
      <c r="F74" s="431"/>
      <c r="G74" s="459">
        <f t="shared" si="10"/>
        <v>6</v>
      </c>
      <c r="H74" s="459">
        <v>67</v>
      </c>
      <c r="I74" s="444">
        <f t="shared" ca="1" si="5"/>
        <v>4457245.2749938965</v>
      </c>
      <c r="J74" s="444">
        <f t="array" ref="J74">IFERROR(INDEX('Retirement Calculator'!K:K,MATCH('Lorri 401b'!N74,'Retirement Calculator'!A:A,0),0),0)</f>
        <v>0</v>
      </c>
      <c r="K74" s="444">
        <f t="shared" ca="1" si="2"/>
        <v>18571.855312474567</v>
      </c>
      <c r="L74" s="444">
        <f t="shared" ca="1" si="3"/>
        <v>4475817.1303063715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31"/>
      <c r="C75" s="431"/>
      <c r="D75" s="431"/>
      <c r="E75" s="431"/>
      <c r="F75" s="431"/>
      <c r="G75" s="459">
        <f t="shared" si="10"/>
        <v>6</v>
      </c>
      <c r="H75" s="459">
        <v>68</v>
      </c>
      <c r="I75" s="444">
        <f t="shared" ca="1" si="5"/>
        <v>4475817.1303063715</v>
      </c>
      <c r="J75" s="444">
        <f t="array" ref="J75">IFERROR(INDEX('Retirement Calculator'!K:K,MATCH('Lorri 401b'!N75,'Retirement Calculator'!A:A,0),0),0)</f>
        <v>23399.203914578786</v>
      </c>
      <c r="K75" s="444">
        <f t="shared" ca="1" si="2"/>
        <v>18551.741359965803</v>
      </c>
      <c r="L75" s="444">
        <f t="shared" ca="1" si="3"/>
        <v>4470969.6677517584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31"/>
      <c r="C76" s="431"/>
      <c r="D76" s="431"/>
      <c r="E76" s="431"/>
      <c r="F76" s="431"/>
      <c r="G76" s="459">
        <f t="shared" si="10"/>
        <v>6</v>
      </c>
      <c r="H76" s="459">
        <v>69</v>
      </c>
      <c r="I76" s="444">
        <f t="shared" ca="1" si="5"/>
        <v>4470969.6677517584</v>
      </c>
      <c r="J76" s="444">
        <f t="array" ref="J76">IFERROR(INDEX('Retirement Calculator'!K:K,MATCH('Lorri 401b'!N76,'Retirement Calculator'!A:A,0),0),0)</f>
        <v>23399.203914578786</v>
      </c>
      <c r="K76" s="444">
        <f t="shared" ca="1" si="2"/>
        <v>18531.54359932158</v>
      </c>
      <c r="L76" s="444">
        <f t="shared" ca="1" si="3"/>
        <v>4466102.0074365009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31"/>
      <c r="C77" s="431"/>
      <c r="D77" s="431"/>
      <c r="E77" s="431"/>
      <c r="F77" s="431"/>
      <c r="G77" s="459">
        <f t="shared" si="10"/>
        <v>6</v>
      </c>
      <c r="H77" s="459">
        <v>70</v>
      </c>
      <c r="I77" s="444">
        <f t="shared" ca="1" si="5"/>
        <v>4466102.0074365009</v>
      </c>
      <c r="J77" s="444">
        <f t="array" ref="J77">IFERROR(INDEX('Retirement Calculator'!K:K,MATCH('Lorri 401b'!N77,'Retirement Calculator'!A:A,0),0),0)</f>
        <v>23399.203914578786</v>
      </c>
      <c r="K77" s="444">
        <f t="shared" ca="1" si="2"/>
        <v>18511.261681341341</v>
      </c>
      <c r="L77" s="444">
        <f t="shared" ca="1" si="3"/>
        <v>4461214.0652032634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31"/>
      <c r="C78" s="431"/>
      <c r="D78" s="431"/>
      <c r="E78" s="431"/>
      <c r="F78" s="431"/>
      <c r="G78" s="459">
        <f t="shared" si="10"/>
        <v>6</v>
      </c>
      <c r="H78" s="459">
        <v>71</v>
      </c>
      <c r="I78" s="444">
        <f t="shared" ca="1" si="5"/>
        <v>4461214.0652032634</v>
      </c>
      <c r="J78" s="444">
        <f t="array" ref="J78">IFERROR(INDEX('Retirement Calculator'!K:K,MATCH('Lorri 401b'!N78,'Retirement Calculator'!A:A,0),0),0)</f>
        <v>23399.203914578786</v>
      </c>
      <c r="K78" s="444">
        <f t="shared" ca="1" si="2"/>
        <v>18490.89525536952</v>
      </c>
      <c r="L78" s="444">
        <f t="shared" ca="1" si="3"/>
        <v>4456305.7565440536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31"/>
      <c r="C79" s="431"/>
      <c r="D79" s="431"/>
      <c r="E79" s="431"/>
      <c r="F79" s="431"/>
      <c r="G79" s="459">
        <f t="shared" si="10"/>
        <v>6</v>
      </c>
      <c r="H79" s="459">
        <v>72</v>
      </c>
      <c r="I79" s="444">
        <f t="shared" ca="1" si="5"/>
        <v>4456305.7565440536</v>
      </c>
      <c r="J79" s="444">
        <f t="array" ref="J79">IFERROR(INDEX('Retirement Calculator'!K:K,MATCH('Lorri 401b'!N79,'Retirement Calculator'!A:A,0),0),0)</f>
        <v>23399.203914578786</v>
      </c>
      <c r="K79" s="444">
        <f t="shared" ca="1" si="2"/>
        <v>18470.443969289478</v>
      </c>
      <c r="L79" s="444">
        <f t="shared" ca="1" si="3"/>
        <v>4451376.9965987643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31"/>
      <c r="C80" s="431"/>
      <c r="D80" s="431"/>
      <c r="E80" s="431"/>
      <c r="F80" s="431"/>
      <c r="G80" s="459">
        <f>G79+1</f>
        <v>7</v>
      </c>
      <c r="H80" s="459">
        <v>73</v>
      </c>
      <c r="I80" s="444">
        <f t="shared" ca="1" si="5"/>
        <v>4451376.9965987643</v>
      </c>
      <c r="J80" s="444">
        <f t="array" ref="J80">IFERROR(INDEX('Retirement Calculator'!K:K,MATCH('Lorri 401b'!N80,'Retirement Calculator'!A:A,0),0),0)</f>
        <v>23399.203914578786</v>
      </c>
      <c r="K80" s="444">
        <f t="shared" ca="1" si="2"/>
        <v>18449.907469517439</v>
      </c>
      <c r="L80" s="444">
        <f t="shared" ca="1" si="3"/>
        <v>4446427.7001537029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31"/>
      <c r="C81" s="431"/>
      <c r="D81" s="431"/>
      <c r="E81" s="431"/>
      <c r="F81" s="431"/>
      <c r="G81" s="459">
        <f t="shared" ref="G81:G91" si="11">G80</f>
        <v>7</v>
      </c>
      <c r="H81" s="459">
        <v>74</v>
      </c>
      <c r="I81" s="444">
        <f t="shared" ca="1" si="5"/>
        <v>4446427.7001537029</v>
      </c>
      <c r="J81" s="444">
        <f t="array" ref="J81">IFERROR(INDEX('Retirement Calculator'!K:K,MATCH('Lorri 401b'!N81,'Retirement Calculator'!A:A,0),0),0)</f>
        <v>23399.203914578786</v>
      </c>
      <c r="K81" s="444">
        <f t="shared" ca="1" si="2"/>
        <v>18429.285400996348</v>
      </c>
      <c r="L81" s="444">
        <f t="shared" ca="1" si="3"/>
        <v>4441457.7816401199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31"/>
      <c r="C82" s="431"/>
      <c r="D82" s="431"/>
      <c r="E82" s="431"/>
      <c r="F82" s="431"/>
      <c r="G82" s="459">
        <f t="shared" si="11"/>
        <v>7</v>
      </c>
      <c r="H82" s="459">
        <v>75</v>
      </c>
      <c r="I82" s="444">
        <f t="shared" ca="1" si="5"/>
        <v>4441457.7816401199</v>
      </c>
      <c r="J82" s="444">
        <f t="array" ref="J82">IFERROR(INDEX('Retirement Calculator'!K:K,MATCH('Lorri 401b'!N82,'Retirement Calculator'!A:A,0),0),0)</f>
        <v>23399.203914578786</v>
      </c>
      <c r="K82" s="444">
        <f t="shared" ca="1" si="2"/>
        <v>18408.577407189754</v>
      </c>
      <c r="L82" s="444">
        <f t="shared" ca="1" si="3"/>
        <v>4436467.1551327305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31"/>
      <c r="C83" s="431"/>
      <c r="D83" s="431"/>
      <c r="E83" s="431"/>
      <c r="F83" s="431"/>
      <c r="G83" s="459">
        <f t="shared" si="11"/>
        <v>7</v>
      </c>
      <c r="H83" s="459">
        <v>76</v>
      </c>
      <c r="I83" s="444">
        <f t="shared" ca="1" si="5"/>
        <v>4436467.1551327305</v>
      </c>
      <c r="J83" s="444">
        <f t="array" ref="J83">IFERROR(INDEX('Retirement Calculator'!K:K,MATCH('Lorri 401b'!N83,'Retirement Calculator'!A:A,0),0),0)</f>
        <v>23399.203914578786</v>
      </c>
      <c r="K83" s="444">
        <f t="shared" ca="1" si="2"/>
        <v>18387.78313007563</v>
      </c>
      <c r="L83" s="444">
        <f t="shared" ca="1" si="3"/>
        <v>4431455.7343482273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31"/>
      <c r="C84" s="431"/>
      <c r="D84" s="431"/>
      <c r="E84" s="431"/>
      <c r="F84" s="431"/>
      <c r="G84" s="459">
        <f t="shared" si="11"/>
        <v>7</v>
      </c>
      <c r="H84" s="459">
        <v>77</v>
      </c>
      <c r="I84" s="444">
        <f t="shared" ca="1" si="5"/>
        <v>4431455.7343482273</v>
      </c>
      <c r="J84" s="444">
        <f t="array" ref="J84">IFERROR(INDEX('Retirement Calculator'!K:K,MATCH('Lorri 401b'!N84,'Retirement Calculator'!A:A,0),0),0)</f>
        <v>23399.203914578786</v>
      </c>
      <c r="K84" s="444">
        <f t="shared" ca="1" si="2"/>
        <v>18366.902210140201</v>
      </c>
      <c r="L84" s="444">
        <f t="shared" ca="1" si="3"/>
        <v>4426423.4326437889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31"/>
      <c r="C85" s="431"/>
      <c r="D85" s="431"/>
      <c r="E85" s="431"/>
      <c r="F85" s="431"/>
      <c r="G85" s="459">
        <f t="shared" si="11"/>
        <v>7</v>
      </c>
      <c r="H85" s="459">
        <v>78</v>
      </c>
      <c r="I85" s="444">
        <f t="shared" ca="1" si="5"/>
        <v>4426423.4326437889</v>
      </c>
      <c r="J85" s="444">
        <f t="array" ref="J85">IFERROR(INDEX('Retirement Calculator'!K:K,MATCH('Lorri 401b'!N85,'Retirement Calculator'!A:A,0),0),0)</f>
        <v>23399.203914578786</v>
      </c>
      <c r="K85" s="444">
        <f t="shared" ca="1" si="2"/>
        <v>18345.934286371707</v>
      </c>
      <c r="L85" s="444">
        <f t="shared" ca="1" si="3"/>
        <v>4421370.1630155817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31"/>
      <c r="C86" s="431"/>
      <c r="D86" s="431"/>
      <c r="E86" s="431"/>
      <c r="F86" s="431"/>
      <c r="G86" s="459">
        <f t="shared" si="11"/>
        <v>7</v>
      </c>
      <c r="H86" s="459">
        <v>79</v>
      </c>
      <c r="I86" s="444">
        <f t="shared" ca="1" si="5"/>
        <v>4421370.1630155817</v>
      </c>
      <c r="J86" s="444">
        <f t="array" ref="J86">IFERROR(INDEX('Retirement Calculator'!K:K,MATCH('Lorri 401b'!N86,'Retirement Calculator'!A:A,0),0),0)</f>
        <v>23399.203914578786</v>
      </c>
      <c r="K86" s="444">
        <f t="shared" ca="1" si="2"/>
        <v>18324.878996254178</v>
      </c>
      <c r="L86" s="444">
        <f t="shared" ca="1" si="3"/>
        <v>4416295.8380972566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31"/>
      <c r="C87" s="431"/>
      <c r="D87" s="431"/>
      <c r="E87" s="431"/>
      <c r="F87" s="431"/>
      <c r="G87" s="459">
        <f t="shared" si="11"/>
        <v>7</v>
      </c>
      <c r="H87" s="459">
        <v>80</v>
      </c>
      <c r="I87" s="444">
        <f t="shared" ca="1" si="5"/>
        <v>4416295.8380972566</v>
      </c>
      <c r="J87" s="444">
        <f t="array" ref="J87">IFERROR(INDEX('Retirement Calculator'!K:K,MATCH('Lorri 401b'!N87,'Retirement Calculator'!A:A,0),0),0)</f>
        <v>23399.203914578786</v>
      </c>
      <c r="K87" s="444">
        <f t="shared" ca="1" si="2"/>
        <v>18303.735975761156</v>
      </c>
      <c r="L87" s="444">
        <f t="shared" ca="1" si="3"/>
        <v>4411200.3701584386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31"/>
      <c r="C88" s="431"/>
      <c r="D88" s="431"/>
      <c r="E88" s="431"/>
      <c r="F88" s="431"/>
      <c r="G88" s="459">
        <f t="shared" si="11"/>
        <v>7</v>
      </c>
      <c r="H88" s="459">
        <v>81</v>
      </c>
      <c r="I88" s="444">
        <f t="shared" ca="1" si="5"/>
        <v>4411200.3701584386</v>
      </c>
      <c r="J88" s="444">
        <f t="array" ref="J88">IFERROR(INDEX('Retirement Calculator'!K:K,MATCH('Lorri 401b'!N88,'Retirement Calculator'!A:A,0),0),0)</f>
        <v>23399.203914578786</v>
      </c>
      <c r="K88" s="444">
        <f t="shared" ca="1" si="2"/>
        <v>18282.504859349414</v>
      </c>
      <c r="L88" s="444">
        <f t="shared" ca="1" si="3"/>
        <v>4406083.6711032093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31"/>
      <c r="C89" s="431"/>
      <c r="D89" s="431"/>
      <c r="E89" s="431"/>
      <c r="F89" s="431"/>
      <c r="G89" s="459">
        <f t="shared" si="11"/>
        <v>7</v>
      </c>
      <c r="H89" s="459">
        <v>82</v>
      </c>
      <c r="I89" s="444">
        <f t="shared" ca="1" si="5"/>
        <v>4406083.6711032093</v>
      </c>
      <c r="J89" s="444">
        <f t="array" ref="J89">IFERROR(INDEX('Retirement Calculator'!K:K,MATCH('Lorri 401b'!N89,'Retirement Calculator'!A:A,0),0),0)</f>
        <v>23399.203914578786</v>
      </c>
      <c r="K89" s="444">
        <f t="shared" ca="1" si="2"/>
        <v>18261.185279952624</v>
      </c>
      <c r="L89" s="444">
        <f t="shared" ca="1" si="3"/>
        <v>4400945.6524685826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31"/>
      <c r="C90" s="431"/>
      <c r="D90" s="431"/>
      <c r="E90" s="431"/>
      <c r="F90" s="431"/>
      <c r="G90" s="459">
        <f t="shared" si="11"/>
        <v>7</v>
      </c>
      <c r="H90" s="459">
        <v>83</v>
      </c>
      <c r="I90" s="444">
        <f t="shared" ca="1" si="5"/>
        <v>4400945.6524685826</v>
      </c>
      <c r="J90" s="444">
        <f t="array" ref="J90">IFERROR(INDEX('Retirement Calculator'!K:K,MATCH('Lorri 401b'!N90,'Retirement Calculator'!A:A,0),0),0)</f>
        <v>23399.203914578786</v>
      </c>
      <c r="K90" s="444">
        <f t="shared" ca="1" si="2"/>
        <v>18239.776868975016</v>
      </c>
      <c r="L90" s="444">
        <f t="shared" ca="1" si="3"/>
        <v>4395786.2254229784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31"/>
      <c r="C91" s="431"/>
      <c r="D91" s="431"/>
      <c r="E91" s="431"/>
      <c r="F91" s="431"/>
      <c r="G91" s="459">
        <f t="shared" si="11"/>
        <v>7</v>
      </c>
      <c r="H91" s="459">
        <v>84</v>
      </c>
      <c r="I91" s="444">
        <f t="shared" ca="1" si="5"/>
        <v>4395786.2254229784</v>
      </c>
      <c r="J91" s="444">
        <f t="array" ref="J91">IFERROR(INDEX('Retirement Calculator'!K:K,MATCH('Lorri 401b'!N91,'Retirement Calculator'!A:A,0),0),0)</f>
        <v>23399.203914578786</v>
      </c>
      <c r="K91" s="444">
        <f t="shared" ca="1" si="2"/>
        <v>18218.279256284997</v>
      </c>
      <c r="L91" s="444">
        <f t="shared" ca="1" si="3"/>
        <v>4390605.3007646846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31"/>
      <c r="C92" s="431"/>
      <c r="D92" s="431"/>
      <c r="E92" s="431"/>
      <c r="F92" s="431"/>
      <c r="G92" s="459">
        <f>G91+1</f>
        <v>8</v>
      </c>
      <c r="H92" s="459">
        <v>85</v>
      </c>
      <c r="I92" s="444">
        <f t="shared" ca="1" si="5"/>
        <v>4390605.3007646846</v>
      </c>
      <c r="J92" s="444">
        <f t="array" ref="J92">IFERROR(INDEX('Retirement Calculator'!K:K,MATCH('Lorri 401b'!N92,'Retirement Calculator'!A:A,0),0),0)</f>
        <v>23399.203914578786</v>
      </c>
      <c r="K92" s="444">
        <f t="shared" ca="1" si="2"/>
        <v>18196.692070208774</v>
      </c>
      <c r="L92" s="444">
        <f t="shared" ca="1" si="3"/>
        <v>4385402.7889203141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31"/>
      <c r="C93" s="431"/>
      <c r="D93" s="431"/>
      <c r="E93" s="431"/>
      <c r="F93" s="431"/>
      <c r="G93" s="459">
        <f t="shared" ref="G93:G103" si="12">G92</f>
        <v>8</v>
      </c>
      <c r="H93" s="459">
        <v>86</v>
      </c>
      <c r="I93" s="444">
        <f t="shared" ca="1" si="5"/>
        <v>4385402.7889203141</v>
      </c>
      <c r="J93" s="444">
        <f t="array" ref="J93">IFERROR(INDEX('Retirement Calculator'!K:K,MATCH('Lorri 401b'!N93,'Retirement Calculator'!A:A,0),0),0)</f>
        <v>23399.203914578786</v>
      </c>
      <c r="K93" s="444">
        <f t="shared" ca="1" si="2"/>
        <v>18175.014937523894</v>
      </c>
      <c r="L93" s="444">
        <f t="shared" ca="1" si="3"/>
        <v>4380178.5999432588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31"/>
      <c r="C94" s="431"/>
      <c r="D94" s="431"/>
      <c r="E94" s="431"/>
      <c r="F94" s="431"/>
      <c r="G94" s="459">
        <f t="shared" si="12"/>
        <v>8</v>
      </c>
      <c r="H94" s="459">
        <v>87</v>
      </c>
      <c r="I94" s="444">
        <f t="shared" ca="1" si="5"/>
        <v>4380178.5999432588</v>
      </c>
      <c r="J94" s="444">
        <f t="array" ref="J94">IFERROR(INDEX('Retirement Calculator'!K:K,MATCH('Lorri 401b'!N94,'Retirement Calculator'!A:A,0),0),0)</f>
        <v>23399.203914578786</v>
      </c>
      <c r="K94" s="444">
        <f t="shared" ca="1" si="2"/>
        <v>18153.247483452833</v>
      </c>
      <c r="L94" s="444">
        <f t="shared" ca="1" si="3"/>
        <v>4374932.6435121326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31"/>
      <c r="C95" s="431"/>
      <c r="D95" s="431"/>
      <c r="E95" s="431"/>
      <c r="F95" s="431"/>
      <c r="G95" s="459">
        <f t="shared" si="12"/>
        <v>8</v>
      </c>
      <c r="H95" s="459">
        <v>88</v>
      </c>
      <c r="I95" s="444">
        <f t="shared" ca="1" si="5"/>
        <v>4374932.6435121326</v>
      </c>
      <c r="J95" s="444">
        <f t="array" ref="J95">IFERROR(INDEX('Retirement Calculator'!K:K,MATCH('Lorri 401b'!N95,'Retirement Calculator'!A:A,0),0),0)</f>
        <v>23399.203914578786</v>
      </c>
      <c r="K95" s="444">
        <f t="shared" ca="1" si="2"/>
        <v>18131.389331656472</v>
      </c>
      <c r="L95" s="444">
        <f t="shared" ca="1" si="3"/>
        <v>4369664.8289292101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31"/>
      <c r="C96" s="431"/>
      <c r="D96" s="431"/>
      <c r="E96" s="431"/>
      <c r="F96" s="431"/>
      <c r="G96" s="459">
        <f t="shared" si="12"/>
        <v>8</v>
      </c>
      <c r="H96" s="459">
        <v>89</v>
      </c>
      <c r="I96" s="444">
        <f t="shared" ca="1" si="5"/>
        <v>4369664.8289292101</v>
      </c>
      <c r="J96" s="444">
        <f t="array" ref="J96">IFERROR(INDEX('Retirement Calculator'!K:K,MATCH('Lorri 401b'!N96,'Retirement Calculator'!A:A,0),0),0)</f>
        <v>23399.203914578786</v>
      </c>
      <c r="K96" s="444">
        <f t="shared" ca="1" si="2"/>
        <v>18109.440104227629</v>
      </c>
      <c r="L96" s="444">
        <f t="shared" ca="1" si="3"/>
        <v>4364375.0651188586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31"/>
      <c r="C97" s="431"/>
      <c r="D97" s="431"/>
      <c r="E97" s="431"/>
      <c r="F97" s="431"/>
      <c r="G97" s="459">
        <f t="shared" si="12"/>
        <v>8</v>
      </c>
      <c r="H97" s="459">
        <v>90</v>
      </c>
      <c r="I97" s="444">
        <f t="shared" ca="1" si="5"/>
        <v>4364375.0651188586</v>
      </c>
      <c r="J97" s="444">
        <f t="array" ref="J97">IFERROR(INDEX('Retirement Calculator'!K:K,MATCH('Lorri 401b'!N97,'Retirement Calculator'!A:A,0),0),0)</f>
        <v>23399.203914578786</v>
      </c>
      <c r="K97" s="444">
        <f t="shared" ca="1" si="2"/>
        <v>18087.399421684499</v>
      </c>
      <c r="L97" s="444">
        <f t="shared" ca="1" si="3"/>
        <v>4359063.260625964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31"/>
      <c r="C98" s="431"/>
      <c r="D98" s="431"/>
      <c r="E98" s="431"/>
      <c r="F98" s="431"/>
      <c r="G98" s="459">
        <f t="shared" si="12"/>
        <v>8</v>
      </c>
      <c r="H98" s="459">
        <v>91</v>
      </c>
      <c r="I98" s="444">
        <f t="shared" ca="1" si="5"/>
        <v>4359063.260625964</v>
      </c>
      <c r="J98" s="444">
        <f t="array" ref="J98">IFERROR(INDEX('Retirement Calculator'!K:K,MATCH('Lorri 401b'!N98,'Retirement Calculator'!A:A,0),0),0)</f>
        <v>23399.203914578786</v>
      </c>
      <c r="K98" s="444">
        <f t="shared" ca="1" si="2"/>
        <v>18065.266902964104</v>
      </c>
      <c r="L98" s="444">
        <f t="shared" ca="1" si="3"/>
        <v>4353729.3236143496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31"/>
      <c r="C99" s="431"/>
      <c r="D99" s="431"/>
      <c r="E99" s="431"/>
      <c r="F99" s="431"/>
      <c r="G99" s="459">
        <f t="shared" si="12"/>
        <v>8</v>
      </c>
      <c r="H99" s="459">
        <v>92</v>
      </c>
      <c r="I99" s="444">
        <f t="shared" ca="1" si="5"/>
        <v>4353729.3236143496</v>
      </c>
      <c r="J99" s="444">
        <f t="array" ref="J99">IFERROR(INDEX('Retirement Calculator'!K:K,MATCH('Lorri 401b'!N99,'Retirement Calculator'!A:A,0),0),0)</f>
        <v>23399.203914578786</v>
      </c>
      <c r="K99" s="444">
        <f t="shared" ca="1" si="2"/>
        <v>18043.042165415711</v>
      </c>
      <c r="L99" s="444">
        <f t="shared" ca="1" si="3"/>
        <v>4348373.1618651859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31"/>
      <c r="C100" s="431"/>
      <c r="D100" s="431"/>
      <c r="E100" s="431"/>
      <c r="F100" s="431"/>
      <c r="G100" s="459">
        <f t="shared" si="12"/>
        <v>8</v>
      </c>
      <c r="H100" s="459">
        <v>93</v>
      </c>
      <c r="I100" s="444">
        <f t="shared" ca="1" si="5"/>
        <v>4348373.1618651859</v>
      </c>
      <c r="J100" s="444">
        <f t="array" ref="J100">IFERROR(INDEX('Retirement Calculator'!K:K,MATCH('Lorri 401b'!N100,'Retirement Calculator'!A:A,0),0),0)</f>
        <v>23399.203914578786</v>
      </c>
      <c r="K100" s="444">
        <f t="shared" ca="1" si="2"/>
        <v>18020.724824794197</v>
      </c>
      <c r="L100" s="444">
        <f t="shared" ca="1" si="3"/>
        <v>4342994.6827754015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31"/>
      <c r="C101" s="431"/>
      <c r="D101" s="431"/>
      <c r="E101" s="431"/>
      <c r="F101" s="431"/>
      <c r="G101" s="459">
        <f t="shared" si="12"/>
        <v>8</v>
      </c>
      <c r="H101" s="459">
        <v>94</v>
      </c>
      <c r="I101" s="444">
        <f t="shared" ca="1" si="5"/>
        <v>4342994.6827754015</v>
      </c>
      <c r="J101" s="444">
        <f t="array" ref="J101">IFERROR(INDEX('Retirement Calculator'!K:K,MATCH('Lorri 401b'!N101,'Retirement Calculator'!A:A,0),0),0)</f>
        <v>23399.203914578786</v>
      </c>
      <c r="K101" s="444">
        <f t="shared" ca="1" si="2"/>
        <v>17998.314495253428</v>
      </c>
      <c r="L101" s="444">
        <f t="shared" ca="1" si="3"/>
        <v>4337593.7933560759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31"/>
      <c r="C102" s="431"/>
      <c r="D102" s="431"/>
      <c r="E102" s="431"/>
      <c r="F102" s="431"/>
      <c r="G102" s="459">
        <f t="shared" si="12"/>
        <v>8</v>
      </c>
      <c r="H102" s="459">
        <v>95</v>
      </c>
      <c r="I102" s="444">
        <f t="shared" ca="1" si="5"/>
        <v>4337593.7933560759</v>
      </c>
      <c r="J102" s="444">
        <f t="array" ref="J102">IFERROR(INDEX('Retirement Calculator'!K:K,MATCH('Lorri 401b'!N102,'Retirement Calculator'!A:A,0),0),0)</f>
        <v>23399.203914578786</v>
      </c>
      <c r="K102" s="444">
        <f t="shared" ca="1" si="2"/>
        <v>17975.810789339572</v>
      </c>
      <c r="L102" s="444">
        <f t="shared" ca="1" si="3"/>
        <v>4332170.4002308361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31"/>
      <c r="C103" s="431"/>
      <c r="D103" s="431"/>
      <c r="E103" s="431"/>
      <c r="F103" s="431"/>
      <c r="G103" s="459">
        <f t="shared" si="12"/>
        <v>8</v>
      </c>
      <c r="H103" s="459">
        <v>96</v>
      </c>
      <c r="I103" s="444">
        <f t="shared" ca="1" si="5"/>
        <v>4332170.4002308361</v>
      </c>
      <c r="J103" s="444">
        <f t="array" ref="J103">IFERROR(INDEX('Retirement Calculator'!K:K,MATCH('Lorri 401b'!N103,'Retirement Calculator'!A:A,0),0),0)</f>
        <v>23399.203914578786</v>
      </c>
      <c r="K103" s="444">
        <f t="shared" ca="1" si="2"/>
        <v>17953.213317984406</v>
      </c>
      <c r="L103" s="444">
        <f t="shared" ca="1" si="3"/>
        <v>4326724.4096342418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31"/>
      <c r="C104" s="431"/>
      <c r="D104" s="431"/>
      <c r="E104" s="431"/>
      <c r="F104" s="431"/>
      <c r="G104" s="459">
        <f>G103+1</f>
        <v>9</v>
      </c>
      <c r="H104" s="459">
        <v>97</v>
      </c>
      <c r="I104" s="444">
        <f t="shared" ca="1" si="5"/>
        <v>4326724.4096342418</v>
      </c>
      <c r="J104" s="444">
        <f t="array" ref="J104">IFERROR(INDEX('Retirement Calculator'!K:K,MATCH('Lorri 401b'!N104,'Retirement Calculator'!A:A,0),0),0)</f>
        <v>23399.203914578786</v>
      </c>
      <c r="K104" s="444">
        <f t="shared" ca="1" si="2"/>
        <v>17930.521690498594</v>
      </c>
      <c r="L104" s="444">
        <f t="shared" ca="1" si="3"/>
        <v>4321255.7274101619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31"/>
      <c r="C105" s="431"/>
      <c r="D105" s="431"/>
      <c r="E105" s="431"/>
      <c r="F105" s="431"/>
      <c r="G105" s="459">
        <f t="shared" ref="G105:G115" si="13">G104</f>
        <v>9</v>
      </c>
      <c r="H105" s="459">
        <v>98</v>
      </c>
      <c r="I105" s="444">
        <f t="shared" ca="1" si="5"/>
        <v>4321255.7274101619</v>
      </c>
      <c r="J105" s="444">
        <f t="array" ref="J105">IFERROR(INDEX('Retirement Calculator'!K:K,MATCH('Lorri 401b'!N105,'Retirement Calculator'!A:A,0),0),0)</f>
        <v>21655.303514578787</v>
      </c>
      <c r="K105" s="444">
        <f t="shared" ca="1" si="2"/>
        <v>17915.001766231599</v>
      </c>
      <c r="L105" s="444">
        <f t="shared" ca="1" si="3"/>
        <v>4317515.4256618153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31"/>
      <c r="C106" s="431"/>
      <c r="D106" s="431"/>
      <c r="E106" s="431"/>
      <c r="F106" s="431"/>
      <c r="G106" s="459">
        <f t="shared" si="13"/>
        <v>9</v>
      </c>
      <c r="H106" s="459">
        <v>99</v>
      </c>
      <c r="I106" s="444">
        <f t="shared" ca="1" si="5"/>
        <v>4317515.4256618153</v>
      </c>
      <c r="J106" s="444">
        <f t="array" ref="J106">IFERROR(INDEX('Retirement Calculator'!K:K,MATCH('Lorri 401b'!N106,'Retirement Calculator'!A:A,0),0),0)</f>
        <v>21655.303514578787</v>
      </c>
      <c r="K106" s="444">
        <f t="shared" ca="1" si="2"/>
        <v>17899.417175613486</v>
      </c>
      <c r="L106" s="444">
        <f t="shared" ca="1" si="3"/>
        <v>4313759.5393228503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31"/>
      <c r="C107" s="431"/>
      <c r="D107" s="431"/>
      <c r="E107" s="431"/>
      <c r="F107" s="431"/>
      <c r="G107" s="459">
        <f t="shared" si="13"/>
        <v>9</v>
      </c>
      <c r="H107" s="459">
        <v>100</v>
      </c>
      <c r="I107" s="444">
        <f t="shared" ca="1" si="5"/>
        <v>4313759.5393228503</v>
      </c>
      <c r="J107" s="444">
        <f t="array" ref="J107">IFERROR(INDEX('Retirement Calculator'!K:K,MATCH('Lorri 401b'!N107,'Retirement Calculator'!A:A,0),0),0)</f>
        <v>21655.303514578787</v>
      </c>
      <c r="K107" s="444">
        <f t="shared" ca="1" si="2"/>
        <v>17883.767649201134</v>
      </c>
      <c r="L107" s="444">
        <f t="shared" ca="1" si="3"/>
        <v>4309988.0034574727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31"/>
      <c r="C108" s="431"/>
      <c r="D108" s="431"/>
      <c r="E108" s="431"/>
      <c r="F108" s="431"/>
      <c r="G108" s="459">
        <f t="shared" si="13"/>
        <v>9</v>
      </c>
      <c r="H108" s="459">
        <v>101</v>
      </c>
      <c r="I108" s="444">
        <f t="shared" ca="1" si="5"/>
        <v>4309988.0034574727</v>
      </c>
      <c r="J108" s="444">
        <f t="array" ref="J108">IFERROR(INDEX('Retirement Calculator'!K:K,MATCH('Lorri 401b'!N108,'Retirement Calculator'!A:A,0),0),0)</f>
        <v>21655.303514578787</v>
      </c>
      <c r="K108" s="444">
        <f t="shared" ca="1" si="2"/>
        <v>17868.052916428725</v>
      </c>
      <c r="L108" s="444">
        <f t="shared" ca="1" si="3"/>
        <v>4306200.7528593233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31"/>
      <c r="C109" s="431"/>
      <c r="D109" s="431"/>
      <c r="E109" s="431"/>
      <c r="F109" s="431"/>
      <c r="G109" s="459">
        <f t="shared" si="13"/>
        <v>9</v>
      </c>
      <c r="H109" s="459">
        <v>102</v>
      </c>
      <c r="I109" s="444">
        <f t="shared" ca="1" si="5"/>
        <v>4306200.7528593233</v>
      </c>
      <c r="J109" s="444">
        <f t="array" ref="J109">IFERROR(INDEX('Retirement Calculator'!K:K,MATCH('Lorri 401b'!N109,'Retirement Calculator'!A:A,0),0),0)</f>
        <v>21655.303514578787</v>
      </c>
      <c r="K109" s="444">
        <f t="shared" ca="1" si="2"/>
        <v>17852.272705603104</v>
      </c>
      <c r="L109" s="444">
        <f t="shared" ca="1" si="3"/>
        <v>4302397.7220503483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31"/>
      <c r="C110" s="431"/>
      <c r="D110" s="431"/>
      <c r="E110" s="431"/>
      <c r="F110" s="431"/>
      <c r="G110" s="459">
        <f t="shared" si="13"/>
        <v>9</v>
      </c>
      <c r="H110" s="459">
        <v>103</v>
      </c>
      <c r="I110" s="444">
        <f t="shared" ca="1" si="5"/>
        <v>4302397.7220503483</v>
      </c>
      <c r="J110" s="444">
        <f t="array" ref="J110">IFERROR(INDEX('Retirement Calculator'!K:K,MATCH('Lorri 401b'!N110,'Retirement Calculator'!A:A,0),0),0)</f>
        <v>21655.303514578787</v>
      </c>
      <c r="K110" s="444">
        <f t="shared" ca="1" si="2"/>
        <v>17836.426743899043</v>
      </c>
      <c r="L110" s="444">
        <f t="shared" ca="1" si="3"/>
        <v>4298578.8452796694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31"/>
      <c r="C111" s="431"/>
      <c r="D111" s="431"/>
      <c r="E111" s="431"/>
      <c r="F111" s="431"/>
      <c r="G111" s="459">
        <f t="shared" si="13"/>
        <v>9</v>
      </c>
      <c r="H111" s="459">
        <v>104</v>
      </c>
      <c r="I111" s="444">
        <f t="shared" ca="1" si="5"/>
        <v>4298578.8452796694</v>
      </c>
      <c r="J111" s="444">
        <f t="array" ref="J111">IFERROR(INDEX('Retirement Calculator'!K:K,MATCH('Lorri 401b'!N111,'Retirement Calculator'!A:A,0),0),0)</f>
        <v>21655.303514578787</v>
      </c>
      <c r="K111" s="444">
        <f t="shared" ca="1" si="2"/>
        <v>17820.514757354547</v>
      </c>
      <c r="L111" s="444">
        <f t="shared" ca="1" si="3"/>
        <v>4294744.0565224458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31"/>
      <c r="C112" s="431"/>
      <c r="D112" s="431"/>
      <c r="E112" s="431"/>
      <c r="F112" s="431"/>
      <c r="G112" s="459">
        <f t="shared" si="13"/>
        <v>9</v>
      </c>
      <c r="H112" s="459">
        <v>105</v>
      </c>
      <c r="I112" s="444">
        <f t="shared" ca="1" si="5"/>
        <v>4294744.0565224458</v>
      </c>
      <c r="J112" s="444">
        <f t="array" ref="J112">IFERROR(INDEX('Retirement Calculator'!K:K,MATCH('Lorri 401b'!N112,'Retirement Calculator'!A:A,0),0),0)</f>
        <v>21655.303514578787</v>
      </c>
      <c r="K112" s="444">
        <f t="shared" ca="1" si="2"/>
        <v>17804.536470866115</v>
      </c>
      <c r="L112" s="444">
        <f t="shared" ca="1" si="3"/>
        <v>4290893.2894787332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31"/>
      <c r="C113" s="431"/>
      <c r="D113" s="431"/>
      <c r="E113" s="431"/>
      <c r="F113" s="431"/>
      <c r="G113" s="459">
        <f t="shared" si="13"/>
        <v>9</v>
      </c>
      <c r="H113" s="459">
        <v>106</v>
      </c>
      <c r="I113" s="444">
        <f t="shared" ca="1" si="5"/>
        <v>4290893.2894787332</v>
      </c>
      <c r="J113" s="444">
        <f t="array" ref="J113">IFERROR(INDEX('Retirement Calculator'!K:K,MATCH('Lorri 401b'!N113,'Retirement Calculator'!A:A,0),0),0)</f>
        <v>21655.303514578787</v>
      </c>
      <c r="K113" s="444">
        <f t="shared" ca="1" si="2"/>
        <v>17788.491608183976</v>
      </c>
      <c r="L113" s="444">
        <f t="shared" ca="1" si="3"/>
        <v>4287026.4775723387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31"/>
      <c r="C114" s="431"/>
      <c r="D114" s="431"/>
      <c r="E114" s="431"/>
      <c r="F114" s="431"/>
      <c r="G114" s="459">
        <f t="shared" si="13"/>
        <v>9</v>
      </c>
      <c r="H114" s="459">
        <v>107</v>
      </c>
      <c r="I114" s="444">
        <f t="shared" ca="1" si="5"/>
        <v>4287026.4775723387</v>
      </c>
      <c r="J114" s="444">
        <f t="array" ref="J114">IFERROR(INDEX('Retirement Calculator'!K:K,MATCH('Lorri 401b'!N114,'Retirement Calculator'!A:A,0),0),0)</f>
        <v>21655.303514578787</v>
      </c>
      <c r="K114" s="444">
        <f t="shared" ca="1" si="2"/>
        <v>17772.379891907334</v>
      </c>
      <c r="L114" s="444">
        <f t="shared" ca="1" si="3"/>
        <v>4283143.5539496681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31"/>
      <c r="C115" s="431"/>
      <c r="D115" s="431"/>
      <c r="E115" s="431"/>
      <c r="F115" s="431"/>
      <c r="G115" s="459">
        <f t="shared" si="13"/>
        <v>9</v>
      </c>
      <c r="H115" s="459">
        <v>108</v>
      </c>
      <c r="I115" s="444">
        <f t="shared" ca="1" si="5"/>
        <v>4283143.5539496681</v>
      </c>
      <c r="J115" s="444">
        <f t="array" ref="J115">IFERROR(INDEX('Retirement Calculator'!K:K,MATCH('Lorri 401b'!N115,'Retirement Calculator'!A:A,0),0),0)</f>
        <v>21655.303514578787</v>
      </c>
      <c r="K115" s="444">
        <f t="shared" ca="1" si="2"/>
        <v>17756.201043479541</v>
      </c>
      <c r="L115" s="444">
        <f t="shared" ca="1" si="3"/>
        <v>4279244.4514785688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31"/>
      <c r="C116" s="431"/>
      <c r="D116" s="431"/>
      <c r="E116" s="431"/>
      <c r="F116" s="431"/>
      <c r="G116" s="459">
        <f>G115+1</f>
        <v>10</v>
      </c>
      <c r="H116" s="459">
        <v>109</v>
      </c>
      <c r="I116" s="444">
        <f t="shared" ca="1" si="5"/>
        <v>4279244.4514785688</v>
      </c>
      <c r="J116" s="444">
        <f t="array" ref="J116">IFERROR(INDEX('Retirement Calculator'!K:K,MATCH('Lorri 401b'!N116,'Retirement Calculator'!A:A,0),0),0)</f>
        <v>21655.303514578787</v>
      </c>
      <c r="K116" s="444">
        <f t="shared" ca="1" si="2"/>
        <v>17739.954783183293</v>
      </c>
      <c r="L116" s="444">
        <f t="shared" ca="1" si="3"/>
        <v>4275329.102747174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31"/>
      <c r="C117" s="431"/>
      <c r="D117" s="431"/>
      <c r="E117" s="431"/>
      <c r="F117" s="431"/>
      <c r="G117" s="459">
        <f t="shared" ref="G117:G127" si="14">G116</f>
        <v>10</v>
      </c>
      <c r="H117" s="459">
        <v>110</v>
      </c>
      <c r="I117" s="444">
        <f t="shared" ca="1" si="5"/>
        <v>4275329.102747174</v>
      </c>
      <c r="J117" s="444">
        <f t="array" ref="J117">IFERROR(INDEX('Retirement Calculator'!K:K,MATCH('Lorri 401b'!N117,'Retirement Calculator'!A:A,0),0),0)</f>
        <v>21655.303514578787</v>
      </c>
      <c r="K117" s="444">
        <f t="shared" ca="1" si="2"/>
        <v>17723.640830135813</v>
      </c>
      <c r="L117" s="444">
        <f t="shared" ca="1" si="3"/>
        <v>4271397.4400627315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31"/>
      <c r="C118" s="431"/>
      <c r="D118" s="431"/>
      <c r="E118" s="431"/>
      <c r="F118" s="431"/>
      <c r="G118" s="459">
        <f t="shared" si="14"/>
        <v>10</v>
      </c>
      <c r="H118" s="459">
        <v>111</v>
      </c>
      <c r="I118" s="444">
        <f t="shared" ca="1" si="5"/>
        <v>4271397.4400627315</v>
      </c>
      <c r="J118" s="444">
        <f t="array" ref="J118">IFERROR(INDEX('Retirement Calculator'!K:K,MATCH('Lorri 401b'!N118,'Retirement Calculator'!A:A,0),0),0)</f>
        <v>21655.303514578787</v>
      </c>
      <c r="K118" s="444">
        <f t="shared" ca="1" si="2"/>
        <v>17707.258902283971</v>
      </c>
      <c r="L118" s="444">
        <f t="shared" ca="1" si="3"/>
        <v>4267449.3954504374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31"/>
      <c r="C119" s="431"/>
      <c r="D119" s="431"/>
      <c r="E119" s="431"/>
      <c r="F119" s="431"/>
      <c r="G119" s="459">
        <f t="shared" si="14"/>
        <v>10</v>
      </c>
      <c r="H119" s="459">
        <v>112</v>
      </c>
      <c r="I119" s="444">
        <f t="shared" ca="1" si="5"/>
        <v>4267449.3954504374</v>
      </c>
      <c r="J119" s="444">
        <f t="array" ref="J119">IFERROR(INDEX('Retirement Calculator'!K:K,MATCH('Lorri 401b'!N119,'Retirement Calculator'!A:A,0),0),0)</f>
        <v>21655.303514578787</v>
      </c>
      <c r="K119" s="444">
        <f t="shared" ca="1" si="2"/>
        <v>17690.808716399413</v>
      </c>
      <c r="L119" s="444">
        <f t="shared" ca="1" si="3"/>
        <v>4263484.9006522587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31"/>
      <c r="C120" s="431"/>
      <c r="D120" s="431"/>
      <c r="E120" s="431"/>
      <c r="F120" s="431"/>
      <c r="G120" s="459">
        <f t="shared" si="14"/>
        <v>10</v>
      </c>
      <c r="H120" s="459">
        <v>113</v>
      </c>
      <c r="I120" s="444">
        <f t="shared" ca="1" si="5"/>
        <v>4263484.9006522587</v>
      </c>
      <c r="J120" s="444">
        <f t="array" ref="J120">IFERROR(INDEX('Retirement Calculator'!K:K,MATCH('Lorri 401b'!N120,'Retirement Calculator'!A:A,0),0),0)</f>
        <v>21655.303514578787</v>
      </c>
      <c r="K120" s="444">
        <f t="shared" ca="1" si="2"/>
        <v>17674.289988073666</v>
      </c>
      <c r="L120" s="444">
        <f t="shared" ca="1" si="3"/>
        <v>4259503.8871257538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31"/>
      <c r="C121" s="431"/>
      <c r="D121" s="431"/>
      <c r="E121" s="431"/>
      <c r="F121" s="431"/>
      <c r="G121" s="459">
        <f t="shared" si="14"/>
        <v>10</v>
      </c>
      <c r="H121" s="459">
        <v>114</v>
      </c>
      <c r="I121" s="444">
        <f t="shared" ca="1" si="5"/>
        <v>4259503.8871257538</v>
      </c>
      <c r="J121" s="444">
        <f t="array" ref="J121">IFERROR(INDEX('Retirement Calculator'!K:K,MATCH('Lorri 401b'!N121,'Retirement Calculator'!A:A,0),0),0)</f>
        <v>21655.303514578787</v>
      </c>
      <c r="K121" s="444">
        <f t="shared" ca="1" si="2"/>
        <v>17657.702431713231</v>
      </c>
      <c r="L121" s="444">
        <f t="shared" ca="1" si="3"/>
        <v>4255506.2860428886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31"/>
      <c r="C122" s="431"/>
      <c r="D122" s="431"/>
      <c r="E122" s="431"/>
      <c r="F122" s="431"/>
      <c r="G122" s="459">
        <f t="shared" si="14"/>
        <v>10</v>
      </c>
      <c r="H122" s="459">
        <v>115</v>
      </c>
      <c r="I122" s="444">
        <f t="shared" ca="1" si="5"/>
        <v>4255506.2860428886</v>
      </c>
      <c r="J122" s="444">
        <f t="array" ref="J122">IFERROR(INDEX('Retirement Calculator'!K:K,MATCH('Lorri 401b'!N122,'Retirement Calculator'!A:A,0),0),0)</f>
        <v>21655.303514578787</v>
      </c>
      <c r="K122" s="444">
        <f t="shared" ca="1" si="2"/>
        <v>17641.045760534627</v>
      </c>
      <c r="L122" s="444">
        <f t="shared" ca="1" si="3"/>
        <v>4251492.028288845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31"/>
      <c r="C123" s="431"/>
      <c r="D123" s="431"/>
      <c r="E123" s="431"/>
      <c r="F123" s="431"/>
      <c r="G123" s="459">
        <f t="shared" si="14"/>
        <v>10</v>
      </c>
      <c r="H123" s="459">
        <v>116</v>
      </c>
      <c r="I123" s="444">
        <f t="shared" ca="1" si="5"/>
        <v>4251492.028288845</v>
      </c>
      <c r="J123" s="444">
        <f t="array" ref="J123">IFERROR(INDEX('Retirement Calculator'!K:K,MATCH('Lorri 401b'!N123,'Retirement Calculator'!A:A,0),0),0)</f>
        <v>21655.303514578787</v>
      </c>
      <c r="K123" s="444">
        <f t="shared" ca="1" si="2"/>
        <v>17624.319686559444</v>
      </c>
      <c r="L123" s="444">
        <f t="shared" ca="1" si="3"/>
        <v>4247461.0444608256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31"/>
      <c r="C124" s="431"/>
      <c r="D124" s="431"/>
      <c r="E124" s="431"/>
      <c r="F124" s="431"/>
      <c r="G124" s="459">
        <f t="shared" si="14"/>
        <v>10</v>
      </c>
      <c r="H124" s="459">
        <v>117</v>
      </c>
      <c r="I124" s="444">
        <f t="shared" ca="1" si="5"/>
        <v>4247461.0444608256</v>
      </c>
      <c r="J124" s="444">
        <f t="array" ref="J124">IFERROR(INDEX('Retirement Calculator'!K:K,MATCH('Lorri 401b'!N124,'Retirement Calculator'!A:A,0),0),0)</f>
        <v>21655.303514578787</v>
      </c>
      <c r="K124" s="444">
        <f t="shared" ca="1" si="2"/>
        <v>17607.523920609365</v>
      </c>
      <c r="L124" s="444">
        <f t="shared" ca="1" si="3"/>
        <v>4243413.2648668569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31"/>
      <c r="C125" s="431"/>
      <c r="D125" s="431"/>
      <c r="E125" s="431"/>
      <c r="F125" s="431"/>
      <c r="G125" s="459">
        <f t="shared" si="14"/>
        <v>10</v>
      </c>
      <c r="H125" s="459">
        <v>118</v>
      </c>
      <c r="I125" s="444">
        <f t="shared" ca="1" si="5"/>
        <v>4243413.2648668569</v>
      </c>
      <c r="J125" s="444">
        <f t="array" ref="J125">IFERROR(INDEX('Retirement Calculator'!K:K,MATCH('Lorri 401b'!N125,'Retirement Calculator'!A:A,0),0),0)</f>
        <v>21655.303514578787</v>
      </c>
      <c r="K125" s="444">
        <f t="shared" ca="1" si="2"/>
        <v>17590.658172301159</v>
      </c>
      <c r="L125" s="444">
        <f t="shared" ca="1" si="3"/>
        <v>4239348.6195245795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31"/>
      <c r="C126" s="431"/>
      <c r="D126" s="431"/>
      <c r="E126" s="431"/>
      <c r="F126" s="431"/>
      <c r="G126" s="459">
        <f t="shared" si="14"/>
        <v>10</v>
      </c>
      <c r="H126" s="459">
        <v>119</v>
      </c>
      <c r="I126" s="444">
        <f t="shared" ca="1" si="5"/>
        <v>4239348.6195245795</v>
      </c>
      <c r="J126" s="444">
        <f t="array" ref="J126">IFERROR(INDEX('Retirement Calculator'!K:K,MATCH('Lorri 401b'!N126,'Retirement Calculator'!A:A,0),0),0)</f>
        <v>21655.303514578787</v>
      </c>
      <c r="K126" s="444">
        <f t="shared" ca="1" si="2"/>
        <v>17573.722150041671</v>
      </c>
      <c r="L126" s="444">
        <f t="shared" ca="1" si="3"/>
        <v>4235267.0381600428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31"/>
      <c r="C127" s="431"/>
      <c r="D127" s="431"/>
      <c r="E127" s="431"/>
      <c r="F127" s="431"/>
      <c r="G127" s="459">
        <f t="shared" si="14"/>
        <v>10</v>
      </c>
      <c r="H127" s="459">
        <v>120</v>
      </c>
      <c r="I127" s="444">
        <f t="shared" ca="1" si="5"/>
        <v>4235267.0381600428</v>
      </c>
      <c r="J127" s="444">
        <f t="array" ref="J127">IFERROR(INDEX('Retirement Calculator'!K:K,MATCH('Lorri 401b'!N127,'Retirement Calculator'!A:A,0),0),0)</f>
        <v>21655.303514578787</v>
      </c>
      <c r="K127" s="444">
        <f t="shared" ca="1" si="2"/>
        <v>17556.715561022767</v>
      </c>
      <c r="L127" s="444">
        <f t="shared" ca="1" si="3"/>
        <v>4231168.4502064874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31"/>
      <c r="C128" s="431"/>
      <c r="D128" s="431"/>
      <c r="E128" s="431"/>
      <c r="F128" s="431"/>
      <c r="G128" s="459">
        <f>G127+1</f>
        <v>11</v>
      </c>
      <c r="H128" s="459">
        <v>121</v>
      </c>
      <c r="I128" s="444">
        <f t="shared" ca="1" si="5"/>
        <v>4231168.4502064874</v>
      </c>
      <c r="J128" s="444">
        <f t="array" ref="J128">IFERROR(INDEX('Retirement Calculator'!K:K,MATCH('Lorri 401b'!N128,'Retirement Calculator'!A:A,0),0),0)</f>
        <v>21655.303514578787</v>
      </c>
      <c r="K128" s="444">
        <f t="shared" ca="1" si="2"/>
        <v>17539.638111216289</v>
      </c>
      <c r="L128" s="444">
        <f t="shared" ca="1" si="3"/>
        <v>4227052.7848031251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31"/>
      <c r="C129" s="431"/>
      <c r="D129" s="431"/>
      <c r="E129" s="431"/>
      <c r="F129" s="431"/>
      <c r="G129" s="459">
        <f t="shared" ref="G129:G139" si="15">G128</f>
        <v>11</v>
      </c>
      <c r="H129" s="459">
        <v>122</v>
      </c>
      <c r="I129" s="444">
        <f t="shared" ca="1" si="5"/>
        <v>4227052.7848031251</v>
      </c>
      <c r="J129" s="444">
        <f t="array" ref="J129">IFERROR(INDEX('Retirement Calculator'!K:K,MATCH('Lorri 401b'!N129,'Retirement Calculator'!A:A,0),0),0)</f>
        <v>21655.303514578787</v>
      </c>
      <c r="K129" s="444">
        <f t="shared" ca="1" si="2"/>
        <v>17522.489505368943</v>
      </c>
      <c r="L129" s="444">
        <f t="shared" ca="1" si="3"/>
        <v>4222919.9707939159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31"/>
      <c r="C130" s="431"/>
      <c r="D130" s="431"/>
      <c r="E130" s="431"/>
      <c r="F130" s="431"/>
      <c r="G130" s="459">
        <f t="shared" si="15"/>
        <v>11</v>
      </c>
      <c r="H130" s="459">
        <v>123</v>
      </c>
      <c r="I130" s="444">
        <f t="shared" ca="1" si="5"/>
        <v>4222919.9707939159</v>
      </c>
      <c r="J130" s="444">
        <f t="array" ref="J130">IFERROR(INDEX('Retirement Calculator'!K:K,MATCH('Lorri 401b'!N130,'Retirement Calculator'!A:A,0),0),0)</f>
        <v>21655.303514578787</v>
      </c>
      <c r="K130" s="444">
        <f t="shared" ca="1" si="2"/>
        <v>17505.269446997241</v>
      </c>
      <c r="L130" s="444">
        <f t="shared" ca="1" si="3"/>
        <v>4218769.9367263345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31"/>
      <c r="C131" s="431"/>
      <c r="D131" s="431"/>
      <c r="E131" s="431"/>
      <c r="F131" s="431"/>
      <c r="G131" s="459">
        <f t="shared" si="15"/>
        <v>11</v>
      </c>
      <c r="H131" s="459">
        <v>124</v>
      </c>
      <c r="I131" s="444">
        <f t="shared" ca="1" si="5"/>
        <v>4218769.9367263345</v>
      </c>
      <c r="J131" s="444">
        <f t="array" ref="J131">IFERROR(INDEX('Retirement Calculator'!K:K,MATCH('Lorri 401b'!N131,'Retirement Calculator'!A:A,0),0),0)</f>
        <v>21655.303514578787</v>
      </c>
      <c r="K131" s="444">
        <f t="shared" ca="1" si="2"/>
        <v>17487.977638382315</v>
      </c>
      <c r="L131" s="444">
        <f t="shared" ca="1" si="3"/>
        <v>4214602.6108501386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31"/>
      <c r="C132" s="431"/>
      <c r="D132" s="431"/>
      <c r="E132" s="431"/>
      <c r="F132" s="431"/>
      <c r="G132" s="459">
        <f t="shared" si="15"/>
        <v>11</v>
      </c>
      <c r="H132" s="459">
        <v>125</v>
      </c>
      <c r="I132" s="444">
        <f t="shared" ca="1" si="5"/>
        <v>4214602.6108501386</v>
      </c>
      <c r="J132" s="444">
        <f t="array" ref="J132">IFERROR(INDEX('Retirement Calculator'!K:K,MATCH('Lorri 401b'!N132,'Retirement Calculator'!A:A,0),0),0)</f>
        <v>21655.303514578787</v>
      </c>
      <c r="K132" s="444">
        <f t="shared" ca="1" si="2"/>
        <v>17470.613780564832</v>
      </c>
      <c r="L132" s="444">
        <f t="shared" ca="1" si="3"/>
        <v>4210417.9211161248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31"/>
      <c r="C133" s="431"/>
      <c r="D133" s="431"/>
      <c r="E133" s="431"/>
      <c r="F133" s="431"/>
      <c r="G133" s="459">
        <f t="shared" si="15"/>
        <v>11</v>
      </c>
      <c r="H133" s="459">
        <v>126</v>
      </c>
      <c r="I133" s="444">
        <f t="shared" ca="1" si="5"/>
        <v>4210417.9211161248</v>
      </c>
      <c r="J133" s="444">
        <f t="array" ref="J133">IFERROR(INDEX('Retirement Calculator'!K:K,MATCH('Lorri 401b'!N133,'Retirement Calculator'!A:A,0),0),0)</f>
        <v>21655.303514578787</v>
      </c>
      <c r="K133" s="444">
        <f t="shared" ca="1" si="2"/>
        <v>17453.177573339774</v>
      </c>
      <c r="L133" s="444">
        <f t="shared" ca="1" si="3"/>
        <v>4206215.7951748855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31"/>
      <c r="C134" s="431"/>
      <c r="D134" s="431"/>
      <c r="E134" s="431"/>
      <c r="F134" s="431"/>
      <c r="G134" s="459">
        <f t="shared" si="15"/>
        <v>11</v>
      </c>
      <c r="H134" s="459">
        <v>127</v>
      </c>
      <c r="I134" s="444">
        <f t="shared" ca="1" si="5"/>
        <v>4206215.7951748855</v>
      </c>
      <c r="J134" s="444">
        <f t="array" ref="J134">IFERROR(INDEX('Retirement Calculator'!K:K,MATCH('Lorri 401b'!N134,'Retirement Calculator'!A:A,0),0),0)</f>
        <v>21655.303514578787</v>
      </c>
      <c r="K134" s="444">
        <f t="shared" ca="1" si="2"/>
        <v>17435.668715251279</v>
      </c>
      <c r="L134" s="444">
        <f t="shared" ca="1" si="3"/>
        <v>4201996.1603755578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31"/>
      <c r="C135" s="431"/>
      <c r="D135" s="431"/>
      <c r="E135" s="431"/>
      <c r="F135" s="431"/>
      <c r="G135" s="459">
        <f t="shared" si="15"/>
        <v>11</v>
      </c>
      <c r="H135" s="459">
        <v>128</v>
      </c>
      <c r="I135" s="444">
        <f t="shared" ca="1" si="5"/>
        <v>4201996.1603755578</v>
      </c>
      <c r="J135" s="444">
        <f t="array" ref="J135">IFERROR(INDEX('Retirement Calculator'!K:K,MATCH('Lorri 401b'!N135,'Retirement Calculator'!A:A,0),0),0)</f>
        <v>21655.303514578787</v>
      </c>
      <c r="K135" s="444">
        <f t="shared" ca="1" si="2"/>
        <v>17418.086903587413</v>
      </c>
      <c r="L135" s="444">
        <f t="shared" ca="1" si="3"/>
        <v>4197758.9437645664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31"/>
      <c r="C136" s="431"/>
      <c r="D136" s="431"/>
      <c r="E136" s="431"/>
      <c r="F136" s="431"/>
      <c r="G136" s="459">
        <f t="shared" si="15"/>
        <v>11</v>
      </c>
      <c r="H136" s="459">
        <v>129</v>
      </c>
      <c r="I136" s="444">
        <f t="shared" ca="1" si="5"/>
        <v>4197758.9437645664</v>
      </c>
      <c r="J136" s="444">
        <f t="array" ref="J136">IFERROR(INDEX('Retirement Calculator'!K:K,MATCH('Lorri 401b'!N136,'Retirement Calculator'!A:A,0),0),0)</f>
        <v>21655.303514578787</v>
      </c>
      <c r="K136" s="444">
        <f t="shared" ca="1" si="2"/>
        <v>17400.431834374947</v>
      </c>
      <c r="L136" s="444">
        <f t="shared" ca="1" si="3"/>
        <v>4193504.0720843626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4193504.0720843626</v>
      </c>
      <c r="J137" s="444">
        <f t="array" ref="J137">IFERROR(INDEX('Retirement Calculator'!K:K,MATCH('Lorri 401b'!N137,'Retirement Calculator'!A:A,0),0),0)</f>
        <v>21655.303514578787</v>
      </c>
      <c r="K137" s="444">
        <f t="shared" ca="1" si="2"/>
        <v>17382.703202374098</v>
      </c>
      <c r="L137" s="444">
        <f t="shared" ca="1" si="3"/>
        <v>4189231.4717721581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4189231.4717721581</v>
      </c>
      <c r="J138" s="444">
        <f t="array" ref="J138">IFERROR(INDEX('Retirement Calculator'!K:K,MATCH('Lorri 401b'!N138,'Retirement Calculator'!A:A,0),0),0)</f>
        <v>21655.303514578787</v>
      </c>
      <c r="K138" s="444">
        <f t="shared" ca="1" si="2"/>
        <v>17364.900701073246</v>
      </c>
      <c r="L138" s="444">
        <f t="shared" ca="1" si="3"/>
        <v>4184941.0689586527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4184941.0689586527</v>
      </c>
      <c r="J139" s="444">
        <f t="array" ref="J139">IFERROR(INDEX('Retirement Calculator'!K:K,MATCH('Lorri 401b'!N139,'Retirement Calculator'!A:A,0),0),0)</f>
        <v>21655.303514578787</v>
      </c>
      <c r="K139" s="444">
        <f t="shared" ca="1" si="2"/>
        <v>17347.024022683639</v>
      </c>
      <c r="L139" s="444">
        <f t="shared" ca="1" si="3"/>
        <v>4180632.7894667573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4180632.7894667573</v>
      </c>
      <c r="J140" s="444">
        <f t="array" ref="J140">IFERROR(INDEX('Retirement Calculator'!K:K,MATCH('Lorri 401b'!N140,'Retirement Calculator'!A:A,0),0),0)</f>
        <v>21655.303514578787</v>
      </c>
      <c r="K140" s="444">
        <f t="shared" ca="1" si="2"/>
        <v>17329.072858134077</v>
      </c>
      <c r="L140" s="444">
        <f t="shared" ca="1" si="3"/>
        <v>4176306.5588103128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4176306.5588103128</v>
      </c>
      <c r="J141" s="444">
        <f t="array" ref="J141">IFERROR(INDEX('Retirement Calculator'!K:K,MATCH('Lorri 401b'!N141,'Retirement Calculator'!A:A,0),0),0)</f>
        <v>21655.303514578787</v>
      </c>
      <c r="K141" s="444">
        <f t="shared" ca="1" si="2"/>
        <v>17311.04689706556</v>
      </c>
      <c r="L141" s="444">
        <f t="shared" ca="1" si="3"/>
        <v>4171962.3021927993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4171962.3021927993</v>
      </c>
      <c r="J142" s="444">
        <f t="array" ref="J142">IFERROR(INDEX('Retirement Calculator'!K:K,MATCH('Lorri 401b'!N142,'Retirement Calculator'!A:A,0),0),0)</f>
        <v>21655.303514578787</v>
      </c>
      <c r="K142" s="444">
        <f t="shared" ca="1" si="2"/>
        <v>17292.945827825919</v>
      </c>
      <c r="L142" s="444">
        <f t="shared" ca="1" si="3"/>
        <v>4167599.9445060464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4167599.9445060464</v>
      </c>
      <c r="J143" s="444">
        <f t="array" ref="J143">IFERROR(INDEX('Retirement Calculator'!K:K,MATCH('Lorri 401b'!N143,'Retirement Calculator'!A:A,0),0),0)</f>
        <v>21655.303514578787</v>
      </c>
      <c r="K143" s="444">
        <f t="shared" ca="1" si="2"/>
        <v>17274.769337464444</v>
      </c>
      <c r="L143" s="444">
        <f t="shared" ca="1" si="3"/>
        <v>4163219.4103289321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4163219.4103289321</v>
      </c>
      <c r="J144" s="444">
        <f t="array" ref="J144">IFERROR(INDEX('Retirement Calculator'!K:K,MATCH('Lorri 401b'!N144,'Retirement Calculator'!A:A,0),0),0)</f>
        <v>21655.303514578787</v>
      </c>
      <c r="K144" s="444">
        <f t="shared" ca="1" si="2"/>
        <v>17256.517111726473</v>
      </c>
      <c r="L144" s="444">
        <f t="shared" ca="1" si="3"/>
        <v>4158820.6239260798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4158820.6239260798</v>
      </c>
      <c r="J145" s="444">
        <f t="array" ref="J145">IFERROR(INDEX('Retirement Calculator'!K:K,MATCH('Lorri 401b'!N145,'Retirement Calculator'!A:A,0),0),0)</f>
        <v>21655.303514578787</v>
      </c>
      <c r="K145" s="444">
        <f t="shared" ca="1" si="2"/>
        <v>17238.18883504792</v>
      </c>
      <c r="L145" s="444">
        <f t="shared" ca="1" si="3"/>
        <v>4154403.5092465491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4154403.5092465491</v>
      </c>
      <c r="J146" s="444">
        <f t="array" ref="J146">IFERROR(INDEX('Retirement Calculator'!K:K,MATCH('Lorri 401b'!N146,'Retirement Calculator'!A:A,0),0),0)</f>
        <v>21655.303514578787</v>
      </c>
      <c r="K146" s="444">
        <f t="shared" ca="1" si="2"/>
        <v>17219.784190549875</v>
      </c>
      <c r="L146" s="444">
        <f t="shared" ca="1" si="3"/>
        <v>4149967.9899225202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4149967.9899225202</v>
      </c>
      <c r="J147" s="444">
        <f t="array" ref="J147">IFERROR(INDEX('Retirement Calculator'!K:K,MATCH('Lorri 401b'!N147,'Retirement Calculator'!A:A,0),0),0)</f>
        <v>21655.303514578787</v>
      </c>
      <c r="K147" s="444">
        <f t="shared" ca="1" si="2"/>
        <v>17201.302860033087</v>
      </c>
      <c r="L147" s="444">
        <f t="shared" ca="1" si="3"/>
        <v>4145513.9892679746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4145513.9892679746</v>
      </c>
      <c r="J148" s="444">
        <f t="array" ref="J148">IFERROR(INDEX('Retirement Calculator'!K:K,MATCH('Lorri 401b'!N148,'Retirement Calculator'!A:A,0),0),0)</f>
        <v>21655.303514578787</v>
      </c>
      <c r="K148" s="444">
        <f t="shared" ca="1" si="2"/>
        <v>17182.74452397248</v>
      </c>
      <c r="L148" s="444">
        <f t="shared" ca="1" si="3"/>
        <v>4141041.4302773681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4141041.4302773681</v>
      </c>
      <c r="J149" s="444">
        <f t="array" ref="J149">IFERROR(INDEX('Retirement Calculator'!K:K,MATCH('Lorri 401b'!N149,'Retirement Calculator'!A:A,0),0),0)</f>
        <v>21655.303514578787</v>
      </c>
      <c r="K149" s="444">
        <f t="shared" ca="1" si="2"/>
        <v>17164.10886151162</v>
      </c>
      <c r="L149" s="444">
        <f t="shared" ca="1" si="3"/>
        <v>4136550.2356243008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4136550.2356243008</v>
      </c>
      <c r="J150" s="444">
        <f t="array" ref="J150">IFERROR(INDEX('Retirement Calculator'!K:K,MATCH('Lorri 401b'!N150,'Retirement Calculator'!A:A,0),0),0)</f>
        <v>21655.303514578787</v>
      </c>
      <c r="K150" s="444">
        <f t="shared" ca="1" si="2"/>
        <v>17145.395550457175</v>
      </c>
      <c r="L150" s="444">
        <f t="shared" ca="1" si="3"/>
        <v>4132040.3276601792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4132040.3276601792</v>
      </c>
      <c r="J151" s="444">
        <f t="array" ref="J151">IFERROR(INDEX('Retirement Calculator'!K:K,MATCH('Lorri 401b'!N151,'Retirement Calculator'!A:A,0),0),0)</f>
        <v>21655.303514578787</v>
      </c>
      <c r="K151" s="444">
        <f t="shared" ca="1" si="2"/>
        <v>17126.604267273338</v>
      </c>
      <c r="L151" s="444">
        <f t="shared" ca="1" si="3"/>
        <v>4127511.6284128739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4127511.6284128739</v>
      </c>
      <c r="J152" s="444">
        <f t="array" ref="J152">IFERROR(INDEX('Retirement Calculator'!K:K,MATCH('Lorri 401b'!N152,'Retirement Calculator'!A:A,0),0),0)</f>
        <v>21655.303514578787</v>
      </c>
      <c r="K152" s="444">
        <f t="shared" ca="1" si="2"/>
        <v>17107.73468707623</v>
      </c>
      <c r="L152" s="444">
        <f t="shared" ca="1" si="3"/>
        <v>4122964.0595853715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4122964.0595853715</v>
      </c>
      <c r="J153" s="444">
        <f t="array" ref="J153">IFERROR(INDEX('Retirement Calculator'!K:K,MATCH('Lorri 401b'!N153,'Retirement Calculator'!A:A,0),0),0)</f>
        <v>21655.303514578787</v>
      </c>
      <c r="K153" s="444">
        <f t="shared" ca="1" si="2"/>
        <v>17088.786483628304</v>
      </c>
      <c r="L153" s="444">
        <f t="shared" ca="1" si="3"/>
        <v>4118397.5425544209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4118397.5425544209</v>
      </c>
      <c r="J154" s="444">
        <f t="array" ref="J154">IFERROR(INDEX('Retirement Calculator'!K:K,MATCH('Lorri 401b'!N154,'Retirement Calculator'!A:A,0),0),0)</f>
        <v>21655.303514578787</v>
      </c>
      <c r="K154" s="444">
        <f t="shared" ca="1" si="2"/>
        <v>17069.759329332675</v>
      </c>
      <c r="L154" s="444">
        <f t="shared" ca="1" si="3"/>
        <v>4113811.9983691745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4113811.9983691745</v>
      </c>
      <c r="J155" s="444">
        <f t="array" ref="J155">IFERROR(INDEX('Retirement Calculator'!K:K,MATCH('Lorri 401b'!N155,'Retirement Calculator'!A:A,0),0),0)</f>
        <v>21655.303514578787</v>
      </c>
      <c r="K155" s="444">
        <f t="shared" ca="1" si="2"/>
        <v>17050.652895227478</v>
      </c>
      <c r="L155" s="444">
        <f t="shared" ca="1" si="3"/>
        <v>4109207.3477498232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4109207.3477498232</v>
      </c>
      <c r="J156" s="444">
        <f t="array" ref="J156">IFERROR(INDEX('Retirement Calculator'!K:K,MATCH('Lorri 401b'!N156,'Retirement Calculator'!A:A,0),0),0)</f>
        <v>21655.303514578787</v>
      </c>
      <c r="K156" s="444">
        <f t="shared" ca="1" si="2"/>
        <v>17031.466850980185</v>
      </c>
      <c r="L156" s="444">
        <f t="shared" ca="1" si="3"/>
        <v>4104583.5110862246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4104583.5110862246</v>
      </c>
      <c r="J157" s="444">
        <f t="array" ref="J157">IFERROR(INDEX('Retirement Calculator'!K:K,MATCH('Lorri 401b'!N157,'Retirement Calculator'!A:A,0),0),0)</f>
        <v>21655.303514578787</v>
      </c>
      <c r="K157" s="444">
        <f t="shared" ca="1" si="2"/>
        <v>17012.200864881856</v>
      </c>
      <c r="L157" s="444">
        <f t="shared" ca="1" si="3"/>
        <v>4099940.4084365275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4099940.4084365275</v>
      </c>
      <c r="J158" s="444">
        <f t="array" ref="J158">IFERROR(INDEX('Retirement Calculator'!K:K,MATCH('Lorri 401b'!N158,'Retirement Calculator'!A:A,0),0),0)</f>
        <v>21655.303514578787</v>
      </c>
      <c r="K158" s="444">
        <f t="shared" ca="1" si="2"/>
        <v>16992.854603841453</v>
      </c>
      <c r="L158" s="444">
        <f t="shared" ca="1" si="3"/>
        <v>4095277.9595257901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4095277.9595257901</v>
      </c>
      <c r="J159" s="444">
        <f t="array" ref="J159">IFERROR(INDEX('Retirement Calculator'!K:K,MATCH('Lorri 401b'!N159,'Retirement Calculator'!A:A,0),0),0)</f>
        <v>21655.303514578787</v>
      </c>
      <c r="K159" s="444">
        <f t="shared" ca="1" si="2"/>
        <v>16973.427733380049</v>
      </c>
      <c r="L159" s="444">
        <f t="shared" ca="1" si="3"/>
        <v>4090596.0837445911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4090596.0837445911</v>
      </c>
      <c r="J160" s="444">
        <f t="array" ref="J160">IFERROR(INDEX('Retirement Calculator'!K:K,MATCH('Lorri 401b'!N160,'Retirement Calculator'!A:A,0),0),0)</f>
        <v>21655.303514578787</v>
      </c>
      <c r="K160" s="444">
        <f t="shared" ca="1" si="2"/>
        <v>16953.919917625048</v>
      </c>
      <c r="L160" s="444">
        <f t="shared" ca="1" si="3"/>
        <v>4085894.7001476372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4085894.7001476372</v>
      </c>
      <c r="J161" s="444">
        <f t="array" ref="J161">IFERROR(INDEX('Retirement Calculator'!K:K,MATCH('Lorri 401b'!N161,'Retirement Calculator'!A:A,0),0),0)</f>
        <v>21655.303514578787</v>
      </c>
      <c r="K161" s="444">
        <f t="shared" ca="1" si="2"/>
        <v>16934.330819304407</v>
      </c>
      <c r="L161" s="444">
        <f t="shared" ca="1" si="3"/>
        <v>4081173.7274523629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4081173.7274523629</v>
      </c>
      <c r="J162" s="444">
        <f t="array" ref="J162">IFERROR(INDEX('Retirement Calculator'!K:K,MATCH('Lorri 401b'!N162,'Retirement Calculator'!A:A,0),0),0)</f>
        <v>21655.303514578787</v>
      </c>
      <c r="K162" s="444">
        <f t="shared" ca="1" si="2"/>
        <v>16914.660099740766</v>
      </c>
      <c r="L162" s="444">
        <f t="shared" ca="1" si="3"/>
        <v>4076433.0840375246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4076433.0840375246</v>
      </c>
      <c r="J163" s="444">
        <f t="array" ref="J163">IFERROR(INDEX('Retirement Calculator'!K:K,MATCH('Lorri 401b'!N163,'Retirement Calculator'!A:A,0),0),0)</f>
        <v>21655.303514578787</v>
      </c>
      <c r="K163" s="444">
        <f t="shared" ca="1" si="2"/>
        <v>16894.907418845607</v>
      </c>
      <c r="L163" s="444">
        <f t="shared" ca="1" si="3"/>
        <v>4071672.6879417915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4071672.6879417915</v>
      </c>
      <c r="J164" s="444">
        <f t="array" ref="J164">IFERROR(INDEX('Retirement Calculator'!K:K,MATCH('Lorri 401b'!N164,'Retirement Calculator'!A:A,0),0),0)</f>
        <v>21655.303514578787</v>
      </c>
      <c r="K164" s="444">
        <f t="shared" ca="1" si="2"/>
        <v>16875.072435113387</v>
      </c>
      <c r="L164" s="444">
        <f t="shared" ca="1" si="3"/>
        <v>4066892.4568623262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4066892.4568623262</v>
      </c>
      <c r="J165" s="444">
        <f t="array" ref="J165">IFERROR(INDEX('Retirement Calculator'!K:K,MATCH('Lorri 401b'!N165,'Retirement Calculator'!A:A,0),0),0)</f>
        <v>21655.303514578787</v>
      </c>
      <c r="K165" s="444">
        <f t="shared" ca="1" si="2"/>
        <v>16855.154805615613</v>
      </c>
      <c r="L165" s="444">
        <f t="shared" ca="1" si="3"/>
        <v>4062092.3081533629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4062092.3081533629</v>
      </c>
      <c r="J166" s="444">
        <f t="array" ref="J166">IFERROR(INDEX('Retirement Calculator'!K:K,MATCH('Lorri 401b'!N166,'Retirement Calculator'!A:A,0),0),0)</f>
        <v>21655.303514578787</v>
      </c>
      <c r="K166" s="444">
        <f t="shared" ca="1" si="2"/>
        <v>16835.154185994932</v>
      </c>
      <c r="L166" s="444">
        <f t="shared" ca="1" si="3"/>
        <v>4057272.1588247791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4057272.1588247791</v>
      </c>
      <c r="J167" s="444">
        <f t="array" ref="J167">IFERROR(INDEX('Retirement Calculator'!K:K,MATCH('Lorri 401b'!N167,'Retirement Calculator'!A:A,0),0),0)</f>
        <v>21655.303514578787</v>
      </c>
      <c r="K167" s="444">
        <f t="shared" ca="1" si="2"/>
        <v>16815.070230459169</v>
      </c>
      <c r="L167" s="444">
        <f t="shared" ca="1" si="3"/>
        <v>4052431.9255406596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4052431.9255406596</v>
      </c>
      <c r="J168" s="444">
        <f t="array" ref="J168">IFERROR(INDEX('Retirement Calculator'!K:K,MATCH('Lorri 401b'!N168,'Retirement Calculator'!A:A,0),0),0)</f>
        <v>21655.303514578787</v>
      </c>
      <c r="K168" s="444">
        <f t="shared" ca="1" si="2"/>
        <v>16794.902591775335</v>
      </c>
      <c r="L168" s="444">
        <f t="shared" ca="1" si="3"/>
        <v>4047571.5246178559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4047571.5246178559</v>
      </c>
      <c r="J169" s="444">
        <f t="array" ref="J169">IFERROR(INDEX('Retirement Calculator'!K:K,MATCH('Lorri 401b'!N169,'Retirement Calculator'!A:A,0),0),0)</f>
        <v>21655.303514578787</v>
      </c>
      <c r="K169" s="444">
        <f t="shared" ca="1" si="2"/>
        <v>16774.650921263656</v>
      </c>
      <c r="L169" s="444">
        <f t="shared" ca="1" si="3"/>
        <v>4042690.8720245408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4042690.8720245408</v>
      </c>
      <c r="J170" s="444">
        <f t="array" ref="J170">IFERROR(INDEX('Retirement Calculator'!K:K,MATCH('Lorri 401b'!N170,'Retirement Calculator'!A:A,0),0),0)</f>
        <v>21655.303514578787</v>
      </c>
      <c r="K170" s="444">
        <f t="shared" ca="1" si="2"/>
        <v>16754.314868791509</v>
      </c>
      <c r="L170" s="444">
        <f t="shared" ca="1" si="3"/>
        <v>4037789.8833787534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4037789.8833787534</v>
      </c>
      <c r="J171" s="444">
        <f t="array" ref="J171">IFERROR(INDEX('Retirement Calculator'!K:K,MATCH('Lorri 401b'!N171,'Retirement Calculator'!A:A,0),0),0)</f>
        <v>21655.303514578787</v>
      </c>
      <c r="K171" s="444">
        <f t="shared" ca="1" si="2"/>
        <v>16733.894082767394</v>
      </c>
      <c r="L171" s="444">
        <f t="shared" ca="1" si="3"/>
        <v>4032868.473946942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4032868.473946942</v>
      </c>
      <c r="J172" s="444">
        <f t="array" ref="J172">IFERROR(INDEX('Retirement Calculator'!K:K,MATCH('Lorri 401b'!N172,'Retirement Calculator'!A:A,0),0),0)</f>
        <v>21655.303514578787</v>
      </c>
      <c r="K172" s="444">
        <f t="shared" ca="1" si="2"/>
        <v>16713.388210134843</v>
      </c>
      <c r="L172" s="444">
        <f t="shared" ca="1" si="3"/>
        <v>4027926.5586424982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4027926.5586424982</v>
      </c>
      <c r="J173" s="444">
        <f t="array" ref="J173">IFERROR(INDEX('Retirement Calculator'!K:K,MATCH('Lorri 401b'!N173,'Retirement Calculator'!A:A,0),0),0)</f>
        <v>21655.303514578787</v>
      </c>
      <c r="K173" s="444">
        <f t="shared" ca="1" si="2"/>
        <v>16692.796896366333</v>
      </c>
      <c r="L173" s="444">
        <f t="shared" ca="1" si="3"/>
        <v>4022964.0520242858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4022964.0520242858</v>
      </c>
      <c r="J174" s="444">
        <f t="array" ref="J174">IFERROR(INDEX('Retirement Calculator'!K:K,MATCH('Lorri 401b'!N174,'Retirement Calculator'!A:A,0),0),0)</f>
        <v>21655.303514578787</v>
      </c>
      <c r="K174" s="444">
        <f t="shared" ca="1" si="2"/>
        <v>16672.119785457111</v>
      </c>
      <c r="L174" s="444">
        <f t="shared" ca="1" si="3"/>
        <v>4017980.8682951638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4017980.8682951638</v>
      </c>
      <c r="J175" s="444">
        <f t="array" ref="J175">IFERROR(INDEX('Retirement Calculator'!K:K,MATCH('Lorri 401b'!N175,'Retirement Calculator'!A:A,0),0),0)</f>
        <v>21655.303514578787</v>
      </c>
      <c r="K175" s="444">
        <f t="shared" ca="1" si="2"/>
        <v>16651.356519919107</v>
      </c>
      <c r="L175" s="444">
        <f t="shared" ca="1" si="3"/>
        <v>4012976.9213005039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4012976.9213005039</v>
      </c>
      <c r="J176" s="444">
        <f t="array" ref="J176">IFERROR(INDEX('Retirement Calculator'!K:K,MATCH('Lorri 401b'!N176,'Retirement Calculator'!A:A,0),0),0)</f>
        <v>21655.303514578787</v>
      </c>
      <c r="K176" s="444">
        <f t="shared" ca="1" si="2"/>
        <v>16630.506740774686</v>
      </c>
      <c r="L176" s="444">
        <f t="shared" ca="1" si="3"/>
        <v>4007952.1245266995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4007952.1245266995</v>
      </c>
      <c r="J177" s="444">
        <f t="array" ref="J177">IFERROR(INDEX('Retirement Calculator'!K:K,MATCH('Lorri 401b'!N177,'Retirement Calculator'!A:A,0),0),0)</f>
        <v>21655.303514578787</v>
      </c>
      <c r="K177" s="444">
        <f t="shared" ca="1" si="2"/>
        <v>16609.570087550503</v>
      </c>
      <c r="L177" s="444">
        <f t="shared" ca="1" si="3"/>
        <v>4002906.3910996714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4002906.3910996714</v>
      </c>
      <c r="J178" s="444">
        <f t="array" ref="J178">IFERROR(INDEX('Retirement Calculator'!K:K,MATCH('Lorri 401b'!N178,'Retirement Calculator'!A:A,0),0),0)</f>
        <v>21655.303514578787</v>
      </c>
      <c r="K178" s="444">
        <f t="shared" ca="1" si="2"/>
        <v>16588.546198271219</v>
      </c>
      <c r="L178" s="444">
        <f t="shared" ca="1" si="3"/>
        <v>3997839.6337833637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3997839.6337833637</v>
      </c>
      <c r="J179" s="444">
        <f t="array" ref="J179">IFERROR(INDEX('Retirement Calculator'!K:K,MATCH('Lorri 401b'!N179,'Retirement Calculator'!A:A,0),0),0)</f>
        <v>21655.303514578787</v>
      </c>
      <c r="K179" s="444">
        <f t="shared" ca="1" si="2"/>
        <v>16567.434709453271</v>
      </c>
      <c r="L179" s="444">
        <f t="shared" ca="1" si="3"/>
        <v>3992751.7649782384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3992751.7649782384</v>
      </c>
      <c r="J180" s="444">
        <f t="array" ref="J180">IFERROR(INDEX('Retirement Calculator'!K:K,MATCH('Lorri 401b'!N180,'Retirement Calculator'!A:A,0),0),0)</f>
        <v>21655.303514578787</v>
      </c>
      <c r="K180" s="444">
        <f t="shared" ca="1" si="2"/>
        <v>16546.235256098582</v>
      </c>
      <c r="L180" s="444">
        <f t="shared" ca="1" si="3"/>
        <v>3987642.6967197582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3987642.6967197582</v>
      </c>
      <c r="J181" s="444">
        <f t="array" ref="J181">IFERROR(INDEX('Retirement Calculator'!K:K,MATCH('Lorri 401b'!N181,'Retirement Calculator'!A:A,0),0),0)</f>
        <v>21655.303514578787</v>
      </c>
      <c r="K181" s="444">
        <f t="shared" ca="1" si="2"/>
        <v>16524.947471688251</v>
      </c>
      <c r="L181" s="444">
        <f t="shared" ca="1" si="3"/>
        <v>3982512.3406768674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3982512.3406768674</v>
      </c>
      <c r="J182" s="444">
        <f t="array" ref="J182">IFERROR(INDEX('Retirement Calculator'!K:K,MATCH('Lorri 401b'!N182,'Retirement Calculator'!A:A,0),0),0)</f>
        <v>21655.303514578787</v>
      </c>
      <c r="K182" s="444">
        <f t="shared" ca="1" si="2"/>
        <v>16503.570988176201</v>
      </c>
      <c r="L182" s="444">
        <f t="shared" ca="1" si="3"/>
        <v>3977360.6081504649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3977360.6081504649</v>
      </c>
      <c r="J183" s="444">
        <f t="array" ref="J183">IFERROR(INDEX('Retirement Calculator'!K:K,MATCH('Lorri 401b'!N183,'Retirement Calculator'!A:A,0),0),0)</f>
        <v>21655.303514578787</v>
      </c>
      <c r="K183" s="444">
        <f t="shared" ca="1" si="2"/>
        <v>16482.105435982859</v>
      </c>
      <c r="L183" s="444">
        <f t="shared" ca="1" si="3"/>
        <v>3972187.4100718689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3972187.4100718689</v>
      </c>
      <c r="J184" s="444">
        <f t="array" ref="J184">IFERROR(INDEX('Retirement Calculator'!K:K,MATCH('Lorri 401b'!N184,'Retirement Calculator'!A:A,0),0),0)</f>
        <v>21655.303514578787</v>
      </c>
      <c r="K184" s="444">
        <f t="shared" ca="1" si="2"/>
        <v>16460.550443988708</v>
      </c>
      <c r="L184" s="444">
        <f t="shared" ca="1" si="3"/>
        <v>3966992.6570012788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3966992.6570012788</v>
      </c>
      <c r="J185" s="444">
        <f t="array" ref="J185">IFERROR(INDEX('Retirement Calculator'!K:K,MATCH('Lorri 401b'!N185,'Retirement Calculator'!A:A,0),0),0)</f>
        <v>21655.303514578787</v>
      </c>
      <c r="K185" s="444">
        <f t="shared" ca="1" si="2"/>
        <v>16438.905639527915</v>
      </c>
      <c r="L185" s="444">
        <f t="shared" ca="1" si="3"/>
        <v>3961776.2591262278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3961776.2591262278</v>
      </c>
      <c r="J186" s="444">
        <f t="array" ref="J186">IFERROR(INDEX('Retirement Calculator'!K:K,MATCH('Lorri 401b'!N186,'Retirement Calculator'!A:A,0),0),0)</f>
        <v>21655.303514578787</v>
      </c>
      <c r="K186" s="444">
        <f t="shared" ca="1" si="2"/>
        <v>16417.170648381871</v>
      </c>
      <c r="L186" s="444">
        <f t="shared" ca="1" si="3"/>
        <v>3956538.126260031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3956538.126260031</v>
      </c>
      <c r="J187" s="444">
        <f t="array" ref="J187">IFERROR(INDEX('Retirement Calculator'!K:K,MATCH('Lorri 401b'!N187,'Retirement Calculator'!A:A,0),0),0)</f>
        <v>21655.303514578787</v>
      </c>
      <c r="K187" s="444">
        <f t="shared" ca="1" si="2"/>
        <v>16395.345094772718</v>
      </c>
      <c r="L187" s="444">
        <f t="shared" ca="1" si="3"/>
        <v>3951278.1678402247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3951278.1678402247</v>
      </c>
      <c r="J188" s="444">
        <f t="array" ref="J188">IFERROR(INDEX('Retirement Calculator'!K:K,MATCH('Lorri 401b'!N188,'Retirement Calculator'!A:A,0),0),0)</f>
        <v>21655.303514578787</v>
      </c>
      <c r="K188" s="444">
        <f t="shared" ca="1" si="2"/>
        <v>16373.428601356856</v>
      </c>
      <c r="L188" s="444">
        <f t="shared" ca="1" si="3"/>
        <v>3945996.2929270025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3945996.2929270025</v>
      </c>
      <c r="J189" s="444">
        <f t="array" ref="J189">IFERROR(INDEX('Retirement Calculator'!K:K,MATCH('Lorri 401b'!N189,'Retirement Calculator'!A:A,0),0),0)</f>
        <v>21655.303514578787</v>
      </c>
      <c r="K189" s="444">
        <f t="shared" ca="1" si="2"/>
        <v>16351.420789218433</v>
      </c>
      <c r="L189" s="444">
        <f t="shared" ca="1" si="3"/>
        <v>3940692.4102016422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3940692.4102016422</v>
      </c>
      <c r="J190" s="444">
        <f t="array" ref="J190">IFERROR(INDEX('Retirement Calculator'!K:K,MATCH('Lorri 401b'!N190,'Retirement Calculator'!A:A,0),0),0)</f>
        <v>21655.303514578787</v>
      </c>
      <c r="K190" s="444">
        <f t="shared" ca="1" si="2"/>
        <v>16329.321277862764</v>
      </c>
      <c r="L190" s="444">
        <f t="shared" ca="1" si="3"/>
        <v>3935366.4279649262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3935366.4279649262</v>
      </c>
      <c r="J191" s="444">
        <f t="array" ref="J191">IFERROR(INDEX('Retirement Calculator'!K:K,MATCH('Lorri 401b'!N191,'Retirement Calculator'!A:A,0),0),0)</f>
        <v>21655.303514578787</v>
      </c>
      <c r="K191" s="444">
        <f t="shared" ca="1" si="2"/>
        <v>16307.12968520978</v>
      </c>
      <c r="L191" s="444">
        <f t="shared" ca="1" si="3"/>
        <v>3930018.254135557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3930018.254135557</v>
      </c>
      <c r="J192" s="444">
        <f t="array" ref="J192">IFERROR(INDEX('Retirement Calculator'!K:K,MATCH('Lorri 401b'!N192,'Retirement Calculator'!A:A,0),0),0)</f>
        <v>21655.303514578787</v>
      </c>
      <c r="K192" s="444">
        <f t="shared" ca="1" si="2"/>
        <v>16284.845627587409</v>
      </c>
      <c r="L192" s="444">
        <f t="shared" ca="1" si="3"/>
        <v>3924647.7962485654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3924647.7962485654</v>
      </c>
      <c r="J193" s="444">
        <f t="array" ref="J193">IFERROR(INDEX('Retirement Calculator'!K:K,MATCH('Lorri 401b'!N193,'Retirement Calculator'!A:A,0),0),0)</f>
        <v>21655.303514578787</v>
      </c>
      <c r="K193" s="444">
        <f t="shared" ca="1" si="2"/>
        <v>16262.468719724946</v>
      </c>
      <c r="L193" s="444">
        <f t="shared" ca="1" si="3"/>
        <v>3919254.9614537116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3919254.9614537116</v>
      </c>
      <c r="J194" s="444">
        <f t="array" ref="J194">IFERROR(INDEX('Retirement Calculator'!K:K,MATCH('Lorri 401b'!N194,'Retirement Calculator'!A:A,0),0),0)</f>
        <v>21655.303514578787</v>
      </c>
      <c r="K194" s="444">
        <f t="shared" ca="1" si="2"/>
        <v>16239.998574746385</v>
      </c>
      <c r="L194" s="444">
        <f t="shared" ca="1" si="3"/>
        <v>3913839.6565138791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3913839.6565138791</v>
      </c>
      <c r="J195" s="444">
        <f t="array" ref="J195">IFERROR(INDEX('Retirement Calculator'!K:K,MATCH('Lorri 401b'!N195,'Retirement Calculator'!A:A,0),0),0)</f>
        <v>21655.303514578787</v>
      </c>
      <c r="K195" s="444">
        <f t="shared" ca="1" si="2"/>
        <v>16217.434804163751</v>
      </c>
      <c r="L195" s="444">
        <f t="shared" ca="1" si="3"/>
        <v>3908401.7878034641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3908401.7878034641</v>
      </c>
      <c r="J196" s="444">
        <f t="array" ref="J196">IFERROR(INDEX('Retirement Calculator'!K:K,MATCH('Lorri 401b'!N196,'Retirement Calculator'!A:A,0),0),0)</f>
        <v>21655.303514578787</v>
      </c>
      <c r="K196" s="444">
        <f t="shared" ca="1" si="2"/>
        <v>16194.777017870356</v>
      </c>
      <c r="L196" s="444">
        <f t="shared" ca="1" si="3"/>
        <v>3902941.2613067557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3902941.2613067557</v>
      </c>
      <c r="J197" s="444">
        <f t="array" ref="J197">IFERROR(INDEX('Retirement Calculator'!K:K,MATCH('Lorri 401b'!N197,'Retirement Calculator'!A:A,0),0),0)</f>
        <v>21655.303514578787</v>
      </c>
      <c r="K197" s="444">
        <f t="shared" ca="1" si="2"/>
        <v>16172.024824134071</v>
      </c>
      <c r="L197" s="444">
        <f t="shared" ca="1" si="3"/>
        <v>3897457.9826163109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3897457.9826163109</v>
      </c>
      <c r="J198" s="444">
        <f t="array" ref="J198">IFERROR(INDEX('Retirement Calculator'!K:K,MATCH('Lorri 401b'!N198,'Retirement Calculator'!A:A,0),0),0)</f>
        <v>21655.303514578787</v>
      </c>
      <c r="K198" s="444">
        <f t="shared" ca="1" si="2"/>
        <v>16149.177829590548</v>
      </c>
      <c r="L198" s="444">
        <f t="shared" ca="1" si="3"/>
        <v>3891951.8569313227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3891951.8569313227</v>
      </c>
      <c r="J199" s="444">
        <f t="array" ref="J199">IFERROR(INDEX('Retirement Calculator'!K:K,MATCH('Lorri 401b'!N199,'Retirement Calculator'!A:A,0),0),0)</f>
        <v>21655.303514578787</v>
      </c>
      <c r="K199" s="444">
        <f t="shared" ca="1" si="2"/>
        <v>16126.235639236433</v>
      </c>
      <c r="L199" s="444">
        <f t="shared" ca="1" si="3"/>
        <v>3886422.7890559803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3886422.7890559803</v>
      </c>
      <c r="J200" s="444">
        <f t="array" ref="J200">IFERROR(INDEX('Retirement Calculator'!K:K,MATCH('Lorri 401b'!N200,'Retirement Calculator'!A:A,0),0),0)</f>
        <v>21655.303514578787</v>
      </c>
      <c r="K200" s="444">
        <f t="shared" ca="1" si="2"/>
        <v>16103.197856422506</v>
      </c>
      <c r="L200" s="444">
        <f t="shared" ca="1" si="3"/>
        <v>3880870.6833978239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3880870.6833978239</v>
      </c>
      <c r="J201" s="444">
        <f t="array" ref="J201">IFERROR(INDEX('Retirement Calculator'!K:K,MATCH('Lorri 401b'!N201,'Retirement Calculator'!A:A,0),0),0)</f>
        <v>21655.303514578787</v>
      </c>
      <c r="K201" s="444">
        <f t="shared" ca="1" si="2"/>
        <v>16080.064082846853</v>
      </c>
      <c r="L201" s="444">
        <f t="shared" ca="1" si="3"/>
        <v>3875295.4439660921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3875295.4439660921</v>
      </c>
      <c r="J202" s="444">
        <f t="array" ref="J202">IFERROR(INDEX('Retirement Calculator'!K:K,MATCH('Lorri 401b'!N202,'Retirement Calculator'!A:A,0),0),0)</f>
        <v>21655.303514578787</v>
      </c>
      <c r="K202" s="444">
        <f t="shared" ca="1" si="2"/>
        <v>16056.833918547973</v>
      </c>
      <c r="L202" s="444">
        <f t="shared" ca="1" si="3"/>
        <v>3869696.9743700614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3869696.9743700614</v>
      </c>
      <c r="J203" s="444">
        <f t="array" ref="J203">IFERROR(INDEX('Retirement Calculator'!K:K,MATCH('Lorri 401b'!N203,'Retirement Calculator'!A:A,0),0),0)</f>
        <v>21655.303514578787</v>
      </c>
      <c r="K203" s="444">
        <f t="shared" ca="1" si="2"/>
        <v>16033.506961897845</v>
      </c>
      <c r="L203" s="444">
        <f t="shared" ca="1" si="3"/>
        <v>3864075.1778173805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3864075.1778173805</v>
      </c>
      <c r="J204" s="444">
        <f t="array" ref="J204">IFERROR(INDEX('Retirement Calculator'!K:K,MATCH('Lorri 401b'!N204,'Retirement Calculator'!A:A,0),0),0)</f>
        <v>21655.303514578787</v>
      </c>
      <c r="K204" s="444">
        <f t="shared" ca="1" si="2"/>
        <v>16010.082809595007</v>
      </c>
      <c r="L204" s="444">
        <f t="shared" ca="1" si="3"/>
        <v>3858429.9571123966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3858429.9571123966</v>
      </c>
      <c r="J205" s="444">
        <f t="array" ref="J205">IFERROR(INDEX('Retirement Calculator'!K:K,MATCH('Lorri 401b'!N205,'Retirement Calculator'!A:A,0),0),0)</f>
        <v>21655.303514578787</v>
      </c>
      <c r="K205" s="444">
        <f t="shared" ca="1" si="2"/>
        <v>15986.561056657574</v>
      </c>
      <c r="L205" s="444">
        <f t="shared" ca="1" si="3"/>
        <v>3852761.2146544755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3852761.2146544755</v>
      </c>
      <c r="J206" s="444">
        <f t="array" ref="J206">IFERROR(INDEX('Retirement Calculator'!K:K,MATCH('Lorri 401b'!N206,'Retirement Calculator'!A:A,0),0),0)</f>
        <v>21655.303514578787</v>
      </c>
      <c r="K206" s="444">
        <f t="shared" ca="1" si="2"/>
        <v>15962.941296416235</v>
      </c>
      <c r="L206" s="444">
        <f t="shared" ca="1" si="3"/>
        <v>3847068.8524363129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3847068.8524363129</v>
      </c>
      <c r="J207" s="444">
        <f t="array" ref="J207">IFERROR(INDEX('Retirement Calculator'!K:K,MATCH('Lorri 401b'!N207,'Retirement Calculator'!A:A,0),0),0)</f>
        <v>21655.303514578787</v>
      </c>
      <c r="K207" s="444">
        <f t="shared" ca="1" si="2"/>
        <v>15939.223120507226</v>
      </c>
      <c r="L207" s="444">
        <f t="shared" ca="1" si="3"/>
        <v>3841352.7720422414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3841352.7720422414</v>
      </c>
      <c r="J208" s="444">
        <f t="array" ref="J208">IFERROR(INDEX('Retirement Calculator'!K:K,MATCH('Lorri 401b'!N208,'Retirement Calculator'!A:A,0),0),0)</f>
        <v>21655.303514578787</v>
      </c>
      <c r="K208" s="444">
        <f t="shared" ca="1" si="2"/>
        <v>15915.406118865261</v>
      </c>
      <c r="L208" s="444">
        <f t="shared" ca="1" si="3"/>
        <v>3835612.8746465277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3835612.8746465277</v>
      </c>
      <c r="J209" s="444">
        <f t="array" ref="J209">IFERROR(INDEX('Retirement Calculator'!K:K,MATCH('Lorri 401b'!N209,'Retirement Calculator'!A:A,0),0),0)</f>
        <v>21655.303514578787</v>
      </c>
      <c r="K209" s="444">
        <f t="shared" ca="1" si="2"/>
        <v>15891.489879716455</v>
      </c>
      <c r="L209" s="444">
        <f t="shared" ca="1" si="3"/>
        <v>3829849.0610116655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3829849.0610116655</v>
      </c>
      <c r="J210" s="444">
        <f t="array" ref="J210">IFERROR(INDEX('Retirement Calculator'!K:K,MATCH('Lorri 401b'!N210,'Retirement Calculator'!A:A,0),0),0)</f>
        <v>21655.303514578787</v>
      </c>
      <c r="K210" s="444">
        <f t="shared" ca="1" si="2"/>
        <v>15867.473989571194</v>
      </c>
      <c r="L210" s="444">
        <f t="shared" ca="1" si="3"/>
        <v>3824061.2314866576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3824061.2314866576</v>
      </c>
      <c r="J211" s="444">
        <f t="array" ref="J211">IFERROR(INDEX('Retirement Calculator'!K:K,MATCH('Lorri 401b'!N211,'Retirement Calculator'!A:A,0),0),0)</f>
        <v>21655.303514578787</v>
      </c>
      <c r="K211" s="444">
        <f t="shared" ca="1" si="2"/>
        <v>15843.358033216993</v>
      </c>
      <c r="L211" s="444">
        <f t="shared" ca="1" si="3"/>
        <v>3818249.2860052958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3818249.2860052958</v>
      </c>
      <c r="J212" s="444">
        <f t="array" ref="J212">IFERROR(INDEX('Retirement Calculator'!K:K,MATCH('Lorri 401b'!N212,'Retirement Calculator'!A:A,0),0),0)</f>
        <v>21655.303514578787</v>
      </c>
      <c r="K212" s="444">
        <f t="shared" ca="1" si="2"/>
        <v>15819.14159371132</v>
      </c>
      <c r="L212" s="444">
        <f t="shared" ca="1" si="3"/>
        <v>3812413.1240844284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3812413.1240844284</v>
      </c>
      <c r="J213" s="444">
        <f t="array" ref="J213">IFERROR(INDEX('Retirement Calculator'!K:K,MATCH('Lorri 401b'!N213,'Retirement Calculator'!A:A,0),0),0)</f>
        <v>21655.303514578787</v>
      </c>
      <c r="K213" s="444">
        <f t="shared" ca="1" si="2"/>
        <v>15794.824252374374</v>
      </c>
      <c r="L213" s="444">
        <f t="shared" ca="1" si="3"/>
        <v>3806552.644822224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3806552.644822224</v>
      </c>
      <c r="J214" s="444">
        <f t="array" ref="J214">IFERROR(INDEX('Retirement Calculator'!K:K,MATCH('Lorri 401b'!N214,'Retirement Calculator'!A:A,0),0),0)</f>
        <v>21655.303514578787</v>
      </c>
      <c r="K214" s="444">
        <f t="shared" ca="1" si="2"/>
        <v>15770.405588781854</v>
      </c>
      <c r="L214" s="444">
        <f t="shared" ca="1" si="3"/>
        <v>3800667.7468964271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3800667.7468964271</v>
      </c>
      <c r="J215" s="444">
        <f t="array" ref="J215">IFERROR(INDEX('Retirement Calculator'!K:K,MATCH('Lorri 401b'!N215,'Retirement Calculator'!A:A,0),0),0)</f>
        <v>21655.303514578787</v>
      </c>
      <c r="K215" s="444">
        <f t="shared" ca="1" si="2"/>
        <v>15745.885180757701</v>
      </c>
      <c r="L215" s="444">
        <f t="shared" ca="1" si="3"/>
        <v>3794758.3285626061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3794758.3285626061</v>
      </c>
      <c r="J216" s="444">
        <f t="array" ref="J216">IFERROR(INDEX('Retirement Calculator'!K:K,MATCH('Lorri 401b'!N216,'Retirement Calculator'!A:A,0),0),0)</f>
        <v>21655.303514578787</v>
      </c>
      <c r="K216" s="444">
        <f t="shared" ca="1" si="2"/>
        <v>15721.262604366781</v>
      </c>
      <c r="L216" s="444">
        <f t="shared" ca="1" si="3"/>
        <v>3788824.2876523943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3788824.2876523943</v>
      </c>
      <c r="J217" s="444">
        <f t="array" ref="J217">IFERROR(INDEX('Retirement Calculator'!K:K,MATCH('Lorri 401b'!N217,'Retirement Calculator'!A:A,0),0),0)</f>
        <v>21655.303514578787</v>
      </c>
      <c r="K217" s="444">
        <f t="shared" ca="1" si="2"/>
        <v>15696.537433907566</v>
      </c>
      <c r="L217" s="444">
        <f t="shared" ca="1" si="3"/>
        <v>3782865.5215717228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3782865.5215717228</v>
      </c>
      <c r="J218" s="444">
        <f t="array" ref="J218">IFERROR(INDEX('Retirement Calculator'!K:K,MATCH('Lorri 401b'!N218,'Retirement Calculator'!A:A,0),0),0)</f>
        <v>21655.303514578787</v>
      </c>
      <c r="K218" s="444">
        <f t="shared" ca="1" si="2"/>
        <v>15671.709241904768</v>
      </c>
      <c r="L218" s="444">
        <f t="shared" ca="1" si="3"/>
        <v>3776881.9272990488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3776881.9272990488</v>
      </c>
      <c r="J219" s="444">
        <f t="array" ref="J219">IFERROR(INDEX('Retirement Calculator'!K:K,MATCH('Lorri 401b'!N219,'Retirement Calculator'!A:A,0),0),0)</f>
        <v>21655.303514578787</v>
      </c>
      <c r="K219" s="444">
        <f t="shared" ca="1" si="2"/>
        <v>15646.777599101957</v>
      </c>
      <c r="L219" s="444">
        <f t="shared" ca="1" si="3"/>
        <v>3770873.4013835718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3770873.4013835718</v>
      </c>
      <c r="J220" s="444">
        <f t="array" ref="J220">IFERROR(INDEX('Retirement Calculator'!K:K,MATCH('Lorri 401b'!N220,'Retirement Calculator'!A:A,0),0),0)</f>
        <v>21655.303514578787</v>
      </c>
      <c r="K220" s="444">
        <f t="shared" ca="1" si="2"/>
        <v>15621.74207445414</v>
      </c>
      <c r="L220" s="444">
        <f t="shared" ca="1" si="3"/>
        <v>3764839.8399434472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3764839.8399434472</v>
      </c>
      <c r="J221" s="444">
        <f t="array" ref="J221">IFERROR(INDEX('Retirement Calculator'!K:K,MATCH('Lorri 401b'!N221,'Retirement Calculator'!A:A,0),0),0)</f>
        <v>21655.303514578787</v>
      </c>
      <c r="K221" s="444">
        <f t="shared" ca="1" si="2"/>
        <v>15596.602235120285</v>
      </c>
      <c r="L221" s="444">
        <f t="shared" ca="1" si="3"/>
        <v>3758781.1386639886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3758781.1386639886</v>
      </c>
      <c r="J222" s="444">
        <f t="array" ref="J222">IFERROR(INDEX('Retirement Calculator'!K:K,MATCH('Lorri 401b'!N222,'Retirement Calculator'!A:A,0),0),0)</f>
        <v>21655.303514578787</v>
      </c>
      <c r="K222" s="444">
        <f t="shared" ca="1" si="2"/>
        <v>15571.357646455874</v>
      </c>
      <c r="L222" s="444">
        <f t="shared" ca="1" si="3"/>
        <v>3752697.1927958657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3752697.1927958657</v>
      </c>
      <c r="J223" s="444">
        <f t="array" ref="J223">IFERROR(INDEX('Retirement Calculator'!K:K,MATCH('Lorri 401b'!N223,'Retirement Calculator'!A:A,0),0),0)</f>
        <v>21655.303514578787</v>
      </c>
      <c r="K223" s="444">
        <f t="shared" ca="1" si="2"/>
        <v>15546.007872005364</v>
      </c>
      <c r="L223" s="444">
        <f t="shared" ca="1" si="3"/>
        <v>3746587.8971532923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3746587.8971532923</v>
      </c>
      <c r="J224" s="444">
        <f t="array" ref="J224">IFERROR(INDEX('Retirement Calculator'!K:K,MATCH('Lorri 401b'!N224,'Retirement Calculator'!A:A,0),0),0)</f>
        <v>21655.303514578787</v>
      </c>
      <c r="K224" s="444">
        <f t="shared" ca="1" si="2"/>
        <v>15520.552473494639</v>
      </c>
      <c r="L224" s="444">
        <f t="shared" ca="1" si="3"/>
        <v>3740453.1461122083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3740453.1461122083</v>
      </c>
      <c r="J225" s="444">
        <f t="array" ref="J225">IFERROR(INDEX('Retirement Calculator'!K:K,MATCH('Lorri 401b'!N225,'Retirement Calculator'!A:A,0),0),0)</f>
        <v>21655.303514578787</v>
      </c>
      <c r="K225" s="444">
        <f t="shared" ca="1" si="2"/>
        <v>15494.991010823456</v>
      </c>
      <c r="L225" s="444">
        <f t="shared" ca="1" si="3"/>
        <v>3734292.8336084527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3734292.8336084527</v>
      </c>
      <c r="J226" s="444">
        <f t="array" ref="J226">IFERROR(INDEX('Retirement Calculator'!K:K,MATCH('Lorri 401b'!N226,'Retirement Calculator'!A:A,0),0),0)</f>
        <v>21655.303514578787</v>
      </c>
      <c r="K226" s="444">
        <f t="shared" ca="1" si="2"/>
        <v>15469.323042057807</v>
      </c>
      <c r="L226" s="444">
        <f t="shared" ca="1" si="3"/>
        <v>3728106.8531359318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3728106.8531359318</v>
      </c>
      <c r="J227" s="444">
        <f t="array" ref="J227">IFERROR(INDEX('Retirement Calculator'!K:K,MATCH('Lorri 401b'!N227,'Retirement Calculator'!A:A,0),0),0)</f>
        <v>21655.303514578787</v>
      </c>
      <c r="K227" s="444">
        <f t="shared" ca="1" si="2"/>
        <v>15443.548123422306</v>
      </c>
      <c r="L227" s="444">
        <f t="shared" ca="1" si="3"/>
        <v>3721895.097744775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3721895.097744775</v>
      </c>
      <c r="J228" s="444">
        <f t="array" ref="J228">IFERROR(INDEX('Retirement Calculator'!K:K,MATCH('Lorri 401b'!N228,'Retirement Calculator'!A:A,0),0),0)</f>
        <v>21655.303514578787</v>
      </c>
      <c r="K228" s="444">
        <f t="shared" ca="1" si="2"/>
        <v>15417.665809292486</v>
      </c>
      <c r="L228" s="444">
        <f t="shared" ca="1" si="3"/>
        <v>3715657.4600394885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3715657.4600394885</v>
      </c>
      <c r="J229" s="444">
        <f t="array" ref="J229">IFERROR(INDEX('Retirement Calculator'!K:K,MATCH('Lorri 401b'!N229,'Retirement Calculator'!A:A,0),0),0)</f>
        <v>21655.303514578787</v>
      </c>
      <c r="K229" s="444">
        <f t="shared" ca="1" si="2"/>
        <v>15391.675652187125</v>
      </c>
      <c r="L229" s="444">
        <f t="shared" ca="1" si="3"/>
        <v>3709393.832177097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3709393.832177097</v>
      </c>
      <c r="J230" s="444">
        <f t="array" ref="J230">IFERROR(INDEX('Retirement Calculator'!K:K,MATCH('Lorri 401b'!N230,'Retirement Calculator'!A:A,0),0),0)</f>
        <v>21655.303514578787</v>
      </c>
      <c r="K230" s="444">
        <f t="shared" ca="1" si="2"/>
        <v>15365.577202760493</v>
      </c>
      <c r="L230" s="444">
        <f t="shared" ca="1" si="3"/>
        <v>3703104.1058652787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3703104.1058652787</v>
      </c>
      <c r="J231" s="444">
        <f t="array" ref="J231">IFERROR(INDEX('Retirement Calculator'!K:K,MATCH('Lorri 401b'!N231,'Retirement Calculator'!A:A,0),0),0)</f>
        <v>21655.303514578787</v>
      </c>
      <c r="K231" s="444">
        <f t="shared" ca="1" si="2"/>
        <v>15339.370009794582</v>
      </c>
      <c r="L231" s="444">
        <f t="shared" ca="1" si="3"/>
        <v>3696788.1723604943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3696788.1723604943</v>
      </c>
      <c r="J232" s="444">
        <f t="array" ref="J232">IFERROR(INDEX('Retirement Calculator'!K:K,MATCH('Lorri 401b'!N232,'Retirement Calculator'!A:A,0),0),0)</f>
        <v>21655.303514578787</v>
      </c>
      <c r="K232" s="444">
        <f t="shared" ca="1" si="2"/>
        <v>15313.053620191313</v>
      </c>
      <c r="L232" s="444">
        <f t="shared" ca="1" si="3"/>
        <v>3690445.9224661067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3690445.9224661067</v>
      </c>
      <c r="J233" s="444">
        <f t="array" ref="J233">IFERROR(INDEX('Retirement Calculator'!K:K,MATCH('Lorri 401b'!N233,'Retirement Calculator'!A:A,0),0),0)</f>
        <v>21655.303514578787</v>
      </c>
      <c r="K233" s="444">
        <f t="shared" ca="1" si="2"/>
        <v>15286.627578964699</v>
      </c>
      <c r="L233" s="444">
        <f t="shared" ca="1" si="3"/>
        <v>3684077.2465304928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3684077.2465304928</v>
      </c>
      <c r="J234" s="444">
        <f t="array" ref="J234">IFERROR(INDEX('Retirement Calculator'!K:K,MATCH('Lorri 401b'!N234,'Retirement Calculator'!A:A,0),0),0)</f>
        <v>21655.303514578787</v>
      </c>
      <c r="K234" s="444">
        <f t="shared" ca="1" si="2"/>
        <v>15260.091429232976</v>
      </c>
      <c r="L234" s="444">
        <f t="shared" ca="1" si="3"/>
        <v>3677682.034445147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3677682.034445147</v>
      </c>
      <c r="J235" s="444">
        <f t="array" ref="J235">IFERROR(INDEX('Retirement Calculator'!K:K,MATCH('Lorri 401b'!N235,'Retirement Calculator'!A:A,0),0),0)</f>
        <v>21655.303514578787</v>
      </c>
      <c r="K235" s="444">
        <f t="shared" ca="1" si="2"/>
        <v>15233.444712210699</v>
      </c>
      <c r="L235" s="444">
        <f t="shared" ca="1" si="3"/>
        <v>3671260.1756427791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3671260.1756427791</v>
      </c>
      <c r="J236" s="444">
        <f t="array" ref="J236">IFERROR(INDEX('Retirement Calculator'!K:K,MATCH('Lorri 401b'!N236,'Retirement Calculator'!A:A,0),0),0)</f>
        <v>21655.303514578787</v>
      </c>
      <c r="K236" s="444">
        <f t="shared" ca="1" si="2"/>
        <v>15206.686967200836</v>
      </c>
      <c r="L236" s="444">
        <f t="shared" ca="1" si="3"/>
        <v>3664811.5590954013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3664811.5590954013</v>
      </c>
      <c r="J237" s="444">
        <f t="array" ref="J237">IFERROR(INDEX('Retirement Calculator'!K:K,MATCH('Lorri 401b'!N237,'Retirement Calculator'!A:A,0),0),0)</f>
        <v>21655.303514578787</v>
      </c>
      <c r="K237" s="444">
        <f t="shared" ca="1" si="2"/>
        <v>15179.81773158676</v>
      </c>
      <c r="L237" s="444">
        <f t="shared" ca="1" si="3"/>
        <v>3658336.0733124092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3658336.0733124092</v>
      </c>
      <c r="J238" s="444">
        <f t="array" ref="J238">IFERROR(INDEX('Retirement Calculator'!K:K,MATCH('Lorri 401b'!N238,'Retirement Calculator'!A:A,0),0),0)</f>
        <v>21655.303514578787</v>
      </c>
      <c r="K238" s="444">
        <f t="shared" ca="1" si="2"/>
        <v>15152.836540824293</v>
      </c>
      <c r="L238" s="444">
        <f t="shared" ca="1" si="3"/>
        <v>3651833.6063386546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3651833.6063386546</v>
      </c>
      <c r="J239" s="444">
        <f t="array" ref="J239">IFERROR(INDEX('Retirement Calculator'!K:K,MATCH('Lorri 401b'!N239,'Retirement Calculator'!A:A,0),0),0)</f>
        <v>21655.303514578787</v>
      </c>
      <c r="K239" s="444">
        <f t="shared" ca="1" si="2"/>
        <v>15125.742928433647</v>
      </c>
      <c r="L239" s="444">
        <f t="shared" ca="1" si="3"/>
        <v>3645304.0457525095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3645304.0457525095</v>
      </c>
      <c r="J240" s="444">
        <f t="array" ref="J240">IFERROR(INDEX('Retirement Calculator'!K:K,MATCH('Lorri 401b'!N240,'Retirement Calculator'!A:A,0),0),0)</f>
        <v>21655.303514578787</v>
      </c>
      <c r="K240" s="444">
        <f t="shared" ca="1" si="2"/>
        <v>15098.536425991375</v>
      </c>
      <c r="L240" s="444">
        <f t="shared" ca="1" si="3"/>
        <v>3638747.2786639221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3638747.2786639221</v>
      </c>
      <c r="J241" s="444">
        <f t="array" ref="J241">IFERROR(INDEX('Retirement Calculator'!K:K,MATCH('Lorri 401b'!N241,'Retirement Calculator'!A:A,0),0),0)</f>
        <v>21655.303514578787</v>
      </c>
      <c r="K241" s="444">
        <f t="shared" ca="1" si="2"/>
        <v>15071.216563122263</v>
      </c>
      <c r="L241" s="444">
        <f t="shared" ca="1" si="3"/>
        <v>3632163.1917124656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3632163.1917124656</v>
      </c>
      <c r="J242" s="444">
        <f t="array" ref="J242">IFERROR(INDEX('Retirement Calculator'!K:K,MATCH('Lorri 401b'!N242,'Retirement Calculator'!A:A,0),0),0)</f>
        <v>21655.303514578787</v>
      </c>
      <c r="K242" s="444">
        <f t="shared" ca="1" si="2"/>
        <v>15043.782867491194</v>
      </c>
      <c r="L242" s="444">
        <f t="shared" ca="1" si="3"/>
        <v>3625551.671065378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3625551.671065378</v>
      </c>
      <c r="J243" s="444">
        <f t="array" ref="J243">IFERROR(INDEX('Retirement Calculator'!K:K,MATCH('Lorri 401b'!N243,'Retirement Calculator'!A:A,0),0),0)</f>
        <v>21655.303514578787</v>
      </c>
      <c r="K243" s="444">
        <f t="shared" ca="1" si="2"/>
        <v>15016.234864794997</v>
      </c>
      <c r="L243" s="444">
        <f t="shared" ca="1" si="3"/>
        <v>3618912.6024155943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3618912.6024155943</v>
      </c>
      <c r="J244" s="444">
        <f t="array" ref="J244">IFERROR(INDEX('Retirement Calculator'!K:K,MATCH('Lorri 401b'!N244,'Retirement Calculator'!A:A,0),0),0)</f>
        <v>21655.303514578787</v>
      </c>
      <c r="K244" s="444">
        <f t="shared" ca="1" si="2"/>
        <v>14988.57207875423</v>
      </c>
      <c r="L244" s="444">
        <f t="shared" ca="1" si="3"/>
        <v>3612245.8709797696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3612245.8709797696</v>
      </c>
      <c r="J245" s="444">
        <f t="array" ref="J245">IFERROR(INDEX('Retirement Calculator'!K:K,MATCH('Lorri 401b'!N245,'Retirement Calculator'!A:A,0),0),0)</f>
        <v>21655.303514578787</v>
      </c>
      <c r="K245" s="444">
        <f t="shared" ca="1" si="2"/>
        <v>14960.794031104961</v>
      </c>
      <c r="L245" s="444">
        <f t="shared" ca="1" si="3"/>
        <v>3605551.3614962958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3605551.3614962958</v>
      </c>
      <c r="J246" s="444">
        <f t="array" ref="J246">IFERROR(INDEX('Retirement Calculator'!K:K,MATCH('Lorri 401b'!N246,'Retirement Calculator'!A:A,0),0),0)</f>
        <v>21655.303514578787</v>
      </c>
      <c r="K246" s="444">
        <f t="shared" ca="1" si="2"/>
        <v>14932.900241590485</v>
      </c>
      <c r="L246" s="444">
        <f t="shared" ca="1" si="3"/>
        <v>3598828.9582233075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3598828.9582233075</v>
      </c>
      <c r="J247" s="444">
        <f t="array" ref="J247">IFERROR(INDEX('Retirement Calculator'!K:K,MATCH('Lorri 401b'!N247,'Retirement Calculator'!A:A,0),0),0)</f>
        <v>21655.303514578787</v>
      </c>
      <c r="K247" s="444">
        <f t="shared" ca="1" si="2"/>
        <v>14904.890227953036</v>
      </c>
      <c r="L247" s="444">
        <f t="shared" ca="1" si="3"/>
        <v>3592078.5449366816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3592078.5449366816</v>
      </c>
      <c r="J248" s="444">
        <f t="array" ref="J248">IFERROR(INDEX('Retirement Calculator'!K:K,MATCH('Lorri 401b'!N248,'Retirement Calculator'!A:A,0),0),0)</f>
        <v>21655.303514578787</v>
      </c>
      <c r="K248" s="444">
        <f t="shared" ca="1" si="2"/>
        <v>14876.763505925428</v>
      </c>
      <c r="L248" s="444">
        <f t="shared" ca="1" si="3"/>
        <v>3585300.0049280282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3585300.0049280282</v>
      </c>
      <c r="J249" s="444">
        <f t="array" ref="J249">IFERROR(INDEX('Retirement Calculator'!K:K,MATCH('Lorri 401b'!N249,'Retirement Calculator'!A:A,0),0),0)</f>
        <v>21655.303514578787</v>
      </c>
      <c r="K249" s="444">
        <f t="shared" ca="1" si="2"/>
        <v>14848.519589222706</v>
      </c>
      <c r="L249" s="444">
        <f t="shared" ca="1" si="3"/>
        <v>3578493.2210026719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3578493.2210026719</v>
      </c>
      <c r="J250" s="444">
        <f t="array" ref="J250">IFERROR(INDEX('Retirement Calculator'!K:K,MATCH('Lorri 401b'!N250,'Retirement Calculator'!A:A,0),0),0)</f>
        <v>21655.303514578787</v>
      </c>
      <c r="K250" s="444">
        <f t="shared" ca="1" si="2"/>
        <v>14820.157989533718</v>
      </c>
      <c r="L250" s="444">
        <f t="shared" ca="1" si="3"/>
        <v>3571658.0754776266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3571658.0754776266</v>
      </c>
      <c r="J251" s="444">
        <f t="array" ref="J251">IFERROR(INDEX('Retirement Calculator'!K:K,MATCH('Lorri 401b'!N251,'Retirement Calculator'!A:A,0),0),0)</f>
        <v>21655.303514578787</v>
      </c>
      <c r="K251" s="444">
        <f t="shared" ca="1" si="2"/>
        <v>14791.678216512699</v>
      </c>
      <c r="L251" s="444">
        <f t="shared" ca="1" si="3"/>
        <v>3564794.4501795606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3564794.4501795606</v>
      </c>
      <c r="J252" s="444">
        <f t="array" ref="J252">IFERROR(INDEX('Retirement Calculator'!K:K,MATCH('Lorri 401b'!N252,'Retirement Calculator'!A:A,0),0),0)</f>
        <v>21655.303514578787</v>
      </c>
      <c r="K252" s="444">
        <f t="shared" ca="1" si="2"/>
        <v>14763.079777770756</v>
      </c>
      <c r="L252" s="444">
        <f t="shared" ca="1" si="3"/>
        <v>3557902.2264427524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3557902.2264427524</v>
      </c>
      <c r="J253" s="444">
        <f t="array" ref="J253">IFERROR(INDEX('Retirement Calculator'!K:K,MATCH('Lorri 401b'!N253,'Retirement Calculator'!A:A,0),0),0)</f>
        <v>21655.303514578787</v>
      </c>
      <c r="K253" s="444">
        <f t="shared" ca="1" si="2"/>
        <v>14734.362178867392</v>
      </c>
      <c r="L253" s="444">
        <f t="shared" ca="1" si="3"/>
        <v>3550981.2851070408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3550981.2851070408</v>
      </c>
      <c r="J254" s="444">
        <f t="array" ref="J254">IFERROR(INDEX('Retirement Calculator'!K:K,MATCH('Lorri 401b'!N254,'Retirement Calculator'!A:A,0),0),0)</f>
        <v>21655.303514578787</v>
      </c>
      <c r="K254" s="444">
        <f t="shared" ca="1" si="2"/>
        <v>14705.524923301924</v>
      </c>
      <c r="L254" s="444">
        <f t="shared" ca="1" si="3"/>
        <v>3544031.5065157637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3544031.5065157637</v>
      </c>
      <c r="J255" s="444">
        <f t="array" ref="J255">IFERROR(INDEX('Retirement Calculator'!K:K,MATCH('Lorri 401b'!N255,'Retirement Calculator'!A:A,0),0),0)</f>
        <v>21655.303514578787</v>
      </c>
      <c r="K255" s="444">
        <f t="shared" ca="1" si="2"/>
        <v>14676.567512504938</v>
      </c>
      <c r="L255" s="444">
        <f t="shared" ca="1" si="3"/>
        <v>3537052.7705136896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3537052.7705136896</v>
      </c>
      <c r="J256" s="444">
        <f t="array" ref="J256">IFERROR(INDEX('Retirement Calculator'!K:K,MATCH('Lorri 401b'!N256,'Retirement Calculator'!A:A,0),0),0)</f>
        <v>21655.303514578787</v>
      </c>
      <c r="K256" s="444">
        <f t="shared" ca="1" si="2"/>
        <v>14647.489445829628</v>
      </c>
      <c r="L256" s="444">
        <f t="shared" ca="1" si="3"/>
        <v>3530044.9564449405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3530044.9564449405</v>
      </c>
      <c r="J257" s="444">
        <f t="array" ref="J257">IFERROR(INDEX('Retirement Calculator'!K:K,MATCH('Lorri 401b'!N257,'Retirement Calculator'!A:A,0),0),0)</f>
        <v>21655.303514578787</v>
      </c>
      <c r="K257" s="444">
        <f t="shared" ca="1" si="2"/>
        <v>14618.290220543173</v>
      </c>
      <c r="L257" s="444">
        <f t="shared" ca="1" si="3"/>
        <v>3523007.943150905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3523007.943150905</v>
      </c>
      <c r="J258" s="444">
        <f t="array" ref="J258">IFERROR(INDEX('Retirement Calculator'!K:K,MATCH('Lorri 401b'!N258,'Retirement Calculator'!A:A,0),0),0)</f>
        <v>21655.303514578787</v>
      </c>
      <c r="K258" s="444">
        <f t="shared" ca="1" si="2"/>
        <v>14588.969331818025</v>
      </c>
      <c r="L258" s="444">
        <f t="shared" ca="1" si="3"/>
        <v>3515941.6089681443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3515941.6089681443</v>
      </c>
      <c r="J259" s="444">
        <f t="array" ref="J259">IFERROR(INDEX('Retirement Calculator'!K:K,MATCH('Lorri 401b'!N259,'Retirement Calculator'!A:A,0),0),0)</f>
        <v>21655.303514578787</v>
      </c>
      <c r="K259" s="444">
        <f t="shared" ca="1" si="2"/>
        <v>14559.526272723189</v>
      </c>
      <c r="L259" s="444">
        <f t="shared" ca="1" si="3"/>
        <v>3508845.8317262884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3508845.8317262884</v>
      </c>
      <c r="J260" s="444">
        <f t="array" ref="J260">IFERROR(INDEX('Retirement Calculator'!K:K,MATCH('Lorri 401b'!N260,'Retirement Calculator'!A:A,0),0),0)</f>
        <v>21655.303514578787</v>
      </c>
      <c r="K260" s="444">
        <f t="shared" ca="1" si="2"/>
        <v>14529.960534215454</v>
      </c>
      <c r="L260" s="444">
        <f t="shared" ca="1" si="3"/>
        <v>3501720.488745925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3501720.488745925</v>
      </c>
      <c r="J261" s="444">
        <f t="array" ref="J261">IFERROR(INDEX('Retirement Calculator'!K:K,MATCH('Lorri 401b'!N261,'Retirement Calculator'!A:A,0),0),0)</f>
        <v>21655.303514578787</v>
      </c>
      <c r="K261" s="444">
        <f t="shared" ca="1" si="2"/>
        <v>14500.271605130611</v>
      </c>
      <c r="L261" s="444">
        <f t="shared" ca="1" si="3"/>
        <v>3494565.4568364769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3494565.4568364769</v>
      </c>
      <c r="J262" s="444">
        <f t="array" ref="J262">IFERROR(INDEX('Retirement Calculator'!K:K,MATCH('Lorri 401b'!N262,'Retirement Calculator'!A:A,0),0),0)</f>
        <v>21655.303514578787</v>
      </c>
      <c r="K262" s="444">
        <f t="shared" ca="1" si="2"/>
        <v>14470.458972174574</v>
      </c>
      <c r="L262" s="444">
        <f t="shared" ca="1" si="3"/>
        <v>3487380.6122940728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3487380.6122940728</v>
      </c>
      <c r="J263" s="444">
        <f t="array" ref="J263">IFERROR(INDEX('Retirement Calculator'!K:K,MATCH('Lorri 401b'!N263,'Retirement Calculator'!A:A,0),0),0)</f>
        <v>21655.303514578787</v>
      </c>
      <c r="K263" s="444">
        <f t="shared" ref="K263:K517" ca="1" si="27">IPMT(M263/12,1,12,-I263+J263,,0)</f>
        <v>14440.52211991456</v>
      </c>
      <c r="L263" s="444">
        <f t="shared" ref="L263:L517" ca="1" si="28">I263-J263+K263</f>
        <v>3480165.8308994086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3480165.8308994086</v>
      </c>
      <c r="J264" s="444">
        <f t="array" ref="J264">IFERROR(INDEX('Retirement Calculator'!K:K,MATCH('Lorri 401b'!N264,'Retirement Calculator'!A:A,0),0),0)</f>
        <v>21655.303514578787</v>
      </c>
      <c r="K264" s="444">
        <f t="shared" ca="1" si="27"/>
        <v>14410.460530770126</v>
      </c>
      <c r="L264" s="444">
        <f t="shared" ca="1" si="28"/>
        <v>3472920.9879155997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3472920.9879155997</v>
      </c>
      <c r="J265" s="444">
        <f t="array" ref="J265">IFERROR(INDEX('Retirement Calculator'!K:K,MATCH('Lorri 401b'!N265,'Retirement Calculator'!A:A,0),0),0)</f>
        <v>21655.303514578787</v>
      </c>
      <c r="K265" s="444">
        <f t="shared" ca="1" si="27"/>
        <v>14380.273685004253</v>
      </c>
      <c r="L265" s="444">
        <f t="shared" ca="1" si="28"/>
        <v>3465645.958086025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3465645.958086025</v>
      </c>
      <c r="J266" s="444">
        <f t="array" ref="J266">IFERROR(INDEX('Retirement Calculator'!K:K,MATCH('Lorri 401b'!N266,'Retirement Calculator'!A:A,0),0),0)</f>
        <v>21655.303514578787</v>
      </c>
      <c r="K266" s="444">
        <f t="shared" ca="1" si="27"/>
        <v>14349.96106071436</v>
      </c>
      <c r="L266" s="444">
        <f t="shared" ca="1" si="28"/>
        <v>3458340.6156321606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3458340.6156321606</v>
      </c>
      <c r="J267" s="444">
        <f t="array" ref="J267">IFERROR(INDEX('Retirement Calculator'!K:K,MATCH('Lorri 401b'!N267,'Retirement Calculator'!A:A,0),0),0)</f>
        <v>21655.303514578787</v>
      </c>
      <c r="K267" s="444">
        <f t="shared" ca="1" si="27"/>
        <v>14319.522133823259</v>
      </c>
      <c r="L267" s="444">
        <f t="shared" ca="1" si="28"/>
        <v>3451004.8342514052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3451004.8342514052</v>
      </c>
      <c r="J268" s="444">
        <f t="array" ref="J268">IFERROR(INDEX('Retirement Calculator'!K:K,MATCH('Lorri 401b'!N268,'Retirement Calculator'!A:A,0),0),0)</f>
        <v>21655.303514578787</v>
      </c>
      <c r="K268" s="444">
        <f t="shared" ca="1" si="27"/>
        <v>14288.95637807011</v>
      </c>
      <c r="L268" s="444">
        <f t="shared" ca="1" si="28"/>
        <v>3443638.4871148965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3443638.4871148965</v>
      </c>
      <c r="J269" s="444">
        <f t="array" ref="J269">IFERROR(INDEX('Retirement Calculator'!K:K,MATCH('Lorri 401b'!N269,'Retirement Calculator'!A:A,0),0),0)</f>
        <v>21655.303514578787</v>
      </c>
      <c r="K269" s="444">
        <f t="shared" ca="1" si="27"/>
        <v>14258.263265001326</v>
      </c>
      <c r="L269" s="444">
        <f t="shared" ca="1" si="28"/>
        <v>3436241.4468653188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3436241.4468653188</v>
      </c>
      <c r="J270" s="444">
        <f t="array" ref="J270">IFERROR(INDEX('Retirement Calculator'!K:K,MATCH('Lorri 401b'!N270,'Retirement Calculator'!A:A,0),0),0)</f>
        <v>21655.303514578787</v>
      </c>
      <c r="K270" s="444">
        <f t="shared" ca="1" si="27"/>
        <v>14227.442263961417</v>
      </c>
      <c r="L270" s="444">
        <f t="shared" ca="1" si="28"/>
        <v>3428813.5856147013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3428813.5856147013</v>
      </c>
      <c r="J271" s="444">
        <f t="array" ref="J271">IFERROR(INDEX('Retirement Calculator'!K:K,MATCH('Lorri 401b'!N271,'Retirement Calculator'!A:A,0),0),0)</f>
        <v>21655.303514578787</v>
      </c>
      <c r="K271" s="444">
        <f t="shared" ca="1" si="27"/>
        <v>14196.492842083842</v>
      </c>
      <c r="L271" s="444">
        <f t="shared" ca="1" si="28"/>
        <v>3421354.7749422062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3421354.7749422062</v>
      </c>
      <c r="J272" s="444">
        <f t="array" ref="J272">IFERROR(INDEX('Retirement Calculator'!K:K,MATCH('Lorri 401b'!N272,'Retirement Calculator'!A:A,0),0),0)</f>
        <v>21655.303514578787</v>
      </c>
      <c r="K272" s="444">
        <f t="shared" ca="1" si="27"/>
        <v>14165.414464281779</v>
      </c>
      <c r="L272" s="444">
        <f t="shared" ca="1" si="28"/>
        <v>3413864.8858919092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3413864.8858919092</v>
      </c>
      <c r="J273" s="444">
        <f t="array" ref="J273">IFERROR(INDEX('Retirement Calculator'!K:K,MATCH('Lorri 401b'!N273,'Retirement Calculator'!A:A,0),0),0)</f>
        <v>21655.303514578787</v>
      </c>
      <c r="K273" s="444">
        <f t="shared" ca="1" si="27"/>
        <v>14134.206593238874</v>
      </c>
      <c r="L273" s="444">
        <f t="shared" ca="1" si="28"/>
        <v>3406343.7889705691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3406343.7889705691</v>
      </c>
      <c r="J274" s="444">
        <f t="array" ref="J274">IFERROR(INDEX('Retirement Calculator'!K:K,MATCH('Lorri 401b'!N274,'Retirement Calculator'!A:A,0),0),0)</f>
        <v>21655.303514578787</v>
      </c>
      <c r="K274" s="444">
        <f t="shared" ca="1" si="27"/>
        <v>14102.868689399957</v>
      </c>
      <c r="L274" s="444">
        <f t="shared" ca="1" si="28"/>
        <v>3398791.3541453904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3398791.3541453904</v>
      </c>
      <c r="J275" s="444">
        <f t="array" ref="J275">IFERROR(INDEX('Retirement Calculator'!K:K,MATCH('Lorri 401b'!N275,'Retirement Calculator'!A:A,0),0),0)</f>
        <v>21655.303514578787</v>
      </c>
      <c r="K275" s="444">
        <f t="shared" ca="1" si="27"/>
        <v>14071.400210961714</v>
      </c>
      <c r="L275" s="444">
        <f t="shared" ca="1" si="28"/>
        <v>3391207.4508417733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3391207.4508417733</v>
      </c>
      <c r="J276" s="444">
        <f t="array" ref="J276">IFERROR(INDEX('Retirement Calculator'!K:K,MATCH('Lorri 401b'!N276,'Retirement Calculator'!A:A,0),0),0)</f>
        <v>21655.303514578787</v>
      </c>
      <c r="K276" s="444">
        <f t="shared" ca="1" si="27"/>
        <v>14039.800613863308</v>
      </c>
      <c r="L276" s="444">
        <f t="shared" ca="1" si="28"/>
        <v>3383591.9479410578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3383591.9479410578</v>
      </c>
      <c r="J277" s="444">
        <f t="array" ref="J277">IFERROR(INDEX('Retirement Calculator'!K:K,MATCH('Lorri 401b'!N277,'Retirement Calculator'!A:A,0),0),0)</f>
        <v>21655.303514578787</v>
      </c>
      <c r="K277" s="444">
        <f t="shared" ca="1" si="27"/>
        <v>14008.069351776994</v>
      </c>
      <c r="L277" s="444">
        <f t="shared" ca="1" si="28"/>
        <v>3375944.713778256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3375944.713778256</v>
      </c>
      <c r="J278" s="444">
        <f t="array" ref="J278">IFERROR(INDEX('Retirement Calculator'!K:K,MATCH('Lorri 401b'!N278,'Retirement Calculator'!A:A,0),0),0)</f>
        <v>21655.303514578787</v>
      </c>
      <c r="K278" s="444">
        <f t="shared" ca="1" si="27"/>
        <v>13976.205876098655</v>
      </c>
      <c r="L278" s="444">
        <f t="shared" ca="1" si="28"/>
        <v>3368265.6161397756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3368265.6161397756</v>
      </c>
      <c r="J279" s="444">
        <f t="array" ref="J279">IFERROR(INDEX('Retirement Calculator'!K:K,MATCH('Lorri 401b'!N279,'Retirement Calculator'!A:A,0),0),0)</f>
        <v>21655.303514578787</v>
      </c>
      <c r="K279" s="444">
        <f t="shared" ca="1" si="27"/>
        <v>13944.209635938319</v>
      </c>
      <c r="L279" s="444">
        <f t="shared" ca="1" si="28"/>
        <v>3360554.5222611353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3360554.5222611353</v>
      </c>
      <c r="J280" s="444">
        <f t="array" ref="J280">IFERROR(INDEX('Retirement Calculator'!K:K,MATCH('Lorri 401b'!N280,'Retirement Calculator'!A:A,0),0),0)</f>
        <v>21655.303514578787</v>
      </c>
      <c r="K280" s="444">
        <f t="shared" ca="1" si="27"/>
        <v>13912.080078110652</v>
      </c>
      <c r="L280" s="444">
        <f t="shared" ca="1" si="28"/>
        <v>3352811.298824667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3352811.298824667</v>
      </c>
      <c r="J281" s="444">
        <f t="array" ref="J281">IFERROR(INDEX('Retirement Calculator'!K:K,MATCH('Lorri 401b'!N281,'Retirement Calculator'!A:A,0),0),0)</f>
        <v>21655.303514578787</v>
      </c>
      <c r="K281" s="444">
        <f t="shared" ca="1" si="27"/>
        <v>13879.816647125366</v>
      </c>
      <c r="L281" s="444">
        <f t="shared" ca="1" si="28"/>
        <v>3345035.8119572136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3345035.8119572136</v>
      </c>
      <c r="J282" s="444">
        <f t="array" ref="J282">IFERROR(INDEX('Retirement Calculator'!K:K,MATCH('Lorri 401b'!N282,'Retirement Calculator'!A:A,0),0),0)</f>
        <v>21655.303514578787</v>
      </c>
      <c r="K282" s="444">
        <f t="shared" ca="1" si="27"/>
        <v>13847.418785177642</v>
      </c>
      <c r="L282" s="444">
        <f t="shared" ca="1" si="28"/>
        <v>3337227.9272278124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3337227.9272278124</v>
      </c>
      <c r="J283" s="444">
        <f t="array" ref="J283">IFERROR(INDEX('Retirement Calculator'!K:K,MATCH('Lorri 401b'!N283,'Retirement Calculator'!A:A,0),0),0)</f>
        <v>21655.303514578787</v>
      </c>
      <c r="K283" s="444">
        <f t="shared" ca="1" si="27"/>
        <v>13814.885932138473</v>
      </c>
      <c r="L283" s="444">
        <f t="shared" ca="1" si="28"/>
        <v>3329387.5096453722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3329387.5096453722</v>
      </c>
      <c r="J284" s="444">
        <f t="array" ref="J284">IFERROR(INDEX('Retirement Calculator'!K:K,MATCH('Lorri 401b'!N284,'Retirement Calculator'!A:A,0),0),0)</f>
        <v>21655.303514578787</v>
      </c>
      <c r="K284" s="444">
        <f t="shared" ca="1" si="27"/>
        <v>13782.217525544971</v>
      </c>
      <c r="L284" s="444">
        <f t="shared" ca="1" si="28"/>
        <v>3321514.4236563384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3321514.4236563384</v>
      </c>
      <c r="J285" s="444">
        <f t="array" ref="J285">IFERROR(INDEX('Retirement Calculator'!K:K,MATCH('Lorri 401b'!N285,'Retirement Calculator'!A:A,0),0),0)</f>
        <v>21655.303514578787</v>
      </c>
      <c r="K285" s="444">
        <f t="shared" ca="1" si="27"/>
        <v>13749.413000590665</v>
      </c>
      <c r="L285" s="444">
        <f t="shared" ca="1" si="28"/>
        <v>3313608.5331423501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3313608.5331423501</v>
      </c>
      <c r="J286" s="444">
        <f t="array" ref="J286">IFERROR(INDEX('Retirement Calculator'!K:K,MATCH('Lorri 401b'!N286,'Retirement Calculator'!A:A,0),0),0)</f>
        <v>21655.303514578787</v>
      </c>
      <c r="K286" s="444">
        <f t="shared" ca="1" si="27"/>
        <v>13716.471790115713</v>
      </c>
      <c r="L286" s="444">
        <f t="shared" ca="1" si="28"/>
        <v>3305669.7014178871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3305669.7014178871</v>
      </c>
      <c r="J287" s="444">
        <f t="array" ref="J287">IFERROR(INDEX('Retirement Calculator'!K:K,MATCH('Lorri 401b'!N287,'Retirement Calculator'!A:A,0),0),0)</f>
        <v>21655.303514578787</v>
      </c>
      <c r="K287" s="444">
        <f t="shared" ca="1" si="27"/>
        <v>13683.393324597118</v>
      </c>
      <c r="L287" s="444">
        <f t="shared" ca="1" si="28"/>
        <v>3297697.7912279055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3297697.7912279055</v>
      </c>
      <c r="J288" s="444">
        <f t="array" ref="J288">IFERROR(INDEX('Retirement Calculator'!K:K,MATCH('Lorri 401b'!N288,'Retirement Calculator'!A:A,0),0),0)</f>
        <v>21655.303514578787</v>
      </c>
      <c r="K288" s="444">
        <f t="shared" ca="1" si="27"/>
        <v>13650.177032138861</v>
      </c>
      <c r="L288" s="444">
        <f t="shared" ca="1" si="28"/>
        <v>3289692.6647454654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3289692.6647454654</v>
      </c>
      <c r="J289" s="444">
        <f t="array" ref="J289">IFERROR(INDEX('Retirement Calculator'!K:K,MATCH('Lorri 401b'!N289,'Retirement Calculator'!A:A,0),0),0)</f>
        <v>21655.303514578787</v>
      </c>
      <c r="K289" s="444">
        <f t="shared" ca="1" si="27"/>
        <v>13616.822338462027</v>
      </c>
      <c r="L289" s="444">
        <f t="shared" ca="1" si="28"/>
        <v>3281654.1835693484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3281654.1835693484</v>
      </c>
      <c r="J290" s="444">
        <f t="array" ref="J290">IFERROR(INDEX('Retirement Calculator'!K:K,MATCH('Lorri 401b'!N290,'Retirement Calculator'!A:A,0),0),0)</f>
        <v>21655.303514578787</v>
      </c>
      <c r="K290" s="444">
        <f t="shared" ca="1" si="27"/>
        <v>13583.328666894873</v>
      </c>
      <c r="L290" s="444">
        <f t="shared" ca="1" si="28"/>
        <v>3273582.2087216643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3273582.2087216643</v>
      </c>
      <c r="J291" s="444">
        <f t="array" ref="J291">IFERROR(INDEX('Retirement Calculator'!K:K,MATCH('Lorri 401b'!N291,'Retirement Calculator'!A:A,0),0),0)</f>
        <v>21655.303514578787</v>
      </c>
      <c r="K291" s="444">
        <f t="shared" ca="1" si="27"/>
        <v>13549.695438362856</v>
      </c>
      <c r="L291" s="444">
        <f t="shared" ca="1" si="28"/>
        <v>3265476.6006454481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3265476.6006454481</v>
      </c>
      <c r="J292" s="444">
        <f t="array" ref="J292">IFERROR(INDEX('Retirement Calculator'!K:K,MATCH('Lorri 401b'!N292,'Retirement Calculator'!A:A,0),0),0)</f>
        <v>21655.303514578787</v>
      </c>
      <c r="K292" s="444">
        <f t="shared" ca="1" si="27"/>
        <v>13515.922071378622</v>
      </c>
      <c r="L292" s="444">
        <f t="shared" ca="1" si="28"/>
        <v>3257337.2192022479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3257337.2192022479</v>
      </c>
      <c r="J293" s="444">
        <f t="array" ref="J293">IFERROR(INDEX('Retirement Calculator'!K:K,MATCH('Lorri 401b'!N293,'Retirement Calculator'!A:A,0),0),0)</f>
        <v>21655.303514578787</v>
      </c>
      <c r="K293" s="444">
        <f t="shared" ca="1" si="27"/>
        <v>13482.007982031953</v>
      </c>
      <c r="L293" s="444">
        <f t="shared" ca="1" si="28"/>
        <v>3249163.923669701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3249163.923669701</v>
      </c>
      <c r="J294" s="444">
        <f t="array" ref="J294">IFERROR(INDEX('Retirement Calculator'!K:K,MATCH('Lorri 401b'!N294,'Retirement Calculator'!A:A,0),0),0)</f>
        <v>21655.303514578787</v>
      </c>
      <c r="K294" s="444">
        <f t="shared" ca="1" si="27"/>
        <v>13447.952583979675</v>
      </c>
      <c r="L294" s="444">
        <f t="shared" ca="1" si="28"/>
        <v>3240956.5727391019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3240956.5727391019</v>
      </c>
      <c r="J295" s="444">
        <f t="array" ref="J295">IFERROR(INDEX('Retirement Calculator'!K:K,MATCH('Lorri 401b'!N295,'Retirement Calculator'!A:A,0),0),0)</f>
        <v>21655.303514578787</v>
      </c>
      <c r="K295" s="444">
        <f t="shared" ca="1" si="27"/>
        <v>13413.755288435512</v>
      </c>
      <c r="L295" s="444">
        <f t="shared" ca="1" si="28"/>
        <v>3232715.0245129587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3232715.0245129587</v>
      </c>
      <c r="J296" s="444">
        <f t="array" ref="J296">IFERROR(INDEX('Retirement Calculator'!K:K,MATCH('Lorri 401b'!N296,'Retirement Calculator'!A:A,0),0),0)</f>
        <v>21655.303514578787</v>
      </c>
      <c r="K296" s="444">
        <f t="shared" ca="1" si="27"/>
        <v>13379.415504159915</v>
      </c>
      <c r="L296" s="444">
        <f t="shared" ca="1" si="28"/>
        <v>3224439.1365025397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3224439.1365025397</v>
      </c>
      <c r="J297" s="444">
        <f t="array" ref="J297">IFERROR(INDEX('Retirement Calculator'!K:K,MATCH('Lorri 401b'!N297,'Retirement Calculator'!A:A,0),0),0)</f>
        <v>21655.303514578787</v>
      </c>
      <c r="K297" s="444">
        <f t="shared" ca="1" si="27"/>
        <v>13344.932637449836</v>
      </c>
      <c r="L297" s="444">
        <f t="shared" ca="1" si="28"/>
        <v>3216128.7656254107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3216128.7656254107</v>
      </c>
      <c r="J298" s="444">
        <f t="array" ref="J298">IFERROR(INDEX('Retirement Calculator'!K:K,MATCH('Lorri 401b'!N298,'Retirement Calculator'!A:A,0),0),0)</f>
        <v>21655.303514578787</v>
      </c>
      <c r="K298" s="444">
        <f t="shared" ca="1" si="27"/>
        <v>13310.306092128465</v>
      </c>
      <c r="L298" s="444">
        <f t="shared" ca="1" si="28"/>
        <v>3207783.7682029605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3207783.7682029605</v>
      </c>
      <c r="J299" s="444">
        <f t="array" ref="J299">IFERROR(INDEX('Retirement Calculator'!K:K,MATCH('Lorri 401b'!N299,'Retirement Calculator'!A:A,0),0),0)</f>
        <v>21655.303514578787</v>
      </c>
      <c r="K299" s="444">
        <f t="shared" ca="1" si="27"/>
        <v>13275.535269534923</v>
      </c>
      <c r="L299" s="444">
        <f t="shared" ca="1" si="28"/>
        <v>3199403.9999579168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3199403.9999579168</v>
      </c>
      <c r="J300" s="444">
        <f t="array" ref="J300">IFERROR(INDEX('Retirement Calculator'!K:K,MATCH('Lorri 401b'!N300,'Retirement Calculator'!A:A,0),0),0)</f>
        <v>21655.303514578787</v>
      </c>
      <c r="K300" s="444">
        <f t="shared" ca="1" si="27"/>
        <v>13240.619568513908</v>
      </c>
      <c r="L300" s="444">
        <f t="shared" ca="1" si="28"/>
        <v>3190989.3160118517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3190989.3160118517</v>
      </c>
      <c r="J301" s="444">
        <f t="array" ref="J301">IFERROR(INDEX('Retirement Calculator'!K:K,MATCH('Lorri 401b'!N301,'Retirement Calculator'!A:A,0),0),0)</f>
        <v>21655.303514578787</v>
      </c>
      <c r="K301" s="444">
        <f t="shared" ca="1" si="27"/>
        <v>13205.558385405304</v>
      </c>
      <c r="L301" s="444">
        <f t="shared" ca="1" si="28"/>
        <v>3182539.570882678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3182539.570882678</v>
      </c>
      <c r="J302" s="444">
        <f t="array" ref="J302">IFERROR(INDEX('Retirement Calculator'!K:K,MATCH('Lorri 401b'!N302,'Retirement Calculator'!A:A,0),0),0)</f>
        <v>21655.303514578787</v>
      </c>
      <c r="K302" s="444">
        <f t="shared" ca="1" si="27"/>
        <v>13170.351114033747</v>
      </c>
      <c r="L302" s="444">
        <f t="shared" ca="1" si="28"/>
        <v>3174054.6184821329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3174054.6184821329</v>
      </c>
      <c r="J303" s="444">
        <f t="array" ref="J303">IFERROR(INDEX('Retirement Calculator'!K:K,MATCH('Lorri 401b'!N303,'Retirement Calculator'!A:A,0),0),0)</f>
        <v>21655.303514578787</v>
      </c>
      <c r="K303" s="444">
        <f t="shared" ca="1" si="27"/>
        <v>13134.997145698142</v>
      </c>
      <c r="L303" s="444">
        <f t="shared" ca="1" si="28"/>
        <v>3165534.312113252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3165534.312113252</v>
      </c>
      <c r="J304" s="444">
        <f t="array" ref="J304">IFERROR(INDEX('Retirement Calculator'!K:K,MATCH('Lorri 401b'!N304,'Retirement Calculator'!A:A,0),0),0)</f>
        <v>21655.303514578787</v>
      </c>
      <c r="K304" s="444">
        <f t="shared" ca="1" si="27"/>
        <v>13099.495869161137</v>
      </c>
      <c r="L304" s="444">
        <f t="shared" ca="1" si="28"/>
        <v>3156978.5044678343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3156978.5044678343</v>
      </c>
      <c r="J305" s="444">
        <f t="array" ref="J305">IFERROR(INDEX('Retirement Calculator'!K:K,MATCH('Lorri 401b'!N305,'Retirement Calculator'!A:A,0),0),0)</f>
        <v>21655.303514578787</v>
      </c>
      <c r="K305" s="444">
        <f t="shared" ca="1" si="27"/>
        <v>13063.846670638564</v>
      </c>
      <c r="L305" s="444">
        <f t="shared" ca="1" si="28"/>
        <v>3148387.0476238942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3148387.0476238942</v>
      </c>
      <c r="J306" s="444">
        <f t="array" ref="J306">IFERROR(INDEX('Retirement Calculator'!K:K,MATCH('Lorri 401b'!N306,'Retirement Calculator'!A:A,0),0),0)</f>
        <v>21655.303514578787</v>
      </c>
      <c r="K306" s="444">
        <f t="shared" ca="1" si="27"/>
        <v>13028.048933788814</v>
      </c>
      <c r="L306" s="444">
        <f t="shared" ca="1" si="28"/>
        <v>3139759.793043104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3139759.793043104</v>
      </c>
      <c r="J307" s="444">
        <f t="array" ref="J307">IFERROR(INDEX('Retirement Calculator'!K:K,MATCH('Lorri 401b'!N307,'Retirement Calculator'!A:A,0),0),0)</f>
        <v>21655.303514578787</v>
      </c>
      <c r="K307" s="444">
        <f t="shared" ca="1" si="27"/>
        <v>12992.102039702188</v>
      </c>
      <c r="L307" s="444">
        <f t="shared" ca="1" si="28"/>
        <v>3131096.5915682274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3131096.5915682274</v>
      </c>
      <c r="J308" s="444">
        <f t="array" ref="J308">IFERROR(INDEX('Retirement Calculator'!K:K,MATCH('Lorri 401b'!N308,'Retirement Calculator'!A:A,0),0),0)</f>
        <v>21655.303514578787</v>
      </c>
      <c r="K308" s="444">
        <f t="shared" ca="1" si="27"/>
        <v>12956.005366890202</v>
      </c>
      <c r="L308" s="444">
        <f t="shared" ca="1" si="28"/>
        <v>3122397.2934205388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3122397.2934205388</v>
      </c>
      <c r="J309" s="444">
        <f t="array" ref="J309">IFERROR(INDEX('Retirement Calculator'!K:K,MATCH('Lorri 401b'!N309,'Retirement Calculator'!A:A,0),0),0)</f>
        <v>21655.303514578787</v>
      </c>
      <c r="K309" s="444">
        <f t="shared" ca="1" si="27"/>
        <v>12919.758291274833</v>
      </c>
      <c r="L309" s="444">
        <f t="shared" ca="1" si="28"/>
        <v>3113661.7481972347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3113661.7481972347</v>
      </c>
      <c r="J310" s="444">
        <f t="array" ref="J310">IFERROR(INDEX('Retirement Calculator'!K:K,MATCH('Lorri 401b'!N310,'Retirement Calculator'!A:A,0),0),0)</f>
        <v>21655.303514578787</v>
      </c>
      <c r="K310" s="444">
        <f t="shared" ca="1" si="27"/>
        <v>12883.360186177733</v>
      </c>
      <c r="L310" s="444">
        <f t="shared" ca="1" si="28"/>
        <v>3104889.8048688336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3104889.8048688336</v>
      </c>
      <c r="J311" s="444">
        <f t="array" ref="J311">IFERROR(INDEX('Retirement Calculator'!K:K,MATCH('Lorri 401b'!N311,'Retirement Calculator'!A:A,0),0),0)</f>
        <v>21655.303514578787</v>
      </c>
      <c r="K311" s="444">
        <f t="shared" ca="1" si="27"/>
        <v>12846.810422309394</v>
      </c>
      <c r="L311" s="444">
        <f t="shared" ca="1" si="28"/>
        <v>3096081.311776564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3096081.311776564</v>
      </c>
      <c r="J312" s="444">
        <f t="array" ref="J312">IFERROR(INDEX('Retirement Calculator'!K:K,MATCH('Lorri 401b'!N312,'Retirement Calculator'!A:A,0),0),0)</f>
        <v>21655.303514578787</v>
      </c>
      <c r="K312" s="444">
        <f t="shared" ca="1" si="27"/>
        <v>12810.108367758272</v>
      </c>
      <c r="L312" s="444">
        <f t="shared" ca="1" si="28"/>
        <v>3087236.1166297435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3087236.1166297435</v>
      </c>
      <c r="J313" s="444">
        <f t="array" ref="J313">IFERROR(INDEX('Retirement Calculator'!K:K,MATCH('Lorri 401b'!N313,'Retirement Calculator'!A:A,0),0),0)</f>
        <v>21655.303514578787</v>
      </c>
      <c r="K313" s="444">
        <f t="shared" ca="1" si="27"/>
        <v>12773.253387979852</v>
      </c>
      <c r="L313" s="444">
        <f t="shared" ca="1" si="28"/>
        <v>3078354.0665031443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3078354.0665031443</v>
      </c>
      <c r="J314" s="444">
        <f t="array" ref="J314">IFERROR(INDEX('Retirement Calculator'!K:K,MATCH('Lorri 401b'!N314,'Retirement Calculator'!A:A,0),0),0)</f>
        <v>21655.303514578787</v>
      </c>
      <c r="K314" s="444">
        <f t="shared" ca="1" si="27"/>
        <v>12736.24484578569</v>
      </c>
      <c r="L314" s="444">
        <f t="shared" ca="1" si="28"/>
        <v>3069435.0078343512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3069435.0078343512</v>
      </c>
      <c r="J315" s="444">
        <f t="array" ref="J315">IFERROR(INDEX('Retirement Calculator'!K:K,MATCH('Lorri 401b'!N315,'Retirement Calculator'!A:A,0),0),0)</f>
        <v>21655.303514578787</v>
      </c>
      <c r="K315" s="444">
        <f t="shared" ca="1" si="27"/>
        <v>12699.082101332384</v>
      </c>
      <c r="L315" s="444">
        <f t="shared" ca="1" si="28"/>
        <v>3060478.7864211048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3060478.7864211048</v>
      </c>
      <c r="J316" s="444">
        <f t="array" ref="J316">IFERROR(INDEX('Retirement Calculator'!K:K,MATCH('Lorri 401b'!N316,'Retirement Calculator'!A:A,0),0),0)</f>
        <v>21655.303514578787</v>
      </c>
      <c r="K316" s="444">
        <f t="shared" ca="1" si="27"/>
        <v>12661.764512110525</v>
      </c>
      <c r="L316" s="444">
        <f t="shared" ca="1" si="28"/>
        <v>3051485.2474186365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3051485.2474186365</v>
      </c>
      <c r="J317" s="444">
        <f t="array" ref="J317">IFERROR(INDEX('Retirement Calculator'!K:K,MATCH('Lorri 401b'!N317,'Retirement Calculator'!A:A,0),0),0)</f>
        <v>21655.303514578787</v>
      </c>
      <c r="K317" s="444">
        <f t="shared" ca="1" si="27"/>
        <v>12624.291432933573</v>
      </c>
      <c r="L317" s="444">
        <f t="shared" ca="1" si="28"/>
        <v>3042454.235336991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3042454.235336991</v>
      </c>
      <c r="J318" s="444">
        <f t="array" ref="J318">IFERROR(INDEX('Retirement Calculator'!K:K,MATCH('Lorri 401b'!N318,'Retirement Calculator'!A:A,0),0),0)</f>
        <v>21655.303514578787</v>
      </c>
      <c r="K318" s="444">
        <f t="shared" ca="1" si="27"/>
        <v>12586.662215926717</v>
      </c>
      <c r="L318" s="444">
        <f t="shared" ca="1" si="28"/>
        <v>3033385.5940383389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3033385.5940383389</v>
      </c>
      <c r="J319" s="444">
        <f t="array" ref="J319">IFERROR(INDEX('Retirement Calculator'!K:K,MATCH('Lorri 401b'!N319,'Retirement Calculator'!A:A,0),0),0)</f>
        <v>21655.303514578787</v>
      </c>
      <c r="K319" s="444">
        <f t="shared" ca="1" si="27"/>
        <v>12548.876210515667</v>
      </c>
      <c r="L319" s="444">
        <f t="shared" ca="1" si="28"/>
        <v>3024279.1667342759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3024279.1667342759</v>
      </c>
      <c r="J320" s="444">
        <f t="array" ref="J320">IFERROR(INDEX('Retirement Calculator'!K:K,MATCH('Lorri 401b'!N320,'Retirement Calculator'!A:A,0),0),0)</f>
        <v>21655.303514578787</v>
      </c>
      <c r="K320" s="444">
        <f t="shared" ca="1" si="27"/>
        <v>12510.932763415403</v>
      </c>
      <c r="L320" s="444">
        <f t="shared" ca="1" si="28"/>
        <v>3015134.7959831124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3015134.7959831124</v>
      </c>
      <c r="J321" s="444">
        <f t="array" ref="J321">IFERROR(INDEX('Retirement Calculator'!K:K,MATCH('Lorri 401b'!N321,'Retirement Calculator'!A:A,0),0),0)</f>
        <v>21655.303514578787</v>
      </c>
      <c r="K321" s="444">
        <f t="shared" ca="1" si="27"/>
        <v>12472.83121861889</v>
      </c>
      <c r="L321" s="444">
        <f t="shared" ca="1" si="28"/>
        <v>3005952.3236871525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3005952.3236871525</v>
      </c>
      <c r="J322" s="444">
        <f t="array" ref="J322">IFERROR(INDEX('Retirement Calculator'!K:K,MATCH('Lorri 401b'!N322,'Retirement Calculator'!A:A,0),0),0)</f>
        <v>21655.303514578787</v>
      </c>
      <c r="K322" s="444">
        <f t="shared" ca="1" si="27"/>
        <v>12434.570917385723</v>
      </c>
      <c r="L322" s="444">
        <f t="shared" ca="1" si="28"/>
        <v>2996731.5910899593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2996731.5910899593</v>
      </c>
      <c r="J323" s="444">
        <f t="array" ref="J323">IFERROR(INDEX('Retirement Calculator'!K:K,MATCH('Lorri 401b'!N323,'Retirement Calculator'!A:A,0),0),0)</f>
        <v>21655.303514578787</v>
      </c>
      <c r="K323" s="444">
        <f t="shared" ca="1" si="27"/>
        <v>12396.151198230751</v>
      </c>
      <c r="L323" s="444">
        <f t="shared" ca="1" si="28"/>
        <v>2987472.4387736111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2987472.4387736111</v>
      </c>
      <c r="J324" s="444">
        <f t="array" ref="J324">IFERROR(INDEX('Retirement Calculator'!K:K,MATCH('Lorri 401b'!N324,'Retirement Calculator'!A:A,0),0),0)</f>
        <v>21655.303514578787</v>
      </c>
      <c r="K324" s="444">
        <f t="shared" ca="1" si="27"/>
        <v>12357.571396912634</v>
      </c>
      <c r="L324" s="444">
        <f t="shared" ca="1" si="28"/>
        <v>2978174.7066559447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2978174.7066559447</v>
      </c>
      <c r="J325" s="444">
        <f t="array" ref="J325">IFERROR(INDEX('Retirement Calculator'!K:K,MATCH('Lorri 401b'!N325,'Retirement Calculator'!A:A,0),0),0)</f>
        <v>21655.303514578787</v>
      </c>
      <c r="K325" s="444">
        <f t="shared" ca="1" si="27"/>
        <v>12318.830846422357</v>
      </c>
      <c r="L325" s="444">
        <f t="shared" ca="1" si="28"/>
        <v>2968838.2339877882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2968838.2339877882</v>
      </c>
      <c r="J326" s="444">
        <f t="array" ref="J326">IFERROR(INDEX('Retirement Calculator'!K:K,MATCH('Lorri 401b'!N326,'Retirement Calculator'!A:A,0),0),0)</f>
        <v>21655.303514578787</v>
      </c>
      <c r="K326" s="444">
        <f t="shared" ca="1" si="27"/>
        <v>12279.928876971706</v>
      </c>
      <c r="L326" s="444">
        <f t="shared" ca="1" si="28"/>
        <v>2959462.8593501812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2959462.8593501812</v>
      </c>
      <c r="J327" s="444">
        <f t="array" ref="J327">IFERROR(INDEX('Retirement Calculator'!K:K,MATCH('Lorri 401b'!N327,'Retirement Calculator'!A:A,0),0),0)</f>
        <v>21655.303514578787</v>
      </c>
      <c r="K327" s="444">
        <f t="shared" ca="1" si="27"/>
        <v>12240.864815981677</v>
      </c>
      <c r="L327" s="444">
        <f t="shared" ca="1" si="28"/>
        <v>2950048.4206515839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2950048.4206515839</v>
      </c>
      <c r="J328" s="444">
        <f t="array" ref="J328">IFERROR(INDEX('Retirement Calculator'!K:K,MATCH('Lorri 401b'!N328,'Retirement Calculator'!A:A,0),0),0)</f>
        <v>21655.303514578787</v>
      </c>
      <c r="K328" s="444">
        <f t="shared" ca="1" si="27"/>
        <v>12201.637988070854</v>
      </c>
      <c r="L328" s="444">
        <f t="shared" ca="1" si="28"/>
        <v>2940594.755125076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2940594.755125076</v>
      </c>
      <c r="J329" s="444">
        <f t="array" ref="J329">IFERROR(INDEX('Retirement Calculator'!K:K,MATCH('Lorri 401b'!N329,'Retirement Calculator'!A:A,0),0),0)</f>
        <v>21655.303514578787</v>
      </c>
      <c r="K329" s="444">
        <f t="shared" ca="1" si="27"/>
        <v>12162.247715043739</v>
      </c>
      <c r="L329" s="444">
        <f t="shared" ca="1" si="28"/>
        <v>2931101.699325541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2931101.699325541</v>
      </c>
      <c r="J330" s="444">
        <f t="array" ref="J330">IFERROR(INDEX('Retirement Calculator'!K:K,MATCH('Lorri 401b'!N330,'Retirement Calculator'!A:A,0),0),0)</f>
        <v>21655.303514578787</v>
      </c>
      <c r="K330" s="444">
        <f t="shared" ca="1" si="27"/>
        <v>12122.693315879009</v>
      </c>
      <c r="L330" s="444">
        <f t="shared" ca="1" si="28"/>
        <v>2921569.0891268412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2921569.0891268412</v>
      </c>
      <c r="J331" s="444">
        <f t="array" ref="J331">IFERROR(INDEX('Retirement Calculator'!K:K,MATCH('Lorri 401b'!N331,'Retirement Calculator'!A:A,0),0),0)</f>
        <v>21655.303514578787</v>
      </c>
      <c r="K331" s="444">
        <f t="shared" ca="1" si="27"/>
        <v>12082.97410671776</v>
      </c>
      <c r="L331" s="444">
        <f t="shared" ca="1" si="28"/>
        <v>2911996.7597189802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2911996.7597189802</v>
      </c>
      <c r="J332" s="444">
        <f t="array" ref="J332">IFERROR(INDEX('Retirement Calculator'!K:K,MATCH('Lorri 401b'!N332,'Retirement Calculator'!A:A,0),0),0)</f>
        <v>21655.303514578787</v>
      </c>
      <c r="K332" s="444">
        <f t="shared" ca="1" si="27"/>
        <v>12043.089400851672</v>
      </c>
      <c r="L332" s="444">
        <f t="shared" ca="1" si="28"/>
        <v>2902384.545605253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2902384.545605253</v>
      </c>
      <c r="J333" s="444">
        <f t="array" ref="J333">IFERROR(INDEX('Retirement Calculator'!K:K,MATCH('Lorri 401b'!N333,'Retirement Calculator'!A:A,0),0),0)</f>
        <v>21655.303514578787</v>
      </c>
      <c r="K333" s="444">
        <f t="shared" ca="1" si="27"/>
        <v>12003.038508711143</v>
      </c>
      <c r="L333" s="444">
        <f t="shared" ca="1" si="28"/>
        <v>2892732.280599385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2892732.280599385</v>
      </c>
      <c r="J334" s="444">
        <f t="array" ref="J334">IFERROR(INDEX('Retirement Calculator'!K:K,MATCH('Lorri 401b'!N334,'Retirement Calculator'!A:A,0),0),0)</f>
        <v>21655.303514578787</v>
      </c>
      <c r="K334" s="444">
        <f t="shared" ca="1" si="27"/>
        <v>11962.820737853359</v>
      </c>
      <c r="L334" s="444">
        <f t="shared" ca="1" si="28"/>
        <v>2883039.7978226594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2883039.7978226594</v>
      </c>
      <c r="J335" s="444">
        <f t="array" ref="J335">IFERROR(INDEX('Retirement Calculator'!K:K,MATCH('Lorri 401b'!N335,'Retirement Calculator'!A:A,0),0),0)</f>
        <v>21655.303514578787</v>
      </c>
      <c r="K335" s="444">
        <f t="shared" ca="1" si="27"/>
        <v>11922.435392950336</v>
      </c>
      <c r="L335" s="444">
        <f t="shared" ca="1" si="28"/>
        <v>2873306.9297010307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2873306.9297010307</v>
      </c>
      <c r="J336" s="444">
        <f t="array" ref="J336">IFERROR(INDEX('Retirement Calculator'!K:K,MATCH('Lorri 401b'!N336,'Retirement Calculator'!A:A,0),0),0)</f>
        <v>21655.303514578787</v>
      </c>
      <c r="K336" s="444">
        <f t="shared" ca="1" si="27"/>
        <v>11881.881775776883</v>
      </c>
      <c r="L336" s="444">
        <f t="shared" ca="1" si="28"/>
        <v>2863533.5079622287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2863533.5079622287</v>
      </c>
      <c r="J337" s="444">
        <f t="array" ref="J337">IFERROR(INDEX('Retirement Calculator'!K:K,MATCH('Lorri 401b'!N337,'Retirement Calculator'!A:A,0),0),0)</f>
        <v>21655.303514578787</v>
      </c>
      <c r="K337" s="444">
        <f t="shared" ca="1" si="27"/>
        <v>11841.159185198541</v>
      </c>
      <c r="L337" s="444">
        <f t="shared" ca="1" si="28"/>
        <v>2853719.3636328485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2853719.3636328485</v>
      </c>
      <c r="J338" s="444">
        <f t="array" ref="J338">IFERROR(INDEX('Retirement Calculator'!K:K,MATCH('Lorri 401b'!N338,'Retirement Calculator'!A:A,0),0),0)</f>
        <v>21655.303514578787</v>
      </c>
      <c r="K338" s="444">
        <f t="shared" ca="1" si="27"/>
        <v>11800.266917159457</v>
      </c>
      <c r="L338" s="444">
        <f t="shared" ca="1" si="28"/>
        <v>2843864.327035429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2843864.327035429</v>
      </c>
      <c r="J339" s="444">
        <f t="array" ref="J339">IFERROR(INDEX('Retirement Calculator'!K:K,MATCH('Lorri 401b'!N339,'Retirement Calculator'!A:A,0),0),0)</f>
        <v>21655.303514578787</v>
      </c>
      <c r="K339" s="444">
        <f t="shared" ca="1" si="27"/>
        <v>11759.204264670208</v>
      </c>
      <c r="L339" s="444">
        <f t="shared" ca="1" si="28"/>
        <v>2833968.2277855203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2833968.2277855203</v>
      </c>
      <c r="J340" s="444">
        <f t="array" ref="J340">IFERROR(INDEX('Retirement Calculator'!K:K,MATCH('Lorri 401b'!N340,'Retirement Calculator'!A:A,0),0),0)</f>
        <v>21655.303514578787</v>
      </c>
      <c r="K340" s="444">
        <f t="shared" ca="1" si="27"/>
        <v>11717.970517795589</v>
      </c>
      <c r="L340" s="444">
        <f t="shared" ca="1" si="28"/>
        <v>2824030.8947887369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2824030.8947887369</v>
      </c>
      <c r="J341" s="444">
        <f t="array" ref="J341">IFERROR(INDEX('Retirement Calculator'!K:K,MATCH('Lorri 401b'!N341,'Retirement Calculator'!A:A,0),0),0)</f>
        <v>21655.303514578787</v>
      </c>
      <c r="K341" s="444">
        <f t="shared" ca="1" si="27"/>
        <v>11676.564963642326</v>
      </c>
      <c r="L341" s="444">
        <f t="shared" ca="1" si="28"/>
        <v>2814052.1562378006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2814052.1562378006</v>
      </c>
      <c r="J342" s="444">
        <f t="array" ref="J342">IFERROR(INDEX('Retirement Calculator'!K:K,MATCH('Lorri 401b'!N342,'Retirement Calculator'!A:A,0),0),0)</f>
        <v>21655.303514578787</v>
      </c>
      <c r="K342" s="444">
        <f t="shared" ca="1" si="27"/>
        <v>11634.986886346756</v>
      </c>
      <c r="L342" s="444">
        <f t="shared" ca="1" si="28"/>
        <v>2804031.8396095685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2804031.8396095685</v>
      </c>
      <c r="J343" s="444">
        <f t="array" ref="J343">IFERROR(INDEX('Retirement Calculator'!K:K,MATCH('Lorri 401b'!N343,'Retirement Calculator'!A:A,0),0),0)</f>
        <v>21655.303514578787</v>
      </c>
      <c r="K343" s="444">
        <f t="shared" ca="1" si="27"/>
        <v>11593.235567062457</v>
      </c>
      <c r="L343" s="444">
        <f t="shared" ca="1" si="28"/>
        <v>2793969.7716620523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2793969.7716620523</v>
      </c>
      <c r="J344" s="444">
        <f t="array" ref="J344">IFERROR(INDEX('Retirement Calculator'!K:K,MATCH('Lorri 401b'!N344,'Retirement Calculator'!A:A,0),0),0)</f>
        <v>21655.303514578787</v>
      </c>
      <c r="K344" s="444">
        <f t="shared" ca="1" si="27"/>
        <v>11551.310283947805</v>
      </c>
      <c r="L344" s="444">
        <f t="shared" ca="1" si="28"/>
        <v>2783865.7784314211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2783865.7784314211</v>
      </c>
      <c r="J345" s="444">
        <f t="array" ref="J345">IFERROR(INDEX('Retirement Calculator'!K:K,MATCH('Lorri 401b'!N345,'Retirement Calculator'!A:A,0),0),0)</f>
        <v>21655.303514578787</v>
      </c>
      <c r="K345" s="444">
        <f t="shared" ca="1" si="27"/>
        <v>11509.210312153509</v>
      </c>
      <c r="L345" s="444">
        <f t="shared" ca="1" si="28"/>
        <v>2773719.685228996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2773719.685228996</v>
      </c>
      <c r="J346" s="444">
        <f t="array" ref="J346">IFERROR(INDEX('Retirement Calculator'!K:K,MATCH('Lorri 401b'!N346,'Retirement Calculator'!A:A,0),0),0)</f>
        <v>21655.303514578787</v>
      </c>
      <c r="K346" s="444">
        <f t="shared" ca="1" si="27"/>
        <v>11466.934923810071</v>
      </c>
      <c r="L346" s="444">
        <f t="shared" ca="1" si="28"/>
        <v>2763531.3166382271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2763531.3166382271</v>
      </c>
      <c r="J347" s="444">
        <f t="array" ref="J347">IFERROR(INDEX('Retirement Calculator'!K:K,MATCH('Lorri 401b'!N347,'Retirement Calculator'!A:A,0),0),0)</f>
        <v>21655.303514578787</v>
      </c>
      <c r="K347" s="444">
        <f t="shared" ca="1" si="27"/>
        <v>11424.4833880152</v>
      </c>
      <c r="L347" s="444">
        <f t="shared" ca="1" si="28"/>
        <v>2753300.4965116633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2753300.4965116633</v>
      </c>
      <c r="J348" s="444">
        <f t="array" ref="J348">IFERROR(INDEX('Retirement Calculator'!K:K,MATCH('Lorri 401b'!N348,'Retirement Calculator'!A:A,0),0),0)</f>
        <v>21655.303514578787</v>
      </c>
      <c r="K348" s="444">
        <f t="shared" ca="1" si="27"/>
        <v>11381.854970821185</v>
      </c>
      <c r="L348" s="444">
        <f t="shared" ca="1" si="28"/>
        <v>2743027.0479679056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2743027.0479679056</v>
      </c>
      <c r="J349" s="444">
        <f t="array" ref="J349">IFERROR(INDEX('Retirement Calculator'!K:K,MATCH('Lorri 401b'!N349,'Retirement Calculator'!A:A,0),0),0)</f>
        <v>21655.303514578787</v>
      </c>
      <c r="K349" s="444">
        <f t="shared" ca="1" si="27"/>
        <v>11339.048935222196</v>
      </c>
      <c r="L349" s="444">
        <f t="shared" ca="1" si="28"/>
        <v>2732710.7933885488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2732710.7933885488</v>
      </c>
      <c r="J350" s="444">
        <f t="array" ref="J350">IFERROR(INDEX('Retirement Calculator'!K:K,MATCH('Lorri 401b'!N350,'Retirement Calculator'!A:A,0),0),0)</f>
        <v>21655.303514578787</v>
      </c>
      <c r="K350" s="444">
        <f t="shared" ca="1" si="27"/>
        <v>11296.064541141541</v>
      </c>
      <c r="L350" s="444">
        <f t="shared" ca="1" si="28"/>
        <v>2722351.5544151114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2722351.5544151114</v>
      </c>
      <c r="J351" s="444">
        <f t="array" ref="J351">IFERROR(INDEX('Retirement Calculator'!K:K,MATCH('Lorri 401b'!N351,'Retirement Calculator'!A:A,0),0),0)</f>
        <v>21655.303514578787</v>
      </c>
      <c r="K351" s="444">
        <f t="shared" ca="1" si="27"/>
        <v>11252.901045418886</v>
      </c>
      <c r="L351" s="444">
        <f t="shared" ca="1" si="28"/>
        <v>2711949.1519459514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2711949.1519459514</v>
      </c>
      <c r="J352" s="444">
        <f t="array" ref="J352">IFERROR(INDEX('Retirement Calculator'!K:K,MATCH('Lorri 401b'!N352,'Retirement Calculator'!A:A,0),0),0)</f>
        <v>21655.303514578787</v>
      </c>
      <c r="K352" s="444">
        <f t="shared" ca="1" si="27"/>
        <v>11209.557701797385</v>
      </c>
      <c r="L352" s="444">
        <f t="shared" ca="1" si="28"/>
        <v>2701503.4061331698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2701503.4061331698</v>
      </c>
      <c r="J353" s="444">
        <f t="array" ref="J353">IFERROR(INDEX('Retirement Calculator'!K:K,MATCH('Lorri 401b'!N353,'Retirement Calculator'!A:A,0),0),0)</f>
        <v>21655.303514578787</v>
      </c>
      <c r="K353" s="444">
        <f t="shared" ca="1" si="27"/>
        <v>11166.033760910796</v>
      </c>
      <c r="L353" s="444">
        <f t="shared" ca="1" si="28"/>
        <v>2691014.1363795018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2691014.1363795018</v>
      </c>
      <c r="J354" s="444">
        <f t="array" ref="J354">IFERROR(INDEX('Retirement Calculator'!K:K,MATCH('Lorri 401b'!N354,'Retirement Calculator'!A:A,0),0),0)</f>
        <v>21655.303514578787</v>
      </c>
      <c r="K354" s="444">
        <f t="shared" ca="1" si="27"/>
        <v>11122.328470270511</v>
      </c>
      <c r="L354" s="444">
        <f t="shared" ca="1" si="28"/>
        <v>2680481.1613351936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2680481.1613351936</v>
      </c>
      <c r="J355" s="444">
        <f t="array" ref="J355">IFERROR(INDEX('Retirement Calculator'!K:K,MATCH('Lorri 401b'!N355,'Retirement Calculator'!A:A,0),0),0)</f>
        <v>21655.303514578787</v>
      </c>
      <c r="K355" s="444">
        <f t="shared" ca="1" si="27"/>
        <v>11078.441074252562</v>
      </c>
      <c r="L355" s="444">
        <f t="shared" ca="1" si="28"/>
        <v>2669904.2988948673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2669904.2988948673</v>
      </c>
      <c r="J356" s="444">
        <f t="array" ref="J356">IFERROR(INDEX('Retirement Calculator'!K:K,MATCH('Lorri 401b'!N356,'Retirement Calculator'!A:A,0),0),0)</f>
        <v>21655.303514578787</v>
      </c>
      <c r="K356" s="444">
        <f t="shared" ca="1" si="27"/>
        <v>11034.370814084536</v>
      </c>
      <c r="L356" s="444">
        <f t="shared" ca="1" si="28"/>
        <v>2659283.366194373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2659283.366194373</v>
      </c>
      <c r="J357" s="444">
        <f t="array" ref="J357">IFERROR(INDEX('Retirement Calculator'!K:K,MATCH('Lorri 401b'!N357,'Retirement Calculator'!A:A,0),0),0)</f>
        <v>21655.303514578787</v>
      </c>
      <c r="K357" s="444">
        <f t="shared" ca="1" si="27"/>
        <v>10990.116927832476</v>
      </c>
      <c r="L357" s="444">
        <f t="shared" ca="1" si="28"/>
        <v>2648618.1796076265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2648618.1796076265</v>
      </c>
      <c r="J358" s="444">
        <f t="array" ref="J358">IFERROR(INDEX('Retirement Calculator'!K:K,MATCH('Lorri 401b'!N358,'Retirement Calculator'!A:A,0),0),0)</f>
        <v>21655.303514578787</v>
      </c>
      <c r="K358" s="444">
        <f t="shared" ca="1" si="27"/>
        <v>10945.678650387699</v>
      </c>
      <c r="L358" s="444">
        <f t="shared" ca="1" si="28"/>
        <v>2637908.5547434352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2637908.5547434352</v>
      </c>
      <c r="J359" s="444">
        <f t="array" ref="J359">IFERROR(INDEX('Retirement Calculator'!K:K,MATCH('Lorri 401b'!N359,'Retirement Calculator'!A:A,0),0),0)</f>
        <v>21655.303514578787</v>
      </c>
      <c r="K359" s="444">
        <f t="shared" ca="1" si="27"/>
        <v>10901.055213453568</v>
      </c>
      <c r="L359" s="444">
        <f t="shared" ca="1" si="28"/>
        <v>2627154.3064423101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2627154.3064423101</v>
      </c>
      <c r="J360" s="444">
        <f t="array" ref="J360">IFERROR(INDEX('Retirement Calculator'!K:K,MATCH('Lorri 401b'!N360,'Retirement Calculator'!A:A,0),0),0)</f>
        <v>21655.303514578787</v>
      </c>
      <c r="K360" s="444">
        <f t="shared" ca="1" si="27"/>
        <v>10856.245845532214</v>
      </c>
      <c r="L360" s="444">
        <f t="shared" ca="1" si="28"/>
        <v>2616355.2487732633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2616355.2487732633</v>
      </c>
      <c r="J361" s="444">
        <f t="array" ref="J361">IFERROR(INDEX('Retirement Calculator'!K:K,MATCH('Lorri 401b'!N361,'Retirement Calculator'!A:A,0),0),0)</f>
        <v>21655.303514578787</v>
      </c>
      <c r="K361" s="444">
        <f t="shared" ca="1" si="27"/>
        <v>10811.249771911185</v>
      </c>
      <c r="L361" s="444">
        <f t="shared" ca="1" si="28"/>
        <v>2605511.1950305956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2605511.1950305956</v>
      </c>
      <c r="J362" s="444">
        <f t="array" ref="J362">IFERROR(INDEX('Retirement Calculator'!K:K,MATCH('Lorri 401b'!N362,'Retirement Calculator'!A:A,0),0),0)</f>
        <v>21655.303514578787</v>
      </c>
      <c r="K362" s="444">
        <f t="shared" ca="1" si="27"/>
        <v>10766.066214650069</v>
      </c>
      <c r="L362" s="444">
        <f t="shared" ca="1" si="28"/>
        <v>2594621.9577306667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2594621.9577306667</v>
      </c>
      <c r="J363" s="444">
        <f t="array" ref="J363">IFERROR(INDEX('Retirement Calculator'!K:K,MATCH('Lorri 401b'!N363,'Retirement Calculator'!A:A,0),0),0)</f>
        <v>21655.303514578787</v>
      </c>
      <c r="K363" s="444">
        <f t="shared" ca="1" si="27"/>
        <v>10720.694392567033</v>
      </c>
      <c r="L363" s="444">
        <f t="shared" ca="1" si="28"/>
        <v>2583687.3486086549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2583687.3486086549</v>
      </c>
      <c r="J364" s="444">
        <f t="array" ref="J364">IFERROR(INDEX('Retirement Calculator'!K:K,MATCH('Lorri 401b'!N364,'Retirement Calculator'!A:A,0),0),0)</f>
        <v>21655.303514578787</v>
      </c>
      <c r="K364" s="444">
        <f t="shared" ca="1" si="27"/>
        <v>10675.133521225316</v>
      </c>
      <c r="L364" s="444">
        <f t="shared" ca="1" si="28"/>
        <v>2572707.1786153014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2572707.1786153014</v>
      </c>
      <c r="J365" s="444">
        <f t="array" ref="J365">IFERROR(INDEX('Retirement Calculator'!K:K,MATCH('Lorri 401b'!N365,'Retirement Calculator'!A:A,0),0),0)</f>
        <v>21655.303514578787</v>
      </c>
      <c r="K365" s="444">
        <f t="shared" ca="1" si="27"/>
        <v>10629.382812919677</v>
      </c>
      <c r="L365" s="444">
        <f t="shared" ca="1" si="28"/>
        <v>2561681.2579136421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2561681.2579136421</v>
      </c>
      <c r="J366" s="444">
        <f t="array" ref="J366">IFERROR(INDEX('Retirement Calculator'!K:K,MATCH('Lorri 401b'!N366,'Retirement Calculator'!A:A,0),0),0)</f>
        <v>21655.303514578787</v>
      </c>
      <c r="K366" s="444">
        <f t="shared" ca="1" si="27"/>
        <v>10583.441476662763</v>
      </c>
      <c r="L366" s="444">
        <f t="shared" ca="1" si="28"/>
        <v>2550609.3958757259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2550609.3958757259</v>
      </c>
      <c r="J367" s="444">
        <f t="array" ref="J367">IFERROR(INDEX('Retirement Calculator'!K:K,MATCH('Lorri 401b'!N367,'Retirement Calculator'!A:A,0),0),0)</f>
        <v>21655.303514578787</v>
      </c>
      <c r="K367" s="444">
        <f t="shared" ca="1" si="27"/>
        <v>10537.308718171445</v>
      </c>
      <c r="L367" s="444">
        <f t="shared" ca="1" si="28"/>
        <v>2539491.4010793185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2539491.4010793185</v>
      </c>
      <c r="J368" s="444">
        <f t="array" ref="J368">IFERROR(INDEX('Retirement Calculator'!K:K,MATCH('Lorri 401b'!N368,'Retirement Calculator'!A:A,0),0),0)</f>
        <v>21655.303514578787</v>
      </c>
      <c r="K368" s="444">
        <f t="shared" ca="1" si="27"/>
        <v>10490.983739853082</v>
      </c>
      <c r="L368" s="444">
        <f t="shared" ca="1" si="28"/>
        <v>2528327.0813045925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2528327.0813045925</v>
      </c>
      <c r="J369" s="444">
        <f t="array" ref="J369">IFERROR(INDEX('Retirement Calculator'!K:K,MATCH('Lorri 401b'!N369,'Retirement Calculator'!A:A,0),0),0)</f>
        <v>21655.303514578787</v>
      </c>
      <c r="K369" s="444">
        <f t="shared" ca="1" si="27"/>
        <v>10444.465740791724</v>
      </c>
      <c r="L369" s="444">
        <f t="shared" ca="1" si="28"/>
        <v>2517116.2435308052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2517116.2435308052</v>
      </c>
      <c r="J370" s="444">
        <f t="array" ref="J370">IFERROR(INDEX('Retirement Calculator'!K:K,MATCH('Lorri 401b'!N370,'Retirement Calculator'!A:A,0),0),0)</f>
        <v>21655.303514578787</v>
      </c>
      <c r="K370" s="444">
        <f t="shared" ca="1" si="27"/>
        <v>10397.753916734277</v>
      </c>
      <c r="L370" s="444">
        <f t="shared" ca="1" si="28"/>
        <v>2505858.6939329607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2505858.6939329607</v>
      </c>
      <c r="J371" s="444">
        <f t="array" ref="J371">IFERROR(INDEX('Retirement Calculator'!K:K,MATCH('Lorri 401b'!N371,'Retirement Calculator'!A:A,0),0),0)</f>
        <v>21655.303514578787</v>
      </c>
      <c r="K371" s="444">
        <f t="shared" ca="1" si="27"/>
        <v>10350.847460076591</v>
      </c>
      <c r="L371" s="444">
        <f t="shared" ca="1" si="28"/>
        <v>2494554.2378784586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2494554.2378784586</v>
      </c>
      <c r="J372" s="444">
        <f t="array" ref="J372">IFERROR(INDEX('Retirement Calculator'!K:K,MATCH('Lorri 401b'!N372,'Retirement Calculator'!A:A,0),0),0)</f>
        <v>21655.303514578787</v>
      </c>
      <c r="K372" s="444">
        <f t="shared" ca="1" si="27"/>
        <v>10303.745559849498</v>
      </c>
      <c r="L372" s="444">
        <f t="shared" ca="1" si="28"/>
        <v>2483202.679923729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2483202.679923729</v>
      </c>
      <c r="J373" s="444">
        <f t="array" ref="J373">IFERROR(INDEX('Retirement Calculator'!K:K,MATCH('Lorri 401b'!N373,'Retirement Calculator'!A:A,0),0),0)</f>
        <v>21655.303514578787</v>
      </c>
      <c r="K373" s="444">
        <f t="shared" ca="1" si="27"/>
        <v>10256.447401704792</v>
      </c>
      <c r="L373" s="444">
        <f t="shared" ca="1" si="28"/>
        <v>2471803.8238108549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2471803.8238108549</v>
      </c>
      <c r="J374" s="444">
        <f t="array" ref="J374">IFERROR(INDEX('Retirement Calculator'!K:K,MATCH('Lorri 401b'!N374,'Retirement Calculator'!A:A,0),0),0)</f>
        <v>21655.303514578787</v>
      </c>
      <c r="K374" s="444">
        <f t="shared" ca="1" si="27"/>
        <v>10208.95216790115</v>
      </c>
      <c r="L374" s="444">
        <f t="shared" ca="1" si="28"/>
        <v>2460357.4724641773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2460357.4724641773</v>
      </c>
      <c r="J375" s="444">
        <f t="array" ref="J375">IFERROR(INDEX('Retirement Calculator'!K:K,MATCH('Lorri 401b'!N375,'Retirement Calculator'!A:A,0),0),0)</f>
        <v>21655.303514578787</v>
      </c>
      <c r="K375" s="444">
        <f t="shared" ca="1" si="27"/>
        <v>10161.259037289994</v>
      </c>
      <c r="L375" s="444">
        <f t="shared" ca="1" si="28"/>
        <v>2448863.4279868882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2448863.4279868882</v>
      </c>
      <c r="J376" s="444">
        <f t="array" ref="J376">IFERROR(INDEX('Retirement Calculator'!K:K,MATCH('Lorri 401b'!N376,'Retirement Calculator'!A:A,0),0),0)</f>
        <v>21655.303514578787</v>
      </c>
      <c r="K376" s="444">
        <f t="shared" ca="1" si="27"/>
        <v>10113.367185301289</v>
      </c>
      <c r="L376" s="444">
        <f t="shared" ca="1" si="28"/>
        <v>2437321.4916576105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2437321.4916576105</v>
      </c>
      <c r="J377" s="444">
        <f t="array" ref="J377">IFERROR(INDEX('Retirement Calculator'!K:K,MATCH('Lorri 401b'!N377,'Retirement Calculator'!A:A,0),0),0)</f>
        <v>21655.303514578787</v>
      </c>
      <c r="K377" s="444">
        <f t="shared" ca="1" si="27"/>
        <v>10065.275783929299</v>
      </c>
      <c r="L377" s="444">
        <f t="shared" ca="1" si="28"/>
        <v>2425731.4639269612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2425731.4639269612</v>
      </c>
      <c r="J378" s="444">
        <f t="array" ref="J378">IFERROR(INDEX('Retirement Calculator'!K:K,MATCH('Lorri 401b'!N378,'Retirement Calculator'!A:A,0),0),0)</f>
        <v>21655.303514578787</v>
      </c>
      <c r="K378" s="444">
        <f t="shared" ca="1" si="27"/>
        <v>10016.98400171826</v>
      </c>
      <c r="L378" s="444">
        <f t="shared" ca="1" si="28"/>
        <v>2414093.1444141008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2414093.1444141008</v>
      </c>
      <c r="J379" s="444">
        <f t="array" ref="J379">IFERROR(INDEX('Retirement Calculator'!K:K,MATCH('Lorri 401b'!N379,'Retirement Calculator'!A:A,0),0),0)</f>
        <v>21655.303514578787</v>
      </c>
      <c r="K379" s="444">
        <f t="shared" ca="1" si="27"/>
        <v>9968.4910037480076</v>
      </c>
      <c r="L379" s="444">
        <f t="shared" ca="1" si="28"/>
        <v>2402406.33190327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2402406.33190327</v>
      </c>
      <c r="J380" s="444">
        <f t="array" ref="J380">IFERROR(INDEX('Retirement Calculator'!K:K,MATCH('Lorri 401b'!N380,'Retirement Calculator'!A:A,0),0),0)</f>
        <v>21655.303514578787</v>
      </c>
      <c r="K380" s="444">
        <f t="shared" ca="1" si="27"/>
        <v>9919.795951619546</v>
      </c>
      <c r="L380" s="444">
        <f t="shared" ca="1" si="28"/>
        <v>2390670.8243403109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2390670.8243403109</v>
      </c>
      <c r="J381" s="444">
        <f t="array" ref="J381">IFERROR(INDEX('Retirement Calculator'!K:K,MATCH('Lorri 401b'!N381,'Retirement Calculator'!A:A,0),0),0)</f>
        <v>21655.303514578787</v>
      </c>
      <c r="K381" s="444">
        <f t="shared" ca="1" si="27"/>
        <v>9870.8980034405504</v>
      </c>
      <c r="L381" s="444">
        <f t="shared" ca="1" si="28"/>
        <v>2378886.4188291724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2378886.4188291724</v>
      </c>
      <c r="J382" s="444">
        <f t="array" ref="J382">IFERROR(INDEX('Retirement Calculator'!K:K,MATCH('Lorri 401b'!N382,'Retirement Calculator'!A:A,0),0),0)</f>
        <v>21655.303514578787</v>
      </c>
      <c r="K382" s="444">
        <f t="shared" ca="1" si="27"/>
        <v>9821.7963138108062</v>
      </c>
      <c r="L382" s="444">
        <f t="shared" ca="1" si="28"/>
        <v>2367052.9116284042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2367052.9116284042</v>
      </c>
      <c r="J383" s="444">
        <f t="array" ref="J383">IFERROR(INDEX('Retirement Calculator'!K:K,MATCH('Lorri 401b'!N383,'Retirement Calculator'!A:A,0),0),0)</f>
        <v>21655.303514578787</v>
      </c>
      <c r="K383" s="444">
        <f t="shared" ca="1" si="27"/>
        <v>9772.4900338076059</v>
      </c>
      <c r="L383" s="444">
        <f t="shared" ca="1" si="28"/>
        <v>2355170.098147633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2355170.098147633</v>
      </c>
      <c r="J384" s="444">
        <f t="array" ref="J384">IFERROR(INDEX('Retirement Calculator'!K:K,MATCH('Lorri 401b'!N384,'Retirement Calculator'!A:A,0),0),0)</f>
        <v>21655.303514578787</v>
      </c>
      <c r="K384" s="444">
        <f t="shared" ca="1" si="27"/>
        <v>9722.9783109710588</v>
      </c>
      <c r="L384" s="444">
        <f t="shared" ca="1" si="28"/>
        <v>2343237.7729440252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2343237.7729440252</v>
      </c>
      <c r="J385" s="444">
        <f t="array" ref="J385">IFERROR(INDEX('Retirement Calculator'!K:K,MATCH('Lorri 401b'!N385,'Retirement Calculator'!A:A,0),0),0)</f>
        <v>21655.303514578787</v>
      </c>
      <c r="K385" s="444">
        <f t="shared" ca="1" si="27"/>
        <v>9673.2602892893592</v>
      </c>
      <c r="L385" s="444">
        <f t="shared" ca="1" si="28"/>
        <v>2331255.7297187359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2331255.7297187359</v>
      </c>
      <c r="J386" s="444">
        <f t="array" ref="J386">IFERROR(INDEX('Retirement Calculator'!K:K,MATCH('Lorri 401b'!N386,'Retirement Calculator'!A:A,0),0),0)</f>
        <v>21655.303514578787</v>
      </c>
      <c r="K386" s="444">
        <f t="shared" ca="1" si="27"/>
        <v>9623.3351091839868</v>
      </c>
      <c r="L386" s="444">
        <f t="shared" ca="1" si="28"/>
        <v>2319223.7613133411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2319223.7613133411</v>
      </c>
      <c r="J387" s="444">
        <f t="array" ref="J387">IFERROR(INDEX('Retirement Calculator'!K:K,MATCH('Lorri 401b'!N387,'Retirement Calculator'!A:A,0),0),0)</f>
        <v>21655.303514578787</v>
      </c>
      <c r="K387" s="444">
        <f t="shared" ca="1" si="27"/>
        <v>9573.2019074948421</v>
      </c>
      <c r="L387" s="444">
        <f t="shared" ca="1" si="28"/>
        <v>2307141.6597062573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2307141.6597062573</v>
      </c>
      <c r="J388" s="444">
        <f t="array" ref="J388">IFERROR(INDEX('Retirement Calculator'!K:K,MATCH('Lorri 401b'!N388,'Retirement Calculator'!A:A,0),0),0)</f>
        <v>21655.303514578787</v>
      </c>
      <c r="K388" s="444">
        <f t="shared" ca="1" si="27"/>
        <v>9522.8598174653271</v>
      </c>
      <c r="L388" s="444">
        <f t="shared" ca="1" si="28"/>
        <v>2295009.2160091437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2295009.2160091437</v>
      </c>
      <c r="J389" s="444">
        <f t="array" ref="J389">IFERROR(INDEX('Retirement Calculator'!K:K,MATCH('Lorri 401b'!N389,'Retirement Calculator'!A:A,0),0),0)</f>
        <v>21655.303514578787</v>
      </c>
      <c r="K389" s="444">
        <f t="shared" ca="1" si="27"/>
        <v>9472.307968727353</v>
      </c>
      <c r="L389" s="444">
        <f t="shared" ca="1" si="28"/>
        <v>2282826.2204632922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2282826.2204632922</v>
      </c>
      <c r="J390" s="444">
        <f t="array" ref="J390">IFERROR(INDEX('Retirement Calculator'!K:K,MATCH('Lorri 401b'!N390,'Retirement Calculator'!A:A,0),0),0)</f>
        <v>21655.303514578787</v>
      </c>
      <c r="K390" s="444">
        <f t="shared" ca="1" si="27"/>
        <v>9421.5454872863047</v>
      </c>
      <c r="L390" s="444">
        <f t="shared" ca="1" si="28"/>
        <v>2270592.4624359999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2270592.4624359999</v>
      </c>
      <c r="J391" s="444">
        <f t="array" ref="J391">IFERROR(INDEX('Retirement Calculator'!K:K,MATCH('Lorri 401b'!N391,'Retirement Calculator'!A:A,0),0),0)</f>
        <v>21655.303514578787</v>
      </c>
      <c r="K391" s="444">
        <f t="shared" ca="1" si="27"/>
        <v>9370.5714955059211</v>
      </c>
      <c r="L391" s="444">
        <f t="shared" ca="1" si="28"/>
        <v>2258307.730416927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2258307.730416927</v>
      </c>
      <c r="J392" s="444">
        <f t="array" ref="J392">IFERROR(INDEX('Retirement Calculator'!K:K,MATCH('Lorri 401b'!N392,'Retirement Calculator'!A:A,0),0),0)</f>
        <v>21655.303514578787</v>
      </c>
      <c r="K392" s="444">
        <f t="shared" ca="1" si="27"/>
        <v>9319.3851120931176</v>
      </c>
      <c r="L392" s="444">
        <f t="shared" ca="1" si="28"/>
        <v>2245971.8120144415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2245971.8120144415</v>
      </c>
      <c r="J393" s="444">
        <f t="array" ref="J393">IFERROR(INDEX('Retirement Calculator'!K:K,MATCH('Lorri 401b'!N393,'Retirement Calculator'!A:A,0),0),0)</f>
        <v>21655.303514578787</v>
      </c>
      <c r="K393" s="444">
        <f t="shared" ca="1" si="27"/>
        <v>9267.9854520827612</v>
      </c>
      <c r="L393" s="444">
        <f t="shared" ca="1" si="28"/>
        <v>2233584.4939519456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2233584.4939519456</v>
      </c>
      <c r="J394" s="444">
        <f t="array" ref="J394">IFERROR(INDEX('Retirement Calculator'!K:K,MATCH('Lorri 401b'!N394,'Retirement Calculator'!A:A,0),0),0)</f>
        <v>21655.303514578787</v>
      </c>
      <c r="K394" s="444">
        <f t="shared" ca="1" si="27"/>
        <v>9216.3716268223616</v>
      </c>
      <c r="L394" s="444">
        <f t="shared" ca="1" si="28"/>
        <v>2221145.562064189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2221145.562064189</v>
      </c>
      <c r="J395" s="444">
        <f t="array" ref="J395">IFERROR(INDEX('Retirement Calculator'!K:K,MATCH('Lorri 401b'!N395,'Retirement Calculator'!A:A,0),0),0)</f>
        <v>21655.303514578787</v>
      </c>
      <c r="K395" s="444">
        <f t="shared" ca="1" si="27"/>
        <v>9164.5427439567084</v>
      </c>
      <c r="L395" s="444">
        <f t="shared" ca="1" si="28"/>
        <v>2208654.8012935668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2208654.8012935668</v>
      </c>
      <c r="J396" s="444">
        <f t="array" ref="J396">IFERROR(INDEX('Retirement Calculator'!K:K,MATCH('Lorri 401b'!N396,'Retirement Calculator'!A:A,0),0),0)</f>
        <v>21655.303514578787</v>
      </c>
      <c r="K396" s="444">
        <f t="shared" ca="1" si="27"/>
        <v>9112.4979074124494</v>
      </c>
      <c r="L396" s="444">
        <f t="shared" ca="1" si="28"/>
        <v>2196111.9956864002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2196111.9956864002</v>
      </c>
      <c r="J397" s="444">
        <f t="array" ref="J397">IFERROR(INDEX('Retirement Calculator'!K:K,MATCH('Lorri 401b'!N397,'Retirement Calculator'!A:A,0),0),0)</f>
        <v>21655.303514578787</v>
      </c>
      <c r="K397" s="444">
        <f t="shared" ca="1" si="27"/>
        <v>9060.2362173825895</v>
      </c>
      <c r="L397" s="444">
        <f t="shared" ca="1" si="28"/>
        <v>2183516.9283892037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2183516.9283892037</v>
      </c>
      <c r="J398" s="444">
        <f t="array" ref="J398">IFERROR(INDEX('Retirement Calculator'!K:K,MATCH('Lorri 401b'!N398,'Retirement Calculator'!A:A,0),0),0)</f>
        <v>21655.303514578787</v>
      </c>
      <c r="K398" s="444">
        <f t="shared" ca="1" si="27"/>
        <v>9007.7567703109362</v>
      </c>
      <c r="L398" s="444">
        <f t="shared" ca="1" si="28"/>
        <v>2170869.3816449358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2170869.3816449358</v>
      </c>
      <c r="J399" s="444">
        <f t="array" ref="J399">IFERROR(INDEX('Retirement Calculator'!K:K,MATCH('Lorri 401b'!N399,'Retirement Calculator'!A:A,0),0),0)</f>
        <v>21655.303514578787</v>
      </c>
      <c r="K399" s="444">
        <f t="shared" ca="1" si="27"/>
        <v>8955.0586588764872</v>
      </c>
      <c r="L399" s="444">
        <f t="shared" ca="1" si="28"/>
        <v>2158169.1367892334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2158169.1367892334</v>
      </c>
      <c r="J400" s="444">
        <f t="array" ref="J400">IFERROR(INDEX('Retirement Calculator'!K:K,MATCH('Lorri 401b'!N400,'Retirement Calculator'!A:A,0),0),0)</f>
        <v>21655.303514578787</v>
      </c>
      <c r="K400" s="444">
        <f t="shared" ca="1" si="27"/>
        <v>8902.1409719777275</v>
      </c>
      <c r="L400" s="444">
        <f t="shared" ca="1" si="28"/>
        <v>2145415.9742466323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2145415.9742466323</v>
      </c>
      <c r="J401" s="444">
        <f t="array" ref="J401">IFERROR(INDEX('Retirement Calculator'!K:K,MATCH('Lorri 401b'!N401,'Retirement Calculator'!A:A,0),0),0)</f>
        <v>21655.303514578787</v>
      </c>
      <c r="K401" s="444">
        <f t="shared" ca="1" si="27"/>
        <v>8849.0027947168892</v>
      </c>
      <c r="L401" s="444">
        <f t="shared" ca="1" si="28"/>
        <v>2132609.6735267704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2132609.6735267704</v>
      </c>
      <c r="J402" s="444">
        <f t="array" ref="J402">IFERROR(INDEX('Retirement Calculator'!K:K,MATCH('Lorri 401b'!N402,'Retirement Calculator'!A:A,0),0),0)</f>
        <v>21655.303514578787</v>
      </c>
      <c r="K402" s="444">
        <f t="shared" ca="1" si="27"/>
        <v>8795.6432083841319</v>
      </c>
      <c r="L402" s="444">
        <f t="shared" ca="1" si="28"/>
        <v>2119750.0132205756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2119750.0132205756</v>
      </c>
      <c r="J403" s="444">
        <f t="array" ref="J403">IFERROR(INDEX('Retirement Calculator'!K:K,MATCH('Lorri 401b'!N403,'Retirement Calculator'!A:A,0),0),0)</f>
        <v>21655.303514578787</v>
      </c>
      <c r="K403" s="444">
        <f t="shared" ca="1" si="27"/>
        <v>8742.0612904416539</v>
      </c>
      <c r="L403" s="444">
        <f t="shared" ca="1" si="28"/>
        <v>2106836.7709964383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2106836.7709964383</v>
      </c>
      <c r="J404" s="444">
        <f t="array" ref="J404">IFERROR(INDEX('Retirement Calculator'!K:K,MATCH('Lorri 401b'!N404,'Retirement Calculator'!A:A,0),0),0)</f>
        <v>21655.303514578787</v>
      </c>
      <c r="K404" s="444">
        <f t="shared" ca="1" si="27"/>
        <v>8688.256114507747</v>
      </c>
      <c r="L404" s="444">
        <f t="shared" ca="1" si="28"/>
        <v>2093869.7235963673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2093869.7235963673</v>
      </c>
      <c r="J405" s="444">
        <f t="array" ref="J405">IFERROR(INDEX('Retirement Calculator'!K:K,MATCH('Lorri 401b'!N405,'Retirement Calculator'!A:A,0),0),0)</f>
        <v>21655.303514578787</v>
      </c>
      <c r="K405" s="444">
        <f t="shared" ca="1" si="27"/>
        <v>8634.2267503407857</v>
      </c>
      <c r="L405" s="444">
        <f t="shared" ca="1" si="28"/>
        <v>2080848.6468321292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2080848.6468321292</v>
      </c>
      <c r="J406" s="444">
        <f t="array" ref="J406">IFERROR(INDEX('Retirement Calculator'!K:K,MATCH('Lorri 401b'!N406,'Retirement Calculator'!A:A,0),0),0)</f>
        <v>21655.303514578787</v>
      </c>
      <c r="K406" s="444">
        <f t="shared" ca="1" si="27"/>
        <v>8579.9722638231251</v>
      </c>
      <c r="L406" s="444">
        <f t="shared" ca="1" si="28"/>
        <v>2067773.3155813734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2067773.3155813734</v>
      </c>
      <c r="J407" s="444">
        <f t="array" ref="J407">IFERROR(INDEX('Retirement Calculator'!K:K,MATCH('Lorri 401b'!N407,'Retirement Calculator'!A:A,0),0),0)</f>
        <v>21655.303514578787</v>
      </c>
      <c r="K407" s="444">
        <f t="shared" ca="1" si="27"/>
        <v>8525.4917169449764</v>
      </c>
      <c r="L407" s="444">
        <f t="shared" ca="1" si="28"/>
        <v>2054643.5037837396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2054643.5037837396</v>
      </c>
      <c r="J408" s="444">
        <f t="array" ref="J408">IFERROR(INDEX('Retirement Calculator'!K:K,MATCH('Lorri 401b'!N408,'Retirement Calculator'!A:A,0),0),0)</f>
        <v>21655.303514578787</v>
      </c>
      <c r="K408" s="444">
        <f t="shared" ca="1" si="27"/>
        <v>8470.7841677881697</v>
      </c>
      <c r="L408" s="444">
        <f t="shared" ca="1" si="28"/>
        <v>2041458.984436949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2041458.984436949</v>
      </c>
      <c r="J409" s="444">
        <f t="array" ref="J409">IFERROR(INDEX('Retirement Calculator'!K:K,MATCH('Lorri 401b'!N409,'Retirement Calculator'!A:A,0),0),0)</f>
        <v>21655.303514578787</v>
      </c>
      <c r="K409" s="444">
        <f t="shared" ca="1" si="27"/>
        <v>8415.8486705098749</v>
      </c>
      <c r="L409" s="444">
        <f t="shared" ca="1" si="28"/>
        <v>2028219.52959288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2028219.52959288</v>
      </c>
      <c r="J410" s="444">
        <f t="array" ref="J410">IFERROR(INDEX('Retirement Calculator'!K:K,MATCH('Lorri 401b'!N410,'Retirement Calculator'!A:A,0),0),0)</f>
        <v>21655.303514578787</v>
      </c>
      <c r="K410" s="444">
        <f t="shared" ca="1" si="27"/>
        <v>8360.6842753262554</v>
      </c>
      <c r="L410" s="444">
        <f t="shared" ca="1" si="28"/>
        <v>2014924.9103536275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2014924.9103536275</v>
      </c>
      <c r="J411" s="444">
        <f t="array" ref="J411">IFERROR(INDEX('Retirement Calculator'!K:K,MATCH('Lorri 401b'!N411,'Retirement Calculator'!A:A,0),0),0)</f>
        <v>21655.303514578787</v>
      </c>
      <c r="K411" s="444">
        <f t="shared" ca="1" si="27"/>
        <v>8305.290028496036</v>
      </c>
      <c r="L411" s="444">
        <f t="shared" ca="1" si="28"/>
        <v>2001574.8968675446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2001574.8968675446</v>
      </c>
      <c r="J412" s="444">
        <f t="array" ref="J412">IFERROR(INDEX('Retirement Calculator'!K:K,MATCH('Lorri 401b'!N412,'Retirement Calculator'!A:A,0),0),0)</f>
        <v>21655.303514578787</v>
      </c>
      <c r="K412" s="444">
        <f t="shared" ca="1" si="27"/>
        <v>8249.6649723040246</v>
      </c>
      <c r="L412" s="444">
        <f t="shared" ca="1" si="28"/>
        <v>1988169.2583252699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1988169.2583252699</v>
      </c>
      <c r="J413" s="444">
        <f t="array" ref="J413">IFERROR(INDEX('Retirement Calculator'!K:K,MATCH('Lorri 401b'!N413,'Retirement Calculator'!A:A,0),0),0)</f>
        <v>21655.303514578787</v>
      </c>
      <c r="K413" s="444">
        <f t="shared" ca="1" si="27"/>
        <v>8193.8081450445461</v>
      </c>
      <c r="L413" s="444">
        <f t="shared" ca="1" si="28"/>
        <v>1974707.7629557357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1974707.7629557357</v>
      </c>
      <c r="J414" s="444">
        <f t="array" ref="J414">IFERROR(INDEX('Retirement Calculator'!K:K,MATCH('Lorri 401b'!N414,'Retirement Calculator'!A:A,0),0),0)</f>
        <v>21655.303514578787</v>
      </c>
      <c r="K414" s="444">
        <f t="shared" ca="1" si="27"/>
        <v>8137.7185810048204</v>
      </c>
      <c r="L414" s="444">
        <f t="shared" ca="1" si="28"/>
        <v>1961190.1780221616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1961190.1780221616</v>
      </c>
      <c r="J415" s="444">
        <f t="array" ref="J415">IFERROR(INDEX('Retirement Calculator'!K:K,MATCH('Lorri 401b'!N415,'Retirement Calculator'!A:A,0),0),0)</f>
        <v>21655.303514578787</v>
      </c>
      <c r="K415" s="444">
        <f t="shared" ca="1" si="27"/>
        <v>8081.3953104482616</v>
      </c>
      <c r="L415" s="444">
        <f t="shared" ca="1" si="28"/>
        <v>1947616.269818031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1947616.269818031</v>
      </c>
      <c r="J416" s="444">
        <f t="array" ref="J416">IFERROR(INDEX('Retirement Calculator'!K:K,MATCH('Lorri 401b'!N416,'Retirement Calculator'!A:A,0),0),0)</f>
        <v>21655.303514578787</v>
      </c>
      <c r="K416" s="444">
        <f t="shared" ca="1" si="27"/>
        <v>8024.8373595977173</v>
      </c>
      <c r="L416" s="444">
        <f t="shared" ca="1" si="28"/>
        <v>1933985.8036630498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1933985.8036630498</v>
      </c>
      <c r="J417" s="444">
        <f t="array" ref="J417">IFERROR(INDEX('Retirement Calculator'!K:K,MATCH('Lorri 401b'!N417,'Retirement Calculator'!A:A,0),0),0)</f>
        <v>21655.303514578787</v>
      </c>
      <c r="K417" s="444">
        <f t="shared" ca="1" si="27"/>
        <v>7968.043750618629</v>
      </c>
      <c r="L417" s="444">
        <f t="shared" ca="1" si="28"/>
        <v>1920298.5438990896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1920298.5438990896</v>
      </c>
      <c r="J418" s="444">
        <f t="array" ref="J418">IFERROR(INDEX('Retirement Calculator'!K:K,MATCH('Lorri 401b'!N418,'Retirement Calculator'!A:A,0),0),0)</f>
        <v>21655.303514578787</v>
      </c>
      <c r="K418" s="444">
        <f t="shared" ca="1" si="27"/>
        <v>7911.0135016021277</v>
      </c>
      <c r="L418" s="444">
        <f t="shared" ca="1" si="28"/>
        <v>1906554.2538861129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1906554.2538861129</v>
      </c>
      <c r="J419" s="444">
        <f t="array" ref="J419">IFERROR(INDEX('Retirement Calculator'!K:K,MATCH('Lorri 401b'!N419,'Retirement Calculator'!A:A,0),0),0)</f>
        <v>21655.303514578787</v>
      </c>
      <c r="K419" s="444">
        <f t="shared" ca="1" si="27"/>
        <v>7853.7456265480587</v>
      </c>
      <c r="L419" s="444">
        <f t="shared" ca="1" si="28"/>
        <v>1892752.6959980822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1892752.6959980822</v>
      </c>
      <c r="J420" s="444">
        <f t="array" ref="J420">IFERROR(INDEX('Retirement Calculator'!K:K,MATCH('Lorri 401b'!N420,'Retirement Calculator'!A:A,0),0),0)</f>
        <v>21655.303514578787</v>
      </c>
      <c r="K420" s="444">
        <f t="shared" ca="1" si="27"/>
        <v>7796.2391353479306</v>
      </c>
      <c r="L420" s="444">
        <f t="shared" ca="1" si="28"/>
        <v>1878893.6316188513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1878893.6316188513</v>
      </c>
      <c r="J421" s="444">
        <f t="array" ref="J421">IFERROR(INDEX('Retirement Calculator'!K:K,MATCH('Lorri 401b'!N421,'Retirement Calculator'!A:A,0),0),0)</f>
        <v>21655.303514578787</v>
      </c>
      <c r="K421" s="444">
        <f t="shared" ca="1" si="27"/>
        <v>7738.4930337678015</v>
      </c>
      <c r="L421" s="444">
        <f t="shared" ca="1" si="28"/>
        <v>1864976.8211380404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1864976.8211380404</v>
      </c>
      <c r="J422" s="444">
        <f t="array" ref="J422">IFERROR(INDEX('Retirement Calculator'!K:K,MATCH('Lorri 401b'!N422,'Retirement Calculator'!A:A,0),0),0)</f>
        <v>21655.303514578787</v>
      </c>
      <c r="K422" s="444">
        <f t="shared" ca="1" si="27"/>
        <v>7680.5063234310883</v>
      </c>
      <c r="L422" s="444">
        <f t="shared" ca="1" si="28"/>
        <v>1851002.0239468927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1851002.0239468927</v>
      </c>
      <c r="J423" s="444">
        <f t="array" ref="J423">IFERROR(INDEX('Retirement Calculator'!K:K,MATCH('Lorri 401b'!N423,'Retirement Calculator'!A:A,0),0),0)</f>
        <v>21655.303514578787</v>
      </c>
      <c r="K423" s="444">
        <f t="shared" ca="1" si="27"/>
        <v>7622.2780018013073</v>
      </c>
      <c r="L423" s="444">
        <f t="shared" ca="1" si="28"/>
        <v>1836968.9984341152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1836968.9984341152</v>
      </c>
      <c r="J424" s="444">
        <f t="array" ref="J424">IFERROR(INDEX('Retirement Calculator'!K:K,MATCH('Lorri 401b'!N424,'Retirement Calculator'!A:A,0),0),0)</f>
        <v>21655.303514578787</v>
      </c>
      <c r="K424" s="444">
        <f t="shared" ca="1" si="27"/>
        <v>7563.8070621647348</v>
      </c>
      <c r="L424" s="444">
        <f t="shared" ca="1" si="28"/>
        <v>1822877.501981701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1822877.501981701</v>
      </c>
      <c r="J425" s="444">
        <f t="array" ref="J425">IFERROR(INDEX('Retirement Calculator'!K:K,MATCH('Lorri 401b'!N425,'Retirement Calculator'!A:A,0),0),0)</f>
        <v>21655.303514578787</v>
      </c>
      <c r="K425" s="444">
        <f t="shared" ca="1" si="27"/>
        <v>7505.0924936130095</v>
      </c>
      <c r="L425" s="444">
        <f t="shared" ca="1" si="28"/>
        <v>1808727.2909607352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1808727.2909607352</v>
      </c>
      <c r="J426" s="444">
        <f t="array" ref="J426">IFERROR(INDEX('Retirement Calculator'!K:K,MATCH('Lorri 401b'!N426,'Retirement Calculator'!A:A,0),0),0)</f>
        <v>21655.303514578787</v>
      </c>
      <c r="K426" s="444">
        <f t="shared" ca="1" si="27"/>
        <v>7446.1332810256508</v>
      </c>
      <c r="L426" s="444">
        <f t="shared" ca="1" si="28"/>
        <v>1794518.1207271819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1794518.1207271819</v>
      </c>
      <c r="J427" s="444">
        <f t="array" ref="J427">IFERROR(INDEX('Retirement Calculator'!K:K,MATCH('Lorri 401b'!N427,'Retirement Calculator'!A:A,0),0),0)</f>
        <v>21655.303514578787</v>
      </c>
      <c r="K427" s="444">
        <f t="shared" ca="1" si="27"/>
        <v>7386.928405052513</v>
      </c>
      <c r="L427" s="444">
        <f t="shared" ca="1" si="28"/>
        <v>1780249.7456176556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1780249.7456176556</v>
      </c>
      <c r="J428" s="444">
        <f t="array" ref="J428">IFERROR(INDEX('Retirement Calculator'!K:K,MATCH('Lorri 401b'!N428,'Retirement Calculator'!A:A,0),0),0)</f>
        <v>21655.303514578787</v>
      </c>
      <c r="K428" s="444">
        <f t="shared" ca="1" si="27"/>
        <v>7327.4768420961527</v>
      </c>
      <c r="L428" s="444">
        <f t="shared" ca="1" si="28"/>
        <v>1765921.9189451728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1765921.9189451728</v>
      </c>
      <c r="J429" s="444">
        <f t="array" ref="J429">IFERROR(INDEX('Retirement Calculator'!K:K,MATCH('Lorri 401b'!N429,'Retirement Calculator'!A:A,0),0),0)</f>
        <v>21655.303514578787</v>
      </c>
      <c r="K429" s="444">
        <f t="shared" ca="1" si="27"/>
        <v>7267.7775642941415</v>
      </c>
      <c r="L429" s="444">
        <f t="shared" ca="1" si="28"/>
        <v>1751534.3929948881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1751534.3929948881</v>
      </c>
      <c r="J430" s="444">
        <f t="array" ref="J430">IFERROR(INDEX('Retirement Calculator'!K:K,MATCH('Lorri 401b'!N430,'Retirement Calculator'!A:A,0),0),0)</f>
        <v>21655.303514578787</v>
      </c>
      <c r="K430" s="444">
        <f t="shared" ca="1" si="27"/>
        <v>7207.8295395012892</v>
      </c>
      <c r="L430" s="444">
        <f t="shared" ca="1" si="28"/>
        <v>1737086.9190198106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1737086.9190198106</v>
      </c>
      <c r="J431" s="444">
        <f t="array" ref="J431">IFERROR(INDEX('Retirement Calculator'!K:K,MATCH('Lorri 401b'!N431,'Retirement Calculator'!A:A,0),0),0)</f>
        <v>21655.303514578787</v>
      </c>
      <c r="K431" s="444">
        <f t="shared" ca="1" si="27"/>
        <v>7147.6317312717993</v>
      </c>
      <c r="L431" s="444">
        <f t="shared" ca="1" si="28"/>
        <v>1722579.2472365035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1722579.2472365035</v>
      </c>
      <c r="J432" s="444">
        <f t="array" ref="J432">IFERROR(INDEX('Retirement Calculator'!K:K,MATCH('Lorri 401b'!N432,'Retirement Calculator'!A:A,0),0),0)</f>
        <v>21655.303514578787</v>
      </c>
      <c r="K432" s="444">
        <f t="shared" ca="1" si="27"/>
        <v>7087.1830988413531</v>
      </c>
      <c r="L432" s="444">
        <f t="shared" ca="1" si="28"/>
        <v>1708011.1268207661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1708011.1268207661</v>
      </c>
      <c r="J433" s="444">
        <f t="array" ref="J433">IFERROR(INDEX('Retirement Calculator'!K:K,MATCH('Lorri 401b'!N433,'Retirement Calculator'!A:A,0),0),0)</f>
        <v>21655.303514578787</v>
      </c>
      <c r="K433" s="444">
        <f t="shared" ca="1" si="27"/>
        <v>7026.4825971091122</v>
      </c>
      <c r="L433" s="444">
        <f t="shared" ca="1" si="28"/>
        <v>1693382.3059032965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1693382.3059032965</v>
      </c>
      <c r="J434" s="444">
        <f t="array" ref="J434">IFERROR(INDEX('Retirement Calculator'!K:K,MATCH('Lorri 401b'!N434,'Retirement Calculator'!A:A,0),0),0)</f>
        <v>21655.303514578787</v>
      </c>
      <c r="K434" s="444">
        <f t="shared" ca="1" si="27"/>
        <v>6965.5291766196569</v>
      </c>
      <c r="L434" s="444">
        <f t="shared" ca="1" si="28"/>
        <v>1678692.5315653372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1678692.5315653372</v>
      </c>
      <c r="J435" s="444">
        <f t="array" ref="J435">IFERROR(INDEX('Retirement Calculator'!K:K,MATCH('Lorri 401b'!N435,'Retirement Calculator'!A:A,0),0),0)</f>
        <v>21655.303514578787</v>
      </c>
      <c r="K435" s="444">
        <f t="shared" ca="1" si="27"/>
        <v>6904.3217835448258</v>
      </c>
      <c r="L435" s="444">
        <f t="shared" ca="1" si="28"/>
        <v>1663941.5498343031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1663941.5498343031</v>
      </c>
      <c r="J436" s="444">
        <f t="array" ref="J436">IFERROR(INDEX('Retirement Calculator'!K:K,MATCH('Lorri 401b'!N436,'Retirement Calculator'!A:A,0),0),0)</f>
        <v>21655.303514578787</v>
      </c>
      <c r="K436" s="444">
        <f t="shared" ca="1" si="27"/>
        <v>6842.8593596655164</v>
      </c>
      <c r="L436" s="444">
        <f t="shared" ca="1" si="28"/>
        <v>1649129.1056793898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1649129.1056793898</v>
      </c>
      <c r="J437" s="444">
        <f t="array" ref="J437">IFERROR(INDEX('Retirement Calculator'!K:K,MATCH('Lorri 401b'!N437,'Retirement Calculator'!A:A,0),0),0)</f>
        <v>21655.303514578787</v>
      </c>
      <c r="K437" s="444">
        <f t="shared" ca="1" si="27"/>
        <v>6781.1408423533785</v>
      </c>
      <c r="L437" s="444">
        <f t="shared" ca="1" si="28"/>
        <v>1634254.9430071644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1634254.9430071644</v>
      </c>
      <c r="J438" s="444">
        <f t="array" ref="J438">IFERROR(INDEX('Retirement Calculator'!K:K,MATCH('Lorri 401b'!N438,'Retirement Calculator'!A:A,0),0),0)</f>
        <v>21655.303514578787</v>
      </c>
      <c r="K438" s="444">
        <f t="shared" ca="1" si="27"/>
        <v>6719.1651645524398</v>
      </c>
      <c r="L438" s="444">
        <f t="shared" ca="1" si="28"/>
        <v>1619318.804657138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1619318.804657138</v>
      </c>
      <c r="J439" s="444">
        <f t="array" ref="J439">IFERROR(INDEX('Retirement Calculator'!K:K,MATCH('Lorri 401b'!N439,'Retirement Calculator'!A:A,0),0),0)</f>
        <v>21655.303514578787</v>
      </c>
      <c r="K439" s="444">
        <f t="shared" ca="1" si="27"/>
        <v>6656.9312547606633</v>
      </c>
      <c r="L439" s="444">
        <f t="shared" ca="1" si="28"/>
        <v>1604320.4323973197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1604320.4323973197</v>
      </c>
      <c r="J440" s="444">
        <f t="array" ref="J440">IFERROR(INDEX('Retirement Calculator'!K:K,MATCH('Lorri 401b'!N440,'Retirement Calculator'!A:A,0),0),0)</f>
        <v>21655.303514578787</v>
      </c>
      <c r="K440" s="444">
        <f t="shared" ca="1" si="27"/>
        <v>6594.4380370114204</v>
      </c>
      <c r="L440" s="444">
        <f t="shared" ca="1" si="28"/>
        <v>1589259.5669197522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1589259.5669197522</v>
      </c>
      <c r="J441" s="444">
        <f t="array" ref="J441">IFERROR(INDEX('Retirement Calculator'!K:K,MATCH('Lorri 401b'!N441,'Retirement Calculator'!A:A,0),0),0)</f>
        <v>21655.303514578787</v>
      </c>
      <c r="K441" s="444">
        <f t="shared" ca="1" si="27"/>
        <v>6531.6844308548889</v>
      </c>
      <c r="L441" s="444">
        <f t="shared" ca="1" si="28"/>
        <v>1574135.9478360282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1574135.9478360282</v>
      </c>
      <c r="J442" s="444">
        <f t="array" ref="J442">IFERROR(INDEX('Retirement Calculator'!K:K,MATCH('Lorri 401b'!N442,'Retirement Calculator'!A:A,0),0),0)</f>
        <v>21655.303514578787</v>
      </c>
      <c r="K442" s="444">
        <f t="shared" ca="1" si="27"/>
        <v>6468.669351339372</v>
      </c>
      <c r="L442" s="444">
        <f t="shared" ca="1" si="28"/>
        <v>1558949.3136727887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1558949.3136727887</v>
      </c>
      <c r="J443" s="444">
        <f t="array" ref="J443">IFERROR(INDEX('Retirement Calculator'!K:K,MATCH('Lorri 401b'!N443,'Retirement Calculator'!A:A,0),0),0)</f>
        <v>21655.303514578787</v>
      </c>
      <c r="K443" s="444">
        <f t="shared" ca="1" si="27"/>
        <v>6405.3917089925408</v>
      </c>
      <c r="L443" s="444">
        <f t="shared" ca="1" si="28"/>
        <v>1543699.4018672025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1543699.4018672025</v>
      </c>
      <c r="J444" s="444">
        <f t="array" ref="J444">IFERROR(INDEX('Retirement Calculator'!K:K,MATCH('Lorri 401b'!N444,'Retirement Calculator'!A:A,0),0),0)</f>
        <v>21655.303514578787</v>
      </c>
      <c r="K444" s="444">
        <f t="shared" ca="1" si="27"/>
        <v>6341.8504098025987</v>
      </c>
      <c r="L444" s="444">
        <f t="shared" ca="1" si="28"/>
        <v>1528385.9487624262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1528385.9487624262</v>
      </c>
      <c r="J445" s="444">
        <f t="array" ref="J445">IFERROR(INDEX('Retirement Calculator'!K:K,MATCH('Lorri 401b'!N445,'Retirement Calculator'!A:A,0),0),0)</f>
        <v>21655.303514578787</v>
      </c>
      <c r="K445" s="444">
        <f t="shared" ca="1" si="27"/>
        <v>6278.044355199364</v>
      </c>
      <c r="L445" s="444">
        <f t="shared" ca="1" si="28"/>
        <v>1513008.6896030467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1513008.6896030467</v>
      </c>
      <c r="J446" s="444">
        <f t="array" ref="J446">IFERROR(INDEX('Retirement Calculator'!K:K,MATCH('Lorri 401b'!N446,'Retirement Calculator'!A:A,0),0),0)</f>
        <v>21655.303514578787</v>
      </c>
      <c r="K446" s="444">
        <f t="shared" ca="1" si="27"/>
        <v>6213.9724420352832</v>
      </c>
      <c r="L446" s="444">
        <f t="shared" ca="1" si="28"/>
        <v>1497567.3585305032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1497567.3585305032</v>
      </c>
      <c r="J447" s="444">
        <f t="array" ref="J447">IFERROR(INDEX('Retirement Calculator'!K:K,MATCH('Lorri 401b'!N447,'Retirement Calculator'!A:A,0),0),0)</f>
        <v>21655.303514578787</v>
      </c>
      <c r="K447" s="444">
        <f t="shared" ca="1" si="27"/>
        <v>6149.6335625663514</v>
      </c>
      <c r="L447" s="444">
        <f t="shared" ca="1" si="28"/>
        <v>1482061.6885784906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1482061.6885784906</v>
      </c>
      <c r="J448" s="444">
        <f t="array" ref="J448">IFERROR(INDEX('Retirement Calculator'!K:K,MATCH('Lorri 401b'!N448,'Retirement Calculator'!A:A,0),0),0)</f>
        <v>21655.303514578787</v>
      </c>
      <c r="K448" s="444">
        <f t="shared" ca="1" si="27"/>
        <v>6085.0266044329655</v>
      </c>
      <c r="L448" s="444">
        <f t="shared" ca="1" si="28"/>
        <v>1466491.4116683449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1466491.4116683449</v>
      </c>
      <c r="J449" s="444">
        <f t="array" ref="J449">IFERROR(INDEX('Retirement Calculator'!K:K,MATCH('Lorri 401b'!N449,'Retirement Calculator'!A:A,0),0),0)</f>
        <v>21655.303514578787</v>
      </c>
      <c r="K449" s="444">
        <f t="shared" ca="1" si="27"/>
        <v>6020.1504506406918</v>
      </c>
      <c r="L449" s="444">
        <f t="shared" ca="1" si="28"/>
        <v>1450856.2586044066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1450856.2586044066</v>
      </c>
      <c r="J450" s="444">
        <f t="array" ref="J450">IFERROR(INDEX('Retirement Calculator'!K:K,MATCH('Lorri 401b'!N450,'Retirement Calculator'!A:A,0),0),0)</f>
        <v>21655.303514578787</v>
      </c>
      <c r="K450" s="444">
        <f t="shared" ca="1" si="27"/>
        <v>5955.0039795409493</v>
      </c>
      <c r="L450" s="444">
        <f t="shared" ca="1" si="28"/>
        <v>1435155.9590693687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1435155.9590693687</v>
      </c>
      <c r="J451" s="444">
        <f t="array" ref="J451">IFERROR(INDEX('Retirement Calculator'!K:K,MATCH('Lorri 401b'!N451,'Retirement Calculator'!A:A,0),0),0)</f>
        <v>21655.303514578787</v>
      </c>
      <c r="K451" s="444">
        <f t="shared" ca="1" si="27"/>
        <v>5889.5860648116241</v>
      </c>
      <c r="L451" s="444">
        <f t="shared" ca="1" si="28"/>
        <v>1419390.2416196014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1419390.2416196014</v>
      </c>
      <c r="J452" s="444">
        <f t="array" ref="J452">IFERROR(INDEX('Retirement Calculator'!K:K,MATCH('Lorri 401b'!N452,'Retirement Calculator'!A:A,0),0),0)</f>
        <v>21655.303514578787</v>
      </c>
      <c r="K452" s="444">
        <f t="shared" ca="1" si="27"/>
        <v>5823.8955754375938</v>
      </c>
      <c r="L452" s="444">
        <f t="shared" ca="1" si="28"/>
        <v>1403558.8336804602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1403558.8336804602</v>
      </c>
      <c r="J453" s="444">
        <f t="array" ref="J453">IFERROR(INDEX('Retirement Calculator'!K:K,MATCH('Lorri 401b'!N453,'Retirement Calculator'!A:A,0),0),0)</f>
        <v>21655.303514578787</v>
      </c>
      <c r="K453" s="444">
        <f t="shared" ca="1" si="27"/>
        <v>5757.9313756911724</v>
      </c>
      <c r="L453" s="444">
        <f t="shared" ca="1" si="28"/>
        <v>1387661.4615415726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1387661.4615415726</v>
      </c>
      <c r="J454" s="444">
        <f t="array" ref="J454">IFERROR(INDEX('Retirement Calculator'!K:K,MATCH('Lorri 401b'!N454,'Retirement Calculator'!A:A,0),0),0)</f>
        <v>21655.303514578787</v>
      </c>
      <c r="K454" s="444">
        <f t="shared" ca="1" si="27"/>
        <v>5691.6923251124736</v>
      </c>
      <c r="L454" s="444">
        <f t="shared" ca="1" si="28"/>
        <v>1371697.8503521062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1371697.8503521062</v>
      </c>
      <c r="J455" s="444">
        <f t="array" ref="J455">IFERROR(INDEX('Retirement Calculator'!K:K,MATCH('Lorri 401b'!N455,'Retirement Calculator'!A:A,0),0),0)</f>
        <v>21655.303514578787</v>
      </c>
      <c r="K455" s="444">
        <f t="shared" ca="1" si="27"/>
        <v>5625.1772784896966</v>
      </c>
      <c r="L455" s="444">
        <f t="shared" ca="1" si="28"/>
        <v>1355667.7241160171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1355667.7241160171</v>
      </c>
      <c r="J456" s="444">
        <f t="array" ref="J456">IFERROR(INDEX('Retirement Calculator'!K:K,MATCH('Lorri 401b'!N456,'Retirement Calculator'!A:A,0),0),0)</f>
        <v>21655.303514578787</v>
      </c>
      <c r="K456" s="444">
        <f t="shared" ca="1" si="27"/>
        <v>5558.3850858393262</v>
      </c>
      <c r="L456" s="444">
        <f t="shared" ca="1" si="28"/>
        <v>1339570.8056872776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1339570.8056872776</v>
      </c>
      <c r="J457" s="444">
        <f t="array" ref="J457">IFERROR(INDEX('Retirement Calculator'!K:K,MATCH('Lorri 401b'!N457,'Retirement Calculator'!A:A,0),0),0)</f>
        <v>21655.303514578787</v>
      </c>
      <c r="K457" s="444">
        <f t="shared" ca="1" si="27"/>
        <v>5491.3145923862448</v>
      </c>
      <c r="L457" s="444">
        <f t="shared" ca="1" si="28"/>
        <v>1323406.8167650849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1323406.8167650849</v>
      </c>
      <c r="J458" s="444">
        <f t="array" ref="J458">IFERROR(INDEX('Retirement Calculator'!K:K,MATCH('Lorri 401b'!N458,'Retirement Calculator'!A:A,0),0),0)</f>
        <v>21655.303514578787</v>
      </c>
      <c r="K458" s="444">
        <f t="shared" ca="1" si="27"/>
        <v>5423.9646385437754</v>
      </c>
      <c r="L458" s="444">
        <f t="shared" ca="1" si="28"/>
        <v>1307175.4778890498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1307175.4778890498</v>
      </c>
      <c r="J459" s="444">
        <f t="array" ref="J459">IFERROR(INDEX('Retirement Calculator'!K:K,MATCH('Lorri 401b'!N459,'Retirement Calculator'!A:A,0),0),0)</f>
        <v>21655.303514578787</v>
      </c>
      <c r="K459" s="444">
        <f t="shared" ca="1" si="27"/>
        <v>5356.3340598936293</v>
      </c>
      <c r="L459" s="444">
        <f t="shared" ca="1" si="28"/>
        <v>1290876.5084343646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1290876.5084343646</v>
      </c>
      <c r="J460" s="444">
        <f t="array" ref="J460">IFERROR(INDEX('Retirement Calculator'!K:K,MATCH('Lorri 401b'!N460,'Retirement Calculator'!A:A,0),0),0)</f>
        <v>21655.303514578787</v>
      </c>
      <c r="K460" s="444">
        <f t="shared" ca="1" si="27"/>
        <v>5288.4216871657736</v>
      </c>
      <c r="L460" s="444">
        <f t="shared" ca="1" si="28"/>
        <v>1274509.6266069515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1274509.6266069515</v>
      </c>
      <c r="J461" s="444">
        <f t="array" ref="J461">IFERROR(INDEX('Retirement Calculator'!K:K,MATCH('Lorri 401b'!N461,'Retirement Calculator'!A:A,0),0),0)</f>
        <v>21655.303514578787</v>
      </c>
      <c r="K461" s="444">
        <f t="shared" ca="1" si="27"/>
        <v>5220.2263462182191</v>
      </c>
      <c r="L461" s="444">
        <f t="shared" ca="1" si="28"/>
        <v>1258074.5494385909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1258074.5494385909</v>
      </c>
      <c r="J462" s="444">
        <f t="array" ref="J462">IFERROR(INDEX('Retirement Calculator'!K:K,MATCH('Lorri 401b'!N462,'Retirement Calculator'!A:A,0),0),0)</f>
        <v>21655.303514578787</v>
      </c>
      <c r="K462" s="444">
        <f t="shared" ca="1" si="27"/>
        <v>5151.7468580167169</v>
      </c>
      <c r="L462" s="444">
        <f t="shared" ca="1" si="28"/>
        <v>1241570.9927820289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1241570.9927820289</v>
      </c>
      <c r="J463" s="444">
        <f t="array" ref="J463">IFERROR(INDEX('Retirement Calculator'!K:K,MATCH('Lorri 401b'!N463,'Retirement Calculator'!A:A,0),0),0)</f>
        <v>21655.303514578787</v>
      </c>
      <c r="K463" s="444">
        <f t="shared" ca="1" si="27"/>
        <v>5082.9820386143747</v>
      </c>
      <c r="L463" s="444">
        <f t="shared" ca="1" si="28"/>
        <v>1224998.6713060644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1224998.6713060644</v>
      </c>
      <c r="J464" s="444">
        <f t="array" ref="J464">IFERROR(INDEX('Retirement Calculator'!K:K,MATCH('Lorri 401b'!N464,'Retirement Calculator'!A:A,0),0),0)</f>
        <v>21655.303514578787</v>
      </c>
      <c r="K464" s="444">
        <f t="shared" ca="1" si="27"/>
        <v>5013.9306991311896</v>
      </c>
      <c r="L464" s="444">
        <f t="shared" ca="1" si="28"/>
        <v>1208357.2984906167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1208357.2984906167</v>
      </c>
      <c r="J465" s="444">
        <f t="array" ref="J465">IFERROR(INDEX('Retirement Calculator'!K:K,MATCH('Lorri 401b'!N465,'Retirement Calculator'!A:A,0),0),0)</f>
        <v>21655.303514578787</v>
      </c>
      <c r="K465" s="444">
        <f t="shared" ca="1" si="27"/>
        <v>4944.5916457334915</v>
      </c>
      <c r="L465" s="444">
        <f t="shared" ca="1" si="28"/>
        <v>1191646.5866217713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1191646.5866217713</v>
      </c>
      <c r="J466" s="444">
        <f t="array" ref="J466">IFERROR(INDEX('Retirement Calculator'!K:K,MATCH('Lorri 401b'!N466,'Retirement Calculator'!A:A,0),0),0)</f>
        <v>21655.303514578787</v>
      </c>
      <c r="K466" s="444">
        <f t="shared" ca="1" si="27"/>
        <v>4874.9636796133018</v>
      </c>
      <c r="L466" s="444">
        <f t="shared" ca="1" si="28"/>
        <v>1174866.2467868058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1174866.2467868058</v>
      </c>
      <c r="J467" s="444">
        <f t="array" ref="J467">IFERROR(INDEX('Retirement Calculator'!K:K,MATCH('Lorri 401b'!N467,'Retirement Calculator'!A:A,0),0),0)</f>
        <v>21655.303514578787</v>
      </c>
      <c r="K467" s="444">
        <f t="shared" ca="1" si="27"/>
        <v>4805.0455969676123</v>
      </c>
      <c r="L467" s="444">
        <f t="shared" ca="1" si="28"/>
        <v>1158015.9888691946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1158015.9888691946</v>
      </c>
      <c r="J468" s="444">
        <f t="array" ref="J468">IFERROR(INDEX('Retirement Calculator'!K:K,MATCH('Lorri 401b'!N468,'Retirement Calculator'!A:A,0),0),0)</f>
        <v>21655.303514578787</v>
      </c>
      <c r="K468" s="444">
        <f t="shared" ca="1" si="27"/>
        <v>4734.8361889775661</v>
      </c>
      <c r="L468" s="444">
        <f t="shared" ca="1" si="28"/>
        <v>1141095.5215435934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1141095.5215435934</v>
      </c>
      <c r="J469" s="444">
        <f t="array" ref="J469">IFERROR(INDEX('Retirement Calculator'!K:K,MATCH('Lorri 401b'!N469,'Retirement Calculator'!A:A,0),0),0)</f>
        <v>21655.303514578787</v>
      </c>
      <c r="K469" s="444">
        <f t="shared" ca="1" si="27"/>
        <v>4664.3342417875601</v>
      </c>
      <c r="L469" s="444">
        <f t="shared" ca="1" si="28"/>
        <v>1124104.5522708022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1124104.5522708022</v>
      </c>
      <c r="J470" s="444">
        <f t="array" ref="J470">IFERROR(INDEX('Retirement Calculator'!K:K,MATCH('Lorri 401b'!N470,'Retirement Calculator'!A:A,0),0),0)</f>
        <v>21655.303514578787</v>
      </c>
      <c r="K470" s="444">
        <f t="shared" ca="1" si="27"/>
        <v>4593.5385364842641</v>
      </c>
      <c r="L470" s="444">
        <f t="shared" ca="1" si="28"/>
        <v>1107042.7872927077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1107042.7872927077</v>
      </c>
      <c r="J471" s="444">
        <f t="array" ref="J471">IFERROR(INDEX('Retirement Calculator'!K:K,MATCH('Lorri 401b'!N471,'Retirement Calculator'!A:A,0),0),0)</f>
        <v>21655.303514578787</v>
      </c>
      <c r="K471" s="444">
        <f t="shared" ca="1" si="27"/>
        <v>4522.4478490755373</v>
      </c>
      <c r="L471" s="444">
        <f t="shared" ca="1" si="28"/>
        <v>1089909.9316272044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1089909.9316272044</v>
      </c>
      <c r="J472" s="444">
        <f t="array" ref="J472">IFERROR(INDEX('Retirement Calculator'!K:K,MATCH('Lorri 401b'!N472,'Retirement Calculator'!A:A,0),0),0)</f>
        <v>21655.303514578787</v>
      </c>
      <c r="K472" s="444">
        <f t="shared" ca="1" si="27"/>
        <v>4451.0609504692729</v>
      </c>
      <c r="L472" s="444">
        <f t="shared" ca="1" si="28"/>
        <v>1072705.6890630948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1072705.6890630948</v>
      </c>
      <c r="J473" s="444">
        <f t="array" ref="J473">IFERROR(INDEX('Retirement Calculator'!K:K,MATCH('Lorri 401b'!N473,'Retirement Calculator'!A:A,0),0),0)</f>
        <v>21655.303514578787</v>
      </c>
      <c r="K473" s="444">
        <f t="shared" ca="1" si="27"/>
        <v>4379.3766064521496</v>
      </c>
      <c r="L473" s="444">
        <f t="shared" ca="1" si="28"/>
        <v>1055429.762154968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1055429.762154968</v>
      </c>
      <c r="J474" s="444">
        <f t="array" ref="J474">IFERROR(INDEX('Retirement Calculator'!K:K,MATCH('Lorri 401b'!N474,'Retirement Calculator'!A:A,0),0),0)</f>
        <v>21655.303514578787</v>
      </c>
      <c r="K474" s="444">
        <f t="shared" ca="1" si="27"/>
        <v>4307.3935776682883</v>
      </c>
      <c r="L474" s="444">
        <f t="shared" ca="1" si="28"/>
        <v>1038081.8522180574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1038081.8522180574</v>
      </c>
      <c r="J475" s="444">
        <f t="array" ref="J475">IFERROR(INDEX('Retirement Calculator'!K:K,MATCH('Lorri 401b'!N475,'Retirement Calculator'!A:A,0),0),0)</f>
        <v>21655.303514578787</v>
      </c>
      <c r="K475" s="444">
        <f t="shared" ca="1" si="27"/>
        <v>4235.1106195978273</v>
      </c>
      <c r="L475" s="444">
        <f t="shared" ca="1" si="28"/>
        <v>1020661.6593230765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1020661.6593230765</v>
      </c>
      <c r="J476" s="444">
        <f t="array" ref="J476">IFERROR(INDEX('Retirement Calculator'!K:K,MATCH('Lorri 401b'!N476,'Retirement Calculator'!A:A,0),0),0)</f>
        <v>21655.303514578787</v>
      </c>
      <c r="K476" s="444">
        <f t="shared" ca="1" si="27"/>
        <v>4162.526482535407</v>
      </c>
      <c r="L476" s="444">
        <f t="shared" ca="1" si="28"/>
        <v>1003168.882291033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1003168.882291033</v>
      </c>
      <c r="J477" s="444">
        <f t="array" ref="J477">IFERROR(INDEX('Retirement Calculator'!K:K,MATCH('Lorri 401b'!N477,'Retirement Calculator'!A:A,0),0),0)</f>
        <v>21655.303514578787</v>
      </c>
      <c r="K477" s="444">
        <f t="shared" ca="1" si="27"/>
        <v>4089.6399115685595</v>
      </c>
      <c r="L477" s="444">
        <f t="shared" ca="1" si="28"/>
        <v>985603.21868802293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985603.21868802293</v>
      </c>
      <c r="J478" s="444">
        <f t="array" ref="J478">IFERROR(INDEX('Retirement Calculator'!K:K,MATCH('Lorri 401b'!N478,'Retirement Calculator'!A:A,0),0),0)</f>
        <v>21655.303514578787</v>
      </c>
      <c r="K478" s="444">
        <f t="shared" ca="1" si="27"/>
        <v>4016.4496465560173</v>
      </c>
      <c r="L478" s="444">
        <f t="shared" ca="1" si="28"/>
        <v>967964.36482000025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967964.36482000025</v>
      </c>
      <c r="J479" s="444">
        <f t="array" ref="J479">IFERROR(INDEX('Retirement Calculator'!K:K,MATCH('Lorri 401b'!N479,'Retirement Calculator'!A:A,0),0),0)</f>
        <v>21655.303514578787</v>
      </c>
      <c r="K479" s="444">
        <f t="shared" ca="1" si="27"/>
        <v>3942.9544221059223</v>
      </c>
      <c r="L479" s="444">
        <f t="shared" ca="1" si="28"/>
        <v>950252.01572752732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950252.01572752732</v>
      </c>
      <c r="J480" s="444">
        <f t="array" ref="J480">IFERROR(INDEX('Retirement Calculator'!K:K,MATCH('Lorri 401b'!N480,'Retirement Calculator'!A:A,0),0),0)</f>
        <v>21655.303514578787</v>
      </c>
      <c r="K480" s="444">
        <f t="shared" ca="1" si="27"/>
        <v>3869.1529675539523</v>
      </c>
      <c r="L480" s="444">
        <f t="shared" ca="1" si="28"/>
        <v>932465.86518050253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932465.86518050253</v>
      </c>
      <c r="J481" s="444">
        <f t="array" ref="J481">IFERROR(INDEX('Retirement Calculator'!K:K,MATCH('Lorri 401b'!N481,'Retirement Calculator'!A:A,0),0),0)</f>
        <v>21655.303514578787</v>
      </c>
      <c r="K481" s="444">
        <f t="shared" ca="1" si="27"/>
        <v>3795.0440069413494</v>
      </c>
      <c r="L481" s="444">
        <f t="shared" ca="1" si="28"/>
        <v>914605.60567286517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914605.60567286517</v>
      </c>
      <c r="J482" s="444">
        <f t="array" ref="J482">IFERROR(INDEX('Retirement Calculator'!K:K,MATCH('Lorri 401b'!N482,'Retirement Calculator'!A:A,0),0),0)</f>
        <v>21655.303514578787</v>
      </c>
      <c r="K482" s="444">
        <f t="shared" ca="1" si="27"/>
        <v>3720.6262589928592</v>
      </c>
      <c r="L482" s="444">
        <f t="shared" ca="1" si="28"/>
        <v>896670.92841727915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896670.92841727915</v>
      </c>
      <c r="J483" s="444">
        <f t="array" ref="J483">IFERROR(INDEX('Retirement Calculator'!K:K,MATCH('Lorri 401b'!N483,'Retirement Calculator'!A:A,0),0),0)</f>
        <v>21655.303514578787</v>
      </c>
      <c r="K483" s="444">
        <f t="shared" ca="1" si="27"/>
        <v>3645.8984370945846</v>
      </c>
      <c r="L483" s="444">
        <f t="shared" ca="1" si="28"/>
        <v>878661.52333979495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878661.52333979495</v>
      </c>
      <c r="J484" s="444">
        <f t="array" ref="J484">IFERROR(INDEX('Retirement Calculator'!K:K,MATCH('Lorri 401b'!N484,'Retirement Calculator'!A:A,0),0),0)</f>
        <v>21655.303514578787</v>
      </c>
      <c r="K484" s="444">
        <f t="shared" ca="1" si="27"/>
        <v>3570.8592492717344</v>
      </c>
      <c r="L484" s="444">
        <f t="shared" ca="1" si="28"/>
        <v>860577.07907448779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860577.07907448779</v>
      </c>
      <c r="J485" s="444">
        <f t="array" ref="J485">IFERROR(INDEX('Retirement Calculator'!K:K,MATCH('Lorri 401b'!N485,'Retirement Calculator'!A:A,0),0),0)</f>
        <v>21655.303514578787</v>
      </c>
      <c r="K485" s="444">
        <f t="shared" ca="1" si="27"/>
        <v>3495.5073981662872</v>
      </c>
      <c r="L485" s="444">
        <f t="shared" ca="1" si="28"/>
        <v>842417.28295807529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842417.28295807529</v>
      </c>
      <c r="J486" s="444">
        <f t="array" ref="J486">IFERROR(INDEX('Retirement Calculator'!K:K,MATCH('Lorri 401b'!N486,'Retirement Calculator'!A:A,0),0),0)</f>
        <v>21655.303514578787</v>
      </c>
      <c r="K486" s="444">
        <f t="shared" ca="1" si="27"/>
        <v>3419.8415810145684</v>
      </c>
      <c r="L486" s="444">
        <f t="shared" ca="1" si="28"/>
        <v>824181.82102451113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824181.82102451113</v>
      </c>
      <c r="J487" s="444">
        <f t="array" ref="J487">IFERROR(INDEX('Retirement Calculator'!K:K,MATCH('Lorri 401b'!N487,'Retirement Calculator'!A:A,0),0),0)</f>
        <v>21655.303514578787</v>
      </c>
      <c r="K487" s="444">
        <f t="shared" ca="1" si="27"/>
        <v>3343.8604896247184</v>
      </c>
      <c r="L487" s="444">
        <f t="shared" ca="1" si="28"/>
        <v>805870.37799955707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805870.37799955707</v>
      </c>
      <c r="J488" s="444">
        <f t="array" ref="J488">IFERROR(INDEX('Retirement Calculator'!K:K,MATCH('Lorri 401b'!N488,'Retirement Calculator'!A:A,0),0),0)</f>
        <v>21655.303514578787</v>
      </c>
      <c r="K488" s="444">
        <f t="shared" ca="1" si="27"/>
        <v>3267.5628103540762</v>
      </c>
      <c r="L488" s="444">
        <f t="shared" ca="1" si="28"/>
        <v>787482.63729533239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787482.63729533239</v>
      </c>
      <c r="J489" s="444">
        <f t="array" ref="J489">IFERROR(INDEX('Retirement Calculator'!K:K,MATCH('Lorri 401b'!N489,'Retirement Calculator'!A:A,0),0),0)</f>
        <v>21655.303514578787</v>
      </c>
      <c r="K489" s="444">
        <f t="shared" ca="1" si="27"/>
        <v>3190.9472240864734</v>
      </c>
      <c r="L489" s="444">
        <f t="shared" ca="1" si="28"/>
        <v>769018.28100484016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769018.28100484016</v>
      </c>
      <c r="J490" s="444">
        <f t="array" ref="J490">IFERROR(INDEX('Retirement Calculator'!K:K,MATCH('Lorri 401b'!N490,'Retirement Calculator'!A:A,0),0),0)</f>
        <v>21655.303514578787</v>
      </c>
      <c r="K490" s="444">
        <f t="shared" ca="1" si="27"/>
        <v>3114.0124062094228</v>
      </c>
      <c r="L490" s="444">
        <f t="shared" ca="1" si="28"/>
        <v>750476.9898964708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750476.9898964708</v>
      </c>
      <c r="J491" s="444">
        <f t="array" ref="J491">IFERROR(INDEX('Retirement Calculator'!K:K,MATCH('Lorri 401b'!N491,'Retirement Calculator'!A:A,0),0),0)</f>
        <v>21655.303514578787</v>
      </c>
      <c r="K491" s="444">
        <f t="shared" ca="1" si="27"/>
        <v>3036.7570265912168</v>
      </c>
      <c r="L491" s="444">
        <f t="shared" ca="1" si="28"/>
        <v>731858.44340848329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731858.44340848329</v>
      </c>
      <c r="J492" s="444">
        <f t="array" ref="J492">IFERROR(INDEX('Retirement Calculator'!K:K,MATCH('Lorri 401b'!N492,'Retirement Calculator'!A:A,0),0),0)</f>
        <v>21655.303514578787</v>
      </c>
      <c r="K492" s="444">
        <f t="shared" ca="1" si="27"/>
        <v>2959.1797495579358</v>
      </c>
      <c r="L492" s="444">
        <f t="shared" ca="1" si="28"/>
        <v>713162.31964346254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713162.31964346254</v>
      </c>
      <c r="J493" s="444">
        <f t="array" ref="J493">IFERROR(INDEX('Retirement Calculator'!K:K,MATCH('Lorri 401b'!N493,'Retirement Calculator'!A:A,0),0),0)</f>
        <v>21655.303514578787</v>
      </c>
      <c r="K493" s="444">
        <f t="shared" ca="1" si="27"/>
        <v>2881.2792338703489</v>
      </c>
      <c r="L493" s="444">
        <f t="shared" ca="1" si="28"/>
        <v>694388.29536275403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694388.29536275403</v>
      </c>
      <c r="J494" s="444">
        <f t="array" ref="J494">IFERROR(INDEX('Retirement Calculator'!K:K,MATCH('Lorri 401b'!N494,'Retirement Calculator'!A:A,0),0),0)</f>
        <v>21655.303514578787</v>
      </c>
      <c r="K494" s="444">
        <f t="shared" ca="1" si="27"/>
        <v>2803.05413270073</v>
      </c>
      <c r="L494" s="444">
        <f t="shared" ca="1" si="28"/>
        <v>675536.04598087596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675536.04598087596</v>
      </c>
      <c r="J495" s="444">
        <f t="array" ref="J495">IFERROR(INDEX('Retirement Calculator'!K:K,MATCH('Lorri 401b'!N495,'Retirement Calculator'!A:A,0),0),0)</f>
        <v>21655.303514578787</v>
      </c>
      <c r="K495" s="444">
        <f t="shared" ca="1" si="27"/>
        <v>2724.5030936095718</v>
      </c>
      <c r="L495" s="444">
        <f t="shared" ca="1" si="28"/>
        <v>656605.24555990682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656605.24555990682</v>
      </c>
      <c r="J496" s="444">
        <f t="array" ref="J496">IFERROR(INDEX('Retirement Calculator'!K:K,MATCH('Lorri 401b'!N496,'Retirement Calculator'!A:A,0),0),0)</f>
        <v>21655.303514578787</v>
      </c>
      <c r="K496" s="444">
        <f t="shared" ca="1" si="27"/>
        <v>2645.6247585222</v>
      </c>
      <c r="L496" s="444">
        <f t="shared" ca="1" si="28"/>
        <v>637595.56680385012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637595.56680385012</v>
      </c>
      <c r="J497" s="444">
        <f t="array" ref="J497">IFERROR(INDEX('Retirement Calculator'!K:K,MATCH('Lorri 401b'!N497,'Retirement Calculator'!A:A,0),0),0)</f>
        <v>21655.303514578787</v>
      </c>
      <c r="K497" s="444">
        <f t="shared" ca="1" si="27"/>
        <v>2566.4177637052976</v>
      </c>
      <c r="L497" s="444">
        <f t="shared" ca="1" si="28"/>
        <v>618506.68105297664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618506.68105297664</v>
      </c>
      <c r="J498" s="444">
        <f t="array" ref="J498">IFERROR(INDEX('Retirement Calculator'!K:K,MATCH('Lorri 401b'!N498,'Retirement Calculator'!A:A,0),0),0)</f>
        <v>21655.303514578787</v>
      </c>
      <c r="K498" s="444">
        <f t="shared" ca="1" si="27"/>
        <v>2486.8807397433247</v>
      </c>
      <c r="L498" s="444">
        <f t="shared" ca="1" si="28"/>
        <v>599338.25827814126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599338.25827814126</v>
      </c>
      <c r="J499" s="444">
        <f t="array" ref="J499">IFERROR(INDEX('Retirement Calculator'!K:K,MATCH('Lorri 401b'!N499,'Retirement Calculator'!A:A,0),0),0)</f>
        <v>21655.303514578787</v>
      </c>
      <c r="K499" s="444">
        <f t="shared" ca="1" si="27"/>
        <v>2407.0123115148435</v>
      </c>
      <c r="L499" s="444">
        <f t="shared" ca="1" si="28"/>
        <v>580089.96707507723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580089.96707507723</v>
      </c>
      <c r="J500" s="444">
        <f t="array" ref="J500">IFERROR(INDEX('Retirement Calculator'!K:K,MATCH('Lorri 401b'!N500,'Retirement Calculator'!A:A,0),0),0)</f>
        <v>21655.303514578787</v>
      </c>
      <c r="K500" s="444">
        <f t="shared" ca="1" si="27"/>
        <v>2326.8110981687437</v>
      </c>
      <c r="L500" s="444">
        <f t="shared" ca="1" si="28"/>
        <v>560761.47465866723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560761.47465866723</v>
      </c>
      <c r="J501" s="444">
        <f t="array" ref="J501">IFERROR(INDEX('Retirement Calculator'!K:K,MATCH('Lorri 401b'!N501,'Retirement Calculator'!A:A,0),0),0)</f>
        <v>21655.303514578787</v>
      </c>
      <c r="K501" s="444">
        <f t="shared" ca="1" si="27"/>
        <v>2246.2757131003686</v>
      </c>
      <c r="L501" s="444">
        <f t="shared" ca="1" si="28"/>
        <v>541352.44685718883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541352.44685718883</v>
      </c>
      <c r="J502" s="444">
        <f t="array" ref="J502">IFERROR(INDEX('Retirement Calculator'!K:K,MATCH('Lorri 401b'!N502,'Retirement Calculator'!A:A,0),0),0)</f>
        <v>21655.303514578787</v>
      </c>
      <c r="K502" s="444">
        <f t="shared" ca="1" si="27"/>
        <v>2165.4047639275423</v>
      </c>
      <c r="L502" s="444">
        <f t="shared" ca="1" si="28"/>
        <v>521862.54810653761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521862.54810653761</v>
      </c>
      <c r="J503" s="444">
        <f t="array" ref="J503">IFERROR(INDEX('Retirement Calculator'!K:K,MATCH('Lorri 401b'!N503,'Retirement Calculator'!A:A,0),0),0)</f>
        <v>21655.303514578787</v>
      </c>
      <c r="K503" s="444">
        <f t="shared" ca="1" si="27"/>
        <v>2084.1968524664949</v>
      </c>
      <c r="L503" s="444">
        <f t="shared" ca="1" si="28"/>
        <v>502291.44144442532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502291.44144442532</v>
      </c>
      <c r="J504" s="444">
        <f t="array" ref="J504">IFERROR(INDEX('Retirement Calculator'!K:K,MATCH('Lorri 401b'!N504,'Retirement Calculator'!A:A,0),0),0)</f>
        <v>21655.303514578787</v>
      </c>
      <c r="K504" s="444">
        <f t="shared" ca="1" si="27"/>
        <v>2002.6505747076937</v>
      </c>
      <c r="L504" s="444">
        <f t="shared" ca="1" si="28"/>
        <v>482638.78850455425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482638.78850455425</v>
      </c>
      <c r="J505" s="444">
        <f t="array" ref="J505">IFERROR(INDEX('Retirement Calculator'!K:K,MATCH('Lorri 401b'!N505,'Retirement Calculator'!A:A,0),0),0)</f>
        <v>21655.303514578787</v>
      </c>
      <c r="K505" s="444">
        <f t="shared" ca="1" si="27"/>
        <v>1920.7645207915643</v>
      </c>
      <c r="L505" s="444">
        <f t="shared" ca="1" si="28"/>
        <v>462904.24951076705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462904.24951076705</v>
      </c>
      <c r="J506" s="444">
        <f t="array" ref="J506">IFERROR(INDEX('Retirement Calculator'!K:K,MATCH('Lorri 401b'!N506,'Retirement Calculator'!A:A,0),0),0)</f>
        <v>21655.303514578787</v>
      </c>
      <c r="K506" s="444">
        <f t="shared" ca="1" si="27"/>
        <v>1838.5372749841179</v>
      </c>
      <c r="L506" s="444">
        <f t="shared" ca="1" si="28"/>
        <v>443087.48327117239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443087.48327117239</v>
      </c>
      <c r="J507" s="444">
        <f t="array" ref="J507">IFERROR(INDEX('Retirement Calculator'!K:K,MATCH('Lorri 401b'!N507,'Retirement Calculator'!A:A,0),0),0)</f>
        <v>21655.303514578787</v>
      </c>
      <c r="K507" s="444">
        <f t="shared" ca="1" si="27"/>
        <v>1755.9674156524736</v>
      </c>
      <c r="L507" s="444">
        <f t="shared" ca="1" si="28"/>
        <v>423188.14717224607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423188.14717224607</v>
      </c>
      <c r="J508" s="444">
        <f t="array" ref="J508">IFERROR(INDEX('Retirement Calculator'!K:K,MATCH('Lorri 401b'!N508,'Retirement Calculator'!A:A,0),0),0)</f>
        <v>21655.303514578787</v>
      </c>
      <c r="K508" s="444">
        <f t="shared" ca="1" si="27"/>
        <v>1673.0535152402804</v>
      </c>
      <c r="L508" s="444">
        <f t="shared" ca="1" si="28"/>
        <v>403205.89717290754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403205.89717290754</v>
      </c>
      <c r="J509" s="444">
        <f t="array" ref="J509">IFERROR(INDEX('Retirement Calculator'!K:K,MATCH('Lorri 401b'!N509,'Retirement Calculator'!A:A,0),0),0)</f>
        <v>21655.303514578787</v>
      </c>
      <c r="K509" s="444">
        <f t="shared" ca="1" si="27"/>
        <v>1589.7941402430365</v>
      </c>
      <c r="L509" s="444">
        <f t="shared" ca="1" si="28"/>
        <v>383140.38779857178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383140.38779857178</v>
      </c>
      <c r="J510" s="444">
        <f t="array" ref="J510">IFERROR(INDEX('Retirement Calculator'!K:K,MATCH('Lorri 401b'!N510,'Retirement Calculator'!A:A,0),0),0)</f>
        <v>21655.303514578787</v>
      </c>
      <c r="K510" s="444">
        <f t="shared" ca="1" si="27"/>
        <v>1506.1878511833042</v>
      </c>
      <c r="L510" s="444">
        <f t="shared" ca="1" si="28"/>
        <v>362991.27213517629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362991.27213517629</v>
      </c>
      <c r="J511" s="444">
        <f t="array" ref="J511">IFERROR(INDEX('Retirement Calculator'!K:K,MATCH('Lorri 401b'!N511,'Retirement Calculator'!A:A,0),0),0)</f>
        <v>21655.303514578787</v>
      </c>
      <c r="K511" s="444">
        <f t="shared" ca="1" si="27"/>
        <v>1422.2332025858229</v>
      </c>
      <c r="L511" s="444">
        <f t="shared" ca="1" si="28"/>
        <v>342758.20182318334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342758.20182318334</v>
      </c>
      <c r="J512" s="444">
        <f t="array" ref="J512">IFERROR(INDEX('Retirement Calculator'!K:K,MATCH('Lorri 401b'!N512,'Retirement Calculator'!A:A,0),0),0)</f>
        <v>21655.303514578787</v>
      </c>
      <c r="K512" s="444">
        <f t="shared" ca="1" si="27"/>
        <v>1337.9287429525189</v>
      </c>
      <c r="L512" s="444">
        <f t="shared" ca="1" si="28"/>
        <v>322440.82705155708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322440.82705155708</v>
      </c>
      <c r="J513" s="444">
        <f t="array" ref="J513">IFERROR(INDEX('Retirement Calculator'!K:K,MATCH('Lorri 401b'!N513,'Retirement Calculator'!A:A,0),0),0)</f>
        <v>21655.303514578787</v>
      </c>
      <c r="K513" s="444">
        <f t="shared" ca="1" si="27"/>
        <v>1253.2730147374095</v>
      </c>
      <c r="L513" s="444">
        <f t="shared" ca="1" si="28"/>
        <v>302038.7965517157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302038.7965517157</v>
      </c>
      <c r="J514" s="444">
        <f t="array" ref="J514">IFERROR(INDEX('Retirement Calculator'!K:K,MATCH('Lorri 401b'!N514,'Retirement Calculator'!A:A,0),0),0)</f>
        <v>21655.303514578787</v>
      </c>
      <c r="K514" s="444">
        <f t="shared" ca="1" si="27"/>
        <v>1168.2645543214037</v>
      </c>
      <c r="L514" s="444">
        <f t="shared" ca="1" si="28"/>
        <v>281551.75759145833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281551.75759145833</v>
      </c>
      <c r="J515" s="444">
        <f t="array" ref="J515">IFERROR(INDEX('Retirement Calculator'!K:K,MATCH('Lorri 401b'!N515,'Retirement Calculator'!A:A,0),0),0)</f>
        <v>21655.303514578787</v>
      </c>
      <c r="K515" s="444">
        <f t="shared" ca="1" si="27"/>
        <v>1082.9018919869982</v>
      </c>
      <c r="L515" s="444">
        <f t="shared" ca="1" si="28"/>
        <v>260979.35596886653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260979.35596886653</v>
      </c>
      <c r="J516" s="444">
        <f t="array" ref="J516">IFERROR(INDEX('Retirement Calculator'!K:K,MATCH('Lorri 401b'!N516,'Retirement Calculator'!A:A,0),0),0)</f>
        <v>21655.303514578787</v>
      </c>
      <c r="K516" s="444">
        <f t="shared" ca="1" si="27"/>
        <v>997.18355189286558</v>
      </c>
      <c r="L516" s="444">
        <f t="shared" ca="1" si="28"/>
        <v>240321.23600618061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240321.23600618061</v>
      </c>
      <c r="J517" s="444">
        <f t="array" ref="J517">IFERROR(INDEX('Retirement Calculator'!K:K,MATCH('Lorri 401b'!N517,'Retirement Calculator'!A:A,0),0),0)</f>
        <v>21655.303514578787</v>
      </c>
      <c r="K517" s="444">
        <f t="shared" ca="1" si="27"/>
        <v>911.10805204834082</v>
      </c>
      <c r="L517" s="444">
        <f t="shared" ca="1" si="28"/>
        <v>219577.04054365016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219577.04054365016</v>
      </c>
      <c r="J518" s="444">
        <f t="array" ref="J518">IFERROR(INDEX('Retirement Calculator'!K:K,MATCH('Lorri 401b'!N518,'Retirement Calculator'!A:A,0),0),0)</f>
        <v>21655.303514578787</v>
      </c>
      <c r="K518" s="444">
        <f t="shared" ref="K518:K772" ca="1" si="53">IPMT(M518/12,1,12,-I518+J518,,0)</f>
        <v>824.67390428779743</v>
      </c>
      <c r="L518" s="444">
        <f t="shared" ref="L518:L772" ca="1" si="54">I518-J518+K518</f>
        <v>198746.41093335918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198746.41093335918</v>
      </c>
      <c r="J519" s="444">
        <f t="array" ref="J519">IFERROR(INDEX('Retirement Calculator'!K:K,MATCH('Lorri 401b'!N519,'Retirement Calculator'!A:A,0),0),0)</f>
        <v>21655.303514578787</v>
      </c>
      <c r="K519" s="444">
        <f t="shared" ca="1" si="53"/>
        <v>737.87961424491823</v>
      </c>
      <c r="L519" s="444">
        <f t="shared" ca="1" si="54"/>
        <v>177828.9870330253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177828.9870330253</v>
      </c>
      <c r="J520" s="444">
        <f t="array" ref="J520">IFERROR(INDEX('Retirement Calculator'!K:K,MATCH('Lorri 401b'!N520,'Retirement Calculator'!A:A,0),0),0)</f>
        <v>21655.303514578787</v>
      </c>
      <c r="K520" s="444">
        <f t="shared" ca="1" si="53"/>
        <v>650.72368132686051</v>
      </c>
      <c r="L520" s="444">
        <f t="shared" ca="1" si="54"/>
        <v>156824.40719977338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156824.40719977338</v>
      </c>
      <c r="J521" s="444">
        <f t="array" ref="J521">IFERROR(INDEX('Retirement Calculator'!K:K,MATCH('Lorri 401b'!N521,'Retirement Calculator'!A:A,0),0),0)</f>
        <v>21655.303514578787</v>
      </c>
      <c r="K521" s="444">
        <f t="shared" ca="1" si="53"/>
        <v>563.20459868831085</v>
      </c>
      <c r="L521" s="444">
        <f t="shared" ca="1" si="54"/>
        <v>135732.30828388291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135732.30828388291</v>
      </c>
      <c r="J522" s="444">
        <f t="array" ref="J522">IFERROR(INDEX('Retirement Calculator'!K:K,MATCH('Lorri 401b'!N522,'Retirement Calculator'!A:A,0),0),0)</f>
        <v>21655.303514578787</v>
      </c>
      <c r="K522" s="444">
        <f t="shared" ca="1" si="53"/>
        <v>475.32085320543393</v>
      </c>
      <c r="L522" s="444">
        <f t="shared" ca="1" si="54"/>
        <v>114552.32562250955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114552.32562250955</v>
      </c>
      <c r="J523" s="444">
        <f t="array" ref="J523">IFERROR(INDEX('Retirement Calculator'!K:K,MATCH('Lorri 401b'!N523,'Retirement Calculator'!A:A,0),0),0)</f>
        <v>21655.303514578787</v>
      </c>
      <c r="K523" s="444">
        <f t="shared" ca="1" si="53"/>
        <v>387.07092544971152</v>
      </c>
      <c r="L523" s="444">
        <f t="shared" ca="1" si="54"/>
        <v>93284.093033380472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93284.093033380472</v>
      </c>
      <c r="J524" s="444">
        <f t="array" ref="J524">IFERROR(INDEX('Retirement Calculator'!K:K,MATCH('Lorri 401b'!N524,'Retirement Calculator'!A:A,0),0),0)</f>
        <v>21655.303514578787</v>
      </c>
      <c r="K524" s="444">
        <f t="shared" ca="1" si="53"/>
        <v>298.45328966167369</v>
      </c>
      <c r="L524" s="444">
        <f t="shared" ca="1" si="54"/>
        <v>71927.242808463358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71927.242808463358</v>
      </c>
      <c r="J525" s="444">
        <f t="array" ref="J525">IFERROR(INDEX('Retirement Calculator'!K:K,MATCH('Lorri 401b'!N525,'Retirement Calculator'!A:A,0),0),0)</f>
        <v>21655.303514578787</v>
      </c>
      <c r="K525" s="444">
        <f t="shared" ca="1" si="53"/>
        <v>209.46641372451904</v>
      </c>
      <c r="L525" s="444">
        <f t="shared" ca="1" si="54"/>
        <v>50481.40570760909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50481.40570760909</v>
      </c>
      <c r="J526" s="444">
        <f t="array" ref="J526">IFERROR(INDEX('Retirement Calculator'!K:K,MATCH('Lorri 401b'!N526,'Retirement Calculator'!A:A,0),0),0)</f>
        <v>21655.303514578787</v>
      </c>
      <c r="K526" s="444">
        <f t="shared" ca="1" si="53"/>
        <v>120.10875913762628</v>
      </c>
      <c r="L526" s="444">
        <f t="shared" ca="1" si="54"/>
        <v>28946.21095216793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28946.21095216793</v>
      </c>
      <c r="J527" s="444">
        <f t="array" ref="J527">IFERROR(INDEX('Retirement Calculator'!K:K,MATCH('Lorri 401b'!N527,'Retirement Calculator'!A:A,0),0),0)</f>
        <v>21655.303514578787</v>
      </c>
      <c r="K527" s="444">
        <f t="shared" ca="1" si="53"/>
        <v>30.378780989954759</v>
      </c>
      <c r="L527" s="444">
        <f t="shared" ca="1" si="54"/>
        <v>7321.2862185790982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7321.2862185790982</v>
      </c>
      <c r="J528" s="444">
        <f t="array" ref="J528">IFERROR(INDEX('Retirement Calculator'!K:K,MATCH('Lorri 401b'!N528,'Retirement Calculator'!A:A,0),0),0)</f>
        <v>21655.303514578787</v>
      </c>
      <c r="K528" s="444">
        <f t="shared" ca="1" si="53"/>
        <v>-59.725072066665369</v>
      </c>
      <c r="L528" s="444">
        <f t="shared" ca="1" si="54"/>
        <v>-14393.742368066354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-14393.742368066354</v>
      </c>
      <c r="J529" s="444">
        <f t="array" ref="J529">IFERROR(INDEX('Retirement Calculator'!K:K,MATCH('Lorri 401b'!N529,'Retirement Calculator'!A:A,0),0),0)</f>
        <v>21655.303514578787</v>
      </c>
      <c r="K529" s="444">
        <f t="shared" ca="1" si="53"/>
        <v>-150.20435784435477</v>
      </c>
      <c r="L529" s="444">
        <f t="shared" ca="1" si="54"/>
        <v>-36199.250240489499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-36199.250240489499</v>
      </c>
      <c r="J530" s="444">
        <f t="array" ref="J530">IFERROR(INDEX('Retirement Calculator'!K:K,MATCH('Lorri 401b'!N530,'Retirement Calculator'!A:A,0),0),0)</f>
        <v>21655.303514578787</v>
      </c>
      <c r="K530" s="444">
        <f t="shared" ca="1" si="53"/>
        <v>-241.06064064611786</v>
      </c>
      <c r="L530" s="444">
        <f t="shared" ca="1" si="54"/>
        <v>-58095.614395714401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-58095.614395714401</v>
      </c>
      <c r="J531" s="444">
        <f t="array" ref="J531">IFERROR(INDEX('Retirement Calculator'!K:K,MATCH('Lorri 401b'!N531,'Retirement Calculator'!A:A,0),0),0)</f>
        <v>21655.303514578787</v>
      </c>
      <c r="K531" s="444">
        <f t="shared" ca="1" si="53"/>
        <v>-332.29549129288824</v>
      </c>
      <c r="L531" s="444">
        <f t="shared" ca="1" si="54"/>
        <v>-80083.213401586065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-80083.213401586065</v>
      </c>
      <c r="J532" s="444">
        <f t="array" ref="J532">IFERROR(INDEX('Retirement Calculator'!K:K,MATCH('Lorri 401b'!N532,'Retirement Calculator'!A:A,0),0),0)</f>
        <v>21655.303514578787</v>
      </c>
      <c r="K532" s="444">
        <f t="shared" ca="1" si="53"/>
        <v>-423.91048715068689</v>
      </c>
      <c r="L532" s="444">
        <f t="shared" ca="1" si="54"/>
        <v>-102162.42740331554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-102162.42740331554</v>
      </c>
      <c r="J533" s="444">
        <f t="array" ref="J533">IFERROR(INDEX('Retirement Calculator'!K:K,MATCH('Lorri 401b'!N533,'Retirement Calculator'!A:A,0),0),0)</f>
        <v>21655.303514578787</v>
      </c>
      <c r="K533" s="444">
        <f t="shared" ca="1" si="53"/>
        <v>-515.9072121578929</v>
      </c>
      <c r="L533" s="444">
        <f t="shared" ca="1" si="54"/>
        <v>-124333.63813005222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-124333.63813005222</v>
      </c>
      <c r="J534" s="444">
        <f t="array" ref="J534">IFERROR(INDEX('Retirement Calculator'!K:K,MATCH('Lorri 401b'!N534,'Retirement Calculator'!A:A,0),0),0)</f>
        <v>21655.303514578787</v>
      </c>
      <c r="K534" s="444">
        <f t="shared" ca="1" si="53"/>
        <v>-608.28725685262918</v>
      </c>
      <c r="L534" s="444">
        <f t="shared" ca="1" si="54"/>
        <v>-146597.22890148364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-146597.22890148364</v>
      </c>
      <c r="J535" s="444">
        <f t="array" ref="J535">IFERROR(INDEX('Retirement Calculator'!K:K,MATCH('Lorri 401b'!N535,'Retirement Calculator'!A:A,0),0),0)</f>
        <v>21655.303514578787</v>
      </c>
      <c r="K535" s="444">
        <f t="shared" ca="1" si="53"/>
        <v>-701.05221840026013</v>
      </c>
      <c r="L535" s="444">
        <f t="shared" ca="1" si="54"/>
        <v>-168953.58463446269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-168953.58463446269</v>
      </c>
      <c r="J536" s="444">
        <f t="array" ref="J536">IFERROR(INDEX('Retirement Calculator'!K:K,MATCH('Lorri 401b'!N536,'Retirement Calculator'!A:A,0),0),0)</f>
        <v>21655.303514578787</v>
      </c>
      <c r="K536" s="444">
        <f t="shared" ca="1" si="53"/>
        <v>-794.20370062100619</v>
      </c>
      <c r="L536" s="444">
        <f t="shared" ca="1" si="54"/>
        <v>-191403.09184966248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-191403.09184966248</v>
      </c>
      <c r="J537" s="444">
        <f t="array" ref="J537">IFERROR(INDEX('Retirement Calculator'!K:K,MATCH('Lorri 401b'!N537,'Retirement Calculator'!A:A,0),0),0)</f>
        <v>21655.303514578787</v>
      </c>
      <c r="K537" s="444">
        <f t="shared" ca="1" si="53"/>
        <v>-887.74331401767188</v>
      </c>
      <c r="L537" s="444">
        <f t="shared" ca="1" si="54"/>
        <v>-213946.13867825893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-213946.13867825893</v>
      </c>
      <c r="J538" s="444">
        <f t="array" ref="J538">IFERROR(INDEX('Retirement Calculator'!K:K,MATCH('Lorri 401b'!N538,'Retirement Calculator'!A:A,0),0),0)</f>
        <v>21655.303514578787</v>
      </c>
      <c r="K538" s="444">
        <f t="shared" ca="1" si="53"/>
        <v>-981.67267580349051</v>
      </c>
      <c r="L538" s="444">
        <f t="shared" ca="1" si="54"/>
        <v>-236583.11486864119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-236583.11486864119</v>
      </c>
      <c r="J539" s="444">
        <f t="array" ref="J539">IFERROR(INDEX('Retirement Calculator'!K:K,MATCH('Lorri 401b'!N539,'Retirement Calculator'!A:A,0),0),0)</f>
        <v>21655.303514578787</v>
      </c>
      <c r="K539" s="444">
        <f t="shared" ca="1" si="53"/>
        <v>-1075.9934099300833</v>
      </c>
      <c r="L539" s="444">
        <f t="shared" ca="1" si="54"/>
        <v>-259314.41179315007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-259314.41179315007</v>
      </c>
      <c r="J540" s="444">
        <f t="array" ref="J540">IFERROR(INDEX('Retirement Calculator'!K:K,MATCH('Lorri 401b'!N540,'Retirement Calculator'!A:A,0),0),0)</f>
        <v>21655.303514578787</v>
      </c>
      <c r="K540" s="444">
        <f t="shared" ca="1" si="53"/>
        <v>-1170.7071471155368</v>
      </c>
      <c r="L540" s="444">
        <f t="shared" ca="1" si="54"/>
        <v>-282140.4224548444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-282140.4224548444</v>
      </c>
      <c r="J541" s="444">
        <f t="array" ref="J541">IFERROR(INDEX('Retirement Calculator'!K:K,MATCH('Lorri 401b'!N541,'Retirement Calculator'!A:A,0),0),0)</f>
        <v>21655.303514578787</v>
      </c>
      <c r="K541" s="444">
        <f t="shared" ca="1" si="53"/>
        <v>-1265.8155248725966</v>
      </c>
      <c r="L541" s="444">
        <f t="shared" ca="1" si="54"/>
        <v>-305061.54149429582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-305061.54149429582</v>
      </c>
      <c r="J542" s="444">
        <f t="array" ref="J542">IFERROR(INDEX('Retirement Calculator'!K:K,MATCH('Lorri 401b'!N542,'Retirement Calculator'!A:A,0),0),0)</f>
        <v>21655.303514578787</v>
      </c>
      <c r="K542" s="444">
        <f t="shared" ca="1" si="53"/>
        <v>-1361.3201875369775</v>
      </c>
      <c r="L542" s="444">
        <f t="shared" ca="1" si="54"/>
        <v>-328078.1651964116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-328078.1651964116</v>
      </c>
      <c r="J543" s="444">
        <f t="array" ref="J543">IFERROR(INDEX('Retirement Calculator'!K:K,MATCH('Lorri 401b'!N543,'Retirement Calculator'!A:A,0),0),0)</f>
        <v>21655.303514578787</v>
      </c>
      <c r="K543" s="444">
        <f t="shared" ca="1" si="53"/>
        <v>-1457.2227862957932</v>
      </c>
      <c r="L543" s="444">
        <f t="shared" ca="1" si="54"/>
        <v>-351190.6914972862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-351190.6914972862</v>
      </c>
      <c r="J544" s="444">
        <f t="array" ref="J544">IFERROR(INDEX('Retirement Calculator'!K:K,MATCH('Lorri 401b'!N544,'Retirement Calculator'!A:A,0),0),0)</f>
        <v>21655.303514578787</v>
      </c>
      <c r="K544" s="444">
        <f t="shared" ca="1" si="53"/>
        <v>-1553.5249792161042</v>
      </c>
      <c r="L544" s="444">
        <f t="shared" ca="1" si="54"/>
        <v>-374399.51999108109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-374399.51999108109</v>
      </c>
      <c r="J545" s="444">
        <f t="array" ref="J545">IFERROR(INDEX('Retirement Calculator'!K:K,MATCH('Lorri 401b'!N545,'Retirement Calculator'!A:A,0),0),0)</f>
        <v>21655.303514578787</v>
      </c>
      <c r="K545" s="444">
        <f t="shared" ca="1" si="53"/>
        <v>-1650.2284312735828</v>
      </c>
      <c r="L545" s="444">
        <f t="shared" ca="1" si="54"/>
        <v>-397705.05193693348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-397705.05193693348</v>
      </c>
      <c r="J546" s="444">
        <f t="array" ref="J546">IFERROR(INDEX('Retirement Calculator'!K:K,MATCH('Lorri 401b'!N546,'Retirement Calculator'!A:A,0),0),0)</f>
        <v>21655.303514578787</v>
      </c>
      <c r="K546" s="444">
        <f t="shared" ca="1" si="53"/>
        <v>-1747.3348143813012</v>
      </c>
      <c r="L546" s="444">
        <f t="shared" ca="1" si="54"/>
        <v>-421107.69026589359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-421107.69026589359</v>
      </c>
      <c r="J547" s="444">
        <f t="array" ref="J547">IFERROR(INDEX('Retirement Calculator'!K:K,MATCH('Lorri 401b'!N547,'Retirement Calculator'!A:A,0),0),0)</f>
        <v>21655.303514578787</v>
      </c>
      <c r="K547" s="444">
        <f t="shared" ca="1" si="53"/>
        <v>-1844.8458074186349</v>
      </c>
      <c r="L547" s="444">
        <f t="shared" ca="1" si="54"/>
        <v>-444607.83958789101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-444607.83958789101</v>
      </c>
      <c r="J548" s="444">
        <f t="array" ref="J548">IFERROR(INDEX('Retirement Calculator'!K:K,MATCH('Lorri 401b'!N548,'Retirement Calculator'!A:A,0),0),0)</f>
        <v>21655.303514578787</v>
      </c>
      <c r="K548" s="444">
        <f t="shared" ca="1" si="53"/>
        <v>-1942.7630962602907</v>
      </c>
      <c r="L548" s="444">
        <f t="shared" ca="1" si="54"/>
        <v>-468205.90619873011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-468205.90619873011</v>
      </c>
      <c r="J549" s="444">
        <f t="array" ref="J549">IFERROR(INDEX('Retirement Calculator'!K:K,MATCH('Lorri 401b'!N549,'Retirement Calculator'!A:A,0),0),0)</f>
        <v>21655.303514578787</v>
      </c>
      <c r="K549" s="444">
        <f t="shared" ca="1" si="53"/>
        <v>-2041.0883738054538</v>
      </c>
      <c r="L549" s="444">
        <f t="shared" ca="1" si="54"/>
        <v>-491902.29808711435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-491902.29808711435</v>
      </c>
      <c r="J550" s="444">
        <f t="array" ref="J550">IFERROR(INDEX('Retirement Calculator'!K:K,MATCH('Lorri 401b'!N550,'Retirement Calculator'!A:A,0),0),0)</f>
        <v>21655.303514578787</v>
      </c>
      <c r="K550" s="444">
        <f t="shared" ca="1" si="53"/>
        <v>-2139.8233400070549</v>
      </c>
      <c r="L550" s="444">
        <f t="shared" ca="1" si="54"/>
        <v>-515697.42494170018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-515697.42494170018</v>
      </c>
      <c r="J551" s="444">
        <f t="array" ref="J551">IFERROR(INDEX('Retirement Calculator'!K:K,MATCH('Lorri 401b'!N551,'Retirement Calculator'!A:A,0),0),0)</f>
        <v>21655.303514578787</v>
      </c>
      <c r="K551" s="444">
        <f t="shared" ca="1" si="53"/>
        <v>-2238.9697019011628</v>
      </c>
      <c r="L551" s="444">
        <f t="shared" ca="1" si="54"/>
        <v>-539591.69815818022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-539591.69815818022</v>
      </c>
      <c r="J552" s="444">
        <f t="array" ref="J552">IFERROR(INDEX('Retirement Calculator'!K:K,MATCH('Lorri 401b'!N552,'Retirement Calculator'!A:A,0),0),0)</f>
        <v>21655.303514578787</v>
      </c>
      <c r="K552" s="444">
        <f t="shared" ca="1" si="53"/>
        <v>-2338.5291736364957</v>
      </c>
      <c r="L552" s="444">
        <f t="shared" ca="1" si="54"/>
        <v>-563585.53084639541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-563585.53084639541</v>
      </c>
      <c r="J553" s="444">
        <f t="array" ref="J553">IFERROR(INDEX('Retirement Calculator'!K:K,MATCH('Lorri 401b'!N553,'Retirement Calculator'!A:A,0),0),0)</f>
        <v>21655.303514578787</v>
      </c>
      <c r="K553" s="444">
        <f t="shared" ca="1" si="53"/>
        <v>-2438.5034765040591</v>
      </c>
      <c r="L553" s="444">
        <f t="shared" ca="1" si="54"/>
        <v>-587679.33783747815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-587679.33783747815</v>
      </c>
      <c r="J554" s="444">
        <f t="array" ref="J554">IFERROR(INDEX('Retirement Calculator'!K:K,MATCH('Lorri 401b'!N554,'Retirement Calculator'!A:A,0),0),0)</f>
        <v>21655.303514578787</v>
      </c>
      <c r="K554" s="444">
        <f t="shared" ca="1" si="53"/>
        <v>-2538.8943389669039</v>
      </c>
      <c r="L554" s="444">
        <f t="shared" ca="1" si="54"/>
        <v>-611873.53569102392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-611873.53569102392</v>
      </c>
      <c r="J555" s="444">
        <f t="array" ref="J555">IFERROR(INDEX('Retirement Calculator'!K:K,MATCH('Lorri 401b'!N555,'Retirement Calculator'!A:A,0),0),0)</f>
        <v>21655.303514578787</v>
      </c>
      <c r="K555" s="444">
        <f t="shared" ca="1" si="53"/>
        <v>-2639.703496690011</v>
      </c>
      <c r="L555" s="444">
        <f t="shared" ca="1" si="54"/>
        <v>-636168.54270229267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-636168.54270229267</v>
      </c>
      <c r="J556" s="444">
        <f t="array" ref="J556">IFERROR(INDEX('Retirement Calculator'!K:K,MATCH('Lorri 401b'!N556,'Retirement Calculator'!A:A,0),0),0)</f>
        <v>21655.303514578787</v>
      </c>
      <c r="K556" s="444">
        <f t="shared" ca="1" si="53"/>
        <v>-2740.9326925702976</v>
      </c>
      <c r="L556" s="444">
        <f t="shared" ca="1" si="54"/>
        <v>-660564.77890944167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-660564.77890944167</v>
      </c>
      <c r="J557" s="444">
        <f t="array" ref="J557">IFERROR(INDEX('Retirement Calculator'!K:K,MATCH('Lorri 401b'!N557,'Retirement Calculator'!A:A,0),0),0)</f>
        <v>21655.303514578787</v>
      </c>
      <c r="K557" s="444">
        <f t="shared" ca="1" si="53"/>
        <v>-2842.5836767667515</v>
      </c>
      <c r="L557" s="444">
        <f t="shared" ca="1" si="54"/>
        <v>-685062.66610078712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-685062.66610078712</v>
      </c>
      <c r="J558" s="444">
        <f t="array" ref="J558">IFERROR(INDEX('Retirement Calculator'!K:K,MATCH('Lorri 401b'!N558,'Retirement Calculator'!A:A,0),0),0)</f>
        <v>21655.303514578787</v>
      </c>
      <c r="K558" s="444">
        <f t="shared" ca="1" si="53"/>
        <v>-2944.6582067306908</v>
      </c>
      <c r="L558" s="444">
        <f t="shared" ca="1" si="54"/>
        <v>-709662.62782209658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-709662.62782209658</v>
      </c>
      <c r="J559" s="444">
        <f t="array" ref="J559">IFERROR(INDEX('Retirement Calculator'!K:K,MATCH('Lorri 401b'!N559,'Retirement Calculator'!A:A,0),0),0)</f>
        <v>21655.303514578787</v>
      </c>
      <c r="K559" s="444">
        <f t="shared" ca="1" si="53"/>
        <v>-3047.158047236147</v>
      </c>
      <c r="L559" s="444">
        <f t="shared" ca="1" si="54"/>
        <v>-734365.08938391146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-734365.08938391146</v>
      </c>
      <c r="J560" s="444">
        <f t="array" ref="J560">IFERROR(INDEX('Retirement Calculator'!K:K,MATCH('Lorri 401b'!N560,'Retirement Calculator'!A:A,0),0),0)</f>
        <v>21655.303514578787</v>
      </c>
      <c r="K560" s="444">
        <f t="shared" ca="1" si="53"/>
        <v>-3150.0849704103757</v>
      </c>
      <c r="L560" s="444">
        <f t="shared" ca="1" si="54"/>
        <v>-759170.47786890052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-759170.47786890052</v>
      </c>
      <c r="J561" s="444">
        <f t="array" ref="J561">IFERROR(INDEX('Retirement Calculator'!K:K,MATCH('Lorri 401b'!N561,'Retirement Calculator'!A:A,0),0),0)</f>
        <v>21655.303514578787</v>
      </c>
      <c r="K561" s="444">
        <f t="shared" ca="1" si="53"/>
        <v>-3253.4407557644968</v>
      </c>
      <c r="L561" s="444">
        <f t="shared" ca="1" si="54"/>
        <v>-784079.22213924374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-784079.22213924374</v>
      </c>
      <c r="J562" s="444">
        <f t="array" ref="J562">IFERROR(INDEX('Retirement Calculator'!K:K,MATCH('Lorri 401b'!N562,'Retirement Calculator'!A:A,0),0),0)</f>
        <v>21655.303514578787</v>
      </c>
      <c r="K562" s="444">
        <f t="shared" ca="1" si="53"/>
        <v>-3357.2271902242605</v>
      </c>
      <c r="L562" s="444">
        <f t="shared" ca="1" si="54"/>
        <v>-809091.7528440468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-809091.7528440468</v>
      </c>
      <c r="J563" s="444">
        <f t="array" ref="J563">IFERROR(INDEX('Retirement Calculator'!K:K,MATCH('Lorri 401b'!N563,'Retirement Calculator'!A:A,0),0),0)</f>
        <v>21655.303514578787</v>
      </c>
      <c r="K563" s="444">
        <f t="shared" ca="1" si="53"/>
        <v>-3461.4460681609403</v>
      </c>
      <c r="L563" s="444">
        <f t="shared" ca="1" si="54"/>
        <v>-834208.50242678658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-834208.50242678658</v>
      </c>
      <c r="J564" s="444">
        <f t="array" ref="J564">IFERROR(INDEX('Retirement Calculator'!K:K,MATCH('Lorri 401b'!N564,'Retirement Calculator'!A:A,0),0),0)</f>
        <v>21655.303514578787</v>
      </c>
      <c r="K564" s="444">
        <f t="shared" ca="1" si="53"/>
        <v>-3566.0991914223559</v>
      </c>
      <c r="L564" s="444">
        <f t="shared" ca="1" si="54"/>
        <v>-859429.90513278777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-859429.90513278777</v>
      </c>
      <c r="J565" s="444">
        <f t="array" ref="J565">IFERROR(INDEX('Retirement Calculator'!K:K,MATCH('Lorri 401b'!N565,'Retirement Calculator'!A:A,0),0),0)</f>
        <v>21655.303514578787</v>
      </c>
      <c r="K565" s="444">
        <f t="shared" ca="1" si="53"/>
        <v>-3671.188369364027</v>
      </c>
      <c r="L565" s="444">
        <f t="shared" ca="1" si="54"/>
        <v>-884756.39701673063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-884756.39701673063</v>
      </c>
      <c r="J566" s="444">
        <f t="array" ref="J566">IFERROR(INDEX('Retirement Calculator'!K:K,MATCH('Lorri 401b'!N566,'Retirement Calculator'!A:A,0),0),0)</f>
        <v>21655.303514578787</v>
      </c>
      <c r="K566" s="444">
        <f t="shared" ca="1" si="53"/>
        <v>-3776.7154188804561</v>
      </c>
      <c r="L566" s="444">
        <f t="shared" ca="1" si="54"/>
        <v>-910188.41595018993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-910188.41595018993</v>
      </c>
      <c r="J567" s="444">
        <f t="array" ref="J567">IFERROR(INDEX('Retirement Calculator'!K:K,MATCH('Lorri 401b'!N567,'Retirement Calculator'!A:A,0),0),0)</f>
        <v>21655.303514578787</v>
      </c>
      <c r="K567" s="444">
        <f t="shared" ca="1" si="53"/>
        <v>-3882.6821644365359</v>
      </c>
      <c r="L567" s="444">
        <f t="shared" ca="1" si="54"/>
        <v>-935726.40162920521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-935726.40162920521</v>
      </c>
      <c r="J568" s="444">
        <f t="array" ref="J568">IFERROR(INDEX('Retirement Calculator'!K:K,MATCH('Lorri 401b'!N568,'Retirement Calculator'!A:A,0),0),0)</f>
        <v>21655.303514578787</v>
      </c>
      <c r="K568" s="444">
        <f t="shared" ca="1" si="53"/>
        <v>-3989.0904380990996</v>
      </c>
      <c r="L568" s="444">
        <f t="shared" ca="1" si="54"/>
        <v>-961370.79558188305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-961370.79558188305</v>
      </c>
      <c r="J569" s="444">
        <f t="array" ref="J569">IFERROR(INDEX('Retirement Calculator'!K:K,MATCH('Lorri 401b'!N569,'Retirement Calculator'!A:A,0),0),0)</f>
        <v>21655.303514578787</v>
      </c>
      <c r="K569" s="444">
        <f t="shared" ca="1" si="53"/>
        <v>-4095.942079568591</v>
      </c>
      <c r="L569" s="444">
        <f t="shared" ca="1" si="54"/>
        <v>-987122.04117603053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-987122.04117603053</v>
      </c>
      <c r="J570" s="444">
        <f t="array" ref="J570">IFERROR(INDEX('Retirement Calculator'!K:K,MATCH('Lorri 401b'!N570,'Retirement Calculator'!A:A,0),0),0)</f>
        <v>21655.303514578787</v>
      </c>
      <c r="K570" s="444">
        <f t="shared" ca="1" si="53"/>
        <v>-4203.2389362108715</v>
      </c>
      <c r="L570" s="444">
        <f t="shared" ca="1" si="54"/>
        <v>-1012980.5836268201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-1012980.5836268201</v>
      </c>
      <c r="J571" s="444">
        <f t="array" ref="J571">IFERROR(INDEX('Retirement Calculator'!K:K,MATCH('Lorri 401b'!N571,'Retirement Calculator'!A:A,0),0),0)</f>
        <v>21655.303514578787</v>
      </c>
      <c r="K571" s="444">
        <f t="shared" ca="1" si="53"/>
        <v>-4310.9828630891616</v>
      </c>
      <c r="L571" s="444">
        <f t="shared" ca="1" si="54"/>
        <v>-1038946.870004488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-1038946.870004488</v>
      </c>
      <c r="J572" s="444">
        <f t="array" ref="J572">IFERROR(INDEX('Retirement Calculator'!K:K,MATCH('Lorri 401b'!N572,'Retirement Calculator'!A:A,0),0),0)</f>
        <v>21655.303514578787</v>
      </c>
      <c r="K572" s="444">
        <f t="shared" ca="1" si="53"/>
        <v>-4419.1757229961113</v>
      </c>
      <c r="L572" s="444">
        <f t="shared" ca="1" si="54"/>
        <v>-1065021.3492420628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-1065021.3492420628</v>
      </c>
      <c r="J573" s="444">
        <f t="array" ref="J573">IFERROR(INDEX('Retirement Calculator'!K:K,MATCH('Lorri 401b'!N573,'Retirement Calculator'!A:A,0),0),0)</f>
        <v>21655.303514578787</v>
      </c>
      <c r="K573" s="444">
        <f t="shared" ca="1" si="53"/>
        <v>-4527.8193864860068</v>
      </c>
      <c r="L573" s="444">
        <f t="shared" ca="1" si="54"/>
        <v>-1091204.4721431276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-1091204.4721431276</v>
      </c>
      <c r="J574" s="444">
        <f t="array" ref="J574">IFERROR(INDEX('Retirement Calculator'!K:K,MATCH('Lorri 401b'!N574,'Retirement Calculator'!A:A,0),0),0)</f>
        <v>21655.303514578787</v>
      </c>
      <c r="K574" s="444">
        <f t="shared" ca="1" si="53"/>
        <v>-4636.9157319071101</v>
      </c>
      <c r="L574" s="444">
        <f t="shared" ca="1" si="54"/>
        <v>-1117496.6913896136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-1117496.6913896136</v>
      </c>
      <c r="J575" s="444">
        <f t="array" ref="J575">IFERROR(INDEX('Retirement Calculator'!K:K,MATCH('Lorri 401b'!N575,'Retirement Calculator'!A:A,0),0),0)</f>
        <v>21655.303514578787</v>
      </c>
      <c r="K575" s="444">
        <f t="shared" ca="1" si="53"/>
        <v>-4746.466645434135</v>
      </c>
      <c r="L575" s="444">
        <f t="shared" ca="1" si="54"/>
        <v>-1143898.4615496264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-1143898.4615496264</v>
      </c>
      <c r="J576" s="444">
        <f t="array" ref="J576">IFERROR(INDEX('Retirement Calculator'!K:K,MATCH('Lorri 401b'!N576,'Retirement Calculator'!A:A,0),0),0)</f>
        <v>21655.303514578787</v>
      </c>
      <c r="K576" s="444">
        <f t="shared" ca="1" si="53"/>
        <v>-4856.4740211008557</v>
      </c>
      <c r="L576" s="444">
        <f t="shared" ca="1" si="54"/>
        <v>-1170410.2390853062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-1170410.2390853062</v>
      </c>
      <c r="J577" s="444">
        <f t="array" ref="J577">IFERROR(INDEX('Retirement Calculator'!K:K,MATCH('Lorri 401b'!N577,'Retirement Calculator'!A:A,0),0),0)</f>
        <v>21655.303514578787</v>
      </c>
      <c r="K577" s="444">
        <f t="shared" ca="1" si="53"/>
        <v>-4966.9397608328545</v>
      </c>
      <c r="L577" s="444">
        <f t="shared" ca="1" si="54"/>
        <v>-1197032.4823607178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-1197032.4823607178</v>
      </c>
      <c r="J578" s="444">
        <f t="array" ref="J578">IFERROR(INDEX('Retirement Calculator'!K:K,MATCH('Lorri 401b'!N578,'Retirement Calculator'!A:A,0),0),0)</f>
        <v>21655.303514578787</v>
      </c>
      <c r="K578" s="444">
        <f t="shared" ca="1" si="53"/>
        <v>-5077.8657744804032</v>
      </c>
      <c r="L578" s="444">
        <f t="shared" ca="1" si="54"/>
        <v>-1223765.6516497771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-1223765.6516497771</v>
      </c>
      <c r="J579" s="444">
        <f t="array" ref="J579">IFERROR(INDEX('Retirement Calculator'!K:K,MATCH('Lorri 401b'!N579,'Retirement Calculator'!A:A,0),0),0)</f>
        <v>21655.303514578787</v>
      </c>
      <c r="K579" s="444">
        <f t="shared" ca="1" si="53"/>
        <v>-5189.2539798514827</v>
      </c>
      <c r="L579" s="444">
        <f t="shared" ca="1" si="54"/>
        <v>-1250610.2091442074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-1250610.2091442074</v>
      </c>
      <c r="J580" s="444">
        <f t="array" ref="J580">IFERROR(INDEX('Retirement Calculator'!K:K,MATCH('Lorri 401b'!N580,'Retirement Calculator'!A:A,0),0),0)</f>
        <v>21655.303514578787</v>
      </c>
      <c r="K580" s="444">
        <f t="shared" ca="1" si="53"/>
        <v>-5301.1063027449427</v>
      </c>
      <c r="L580" s="444">
        <f t="shared" ca="1" si="54"/>
        <v>-1277566.6189615312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-1277566.6189615312</v>
      </c>
      <c r="J581" s="444">
        <f t="array" ref="J581">IFERROR(INDEX('Retirement Calculator'!K:K,MATCH('Lorri 401b'!N581,'Retirement Calculator'!A:A,0),0),0)</f>
        <v>21655.303514578787</v>
      </c>
      <c r="K581" s="444">
        <f t="shared" ca="1" si="53"/>
        <v>-5413.4246769837919</v>
      </c>
      <c r="L581" s="444">
        <f t="shared" ca="1" si="54"/>
        <v>-1304635.3471530939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-1304635.3471530939</v>
      </c>
      <c r="J582" s="444">
        <f t="array" ref="J582">IFERROR(INDEX('Retirement Calculator'!K:K,MATCH('Lorri 401b'!N582,'Retirement Calculator'!A:A,0),0),0)</f>
        <v>21655.303514578787</v>
      </c>
      <c r="K582" s="444">
        <f t="shared" ca="1" si="53"/>
        <v>-5526.2110444486361</v>
      </c>
      <c r="L582" s="444">
        <f t="shared" ca="1" si="54"/>
        <v>-1331816.8617121214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-1331816.8617121214</v>
      </c>
      <c r="J583" s="444">
        <f t="array" ref="J583">IFERROR(INDEX('Retirement Calculator'!K:K,MATCH('Lorri 401b'!N583,'Retirement Calculator'!A:A,0),0),0)</f>
        <v>21655.303514578787</v>
      </c>
      <c r="K583" s="444">
        <f t="shared" ca="1" si="53"/>
        <v>-5639.467355111251</v>
      </c>
      <c r="L583" s="444">
        <f t="shared" ca="1" si="54"/>
        <v>-1359111.6325818114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-1359111.6325818114</v>
      </c>
      <c r="J584" s="444">
        <f t="array" ref="J584">IFERROR(INDEX('Retirement Calculator'!K:K,MATCH('Lorri 401b'!N584,'Retirement Calculator'!A:A,0),0),0)</f>
        <v>21655.303514578787</v>
      </c>
      <c r="K584" s="444">
        <f t="shared" ca="1" si="53"/>
        <v>-5753.1955670682928</v>
      </c>
      <c r="L584" s="444">
        <f t="shared" ca="1" si="54"/>
        <v>-1386520.1316634584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-1386520.1316634584</v>
      </c>
      <c r="J585" s="444">
        <f t="array" ref="J585">IFERROR(INDEX('Retirement Calculator'!K:K,MATCH('Lorri 401b'!N585,'Retirement Calculator'!A:A,0),0),0)</f>
        <v>21655.303514578787</v>
      </c>
      <c r="K585" s="444">
        <f t="shared" ca="1" si="53"/>
        <v>-5867.3976465751548</v>
      </c>
      <c r="L585" s="444">
        <f t="shared" ca="1" si="54"/>
        <v>-1414042.8328246125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-1414042.8328246125</v>
      </c>
      <c r="J586" s="444">
        <f t="array" ref="J586">IFERROR(INDEX('Retirement Calculator'!K:K,MATCH('Lorri 401b'!N586,'Retirement Calculator'!A:A,0),0),0)</f>
        <v>21655.303514578787</v>
      </c>
      <c r="K586" s="444">
        <f t="shared" ca="1" si="53"/>
        <v>-5982.0755680799639</v>
      </c>
      <c r="L586" s="444">
        <f t="shared" ca="1" si="54"/>
        <v>-1441680.2119072713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-1441680.2119072713</v>
      </c>
      <c r="J587" s="444">
        <f t="array" ref="J587">IFERROR(INDEX('Retirement Calculator'!K:K,MATCH('Lorri 401b'!N587,'Retirement Calculator'!A:A,0),0),0)</f>
        <v>21655.303514578787</v>
      </c>
      <c r="K587" s="444">
        <f t="shared" ca="1" si="53"/>
        <v>-6097.2313142577086</v>
      </c>
      <c r="L587" s="444">
        <f t="shared" ca="1" si="54"/>
        <v>-1469432.7467361079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-1469432.7467361079</v>
      </c>
      <c r="J588" s="444">
        <f t="array" ref="J588">IFERROR(INDEX('Retirement Calculator'!K:K,MATCH('Lorri 401b'!N588,'Retirement Calculator'!A:A,0),0),0)</f>
        <v>21655.303514578787</v>
      </c>
      <c r="K588" s="444">
        <f t="shared" ca="1" si="53"/>
        <v>-6212.866876044528</v>
      </c>
      <c r="L588" s="444">
        <f t="shared" ca="1" si="54"/>
        <v>-1497300.9171267312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-1497300.9171267312</v>
      </c>
      <c r="J589" s="444">
        <f t="array" ref="J589">IFERROR(INDEX('Retirement Calculator'!K:K,MATCH('Lorri 401b'!N589,'Retirement Calculator'!A:A,0),0),0)</f>
        <v>21655.303514578787</v>
      </c>
      <c r="K589" s="444">
        <f t="shared" ca="1" si="53"/>
        <v>-6328.984252672125</v>
      </c>
      <c r="L589" s="444">
        <f t="shared" ca="1" si="54"/>
        <v>-1525285.2048939823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-1525285.2048939823</v>
      </c>
      <c r="J590" s="444">
        <f t="array" ref="J590">IFERROR(INDEX('Retirement Calculator'!K:K,MATCH('Lorri 401b'!N590,'Retirement Calculator'!A:A,0),0),0)</f>
        <v>21655.303514578787</v>
      </c>
      <c r="K590" s="444">
        <f t="shared" ca="1" si="53"/>
        <v>-6445.5854517023381</v>
      </c>
      <c r="L590" s="444">
        <f t="shared" ca="1" si="54"/>
        <v>-1553386.0938602635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-1553386.0938602635</v>
      </c>
      <c r="J591" s="444">
        <f t="array" ref="J591">IFERROR(INDEX('Retirement Calculator'!K:K,MATCH('Lorri 401b'!N591,'Retirement Calculator'!A:A,0),0),0)</f>
        <v>21655.303514578787</v>
      </c>
      <c r="K591" s="444">
        <f t="shared" ca="1" si="53"/>
        <v>-6562.6724890618425</v>
      </c>
      <c r="L591" s="444">
        <f t="shared" ca="1" si="54"/>
        <v>-1581604.0698639043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-1581604.0698639043</v>
      </c>
      <c r="J592" s="444">
        <f t="array" ref="J592">IFERROR(INDEX('Retirement Calculator'!K:K,MATCH('Lorri 401b'!N592,'Retirement Calculator'!A:A,0),0),0)</f>
        <v>21655.303514578787</v>
      </c>
      <c r="K592" s="444">
        <f t="shared" ca="1" si="53"/>
        <v>-6680.2473890770125</v>
      </c>
      <c r="L592" s="444">
        <f t="shared" ca="1" si="54"/>
        <v>-1609939.6207675601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-1609939.6207675601</v>
      </c>
      <c r="J593" s="444">
        <f t="array" ref="J593">IFERROR(INDEX('Retirement Calculator'!K:K,MATCH('Lorri 401b'!N593,'Retirement Calculator'!A:A,0),0),0)</f>
        <v>21655.303514578787</v>
      </c>
      <c r="K593" s="444">
        <f t="shared" ca="1" si="53"/>
        <v>-6798.3121845089117</v>
      </c>
      <c r="L593" s="444">
        <f t="shared" ca="1" si="54"/>
        <v>-1638393.2364666478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-1638393.2364666478</v>
      </c>
      <c r="J594" s="444">
        <f t="array" ref="J594">IFERROR(INDEX('Retirement Calculator'!K:K,MATCH('Lorri 401b'!N594,'Retirement Calculator'!A:A,0),0),0)</f>
        <v>21655.303514578787</v>
      </c>
      <c r="K594" s="444">
        <f t="shared" ca="1" si="53"/>
        <v>-6916.8689165884443</v>
      </c>
      <c r="L594" s="444">
        <f t="shared" ca="1" si="54"/>
        <v>-1666965.408897815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-1666965.408897815</v>
      </c>
      <c r="J595" s="444">
        <f t="array" ref="J595">IFERROR(INDEX('Retirement Calculator'!K:K,MATCH('Lorri 401b'!N595,'Retirement Calculator'!A:A,0),0),0)</f>
        <v>21655.303514578787</v>
      </c>
      <c r="K595" s="444">
        <f t="shared" ca="1" si="53"/>
        <v>-7035.9196350516413</v>
      </c>
      <c r="L595" s="444">
        <f t="shared" ca="1" si="54"/>
        <v>-1695656.6320474455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-1695656.6320474455</v>
      </c>
      <c r="J596" s="444">
        <f t="array" ref="J596">IFERROR(INDEX('Retirement Calculator'!K:K,MATCH('Lorri 401b'!N596,'Retirement Calculator'!A:A,0),0),0)</f>
        <v>21655.303514578787</v>
      </c>
      <c r="K596" s="444">
        <f t="shared" ca="1" si="53"/>
        <v>-7155.4663981751028</v>
      </c>
      <c r="L596" s="444">
        <f t="shared" ca="1" si="54"/>
        <v>-1724467.4019601995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-1724467.4019601995</v>
      </c>
      <c r="J597" s="444">
        <f t="array" ref="J597">IFERROR(INDEX('Retirement Calculator'!K:K,MATCH('Lorri 401b'!N597,'Retirement Calculator'!A:A,0),0),0)</f>
        <v>21655.303514578787</v>
      </c>
      <c r="K597" s="444">
        <f t="shared" ca="1" si="53"/>
        <v>-7275.5112728115773</v>
      </c>
      <c r="L597" s="444">
        <f t="shared" ca="1" si="54"/>
        <v>-1753398.2167475899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-1753398.2167475899</v>
      </c>
      <c r="J598" s="444">
        <f t="array" ref="J598">IFERROR(INDEX('Retirement Calculator'!K:K,MATCH('Lorri 401b'!N598,'Retirement Calculator'!A:A,0),0),0)</f>
        <v>21655.303514578787</v>
      </c>
      <c r="K598" s="444">
        <f t="shared" ca="1" si="53"/>
        <v>-7396.0563344257016</v>
      </c>
      <c r="L598" s="444">
        <f t="shared" ca="1" si="54"/>
        <v>-1782449.5765965944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-1782449.5765965944</v>
      </c>
      <c r="J599" s="444">
        <f t="array" ref="J599">IFERROR(INDEX('Retirement Calculator'!K:K,MATCH('Lorri 401b'!N599,'Retirement Calculator'!A:A,0),0),0)</f>
        <v>21655.303514578787</v>
      </c>
      <c r="K599" s="444">
        <f t="shared" ca="1" si="53"/>
        <v>-7517.1036671298889</v>
      </c>
      <c r="L599" s="444">
        <f t="shared" ca="1" si="54"/>
        <v>-1811621.9837783033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-1811621.9837783033</v>
      </c>
      <c r="J600" s="444">
        <f t="array" ref="J600">IFERROR(INDEX('Retirement Calculator'!K:K,MATCH('Lorri 401b'!N600,'Retirement Calculator'!A:A,0),0),0)</f>
        <v>21655.303514578787</v>
      </c>
      <c r="K600" s="444">
        <f t="shared" ca="1" si="53"/>
        <v>-7638.6553637203424</v>
      </c>
      <c r="L600" s="444">
        <f t="shared" ca="1" si="54"/>
        <v>-1840915.9426566025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-1840915.9426566025</v>
      </c>
      <c r="J601" s="444">
        <f t="array" ref="J601">IFERROR(INDEX('Retirement Calculator'!K:K,MATCH('Lorri 401b'!N601,'Retirement Calculator'!A:A,0),0),0)</f>
        <v>21655.303514578787</v>
      </c>
      <c r="K601" s="444">
        <f t="shared" ca="1" si="53"/>
        <v>-7760.713525713255</v>
      </c>
      <c r="L601" s="444">
        <f t="shared" ca="1" si="54"/>
        <v>-1870331.9596968945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-1870331.9596968945</v>
      </c>
      <c r="J602" s="444">
        <f t="array" ref="J602">IFERROR(INDEX('Retirement Calculator'!K:K,MATCH('Lorri 401b'!N602,'Retirement Calculator'!A:A,0),0),0)</f>
        <v>21655.303514578787</v>
      </c>
      <c r="K602" s="444">
        <f t="shared" ca="1" si="53"/>
        <v>-7883.2802633811389</v>
      </c>
      <c r="L602" s="444">
        <f t="shared" ca="1" si="54"/>
        <v>-1899870.5434748544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-1899870.5434748544</v>
      </c>
      <c r="J603" s="444">
        <f t="array" ref="J603">IFERROR(INDEX('Retirement Calculator'!K:K,MATCH('Lorri 401b'!N603,'Retirement Calculator'!A:A,0),0),0)</f>
        <v>21655.303514578787</v>
      </c>
      <c r="K603" s="444">
        <f t="shared" ca="1" si="53"/>
        <v>-8006.3576957893056</v>
      </c>
      <c r="L603" s="444">
        <f t="shared" ca="1" si="54"/>
        <v>-1929532.2046852226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-1929532.2046852226</v>
      </c>
      <c r="J604" s="444">
        <f t="array" ref="J604">IFERROR(INDEX('Retirement Calculator'!K:K,MATCH('Lorri 401b'!N604,'Retirement Calculator'!A:A,0),0),0)</f>
        <v>21655.303514578787</v>
      </c>
      <c r="K604" s="444">
        <f t="shared" ca="1" si="53"/>
        <v>-8129.9479508325057</v>
      </c>
      <c r="L604" s="444">
        <f t="shared" ca="1" si="54"/>
        <v>-1959317.456150634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-1959317.456150634</v>
      </c>
      <c r="J605" s="444">
        <f t="array" ref="J605">IFERROR(INDEX('Retirement Calculator'!K:K,MATCH('Lorri 401b'!N605,'Retirement Calculator'!A:A,0),0),0)</f>
        <v>21655.303514578787</v>
      </c>
      <c r="K605" s="444">
        <f t="shared" ca="1" si="53"/>
        <v>-8254.05316527172</v>
      </c>
      <c r="L605" s="444">
        <f t="shared" ca="1" si="54"/>
        <v>-1989226.8128304845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-1989226.8128304845</v>
      </c>
      <c r="J606" s="444">
        <f t="array" ref="J606">IFERROR(INDEX('Retirement Calculator'!K:K,MATCH('Lorri 401b'!N606,'Retirement Calculator'!A:A,0),0),0)</f>
        <v>21655.303514578787</v>
      </c>
      <c r="K606" s="444">
        <f t="shared" ca="1" si="53"/>
        <v>-8378.6754847710963</v>
      </c>
      <c r="L606" s="444">
        <f t="shared" ca="1" si="54"/>
        <v>-2019260.7918298345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-2019260.7918298345</v>
      </c>
      <c r="J607" s="444">
        <f t="array" ref="J607">IFERROR(INDEX('Retirement Calculator'!K:K,MATCH('Lorri 401b'!N607,'Retirement Calculator'!A:A,0),0),0)</f>
        <v>21655.303514578787</v>
      </c>
      <c r="K607" s="444">
        <f t="shared" ca="1" si="53"/>
        <v>-8503.8170639350556</v>
      </c>
      <c r="L607" s="444">
        <f t="shared" ca="1" si="54"/>
        <v>-2049419.9124083484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-2049419.9124083484</v>
      </c>
      <c r="J608" s="444">
        <f t="array" ref="J608">IFERROR(INDEX('Retirement Calculator'!K:K,MATCH('Lorri 401b'!N608,'Retirement Calculator'!A:A,0),0),0)</f>
        <v>21655.303514578787</v>
      </c>
      <c r="K608" s="444">
        <f t="shared" ca="1" si="53"/>
        <v>-8629.4800663455317</v>
      </c>
      <c r="L608" s="444">
        <f t="shared" ca="1" si="54"/>
        <v>-2079704.6959892728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-2079704.6959892728</v>
      </c>
      <c r="J609" s="444">
        <f t="array" ref="J609">IFERROR(INDEX('Retirement Calculator'!K:K,MATCH('Lorri 401b'!N609,'Retirement Calculator'!A:A,0),0),0)</f>
        <v>21655.303514578787</v>
      </c>
      <c r="K609" s="444">
        <f t="shared" ca="1" si="53"/>
        <v>-8755.666664599381</v>
      </c>
      <c r="L609" s="444">
        <f t="shared" ca="1" si="54"/>
        <v>-2110115.6661684508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-2110115.6661684508</v>
      </c>
      <c r="J610" s="444">
        <f t="array" ref="J610">IFERROR(INDEX('Retirement Calculator'!K:K,MATCH('Lorri 401b'!N610,'Retirement Calculator'!A:A,0),0),0)</f>
        <v>21655.303514578787</v>
      </c>
      <c r="K610" s="444">
        <f t="shared" ca="1" si="53"/>
        <v>-8882.379040345957</v>
      </c>
      <c r="L610" s="444">
        <f t="shared" ca="1" si="54"/>
        <v>-2140653.3487233757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-2140653.3487233757</v>
      </c>
      <c r="J611" s="444">
        <f t="array" ref="J611">IFERROR(INDEX('Retirement Calculator'!K:K,MATCH('Lorri 401b'!N611,'Retirement Calculator'!A:A,0),0),0)</f>
        <v>21655.303514578787</v>
      </c>
      <c r="K611" s="444">
        <f t="shared" ca="1" si="53"/>
        <v>-9009.6193843248111</v>
      </c>
      <c r="L611" s="444">
        <f t="shared" ca="1" si="54"/>
        <v>-2171318.2716222792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-2171318.2716222792</v>
      </c>
      <c r="J612" s="444">
        <f t="array" ref="J612">IFERROR(INDEX('Retirement Calculator'!K:K,MATCH('Lorri 401b'!N612,'Retirement Calculator'!A:A,0),0),0)</f>
        <v>21655.303514578787</v>
      </c>
      <c r="K612" s="444">
        <f t="shared" ca="1" si="53"/>
        <v>-9137.3898964035743</v>
      </c>
      <c r="L612" s="444">
        <f t="shared" ca="1" si="54"/>
        <v>-2202110.9650332616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-2202110.9650332616</v>
      </c>
      <c r="J613" s="444">
        <f t="array" ref="J613">IFERROR(INDEX('Retirement Calculator'!K:K,MATCH('Lorri 401b'!N613,'Retirement Calculator'!A:A,0),0),0)</f>
        <v>21655.303514578787</v>
      </c>
      <c r="K613" s="444">
        <f t="shared" ca="1" si="53"/>
        <v>-9265.6927856160019</v>
      </c>
      <c r="L613" s="444">
        <f t="shared" ca="1" si="54"/>
        <v>-2233031.9613334564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-2233031.9613334564</v>
      </c>
      <c r="J614" s="444">
        <f t="array" ref="J614">IFERROR(INDEX('Retirement Calculator'!K:K,MATCH('Lorri 401b'!N614,'Retirement Calculator'!A:A,0),0),0)</f>
        <v>21655.303514578787</v>
      </c>
      <c r="K614" s="444">
        <f t="shared" ca="1" si="53"/>
        <v>-9394.5302702001463</v>
      </c>
      <c r="L614" s="444">
        <f t="shared" ca="1" si="54"/>
        <v>-2264081.7951182355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-2264081.7951182355</v>
      </c>
      <c r="J615" s="444">
        <f t="array" ref="J615">IFERROR(INDEX('Retirement Calculator'!K:K,MATCH('Lorri 401b'!N615,'Retirement Calculator'!A:A,0),0),0)</f>
        <v>21655.303514578787</v>
      </c>
      <c r="K615" s="444">
        <f t="shared" ca="1" si="53"/>
        <v>-9523.9045776367257</v>
      </c>
      <c r="L615" s="444">
        <f t="shared" ca="1" si="54"/>
        <v>-2295261.003210451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-2295261.003210451</v>
      </c>
      <c r="J616" s="444">
        <f t="array" ref="J616">IFERROR(INDEX('Retirement Calculator'!K:K,MATCH('Lorri 401b'!N616,'Retirement Calculator'!A:A,0),0),0)</f>
        <v>21655.303514578787</v>
      </c>
      <c r="K616" s="444">
        <f t="shared" ca="1" si="53"/>
        <v>-9653.8179446876238</v>
      </c>
      <c r="L616" s="444">
        <f t="shared" ca="1" si="54"/>
        <v>-2326570.1246697176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-2326570.1246697176</v>
      </c>
      <c r="J617" s="444">
        <f t="array" ref="J617">IFERROR(INDEX('Retirement Calculator'!K:K,MATCH('Lorri 401b'!N617,'Retirement Calculator'!A:A,0),0),0)</f>
        <v>21655.303514578787</v>
      </c>
      <c r="K617" s="444">
        <f t="shared" ca="1" si="53"/>
        <v>-9784.272617434568</v>
      </c>
      <c r="L617" s="444">
        <f t="shared" ca="1" si="54"/>
        <v>-2358009.7008017311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-2358009.7008017311</v>
      </c>
      <c r="J618" s="444">
        <f t="array" ref="J618">IFERROR(INDEX('Retirement Calculator'!K:K,MATCH('Lorri 401b'!N618,'Retirement Calculator'!A:A,0),0),0)</f>
        <v>21655.303514578787</v>
      </c>
      <c r="K618" s="444">
        <f t="shared" ca="1" si="53"/>
        <v>-9915.2708513179587</v>
      </c>
      <c r="L618" s="444">
        <f t="shared" ca="1" si="54"/>
        <v>-2389580.2751676277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-2389580.2751676277</v>
      </c>
      <c r="J619" s="444">
        <f t="array" ref="J619">IFERROR(INDEX('Retirement Calculator'!K:K,MATCH('Lorri 401b'!N619,'Retirement Calculator'!A:A,0),0),0)</f>
        <v>21655.303514578787</v>
      </c>
      <c r="K619" s="444">
        <f t="shared" ca="1" si="53"/>
        <v>-10046.814911175861</v>
      </c>
      <c r="L619" s="444">
        <f t="shared" ca="1" si="54"/>
        <v>-2421282.3935933826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-2421282.3935933826</v>
      </c>
      <c r="J620" s="444">
        <f t="array" ref="J620">IFERROR(INDEX('Retirement Calculator'!K:K,MATCH('Lorri 401b'!N620,'Retirement Calculator'!A:A,0),0),0)</f>
        <v>21655.303514578787</v>
      </c>
      <c r="K620" s="444">
        <f t="shared" ca="1" si="53"/>
        <v>-10178.907071283173</v>
      </c>
      <c r="L620" s="444">
        <f t="shared" ca="1" si="54"/>
        <v>-2453116.6041792445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-2453116.6041792445</v>
      </c>
      <c r="J621" s="444">
        <f t="array" ref="J621">IFERROR(INDEX('Retirement Calculator'!K:K,MATCH('Lorri 401b'!N621,'Retirement Calculator'!A:A,0),0),0)</f>
        <v>21655.303514578787</v>
      </c>
      <c r="K621" s="444">
        <f t="shared" ca="1" si="53"/>
        <v>-10311.54961539093</v>
      </c>
      <c r="L621" s="444">
        <f t="shared" ca="1" si="54"/>
        <v>-2485083.4573092144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-2485083.4573092144</v>
      </c>
      <c r="J622" s="444">
        <f t="array" ref="J622">IFERROR(INDEX('Retirement Calculator'!K:K,MATCH('Lorri 401b'!N622,'Retirement Calculator'!A:A,0),0),0)</f>
        <v>21655.303514578787</v>
      </c>
      <c r="K622" s="444">
        <f t="shared" ca="1" si="53"/>
        <v>-10444.744836765805</v>
      </c>
      <c r="L622" s="444">
        <f t="shared" ca="1" si="54"/>
        <v>-2517183.5056605591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-2517183.5056605591</v>
      </c>
      <c r="J623" s="444">
        <f t="array" ref="J623">IFERROR(INDEX('Retirement Calculator'!K:K,MATCH('Lorri 401b'!N623,'Retirement Calculator'!A:A,0),0),0)</f>
        <v>21655.303514578787</v>
      </c>
      <c r="K623" s="444">
        <f t="shared" ca="1" si="53"/>
        <v>-10578.495038229741</v>
      </c>
      <c r="L623" s="444">
        <f t="shared" ca="1" si="54"/>
        <v>-2549417.3042133679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-2549417.3042133679</v>
      </c>
      <c r="J624" s="444">
        <f t="array" ref="J624">IFERROR(INDEX('Retirement Calculator'!K:K,MATCH('Lorri 401b'!N624,'Retirement Calculator'!A:A,0),0),0)</f>
        <v>21655.303514578787</v>
      </c>
      <c r="K624" s="444">
        <f t="shared" ca="1" si="53"/>
        <v>-10712.802532199777</v>
      </c>
      <c r="L624" s="444">
        <f t="shared" ca="1" si="54"/>
        <v>-2581785.4102601465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-2581785.4102601465</v>
      </c>
      <c r="J625" s="444">
        <f t="array" ref="J625">IFERROR(INDEX('Retirement Calculator'!K:K,MATCH('Lorri 401b'!N625,'Retirement Calculator'!A:A,0),0),0)</f>
        <v>21655.303514578787</v>
      </c>
      <c r="K625" s="444">
        <f t="shared" ca="1" si="53"/>
        <v>-10847.669640728021</v>
      </c>
      <c r="L625" s="444">
        <f t="shared" ca="1" si="54"/>
        <v>-2614288.3834154531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-2614288.3834154531</v>
      </c>
      <c r="J626" s="444">
        <f t="array" ref="J626">IFERROR(INDEX('Retirement Calculator'!K:K,MATCH('Lorri 401b'!N626,'Retirement Calculator'!A:A,0),0),0)</f>
        <v>21655.303514578787</v>
      </c>
      <c r="K626" s="444">
        <f t="shared" ca="1" si="53"/>
        <v>-10983.098695541799</v>
      </c>
      <c r="L626" s="444">
        <f t="shared" ca="1" si="54"/>
        <v>-2646926.7856255737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-2646926.7856255737</v>
      </c>
      <c r="J627" s="444">
        <f t="array" ref="J627">IFERROR(INDEX('Retirement Calculator'!K:K,MATCH('Lorri 401b'!N627,'Retirement Calculator'!A:A,0),0),0)</f>
        <v>21655.303514578787</v>
      </c>
      <c r="K627" s="444">
        <f t="shared" ca="1" si="53"/>
        <v>-11119.092038083969</v>
      </c>
      <c r="L627" s="444">
        <f t="shared" ca="1" si="54"/>
        <v>-2679701.1811782364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-2679701.1811782364</v>
      </c>
      <c r="J628" s="444">
        <f t="array" ref="J628">IFERROR(INDEX('Retirement Calculator'!K:K,MATCH('Lorri 401b'!N628,'Retirement Calculator'!A:A,0),0),0)</f>
        <v>21655.303514578787</v>
      </c>
      <c r="K628" s="444">
        <f t="shared" ca="1" si="53"/>
        <v>-11255.652019553396</v>
      </c>
      <c r="L628" s="444">
        <f t="shared" ca="1" si="54"/>
        <v>-2712612.1367123686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-2712612.1367123686</v>
      </c>
      <c r="J629" s="444">
        <f t="array" ref="J629">IFERROR(INDEX('Retirement Calculator'!K:K,MATCH('Lorri 401b'!N629,'Retirement Calculator'!A:A,0),0),0)</f>
        <v>21655.303514578787</v>
      </c>
      <c r="K629" s="444">
        <f t="shared" ca="1" si="53"/>
        <v>-11392.781000945613</v>
      </c>
      <c r="L629" s="444">
        <f t="shared" ca="1" si="54"/>
        <v>-2745660.2212278931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-2745660.2212278931</v>
      </c>
      <c r="J630" s="444">
        <f t="array" ref="J630">IFERROR(INDEX('Retirement Calculator'!K:K,MATCH('Lorri 401b'!N630,'Retirement Calculator'!A:A,0),0),0)</f>
        <v>21655.303514578787</v>
      </c>
      <c r="K630" s="444">
        <f t="shared" ca="1" si="53"/>
        <v>-11530.481353093634</v>
      </c>
      <c r="L630" s="444">
        <f t="shared" ca="1" si="54"/>
        <v>-2778846.0060955654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-2778846.0060955654</v>
      </c>
      <c r="J631" s="444">
        <f t="array" ref="J631">IFERROR(INDEX('Retirement Calculator'!K:K,MATCH('Lorri 401b'!N631,'Retirement Calculator'!A:A,0),0),0)</f>
        <v>21655.303514578787</v>
      </c>
      <c r="K631" s="444">
        <f t="shared" ca="1" si="53"/>
        <v>-11668.755456708934</v>
      </c>
      <c r="L631" s="444">
        <f t="shared" ca="1" si="54"/>
        <v>-2812170.0650668531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-2812170.0650668531</v>
      </c>
      <c r="J632" s="444">
        <f t="array" ref="J632">IFERROR(INDEX('Retirement Calculator'!K:K,MATCH('Lorri 401b'!N632,'Retirement Calculator'!A:A,0),0),0)</f>
        <v>21655.303514578787</v>
      </c>
      <c r="K632" s="444">
        <f t="shared" ca="1" si="53"/>
        <v>-11807.605702422632</v>
      </c>
      <c r="L632" s="444">
        <f t="shared" ca="1" si="54"/>
        <v>-2845632.9742838545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-2845632.9742838545</v>
      </c>
      <c r="J633" s="444">
        <f t="array" ref="J633">IFERROR(INDEX('Retirement Calculator'!K:K,MATCH('Lorri 401b'!N633,'Retirement Calculator'!A:A,0),0),0)</f>
        <v>21655.303514578787</v>
      </c>
      <c r="K633" s="444">
        <f t="shared" ca="1" si="53"/>
        <v>-11947.034490826805</v>
      </c>
      <c r="L633" s="444">
        <f t="shared" ca="1" si="54"/>
        <v>-2879235.3122892603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-2879235.3122892603</v>
      </c>
      <c r="J634" s="444">
        <f t="array" ref="J634">IFERROR(INDEX('Retirement Calculator'!K:K,MATCH('Lorri 401b'!N634,'Retirement Calculator'!A:A,0),0),0)</f>
        <v>21655.303514578787</v>
      </c>
      <c r="K634" s="444">
        <f t="shared" ca="1" si="53"/>
        <v>-12087.044232515997</v>
      </c>
      <c r="L634" s="444">
        <f t="shared" ca="1" si="54"/>
        <v>-2912977.6600363553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-2912977.6600363553</v>
      </c>
      <c r="J635" s="444">
        <f t="array" ref="J635">IFERROR(INDEX('Retirement Calculator'!K:K,MATCH('Lorri 401b'!N635,'Retirement Calculator'!A:A,0),0),0)</f>
        <v>21655.303514578787</v>
      </c>
      <c r="K635" s="444">
        <f t="shared" ca="1" si="53"/>
        <v>-12227.637348128892</v>
      </c>
      <c r="L635" s="444">
        <f t="shared" ca="1" si="54"/>
        <v>-2946860.6008990631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-2946860.6008990631</v>
      </c>
      <c r="J636" s="444">
        <f t="array" ref="J636">IFERROR(INDEX('Retirement Calculator'!K:K,MATCH('Lorri 401b'!N636,'Retirement Calculator'!A:A,0),0),0)</f>
        <v>21655.303514578787</v>
      </c>
      <c r="K636" s="444">
        <f t="shared" ca="1" si="53"/>
        <v>-12368.816268390174</v>
      </c>
      <c r="L636" s="444">
        <f t="shared" ca="1" si="54"/>
        <v>-2980884.7206820319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-2980884.7206820319</v>
      </c>
      <c r="J637" s="444">
        <f t="array" ref="J637">IFERROR(INDEX('Retirement Calculator'!K:K,MATCH('Lorri 401b'!N637,'Retirement Calculator'!A:A,0),0),0)</f>
        <v>21655.303514578787</v>
      </c>
      <c r="K637" s="444">
        <f t="shared" ca="1" si="53"/>
        <v>-12510.583434152544</v>
      </c>
      <c r="L637" s="444">
        <f t="shared" ca="1" si="54"/>
        <v>-3015050.6076307632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-3015050.6076307632</v>
      </c>
      <c r="J638" s="444">
        <f t="array" ref="J638">IFERROR(INDEX('Retirement Calculator'!K:K,MATCH('Lorri 401b'!N638,'Retirement Calculator'!A:A,0),0),0)</f>
        <v>21655.303514578787</v>
      </c>
      <c r="K638" s="444">
        <f t="shared" ca="1" si="53"/>
        <v>-12652.941296438925</v>
      </c>
      <c r="L638" s="444">
        <f t="shared" ca="1" si="54"/>
        <v>-3049358.8524417812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-3049358.8524417812</v>
      </c>
      <c r="J639" s="444">
        <f t="array" ref="J639">IFERROR(INDEX('Retirement Calculator'!K:K,MATCH('Lorri 401b'!N639,'Retirement Calculator'!A:A,0),0),0)</f>
        <v>21655.303514578787</v>
      </c>
      <c r="K639" s="444">
        <f t="shared" ca="1" si="53"/>
        <v>-12795.892316484833</v>
      </c>
      <c r="L639" s="444">
        <f t="shared" ca="1" si="54"/>
        <v>-3083810.0482728449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-3083810.0482728449</v>
      </c>
      <c r="J640" s="444">
        <f t="array" ref="J640">IFERROR(INDEX('Retirement Calculator'!K:K,MATCH('Lorri 401b'!N640,'Retirement Calculator'!A:A,0),0),0)</f>
        <v>21655.303514578787</v>
      </c>
      <c r="K640" s="444">
        <f t="shared" ca="1" si="53"/>
        <v>-12939.438965780932</v>
      </c>
      <c r="L640" s="444">
        <f t="shared" ca="1" si="54"/>
        <v>-3118404.7907532048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-3118404.7907532048</v>
      </c>
      <c r="J641" s="444">
        <f t="array" ref="J641">IFERROR(INDEX('Retirement Calculator'!K:K,MATCH('Lorri 401b'!N641,'Retirement Calculator'!A:A,0),0),0)</f>
        <v>21655.303514578787</v>
      </c>
      <c r="K641" s="444">
        <f t="shared" ca="1" si="53"/>
        <v>-13083.583726115765</v>
      </c>
      <c r="L641" s="444">
        <f t="shared" ca="1" si="54"/>
        <v>-3153143.6779938997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-3153143.6779938997</v>
      </c>
      <c r="J642" s="444">
        <f t="array" ref="J642">IFERROR(INDEX('Retirement Calculator'!K:K,MATCH('Lorri 401b'!N642,'Retirement Calculator'!A:A,0),0),0)</f>
        <v>21655.303514578787</v>
      </c>
      <c r="K642" s="444">
        <f t="shared" ca="1" si="53"/>
        <v>-13228.329089618661</v>
      </c>
      <c r="L642" s="444">
        <f t="shared" ca="1" si="54"/>
        <v>-3188027.3105980973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-3188027.3105980973</v>
      </c>
      <c r="J643" s="444">
        <f t="array" ref="J643">IFERROR(INDEX('Retirement Calculator'!K:K,MATCH('Lorri 401b'!N643,'Retirement Calculator'!A:A,0),0),0)</f>
        <v>21655.303514578787</v>
      </c>
      <c r="K643" s="444">
        <f t="shared" ca="1" si="53"/>
        <v>-13373.677558802818</v>
      </c>
      <c r="L643" s="444">
        <f t="shared" ca="1" si="54"/>
        <v>-3223056.2916714791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-3223056.2916714791</v>
      </c>
      <c r="J644" s="444">
        <f t="array" ref="J644">IFERROR(INDEX('Retirement Calculator'!K:K,MATCH('Lorri 401b'!N644,'Retirement Calculator'!A:A,0),0),0)</f>
        <v>21655.303514578787</v>
      </c>
      <c r="K644" s="444">
        <f t="shared" ca="1" si="53"/>
        <v>-13519.631646608575</v>
      </c>
      <c r="L644" s="444">
        <f t="shared" ca="1" si="54"/>
        <v>-3258231.2268326664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-3258231.2268326664</v>
      </c>
      <c r="J645" s="444">
        <f t="array" ref="J645">IFERROR(INDEX('Retirement Calculator'!K:K,MATCH('Lorri 401b'!N645,'Retirement Calculator'!A:A,0),0),0)</f>
        <v>21655.303514578787</v>
      </c>
      <c r="K645" s="444">
        <f t="shared" ca="1" si="53"/>
        <v>-13666.193876446856</v>
      </c>
      <c r="L645" s="444">
        <f t="shared" ca="1" si="54"/>
        <v>-3293552.724223692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-3293552.724223692</v>
      </c>
      <c r="J646" s="444">
        <f t="array" ref="J646">IFERROR(INDEX('Retirement Calculator'!K:K,MATCH('Lorri 401b'!N646,'Retirement Calculator'!A:A,0),0),0)</f>
        <v>21655.303514578787</v>
      </c>
      <c r="K646" s="444">
        <f t="shared" ca="1" si="53"/>
        <v>-13813.366782242794</v>
      </c>
      <c r="L646" s="444">
        <f t="shared" ca="1" si="54"/>
        <v>-3329021.3945205137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-3329021.3945205137</v>
      </c>
      <c r="J647" s="444">
        <f t="array" ref="J647">IFERROR(INDEX('Retirement Calculator'!K:K,MATCH('Lorri 401b'!N647,'Retirement Calculator'!A:A,0),0),0)</f>
        <v>21655.303514578787</v>
      </c>
      <c r="K647" s="444">
        <f t="shared" ca="1" si="53"/>
        <v>-13961.152908479553</v>
      </c>
      <c r="L647" s="444">
        <f t="shared" ca="1" si="54"/>
        <v>-3364637.8509435719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-3364637.8509435719</v>
      </c>
      <c r="J648" s="444">
        <f t="array" ref="J648">IFERROR(INDEX('Retirement Calculator'!K:K,MATCH('Lorri 401b'!N648,'Retirement Calculator'!A:A,0),0),0)</f>
        <v>21655.303514578787</v>
      </c>
      <c r="K648" s="444">
        <f t="shared" ca="1" si="53"/>
        <v>-14109.554810242294</v>
      </c>
      <c r="L648" s="444">
        <f t="shared" ca="1" si="54"/>
        <v>-3400402.709268393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-3400402.709268393</v>
      </c>
      <c r="J649" s="444">
        <f t="array" ref="J649">IFERROR(INDEX('Retirement Calculator'!K:K,MATCH('Lorri 401b'!N649,'Retirement Calculator'!A:A,0),0),0)</f>
        <v>21655.303514578787</v>
      </c>
      <c r="K649" s="444">
        <f t="shared" ca="1" si="53"/>
        <v>-14258.575053262381</v>
      </c>
      <c r="L649" s="444">
        <f t="shared" ca="1" si="54"/>
        <v>-3436316.5878362344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-3436316.5878362344</v>
      </c>
      <c r="J650" s="444">
        <f t="array" ref="J650">IFERROR(INDEX('Retirement Calculator'!K:K,MATCH('Lorri 401b'!N650,'Retirement Calculator'!A:A,0),0),0)</f>
        <v>21655.303514578787</v>
      </c>
      <c r="K650" s="444">
        <f t="shared" ca="1" si="53"/>
        <v>-14408.216213961723</v>
      </c>
      <c r="L650" s="444">
        <f t="shared" ca="1" si="54"/>
        <v>-3472380.1075647748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-3472380.1075647748</v>
      </c>
      <c r="J651" s="444">
        <f t="array" ref="J651">IFERROR(INDEX('Retirement Calculator'!K:K,MATCH('Lorri 401b'!N651,'Retirement Calculator'!A:A,0),0),0)</f>
        <v>21655.303514578787</v>
      </c>
      <c r="K651" s="444">
        <f t="shared" ca="1" si="53"/>
        <v>-14558.480879497307</v>
      </c>
      <c r="L651" s="444">
        <f t="shared" ca="1" si="54"/>
        <v>-3508593.8919588509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-3508593.8919588509</v>
      </c>
      <c r="J652" s="444">
        <f t="array" ref="J652">IFERROR(INDEX('Retirement Calculator'!K:K,MATCH('Lorri 401b'!N652,'Retirement Calculator'!A:A,0),0),0)</f>
        <v>21655.303514578787</v>
      </c>
      <c r="K652" s="444">
        <f t="shared" ca="1" si="53"/>
        <v>-14709.37164780596</v>
      </c>
      <c r="L652" s="444">
        <f t="shared" ca="1" si="54"/>
        <v>-3544958.5671212357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-3544958.5671212357</v>
      </c>
      <c r="J653" s="444">
        <f t="array" ref="J653">IFERROR(INDEX('Retirement Calculator'!K:K,MATCH('Lorri 401b'!N653,'Retirement Calculator'!A:A,0),0),0)</f>
        <v>21655.303514578787</v>
      </c>
      <c r="K653" s="444">
        <f t="shared" ca="1" si="53"/>
        <v>-14860.891127649227</v>
      </c>
      <c r="L653" s="444">
        <f t="shared" ca="1" si="54"/>
        <v>-3581474.7617634637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-3581474.7617634637</v>
      </c>
      <c r="J654" s="444">
        <f t="array" ref="J654">IFERROR(INDEX('Retirement Calculator'!K:K,MATCH('Lorri 401b'!N654,'Retirement Calculator'!A:A,0),0),0)</f>
        <v>21655.303514578787</v>
      </c>
      <c r="K654" s="444">
        <f t="shared" ca="1" si="53"/>
        <v>-15013.041938658509</v>
      </c>
      <c r="L654" s="444">
        <f t="shared" ca="1" si="54"/>
        <v>-3618143.1072167009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-3618143.1072167009</v>
      </c>
      <c r="J655" s="444">
        <f t="array" ref="J655">IFERROR(INDEX('Retirement Calculator'!K:K,MATCH('Lorri 401b'!N655,'Retirement Calculator'!A:A,0),0),0)</f>
        <v>21655.303514578787</v>
      </c>
      <c r="K655" s="444">
        <f t="shared" ca="1" si="53"/>
        <v>-15165.826711380332</v>
      </c>
      <c r="L655" s="444">
        <f t="shared" ca="1" si="54"/>
        <v>-3654964.2374426601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-3654964.2374426601</v>
      </c>
      <c r="J656" s="444">
        <f t="array" ref="J656">IFERROR(INDEX('Retirement Calculator'!K:K,MATCH('Lorri 401b'!N656,'Retirement Calculator'!A:A,0),0),0)</f>
        <v>21655.303514578787</v>
      </c>
      <c r="K656" s="444">
        <f t="shared" ca="1" si="53"/>
        <v>-15319.248087321828</v>
      </c>
      <c r="L656" s="444">
        <f t="shared" ca="1" si="54"/>
        <v>-3691938.7890445609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-3691938.7890445609</v>
      </c>
      <c r="J657" s="444">
        <f t="array" ref="J657">IFERROR(INDEX('Retirement Calculator'!K:K,MATCH('Lorri 401b'!N657,'Retirement Calculator'!A:A,0),0),0)</f>
        <v>21655.303514578787</v>
      </c>
      <c r="K657" s="444">
        <f t="shared" ca="1" si="53"/>
        <v>-15473.308718996417</v>
      </c>
      <c r="L657" s="444">
        <f t="shared" ca="1" si="54"/>
        <v>-3729067.4012781363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-3729067.4012781363</v>
      </c>
      <c r="J658" s="444">
        <f t="array" ref="J658">IFERROR(INDEX('Retirement Calculator'!K:K,MATCH('Lorri 401b'!N658,'Retirement Calculator'!A:A,0),0),0)</f>
        <v>21655.303514578787</v>
      </c>
      <c r="K658" s="444">
        <f t="shared" ca="1" si="53"/>
        <v>-15628.011269969647</v>
      </c>
      <c r="L658" s="444">
        <f t="shared" ca="1" si="54"/>
        <v>-3766350.716062685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-3766350.716062685</v>
      </c>
      <c r="J659" s="444">
        <f t="array" ref="J659">IFERROR(INDEX('Retirement Calculator'!K:K,MATCH('Lorri 401b'!N659,'Retirement Calculator'!A:A,0),0),0)</f>
        <v>21655.303514578787</v>
      </c>
      <c r="K659" s="444">
        <f t="shared" ca="1" si="53"/>
        <v>-15783.358414905264</v>
      </c>
      <c r="L659" s="444">
        <f t="shared" ca="1" si="54"/>
        <v>-3803789.377992169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-3803789.377992169</v>
      </c>
      <c r="J660" s="444">
        <f t="array" ref="J660">IFERROR(INDEX('Retirement Calculator'!K:K,MATCH('Lorri 401b'!N660,'Retirement Calculator'!A:A,0),0),0)</f>
        <v>21655.303514578787</v>
      </c>
      <c r="K660" s="444">
        <f t="shared" ca="1" si="53"/>
        <v>-15939.352839611451</v>
      </c>
      <c r="L660" s="444">
        <f t="shared" ca="1" si="54"/>
        <v>-3841384.0343463593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-3841384.0343463593</v>
      </c>
      <c r="J661" s="444">
        <f t="array" ref="J661">IFERROR(INDEX('Retirement Calculator'!K:K,MATCH('Lorri 401b'!N661,'Retirement Calculator'!A:A,0),0),0)</f>
        <v>21655.303514578787</v>
      </c>
      <c r="K661" s="444">
        <f t="shared" ca="1" si="53"/>
        <v>-16095.997241087241</v>
      </c>
      <c r="L661" s="444">
        <f t="shared" ca="1" si="54"/>
        <v>-3879135.3351020254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-3879135.3351020254</v>
      </c>
      <c r="J662" s="444">
        <f t="array" ref="J662">IFERROR(INDEX('Retirement Calculator'!K:K,MATCH('Lorri 401b'!N662,'Retirement Calculator'!A:A,0),0),0)</f>
        <v>21655.303514578787</v>
      </c>
      <c r="K662" s="444">
        <f t="shared" ca="1" si="53"/>
        <v>-16253.294327569185</v>
      </c>
      <c r="L662" s="444">
        <f t="shared" ca="1" si="54"/>
        <v>-3917043.9329441735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-3917043.9329441735</v>
      </c>
      <c r="J663" s="444">
        <f t="array" ref="J663">IFERROR(INDEX('Retirement Calculator'!K:K,MATCH('Lorri 401b'!N663,'Retirement Calculator'!A:A,0),0),0)</f>
        <v>21655.303514578787</v>
      </c>
      <c r="K663" s="444">
        <f t="shared" ca="1" si="53"/>
        <v>-16411.246818578133</v>
      </c>
      <c r="L663" s="444">
        <f t="shared" ca="1" si="54"/>
        <v>-3955110.4832773306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-3955110.4832773306</v>
      </c>
      <c r="J664" s="444">
        <f t="array" ref="J664">IFERROR(INDEX('Retirement Calculator'!K:K,MATCH('Lorri 401b'!N664,'Retirement Calculator'!A:A,0),0),0)</f>
        <v>21655.303514578787</v>
      </c>
      <c r="K664" s="444">
        <f t="shared" ca="1" si="53"/>
        <v>-16569.857444966288</v>
      </c>
      <c r="L664" s="444">
        <f t="shared" ca="1" si="54"/>
        <v>-3993335.6442368757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-3993335.6442368757</v>
      </c>
      <c r="J665" s="444">
        <f t="array" ref="J665">IFERROR(INDEX('Retirement Calculator'!K:K,MATCH('Lorri 401b'!N665,'Retirement Calculator'!A:A,0),0),0)</f>
        <v>21655.303514578787</v>
      </c>
      <c r="K665" s="444">
        <f t="shared" ca="1" si="53"/>
        <v>-16729.128948964393</v>
      </c>
      <c r="L665" s="444">
        <f t="shared" ca="1" si="54"/>
        <v>-4031720.0767004187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-4031720.0767004187</v>
      </c>
      <c r="J666" s="444">
        <f t="array" ref="J666">IFERROR(INDEX('Retirement Calculator'!K:K,MATCH('Lorri 401b'!N666,'Retirement Calculator'!A:A,0),0),0)</f>
        <v>21655.303514578787</v>
      </c>
      <c r="K666" s="444">
        <f t="shared" ca="1" si="53"/>
        <v>-16889.064084229158</v>
      </c>
      <c r="L666" s="444">
        <f t="shared" ca="1" si="54"/>
        <v>-4070264.4442992266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-4070264.4442992266</v>
      </c>
      <c r="J667" s="444">
        <f t="array" ref="J667">IFERROR(INDEX('Retirement Calculator'!K:K,MATCH('Lorri 401b'!N667,'Retirement Calculator'!A:A,0),0),0)</f>
        <v>21655.303514578787</v>
      </c>
      <c r="K667" s="444">
        <f t="shared" ca="1" si="53"/>
        <v>-17049.665615890855</v>
      </c>
      <c r="L667" s="444">
        <f t="shared" ca="1" si="54"/>
        <v>-4108969.4134296961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-4108969.4134296961</v>
      </c>
      <c r="J668" s="444">
        <f t="array" ref="J668">IFERROR(INDEX('Retirement Calculator'!K:K,MATCH('Lorri 401b'!N668,'Retirement Calculator'!A:A,0),0),0)</f>
        <v>21655.303514578787</v>
      </c>
      <c r="K668" s="444">
        <f t="shared" ca="1" si="53"/>
        <v>-17210.936320601144</v>
      </c>
      <c r="L668" s="444">
        <f t="shared" ca="1" si="54"/>
        <v>-4147835.653264876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-4147835.653264876</v>
      </c>
      <c r="J669" s="444">
        <f t="array" ref="J669">IFERROR(INDEX('Retirement Calculator'!K:K,MATCH('Lorri 401b'!N669,'Retirement Calculator'!A:A,0),0),0)</f>
        <v>21655.303514578787</v>
      </c>
      <c r="K669" s="444">
        <f t="shared" ca="1" si="53"/>
        <v>-17372.878986581061</v>
      </c>
      <c r="L669" s="444">
        <f t="shared" ca="1" si="54"/>
        <v>-4186863.8357660361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-4186863.8357660361</v>
      </c>
      <c r="J670" s="444">
        <f t="array" ref="J670">IFERROR(INDEX('Retirement Calculator'!K:K,MATCH('Lorri 401b'!N670,'Retirement Calculator'!A:A,0),0),0)</f>
        <v>21655.303514578787</v>
      </c>
      <c r="K670" s="444">
        <f t="shared" ca="1" si="53"/>
        <v>-17535.496413669225</v>
      </c>
      <c r="L670" s="444">
        <f t="shared" ca="1" si="54"/>
        <v>-4226054.635694284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-4226054.635694284</v>
      </c>
      <c r="J671" s="444">
        <f t="array" ref="J671">IFERROR(INDEX('Retirement Calculator'!K:K,MATCH('Lorri 401b'!N671,'Retirement Calculator'!A:A,0),0),0)</f>
        <v>21655.303514578787</v>
      </c>
      <c r="K671" s="444">
        <f t="shared" ca="1" si="53"/>
        <v>-17698.791413370258</v>
      </c>
      <c r="L671" s="444">
        <f t="shared" ca="1" si="54"/>
        <v>-4265408.7306222329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-4265408.7306222329</v>
      </c>
      <c r="J672" s="444">
        <f t="array" ref="J672">IFERROR(INDEX('Retirement Calculator'!K:K,MATCH('Lorri 401b'!N672,'Retirement Calculator'!A:A,0),0),0)</f>
        <v>21655.303514578787</v>
      </c>
      <c r="K672" s="444">
        <f t="shared" ca="1" si="53"/>
        <v>-17862.76680890338</v>
      </c>
      <c r="L672" s="444">
        <f t="shared" ca="1" si="54"/>
        <v>-4304926.800945715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-4304926.800945715</v>
      </c>
      <c r="J673" s="444">
        <f t="array" ref="J673">IFERROR(INDEX('Retirement Calculator'!K:K,MATCH('Lorri 401b'!N673,'Retirement Calculator'!A:A,0),0),0)</f>
        <v>21655.303514578787</v>
      </c>
      <c r="K673" s="444">
        <f t="shared" ca="1" si="53"/>
        <v>-18027.425435251222</v>
      </c>
      <c r="L673" s="444">
        <f t="shared" ca="1" si="54"/>
        <v>-4344609.529895545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-4344609.529895545</v>
      </c>
      <c r="J674" s="444">
        <f t="array" ref="J674">IFERROR(INDEX('Retirement Calculator'!K:K,MATCH('Lorri 401b'!N674,'Retirement Calculator'!A:A,0),0),0)</f>
        <v>21655.303514578787</v>
      </c>
      <c r="K674" s="444">
        <f t="shared" ca="1" si="53"/>
        <v>-18192.770139208846</v>
      </c>
      <c r="L674" s="444">
        <f t="shared" ca="1" si="54"/>
        <v>-4384457.6035493324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-4384457.6035493324</v>
      </c>
      <c r="J675" s="444">
        <f t="array" ref="J675">IFERROR(INDEX('Retirement Calculator'!K:K,MATCH('Lorri 401b'!N675,'Retirement Calculator'!A:A,0),0),0)</f>
        <v>21655.303514578787</v>
      </c>
      <c r="K675" s="444">
        <f t="shared" ca="1" si="53"/>
        <v>-18358.803779432961</v>
      </c>
      <c r="L675" s="444">
        <f t="shared" ca="1" si="54"/>
        <v>-4424471.7108433433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-4424471.7108433433</v>
      </c>
      <c r="J676" s="444">
        <f t="array" ref="J676">IFERROR(INDEX('Retirement Calculator'!K:K,MATCH('Lorri 401b'!N676,'Retirement Calculator'!A:A,0),0),0)</f>
        <v>21655.303514578787</v>
      </c>
      <c r="K676" s="444">
        <f t="shared" ca="1" si="53"/>
        <v>-18525.529226491341</v>
      </c>
      <c r="L676" s="444">
        <f t="shared" ca="1" si="54"/>
        <v>-4464652.5435844129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-4464652.5435844129</v>
      </c>
      <c r="J677" s="444">
        <f t="array" ref="J677">IFERROR(INDEX('Retirement Calculator'!K:K,MATCH('Lorri 401b'!N677,'Retirement Calculator'!A:A,0),0),0)</f>
        <v>21655.303514578787</v>
      </c>
      <c r="K677" s="444">
        <f t="shared" ca="1" si="53"/>
        <v>-18692.949362912463</v>
      </c>
      <c r="L677" s="444">
        <f t="shared" ca="1" si="54"/>
        <v>-4505000.7964619035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-4505000.7964619035</v>
      </c>
      <c r="J678" s="444">
        <f t="array" ref="J678">IFERROR(INDEX('Retirement Calculator'!K:K,MATCH('Lorri 401b'!N678,'Retirement Calculator'!A:A,0),0),0)</f>
        <v>21655.303514578787</v>
      </c>
      <c r="K678" s="444">
        <f t="shared" ca="1" si="53"/>
        <v>-18861.067083235343</v>
      </c>
      <c r="L678" s="444">
        <f t="shared" ca="1" si="54"/>
        <v>-4545517.1670597168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-4545517.1670597168</v>
      </c>
      <c r="J679" s="444">
        <f t="array" ref="J679">IFERROR(INDEX('Retirement Calculator'!K:K,MATCH('Lorri 401b'!N679,'Retirement Calculator'!A:A,0),0),0)</f>
        <v>21655.303514578787</v>
      </c>
      <c r="K679" s="444">
        <f t="shared" ca="1" si="53"/>
        <v>-19029.885294059564</v>
      </c>
      <c r="L679" s="444">
        <f t="shared" ca="1" si="54"/>
        <v>-4586202.3558683544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-4586202.3558683544</v>
      </c>
      <c r="J680" s="444">
        <f t="array" ref="J680">IFERROR(INDEX('Retirement Calculator'!K:K,MATCH('Lorri 401b'!N680,'Retirement Calculator'!A:A,0),0),0)</f>
        <v>21655.303514578787</v>
      </c>
      <c r="K680" s="444">
        <f t="shared" ca="1" si="53"/>
        <v>-19199.406914095554</v>
      </c>
      <c r="L680" s="444">
        <f t="shared" ca="1" si="54"/>
        <v>-4627057.0662970282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-4627057.0662970282</v>
      </c>
      <c r="J681" s="444">
        <f t="array" ref="J681">IFERROR(INDEX('Retirement Calculator'!K:K,MATCH('Lorri 401b'!N681,'Retirement Calculator'!A:A,0),0),0)</f>
        <v>21655.303514578787</v>
      </c>
      <c r="K681" s="444">
        <f t="shared" ca="1" si="53"/>
        <v>-19369.634874215026</v>
      </c>
      <c r="L681" s="444">
        <f t="shared" ca="1" si="54"/>
        <v>-4668082.0046858219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-4668082.0046858219</v>
      </c>
      <c r="J682" s="444">
        <f t="array" ref="J682">IFERROR(INDEX('Retirement Calculator'!K:K,MATCH('Lorri 401b'!N682,'Retirement Calculator'!A:A,0),0),0)</f>
        <v>21655.303514578787</v>
      </c>
      <c r="K682" s="444">
        <f t="shared" ca="1" si="53"/>
        <v>-19540.572117501666</v>
      </c>
      <c r="L682" s="444">
        <f t="shared" ca="1" si="54"/>
        <v>-4709277.8803179022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-4709277.8803179022</v>
      </c>
      <c r="J683" s="444">
        <f t="array" ref="J683">IFERROR(INDEX('Retirement Calculator'!K:K,MATCH('Lorri 401b'!N683,'Retirement Calculator'!A:A,0),0),0)</f>
        <v>21655.303514578787</v>
      </c>
      <c r="K683" s="444">
        <f t="shared" ca="1" si="53"/>
        <v>-19712.221599302004</v>
      </c>
      <c r="L683" s="444">
        <f t="shared" ca="1" si="54"/>
        <v>-4750645.4054317828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-4750645.4054317828</v>
      </c>
      <c r="J684" s="444">
        <f t="array" ref="J684">IFERROR(INDEX('Retirement Calculator'!K:K,MATCH('Lorri 401b'!N684,'Retirement Calculator'!A:A,0),0),0)</f>
        <v>21655.303514578787</v>
      </c>
      <c r="K684" s="444">
        <f t="shared" ca="1" si="53"/>
        <v>-19884.586287276506</v>
      </c>
      <c r="L684" s="444">
        <f t="shared" ca="1" si="54"/>
        <v>-4792185.295233638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-4792185.295233638</v>
      </c>
      <c r="J685" s="444">
        <f t="array" ref="J685">IFERROR(INDEX('Retirement Calculator'!K:K,MATCH('Lorri 401b'!N685,'Retirement Calculator'!A:A,0),0),0)</f>
        <v>21655.303514578787</v>
      </c>
      <c r="K685" s="444">
        <f t="shared" ca="1" si="53"/>
        <v>-20057.6691614509</v>
      </c>
      <c r="L685" s="444">
        <f t="shared" ca="1" si="54"/>
        <v>-4833898.2679096675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-4833898.2679096675</v>
      </c>
      <c r="J686" s="444">
        <f t="array" ref="J686">IFERROR(INDEX('Retirement Calculator'!K:K,MATCH('Lorri 401b'!N686,'Retirement Calculator'!A:A,0),0),0)</f>
        <v>21655.303514578787</v>
      </c>
      <c r="K686" s="444">
        <f t="shared" ca="1" si="53"/>
        <v>-20231.473214267691</v>
      </c>
      <c r="L686" s="444">
        <f t="shared" ca="1" si="54"/>
        <v>-4875785.0446385136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-4875785.0446385136</v>
      </c>
      <c r="J687" s="444">
        <f t="array" ref="J687">IFERROR(INDEX('Retirement Calculator'!K:K,MATCH('Lorri 401b'!N687,'Retirement Calculator'!A:A,0),0),0)</f>
        <v>21655.303514578787</v>
      </c>
      <c r="K687" s="444">
        <f t="shared" ca="1" si="53"/>
        <v>-20406.001450637883</v>
      </c>
      <c r="L687" s="444">
        <f t="shared" ca="1" si="54"/>
        <v>-4917846.3496037303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-4917846.3496037303</v>
      </c>
      <c r="J688" s="444">
        <f t="array" ref="J688">IFERROR(INDEX('Retirement Calculator'!K:K,MATCH('Lorri 401b'!N688,'Retirement Calculator'!A:A,0),0),0)</f>
        <v>21655.303514578787</v>
      </c>
      <c r="K688" s="444">
        <f t="shared" ca="1" si="53"/>
        <v>-20581.256887992953</v>
      </c>
      <c r="L688" s="444">
        <f t="shared" ca="1" si="54"/>
        <v>-4960082.9100063015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-4960082.9100063015</v>
      </c>
      <c r="J689" s="444">
        <f t="array" ref="J689">IFERROR(INDEX('Retirement Calculator'!K:K,MATCH('Lorri 401b'!N689,'Retirement Calculator'!A:A,0),0),0)</f>
        <v>21655.303514578787</v>
      </c>
      <c r="K689" s="444">
        <f t="shared" ca="1" si="53"/>
        <v>-20757.242556336998</v>
      </c>
      <c r="L689" s="444">
        <f t="shared" ca="1" si="54"/>
        <v>-5002495.4560772171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-5002495.4560772171</v>
      </c>
      <c r="J690" s="444">
        <f t="array" ref="J690">IFERROR(INDEX('Retirement Calculator'!K:K,MATCH('Lorri 401b'!N690,'Retirement Calculator'!A:A,0),0),0)</f>
        <v>21655.303514578787</v>
      </c>
      <c r="K690" s="444">
        <f t="shared" ca="1" si="53"/>
        <v>-20933.961498299148</v>
      </c>
      <c r="L690" s="444">
        <f t="shared" ca="1" si="54"/>
        <v>-5045084.7210900951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-5045084.7210900951</v>
      </c>
      <c r="J691" s="444">
        <f t="array" ref="J691">IFERROR(INDEX('Retirement Calculator'!K:K,MATCH('Lorri 401b'!N691,'Retirement Calculator'!A:A,0),0),0)</f>
        <v>21655.303514578787</v>
      </c>
      <c r="K691" s="444">
        <f t="shared" ca="1" si="53"/>
        <v>-21111.41676918614</v>
      </c>
      <c r="L691" s="444">
        <f t="shared" ca="1" si="54"/>
        <v>-5087851.4413738595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-5087851.4413738595</v>
      </c>
      <c r="J692" s="444">
        <f t="array" ref="J692">IFERROR(INDEX('Retirement Calculator'!K:K,MATCH('Lorri 401b'!N692,'Retirement Calculator'!A:A,0),0),0)</f>
        <v>21655.303514578787</v>
      </c>
      <c r="K692" s="444">
        <f t="shared" ca="1" si="53"/>
        <v>-21289.611437035157</v>
      </c>
      <c r="L692" s="444">
        <f t="shared" ca="1" si="54"/>
        <v>-5130796.3563254727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-5130796.3563254727</v>
      </c>
      <c r="J693" s="444">
        <f t="array" ref="J693">IFERROR(INDEX('Retirement Calculator'!K:K,MATCH('Lorri 401b'!N693,'Retirement Calculator'!A:A,0),0),0)</f>
        <v>21655.303514578787</v>
      </c>
      <c r="K693" s="444">
        <f t="shared" ca="1" si="53"/>
        <v>-21468.548582666881</v>
      </c>
      <c r="L693" s="444">
        <f t="shared" ca="1" si="54"/>
        <v>-5173920.2084227176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-5173920.2084227176</v>
      </c>
      <c r="J694" s="444">
        <f t="array" ref="J694">IFERROR(INDEX('Retirement Calculator'!K:K,MATCH('Lorri 401b'!N694,'Retirement Calculator'!A:A,0),0),0)</f>
        <v>21655.303514578787</v>
      </c>
      <c r="K694" s="444">
        <f t="shared" ca="1" si="53"/>
        <v>-21648.231299738734</v>
      </c>
      <c r="L694" s="444">
        <f t="shared" ca="1" si="54"/>
        <v>-5217223.7432370344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-5217223.7432370344</v>
      </c>
      <c r="J695" s="444">
        <f t="array" ref="J695">IFERROR(INDEX('Retirement Calculator'!K:K,MATCH('Lorri 401b'!N695,'Retirement Calculator'!A:A,0),0),0)</f>
        <v>21655.303514578787</v>
      </c>
      <c r="K695" s="444">
        <f t="shared" ca="1" si="53"/>
        <v>-21828.662694798386</v>
      </c>
      <c r="L695" s="444">
        <f t="shared" ca="1" si="54"/>
        <v>-5260707.7094464116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-5260707.7094464116</v>
      </c>
      <c r="J696" s="444">
        <f t="array" ref="J696">IFERROR(INDEX('Retirement Calculator'!K:K,MATCH('Lorri 401b'!N696,'Retirement Calculator'!A:A,0),0),0)</f>
        <v>21655.303514578787</v>
      </c>
      <c r="K696" s="444">
        <f t="shared" ca="1" si="53"/>
        <v>-22009.845887337458</v>
      </c>
      <c r="L696" s="444">
        <f t="shared" ca="1" si="54"/>
        <v>-5304372.8588483278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-5304372.8588483278</v>
      </c>
      <c r="J697" s="444">
        <f t="array" ref="J697">IFERROR(INDEX('Retirement Calculator'!K:K,MATCH('Lorri 401b'!N697,'Retirement Calculator'!A:A,0),0),0)</f>
        <v>21655.303514578787</v>
      </c>
      <c r="K697" s="444">
        <f t="shared" ca="1" si="53"/>
        <v>-22191.784009845444</v>
      </c>
      <c r="L697" s="444">
        <f t="shared" ca="1" si="54"/>
        <v>-5348219.9463727511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-5348219.9463727511</v>
      </c>
      <c r="J698" s="444">
        <f t="array" ref="J698">IFERROR(INDEX('Retirement Calculator'!K:K,MATCH('Lorri 401b'!N698,'Retirement Calculator'!A:A,0),0),0)</f>
        <v>21655.303514578787</v>
      </c>
      <c r="K698" s="444">
        <f t="shared" ca="1" si="53"/>
        <v>-22374.480207863871</v>
      </c>
      <c r="L698" s="444">
        <f t="shared" ca="1" si="54"/>
        <v>-5392249.7300951937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-5392249.7300951937</v>
      </c>
      <c r="J699" s="444">
        <f t="array" ref="J699">IFERROR(INDEX('Retirement Calculator'!K:K,MATCH('Lorri 401b'!N699,'Retirement Calculator'!A:A,0),0),0)</f>
        <v>21655.303514578787</v>
      </c>
      <c r="K699" s="444">
        <f t="shared" ca="1" si="53"/>
        <v>-22557.937640040716</v>
      </c>
      <c r="L699" s="444">
        <f t="shared" ca="1" si="54"/>
        <v>-5436462.9712498132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-5436462.9712498132</v>
      </c>
      <c r="J700" s="444">
        <f t="array" ref="J700">IFERROR(INDEX('Retirement Calculator'!K:K,MATCH('Lorri 401b'!N700,'Retirement Calculator'!A:A,0),0),0)</f>
        <v>21655.303514578787</v>
      </c>
      <c r="K700" s="444">
        <f t="shared" ca="1" si="53"/>
        <v>-22742.159478184964</v>
      </c>
      <c r="L700" s="444">
        <f t="shared" ca="1" si="54"/>
        <v>-5480860.4342425764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-5480860.4342425764</v>
      </c>
      <c r="J701" s="444">
        <f t="array" ref="J701">IFERROR(INDEX('Retirement Calculator'!K:K,MATCH('Lorri 401b'!N701,'Retirement Calculator'!A:A,0),0),0)</f>
        <v>21655.303514578787</v>
      </c>
      <c r="K701" s="444">
        <f t="shared" ca="1" si="53"/>
        <v>-22927.148907321476</v>
      </c>
      <c r="L701" s="444">
        <f t="shared" ca="1" si="54"/>
        <v>-5525442.8866644762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-5525442.8866644762</v>
      </c>
      <c r="J702" s="444">
        <f t="array" ref="J702">IFERROR(INDEX('Retirement Calculator'!K:K,MATCH('Lorri 401b'!N702,'Retirement Calculator'!A:A,0),0),0)</f>
        <v>21655.303514578787</v>
      </c>
      <c r="K702" s="444">
        <f t="shared" ca="1" si="53"/>
        <v>-23112.90912574606</v>
      </c>
      <c r="L702" s="444">
        <f t="shared" ca="1" si="54"/>
        <v>-5570211.0993048009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-5570211.0993048009</v>
      </c>
      <c r="J703" s="444">
        <f t="array" ref="J703">IFERROR(INDEX('Retirement Calculator'!K:K,MATCH('Lorri 401b'!N703,'Retirement Calculator'!A:A,0),0),0)</f>
        <v>21655.303514578787</v>
      </c>
      <c r="K703" s="444">
        <f t="shared" ca="1" si="53"/>
        <v>-23299.443345080748</v>
      </c>
      <c r="L703" s="444">
        <f t="shared" ca="1" si="54"/>
        <v>-5615165.8461644603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-5615165.8461644603</v>
      </c>
      <c r="J704" s="444">
        <f t="array" ref="J704">IFERROR(INDEX('Retirement Calculator'!K:K,MATCH('Lorri 401b'!N704,'Retirement Calculator'!A:A,0),0),0)</f>
        <v>21655.303514578787</v>
      </c>
      <c r="K704" s="444">
        <f t="shared" ca="1" si="53"/>
        <v>-23486.754790329327</v>
      </c>
      <c r="L704" s="444">
        <f t="shared" ca="1" si="54"/>
        <v>-5660307.904469368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-5660307.904469368</v>
      </c>
      <c r="J705" s="444">
        <f t="array" ref="J705">IFERROR(INDEX('Retirement Calculator'!K:K,MATCH('Lorri 401b'!N705,'Retirement Calculator'!A:A,0),0),0)</f>
        <v>21655.303514578787</v>
      </c>
      <c r="K705" s="444">
        <f t="shared" ca="1" si="53"/>
        <v>-23674.84669993311</v>
      </c>
      <c r="L705" s="444">
        <f t="shared" ca="1" si="54"/>
        <v>-5705638.0546838799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-5705638.0546838799</v>
      </c>
      <c r="J706" s="444">
        <f t="array" ref="J706">IFERROR(INDEX('Retirement Calculator'!K:K,MATCH('Lorri 401b'!N706,'Retirement Calculator'!A:A,0),0),0)</f>
        <v>21655.303514578787</v>
      </c>
      <c r="K706" s="444">
        <f t="shared" ca="1" si="53"/>
        <v>-23863.722325826908</v>
      </c>
      <c r="L706" s="444">
        <f t="shared" ca="1" si="54"/>
        <v>-5751157.0805242853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-5751157.0805242853</v>
      </c>
      <c r="J707" s="444">
        <f t="array" ref="J707">IFERROR(INDEX('Retirement Calculator'!K:K,MATCH('Lorri 401b'!N707,'Retirement Calculator'!A:A,0),0),0)</f>
        <v>21655.303514578787</v>
      </c>
      <c r="K707" s="444">
        <f t="shared" ca="1" si="53"/>
        <v>-24053.384933495265</v>
      </c>
      <c r="L707" s="444">
        <f t="shared" ca="1" si="54"/>
        <v>-5796865.7689723587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-5796865.7689723587</v>
      </c>
      <c r="J708" s="444">
        <f t="array" ref="J708">IFERROR(INDEX('Retirement Calculator'!K:K,MATCH('Lorri 401b'!N708,'Retirement Calculator'!A:A,0),0),0)</f>
        <v>21655.303514578787</v>
      </c>
      <c r="K708" s="444">
        <f t="shared" ca="1" si="53"/>
        <v>-24243.837802028906</v>
      </c>
      <c r="L708" s="444">
        <f t="shared" ca="1" si="54"/>
        <v>-5842764.9102889663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-5842764.9102889663</v>
      </c>
      <c r="J709" s="444">
        <f t="array" ref="J709">IFERROR(INDEX('Retirement Calculator'!K:K,MATCH('Lorri 401b'!N709,'Retirement Calculator'!A:A,0),0),0)</f>
        <v>21655.303514578787</v>
      </c>
      <c r="K709" s="444">
        <f t="shared" ca="1" si="53"/>
        <v>-24435.084224181435</v>
      </c>
      <c r="L709" s="444">
        <f t="shared" ca="1" si="54"/>
        <v>-5888855.2980277259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-5888855.2980277259</v>
      </c>
      <c r="J710" s="444">
        <f t="array" ref="J710">IFERROR(INDEX('Retirement Calculator'!K:K,MATCH('Lorri 401b'!N710,'Retirement Calculator'!A:A,0),0),0)</f>
        <v>21655.303514578787</v>
      </c>
      <c r="K710" s="444">
        <f t="shared" ca="1" si="53"/>
        <v>-24627.127506426266</v>
      </c>
      <c r="L710" s="444">
        <f t="shared" ca="1" si="54"/>
        <v>-5935137.7290487308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-5935137.7290487308</v>
      </c>
      <c r="J711" s="444">
        <f t="array" ref="J711">IFERROR(INDEX('Retirement Calculator'!K:K,MATCH('Lorri 401b'!N711,'Retirement Calculator'!A:A,0),0),0)</f>
        <v>21655.303514578787</v>
      </c>
      <c r="K711" s="444">
        <f t="shared" ca="1" si="53"/>
        <v>-24819.97096901379</v>
      </c>
      <c r="L711" s="444">
        <f t="shared" ca="1" si="54"/>
        <v>-5981613.0035323231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-5981613.0035323231</v>
      </c>
      <c r="J712" s="444">
        <f t="array" ref="J712">IFERROR(INDEX('Retirement Calculator'!K:K,MATCH('Lorri 401b'!N712,'Retirement Calculator'!A:A,0),0),0)</f>
        <v>21655.303514578787</v>
      </c>
      <c r="K712" s="444">
        <f t="shared" ca="1" si="53"/>
        <v>-25013.617946028757</v>
      </c>
      <c r="L712" s="444">
        <f t="shared" ca="1" si="54"/>
        <v>-6028281.9249929301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-6028281.9249929301</v>
      </c>
      <c r="J713" s="444">
        <f t="array" ref="J713">IFERROR(INDEX('Retirement Calculator'!K:K,MATCH('Lorri 401b'!N713,'Retirement Calculator'!A:A,0),0),0)</f>
        <v>21655.303514578787</v>
      </c>
      <c r="K713" s="444">
        <f t="shared" ca="1" si="53"/>
        <v>-25208.071785447952</v>
      </c>
      <c r="L713" s="444">
        <f t="shared" ca="1" si="54"/>
        <v>-6075145.3002929566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-6075145.3002929566</v>
      </c>
      <c r="J714" s="444">
        <f t="array" ref="J714">IFERROR(INDEX('Retirement Calculator'!K:K,MATCH('Lorri 401b'!N714,'Retirement Calculator'!A:A,0),0),0)</f>
        <v>21655.303514578787</v>
      </c>
      <c r="K714" s="444">
        <f t="shared" ca="1" si="53"/>
        <v>-25403.335849198062</v>
      </c>
      <c r="L714" s="444">
        <f t="shared" ca="1" si="54"/>
        <v>-6122203.9396567335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-6122203.9396567335</v>
      </c>
      <c r="J715" s="444">
        <f t="array" ref="J715">IFERROR(INDEX('Retirement Calculator'!K:K,MATCH('Lorri 401b'!N715,'Retirement Calculator'!A:A,0),0),0)</f>
        <v>21655.303514578787</v>
      </c>
      <c r="K715" s="444">
        <f t="shared" ca="1" si="53"/>
        <v>-25599.4135132138</v>
      </c>
      <c r="L715" s="444">
        <f t="shared" ca="1" si="54"/>
        <v>-6169458.6566845253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-6169458.6566845253</v>
      </c>
      <c r="J716" s="444">
        <f t="array" ref="J716">IFERROR(INDEX('Retirement Calculator'!K:K,MATCH('Lorri 401b'!N716,'Retirement Calculator'!A:A,0),0),0)</f>
        <v>21655.303514578787</v>
      </c>
      <c r="K716" s="444">
        <f t="shared" ca="1" si="53"/>
        <v>-25796.308167496267</v>
      </c>
      <c r="L716" s="444">
        <f t="shared" ca="1" si="54"/>
        <v>-6216910.2683666004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-6216910.2683666004</v>
      </c>
      <c r="J717" s="444">
        <f t="array" ref="J717">IFERROR(INDEX('Retirement Calculator'!K:K,MATCH('Lorri 401b'!N717,'Retirement Calculator'!A:A,0),0),0)</f>
        <v>21655.303514578787</v>
      </c>
      <c r="K717" s="444">
        <f t="shared" ca="1" si="53"/>
        <v>-25994.023216171579</v>
      </c>
      <c r="L717" s="444">
        <f t="shared" ca="1" si="54"/>
        <v>-6264559.59509735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-6264559.59509735</v>
      </c>
      <c r="J718" s="444">
        <f t="array" ref="J718">IFERROR(INDEX('Retirement Calculator'!K:K,MATCH('Lorri 401b'!N718,'Retirement Calculator'!A:A,0),0),0)</f>
        <v>21655.303514578787</v>
      </c>
      <c r="K718" s="444">
        <f t="shared" ca="1" si="53"/>
        <v>-26192.562077549701</v>
      </c>
      <c r="L718" s="444">
        <f t="shared" ca="1" si="54"/>
        <v>-6312407.4606894776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-6312407.4606894776</v>
      </c>
      <c r="J719" s="444">
        <f t="array" ref="J719">IFERROR(INDEX('Retirement Calculator'!K:K,MATCH('Lorri 401b'!N719,'Retirement Calculator'!A:A,0),0),0)</f>
        <v>21655.303514578787</v>
      </c>
      <c r="K719" s="444">
        <f t="shared" ca="1" si="53"/>
        <v>-26391.928184183565</v>
      </c>
      <c r="L719" s="444">
        <f t="shared" ca="1" si="54"/>
        <v>-6360454.6923882393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-6360454.6923882393</v>
      </c>
      <c r="J720" s="444">
        <f t="array" ref="J720">IFERROR(INDEX('Retirement Calculator'!K:K,MATCH('Lorri 401b'!N720,'Retirement Calculator'!A:A,0),0),0)</f>
        <v>21655.303514578787</v>
      </c>
      <c r="K720" s="444">
        <f t="shared" ca="1" si="53"/>
        <v>-26592.124982928406</v>
      </c>
      <c r="L720" s="444">
        <f t="shared" ca="1" si="54"/>
        <v>-6408702.1208857466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-6408702.1208857466</v>
      </c>
      <c r="J721" s="444">
        <f t="array" ref="J721">IFERROR(INDEX('Retirement Calculator'!K:K,MATCH('Lorri 401b'!N721,'Retirement Calculator'!A:A,0),0),0)</f>
        <v>21655.303514578787</v>
      </c>
      <c r="K721" s="444">
        <f t="shared" ca="1" si="53"/>
        <v>-26793.155935001352</v>
      </c>
      <c r="L721" s="444">
        <f t="shared" ca="1" si="54"/>
        <v>-6457150.5803353265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-6457150.5803353265</v>
      </c>
      <c r="J722" s="444">
        <f t="array" ref="J722">IFERROR(INDEX('Retirement Calculator'!K:K,MATCH('Lorri 401b'!N722,'Retirement Calculator'!A:A,0),0),0)</f>
        <v>21655.303514578787</v>
      </c>
      <c r="K722" s="444">
        <f t="shared" ca="1" si="53"/>
        <v>-26995.024516041271</v>
      </c>
      <c r="L722" s="444">
        <f t="shared" ca="1" si="54"/>
        <v>-6505800.9083659463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-6505800.9083659463</v>
      </c>
      <c r="J723" s="444">
        <f t="array" ref="J723">IFERROR(INDEX('Retirement Calculator'!K:K,MATCH('Lorri 401b'!N723,'Retirement Calculator'!A:A,0),0),0)</f>
        <v>21655.303514578787</v>
      </c>
      <c r="K723" s="444">
        <f t="shared" ca="1" si="53"/>
        <v>-27197.734216168854</v>
      </c>
      <c r="L723" s="444">
        <f t="shared" ca="1" si="54"/>
        <v>-6554653.9460966932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-6554653.9460966932</v>
      </c>
      <c r="J724" s="444">
        <f t="array" ref="J724">IFERROR(INDEX('Retirement Calculator'!K:K,MATCH('Lorri 401b'!N724,'Retirement Calculator'!A:A,0),0),0)</f>
        <v>21655.303514578787</v>
      </c>
      <c r="K724" s="444">
        <f t="shared" ca="1" si="53"/>
        <v>-27401.288540046964</v>
      </c>
      <c r="L724" s="444">
        <f t="shared" ca="1" si="54"/>
        <v>-6603710.5381513182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-6603710.5381513182</v>
      </c>
      <c r="J725" s="444">
        <f t="array" ref="J725">IFERROR(INDEX('Retirement Calculator'!K:K,MATCH('Lorri 401b'!N725,'Retirement Calculator'!A:A,0),0),0)</f>
        <v>21655.303514578787</v>
      </c>
      <c r="K725" s="444">
        <f t="shared" ca="1" si="53"/>
        <v>-27605.691006941237</v>
      </c>
      <c r="L725" s="444">
        <f t="shared" ca="1" si="54"/>
        <v>-6652971.5326728374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-6652971.5326728374</v>
      </c>
      <c r="J726" s="444">
        <f t="array" ref="J726">IFERROR(INDEX('Retirement Calculator'!K:K,MATCH('Lorri 401b'!N726,'Retirement Calculator'!A:A,0),0),0)</f>
        <v>21655.303514578787</v>
      </c>
      <c r="K726" s="444">
        <f t="shared" ca="1" si="53"/>
        <v>-27810.945150780899</v>
      </c>
      <c r="L726" s="444">
        <f t="shared" ca="1" si="54"/>
        <v>-6702437.7813381962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-6702437.7813381962</v>
      </c>
      <c r="J727" s="444">
        <f t="array" ref="J727">IFERROR(INDEX('Retirement Calculator'!K:K,MATCH('Lorri 401b'!N727,'Retirement Calculator'!A:A,0),0),0)</f>
        <v>21655.303514578787</v>
      </c>
      <c r="K727" s="444">
        <f t="shared" ca="1" si="53"/>
        <v>-28017.054520219899</v>
      </c>
      <c r="L727" s="444">
        <f t="shared" ca="1" si="54"/>
        <v>-6752110.1393729942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-6752110.1393729942</v>
      </c>
      <c r="J728" s="444">
        <f t="array" ref="J728">IFERROR(INDEX('Retirement Calculator'!K:K,MATCH('Lorri 401b'!N728,'Retirement Calculator'!A:A,0),0),0)</f>
        <v>21655.303514578787</v>
      </c>
      <c r="K728" s="444">
        <f t="shared" ca="1" si="53"/>
        <v>-28224.02267869822</v>
      </c>
      <c r="L728" s="444">
        <f t="shared" ca="1" si="54"/>
        <v>-6801989.465566271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-6801989.465566271</v>
      </c>
      <c r="J729" s="444">
        <f t="array" ref="J729">IFERROR(INDEX('Retirement Calculator'!K:K,MATCH('Lorri 401b'!N729,'Retirement Calculator'!A:A,0),0),0)</f>
        <v>21655.303514578787</v>
      </c>
      <c r="K729" s="444">
        <f t="shared" ca="1" si="53"/>
        <v>-28431.853204503539</v>
      </c>
      <c r="L729" s="444">
        <f t="shared" ca="1" si="54"/>
        <v>-6852076.622285353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-6852076.622285353</v>
      </c>
      <c r="J730" s="444">
        <f t="array" ref="J730">IFERROR(INDEX('Retirement Calculator'!K:K,MATCH('Lorri 401b'!N730,'Retirement Calculator'!A:A,0),0),0)</f>
        <v>21655.303514578787</v>
      </c>
      <c r="K730" s="444">
        <f t="shared" ca="1" si="53"/>
        <v>-28640.549690833046</v>
      </c>
      <c r="L730" s="444">
        <f t="shared" ca="1" si="54"/>
        <v>-6902372.4754907647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-6902372.4754907647</v>
      </c>
      <c r="J731" s="444">
        <f t="array" ref="J731">IFERROR(INDEX('Retirement Calculator'!K:K,MATCH('Lorri 401b'!N731,'Retirement Calculator'!A:A,0),0),0)</f>
        <v>21655.303514578787</v>
      </c>
      <c r="K731" s="444">
        <f t="shared" ca="1" si="53"/>
        <v>-28850.115745855597</v>
      </c>
      <c r="L731" s="444">
        <f t="shared" ca="1" si="54"/>
        <v>-6952877.8947511986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-6952877.8947511986</v>
      </c>
      <c r="J732" s="444">
        <f t="array" ref="J732">IFERROR(INDEX('Retirement Calculator'!K:K,MATCH('Lorri 401b'!N732,'Retirement Calculator'!A:A,0),0),0)</f>
        <v>21655.303514578787</v>
      </c>
      <c r="K732" s="444">
        <f t="shared" ca="1" si="53"/>
        <v>-29060.554992774076</v>
      </c>
      <c r="L732" s="444">
        <f t="shared" ca="1" si="54"/>
        <v>-7003593.7532585515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-7003593.7532585515</v>
      </c>
      <c r="J733" s="444">
        <f t="array" ref="J733">IFERROR(INDEX('Retirement Calculator'!K:K,MATCH('Lorri 401b'!N733,'Retirement Calculator'!A:A,0),0),0)</f>
        <v>21655.303514578787</v>
      </c>
      <c r="K733" s="444">
        <f t="shared" ca="1" si="53"/>
        <v>-29271.871069888042</v>
      </c>
      <c r="L733" s="444">
        <f t="shared" ca="1" si="54"/>
        <v>-7054520.9278430175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-7054520.9278430175</v>
      </c>
      <c r="J734" s="444">
        <f t="array" ref="J734">IFERROR(INDEX('Retirement Calculator'!K:K,MATCH('Lorri 401b'!N734,'Retirement Calculator'!A:A,0),0),0)</f>
        <v>21655.303514578787</v>
      </c>
      <c r="K734" s="444">
        <f t="shared" ca="1" si="53"/>
        <v>-29484.067630656649</v>
      </c>
      <c r="L734" s="444">
        <f t="shared" ca="1" si="54"/>
        <v>-7105660.2989882529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-7105660.2989882529</v>
      </c>
      <c r="J735" s="444">
        <f t="array" ref="J735">IFERROR(INDEX('Retirement Calculator'!K:K,MATCH('Lorri 401b'!N735,'Retirement Calculator'!A:A,0),0),0)</f>
        <v>21655.303514578787</v>
      </c>
      <c r="K735" s="444">
        <f t="shared" ca="1" si="53"/>
        <v>-29697.148343761797</v>
      </c>
      <c r="L735" s="444">
        <f t="shared" ca="1" si="54"/>
        <v>-7157012.7508465927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-7157012.7508465927</v>
      </c>
      <c r="J736" s="444">
        <f t="array" ref="J736">IFERROR(INDEX('Retirement Calculator'!K:K,MATCH('Lorri 401b'!N736,'Retirement Calculator'!A:A,0),0),0)</f>
        <v>21655.303514578787</v>
      </c>
      <c r="K736" s="444">
        <f t="shared" ca="1" si="53"/>
        <v>-29911.11689317154</v>
      </c>
      <c r="L736" s="444">
        <f t="shared" ca="1" si="54"/>
        <v>-7208579.1712543424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-7208579.1712543424</v>
      </c>
      <c r="J737" s="444">
        <f t="array" ref="J737">IFERROR(INDEX('Retirement Calculator'!K:K,MATCH('Lorri 401b'!N737,'Retirement Calculator'!A:A,0),0),0)</f>
        <v>21655.303514578787</v>
      </c>
      <c r="K737" s="444">
        <f t="shared" ca="1" si="53"/>
        <v>-30125.976978203835</v>
      </c>
      <c r="L737" s="444">
        <f t="shared" ca="1" si="54"/>
        <v>-7260360.451747125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-7260360.451747125</v>
      </c>
      <c r="J738" s="444">
        <f t="array" ref="J738">IFERROR(INDEX('Retirement Calculator'!K:K,MATCH('Lorri 401b'!N738,'Retirement Calculator'!A:A,0),0),0)</f>
        <v>21655.303514578787</v>
      </c>
      <c r="K738" s="444">
        <f t="shared" ca="1" si="53"/>
        <v>-30341.73231359043</v>
      </c>
      <c r="L738" s="444">
        <f t="shared" ca="1" si="54"/>
        <v>-7312357.4875752935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-7312357.4875752935</v>
      </c>
      <c r="J739" s="444">
        <f t="array" ref="J739">IFERROR(INDEX('Retirement Calculator'!K:K,MATCH('Lorri 401b'!N739,'Retirement Calculator'!A:A,0),0),0)</f>
        <v>21655.303514578787</v>
      </c>
      <c r="K739" s="444">
        <f t="shared" ca="1" si="53"/>
        <v>-30558.386629541128</v>
      </c>
      <c r="L739" s="444">
        <f t="shared" ca="1" si="54"/>
        <v>-7364571.1777194133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-7364571.1777194133</v>
      </c>
      <c r="J740" s="444">
        <f t="array" ref="J740">IFERROR(INDEX('Retirement Calculator'!K:K,MATCH('Lorri 401b'!N740,'Retirement Calculator'!A:A,0),0),0)</f>
        <v>21655.303514578787</v>
      </c>
      <c r="K740" s="444">
        <f t="shared" ca="1" si="53"/>
        <v>-30775.943671808294</v>
      </c>
      <c r="L740" s="444">
        <f t="shared" ca="1" si="54"/>
        <v>-7417002.4249058003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-7417002.4249058003</v>
      </c>
      <c r="J741" s="444">
        <f t="array" ref="J741">IFERROR(INDEX('Retirement Calculator'!K:K,MATCH('Lorri 401b'!N741,'Retirement Calculator'!A:A,0),0),0)</f>
        <v>21655.303514578787</v>
      </c>
      <c r="K741" s="444">
        <f t="shared" ca="1" si="53"/>
        <v>-30994.407201751572</v>
      </c>
      <c r="L741" s="444">
        <f t="shared" ca="1" si="54"/>
        <v>-7469652.1356221298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-7469652.1356221298</v>
      </c>
      <c r="J742" s="444">
        <f t="array" ref="J742">IFERROR(INDEX('Retirement Calculator'!K:K,MATCH('Lorri 401b'!N742,'Retirement Calculator'!A:A,0),0),0)</f>
        <v>21655.303514578787</v>
      </c>
      <c r="K742" s="444">
        <f t="shared" ca="1" si="53"/>
        <v>-31213.780996402951</v>
      </c>
      <c r="L742" s="444">
        <f t="shared" ca="1" si="54"/>
        <v>-7522521.2201331109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-7522521.2201331109</v>
      </c>
      <c r="J743" s="444">
        <f t="array" ref="J743">IFERROR(INDEX('Retirement Calculator'!K:K,MATCH('Lorri 401b'!N743,'Retirement Calculator'!A:A,0),0),0)</f>
        <v>21655.303514578787</v>
      </c>
      <c r="K743" s="444">
        <f t="shared" ca="1" si="53"/>
        <v>-31434.068848532039</v>
      </c>
      <c r="L743" s="444">
        <f t="shared" ca="1" si="54"/>
        <v>-7575610.592496221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-7575610.592496221</v>
      </c>
      <c r="J744" s="444">
        <f t="array" ref="J744">IFERROR(INDEX('Retirement Calculator'!K:K,MATCH('Lorri 401b'!N744,'Retirement Calculator'!A:A,0),0),0)</f>
        <v>21655.303514578787</v>
      </c>
      <c r="K744" s="444">
        <f t="shared" ca="1" si="53"/>
        <v>-31655.274566711665</v>
      </c>
      <c r="L744" s="444">
        <f t="shared" ca="1" si="54"/>
        <v>-7628921.1705775112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-7628921.1705775112</v>
      </c>
      <c r="J745" s="444">
        <f t="array" ref="J745">IFERROR(INDEX('Retirement Calculator'!K:K,MATCH('Lorri 401b'!N745,'Retirement Calculator'!A:A,0),0),0)</f>
        <v>21655.303514578787</v>
      </c>
      <c r="K745" s="444">
        <f t="shared" ca="1" si="53"/>
        <v>-31877.401975383706</v>
      </c>
      <c r="L745" s="444">
        <f t="shared" ca="1" si="54"/>
        <v>-7682453.8760674736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-7682453.8760674736</v>
      </c>
      <c r="J746" s="444">
        <f t="array" ref="J746">IFERROR(INDEX('Retirement Calculator'!K:K,MATCH('Lorri 401b'!N746,'Retirement Calculator'!A:A,0),0),0)</f>
        <v>21655.303514578787</v>
      </c>
      <c r="K746" s="444">
        <f t="shared" ca="1" si="53"/>
        <v>-32100.454914925216</v>
      </c>
      <c r="L746" s="444">
        <f t="shared" ca="1" si="54"/>
        <v>-7736209.6344969776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-7736209.6344969776</v>
      </c>
      <c r="J747" s="444">
        <f t="array" ref="J747">IFERROR(INDEX('Retirement Calculator'!K:K,MATCH('Lorri 401b'!N747,'Retirement Calculator'!A:A,0),0),0)</f>
        <v>21655.303514578787</v>
      </c>
      <c r="K747" s="444">
        <f t="shared" ca="1" si="53"/>
        <v>-32324.437241714815</v>
      </c>
      <c r="L747" s="444">
        <f t="shared" ca="1" si="54"/>
        <v>-7790189.3752532704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-7790189.3752532704</v>
      </c>
      <c r="J748" s="444">
        <f t="array" ref="J748">IFERROR(INDEX('Retirement Calculator'!K:K,MATCH('Lorri 401b'!N748,'Retirement Calculator'!A:A,0),0),0)</f>
        <v>21655.303514578787</v>
      </c>
      <c r="K748" s="444">
        <f t="shared" ca="1" si="53"/>
        <v>-32549.352828199364</v>
      </c>
      <c r="L748" s="444">
        <f t="shared" ca="1" si="54"/>
        <v>-7844394.0315960478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-7844394.0315960478</v>
      </c>
      <c r="J749" s="444">
        <f t="array" ref="J749">IFERROR(INDEX('Retirement Calculator'!K:K,MATCH('Lorri 401b'!N749,'Retirement Calculator'!A:A,0),0),0)</f>
        <v>21655.303514578787</v>
      </c>
      <c r="K749" s="444">
        <f t="shared" ca="1" si="53"/>
        <v>-32775.205562960939</v>
      </c>
      <c r="L749" s="444">
        <f t="shared" ca="1" si="54"/>
        <v>-7898824.5406735875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-7898824.5406735875</v>
      </c>
      <c r="J750" s="444">
        <f t="array" ref="J750">IFERROR(INDEX('Retirement Calculator'!K:K,MATCH('Lorri 401b'!N750,'Retirement Calculator'!A:A,0),0),0)</f>
        <v>21655.303514578787</v>
      </c>
      <c r="K750" s="444">
        <f t="shared" ca="1" si="53"/>
        <v>-33001.999350784026</v>
      </c>
      <c r="L750" s="444">
        <f t="shared" ca="1" si="54"/>
        <v>-7953481.8435389502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-7953481.8435389502</v>
      </c>
      <c r="J751" s="444">
        <f t="array" ref="J751">IFERROR(INDEX('Retirement Calculator'!K:K,MATCH('Lorri 401b'!N751,'Retirement Calculator'!A:A,0),0),0)</f>
        <v>21655.303514578787</v>
      </c>
      <c r="K751" s="444">
        <f t="shared" ca="1" si="53"/>
        <v>-33229.738112723033</v>
      </c>
      <c r="L751" s="444">
        <f t="shared" ca="1" si="54"/>
        <v>-8008366.885166252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-8008366.885166252</v>
      </c>
      <c r="J752" s="444">
        <f t="array" ref="J752">IFERROR(INDEX('Retirement Calculator'!K:K,MATCH('Lorri 401b'!N752,'Retirement Calculator'!A:A,0),0),0)</f>
        <v>21655.303514578787</v>
      </c>
      <c r="K752" s="444">
        <f t="shared" ca="1" si="53"/>
        <v>-33458.425786170119</v>
      </c>
      <c r="L752" s="444">
        <f t="shared" ca="1" si="54"/>
        <v>-8063480.6144670006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-8063480.6144670006</v>
      </c>
      <c r="J753" s="444">
        <f t="array" ref="J753">IFERROR(INDEX('Retirement Calculator'!K:K,MATCH('Lorri 401b'!N753,'Retirement Calculator'!A:A,0),0),0)</f>
        <v>21655.303514578787</v>
      </c>
      <c r="K753" s="444">
        <f t="shared" ca="1" si="53"/>
        <v>-33688.066324923246</v>
      </c>
      <c r="L753" s="444">
        <f t="shared" ca="1" si="54"/>
        <v>-8118823.9843065022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-8118823.9843065022</v>
      </c>
      <c r="J754" s="444">
        <f t="array" ref="J754">IFERROR(INDEX('Retirement Calculator'!K:K,MATCH('Lorri 401b'!N754,'Retirement Calculator'!A:A,0),0),0)</f>
        <v>21655.303514578787</v>
      </c>
      <c r="K754" s="444">
        <f t="shared" ca="1" si="53"/>
        <v>-33918.663699254503</v>
      </c>
      <c r="L754" s="444">
        <f t="shared" ca="1" si="54"/>
        <v>-8174397.9515203349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-8174397.9515203349</v>
      </c>
      <c r="J755" s="444">
        <f t="array" ref="J755">IFERROR(INDEX('Retirement Calculator'!K:K,MATCH('Lorri 401b'!N755,'Retirement Calculator'!A:A,0),0),0)</f>
        <v>21655.303514578787</v>
      </c>
      <c r="K755" s="444">
        <f t="shared" ca="1" si="53"/>
        <v>-34150.221895978808</v>
      </c>
      <c r="L755" s="444">
        <f t="shared" ca="1" si="54"/>
        <v>-8230203.4769308921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-8230203.4769308921</v>
      </c>
      <c r="J756" s="444">
        <f t="array" ref="J756">IFERROR(INDEX('Retirement Calculator'!K:K,MATCH('Lorri 401b'!N756,'Retirement Calculator'!A:A,0),0),0)</f>
        <v>21655.303514578787</v>
      </c>
      <c r="K756" s="444">
        <f t="shared" ca="1" si="53"/>
        <v>-34382.744918522796</v>
      </c>
      <c r="L756" s="444">
        <f t="shared" ca="1" si="54"/>
        <v>-8286241.5253639929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-8286241.5253639929</v>
      </c>
      <c r="J757" s="444">
        <f t="array" ref="J757">IFERROR(INDEX('Retirement Calculator'!K:K,MATCH('Lorri 401b'!N757,'Retirement Calculator'!A:A,0),0),0)</f>
        <v>21655.303514578787</v>
      </c>
      <c r="K757" s="444">
        <f t="shared" ca="1" si="53"/>
        <v>-34616.236786994043</v>
      </c>
      <c r="L757" s="444">
        <f t="shared" ca="1" si="54"/>
        <v>-8342513.0656655654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-8342513.0656655654</v>
      </c>
      <c r="J758" s="444">
        <f t="array" ref="J758">IFERROR(INDEX('Retirement Calculator'!K:K,MATCH('Lorri 401b'!N758,'Retirement Calculator'!A:A,0),0),0)</f>
        <v>21655.303514578787</v>
      </c>
      <c r="K758" s="444">
        <f t="shared" ca="1" si="53"/>
        <v>-34850.7015382506</v>
      </c>
      <c r="L758" s="444">
        <f t="shared" ca="1" si="54"/>
        <v>-8399019.0707183946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-8399019.0707183946</v>
      </c>
      <c r="J759" s="444">
        <f t="array" ref="J759">IFERROR(INDEX('Retirement Calculator'!K:K,MATCH('Lorri 401b'!N759,'Retirement Calculator'!A:A,0),0),0)</f>
        <v>21655.303514578787</v>
      </c>
      <c r="K759" s="444">
        <f t="shared" ca="1" si="53"/>
        <v>-35086.143225970722</v>
      </c>
      <c r="L759" s="444">
        <f t="shared" ca="1" si="54"/>
        <v>-8455760.5174589455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-8455760.5174589455</v>
      </c>
      <c r="J760" s="444">
        <f t="array" ref="J760">IFERROR(INDEX('Retirement Calculator'!K:K,MATCH('Lorri 401b'!N760,'Retirement Calculator'!A:A,0),0),0)</f>
        <v>21655.303514578787</v>
      </c>
      <c r="K760" s="444">
        <f t="shared" ca="1" si="53"/>
        <v>-35322.56592072302</v>
      </c>
      <c r="L760" s="444">
        <f t="shared" ca="1" si="54"/>
        <v>-8512738.3868942484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-8512738.3868942484</v>
      </c>
      <c r="J761" s="444">
        <f t="array" ref="J761">IFERROR(INDEX('Retirement Calculator'!K:K,MATCH('Lorri 401b'!N761,'Retirement Calculator'!A:A,0),0),0)</f>
        <v>21655.303514578787</v>
      </c>
      <c r="K761" s="444">
        <f t="shared" ca="1" si="53"/>
        <v>-35559.973710036778</v>
      </c>
      <c r="L761" s="444">
        <f t="shared" ca="1" si="54"/>
        <v>-8569953.6641188636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-8569953.6641188636</v>
      </c>
      <c r="J762" s="444">
        <f t="array" ref="J762">IFERROR(INDEX('Retirement Calculator'!K:K,MATCH('Lorri 401b'!N762,'Retirement Calculator'!A:A,0),0),0)</f>
        <v>21655.303514578787</v>
      </c>
      <c r="K762" s="444">
        <f t="shared" ca="1" si="53"/>
        <v>-35798.370698472681</v>
      </c>
      <c r="L762" s="444">
        <f t="shared" ca="1" si="54"/>
        <v>-8627407.3383319154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-8627407.3383319154</v>
      </c>
      <c r="J763" s="444">
        <f t="array" ref="J763">IFERROR(INDEX('Retirement Calculator'!K:K,MATCH('Lorri 401b'!N763,'Retirement Calculator'!A:A,0),0),0)</f>
        <v>21655.303514578787</v>
      </c>
      <c r="K763" s="444">
        <f t="shared" ca="1" si="53"/>
        <v>-36037.761007693727</v>
      </c>
      <c r="L763" s="444">
        <f t="shared" ca="1" si="54"/>
        <v>-8685100.4028541893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-8685100.4028541893</v>
      </c>
      <c r="J764" s="444">
        <f t="array" ref="J764">IFERROR(INDEX('Retirement Calculator'!K:K,MATCH('Lorri 401b'!N764,'Retirement Calculator'!A:A,0),0),0)</f>
        <v>21655.303514578787</v>
      </c>
      <c r="K764" s="444">
        <f t="shared" ca="1" si="53"/>
        <v>-36278.148776536538</v>
      </c>
      <c r="L764" s="444">
        <f t="shared" ca="1" si="54"/>
        <v>-8743033.8551453054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-8743033.8551453054</v>
      </c>
      <c r="J765" s="444">
        <f t="array" ref="J765">IFERROR(INDEX('Retirement Calculator'!K:K,MATCH('Lorri 401b'!N765,'Retirement Calculator'!A:A,0),0),0)</f>
        <v>21655.303514578787</v>
      </c>
      <c r="K765" s="444">
        <f t="shared" ca="1" si="53"/>
        <v>-36519.538161082855</v>
      </c>
      <c r="L765" s="444">
        <f t="shared" ca="1" si="54"/>
        <v>-8801208.6968209669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-8801208.6968209669</v>
      </c>
      <c r="J766" s="444">
        <f t="array" ref="J766">IFERROR(INDEX('Retirement Calculator'!K:K,MATCH('Lorri 401b'!N766,'Retirement Calculator'!A:A,0),0),0)</f>
        <v>21655.303514578787</v>
      </c>
      <c r="K766" s="444">
        <f t="shared" ca="1" si="53"/>
        <v>-36761.933334731439</v>
      </c>
      <c r="L766" s="444">
        <f t="shared" ca="1" si="54"/>
        <v>-8859625.9336702768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-8859625.9336702768</v>
      </c>
      <c r="J767" s="444">
        <f t="array" ref="J767">IFERROR(INDEX('Retirement Calculator'!K:K,MATCH('Lorri 401b'!N767,'Retirement Calculator'!A:A,0),0),0)</f>
        <v>21655.303514578787</v>
      </c>
      <c r="K767" s="444">
        <f t="shared" ca="1" si="53"/>
        <v>-37005.33848827023</v>
      </c>
      <c r="L767" s="444">
        <f t="shared" ca="1" si="54"/>
        <v>-8918286.5756731257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-8918286.5756731257</v>
      </c>
      <c r="J768" s="444">
        <f t="array" ref="J768">IFERROR(INDEX('Retirement Calculator'!K:K,MATCH('Lorri 401b'!N768,'Retirement Calculator'!A:A,0),0),0)</f>
        <v>21655.303514578787</v>
      </c>
      <c r="K768" s="444">
        <f t="shared" ca="1" si="53"/>
        <v>-37249.757829948772</v>
      </c>
      <c r="L768" s="444">
        <f t="shared" ca="1" si="54"/>
        <v>-8977191.6370176543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-8977191.6370176543</v>
      </c>
      <c r="J769" s="444">
        <f t="array" ref="J769">IFERROR(INDEX('Retirement Calculator'!K:K,MATCH('Lorri 401b'!N769,'Retirement Calculator'!A:A,0),0),0)</f>
        <v>21655.303514578787</v>
      </c>
      <c r="K769" s="444">
        <f t="shared" ca="1" si="53"/>
        <v>-37495.195585550973</v>
      </c>
      <c r="L769" s="444">
        <f t="shared" ca="1" si="54"/>
        <v>-9036342.1361177843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-9036342.1361177843</v>
      </c>
      <c r="J770" s="444">
        <f t="array" ref="J770">IFERROR(INDEX('Retirement Calculator'!K:K,MATCH('Lorri 401b'!N770,'Retirement Calculator'!A:A,0),0),0)</f>
        <v>21655.303514578787</v>
      </c>
      <c r="K770" s="444">
        <f t="shared" ca="1" si="53"/>
        <v>-37741.655998468181</v>
      </c>
      <c r="L770" s="444">
        <f t="shared" ca="1" si="54"/>
        <v>-9095739.095630832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-9095739.095630832</v>
      </c>
      <c r="J771" s="444">
        <f t="array" ref="J771">IFERROR(INDEX('Retirement Calculator'!K:K,MATCH('Lorri 401b'!N771,'Retirement Calculator'!A:A,0),0),0)</f>
        <v>21655.303514578787</v>
      </c>
      <c r="K771" s="444">
        <f t="shared" ca="1" si="53"/>
        <v>-37989.143329772545</v>
      </c>
      <c r="L771" s="444">
        <f t="shared" ca="1" si="54"/>
        <v>-9155383.5424751844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-9155383.5424751844</v>
      </c>
      <c r="J772" s="444">
        <f t="array" ref="J772">IFERROR(INDEX('Retirement Calculator'!K:K,MATCH('Lorri 401b'!N772,'Retirement Calculator'!A:A,0),0),0)</f>
        <v>21655.303514578787</v>
      </c>
      <c r="K772" s="444">
        <f t="shared" ca="1" si="53"/>
        <v>-38237.661858290681</v>
      </c>
      <c r="L772" s="444">
        <f t="shared" ca="1" si="54"/>
        <v>-9215276.5078480542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-9215276.5078480542</v>
      </c>
      <c r="J773" s="444">
        <f t="array" ref="J773">IFERROR(INDEX('Retirement Calculator'!K:K,MATCH('Lorri 401b'!N773,'Retirement Calculator'!A:A,0),0),0)</f>
        <v>21655.303514578787</v>
      </c>
      <c r="K773" s="444">
        <f t="shared" ref="K773:K1027" ca="1" si="79">IPMT(M773/12,1,12,-I773+J773,,0)</f>
        <v>-38487.215880677642</v>
      </c>
      <c r="L773" s="444">
        <f t="shared" ref="L773:L1027" ca="1" si="80">I773-J773+K773</f>
        <v>-9275419.0272433106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-9275419.0272433106</v>
      </c>
      <c r="J774" s="444">
        <f t="array" ref="J774">IFERROR(INDEX('Retirement Calculator'!K:K,MATCH('Lorri 401b'!N774,'Retirement Calculator'!A:A,0),0),0)</f>
        <v>21655.303514578787</v>
      </c>
      <c r="K774" s="444">
        <f t="shared" ca="1" si="79"/>
        <v>-38737.809711491209</v>
      </c>
      <c r="L774" s="444">
        <f t="shared" ca="1" si="80"/>
        <v>-9335812.1404693816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-9335812.1404693816</v>
      </c>
      <c r="J775" s="444">
        <f t="array" ref="J775">IFERROR(INDEX('Retirement Calculator'!K:K,MATCH('Lorri 401b'!N775,'Retirement Calculator'!A:A,0),0),0)</f>
        <v>21655.303514578787</v>
      </c>
      <c r="K775" s="444">
        <f t="shared" ca="1" si="79"/>
        <v>-38989.447683266502</v>
      </c>
      <c r="L775" s="444">
        <f t="shared" ca="1" si="80"/>
        <v>-9396456.8916672282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-9396456.8916672282</v>
      </c>
      <c r="J776" s="444">
        <f t="array" ref="J776">IFERROR(INDEX('Retirement Calculator'!K:K,MATCH('Lorri 401b'!N776,'Retirement Calculator'!A:A,0),0),0)</f>
        <v>21655.303514578787</v>
      </c>
      <c r="K776" s="444">
        <f t="shared" ca="1" si="79"/>
        <v>-39242.134146590863</v>
      </c>
      <c r="L776" s="444">
        <f t="shared" ca="1" si="80"/>
        <v>-9457354.3293283992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-9457354.3293283992</v>
      </c>
      <c r="J777" s="444">
        <f t="array" ref="J777">IFERROR(INDEX('Retirement Calculator'!K:K,MATCH('Lorri 401b'!N777,'Retirement Calculator'!A:A,0),0),0)</f>
        <v>21655.303514578787</v>
      </c>
      <c r="K777" s="444">
        <f t="shared" ca="1" si="79"/>
        <v>-39495.873470179075</v>
      </c>
      <c r="L777" s="444">
        <f t="shared" ca="1" si="80"/>
        <v>-9518505.5063131582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-9518505.5063131582</v>
      </c>
      <c r="J778" s="444">
        <f t="array" ref="J778">IFERROR(INDEX('Retirement Calculator'!K:K,MATCH('Lorri 401b'!N778,'Retirement Calculator'!A:A,0),0),0)</f>
        <v>21655.303514578787</v>
      </c>
      <c r="K778" s="444">
        <f t="shared" ca="1" si="79"/>
        <v>-39750.670040948906</v>
      </c>
      <c r="L778" s="444">
        <f t="shared" ca="1" si="80"/>
        <v>-9579911.4798686858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-9579911.4798686858</v>
      </c>
      <c r="J779" s="444">
        <f t="array" ref="J779">IFERROR(INDEX('Retirement Calculator'!K:K,MATCH('Lorri 401b'!N779,'Retirement Calculator'!A:A,0),0),0)</f>
        <v>21655.303514578787</v>
      </c>
      <c r="K779" s="444">
        <f t="shared" ca="1" si="79"/>
        <v>-40006.528264096938</v>
      </c>
      <c r="L779" s="444">
        <f t="shared" ca="1" si="80"/>
        <v>-9641573.311647363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-9641573.311647363</v>
      </c>
      <c r="J780" s="444">
        <f t="array" ref="J780">IFERROR(INDEX('Retirement Calculator'!K:K,MATCH('Lorri 401b'!N780,'Retirement Calculator'!A:A,0),0),0)</f>
        <v>21655.303514578787</v>
      </c>
      <c r="K780" s="444">
        <f t="shared" ca="1" si="79"/>
        <v>-40263.45256317476</v>
      </c>
      <c r="L780" s="444">
        <f t="shared" ca="1" si="80"/>
        <v>-9703492.0677251164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-9703492.0677251164</v>
      </c>
      <c r="J781" s="444">
        <f t="array" ref="J781">IFERROR(INDEX('Retirement Calculator'!K:K,MATCH('Lorri 401b'!N781,'Retirement Calculator'!A:A,0),0),0)</f>
        <v>21655.303514578787</v>
      </c>
      <c r="K781" s="444">
        <f t="shared" ca="1" si="79"/>
        <v>-40521.447380165395</v>
      </c>
      <c r="L781" s="444">
        <f t="shared" ca="1" si="80"/>
        <v>-9765668.8186198603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-9765668.8186198603</v>
      </c>
      <c r="J782" s="444">
        <f t="array" ref="J782">IFERROR(INDEX('Retirement Calculator'!K:K,MATCH('Lorri 401b'!N782,'Retirement Calculator'!A:A,0),0),0)</f>
        <v>21655.303514578787</v>
      </c>
      <c r="K782" s="444">
        <f t="shared" ca="1" si="79"/>
        <v>-40780.517175560162</v>
      </c>
      <c r="L782" s="444">
        <f t="shared" ca="1" si="80"/>
        <v>-9828104.6393100005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-9828104.6393100005</v>
      </c>
      <c r="J783" s="444">
        <f t="array" ref="J783">IFERROR(INDEX('Retirement Calculator'!K:K,MATCH('Lorri 401b'!N783,'Retirement Calculator'!A:A,0),0),0)</f>
        <v>21655.303514578787</v>
      </c>
      <c r="K783" s="444">
        <f t="shared" ca="1" si="79"/>
        <v>-41040.666428435747</v>
      </c>
      <c r="L783" s="444">
        <f t="shared" ca="1" si="80"/>
        <v>-9890800.6092530154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-9890800.6092530154</v>
      </c>
      <c r="J784" s="444">
        <f t="array" ref="J784">IFERROR(INDEX('Retirement Calculator'!K:K,MATCH('Lorri 401b'!N784,'Retirement Calculator'!A:A,0),0),0)</f>
        <v>21655.303514578787</v>
      </c>
      <c r="K784" s="444">
        <f t="shared" ca="1" si="79"/>
        <v>-41301.899636531642</v>
      </c>
      <c r="L784" s="444">
        <f t="shared" ca="1" si="80"/>
        <v>-9953757.8124041259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-9953757.8124041259</v>
      </c>
      <c r="J785" s="444">
        <f t="array" ref="J785">IFERROR(INDEX('Retirement Calculator'!K:K,MATCH('Lorri 401b'!N785,'Retirement Calculator'!A:A,0),0),0)</f>
        <v>21655.303514578787</v>
      </c>
      <c r="K785" s="444">
        <f t="shared" ca="1" si="79"/>
        <v>-41564.221316327938</v>
      </c>
      <c r="L785" s="444">
        <f t="shared" ca="1" si="80"/>
        <v>-10016977.337235034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-10016977.337235034</v>
      </c>
      <c r="J786" s="444">
        <f t="array" ref="J786">IFERROR(INDEX('Retirement Calculator'!K:K,MATCH('Lorri 401b'!N786,'Retirement Calculator'!A:A,0),0),0)</f>
        <v>21655.303514578787</v>
      </c>
      <c r="K786" s="444">
        <f t="shared" ca="1" si="79"/>
        <v>-41827.636003123385</v>
      </c>
      <c r="L786" s="444">
        <f t="shared" ca="1" si="80"/>
        <v>-10080460.276752736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-10080460.276752736</v>
      </c>
      <c r="J787" s="444">
        <f t="array" ref="J787">IFERROR(INDEX('Retirement Calculator'!K:K,MATCH('Lorri 401b'!N787,'Retirement Calculator'!A:A,0),0),0)</f>
        <v>21655.303514578787</v>
      </c>
      <c r="K787" s="444">
        <f t="shared" ca="1" si="79"/>
        <v>-42092.148251113817</v>
      </c>
      <c r="L787" s="444">
        <f t="shared" ca="1" si="80"/>
        <v>-10144207.72851843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-10144207.72851843</v>
      </c>
      <c r="J788" s="444">
        <f t="array" ref="J788">IFERROR(INDEX('Retirement Calculator'!K:K,MATCH('Lorri 401b'!N788,'Retirement Calculator'!A:A,0),0),0)</f>
        <v>21655.303514578787</v>
      </c>
      <c r="K788" s="444">
        <f t="shared" ca="1" si="79"/>
        <v>-42357.762633470869</v>
      </c>
      <c r="L788" s="444">
        <f t="shared" ca="1" si="80"/>
        <v>-10208220.79466648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-10208220.79466648</v>
      </c>
      <c r="J789" s="444">
        <f t="array" ref="J789">IFERROR(INDEX('Retirement Calculator'!K:K,MATCH('Lorri 401b'!N789,'Retirement Calculator'!A:A,0),0),0)</f>
        <v>21655.303514578787</v>
      </c>
      <c r="K789" s="444">
        <f t="shared" ca="1" si="79"/>
        <v>-42624.483742421078</v>
      </c>
      <c r="L789" s="444">
        <f t="shared" ca="1" si="80"/>
        <v>-10272500.581923481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-10272500.581923481</v>
      </c>
      <c r="J790" s="444">
        <f t="array" ref="J790">IFERROR(INDEX('Retirement Calculator'!K:K,MATCH('Lorri 401b'!N790,'Retirement Calculator'!A:A,0),0),0)</f>
        <v>21655.303514578787</v>
      </c>
      <c r="K790" s="444">
        <f t="shared" ca="1" si="79"/>
        <v>-42892.316189325255</v>
      </c>
      <c r="L790" s="444">
        <f t="shared" ca="1" si="80"/>
        <v>-10337048.201627385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-10337048.201627385</v>
      </c>
      <c r="J791" s="444">
        <f t="array" ref="J791">IFERROR(INDEX('Retirement Calculator'!K:K,MATCH('Lorri 401b'!N791,'Retirement Calculator'!A:A,0),0),0)</f>
        <v>21655.303514578787</v>
      </c>
      <c r="K791" s="444">
        <f t="shared" ca="1" si="79"/>
        <v>-43161.26460475818</v>
      </c>
      <c r="L791" s="444">
        <f t="shared" ca="1" si="80"/>
        <v>-10401864.769746723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-10401864.769746723</v>
      </c>
      <c r="J792" s="444">
        <f t="array" ref="J792">IFERROR(INDEX('Retirement Calculator'!K:K,MATCH('Lorri 401b'!N792,'Retirement Calculator'!A:A,0),0),0)</f>
        <v>21655.303514578787</v>
      </c>
      <c r="K792" s="444">
        <f t="shared" ca="1" si="79"/>
        <v>-43431.33363858876</v>
      </c>
      <c r="L792" s="444">
        <f t="shared" ca="1" si="80"/>
        <v>-10466951.40689989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-10466951.40689989</v>
      </c>
      <c r="J793" s="444">
        <f t="array" ref="J793">IFERROR(INDEX('Retirement Calculator'!K:K,MATCH('Lorri 401b'!N793,'Retirement Calculator'!A:A,0),0),0)</f>
        <v>21655.303514578787</v>
      </c>
      <c r="K793" s="444">
        <f t="shared" ca="1" si="79"/>
        <v>-43702.527960060288</v>
      </c>
      <c r="L793" s="444">
        <f t="shared" ca="1" si="80"/>
        <v>-10532309.238374529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-10532309.238374529</v>
      </c>
      <c r="J794" s="444">
        <f t="array" ref="J794">IFERROR(INDEX('Retirement Calculator'!K:K,MATCH('Lorri 401b'!N794,'Retirement Calculator'!A:A,0),0),0)</f>
        <v>21655.303514578787</v>
      </c>
      <c r="K794" s="444">
        <f t="shared" ca="1" si="79"/>
        <v>-43974.852257871287</v>
      </c>
      <c r="L794" s="444">
        <f t="shared" ca="1" si="80"/>
        <v>-10597939.394146981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-10597939.394146981</v>
      </c>
      <c r="J795" s="444">
        <f t="array" ref="J795">IFERROR(INDEX('Retirement Calculator'!K:K,MATCH('Lorri 401b'!N795,'Retirement Calculator'!A:A,0),0),0)</f>
        <v>21655.303514578787</v>
      </c>
      <c r="K795" s="444">
        <f t="shared" ca="1" si="79"/>
        <v>-44248.311240256502</v>
      </c>
      <c r="L795" s="444">
        <f t="shared" ca="1" si="80"/>
        <v>-10663843.008901816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-10663843.008901816</v>
      </c>
      <c r="J796" s="444">
        <f t="array" ref="J796">IFERROR(INDEX('Retirement Calculator'!K:K,MATCH('Lorri 401b'!N796,'Retirement Calculator'!A:A,0),0),0)</f>
        <v>21655.303514578787</v>
      </c>
      <c r="K796" s="444">
        <f t="shared" ca="1" si="79"/>
        <v>-44522.90963506831</v>
      </c>
      <c r="L796" s="444">
        <f t="shared" ca="1" si="80"/>
        <v>-10730021.222051464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-10730021.222051464</v>
      </c>
      <c r="J797" s="444">
        <f t="array" ref="J797">IFERROR(INDEX('Retirement Calculator'!K:K,MATCH('Lorri 401b'!N797,'Retirement Calculator'!A:A,0),0),0)</f>
        <v>21655.303514578787</v>
      </c>
      <c r="K797" s="444">
        <f t="shared" ca="1" si="79"/>
        <v>-44798.652189858512</v>
      </c>
      <c r="L797" s="444">
        <f t="shared" ca="1" si="80"/>
        <v>-10796475.177755902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-10796475.177755902</v>
      </c>
      <c r="J798" s="444">
        <f t="array" ref="J798">IFERROR(INDEX('Retirement Calculator'!K:K,MATCH('Lorri 401b'!N798,'Retirement Calculator'!A:A,0),0),0)</f>
        <v>21655.303514578787</v>
      </c>
      <c r="K798" s="444">
        <f t="shared" ca="1" si="79"/>
        <v>-45075.543671960339</v>
      </c>
      <c r="L798" s="444">
        <f t="shared" ca="1" si="80"/>
        <v>-10863206.024942441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-10863206.024942441</v>
      </c>
      <c r="J799" s="444">
        <f t="array" ref="J799">IFERROR(INDEX('Retirement Calculator'!K:K,MATCH('Lorri 401b'!N799,'Retirement Calculator'!A:A,0),0),0)</f>
        <v>21655.303514578787</v>
      </c>
      <c r="K799" s="444">
        <f t="shared" ca="1" si="79"/>
        <v>-45353.588868570914</v>
      </c>
      <c r="L799" s="444">
        <f t="shared" ca="1" si="80"/>
        <v>-10930214.917325592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-10930214.917325592</v>
      </c>
      <c r="J800" s="444">
        <f t="array" ref="J800">IFERROR(INDEX('Retirement Calculator'!K:K,MATCH('Lorri 401b'!N800,'Retirement Calculator'!A:A,0),0),0)</f>
        <v>21655.303514578787</v>
      </c>
      <c r="K800" s="444">
        <f t="shared" ca="1" si="79"/>
        <v>-45632.792586834046</v>
      </c>
      <c r="L800" s="444">
        <f t="shared" ca="1" si="80"/>
        <v>-10997503.013427004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-10997503.013427004</v>
      </c>
      <c r="J801" s="444">
        <f t="array" ref="J801">IFERROR(INDEX('Retirement Calculator'!K:K,MATCH('Lorri 401b'!N801,'Retirement Calculator'!A:A,0),0),0)</f>
        <v>21655.303514578787</v>
      </c>
      <c r="K801" s="444">
        <f t="shared" ca="1" si="79"/>
        <v>-45913.159653923263</v>
      </c>
      <c r="L801" s="444">
        <f t="shared" ca="1" si="80"/>
        <v>-11065071.476595506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-11065071.476595506</v>
      </c>
      <c r="J802" s="444">
        <f t="array" ref="J802">IFERROR(INDEX('Retirement Calculator'!K:K,MATCH('Lorri 401b'!N802,'Retirement Calculator'!A:A,0),0),0)</f>
        <v>21655.303514578787</v>
      </c>
      <c r="K802" s="444">
        <f t="shared" ca="1" si="79"/>
        <v>-46194.694917125358</v>
      </c>
      <c r="L802" s="444">
        <f t="shared" ca="1" si="80"/>
        <v>-11132921.475027211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-11132921.475027211</v>
      </c>
      <c r="J803" s="444">
        <f t="array" ref="J803">IFERROR(INDEX('Retirement Calculator'!K:K,MATCH('Lorri 401b'!N803,'Retirement Calculator'!A:A,0),0),0)</f>
        <v>21655.303514578787</v>
      </c>
      <c r="K803" s="444">
        <f t="shared" ca="1" si="79"/>
        <v>-46477.403243924127</v>
      </c>
      <c r="L803" s="444">
        <f t="shared" ca="1" si="80"/>
        <v>-11201054.181785714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-11201054.181785714</v>
      </c>
      <c r="J804" s="444">
        <f t="array" ref="J804">IFERROR(INDEX('Retirement Calculator'!K:K,MATCH('Lorri 401b'!N804,'Retirement Calculator'!A:A,0),0),0)</f>
        <v>21655.303514578787</v>
      </c>
      <c r="K804" s="444">
        <f t="shared" ca="1" si="79"/>
        <v>-46761.289522084553</v>
      </c>
      <c r="L804" s="444">
        <f t="shared" ca="1" si="80"/>
        <v>-11269470.774822379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-11269470.774822379</v>
      </c>
      <c r="J805" s="444">
        <f t="array" ref="J805">IFERROR(INDEX('Retirement Calculator'!K:K,MATCH('Lorri 401b'!N805,'Retirement Calculator'!A:A,0),0),0)</f>
        <v>21655.303514578787</v>
      </c>
      <c r="K805" s="444">
        <f t="shared" ca="1" si="79"/>
        <v>-47046.358659737321</v>
      </c>
      <c r="L805" s="444">
        <f t="shared" ca="1" si="80"/>
        <v>-11338172.436996695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-11338172.436996695</v>
      </c>
      <c r="J806" s="444">
        <f t="array" ref="J806">IFERROR(INDEX('Retirement Calculator'!K:K,MATCH('Lorri 401b'!N806,'Retirement Calculator'!A:A,0),0),0)</f>
        <v>21655.303514578787</v>
      </c>
      <c r="K806" s="444">
        <f t="shared" ca="1" si="79"/>
        <v>-47332.615585463638</v>
      </c>
      <c r="L806" s="444">
        <f t="shared" ca="1" si="80"/>
        <v>-11407160.356096737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-11407160.356096737</v>
      </c>
      <c r="J807" s="444">
        <f t="array" ref="J807">IFERROR(INDEX('Retirement Calculator'!K:K,MATCH('Lorri 401b'!N807,'Retirement Calculator'!A:A,0),0),0)</f>
        <v>21655.303514578787</v>
      </c>
      <c r="K807" s="444">
        <f t="shared" ca="1" si="79"/>
        <v>-47620.065248380488</v>
      </c>
      <c r="L807" s="444">
        <f t="shared" ca="1" si="80"/>
        <v>-11476435.724859698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-11476435.724859698</v>
      </c>
      <c r="J808" s="444">
        <f t="array" ref="J808">IFERROR(INDEX('Retirement Calculator'!K:K,MATCH('Lorri 401b'!N808,'Retirement Calculator'!A:A,0),0),0)</f>
        <v>21655.303514578787</v>
      </c>
      <c r="K808" s="444">
        <f t="shared" ca="1" si="79"/>
        <v>-47908.712618226156</v>
      </c>
      <c r="L808" s="444">
        <f t="shared" ca="1" si="80"/>
        <v>-11545999.740992503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-11545999.740992503</v>
      </c>
      <c r="J809" s="444">
        <f t="array" ref="J809">IFERROR(INDEX('Retirement Calculator'!K:K,MATCH('Lorri 401b'!N809,'Retirement Calculator'!A:A,0),0),0)</f>
        <v>21655.303514578787</v>
      </c>
      <c r="K809" s="444">
        <f t="shared" ca="1" si="79"/>
        <v>-48198.562685446173</v>
      </c>
      <c r="L809" s="444">
        <f t="shared" ca="1" si="80"/>
        <v>-11615853.607192529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-11615853.607192529</v>
      </c>
      <c r="J810" s="444">
        <f t="array" ref="J810">IFERROR(INDEX('Retirement Calculator'!K:K,MATCH('Lorri 401b'!N810,'Retirement Calculator'!A:A,0),0),0)</f>
        <v>21655.303514578787</v>
      </c>
      <c r="K810" s="444">
        <f t="shared" ca="1" si="79"/>
        <v>-48489.620461279621</v>
      </c>
      <c r="L810" s="444">
        <f t="shared" ca="1" si="80"/>
        <v>-11685998.531168388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-11685998.531168388</v>
      </c>
      <c r="J811" s="444">
        <f t="array" ref="J811">IFERROR(INDEX('Retirement Calculator'!K:K,MATCH('Lorri 401b'!N811,'Retirement Calculator'!A:A,0),0),0)</f>
        <v>21655.303514578787</v>
      </c>
      <c r="K811" s="444">
        <f t="shared" ca="1" si="79"/>
        <v>-48781.890977845695</v>
      </c>
      <c r="L811" s="444">
        <f t="shared" ca="1" si="80"/>
        <v>-11756435.725660814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-11756435.725660814</v>
      </c>
      <c r="J812" s="444">
        <f t="array" ref="J812">IFERROR(INDEX('Retirement Calculator'!K:K,MATCH('Lorri 401b'!N812,'Retirement Calculator'!A:A,0),0),0)</f>
        <v>21655.303514578787</v>
      </c>
      <c r="K812" s="444">
        <f t="shared" ca="1" si="79"/>
        <v>-49075.379288230804</v>
      </c>
      <c r="L812" s="444">
        <f t="shared" ca="1" si="80"/>
        <v>-11827166.408463623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-11827166.408463623</v>
      </c>
      <c r="J813" s="444">
        <f t="array" ref="J813">IFERROR(INDEX('Retirement Calculator'!K:K,MATCH('Lorri 401b'!N813,'Retirement Calculator'!A:A,0),0),0)</f>
        <v>21655.303514578787</v>
      </c>
      <c r="K813" s="444">
        <f t="shared" ca="1" si="79"/>
        <v>-49370.090466575843</v>
      </c>
      <c r="L813" s="444">
        <f t="shared" ca="1" si="80"/>
        <v>-11898191.802444778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-11898191.802444778</v>
      </c>
      <c r="J814" s="444">
        <f t="array" ref="J814">IFERROR(INDEX('Retirement Calculator'!K:K,MATCH('Lorri 401b'!N814,'Retirement Calculator'!A:A,0),0),0)</f>
        <v>21655.303514578787</v>
      </c>
      <c r="K814" s="444">
        <f t="shared" ca="1" si="79"/>
        <v>-49666.02960816399</v>
      </c>
      <c r="L814" s="444">
        <f t="shared" ca="1" si="80"/>
        <v>-11969513.135567522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-11969513.135567522</v>
      </c>
      <c r="J815" s="444">
        <f t="array" ref="J815">IFERROR(INDEX('Retirement Calculator'!K:K,MATCH('Lorri 401b'!N815,'Retirement Calculator'!A:A,0),0),0)</f>
        <v>21655.303514578787</v>
      </c>
      <c r="K815" s="444">
        <f t="shared" ca="1" si="79"/>
        <v>-49963.201829508755</v>
      </c>
      <c r="L815" s="444">
        <f t="shared" ca="1" si="80"/>
        <v>-12041131.640911609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-12041131.640911609</v>
      </c>
      <c r="J816" s="444">
        <f t="array" ref="J816">IFERROR(INDEX('Retirement Calculator'!K:K,MATCH('Lorri 401b'!N816,'Retirement Calculator'!A:A,0),0),0)</f>
        <v>21655.303514578787</v>
      </c>
      <c r="K816" s="444">
        <f t="shared" ca="1" si="79"/>
        <v>-50261.612268442448</v>
      </c>
      <c r="L816" s="444">
        <f t="shared" ca="1" si="80"/>
        <v>-12113048.556694631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-12113048.556694631</v>
      </c>
      <c r="J817" s="444">
        <f t="array" ref="J817">IFERROR(INDEX('Retirement Calculator'!K:K,MATCH('Lorri 401b'!N817,'Retirement Calculator'!A:A,0),0),0)</f>
        <v>21655.303514578787</v>
      </c>
      <c r="K817" s="444">
        <f t="shared" ca="1" si="79"/>
        <v>-50561.266084205039</v>
      </c>
      <c r="L817" s="444">
        <f t="shared" ca="1" si="80"/>
        <v>-12185265.126293415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-12185265.126293415</v>
      </c>
      <c r="J818" s="444">
        <f t="array" ref="J818">IFERROR(INDEX('Retirement Calculator'!K:K,MATCH('Lorri 401b'!N818,'Retirement Calculator'!A:A,0),0),0)</f>
        <v>21655.303514578787</v>
      </c>
      <c r="K818" s="444">
        <f t="shared" ca="1" si="79"/>
        <v>-50862.168457533313</v>
      </c>
      <c r="L818" s="444">
        <f t="shared" ca="1" si="80"/>
        <v>-12257782.598265529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-12257782.598265529</v>
      </c>
      <c r="J819" s="444">
        <f t="array" ref="J819">IFERROR(INDEX('Retirement Calculator'!K:K,MATCH('Lorri 401b'!N819,'Retirement Calculator'!A:A,0),0),0)</f>
        <v>21655.303514578787</v>
      </c>
      <c r="K819" s="444">
        <f t="shared" ca="1" si="79"/>
        <v>-51164.324590750446</v>
      </c>
      <c r="L819" s="444">
        <f t="shared" ca="1" si="80"/>
        <v>-12330602.226370858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-12330602.226370858</v>
      </c>
      <c r="J820" s="444">
        <f t="array" ref="J820">IFERROR(INDEX('Retirement Calculator'!K:K,MATCH('Lorri 401b'!N820,'Retirement Calculator'!A:A,0),0),0)</f>
        <v>21655.303514578787</v>
      </c>
      <c r="K820" s="444">
        <f t="shared" ca="1" si="79"/>
        <v>-51467.739707855988</v>
      </c>
      <c r="L820" s="444">
        <f t="shared" ca="1" si="80"/>
        <v>-12403725.269593293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-12403725.269593293</v>
      </c>
      <c r="J821" s="444">
        <f t="array" ref="J821">IFERROR(INDEX('Retirement Calculator'!K:K,MATCH('Lorri 401b'!N821,'Retirement Calculator'!A:A,0),0),0)</f>
        <v>21655.303514578787</v>
      </c>
      <c r="K821" s="444">
        <f t="shared" ca="1" si="79"/>
        <v>-51772.419054616134</v>
      </c>
      <c r="L821" s="444">
        <f t="shared" ca="1" si="80"/>
        <v>-12477152.992162488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-12477152.992162488</v>
      </c>
      <c r="J822" s="444">
        <f t="array" ref="J822">IFERROR(INDEX('Retirement Calculator'!K:K,MATCH('Lorri 401b'!N822,'Retirement Calculator'!A:A,0),0),0)</f>
        <v>21655.303514578787</v>
      </c>
      <c r="K822" s="444">
        <f t="shared" ca="1" si="79"/>
        <v>-52078.367898654447</v>
      </c>
      <c r="L822" s="444">
        <f t="shared" ca="1" si="80"/>
        <v>-12550886.663575722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-12550886.663575722</v>
      </c>
      <c r="J823" s="444">
        <f t="array" ref="J823">IFERROR(INDEX('Retirement Calculator'!K:K,MATCH('Lorri 401b'!N823,'Retirement Calculator'!A:A,0),0),0)</f>
        <v>21655.303514578787</v>
      </c>
      <c r="K823" s="444">
        <f t="shared" ca="1" si="79"/>
        <v>-52385.591529542922</v>
      </c>
      <c r="L823" s="444">
        <f t="shared" ca="1" si="80"/>
        <v>-12624927.558619844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-12624927.558619844</v>
      </c>
      <c r="J824" s="444">
        <f t="array" ref="J824">IFERROR(INDEX('Retirement Calculator'!K:K,MATCH('Lorri 401b'!N824,'Retirement Calculator'!A:A,0),0),0)</f>
        <v>21655.303514578787</v>
      </c>
      <c r="K824" s="444">
        <f t="shared" ca="1" si="79"/>
        <v>-52694.095258893431</v>
      </c>
      <c r="L824" s="444">
        <f t="shared" ca="1" si="80"/>
        <v>-12699276.957393317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-12699276.957393317</v>
      </c>
      <c r="J825" s="444">
        <f t="array" ref="J825">IFERROR(INDEX('Retirement Calculator'!K:K,MATCH('Lorri 401b'!N825,'Retirement Calculator'!A:A,0),0),0)</f>
        <v>21655.303514578787</v>
      </c>
      <c r="K825" s="444">
        <f t="shared" ca="1" si="79"/>
        <v>-53003.884420449562</v>
      </c>
      <c r="L825" s="444">
        <f t="shared" ca="1" si="80"/>
        <v>-12773936.145328345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-12773936.145328345</v>
      </c>
      <c r="J826" s="444">
        <f t="array" ref="J826">IFERROR(INDEX('Retirement Calculator'!K:K,MATCH('Lorri 401b'!N826,'Retirement Calculator'!A:A,0),0),0)</f>
        <v>21655.303514578787</v>
      </c>
      <c r="K826" s="444">
        <f t="shared" ca="1" si="79"/>
        <v>-53314.964370178852</v>
      </c>
      <c r="L826" s="444">
        <f t="shared" ca="1" si="80"/>
        <v>-12848906.413213102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-12848906.413213102</v>
      </c>
      <c r="J827" s="444">
        <f t="array" ref="J827">IFERROR(INDEX('Retirement Calculator'!K:K,MATCH('Lorri 401b'!N827,'Retirement Calculator'!A:A,0),0),0)</f>
        <v>21655.303514578787</v>
      </c>
      <c r="K827" s="444">
        <f t="shared" ca="1" si="79"/>
        <v>-53627.340486365341</v>
      </c>
      <c r="L827" s="444">
        <f t="shared" ca="1" si="80"/>
        <v>-12924189.057214046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-12924189.057214046</v>
      </c>
      <c r="J828" s="444">
        <f t="array" ref="J828">IFERROR(INDEX('Retirement Calculator'!K:K,MATCH('Lorri 401b'!N828,'Retirement Calculator'!A:A,0),0),0)</f>
        <v>21655.303514578787</v>
      </c>
      <c r="K828" s="444">
        <f t="shared" ca="1" si="79"/>
        <v>-53941.018169702606</v>
      </c>
      <c r="L828" s="444">
        <f t="shared" ca="1" si="80"/>
        <v>-12999785.378898328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-12999785.378898328</v>
      </c>
      <c r="J829" s="444">
        <f t="array" ref="J829">IFERROR(INDEX('Retirement Calculator'!K:K,MATCH('Lorri 401b'!N829,'Retirement Calculator'!A:A,0),0),0)</f>
        <v>21655.303514578787</v>
      </c>
      <c r="K829" s="444">
        <f t="shared" ca="1" si="79"/>
        <v>-54256.002843387112</v>
      </c>
      <c r="L829" s="444">
        <f t="shared" ca="1" si="80"/>
        <v>-13075696.685256295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-13075696.685256295</v>
      </c>
      <c r="J830" s="444">
        <f t="array" ref="J830">IFERROR(INDEX('Retirement Calculator'!K:K,MATCH('Lorri 401b'!N830,'Retirement Calculator'!A:A,0),0),0)</f>
        <v>21655.303514578787</v>
      </c>
      <c r="K830" s="444">
        <f t="shared" ca="1" si="79"/>
        <v>-54572.299953211972</v>
      </c>
      <c r="L830" s="444">
        <f t="shared" ca="1" si="80"/>
        <v>-13151924.288724085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-13151924.288724085</v>
      </c>
      <c r="J831" s="444">
        <f t="array" ref="J831">IFERROR(INDEX('Retirement Calculator'!K:K,MATCH('Lorri 401b'!N831,'Retirement Calculator'!A:A,0),0),0)</f>
        <v>21655.303514578787</v>
      </c>
      <c r="K831" s="444">
        <f t="shared" ca="1" si="79"/>
        <v>-54889.91496766109</v>
      </c>
      <c r="L831" s="444">
        <f t="shared" ca="1" si="80"/>
        <v>-13228469.507206326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-13228469.507206326</v>
      </c>
      <c r="J832" s="444">
        <f t="array" ref="J832">IFERROR(INDEX('Retirement Calculator'!K:K,MATCH('Lorri 401b'!N832,'Retirement Calculator'!A:A,0),0),0)</f>
        <v>21655.303514578787</v>
      </c>
      <c r="K832" s="444">
        <f t="shared" ca="1" si="79"/>
        <v>-55208.853378003776</v>
      </c>
      <c r="L832" s="444">
        <f t="shared" ca="1" si="80"/>
        <v>-13305333.664098909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-13305333.664098909</v>
      </c>
      <c r="J833" s="444">
        <f t="array" ref="J833">IFERROR(INDEX('Retirement Calculator'!K:K,MATCH('Lorri 401b'!N833,'Retirement Calculator'!A:A,0),0),0)</f>
        <v>21655.303514578787</v>
      </c>
      <c r="K833" s="444">
        <f t="shared" ca="1" si="79"/>
        <v>-55529.120698389539</v>
      </c>
      <c r="L833" s="444">
        <f t="shared" ca="1" si="80"/>
        <v>-13382518.088311877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-13382518.088311877</v>
      </c>
      <c r="J834" s="444">
        <f t="array" ref="J834">IFERROR(INDEX('Retirement Calculator'!K:K,MATCH('Lorri 401b'!N834,'Retirement Calculator'!A:A,0),0),0)</f>
        <v>21655.303514578787</v>
      </c>
      <c r="K834" s="444">
        <f t="shared" ca="1" si="79"/>
        <v>-55850.722465943567</v>
      </c>
      <c r="L834" s="444">
        <f t="shared" ca="1" si="80"/>
        <v>-13460024.1142924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-13460024.1142924</v>
      </c>
      <c r="J835" s="444">
        <f t="array" ref="J835">IFERROR(INDEX('Retirement Calculator'!K:K,MATCH('Lorri 401b'!N835,'Retirement Calculator'!A:A,0),0),0)</f>
        <v>21655.303514578787</v>
      </c>
      <c r="K835" s="444">
        <f t="shared" ca="1" si="79"/>
        <v>-56173.664240862403</v>
      </c>
      <c r="L835" s="444">
        <f t="shared" ca="1" si="80"/>
        <v>-13537853.082047842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-13537853.082047842</v>
      </c>
      <c r="J836" s="444">
        <f t="array" ref="J836">IFERROR(INDEX('Retirement Calculator'!K:K,MATCH('Lorri 401b'!N836,'Retirement Calculator'!A:A,0),0),0)</f>
        <v>21655.303514578787</v>
      </c>
      <c r="K836" s="444">
        <f t="shared" ca="1" si="79"/>
        <v>-56497.951606510091</v>
      </c>
      <c r="L836" s="444">
        <f t="shared" ca="1" si="80"/>
        <v>-13616006.337168932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-13616006.337168932</v>
      </c>
      <c r="J837" s="444">
        <f t="array" ref="J837">IFERROR(INDEX('Retirement Calculator'!K:K,MATCH('Lorri 401b'!N837,'Retirement Calculator'!A:A,0),0),0)</f>
        <v>21655.303514578787</v>
      </c>
      <c r="K837" s="444">
        <f t="shared" ca="1" si="79"/>
        <v>-56823.590169514631</v>
      </c>
      <c r="L837" s="444">
        <f t="shared" ca="1" si="80"/>
        <v>-13694485.230853027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-13694485.230853027</v>
      </c>
      <c r="J838" s="444">
        <f t="array" ref="J838">IFERROR(INDEX('Retirement Calculator'!K:K,MATCH('Lorri 401b'!N838,'Retirement Calculator'!A:A,0),0),0)</f>
        <v>21655.303514578787</v>
      </c>
      <c r="K838" s="444">
        <f t="shared" ca="1" si="79"/>
        <v>-57150.585559865031</v>
      </c>
      <c r="L838" s="444">
        <f t="shared" ca="1" si="80"/>
        <v>-13773291.119927472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-13773291.119927472</v>
      </c>
      <c r="J839" s="444">
        <f t="array" ref="J839">IFERROR(INDEX('Retirement Calculator'!K:K,MATCH('Lorri 401b'!N839,'Retirement Calculator'!A:A,0),0),0)</f>
        <v>21655.303514578787</v>
      </c>
      <c r="K839" s="444">
        <f t="shared" ca="1" si="79"/>
        <v>-57478.943431008534</v>
      </c>
      <c r="L839" s="444">
        <f t="shared" ca="1" si="80"/>
        <v>-13852425.366873059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-13852425.366873059</v>
      </c>
      <c r="J840" s="444">
        <f t="array" ref="J840">IFERROR(INDEX('Retirement Calculator'!K:K,MATCH('Lorri 401b'!N840,'Retirement Calculator'!A:A,0),0),0)</f>
        <v>21655.303514578787</v>
      </c>
      <c r="K840" s="444">
        <f t="shared" ca="1" si="79"/>
        <v>-57808.669459948498</v>
      </c>
      <c r="L840" s="444">
        <f t="shared" ca="1" si="80"/>
        <v>-13931889.339847587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-13931889.339847587</v>
      </c>
      <c r="J841" s="444">
        <f t="array" ref="J841">IFERROR(INDEX('Retirement Calculator'!K:K,MATCH('Lorri 401b'!N841,'Retirement Calculator'!A:A,0),0),0)</f>
        <v>21655.303514578787</v>
      </c>
      <c r="K841" s="444">
        <f t="shared" ca="1" si="79"/>
        <v>-58139.769347342364</v>
      </c>
      <c r="L841" s="444">
        <f t="shared" ca="1" si="80"/>
        <v>-14011684.412709508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-14011684.412709508</v>
      </c>
      <c r="J842" s="444">
        <f t="array" ref="J842">IFERROR(INDEX('Retirement Calculator'!K:K,MATCH('Lorri 401b'!N842,'Retirement Calculator'!A:A,0),0),0)</f>
        <v>21655.303514578787</v>
      </c>
      <c r="K842" s="444">
        <f t="shared" ca="1" si="79"/>
        <v>-58472.248817600361</v>
      </c>
      <c r="L842" s="444">
        <f t="shared" ca="1" si="80"/>
        <v>-14091811.965041688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-14091811.965041688</v>
      </c>
      <c r="J843" s="444">
        <f t="array" ref="J843">IFERROR(INDEX('Retirement Calculator'!K:K,MATCH('Lorri 401b'!N843,'Retirement Calculator'!A:A,0),0),0)</f>
        <v>21655.303514578787</v>
      </c>
      <c r="K843" s="444">
        <f t="shared" ca="1" si="79"/>
        <v>-58806.113618984447</v>
      </c>
      <c r="L843" s="444">
        <f t="shared" ca="1" si="80"/>
        <v>-14172273.382175252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-14172273.382175252</v>
      </c>
      <c r="J844" s="444">
        <f t="array" ref="J844">IFERROR(INDEX('Retirement Calculator'!K:K,MATCH('Lorri 401b'!N844,'Retirement Calculator'!A:A,0),0),0)</f>
        <v>21655.303514578787</v>
      </c>
      <c r="K844" s="444">
        <f t="shared" ca="1" si="79"/>
        <v>-59141.369523707632</v>
      </c>
      <c r="L844" s="444">
        <f t="shared" ca="1" si="80"/>
        <v>-14253070.055213539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-14253070.055213539</v>
      </c>
      <c r="J845" s="444">
        <f t="array" ref="J845">IFERROR(INDEX('Retirement Calculator'!K:K,MATCH('Lorri 401b'!N845,'Retirement Calculator'!A:A,0),0),0)</f>
        <v>21655.303514578787</v>
      </c>
      <c r="K845" s="444">
        <f t="shared" ca="1" si="79"/>
        <v>-59478.022328033832</v>
      </c>
      <c r="L845" s="444">
        <f t="shared" ca="1" si="80"/>
        <v>-14334203.381056152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-14334203.381056152</v>
      </c>
      <c r="J846" s="444">
        <f t="array" ref="J846">IFERROR(INDEX('Retirement Calculator'!K:K,MATCH('Lorri 401b'!N846,'Retirement Calculator'!A:A,0),0),0)</f>
        <v>21655.303514578787</v>
      </c>
      <c r="K846" s="444">
        <f t="shared" ca="1" si="79"/>
        <v>-59816.077852378046</v>
      </c>
      <c r="L846" s="444">
        <f t="shared" ca="1" si="80"/>
        <v>-14415674.762423109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-14415674.762423109</v>
      </c>
      <c r="J847" s="444">
        <f t="array" ref="J847">IFERROR(INDEX('Retirement Calculator'!K:K,MATCH('Lorri 401b'!N847,'Retirement Calculator'!A:A,0),0),0)</f>
        <v>21655.303514578787</v>
      </c>
      <c r="K847" s="444">
        <f t="shared" ca="1" si="79"/>
        <v>-60155.541941407027</v>
      </c>
      <c r="L847" s="444">
        <f t="shared" ca="1" si="80"/>
        <v>-14497485.607879095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-14497485.607879095</v>
      </c>
      <c r="J848" s="444">
        <f t="array" ref="J848">IFERROR(INDEX('Retirement Calculator'!K:K,MATCH('Lorri 401b'!N848,'Retirement Calculator'!A:A,0),0),0)</f>
        <v>21655.303514578787</v>
      </c>
      <c r="K848" s="444">
        <f t="shared" ca="1" si="79"/>
        <v>-60496.420464140305</v>
      </c>
      <c r="L848" s="444">
        <f t="shared" ca="1" si="80"/>
        <v>-14579637.331857814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-14579637.331857814</v>
      </c>
      <c r="J849" s="444">
        <f t="array" ref="J849">IFERROR(INDEX('Retirement Calculator'!K:K,MATCH('Lorri 401b'!N849,'Retirement Calculator'!A:A,0),0),0)</f>
        <v>21655.303514578787</v>
      </c>
      <c r="K849" s="444">
        <f t="shared" ca="1" si="79"/>
        <v>-60838.719314051625</v>
      </c>
      <c r="L849" s="444">
        <f t="shared" ca="1" si="80"/>
        <v>-14662131.354686445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-14662131.354686445</v>
      </c>
      <c r="J850" s="444">
        <f t="array" ref="J850">IFERROR(INDEX('Retirement Calculator'!K:K,MATCH('Lorri 401b'!N850,'Retirement Calculator'!A:A,0),0),0)</f>
        <v>21655.303514578787</v>
      </c>
      <c r="K850" s="444">
        <f t="shared" ca="1" si="79"/>
        <v>-61182.444409170923</v>
      </c>
      <c r="L850" s="444">
        <f t="shared" ca="1" si="80"/>
        <v>-14744969.102610195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-14744969.102610195</v>
      </c>
      <c r="J851" s="444">
        <f t="array" ref="J851">IFERROR(INDEX('Retirement Calculator'!K:K,MATCH('Lorri 401b'!N851,'Retirement Calculator'!A:A,0),0),0)</f>
        <v>21655.303514578787</v>
      </c>
      <c r="K851" s="444">
        <f t="shared" ca="1" si="79"/>
        <v>-61527.601692186552</v>
      </c>
      <c r="L851" s="444">
        <f t="shared" ca="1" si="80"/>
        <v>-14828152.007816961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-14828152.007816961</v>
      </c>
      <c r="J852" s="444">
        <f t="array" ref="J852">IFERROR(INDEX('Retirement Calculator'!K:K,MATCH('Lorri 401b'!N852,'Retirement Calculator'!A:A,0),0),0)</f>
        <v>21655.303514578787</v>
      </c>
      <c r="K852" s="444">
        <f t="shared" ca="1" si="79"/>
        <v>-61874.197130548084</v>
      </c>
      <c r="L852" s="444">
        <f t="shared" ca="1" si="80"/>
        <v>-14911681.508462088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-14911681.508462088</v>
      </c>
      <c r="J853" s="444">
        <f t="array" ref="J853">IFERROR(INDEX('Retirement Calculator'!K:K,MATCH('Lorri 401b'!N853,'Retirement Calculator'!A:A,0),0),0)</f>
        <v>21655.303514578787</v>
      </c>
      <c r="K853" s="444">
        <f t="shared" ca="1" si="79"/>
        <v>-62222.236716569438</v>
      </c>
      <c r="L853" s="444">
        <f t="shared" ca="1" si="80"/>
        <v>-14995559.048693238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-14995559.048693238</v>
      </c>
      <c r="J854" s="444">
        <f t="array" ref="J854">IFERROR(INDEX('Retirement Calculator'!K:K,MATCH('Lorri 401b'!N854,'Retirement Calculator'!A:A,0),0),0)</f>
        <v>21655.303514578787</v>
      </c>
      <c r="K854" s="444">
        <f t="shared" ca="1" si="79"/>
        <v>-62571.726467532571</v>
      </c>
      <c r="L854" s="444">
        <f t="shared" ca="1" si="80"/>
        <v>-15079786.07867535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-15079786.07867535</v>
      </c>
      <c r="J855" s="444">
        <f t="array" ref="J855">IFERROR(INDEX('Retirement Calculator'!K:K,MATCH('Lorri 401b'!N855,'Retirement Calculator'!A:A,0),0),0)</f>
        <v>21655.303514578787</v>
      </c>
      <c r="K855" s="444">
        <f t="shared" ca="1" si="79"/>
        <v>-62922.672425791367</v>
      </c>
      <c r="L855" s="444">
        <f t="shared" ca="1" si="80"/>
        <v>-15164364.054615721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-15164364.054615721</v>
      </c>
      <c r="J856" s="444">
        <f t="array" ref="J856">IFERROR(INDEX('Retirement Calculator'!K:K,MATCH('Lorri 401b'!N856,'Retirement Calculator'!A:A,0),0),0)</f>
        <v>21655.303514578787</v>
      </c>
      <c r="K856" s="444">
        <f t="shared" ca="1" si="79"/>
        <v>-63275.08065887625</v>
      </c>
      <c r="L856" s="444">
        <f t="shared" ca="1" si="80"/>
        <v>-15249294.438789176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-15249294.438789176</v>
      </c>
      <c r="J857" s="444">
        <f t="array" ref="J857">IFERROR(INDEX('Retirement Calculator'!K:K,MATCH('Lorri 401b'!N857,'Retirement Calculator'!A:A,0),0),0)</f>
        <v>21655.303514578787</v>
      </c>
      <c r="K857" s="444">
        <f t="shared" ca="1" si="79"/>
        <v>-63628.957259598974</v>
      </c>
      <c r="L857" s="444">
        <f t="shared" ca="1" si="80"/>
        <v>-15334578.699563354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-15334578.699563354</v>
      </c>
      <c r="J858" s="444">
        <f t="array" ref="J858">IFERROR(INDEX('Retirement Calculator'!K:K,MATCH('Lorri 401b'!N858,'Retirement Calculator'!A:A,0),0),0)</f>
        <v>21655.303514578787</v>
      </c>
      <c r="K858" s="444">
        <f t="shared" ca="1" si="79"/>
        <v>-63984.308346158046</v>
      </c>
      <c r="L858" s="444">
        <f t="shared" ca="1" si="80"/>
        <v>-15420218.311424091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-15420218.311424091</v>
      </c>
      <c r="J859" s="444">
        <f t="array" ref="J859">IFERROR(INDEX('Retirement Calculator'!K:K,MATCH('Lorri 401b'!N859,'Retirement Calculator'!A:A,0),0),0)</f>
        <v>21655.303514578787</v>
      </c>
      <c r="K859" s="444">
        <f t="shared" ca="1" si="79"/>
        <v>-64341.140062244471</v>
      </c>
      <c r="L859" s="444">
        <f t="shared" ca="1" si="80"/>
        <v>-15506214.755000915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-15506214.755000915</v>
      </c>
      <c r="J860" s="444">
        <f t="array" ref="J860">IFERROR(INDEX('Retirement Calculator'!K:K,MATCH('Lorri 401b'!N860,'Retirement Calculator'!A:A,0),0),0)</f>
        <v>21655.303514578787</v>
      </c>
      <c r="K860" s="444">
        <f t="shared" ca="1" si="79"/>
        <v>-64699.458577147903</v>
      </c>
      <c r="L860" s="444">
        <f t="shared" ca="1" si="80"/>
        <v>-15592569.517092643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-15592569.517092643</v>
      </c>
      <c r="J861" s="444">
        <f t="array" ref="J861">IFERROR(INDEX('Retirement Calculator'!K:K,MATCH('Lorri 401b'!N861,'Retirement Calculator'!A:A,0),0),0)</f>
        <v>21655.303514578787</v>
      </c>
      <c r="K861" s="444">
        <f t="shared" ca="1" si="79"/>
        <v>-65059.270085863427</v>
      </c>
      <c r="L861" s="444">
        <f t="shared" ca="1" si="80"/>
        <v>-15679284.090693086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-15679284.090693086</v>
      </c>
      <c r="J862" s="444">
        <f t="array" ref="J862">IFERROR(INDEX('Retirement Calculator'!K:K,MATCH('Lorri 401b'!N862,'Retirement Calculator'!A:A,0),0),0)</f>
        <v>21655.303514578787</v>
      </c>
      <c r="K862" s="444">
        <f t="shared" ca="1" si="79"/>
        <v>-65420.580809198604</v>
      </c>
      <c r="L862" s="444">
        <f t="shared" ca="1" si="80"/>
        <v>-15766359.975016864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-15766359.975016864</v>
      </c>
      <c r="J863" s="444">
        <f t="array" ref="J863">IFERROR(INDEX('Retirement Calculator'!K:K,MATCH('Lorri 401b'!N863,'Retirement Calculator'!A:A,0),0),0)</f>
        <v>21655.303514578787</v>
      </c>
      <c r="K863" s="444">
        <f t="shared" ca="1" si="79"/>
        <v>-65783.396993881019</v>
      </c>
      <c r="L863" s="444">
        <f t="shared" ca="1" si="80"/>
        <v>-15853798.675525324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-15853798.675525324</v>
      </c>
      <c r="J864" s="444">
        <f t="array" ref="J864">IFERROR(INDEX('Retirement Calculator'!K:K,MATCH('Lorri 401b'!N864,'Retirement Calculator'!A:A,0),0),0)</f>
        <v>21655.303514578787</v>
      </c>
      <c r="K864" s="444">
        <f t="shared" ca="1" si="79"/>
        <v>-66147.724912666265</v>
      </c>
      <c r="L864" s="444">
        <f t="shared" ca="1" si="80"/>
        <v>-15941601.70395257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-15941601.70395257</v>
      </c>
      <c r="J865" s="444">
        <f t="array" ref="J865">IFERROR(INDEX('Retirement Calculator'!K:K,MATCH('Lorri 401b'!N865,'Retirement Calculator'!A:A,0),0),0)</f>
        <v>21655.303514578787</v>
      </c>
      <c r="K865" s="444">
        <f t="shared" ca="1" si="79"/>
        <v>-66513.570864446447</v>
      </c>
      <c r="L865" s="444">
        <f t="shared" ca="1" si="80"/>
        <v>-16029770.578331595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-16029770.578331595</v>
      </c>
      <c r="J866" s="444">
        <f t="array" ref="J866">IFERROR(INDEX('Retirement Calculator'!K:K,MATCH('Lorri 401b'!N866,'Retirement Calculator'!A:A,0),0),0)</f>
        <v>21655.303514578787</v>
      </c>
      <c r="K866" s="444">
        <f t="shared" ca="1" si="79"/>
        <v>-66880.941174359046</v>
      </c>
      <c r="L866" s="444">
        <f t="shared" ca="1" si="80"/>
        <v>-16118306.823020533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-16118306.823020533</v>
      </c>
      <c r="J867" s="444">
        <f t="array" ref="J867">IFERROR(INDEX('Retirement Calculator'!K:K,MATCH('Lorri 401b'!N867,'Retirement Calculator'!A:A,0),0),0)</f>
        <v>21655.303514578787</v>
      </c>
      <c r="K867" s="444">
        <f t="shared" ca="1" si="79"/>
        <v>-67249.8421938963</v>
      </c>
      <c r="L867" s="444">
        <f t="shared" ca="1" si="80"/>
        <v>-16207211.968729008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-16207211.968729008</v>
      </c>
      <c r="J868" s="444">
        <f t="array" ref="J868">IFERROR(INDEX('Retirement Calculator'!K:K,MATCH('Lorri 401b'!N868,'Retirement Calculator'!A:A,0),0),0)</f>
        <v>21655.303514578787</v>
      </c>
      <c r="K868" s="444">
        <f t="shared" ca="1" si="79"/>
        <v>-67620.280301014951</v>
      </c>
      <c r="L868" s="444">
        <f t="shared" ca="1" si="80"/>
        <v>-16296487.552544603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-16296487.552544603</v>
      </c>
      <c r="J869" s="444">
        <f t="array" ref="J869">IFERROR(INDEX('Retirement Calculator'!K:K,MATCH('Lorri 401b'!N869,'Retirement Calculator'!A:A,0),0),0)</f>
        <v>21655.303514578787</v>
      </c>
      <c r="K869" s="444">
        <f t="shared" ca="1" si="79"/>
        <v>-67992.261900246594</v>
      </c>
      <c r="L869" s="444">
        <f t="shared" ca="1" si="80"/>
        <v>-16386135.117959429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-16386135.117959429</v>
      </c>
      <c r="J870" s="444">
        <f t="array" ref="J870">IFERROR(INDEX('Retirement Calculator'!K:K,MATCH('Lorri 401b'!N870,'Retirement Calculator'!A:A,0),0),0)</f>
        <v>21655.303514578787</v>
      </c>
      <c r="K870" s="444">
        <f t="shared" ca="1" si="79"/>
        <v>-68365.793422808361</v>
      </c>
      <c r="L870" s="444">
        <f t="shared" ca="1" si="80"/>
        <v>-16476156.214896817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-16476156.214896817</v>
      </c>
      <c r="J871" s="444">
        <f t="array" ref="J871">IFERROR(INDEX('Retirement Calculator'!K:K,MATCH('Lorri 401b'!N871,'Retirement Calculator'!A:A,0),0),0)</f>
        <v>21655.303514578787</v>
      </c>
      <c r="K871" s="444">
        <f t="shared" ca="1" si="79"/>
        <v>-68740.881326714152</v>
      </c>
      <c r="L871" s="444">
        <f t="shared" ca="1" si="80"/>
        <v>-16566552.399738111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-16566552.399738111</v>
      </c>
      <c r="J872" s="444">
        <f t="array" ref="J872">IFERROR(INDEX('Retirement Calculator'!K:K,MATCH('Lorri 401b'!N872,'Retirement Calculator'!A:A,0),0),0)</f>
        <v>21655.303514578787</v>
      </c>
      <c r="K872" s="444">
        <f t="shared" ca="1" si="79"/>
        <v>-69117.532096886222</v>
      </c>
      <c r="L872" s="444">
        <f t="shared" ca="1" si="80"/>
        <v>-16657325.235349577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-16657325.235349577</v>
      </c>
      <c r="J873" s="444">
        <f t="array" ref="J873">IFERROR(INDEX('Retirement Calculator'!K:K,MATCH('Lorri 401b'!N873,'Retirement Calculator'!A:A,0),0),0)</f>
        <v>21655.303514578787</v>
      </c>
      <c r="K873" s="444">
        <f t="shared" ca="1" si="79"/>
        <v>-69495.752245267315</v>
      </c>
      <c r="L873" s="444">
        <f t="shared" ca="1" si="80"/>
        <v>-16748476.291109424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-16748476.291109424</v>
      </c>
      <c r="J874" s="444">
        <f t="array" ref="J874">IFERROR(INDEX('Retirement Calculator'!K:K,MATCH('Lorri 401b'!N874,'Retirement Calculator'!A:A,0),0),0)</f>
        <v>21655.303514578787</v>
      </c>
      <c r="K874" s="444">
        <f t="shared" ca="1" si="79"/>
        <v>-69875.548310933344</v>
      </c>
      <c r="L874" s="444">
        <f t="shared" ca="1" si="80"/>
        <v>-16840007.142934937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-16840007.142934937</v>
      </c>
      <c r="J875" s="444">
        <f t="array" ref="J875">IFERROR(INDEX('Retirement Calculator'!K:K,MATCH('Lorri 401b'!N875,'Retirement Calculator'!A:A,0),0),0)</f>
        <v>21655.303514578787</v>
      </c>
      <c r="K875" s="444">
        <f t="shared" ca="1" si="79"/>
        <v>-70256.926860206309</v>
      </c>
      <c r="L875" s="444">
        <f t="shared" ca="1" si="80"/>
        <v>-16931919.37330972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-16931919.37330972</v>
      </c>
      <c r="J876" s="444">
        <f t="array" ref="J876">IFERROR(INDEX('Retirement Calculator'!K:K,MATCH('Lorri 401b'!N876,'Retirement Calculator'!A:A,0),0),0)</f>
        <v>21655.303514578787</v>
      </c>
      <c r="K876" s="444">
        <f t="shared" ca="1" si="79"/>
        <v>-70639.894486767909</v>
      </c>
      <c r="L876" s="444">
        <f t="shared" ca="1" si="80"/>
        <v>-17024214.571311064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-17024214.571311064</v>
      </c>
      <c r="J877" s="444">
        <f t="array" ref="J877">IFERROR(INDEX('Retirement Calculator'!K:K,MATCH('Lorri 401b'!N877,'Retirement Calculator'!A:A,0),0),0)</f>
        <v>21655.303514578787</v>
      </c>
      <c r="K877" s="444">
        <f t="shared" ca="1" si="79"/>
        <v>-71024.457811773507</v>
      </c>
      <c r="L877" s="444">
        <f t="shared" ca="1" si="80"/>
        <v>-17116894.332637414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-17116894.332637414</v>
      </c>
      <c r="J878" s="444">
        <f t="array" ref="J878">IFERROR(INDEX('Retirement Calculator'!K:K,MATCH('Lorri 401b'!N878,'Retirement Calculator'!A:A,0),0),0)</f>
        <v>21655.303514578787</v>
      </c>
      <c r="K878" s="444">
        <f t="shared" ca="1" si="79"/>
        <v>-71410.623483966629</v>
      </c>
      <c r="L878" s="444">
        <f t="shared" ca="1" si="80"/>
        <v>-17209960.259635959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-17209960.259635959</v>
      </c>
      <c r="J879" s="444">
        <f t="array" ref="J879">IFERROR(INDEX('Retirement Calculator'!K:K,MATCH('Lorri 401b'!N879,'Retirement Calculator'!A:A,0),0),0)</f>
        <v>21655.303514578787</v>
      </c>
      <c r="K879" s="444">
        <f t="shared" ca="1" si="79"/>
        <v>-71798.398179793905</v>
      </c>
      <c r="L879" s="444">
        <f t="shared" ca="1" si="80"/>
        <v>-17303413.961330332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-17303413.961330332</v>
      </c>
      <c r="J880" s="444">
        <f t="array" ref="J880">IFERROR(INDEX('Retirement Calculator'!K:K,MATCH('Lorri 401b'!N880,'Retirement Calculator'!A:A,0),0),0)</f>
        <v>21655.303514578787</v>
      </c>
      <c r="K880" s="444">
        <f t="shared" ca="1" si="79"/>
        <v>-72187.788603520457</v>
      </c>
      <c r="L880" s="444">
        <f t="shared" ca="1" si="80"/>
        <v>-17397257.053448431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-17397257.053448431</v>
      </c>
      <c r="J881" s="444">
        <f t="array" ref="J881">IFERROR(INDEX('Retirement Calculator'!K:K,MATCH('Lorri 401b'!N881,'Retirement Calculator'!A:A,0),0),0)</f>
        <v>21655.303514578787</v>
      </c>
      <c r="K881" s="444">
        <f t="shared" ca="1" si="79"/>
        <v>-72578.801487345874</v>
      </c>
      <c r="L881" s="444">
        <f t="shared" ca="1" si="80"/>
        <v>-17491491.158450354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-17491491.158450354</v>
      </c>
      <c r="J882" s="444">
        <f t="array" ref="J882">IFERROR(INDEX('Retirement Calculator'!K:K,MATCH('Lorri 401b'!N882,'Retirement Calculator'!A:A,0),0),0)</f>
        <v>21655.303514578787</v>
      </c>
      <c r="K882" s="444">
        <f t="shared" ca="1" si="79"/>
        <v>-72971.443591520539</v>
      </c>
      <c r="L882" s="444">
        <f t="shared" ca="1" si="80"/>
        <v>-17586117.905556452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-17586117.905556452</v>
      </c>
      <c r="J883" s="444">
        <f t="array" ref="J883">IFERROR(INDEX('Retirement Calculator'!K:K,MATCH('Lorri 401b'!N883,'Retirement Calculator'!A:A,0),0),0)</f>
        <v>21655.303514578787</v>
      </c>
      <c r="K883" s="444">
        <f t="shared" ca="1" si="79"/>
        <v>-73365.721704462616</v>
      </c>
      <c r="L883" s="444">
        <f t="shared" ca="1" si="80"/>
        <v>-17681138.930775493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-17681138.930775493</v>
      </c>
      <c r="J884" s="444">
        <f t="array" ref="J884">IFERROR(INDEX('Retirement Calculator'!K:K,MATCH('Lorri 401b'!N884,'Retirement Calculator'!A:A,0),0),0)</f>
        <v>21655.303514578787</v>
      </c>
      <c r="K884" s="444">
        <f t="shared" ca="1" si="79"/>
        <v>-73761.642642875289</v>
      </c>
      <c r="L884" s="444">
        <f t="shared" ca="1" si="80"/>
        <v>-17776555.876932945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-17776555.876932945</v>
      </c>
      <c r="J885" s="444">
        <f t="array" ref="J885">IFERROR(INDEX('Retirement Calculator'!K:K,MATCH('Lorri 401b'!N885,'Retirement Calculator'!A:A,0),0),0)</f>
        <v>21655.303514578787</v>
      </c>
      <c r="K885" s="444">
        <f t="shared" ca="1" si="79"/>
        <v>-74159.213251864683</v>
      </c>
      <c r="L885" s="444">
        <f t="shared" ca="1" si="80"/>
        <v>-17872370.393699389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-17872370.393699389</v>
      </c>
      <c r="J886" s="444">
        <f t="array" ref="J886">IFERROR(INDEX('Retirement Calculator'!K:K,MATCH('Lorri 401b'!N886,'Retirement Calculator'!A:A,0),0),0)</f>
        <v>21655.303514578787</v>
      </c>
      <c r="K886" s="444">
        <f t="shared" ca="1" si="79"/>
        <v>-74558.440405058194</v>
      </c>
      <c r="L886" s="444">
        <f t="shared" ca="1" si="80"/>
        <v>-17968584.137619026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-17968584.137619026</v>
      </c>
      <c r="J887" s="444">
        <f t="array" ref="J887">IFERROR(INDEX('Retirement Calculator'!K:K,MATCH('Lorri 401b'!N887,'Retirement Calculator'!A:A,0),0),0)</f>
        <v>21655.303514578787</v>
      </c>
      <c r="K887" s="444">
        <f t="shared" ca="1" si="79"/>
        <v>-74959.331004723354</v>
      </c>
      <c r="L887" s="444">
        <f t="shared" ca="1" si="80"/>
        <v>-18065198.772138327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-18065198.772138327</v>
      </c>
      <c r="J888" s="444">
        <f t="array" ref="J888">IFERROR(INDEX('Retirement Calculator'!K:K,MATCH('Lorri 401b'!N888,'Retirement Calculator'!A:A,0),0),0)</f>
        <v>21655.303514578787</v>
      </c>
      <c r="K888" s="444">
        <f t="shared" ca="1" si="79"/>
        <v>-75361.891981887107</v>
      </c>
      <c r="L888" s="444">
        <f t="shared" ca="1" si="80"/>
        <v>-18162215.967634793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-18162215.967634793</v>
      </c>
      <c r="J889" s="444">
        <f t="array" ref="J889">IFERROR(INDEX('Retirement Calculator'!K:K,MATCH('Lorri 401b'!N889,'Retirement Calculator'!A:A,0),0),0)</f>
        <v>21655.303514578787</v>
      </c>
      <c r="K889" s="444">
        <f t="shared" ca="1" si="79"/>
        <v>-75766.130296455711</v>
      </c>
      <c r="L889" s="444">
        <f t="shared" ca="1" si="80"/>
        <v>-18259637.401445828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-18259637.401445828</v>
      </c>
      <c r="J890" s="444">
        <f t="array" ref="J890">IFERROR(INDEX('Retirement Calculator'!K:K,MATCH('Lorri 401b'!N890,'Retirement Calculator'!A:A,0),0),0)</f>
        <v>21655.303514578787</v>
      </c>
      <c r="K890" s="444">
        <f t="shared" ca="1" si="79"/>
        <v>-76172.052937335029</v>
      </c>
      <c r="L890" s="444">
        <f t="shared" ca="1" si="80"/>
        <v>-18357464.757897742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-18357464.757897742</v>
      </c>
      <c r="J891" s="444">
        <f t="array" ref="J891">IFERROR(INDEX('Retirement Calculator'!K:K,MATCH('Lorri 401b'!N891,'Retirement Calculator'!A:A,0),0),0)</f>
        <v>21655.303514578787</v>
      </c>
      <c r="K891" s="444">
        <f t="shared" ca="1" si="79"/>
        <v>-76579.666922551332</v>
      </c>
      <c r="L891" s="444">
        <f t="shared" ca="1" si="80"/>
        <v>-18455699.72833487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-18455699.72833487</v>
      </c>
      <c r="J892" s="444">
        <f t="array" ref="J892">IFERROR(INDEX('Retirement Calculator'!K:K,MATCH('Lorri 401b'!N892,'Retirement Calculator'!A:A,0),0),0)</f>
        <v>21655.303514578787</v>
      </c>
      <c r="K892" s="444">
        <f t="shared" ca="1" si="79"/>
        <v>-76988.979299372702</v>
      </c>
      <c r="L892" s="444">
        <f t="shared" ca="1" si="80"/>
        <v>-18554344.011148822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-18554344.011148822</v>
      </c>
      <c r="J893" s="444">
        <f t="array" ref="J893">IFERROR(INDEX('Retirement Calculator'!K:K,MATCH('Lorri 401b'!N893,'Retirement Calculator'!A:A,0),0),0)</f>
        <v>21655.303514578787</v>
      </c>
      <c r="K893" s="444">
        <f t="shared" ca="1" si="79"/>
        <v>-77399.997144430832</v>
      </c>
      <c r="L893" s="444">
        <f t="shared" ca="1" si="80"/>
        <v>-18653399.31180783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-18653399.31180783</v>
      </c>
      <c r="J894" s="444">
        <f t="array" ref="J894">IFERROR(INDEX('Retirement Calculator'!K:K,MATCH('Lorri 401b'!N894,'Retirement Calculator'!A:A,0),0),0)</f>
        <v>21655.303514578787</v>
      </c>
      <c r="K894" s="444">
        <f t="shared" ca="1" si="79"/>
        <v>-77812.727563843364</v>
      </c>
      <c r="L894" s="444">
        <f t="shared" ca="1" si="80"/>
        <v>-18752867.34288625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-18752867.34288625</v>
      </c>
      <c r="J895" s="444">
        <f t="array" ref="J895">IFERROR(INDEX('Retirement Calculator'!K:K,MATCH('Lorri 401b'!N895,'Retirement Calculator'!A:A,0),0),0)</f>
        <v>21655.303514578787</v>
      </c>
      <c r="K895" s="444">
        <f t="shared" ca="1" si="79"/>
        <v>-78227.17769333678</v>
      </c>
      <c r="L895" s="444">
        <f t="shared" ca="1" si="80"/>
        <v>-18852749.824094165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-18852749.824094165</v>
      </c>
      <c r="J896" s="444">
        <f t="array" ref="J896">IFERROR(INDEX('Retirement Calculator'!K:K,MATCH('Lorri 401b'!N896,'Retirement Calculator'!A:A,0),0),0)</f>
        <v>21655.303514578787</v>
      </c>
      <c r="K896" s="444">
        <f t="shared" ca="1" si="79"/>
        <v>-78643.35469836976</v>
      </c>
      <c r="L896" s="444">
        <f t="shared" ca="1" si="80"/>
        <v>-18953048.482307114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-18953048.482307114</v>
      </c>
      <c r="J897" s="444">
        <f t="array" ref="J897">IFERROR(INDEX('Retirement Calculator'!K:K,MATCH('Lorri 401b'!N897,'Retirement Calculator'!A:A,0),0),0)</f>
        <v>21655.303514578787</v>
      </c>
      <c r="K897" s="444">
        <f t="shared" ca="1" si="79"/>
        <v>-79061.265774257045</v>
      </c>
      <c r="L897" s="444">
        <f t="shared" ca="1" si="80"/>
        <v>-19053765.051595949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-19053765.051595949</v>
      </c>
      <c r="J898" s="444">
        <f t="array" ref="J898">IFERROR(INDEX('Retirement Calculator'!K:K,MATCH('Lorri 401b'!N898,'Retirement Calculator'!A:A,0),0),0)</f>
        <v>21655.303514578787</v>
      </c>
      <c r="K898" s="444">
        <f t="shared" ca="1" si="79"/>
        <v>-79480.918146293858</v>
      </c>
      <c r="L898" s="444">
        <f t="shared" ca="1" si="80"/>
        <v>-19154901.27325682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-19154901.27325682</v>
      </c>
      <c r="J899" s="444">
        <f t="array" ref="J899">IFERROR(INDEX('Retirement Calculator'!K:K,MATCH('Lorri 401b'!N899,'Retirement Calculator'!A:A,0),0),0)</f>
        <v>21655.303514578787</v>
      </c>
      <c r="K899" s="444">
        <f t="shared" ca="1" si="79"/>
        <v>-79902.319069880818</v>
      </c>
      <c r="L899" s="444">
        <f t="shared" ca="1" si="80"/>
        <v>-19256458.895841278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-19256458.895841278</v>
      </c>
      <c r="J900" s="444">
        <f t="array" ref="J900">IFERROR(INDEX('Retirement Calculator'!K:K,MATCH('Lorri 401b'!N900,'Retirement Calculator'!A:A,0),0),0)</f>
        <v>21655.303514578787</v>
      </c>
      <c r="K900" s="444">
        <f t="shared" ca="1" si="79"/>
        <v>-80325.475830649404</v>
      </c>
      <c r="L900" s="444">
        <f t="shared" ca="1" si="80"/>
        <v>-19358439.675186504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-19358439.675186504</v>
      </c>
      <c r="J901" s="444">
        <f t="array" ref="J901">IFERROR(INDEX('Retirement Calculator'!K:K,MATCH('Lorri 401b'!N901,'Retirement Calculator'!A:A,0),0),0)</f>
        <v>21655.303514578787</v>
      </c>
      <c r="K901" s="444">
        <f t="shared" ca="1" si="79"/>
        <v>-80750.395744587833</v>
      </c>
      <c r="L901" s="444">
        <f t="shared" ca="1" si="80"/>
        <v>-19460845.374445669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-19460845.374445669</v>
      </c>
      <c r="J902" s="444">
        <f t="array" ref="J902">IFERROR(INDEX('Retirement Calculator'!K:K,MATCH('Lorri 401b'!N902,'Retirement Calculator'!A:A,0),0),0)</f>
        <v>21655.303514578787</v>
      </c>
      <c r="K902" s="444">
        <f t="shared" ca="1" si="79"/>
        <v>-81177.086158167687</v>
      </c>
      <c r="L902" s="444">
        <f t="shared" ca="1" si="80"/>
        <v>-19563677.764118414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-19563677.764118414</v>
      </c>
      <c r="J903" s="444">
        <f t="array" ref="J903">IFERROR(INDEX('Retirement Calculator'!K:K,MATCH('Lorri 401b'!N903,'Retirement Calculator'!A:A,0),0),0)</f>
        <v>21655.303514578787</v>
      </c>
      <c r="K903" s="444">
        <f t="shared" ca="1" si="79"/>
        <v>-81605.554448470793</v>
      </c>
      <c r="L903" s="444">
        <f t="shared" ca="1" si="80"/>
        <v>-19666938.622081462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-19666938.622081462</v>
      </c>
      <c r="J904" s="444">
        <f t="array" ref="J904">IFERROR(INDEX('Retirement Calculator'!K:K,MATCH('Lorri 401b'!N904,'Retirement Calculator'!A:A,0),0),0)</f>
        <v>21655.303514578787</v>
      </c>
      <c r="K904" s="444">
        <f t="shared" ca="1" si="79"/>
        <v>-82035.808023316829</v>
      </c>
      <c r="L904" s="444">
        <f t="shared" ca="1" si="80"/>
        <v>-19770629.733619358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-19770629.733619358</v>
      </c>
      <c r="J905" s="444">
        <f t="array" ref="J905">IFERROR(INDEX('Retirement Calculator'!K:K,MATCH('Lorri 401b'!N905,'Retirement Calculator'!A:A,0),0),0)</f>
        <v>21655.303514578787</v>
      </c>
      <c r="K905" s="444">
        <f t="shared" ca="1" si="79"/>
        <v>-82467.854321391394</v>
      </c>
      <c r="L905" s="444">
        <f t="shared" ca="1" si="80"/>
        <v>-19874752.891455326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-19874752.891455326</v>
      </c>
      <c r="J906" s="444">
        <f t="array" ref="J906">IFERROR(INDEX('Retirement Calculator'!K:K,MATCH('Lorri 401b'!N906,'Retirement Calculator'!A:A,0),0),0)</f>
        <v>21655.303514578787</v>
      </c>
      <c r="K906" s="444">
        <f t="shared" ca="1" si="79"/>
        <v>-82901.700812374591</v>
      </c>
      <c r="L906" s="444">
        <f t="shared" ca="1" si="80"/>
        <v>-19979309.895782277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-19979309.895782277</v>
      </c>
      <c r="J907" s="444">
        <f t="array" ref="J907">IFERROR(INDEX('Retirement Calculator'!K:K,MATCH('Lorri 401b'!N907,'Retirement Calculator'!A:A,0),0),0)</f>
        <v>21655.303514578787</v>
      </c>
      <c r="K907" s="444">
        <f t="shared" ca="1" si="79"/>
        <v>-83337.35499707023</v>
      </c>
      <c r="L907" s="444">
        <f t="shared" ca="1" si="80"/>
        <v>-20084302.554293923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-20084302.554293923</v>
      </c>
      <c r="J908" s="444">
        <f t="array" ref="J908">IFERROR(INDEX('Retirement Calculator'!K:K,MATCH('Lorri 401b'!N908,'Retirement Calculator'!A:A,0),0),0)</f>
        <v>21655.303514578787</v>
      </c>
      <c r="K908" s="444">
        <f t="shared" ca="1" si="79"/>
        <v>-83774.824407535416</v>
      </c>
      <c r="L908" s="444">
        <f t="shared" ca="1" si="80"/>
        <v>-20189732.682216037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-20189732.682216037</v>
      </c>
      <c r="J909" s="444">
        <f t="array" ref="J909">IFERROR(INDEX('Retirement Calculator'!K:K,MATCH('Lorri 401b'!N909,'Retirement Calculator'!A:A,0),0),0)</f>
        <v>21655.303514578787</v>
      </c>
      <c r="K909" s="444">
        <f t="shared" ca="1" si="79"/>
        <v>-84214.11660721089</v>
      </c>
      <c r="L909" s="444">
        <f t="shared" ca="1" si="80"/>
        <v>-20295602.102337826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-20295602.102337826</v>
      </c>
      <c r="J910" s="444">
        <f t="array" ref="J910">IFERROR(INDEX('Retirement Calculator'!K:K,MATCH('Lorri 401b'!N910,'Retirement Calculator'!A:A,0),0),0)</f>
        <v>21655.303514578787</v>
      </c>
      <c r="K910" s="444">
        <f t="shared" ca="1" si="79"/>
        <v>-84655.239191051674</v>
      </c>
      <c r="L910" s="444">
        <f t="shared" ca="1" si="80"/>
        <v>-20401912.645043455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-20401912.645043455</v>
      </c>
      <c r="J911" s="444">
        <f t="array" ref="J911">IFERROR(INDEX('Retirement Calculator'!K:K,MATCH('Lorri 401b'!N911,'Retirement Calculator'!A:A,0),0),0)</f>
        <v>21655.303514578787</v>
      </c>
      <c r="K911" s="444">
        <f t="shared" ca="1" si="79"/>
        <v>-85098.199785658464</v>
      </c>
      <c r="L911" s="444">
        <f t="shared" ca="1" si="80"/>
        <v>-20508666.14834369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-20508666.14834369</v>
      </c>
      <c r="J912" s="444">
        <f t="array" ref="J912">IFERROR(INDEX('Retirement Calculator'!K:K,MATCH('Lorri 401b'!N912,'Retirement Calculator'!A:A,0),0),0)</f>
        <v>21655.303514578787</v>
      </c>
      <c r="K912" s="444">
        <f t="shared" ca="1" si="79"/>
        <v>-85543.00604940945</v>
      </c>
      <c r="L912" s="444">
        <f t="shared" ca="1" si="80"/>
        <v>-20615864.457907677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-20615864.457907677</v>
      </c>
      <c r="J913" s="444">
        <f t="array" ref="J913">IFERROR(INDEX('Retirement Calculator'!K:K,MATCH('Lorri 401b'!N913,'Retirement Calculator'!A:A,0),0),0)</f>
        <v>21655.303514578787</v>
      </c>
      <c r="K913" s="444">
        <f t="shared" ca="1" si="79"/>
        <v>-85989.665672592731</v>
      </c>
      <c r="L913" s="444">
        <f t="shared" ca="1" si="80"/>
        <v>-20723509.427094847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-20723509.427094847</v>
      </c>
      <c r="J914" s="444">
        <f t="array" ref="J914">IFERROR(INDEX('Retirement Calculator'!K:K,MATCH('Lorri 401b'!N914,'Retirement Calculator'!A:A,0),0),0)</f>
        <v>21655.303514578787</v>
      </c>
      <c r="K914" s="444">
        <f t="shared" ca="1" si="79"/>
        <v>-86438.18637753927</v>
      </c>
      <c r="L914" s="444">
        <f t="shared" ca="1" si="80"/>
        <v>-20831602.916986965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-20831602.916986965</v>
      </c>
      <c r="J915" s="444">
        <f t="array" ref="J915">IFERROR(INDEX('Retirement Calculator'!K:K,MATCH('Lorri 401b'!N915,'Retirement Calculator'!A:A,0),0),0)</f>
        <v>21655.303514578787</v>
      </c>
      <c r="K915" s="444">
        <f t="shared" ca="1" si="79"/>
        <v>-86888.575918756425</v>
      </c>
      <c r="L915" s="444">
        <f t="shared" ca="1" si="80"/>
        <v>-20940146.796420299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-20940146.796420299</v>
      </c>
      <c r="J916" s="444">
        <f t="array" ref="J916">IFERROR(INDEX('Retirement Calculator'!K:K,MATCH('Lorri 401b'!N916,'Retirement Calculator'!A:A,0),0),0)</f>
        <v>21655.303514578787</v>
      </c>
      <c r="K916" s="444">
        <f t="shared" ca="1" si="79"/>
        <v>-87340.842083061987</v>
      </c>
      <c r="L916" s="444">
        <f t="shared" ca="1" si="80"/>
        <v>-21049142.942017939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-21049142.942017939</v>
      </c>
      <c r="J917" s="444">
        <f t="array" ref="J917">IFERROR(INDEX('Retirement Calculator'!K:K,MATCH('Lorri 401b'!N917,'Retirement Calculator'!A:A,0),0),0)</f>
        <v>21655.303514578787</v>
      </c>
      <c r="K917" s="444">
        <f t="shared" ca="1" si="79"/>
        <v>-87794.992689718812</v>
      </c>
      <c r="L917" s="444">
        <f t="shared" ca="1" si="80"/>
        <v>-21158593.238222234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-21158593.238222234</v>
      </c>
      <c r="J918" s="444">
        <f t="array" ref="J918">IFERROR(INDEX('Retirement Calculator'!K:K,MATCH('Lorri 401b'!N918,'Retirement Calculator'!A:A,0),0),0)</f>
        <v>21655.303514578787</v>
      </c>
      <c r="K918" s="444">
        <f t="shared" ca="1" si="79"/>
        <v>-88251.035590570042</v>
      </c>
      <c r="L918" s="444">
        <f t="shared" ca="1" si="80"/>
        <v>-21268499.577327382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-21268499.577327382</v>
      </c>
      <c r="J919" s="444">
        <f t="array" ref="J919">IFERROR(INDEX('Retirement Calculator'!K:K,MATCH('Lorri 401b'!N919,'Retirement Calculator'!A:A,0),0),0)</f>
        <v>21655.303514578787</v>
      </c>
      <c r="K919" s="444">
        <f t="shared" ca="1" si="79"/>
        <v>-88708.978670174823</v>
      </c>
      <c r="L919" s="444">
        <f t="shared" ca="1" si="80"/>
        <v>-21378863.859512135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-21378863.859512135</v>
      </c>
      <c r="J920" s="444">
        <f t="array" ref="J920">IFERROR(INDEX('Retirement Calculator'!K:K,MATCH('Lorri 401b'!N920,'Retirement Calculator'!A:A,0),0),0)</f>
        <v>21655.303514578787</v>
      </c>
      <c r="K920" s="444">
        <f t="shared" ca="1" si="79"/>
        <v>-89168.829845944638</v>
      </c>
      <c r="L920" s="444">
        <f t="shared" ca="1" si="80"/>
        <v>-21489687.992872659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-21489687.992872659</v>
      </c>
      <c r="J921" s="444">
        <f t="array" ref="J921">IFERROR(INDEX('Retirement Calculator'!K:K,MATCH('Lorri 401b'!N921,'Retirement Calculator'!A:A,0),0),0)</f>
        <v>21655.303514578787</v>
      </c>
      <c r="K921" s="444">
        <f t="shared" ca="1" si="79"/>
        <v>-89630.597068280156</v>
      </c>
      <c r="L921" s="444">
        <f t="shared" ca="1" si="80"/>
        <v>-21600973.893455517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-21600973.893455517</v>
      </c>
      <c r="J922" s="444">
        <f t="array" ref="J922">IFERROR(INDEX('Retirement Calculator'!K:K,MATCH('Lorri 401b'!N922,'Retirement Calculator'!A:A,0),0),0)</f>
        <v>21655.303514578787</v>
      </c>
      <c r="K922" s="444">
        <f t="shared" ca="1" si="79"/>
        <v>-90094.288320708729</v>
      </c>
      <c r="L922" s="444">
        <f t="shared" ca="1" si="80"/>
        <v>-21712723.485290803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-21712723.485290803</v>
      </c>
      <c r="J923" s="444">
        <f t="array" ref="J923">IFERROR(INDEX('Retirement Calculator'!K:K,MATCH('Lorri 401b'!N923,'Retirement Calculator'!A:A,0),0),0)</f>
        <v>21655.303514578787</v>
      </c>
      <c r="K923" s="444">
        <f t="shared" ca="1" si="79"/>
        <v>-90559.911620022423</v>
      </c>
      <c r="L923" s="444">
        <f t="shared" ca="1" si="80"/>
        <v>-21824938.700425401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-21824938.700425401</v>
      </c>
      <c r="J924" s="444">
        <f t="array" ref="J924">IFERROR(INDEX('Retirement Calculator'!K:K,MATCH('Lorri 401b'!N924,'Retirement Calculator'!A:A,0),0),0)</f>
        <v>21655.303514578787</v>
      </c>
      <c r="K924" s="444">
        <f t="shared" ca="1" si="79"/>
        <v>-91027.475016416574</v>
      </c>
      <c r="L924" s="444">
        <f t="shared" ca="1" si="80"/>
        <v>-21937621.478956394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-21937621.478956394</v>
      </c>
      <c r="J925" s="444">
        <f t="array" ref="J925">IFERROR(INDEX('Retirement Calculator'!K:K,MATCH('Lorri 401b'!N925,'Retirement Calculator'!A:A,0),0),0)</f>
        <v>21655.303514578787</v>
      </c>
      <c r="K925" s="444">
        <f t="shared" ca="1" si="79"/>
        <v>-91496.986593629044</v>
      </c>
      <c r="L925" s="444">
        <f t="shared" ca="1" si="80"/>
        <v>-22050773.769064602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-22050773.769064602</v>
      </c>
      <c r="J926" s="444">
        <f t="array" ref="J926">IFERROR(INDEX('Retirement Calculator'!K:K,MATCH('Lorri 401b'!N926,'Retirement Calculator'!A:A,0),0),0)</f>
        <v>21655.303514578787</v>
      </c>
      <c r="K926" s="444">
        <f t="shared" ca="1" si="79"/>
        <v>-91968.454469079908</v>
      </c>
      <c r="L926" s="444">
        <f t="shared" ca="1" si="80"/>
        <v>-22164397.52704826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-22164397.52704826</v>
      </c>
      <c r="J927" s="444">
        <f t="array" ref="J927">IFERROR(INDEX('Retirement Calculator'!K:K,MATCH('Lorri 401b'!N927,'Retirement Calculator'!A:A,0),0),0)</f>
        <v>21655.303514578787</v>
      </c>
      <c r="K927" s="444">
        <f t="shared" ca="1" si="79"/>
        <v>-92441.886794011822</v>
      </c>
      <c r="L927" s="444">
        <f t="shared" ca="1" si="80"/>
        <v>-22278494.717356849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-22278494.717356849</v>
      </c>
      <c r="J928" s="444">
        <f t="array" ref="J928">IFERROR(INDEX('Retirement Calculator'!K:K,MATCH('Lorri 401b'!N928,'Retirement Calculator'!A:A,0),0),0)</f>
        <v>21655.303514578787</v>
      </c>
      <c r="K928" s="444">
        <f t="shared" ca="1" si="79"/>
        <v>-92917.29175363094</v>
      </c>
      <c r="L928" s="444">
        <f t="shared" ca="1" si="80"/>
        <v>-22393067.312625058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-22393067.312625058</v>
      </c>
      <c r="J929" s="444">
        <f t="array" ref="J929">IFERROR(INDEX('Retirement Calculator'!K:K,MATCH('Lorri 401b'!N929,'Retirement Calculator'!A:A,0),0),0)</f>
        <v>21655.303514578787</v>
      </c>
      <c r="K929" s="444">
        <f t="shared" ca="1" si="79"/>
        <v>-93394.67756724848</v>
      </c>
      <c r="L929" s="444">
        <f t="shared" ca="1" si="80"/>
        <v>-22508117.293706883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-22508117.293706883</v>
      </c>
      <c r="J930" s="444">
        <f t="array" ref="J930">IFERROR(INDEX('Retirement Calculator'!K:K,MATCH('Lorri 401b'!N930,'Retirement Calculator'!A:A,0),0),0)</f>
        <v>21655.303514578787</v>
      </c>
      <c r="K930" s="444">
        <f t="shared" ca="1" si="79"/>
        <v>-93874.052488422749</v>
      </c>
      <c r="L930" s="444">
        <f t="shared" ca="1" si="80"/>
        <v>-22623646.649709884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-22623646.649709884</v>
      </c>
      <c r="J931" s="444">
        <f t="array" ref="J931">IFERROR(INDEX('Retirement Calculator'!K:K,MATCH('Lorri 401b'!N931,'Retirement Calculator'!A:A,0),0),0)</f>
        <v>21655.303514578787</v>
      </c>
      <c r="K931" s="444">
        <f t="shared" ca="1" si="79"/>
        <v>-94355.424805101924</v>
      </c>
      <c r="L931" s="444">
        <f t="shared" ca="1" si="80"/>
        <v>-22739657.378029563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-22739657.378029563</v>
      </c>
      <c r="J932" s="444">
        <f t="array" ref="J932">IFERROR(INDEX('Retirement Calculator'!K:K,MATCH('Lorri 401b'!N932,'Retirement Calculator'!A:A,0),0),0)</f>
        <v>21655.303514578787</v>
      </c>
      <c r="K932" s="444">
        <f t="shared" ca="1" si="79"/>
        <v>-94838.802839767246</v>
      </c>
      <c r="L932" s="444">
        <f t="shared" ca="1" si="80"/>
        <v>-22856151.484383907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-22856151.484383907</v>
      </c>
      <c r="J933" s="444">
        <f t="array" ref="J933">IFERROR(INDEX('Retirement Calculator'!K:K,MATCH('Lorri 401b'!N933,'Retirement Calculator'!A:A,0),0),0)</f>
        <v>21655.303514578787</v>
      </c>
      <c r="K933" s="444">
        <f t="shared" ca="1" si="79"/>
        <v>-95324.194949577024</v>
      </c>
      <c r="L933" s="444">
        <f t="shared" ca="1" si="80"/>
        <v>-22973130.982848063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-22973130.982848063</v>
      </c>
      <c r="J934" s="444">
        <f t="array" ref="J934">IFERROR(INDEX('Retirement Calculator'!K:K,MATCH('Lorri 401b'!N934,'Retirement Calculator'!A:A,0),0),0)</f>
        <v>21655.303514578787</v>
      </c>
      <c r="K934" s="444">
        <f t="shared" ca="1" si="79"/>
        <v>-95811.609526511005</v>
      </c>
      <c r="L934" s="444">
        <f t="shared" ca="1" si="80"/>
        <v>-23090597.895889152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-23090597.895889152</v>
      </c>
      <c r="J935" s="444">
        <f t="array" ref="J935">IFERROR(INDEX('Retirement Calculator'!K:K,MATCH('Lorri 401b'!N935,'Retirement Calculator'!A:A,0),0),0)</f>
        <v>21655.303514578787</v>
      </c>
      <c r="K935" s="444">
        <f t="shared" ca="1" si="79"/>
        <v>-96301.054997515545</v>
      </c>
      <c r="L935" s="444">
        <f t="shared" ca="1" si="80"/>
        <v>-23208554.254401244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-23208554.254401244</v>
      </c>
      <c r="J936" s="444">
        <f t="array" ref="J936">IFERROR(INDEX('Retirement Calculator'!K:K,MATCH('Lorri 401b'!N936,'Retirement Calculator'!A:A,0),0),0)</f>
        <v>21655.303514578787</v>
      </c>
      <c r="K936" s="444">
        <f t="shared" ca="1" si="79"/>
        <v>-96792.539824649255</v>
      </c>
      <c r="L936" s="444">
        <f t="shared" ca="1" si="80"/>
        <v>-23327002.097740471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-23327002.097740471</v>
      </c>
      <c r="J937" s="444">
        <f t="array" ref="J937">IFERROR(INDEX('Retirement Calculator'!K:K,MATCH('Lorri 401b'!N937,'Retirement Calculator'!A:A,0),0),0)</f>
        <v>21655.303514578787</v>
      </c>
      <c r="K937" s="444">
        <f t="shared" ca="1" si="79"/>
        <v>-97286.072505229371</v>
      </c>
      <c r="L937" s="444">
        <f t="shared" ca="1" si="80"/>
        <v>-23445943.473760277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-23445943.473760277</v>
      </c>
      <c r="J938" s="444">
        <f t="array" ref="J938">IFERROR(INDEX('Retirement Calculator'!K:K,MATCH('Lorri 401b'!N938,'Retirement Calculator'!A:A,0),0),0)</f>
        <v>21655.303514578787</v>
      </c>
      <c r="K938" s="444">
        <f t="shared" ca="1" si="79"/>
        <v>-97781.661571978562</v>
      </c>
      <c r="L938" s="444">
        <f t="shared" ca="1" si="80"/>
        <v>-23565380.438846834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-23565380.438846834</v>
      </c>
      <c r="J939" s="444">
        <f t="array" ref="J939">IFERROR(INDEX('Retirement Calculator'!K:K,MATCH('Lorri 401b'!N939,'Retirement Calculator'!A:A,0),0),0)</f>
        <v>21655.303514578787</v>
      </c>
      <c r="K939" s="444">
        <f t="shared" ca="1" si="79"/>
        <v>-98279.315593172549</v>
      </c>
      <c r="L939" s="444">
        <f t="shared" ca="1" si="80"/>
        <v>-23685315.057954583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-23685315.057954583</v>
      </c>
      <c r="J940" s="444">
        <f t="array" ref="J940">IFERROR(INDEX('Retirement Calculator'!K:K,MATCH('Lorri 401b'!N940,'Retirement Calculator'!A:A,0),0),0)</f>
        <v>21655.303514578787</v>
      </c>
      <c r="K940" s="444">
        <f t="shared" ca="1" si="79"/>
        <v>-98779.043172788166</v>
      </c>
      <c r="L940" s="444">
        <f t="shared" ca="1" si="80"/>
        <v>-23805749.404641949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-23805749.404641949</v>
      </c>
      <c r="J941" s="444">
        <f t="array" ref="J941">IFERROR(INDEX('Retirement Calculator'!K:K,MATCH('Lorri 401b'!N941,'Retirement Calculator'!A:A,0),0),0)</f>
        <v>21655.303514578787</v>
      </c>
      <c r="K941" s="444">
        <f t="shared" ca="1" si="79"/>
        <v>-99280.852950652188</v>
      </c>
      <c r="L941" s="444">
        <f t="shared" ca="1" si="80"/>
        <v>-23926685.561107177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-23926685.561107177</v>
      </c>
      <c r="J942" s="444">
        <f t="array" ref="J942">IFERROR(INDEX('Retirement Calculator'!K:K,MATCH('Lorri 401b'!N942,'Retirement Calculator'!A:A,0),0),0)</f>
        <v>21655.303514578787</v>
      </c>
      <c r="K942" s="444">
        <f t="shared" ca="1" si="79"/>
        <v>-99784.753602590645</v>
      </c>
      <c r="L942" s="444">
        <f t="shared" ca="1" si="80"/>
        <v>-24048125.618224345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-24048125.618224345</v>
      </c>
      <c r="J943" s="444">
        <f t="array" ref="J943">IFERROR(INDEX('Retirement Calculator'!K:K,MATCH('Lorri 401b'!N943,'Retirement Calculator'!A:A,0),0),0)</f>
        <v>21655.303514578787</v>
      </c>
      <c r="K943" s="444">
        <f t="shared" ca="1" si="79"/>
        <v>-100290.75384057884</v>
      </c>
      <c r="L943" s="444">
        <f t="shared" ca="1" si="80"/>
        <v>-24170071.675579503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-24170071.675579503</v>
      </c>
      <c r="J944" s="444">
        <f t="array" ref="J944">IFERROR(INDEX('Retirement Calculator'!K:K,MATCH('Lorri 401b'!N944,'Retirement Calculator'!A:A,0),0),0)</f>
        <v>21655.303514578787</v>
      </c>
      <c r="K944" s="444">
        <f t="shared" ca="1" si="79"/>
        <v>-100798.86241289201</v>
      </c>
      <c r="L944" s="444">
        <f t="shared" ca="1" si="80"/>
        <v>-24292525.841506973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-24292525.841506973</v>
      </c>
      <c r="J945" s="444">
        <f t="array" ref="J945">IFERROR(INDEX('Retirement Calculator'!K:K,MATCH('Lorri 401b'!N945,'Retirement Calculator'!A:A,0),0),0)</f>
        <v>21655.303514578787</v>
      </c>
      <c r="K945" s="444">
        <f t="shared" ca="1" si="79"/>
        <v>-101309.08810425646</v>
      </c>
      <c r="L945" s="444">
        <f t="shared" ca="1" si="80"/>
        <v>-24415490.233125806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-24415490.233125806</v>
      </c>
      <c r="J946" s="444">
        <f t="array" ref="J946">IFERROR(INDEX('Retirement Calculator'!K:K,MATCH('Lorri 401b'!N946,'Retirement Calculator'!A:A,0),0),0)</f>
        <v>21655.303514578787</v>
      </c>
      <c r="K946" s="444">
        <f t="shared" ca="1" si="79"/>
        <v>-101821.4397360016</v>
      </c>
      <c r="L946" s="444">
        <f t="shared" ca="1" si="80"/>
        <v>-24538966.976376384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-24538966.976376384</v>
      </c>
      <c r="J947" s="444">
        <f t="array" ref="J947">IFERROR(INDEX('Retirement Calculator'!K:K,MATCH('Lorri 401b'!N947,'Retirement Calculator'!A:A,0),0),0)</f>
        <v>21655.303514578787</v>
      </c>
      <c r="K947" s="444">
        <f t="shared" ca="1" si="79"/>
        <v>-102335.92616621235</v>
      </c>
      <c r="L947" s="444">
        <f t="shared" ca="1" si="80"/>
        <v>-24662958.206057176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-24662958.206057176</v>
      </c>
      <c r="J948" s="444">
        <f t="array" ref="J948">IFERROR(INDEX('Retirement Calculator'!K:K,MATCH('Lorri 401b'!N948,'Retirement Calculator'!A:A,0),0),0)</f>
        <v>21655.303514578787</v>
      </c>
      <c r="K948" s="444">
        <f t="shared" ca="1" si="79"/>
        <v>-102852.55628988231</v>
      </c>
      <c r="L948" s="444">
        <f t="shared" ca="1" si="80"/>
        <v>-24787466.065861635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-24787466.065861635</v>
      </c>
      <c r="J949" s="444">
        <f t="array" ref="J949">IFERROR(INDEX('Retirement Calculator'!K:K,MATCH('Lorri 401b'!N949,'Retirement Calculator'!A:A,0),0),0)</f>
        <v>21655.303514578787</v>
      </c>
      <c r="K949" s="444">
        <f t="shared" ca="1" si="79"/>
        <v>-103371.33903906755</v>
      </c>
      <c r="L949" s="444">
        <f t="shared" ca="1" si="80"/>
        <v>-24912492.708415281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-24912492.708415281</v>
      </c>
      <c r="J950" s="444">
        <f t="array" ref="J950">IFERROR(INDEX('Retirement Calculator'!K:K,MATCH('Lorri 401b'!N950,'Retirement Calculator'!A:A,0),0),0)</f>
        <v>21655.303514578787</v>
      </c>
      <c r="K950" s="444">
        <f t="shared" ca="1" si="79"/>
        <v>-103892.28338304108</v>
      </c>
      <c r="L950" s="444">
        <f t="shared" ca="1" si="80"/>
        <v>-25038040.2953129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-25038040.2953129</v>
      </c>
      <c r="J951" s="444">
        <f t="array" ref="J951">IFERROR(INDEX('Retirement Calculator'!K:K,MATCH('Lorri 401b'!N951,'Retirement Calculator'!A:A,0),0),0)</f>
        <v>21655.303514578787</v>
      </c>
      <c r="K951" s="444">
        <f t="shared" ca="1" si="79"/>
        <v>-104415.39832844782</v>
      </c>
      <c r="L951" s="444">
        <f t="shared" ca="1" si="80"/>
        <v>-25164110.997155927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-25164110.997155927</v>
      </c>
      <c r="J952" s="444">
        <f t="array" ref="J952">IFERROR(INDEX('Retirement Calculator'!K:K,MATCH('Lorri 401b'!N952,'Retirement Calculator'!A:A,0),0),0)</f>
        <v>21655.303514578787</v>
      </c>
      <c r="K952" s="444">
        <f t="shared" ca="1" si="79"/>
        <v>-104940.69291946043</v>
      </c>
      <c r="L952" s="444">
        <f t="shared" ca="1" si="80"/>
        <v>-25290706.993589964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-25290706.993589964</v>
      </c>
      <c r="J953" s="444">
        <f t="array" ref="J953">IFERROR(INDEX('Retirement Calculator'!K:K,MATCH('Lorri 401b'!N953,'Retirement Calculator'!A:A,0),0),0)</f>
        <v>21655.303514578787</v>
      </c>
      <c r="K953" s="444">
        <f t="shared" ca="1" si="79"/>
        <v>-105468.17623793559</v>
      </c>
      <c r="L953" s="444">
        <f t="shared" ca="1" si="80"/>
        <v>-25417830.473342478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-25417830.473342478</v>
      </c>
      <c r="J954" s="444">
        <f t="array" ref="J954">IFERROR(INDEX('Retirement Calculator'!K:K,MATCH('Lorri 401b'!N954,'Retirement Calculator'!A:A,0),0),0)</f>
        <v>21655.303514578787</v>
      </c>
      <c r="K954" s="444">
        <f t="shared" ca="1" si="79"/>
        <v>-105997.85740357106</v>
      </c>
      <c r="L954" s="444">
        <f t="shared" ca="1" si="80"/>
        <v>-25545483.634260628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-25545483.634260628</v>
      </c>
      <c r="J955" s="444">
        <f t="array" ref="J955">IFERROR(INDEX('Retirement Calculator'!K:K,MATCH('Lorri 401b'!N955,'Retirement Calculator'!A:A,0),0),0)</f>
        <v>21655.303514578787</v>
      </c>
      <c r="K955" s="444">
        <f t="shared" ca="1" si="79"/>
        <v>-106529.74557406336</v>
      </c>
      <c r="L955" s="444">
        <f t="shared" ca="1" si="80"/>
        <v>-25673668.68334927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-25673668.68334927</v>
      </c>
      <c r="J956" s="444">
        <f t="array" ref="J956">IFERROR(INDEX('Retirement Calculator'!K:K,MATCH('Lorri 401b'!N956,'Retirement Calculator'!A:A,0),0),0)</f>
        <v>21655.303514578787</v>
      </c>
      <c r="K956" s="444">
        <f t="shared" ca="1" si="79"/>
        <v>-107063.84994526603</v>
      </c>
      <c r="L956" s="444">
        <f t="shared" ca="1" si="80"/>
        <v>-25802387.836809114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-25802387.836809114</v>
      </c>
      <c r="J957" s="444">
        <f t="array" ref="J957">IFERROR(INDEX('Retirement Calculator'!K:K,MATCH('Lorri 401b'!N957,'Retirement Calculator'!A:A,0),0),0)</f>
        <v>21655.303514578787</v>
      </c>
      <c r="K957" s="444">
        <f t="shared" ca="1" si="79"/>
        <v>-107600.17975134871</v>
      </c>
      <c r="L957" s="444">
        <f t="shared" ca="1" si="80"/>
        <v>-25931643.320075039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-25931643.320075039</v>
      </c>
      <c r="J958" s="444">
        <f t="array" ref="J958">IFERROR(INDEX('Retirement Calculator'!K:K,MATCH('Lorri 401b'!N958,'Retirement Calculator'!A:A,0),0),0)</f>
        <v>21655.303514578787</v>
      </c>
      <c r="K958" s="444">
        <f t="shared" ca="1" si="79"/>
        <v>-108138.74426495674</v>
      </c>
      <c r="L958" s="444">
        <f t="shared" ca="1" si="80"/>
        <v>-26061437.367854573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-26061437.367854573</v>
      </c>
      <c r="J959" s="444">
        <f t="array" ref="J959">IFERROR(INDEX('Retirement Calculator'!K:K,MATCH('Lorri 401b'!N959,'Retirement Calculator'!A:A,0),0),0)</f>
        <v>21655.303514578787</v>
      </c>
      <c r="K959" s="444">
        <f t="shared" ca="1" si="79"/>
        <v>-108679.55279737146</v>
      </c>
      <c r="L959" s="444">
        <f t="shared" ca="1" si="80"/>
        <v>-26191772.22416652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-26191772.22416652</v>
      </c>
      <c r="J960" s="444">
        <f t="array" ref="J960">IFERROR(INDEX('Retirement Calculator'!K:K,MATCH('Lorri 401b'!N960,'Retirement Calculator'!A:A,0),0),0)</f>
        <v>21655.303514578787</v>
      </c>
      <c r="K960" s="444">
        <f t="shared" ca="1" si="79"/>
        <v>-109222.61469867124</v>
      </c>
      <c r="L960" s="444">
        <f t="shared" ca="1" si="80"/>
        <v>-26322650.142379768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-26322650.142379768</v>
      </c>
      <c r="J961" s="444">
        <f t="array" ref="J961">IFERROR(INDEX('Retirement Calculator'!K:K,MATCH('Lorri 401b'!N961,'Retirement Calculator'!A:A,0),0),0)</f>
        <v>21655.303514578787</v>
      </c>
      <c r="K961" s="444">
        <f t="shared" ca="1" si="79"/>
        <v>-109767.93935789309</v>
      </c>
      <c r="L961" s="444">
        <f t="shared" ca="1" si="80"/>
        <v>-26454073.385252237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-26454073.385252237</v>
      </c>
      <c r="J962" s="444">
        <f t="array" ref="J962">IFERROR(INDEX('Retirement Calculator'!K:K,MATCH('Lorri 401b'!N962,'Retirement Calculator'!A:A,0),0),0)</f>
        <v>21655.303514578787</v>
      </c>
      <c r="K962" s="444">
        <f t="shared" ca="1" si="79"/>
        <v>-110315.53620319508</v>
      </c>
      <c r="L962" s="444">
        <f t="shared" ca="1" si="80"/>
        <v>-26586044.224970009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-26586044.224970009</v>
      </c>
      <c r="J963" s="444">
        <f t="array" ref="J963">IFERROR(INDEX('Retirement Calculator'!K:K,MATCH('Lorri 401b'!N963,'Retirement Calculator'!A:A,0),0),0)</f>
        <v>21655.303514578787</v>
      </c>
      <c r="K963" s="444">
        <f t="shared" ca="1" si="79"/>
        <v>-110865.41470201909</v>
      </c>
      <c r="L963" s="444">
        <f t="shared" ca="1" si="80"/>
        <v>-26718564.943186607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-26718564.943186607</v>
      </c>
      <c r="J964" s="444">
        <f t="array" ref="J964">IFERROR(INDEX('Retirement Calculator'!K:K,MATCH('Lorri 401b'!N964,'Retirement Calculator'!A:A,0),0),0)</f>
        <v>21655.303514578787</v>
      </c>
      <c r="K964" s="444">
        <f t="shared" ca="1" si="79"/>
        <v>-111417.58436125494</v>
      </c>
      <c r="L964" s="444">
        <f t="shared" ca="1" si="80"/>
        <v>-26851637.83106244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-26851637.83106244</v>
      </c>
      <c r="J965" s="444">
        <f t="array" ref="J965">IFERROR(INDEX('Retirement Calculator'!K:K,MATCH('Lorri 401b'!N965,'Retirement Calculator'!A:A,0),0),0)</f>
        <v>21655.303514578787</v>
      </c>
      <c r="K965" s="444">
        <f t="shared" ca="1" si="79"/>
        <v>-111972.05472740422</v>
      </c>
      <c r="L965" s="444">
        <f t="shared" ca="1" si="80"/>
        <v>-26985265.189304423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-26985265.189304423</v>
      </c>
      <c r="J966" s="444">
        <f t="array" ref="J966">IFERROR(INDEX('Retirement Calculator'!K:K,MATCH('Lorri 401b'!N966,'Retirement Calculator'!A:A,0),0),0)</f>
        <v>21655.303514578787</v>
      </c>
      <c r="K966" s="444">
        <f t="shared" ca="1" si="79"/>
        <v>-112528.83538674585</v>
      </c>
      <c r="L966" s="444">
        <f t="shared" ca="1" si="80"/>
        <v>-27119449.328205746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-27119449.328205746</v>
      </c>
      <c r="J967" s="444">
        <f t="array" ref="J967">IFERROR(INDEX('Retirement Calculator'!K:K,MATCH('Lorri 401b'!N967,'Retirement Calculator'!A:A,0),0),0)</f>
        <v>21655.303514578787</v>
      </c>
      <c r="K967" s="444">
        <f t="shared" ca="1" si="79"/>
        <v>-113087.93596550134</v>
      </c>
      <c r="L967" s="444">
        <f t="shared" ca="1" si="80"/>
        <v>-27254192.567685824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-27254192.567685824</v>
      </c>
      <c r="J968" s="444">
        <f t="array" ref="J968">IFERROR(INDEX('Retirement Calculator'!K:K,MATCH('Lorri 401b'!N968,'Retirement Calculator'!A:A,0),0),0)</f>
        <v>21655.303514578787</v>
      </c>
      <c r="K968" s="444">
        <f t="shared" ca="1" si="79"/>
        <v>-113649.36613000167</v>
      </c>
      <c r="L968" s="444">
        <f t="shared" ca="1" si="80"/>
        <v>-27389497.237330403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-27389497.237330403</v>
      </c>
      <c r="J969" s="444">
        <f t="array" ref="J969">IFERROR(INDEX('Retirement Calculator'!K:K,MATCH('Lorri 401b'!N969,'Retirement Calculator'!A:A,0),0),0)</f>
        <v>21655.303514578787</v>
      </c>
      <c r="K969" s="444">
        <f t="shared" ca="1" si="79"/>
        <v>-114213.13558685408</v>
      </c>
      <c r="L969" s="444">
        <f t="shared" ca="1" si="80"/>
        <v>-27525365.676431835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-27525365.676431835</v>
      </c>
      <c r="J970" s="444">
        <f t="array" ref="J970">IFERROR(INDEX('Retirement Calculator'!K:K,MATCH('Lorri 401b'!N970,'Retirement Calculator'!A:A,0),0),0)</f>
        <v>21655.303514578787</v>
      </c>
      <c r="K970" s="444">
        <f t="shared" ca="1" si="79"/>
        <v>-114779.25408311003</v>
      </c>
      <c r="L970" s="444">
        <f t="shared" ca="1" si="80"/>
        <v>-27661800.234029524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-27661800.234029524</v>
      </c>
      <c r="J971" s="444">
        <f t="array" ref="J971">IFERROR(INDEX('Retirement Calculator'!K:K,MATCH('Lorri 401b'!N971,'Retirement Calculator'!A:A,0),0),0)</f>
        <v>21655.303514578787</v>
      </c>
      <c r="K971" s="444">
        <f t="shared" ca="1" si="79"/>
        <v>-115347.73140643374</v>
      </c>
      <c r="L971" s="444">
        <f t="shared" ca="1" si="80"/>
        <v>-27798803.268950537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-27798803.268950537</v>
      </c>
      <c r="J972" s="444">
        <f t="array" ref="J972">IFERROR(INDEX('Retirement Calculator'!K:K,MATCH('Lorri 401b'!N972,'Retirement Calculator'!A:A,0),0),0)</f>
        <v>21655.303514578787</v>
      </c>
      <c r="K972" s="444">
        <f t="shared" ca="1" si="79"/>
        <v>-115918.5773852713</v>
      </c>
      <c r="L972" s="444">
        <f t="shared" ca="1" si="80"/>
        <v>-27936377.149850387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-27936377.149850387</v>
      </c>
      <c r="J973" s="444">
        <f t="array" ref="J973">IFERROR(INDEX('Retirement Calculator'!K:K,MATCH('Lorri 401b'!N973,'Retirement Calculator'!A:A,0),0),0)</f>
        <v>21655.303514578787</v>
      </c>
      <c r="K973" s="444">
        <f t="shared" ca="1" si="79"/>
        <v>-116491.80188902069</v>
      </c>
      <c r="L973" s="444">
        <f t="shared" ca="1" si="80"/>
        <v>-28074524.255253986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-28074524.255253986</v>
      </c>
      <c r="J974" s="444">
        <f t="array" ref="J974">IFERROR(INDEX('Retirement Calculator'!K:K,MATCH('Lorri 401b'!N974,'Retirement Calculator'!A:A,0),0),0)</f>
        <v>21655.303514578787</v>
      </c>
      <c r="K974" s="444">
        <f t="shared" ca="1" si="79"/>
        <v>-117067.41482820234</v>
      </c>
      <c r="L974" s="444">
        <f t="shared" ca="1" si="80"/>
        <v>-28213246.973596767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-28213246.973596767</v>
      </c>
      <c r="J975" s="444">
        <f t="array" ref="J975">IFERROR(INDEX('Retirement Calculator'!K:K,MATCH('Lorri 401b'!N975,'Retirement Calculator'!A:A,0),0),0)</f>
        <v>21655.303514578787</v>
      </c>
      <c r="K975" s="444">
        <f t="shared" ca="1" si="79"/>
        <v>-117645.42615463058</v>
      </c>
      <c r="L975" s="444">
        <f t="shared" ca="1" si="80"/>
        <v>-28352547.703265976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-28352547.703265976</v>
      </c>
      <c r="J976" s="444">
        <f t="array" ref="J976">IFERROR(INDEX('Retirement Calculator'!K:K,MATCH('Lorri 401b'!N976,'Retirement Calculator'!A:A,0),0),0)</f>
        <v>21655.303514578787</v>
      </c>
      <c r="K976" s="444">
        <f t="shared" ca="1" si="79"/>
        <v>-118225.84586158565</v>
      </c>
      <c r="L976" s="444">
        <f t="shared" ca="1" si="80"/>
        <v>-28492428.852642138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-28492428.852642138</v>
      </c>
      <c r="J977" s="444">
        <f t="array" ref="J977">IFERROR(INDEX('Retirement Calculator'!K:K,MATCH('Lorri 401b'!N977,'Retirement Calculator'!A:A,0),0),0)</f>
        <v>21655.303514578787</v>
      </c>
      <c r="K977" s="444">
        <f t="shared" ca="1" si="79"/>
        <v>-118808.68398398631</v>
      </c>
      <c r="L977" s="444">
        <f t="shared" ca="1" si="80"/>
        <v>-28632892.8401407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-28632892.8401407</v>
      </c>
      <c r="J978" s="444">
        <f t="array" ref="J978">IFERROR(INDEX('Retirement Calculator'!K:K,MATCH('Lorri 401b'!N978,'Retirement Calculator'!A:A,0),0),0)</f>
        <v>21655.303514578787</v>
      </c>
      <c r="K978" s="444">
        <f t="shared" ca="1" si="79"/>
        <v>-119393.95059856364</v>
      </c>
      <c r="L978" s="444">
        <f t="shared" ca="1" si="80"/>
        <v>-28773942.094253842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-28773942.094253842</v>
      </c>
      <c r="J979" s="444">
        <f t="array" ref="J979">IFERROR(INDEX('Retirement Calculator'!K:K,MATCH('Lorri 401b'!N979,'Retirement Calculator'!A:A,0),0),0)</f>
        <v>21655.303514578787</v>
      </c>
      <c r="K979" s="444">
        <f t="shared" ca="1" si="79"/>
        <v>-119981.65582403507</v>
      </c>
      <c r="L979" s="444">
        <f t="shared" ca="1" si="80"/>
        <v>-28915579.053592455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-28915579.053592455</v>
      </c>
      <c r="J980" s="444">
        <f t="array" ref="J980">IFERROR(INDEX('Retirement Calculator'!K:K,MATCH('Lorri 401b'!N980,'Retirement Calculator'!A:A,0),0),0)</f>
        <v>21655.303514578787</v>
      </c>
      <c r="K980" s="444">
        <f t="shared" ca="1" si="79"/>
        <v>-120571.8098212793</v>
      </c>
      <c r="L980" s="444">
        <f t="shared" ca="1" si="80"/>
        <v>-29057806.16692831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-29057806.16692831</v>
      </c>
      <c r="J981" s="444">
        <f t="array" ref="J981">IFERROR(INDEX('Retirement Calculator'!K:K,MATCH('Lorri 401b'!N981,'Retirement Calculator'!A:A,0),0),0)</f>
        <v>21655.303514578787</v>
      </c>
      <c r="K981" s="444">
        <f t="shared" ca="1" si="79"/>
        <v>-121164.42279351203</v>
      </c>
      <c r="L981" s="444">
        <f t="shared" ca="1" si="80"/>
        <v>-29200625.893236399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-29200625.893236399</v>
      </c>
      <c r="J982" s="444">
        <f t="array" ref="J982">IFERROR(INDEX('Retirement Calculator'!K:K,MATCH('Lorri 401b'!N982,'Retirement Calculator'!A:A,0),0),0)</f>
        <v>21655.303514578787</v>
      </c>
      <c r="K982" s="444">
        <f t="shared" ca="1" si="79"/>
        <v>-121759.5049864624</v>
      </c>
      <c r="L982" s="444">
        <f t="shared" ca="1" si="80"/>
        <v>-29344040.701737437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-29344040.701737437</v>
      </c>
      <c r="J983" s="444">
        <f t="array" ref="J983">IFERROR(INDEX('Retirement Calculator'!K:K,MATCH('Lorri 401b'!N983,'Retirement Calculator'!A:A,0),0),0)</f>
        <v>21655.303514578787</v>
      </c>
      <c r="K983" s="444">
        <f t="shared" ca="1" si="79"/>
        <v>-122357.06668855005</v>
      </c>
      <c r="L983" s="444">
        <f t="shared" ca="1" si="80"/>
        <v>-29488053.071940564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-29488053.071940564</v>
      </c>
      <c r="J984" s="444">
        <f t="array" ref="J984">IFERROR(INDEX('Retirement Calculator'!K:K,MATCH('Lorri 401b'!N984,'Retirement Calculator'!A:A,0),0),0)</f>
        <v>21655.303514578787</v>
      </c>
      <c r="K984" s="444">
        <f t="shared" ca="1" si="79"/>
        <v>-122957.11823106308</v>
      </c>
      <c r="L984" s="444">
        <f t="shared" ca="1" si="80"/>
        <v>-29632665.493686203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-29632665.493686203</v>
      </c>
      <c r="J985" s="444">
        <f t="array" ref="J985">IFERROR(INDEX('Retirement Calculator'!K:K,MATCH('Lorri 401b'!N985,'Retirement Calculator'!A:A,0),0),0)</f>
        <v>21655.303514578787</v>
      </c>
      <c r="K985" s="444">
        <f t="shared" ca="1" si="79"/>
        <v>-123559.66998833657</v>
      </c>
      <c r="L985" s="444">
        <f t="shared" ca="1" si="80"/>
        <v>-29777880.467189118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-29777880.467189118</v>
      </c>
      <c r="J986" s="444">
        <f t="array" ref="J986">IFERROR(INDEX('Retirement Calculator'!K:K,MATCH('Lorri 401b'!N986,'Retirement Calculator'!A:A,0),0),0)</f>
        <v>21655.303514578787</v>
      </c>
      <c r="K986" s="444">
        <f t="shared" ca="1" si="79"/>
        <v>-124164.73237793206</v>
      </c>
      <c r="L986" s="444">
        <f t="shared" ca="1" si="80"/>
        <v>-29923700.503081627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-29923700.503081627</v>
      </c>
      <c r="J987" s="444">
        <f t="array" ref="J987">IFERROR(INDEX('Retirement Calculator'!K:K,MATCH('Lorri 401b'!N987,'Retirement Calculator'!A:A,0),0),0)</f>
        <v>21655.303514578787</v>
      </c>
      <c r="K987" s="444">
        <f t="shared" ca="1" si="79"/>
        <v>-124772.31586081751</v>
      </c>
      <c r="L987" s="444">
        <f t="shared" ca="1" si="80"/>
        <v>-30070128.122457024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-30070128.122457024</v>
      </c>
      <c r="J988" s="444">
        <f t="array" ref="J988">IFERROR(INDEX('Retirement Calculator'!K:K,MATCH('Lorri 401b'!N988,'Retirement Calculator'!A:A,0),0),0)</f>
        <v>21655.303514578787</v>
      </c>
      <c r="K988" s="444">
        <f t="shared" ca="1" si="79"/>
        <v>-125382.43094154836</v>
      </c>
      <c r="L988" s="444">
        <f t="shared" ca="1" si="80"/>
        <v>-30217165.856913149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-30217165.856913149</v>
      </c>
      <c r="J989" s="444">
        <f t="array" ref="J989">IFERROR(INDEX('Retirement Calculator'!K:K,MATCH('Lorri 401b'!N989,'Retirement Calculator'!A:A,0),0),0)</f>
        <v>21655.303514578787</v>
      </c>
      <c r="K989" s="444">
        <f t="shared" ca="1" si="79"/>
        <v>-125995.08816844886</v>
      </c>
      <c r="L989" s="444">
        <f t="shared" ca="1" si="80"/>
        <v>-30364816.248596177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-30364816.248596177</v>
      </c>
      <c r="J990" s="444">
        <f t="array" ref="J990">IFERROR(INDEX('Retirement Calculator'!K:K,MATCH('Lorri 401b'!N990,'Retirement Calculator'!A:A,0),0),0)</f>
        <v>21655.303514578787</v>
      </c>
      <c r="K990" s="444">
        <f t="shared" ca="1" si="79"/>
        <v>-126610.2981337948</v>
      </c>
      <c r="L990" s="444">
        <f t="shared" ca="1" si="80"/>
        <v>-30513081.850244548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-30513081.850244548</v>
      </c>
      <c r="J991" s="444">
        <f t="array" ref="J991">IFERROR(INDEX('Retirement Calculator'!K:K,MATCH('Lorri 401b'!N991,'Retirement Calculator'!A:A,0),0),0)</f>
        <v>21655.303514578787</v>
      </c>
      <c r="K991" s="444">
        <f t="shared" ca="1" si="79"/>
        <v>-127228.07147399636</v>
      </c>
      <c r="L991" s="444">
        <f t="shared" ca="1" si="80"/>
        <v>-30661965.225233123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-30661965.225233123</v>
      </c>
      <c r="J992" s="444">
        <f t="array" ref="J992">IFERROR(INDEX('Retirement Calculator'!K:K,MATCH('Lorri 401b'!N992,'Retirement Calculator'!A:A,0),0),0)</f>
        <v>21655.303514578787</v>
      </c>
      <c r="K992" s="444">
        <f t="shared" ca="1" si="79"/>
        <v>-127848.41886978209</v>
      </c>
      <c r="L992" s="444">
        <f t="shared" ca="1" si="80"/>
        <v>-30811468.947617482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-30811468.947617482</v>
      </c>
      <c r="J993" s="444">
        <f t="array" ref="J993">IFERROR(INDEX('Retirement Calculator'!K:K,MATCH('Lorri 401b'!N993,'Retirement Calculator'!A:A,0),0),0)</f>
        <v>21655.303514578787</v>
      </c>
      <c r="K993" s="444">
        <f t="shared" ca="1" si="79"/>
        <v>-128471.35104638358</v>
      </c>
      <c r="L993" s="444">
        <f t="shared" ca="1" si="80"/>
        <v>-30961595.602178443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-30961595.602178443</v>
      </c>
      <c r="J994" s="444">
        <f t="array" ref="J994">IFERROR(INDEX('Retirement Calculator'!K:K,MATCH('Lorri 401b'!N994,'Retirement Calculator'!A:A,0),0),0)</f>
        <v>21655.303514578787</v>
      </c>
      <c r="K994" s="444">
        <f t="shared" ca="1" si="79"/>
        <v>-129096.87877372093</v>
      </c>
      <c r="L994" s="444">
        <f t="shared" ca="1" si="80"/>
        <v>-31112347.784466743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-31112347.784466743</v>
      </c>
      <c r="J995" s="444">
        <f t="array" ref="J995">IFERROR(INDEX('Retirement Calculator'!K:K,MATCH('Lorri 401b'!N995,'Retirement Calculator'!A:A,0),0),0)</f>
        <v>21655.303514578787</v>
      </c>
      <c r="K995" s="444">
        <f t="shared" ca="1" si="79"/>
        <v>-129725.01286658883</v>
      </c>
      <c r="L995" s="444">
        <f t="shared" ca="1" si="80"/>
        <v>-31263728.100847911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-31263728.100847911</v>
      </c>
      <c r="J996" s="444">
        <f t="array" ref="J996">IFERROR(INDEX('Retirement Calculator'!K:K,MATCH('Lorri 401b'!N996,'Retirement Calculator'!A:A,0),0),0)</f>
        <v>21655.303514578787</v>
      </c>
      <c r="K996" s="444">
        <f t="shared" ca="1" si="79"/>
        <v>-130355.76418484371</v>
      </c>
      <c r="L996" s="444">
        <f t="shared" ca="1" si="80"/>
        <v>-31415739.168547332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-31415739.168547332</v>
      </c>
      <c r="J997" s="444">
        <f t="array" ref="J997">IFERROR(INDEX('Retirement Calculator'!K:K,MATCH('Lorri 401b'!N997,'Retirement Calculator'!A:A,0),0),0)</f>
        <v>21655.303514578787</v>
      </c>
      <c r="K997" s="444">
        <f t="shared" ca="1" si="79"/>
        <v>-130989.14363359129</v>
      </c>
      <c r="L997" s="444">
        <f t="shared" ca="1" si="80"/>
        <v>-31568383.615695503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-31568383.615695503</v>
      </c>
      <c r="J998" s="444">
        <f t="array" ref="J998">IFERROR(INDEX('Retirement Calculator'!K:K,MATCH('Lorri 401b'!N998,'Retirement Calculator'!A:A,0),0),0)</f>
        <v>21655.303514578787</v>
      </c>
      <c r="K998" s="444">
        <f t="shared" ca="1" si="79"/>
        <v>-131625.16216337532</v>
      </c>
      <c r="L998" s="444">
        <f t="shared" ca="1" si="80"/>
        <v>-31721664.081373457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-31721664.081373457</v>
      </c>
      <c r="J999" s="444">
        <f t="array" ref="J999">IFERROR(INDEX('Retirement Calculator'!K:K,MATCH('Lorri 401b'!N999,'Retirement Calculator'!A:A,0),0),0)</f>
        <v>21655.303514578787</v>
      </c>
      <c r="K999" s="444">
        <f t="shared" ca="1" si="79"/>
        <v>-132263.8307703668</v>
      </c>
      <c r="L999" s="444">
        <f t="shared" ca="1" si="80"/>
        <v>-31875583.2156584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-31875583.2156584</v>
      </c>
      <c r="J1000" s="444">
        <f t="array" ref="J1000">IFERROR(INDEX('Retirement Calculator'!K:K,MATCH('Lorri 401b'!N1000,'Retirement Calculator'!A:A,0),0),0)</f>
        <v>21655.303514578787</v>
      </c>
      <c r="K1000" s="444">
        <f t="shared" ca="1" si="79"/>
        <v>-132905.16049655408</v>
      </c>
      <c r="L1000" s="444">
        <f t="shared" ca="1" si="80"/>
        <v>-32030143.679669533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-32030143.679669533</v>
      </c>
      <c r="J1001" s="444">
        <f t="array" ref="J1001">IFERROR(INDEX('Retirement Calculator'!K:K,MATCH('Lorri 401b'!N1001,'Retirement Calculator'!A:A,0),0),0)</f>
        <v>21655.303514578787</v>
      </c>
      <c r="K1001" s="444">
        <f t="shared" ca="1" si="79"/>
        <v>-133549.16242993379</v>
      </c>
      <c r="L1001" s="444">
        <f t="shared" ca="1" si="80"/>
        <v>-32185348.145614043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-32185348.145614043</v>
      </c>
      <c r="J1002" s="444">
        <f t="array" ref="J1002">IFERROR(INDEX('Retirement Calculator'!K:K,MATCH('Lorri 401b'!N1002,'Retirement Calculator'!A:A,0),0),0)</f>
        <v>21655.303514578787</v>
      </c>
      <c r="K1002" s="444">
        <f t="shared" ca="1" si="79"/>
        <v>-134195.84770470261</v>
      </c>
      <c r="L1002" s="444">
        <f t="shared" ca="1" si="80"/>
        <v>-32341199.296833321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-32341199.296833321</v>
      </c>
      <c r="J1003" s="444">
        <f t="array" ref="J1003">IFERROR(INDEX('Retirement Calculator'!K:K,MATCH('Lorri 401b'!N1003,'Retirement Calculator'!A:A,0),0),0)</f>
        <v>21655.303514578787</v>
      </c>
      <c r="K1003" s="444">
        <f t="shared" ca="1" si="79"/>
        <v>-134845.22750144958</v>
      </c>
      <c r="L1003" s="444">
        <f t="shared" ca="1" si="80"/>
        <v>-32497699.827849347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/>
      <c r="H1004" s="459">
        <v>997</v>
      </c>
      <c r="I1004" s="444">
        <f t="shared" ca="1" si="81"/>
        <v>-32497699.827849347</v>
      </c>
      <c r="J1004" s="444">
        <f t="array" ref="J1004">IFERROR(INDEX('Retirement Calculator'!K:K,MATCH('Lorri 401b'!N1004,'Retirement Calculator'!A:A,0),0),0)</f>
        <v>21655.303514578787</v>
      </c>
      <c r="K1004" s="444">
        <f t="shared" ca="1" si="79"/>
        <v>-135497.31304734969</v>
      </c>
      <c r="L1004" s="444">
        <f t="shared" ca="1" si="80"/>
        <v>-32654852.444411274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/>
      <c r="H1005" s="459">
        <v>998</v>
      </c>
      <c r="I1005" s="444">
        <f t="shared" ca="1" si="81"/>
        <v>-32654852.444411274</v>
      </c>
      <c r="J1005" s="444">
        <f t="array" ref="J1005">IFERROR(INDEX('Retirement Calculator'!K:K,MATCH('Lorri 401b'!N1005,'Retirement Calculator'!A:A,0),0),0)</f>
        <v>21655.303514578787</v>
      </c>
      <c r="K1005" s="444">
        <f t="shared" ca="1" si="79"/>
        <v>-136152.11561635771</v>
      </c>
      <c r="L1005" s="444">
        <f t="shared" ca="1" si="80"/>
        <v>-32812659.86354221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/>
      <c r="H1006" s="459">
        <v>999</v>
      </c>
      <c r="I1006" s="444">
        <f t="shared" ca="1" si="81"/>
        <v>-32812659.86354221</v>
      </c>
      <c r="J1006" s="444">
        <f t="array" ref="J1006">IFERROR(INDEX('Retirement Calculator'!K:K,MATCH('Lorri 401b'!N1006,'Retirement Calculator'!A:A,0),0),0)</f>
        <v>21655.303514578787</v>
      </c>
      <c r="K1006" s="444">
        <f t="shared" ca="1" si="79"/>
        <v>-136809.64652940328</v>
      </c>
      <c r="L1006" s="444">
        <f t="shared" ca="1" si="80"/>
        <v>-32971124.81358619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/>
      <c r="H1007" s="459">
        <v>1000</v>
      </c>
      <c r="I1007" s="444">
        <f t="shared" ca="1" si="81"/>
        <v>-32971124.81358619</v>
      </c>
      <c r="J1007" s="444">
        <f t="array" ref="J1007">IFERROR(INDEX('Retirement Calculator'!K:K,MATCH('Lorri 401b'!N1007,'Retirement Calculator'!A:A,0),0),0)</f>
        <v>21655.303514578787</v>
      </c>
      <c r="K1007" s="444">
        <f t="shared" ca="1" si="79"/>
        <v>-137469.91715458655</v>
      </c>
      <c r="L1007" s="444">
        <f t="shared" ca="1" si="80"/>
        <v>-33130250.034255356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/>
      <c r="H1008" s="459">
        <v>1001</v>
      </c>
      <c r="I1008" s="444">
        <f t="shared" ca="1" si="81"/>
        <v>-33130250.034255356</v>
      </c>
      <c r="J1008" s="444">
        <f t="array" ref="J1008">IFERROR(INDEX('Retirement Calculator'!K:K,MATCH('Lorri 401b'!N1008,'Retirement Calculator'!A:A,0),0),0)</f>
        <v>21655.303514578787</v>
      </c>
      <c r="K1008" s="444">
        <f t="shared" ca="1" si="79"/>
        <v>-138132.93890737472</v>
      </c>
      <c r="L1008" s="444">
        <f t="shared" ca="1" si="80"/>
        <v>-33290038.276677307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/>
      <c r="H1009" s="459">
        <v>1002</v>
      </c>
      <c r="I1009" s="444">
        <f t="shared" ca="1" si="81"/>
        <v>-33290038.276677307</v>
      </c>
      <c r="J1009" s="444">
        <f t="array" ref="J1009">IFERROR(INDEX('Retirement Calculator'!K:K,MATCH('Lorri 401b'!N1009,'Retirement Calculator'!A:A,0),0),0)</f>
        <v>21655.303514578787</v>
      </c>
      <c r="K1009" s="444">
        <f t="shared" ca="1" si="79"/>
        <v>-138798.72325079952</v>
      </c>
      <c r="L1009" s="444">
        <f t="shared" ca="1" si="80"/>
        <v>-33450492.303442683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/>
      <c r="H1010" s="459">
        <v>1003</v>
      </c>
      <c r="I1010" s="444">
        <f t="shared" ca="1" si="81"/>
        <v>-33450492.303442683</v>
      </c>
      <c r="J1010" s="444">
        <f t="array" ref="J1010">IFERROR(INDEX('Retirement Calculator'!K:K,MATCH('Lorri 401b'!N1010,'Retirement Calculator'!A:A,0),0),0)</f>
        <v>21655.303514578787</v>
      </c>
      <c r="K1010" s="444">
        <f t="shared" ca="1" si="79"/>
        <v>-139467.28169565526</v>
      </c>
      <c r="L1010" s="444">
        <f t="shared" ca="1" si="80"/>
        <v>-33611614.888652913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/>
      <c r="H1011" s="459">
        <v>1004</v>
      </c>
      <c r="I1011" s="444">
        <f t="shared" ca="1" si="81"/>
        <v>-33611614.888652913</v>
      </c>
      <c r="J1011" s="444">
        <f t="array" ref="J1011">IFERROR(INDEX('Retirement Calculator'!K:K,MATCH('Lorri 401b'!N1011,'Retirement Calculator'!A:A,0),0),0)</f>
        <v>21655.303514578787</v>
      </c>
      <c r="K1011" s="444">
        <f t="shared" ca="1" si="79"/>
        <v>-140138.62580069789</v>
      </c>
      <c r="L1011" s="444">
        <f t="shared" ca="1" si="80"/>
        <v>-33773408.81796819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/>
      <c r="H1012" s="459">
        <v>1005</v>
      </c>
      <c r="I1012" s="444">
        <f t="shared" ca="1" si="81"/>
        <v>-33773408.81796819</v>
      </c>
      <c r="J1012" s="444">
        <f t="array" ref="J1012">IFERROR(INDEX('Retirement Calculator'!K:K,MATCH('Lorri 401b'!N1012,'Retirement Calculator'!A:A,0),0),0)</f>
        <v>21655.303514578787</v>
      </c>
      <c r="K1012" s="444">
        <f t="shared" ca="1" si="79"/>
        <v>-140812.76717284485</v>
      </c>
      <c r="L1012" s="444">
        <f t="shared" ca="1" si="80"/>
        <v>-33935876.88865561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/>
      <c r="H1013" s="459">
        <v>1006</v>
      </c>
      <c r="I1013" s="444">
        <f t="shared" ca="1" si="81"/>
        <v>-33935876.88865561</v>
      </c>
      <c r="J1013" s="444">
        <f t="array" ref="J1013">IFERROR(INDEX('Retirement Calculator'!K:K,MATCH('Lorri 401b'!N1013,'Retirement Calculator'!A:A,0),0),0)</f>
        <v>21655.303514578787</v>
      </c>
      <c r="K1013" s="444">
        <f t="shared" ca="1" si="79"/>
        <v>-141489.71746737577</v>
      </c>
      <c r="L1013" s="444">
        <f t="shared" ca="1" si="80"/>
        <v>-34099021.909637563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/>
      <c r="H1014" s="459">
        <v>1007</v>
      </c>
      <c r="I1014" s="444">
        <f t="shared" ca="1" si="81"/>
        <v>-34099021.909637563</v>
      </c>
      <c r="J1014" s="444">
        <f t="array" ref="J1014">IFERROR(INDEX('Retirement Calculator'!K:K,MATCH('Lorri 401b'!N1014,'Retirement Calculator'!A:A,0),0),0)</f>
        <v>21655.303514578787</v>
      </c>
      <c r="K1014" s="444">
        <f t="shared" ca="1" si="79"/>
        <v>-142169.4883881339</v>
      </c>
      <c r="L1014" s="444">
        <f t="shared" ca="1" si="80"/>
        <v>-34262846.701540276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/>
      <c r="H1015" s="459">
        <v>1008</v>
      </c>
      <c r="I1015" s="444">
        <f t="shared" ca="1" si="81"/>
        <v>-34262846.701540276</v>
      </c>
      <c r="J1015" s="444">
        <f t="array" ref="J1015">IFERROR(INDEX('Retirement Calculator'!K:K,MATCH('Lorri 401b'!N1015,'Retirement Calculator'!A:A,0),0),0)</f>
        <v>21655.303514578787</v>
      </c>
      <c r="K1015" s="444">
        <f t="shared" ca="1" si="79"/>
        <v>-142852.09168772856</v>
      </c>
      <c r="L1015" s="444">
        <f t="shared" ca="1" si="80"/>
        <v>-34427354.096742585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/>
      <c r="H1016" s="459">
        <v>1009</v>
      </c>
      <c r="I1016" s="444">
        <f t="shared" ca="1" si="81"/>
        <v>-34427354.096742585</v>
      </c>
      <c r="J1016" s="444">
        <f t="array" ref="J1016">IFERROR(INDEX('Retirement Calculator'!K:K,MATCH('Lorri 401b'!N1016,'Retirement Calculator'!A:A,0),0),0)</f>
        <v>21655.303514578787</v>
      </c>
      <c r="K1016" s="444">
        <f t="shared" ca="1" si="79"/>
        <v>-143537.53916773817</v>
      </c>
      <c r="L1016" s="444">
        <f t="shared" ca="1" si="80"/>
        <v>-34592546.939424902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/>
      <c r="H1017" s="459">
        <v>1010</v>
      </c>
      <c r="I1017" s="444">
        <f t="shared" ca="1" si="81"/>
        <v>-34592546.939424902</v>
      </c>
      <c r="J1017" s="444">
        <f t="array" ref="J1017">IFERROR(INDEX('Retirement Calculator'!K:K,MATCH('Lorri 401b'!N1017,'Retirement Calculator'!A:A,0),0),0)</f>
        <v>21655.303514578787</v>
      </c>
      <c r="K1017" s="444">
        <f t="shared" ca="1" si="79"/>
        <v>-144225.84267891449</v>
      </c>
      <c r="L1017" s="444">
        <f t="shared" ca="1" si="80"/>
        <v>-34758428.085618392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/>
      <c r="H1018" s="459">
        <v>1011</v>
      </c>
      <c r="I1018" s="444">
        <f t="shared" ca="1" si="81"/>
        <v>-34758428.085618392</v>
      </c>
      <c r="J1018" s="444">
        <f t="array" ref="J1018">IFERROR(INDEX('Retirement Calculator'!K:K,MATCH('Lorri 401b'!N1018,'Retirement Calculator'!A:A,0),0),0)</f>
        <v>21655.303514578787</v>
      </c>
      <c r="K1018" s="444">
        <f t="shared" ca="1" si="79"/>
        <v>-144917.01412138736</v>
      </c>
      <c r="L1018" s="444">
        <f t="shared" ca="1" si="80"/>
        <v>-34925000.40325436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/>
      <c r="H1019" s="459">
        <v>1012</v>
      </c>
      <c r="I1019" s="444">
        <f t="shared" ca="1" si="81"/>
        <v>-34925000.40325436</v>
      </c>
      <c r="J1019" s="444">
        <f t="array" ref="J1019">IFERROR(INDEX('Retirement Calculator'!K:K,MATCH('Lorri 401b'!N1019,'Retirement Calculator'!A:A,0),0),0)</f>
        <v>21655.303514578787</v>
      </c>
      <c r="K1019" s="444">
        <f t="shared" ca="1" si="79"/>
        <v>-145611.06544487056</v>
      </c>
      <c r="L1019" s="444">
        <f t="shared" ca="1" si="80"/>
        <v>-35092266.772213809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/>
      <c r="H1020" s="459">
        <v>1013</v>
      </c>
      <c r="I1020" s="444">
        <f t="shared" ca="1" si="81"/>
        <v>-35092266.772213809</v>
      </c>
      <c r="J1020" s="444">
        <f t="array" ref="J1020">IFERROR(INDEX('Retirement Calculator'!K:K,MATCH('Lorri 401b'!N1020,'Retirement Calculator'!A:A,0),0),0)</f>
        <v>21655.303514578787</v>
      </c>
      <c r="K1020" s="444">
        <f t="shared" ca="1" si="79"/>
        <v>-146308.00864886827</v>
      </c>
      <c r="L1020" s="444">
        <f t="shared" ca="1" si="80"/>
        <v>-35260230.084377252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/>
      <c r="H1021" s="459">
        <v>1014</v>
      </c>
      <c r="I1021" s="444">
        <f t="shared" ca="1" si="81"/>
        <v>-35260230.084377252</v>
      </c>
      <c r="J1021" s="444">
        <f t="array" ref="J1021">IFERROR(INDEX('Retirement Calculator'!K:K,MATCH('Lorri 401b'!N1021,'Retirement Calculator'!A:A,0),0),0)</f>
        <v>21655.303514578787</v>
      </c>
      <c r="K1021" s="444">
        <f t="shared" ca="1" si="79"/>
        <v>-147007.85578288263</v>
      </c>
      <c r="L1021" s="444">
        <f t="shared" ca="1" si="80"/>
        <v>-35428893.24367471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/>
      <c r="H1022" s="459">
        <v>1015</v>
      </c>
      <c r="I1022" s="444">
        <f t="shared" ca="1" si="81"/>
        <v>-35428893.24367471</v>
      </c>
      <c r="J1022" s="444">
        <f t="array" ref="J1022">IFERROR(INDEX('Retirement Calculator'!K:K,MATCH('Lorri 401b'!N1022,'Retirement Calculator'!A:A,0),0),0)</f>
        <v>21655.303514578787</v>
      </c>
      <c r="K1022" s="444">
        <f t="shared" ca="1" si="79"/>
        <v>-147710.61894662204</v>
      </c>
      <c r="L1022" s="444">
        <f t="shared" ca="1" si="80"/>
        <v>-35598259.166135907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/>
      <c r="H1023" s="459">
        <v>1016</v>
      </c>
      <c r="I1023" s="444">
        <f t="shared" ca="1" si="81"/>
        <v>-35598259.166135907</v>
      </c>
      <c r="J1023" s="444">
        <f t="array" ref="J1023">IFERROR(INDEX('Retirement Calculator'!K:K,MATCH('Lorri 401b'!N1023,'Retirement Calculator'!A:A,0),0),0)</f>
        <v>21655.303514578787</v>
      </c>
      <c r="K1023" s="444">
        <f t="shared" ca="1" si="79"/>
        <v>-148416.31029021036</v>
      </c>
      <c r="L1023" s="444">
        <f t="shared" ca="1" si="80"/>
        <v>-35768330.779940695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/>
      <c r="H1024" s="459">
        <v>1017</v>
      </c>
      <c r="I1024" s="444">
        <f t="shared" ca="1" si="81"/>
        <v>-35768330.779940695</v>
      </c>
      <c r="J1024" s="444">
        <f t="array" ref="J1024">IFERROR(INDEX('Retirement Calculator'!K:K,MATCH('Lorri 401b'!N1024,'Retirement Calculator'!A:A,0),0),0)</f>
        <v>21655.303514578787</v>
      </c>
      <c r="K1024" s="444">
        <f t="shared" ca="1" si="79"/>
        <v>-149124.94201439698</v>
      </c>
      <c r="L1024" s="444">
        <f t="shared" ca="1" si="80"/>
        <v>-35939111.025469668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/>
      <c r="H1025" s="459">
        <v>1018</v>
      </c>
      <c r="I1025" s="444">
        <f t="shared" ca="1" si="81"/>
        <v>-35939111.025469668</v>
      </c>
      <c r="J1025" s="444">
        <f t="array" ref="J1025">IFERROR(INDEX('Retirement Calculator'!K:K,MATCH('Lorri 401b'!N1025,'Retirement Calculator'!A:A,0),0),0)</f>
        <v>21655.303514578787</v>
      </c>
      <c r="K1025" s="444">
        <f t="shared" ca="1" si="79"/>
        <v>-149836.52637076768</v>
      </c>
      <c r="L1025" s="444">
        <f t="shared" ca="1" si="80"/>
        <v>-36110602.855355017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/>
      <c r="H1026" s="459">
        <v>1019</v>
      </c>
      <c r="I1026" s="444">
        <f t="shared" ca="1" si="81"/>
        <v>-36110602.855355017</v>
      </c>
      <c r="J1026" s="444">
        <f t="array" ref="J1026">IFERROR(INDEX('Retirement Calculator'!K:K,MATCH('Lorri 401b'!N1026,'Retirement Calculator'!A:A,0),0),0)</f>
        <v>21655.303514578787</v>
      </c>
      <c r="K1026" s="444">
        <f t="shared" ca="1" si="79"/>
        <v>-150551.07566195665</v>
      </c>
      <c r="L1026" s="444">
        <f t="shared" ca="1" si="80"/>
        <v>-36282809.234531552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/>
      <c r="H1027" s="459">
        <v>1020</v>
      </c>
      <c r="I1027" s="444">
        <f t="shared" ca="1" si="81"/>
        <v>-36282809.234531552</v>
      </c>
      <c r="J1027" s="444">
        <f t="array" ref="J1027">IFERROR(INDEX('Retirement Calculator'!K:K,MATCH('Lorri 401b'!N1027,'Retirement Calculator'!A:A,0),0),0)</f>
        <v>21655.303514578787</v>
      </c>
      <c r="K1027" s="444">
        <f t="shared" ca="1" si="79"/>
        <v>-151268.60224185887</v>
      </c>
      <c r="L1027" s="444">
        <f t="shared" ca="1" si="80"/>
        <v>-36455733.140287988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/>
      <c r="H1028" s="459">
        <v>1021</v>
      </c>
      <c r="I1028" s="444">
        <f t="shared" ca="1" si="81"/>
        <v>-36455733.140287988</v>
      </c>
      <c r="J1028" s="444">
        <f t="array" ref="J1028">IFERROR(INDEX('Retirement Calculator'!K:K,MATCH('Lorri 401b'!N1028,'Retirement Calculator'!A:A,0),0),0)</f>
        <v>21655.303514578787</v>
      </c>
      <c r="K1028" s="444">
        <f t="shared" ref="K1028:K1282" ca="1" si="103">IPMT(M1028/12,1,12,-I1028+J1028,,0)</f>
        <v>-151989.11851584402</v>
      </c>
      <c r="L1028" s="444">
        <f t="shared" ref="L1028:L1282" ca="1" si="104">I1028-J1028+K1028</f>
        <v>-36629377.562318407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/>
      <c r="H1029" s="459">
        <v>1022</v>
      </c>
      <c r="I1029" s="444">
        <f t="shared" ref="I1029:I1283" ca="1" si="105">L1028</f>
        <v>-36629377.562318407</v>
      </c>
      <c r="J1029" s="444">
        <f t="array" ref="J1029">IFERROR(INDEX('Retirement Calculator'!K:K,MATCH('Lorri 401b'!N1029,'Retirement Calculator'!A:A,0),0),0)</f>
        <v>21655.303514578787</v>
      </c>
      <c r="K1029" s="444">
        <f t="shared" ca="1" si="103"/>
        <v>-152712.63694097075</v>
      </c>
      <c r="L1029" s="444">
        <f t="shared" ca="1" si="104"/>
        <v>-36803745.502773955</v>
      </c>
      <c r="M1029" s="460">
        <f t="shared" ref="M1029:M1283" si="106">M1028</f>
        <v>0.05</v>
      </c>
      <c r="N1029" s="464">
        <f t="shared" ref="N1029:N1283" si="107">EDATE(N1028,1)</f>
        <v>82363</v>
      </c>
    </row>
    <row r="1030" spans="7:14" ht="11.25" customHeight="1" x14ac:dyDescent="0.3">
      <c r="G1030" s="459"/>
      <c r="H1030" s="459">
        <v>1023</v>
      </c>
      <c r="I1030" s="444">
        <f t="shared" ca="1" si="105"/>
        <v>-36803745.502773955</v>
      </c>
      <c r="J1030" s="444">
        <f t="array" ref="J1030">IFERROR(INDEX('Retirement Calculator'!K:K,MATCH('Lorri 401b'!N1030,'Retirement Calculator'!A:A,0),0),0)</f>
        <v>21655.303514578787</v>
      </c>
      <c r="K1030" s="444">
        <f t="shared" ca="1" si="103"/>
        <v>-153439.17002620222</v>
      </c>
      <c r="L1030" s="444">
        <f t="shared" ca="1" si="104"/>
        <v>-36978839.976314738</v>
      </c>
      <c r="M1030" s="460">
        <f t="shared" si="106"/>
        <v>0.05</v>
      </c>
      <c r="N1030" s="464">
        <f t="shared" si="107"/>
        <v>82394</v>
      </c>
    </row>
    <row r="1031" spans="7:14" ht="11.25" customHeight="1" x14ac:dyDescent="0.3">
      <c r="G1031" s="459"/>
      <c r="H1031" s="459">
        <v>1024</v>
      </c>
      <c r="I1031" s="444">
        <f t="shared" ca="1" si="105"/>
        <v>-36978839.976314738</v>
      </c>
      <c r="J1031" s="444">
        <f t="array" ref="J1031">IFERROR(INDEX('Retirement Calculator'!K:K,MATCH('Lorri 401b'!N1031,'Retirement Calculator'!A:A,0),0),0)</f>
        <v>21655.303514578787</v>
      </c>
      <c r="K1031" s="444">
        <f t="shared" ca="1" si="103"/>
        <v>-154168.73033262216</v>
      </c>
      <c r="L1031" s="444">
        <f t="shared" ca="1" si="104"/>
        <v>-37154664.010161936</v>
      </c>
      <c r="M1031" s="460">
        <f t="shared" si="106"/>
        <v>0.05</v>
      </c>
      <c r="N1031" s="464">
        <f t="shared" si="107"/>
        <v>82425</v>
      </c>
    </row>
    <row r="1032" spans="7:14" ht="11.25" customHeight="1" x14ac:dyDescent="0.3">
      <c r="G1032" s="459"/>
      <c r="H1032" s="459">
        <v>1025</v>
      </c>
      <c r="I1032" s="444">
        <f t="shared" ca="1" si="105"/>
        <v>-37154664.010161936</v>
      </c>
      <c r="J1032" s="444">
        <f t="array" ref="J1032">IFERROR(INDEX('Retirement Calculator'!K:K,MATCH('Lorri 401b'!N1032,'Retirement Calculator'!A:A,0),0),0)</f>
        <v>21655.303514578787</v>
      </c>
      <c r="K1032" s="444">
        <f t="shared" ca="1" si="103"/>
        <v>-154901.33047365214</v>
      </c>
      <c r="L1032" s="444">
        <f t="shared" ca="1" si="104"/>
        <v>-37331220.644150168</v>
      </c>
      <c r="M1032" s="460">
        <f t="shared" si="106"/>
        <v>0.05</v>
      </c>
      <c r="N1032" s="464">
        <f t="shared" si="107"/>
        <v>82455</v>
      </c>
    </row>
    <row r="1033" spans="7:14" ht="11.25" customHeight="1" x14ac:dyDescent="0.3">
      <c r="G1033" s="459"/>
      <c r="H1033" s="459">
        <v>1026</v>
      </c>
      <c r="I1033" s="444">
        <f t="shared" ca="1" si="105"/>
        <v>-37331220.644150168</v>
      </c>
      <c r="J1033" s="444">
        <f t="array" ref="J1033">IFERROR(INDEX('Retirement Calculator'!K:K,MATCH('Lorri 401b'!N1033,'Retirement Calculator'!A:A,0),0),0)</f>
        <v>21655.303514578787</v>
      </c>
      <c r="K1033" s="444">
        <f t="shared" ca="1" si="103"/>
        <v>-155636.98311526977</v>
      </c>
      <c r="L1033" s="444">
        <f t="shared" ca="1" si="104"/>
        <v>-37508512.930780016</v>
      </c>
      <c r="M1033" s="460">
        <f t="shared" si="106"/>
        <v>0.05</v>
      </c>
      <c r="N1033" s="464">
        <f t="shared" si="107"/>
        <v>82486</v>
      </c>
    </row>
    <row r="1034" spans="7:14" ht="11.25" customHeight="1" x14ac:dyDescent="0.3">
      <c r="G1034" s="459"/>
      <c r="H1034" s="459">
        <v>1027</v>
      </c>
      <c r="I1034" s="444">
        <f t="shared" ca="1" si="105"/>
        <v>-37508512.930780016</v>
      </c>
      <c r="J1034" s="444">
        <f t="array" ref="J1034">IFERROR(INDEX('Retirement Calculator'!K:K,MATCH('Lorri 401b'!N1034,'Retirement Calculator'!A:A,0),0),0)</f>
        <v>21655.303514578787</v>
      </c>
      <c r="K1034" s="444">
        <f t="shared" ca="1" si="103"/>
        <v>-156375.70097622747</v>
      </c>
      <c r="L1034" s="444">
        <f t="shared" ca="1" si="104"/>
        <v>-37686543.935270824</v>
      </c>
      <c r="M1034" s="460">
        <f t="shared" si="106"/>
        <v>0.05</v>
      </c>
      <c r="N1034" s="464">
        <f t="shared" si="107"/>
        <v>82516</v>
      </c>
    </row>
    <row r="1035" spans="7:14" ht="11.25" customHeight="1" x14ac:dyDescent="0.3">
      <c r="G1035" s="459"/>
      <c r="H1035" s="459">
        <v>1028</v>
      </c>
      <c r="I1035" s="444">
        <f t="shared" ca="1" si="105"/>
        <v>-37686543.935270824</v>
      </c>
      <c r="J1035" s="444">
        <f t="array" ref="J1035">IFERROR(INDEX('Retirement Calculator'!K:K,MATCH('Lorri 401b'!N1035,'Retirement Calculator'!A:A,0),0),0)</f>
        <v>21655.303514578787</v>
      </c>
      <c r="K1035" s="444">
        <f t="shared" ca="1" si="103"/>
        <v>-157117.4968282725</v>
      </c>
      <c r="L1035" s="444">
        <f t="shared" ca="1" si="104"/>
        <v>-37865316.735613674</v>
      </c>
      <c r="M1035" s="460">
        <f t="shared" si="106"/>
        <v>0.05</v>
      </c>
      <c r="N1035" s="464">
        <f t="shared" si="107"/>
        <v>82547</v>
      </c>
    </row>
    <row r="1036" spans="7:14" ht="11.25" customHeight="1" x14ac:dyDescent="0.3">
      <c r="G1036" s="459"/>
      <c r="H1036" s="459">
        <v>1029</v>
      </c>
      <c r="I1036" s="444">
        <f t="shared" ca="1" si="105"/>
        <v>-37865316.735613674</v>
      </c>
      <c r="J1036" s="444">
        <f t="array" ref="J1036">IFERROR(INDEX('Retirement Calculator'!K:K,MATCH('Lorri 401b'!N1036,'Retirement Calculator'!A:A,0),0),0)</f>
        <v>21655.303514578787</v>
      </c>
      <c r="K1036" s="444">
        <f t="shared" ca="1" si="103"/>
        <v>-157862.38349636772</v>
      </c>
      <c r="L1036" s="444">
        <f t="shared" ca="1" si="104"/>
        <v>-38044834.422624618</v>
      </c>
      <c r="M1036" s="460">
        <f t="shared" si="106"/>
        <v>0.05</v>
      </c>
      <c r="N1036" s="464">
        <f t="shared" si="107"/>
        <v>82578</v>
      </c>
    </row>
    <row r="1037" spans="7:14" ht="11.25" customHeight="1" x14ac:dyDescent="0.3">
      <c r="G1037" s="459"/>
      <c r="H1037" s="459">
        <v>1030</v>
      </c>
      <c r="I1037" s="444">
        <f t="shared" ca="1" si="105"/>
        <v>-38044834.422624618</v>
      </c>
      <c r="J1037" s="444">
        <f t="array" ref="J1037">IFERROR(INDEX('Retirement Calculator'!K:K,MATCH('Lorri 401b'!N1037,'Retirement Calculator'!A:A,0),0),0)</f>
        <v>21655.303514578787</v>
      </c>
      <c r="K1037" s="444">
        <f t="shared" ca="1" si="103"/>
        <v>-158610.37385891331</v>
      </c>
      <c r="L1037" s="444">
        <f t="shared" ca="1" si="104"/>
        <v>-38225100.099998109</v>
      </c>
      <c r="M1037" s="460">
        <f t="shared" si="106"/>
        <v>0.05</v>
      </c>
      <c r="N1037" s="464">
        <f t="shared" si="107"/>
        <v>82606</v>
      </c>
    </row>
    <row r="1038" spans="7:14" ht="11.25" customHeight="1" x14ac:dyDescent="0.3">
      <c r="G1038" s="459"/>
      <c r="H1038" s="459">
        <v>1031</v>
      </c>
      <c r="I1038" s="444">
        <f t="shared" ca="1" si="105"/>
        <v>-38225100.099998109</v>
      </c>
      <c r="J1038" s="444">
        <f t="array" ref="J1038">IFERROR(INDEX('Retirement Calculator'!K:K,MATCH('Lorri 401b'!N1038,'Retirement Calculator'!A:A,0),0),0)</f>
        <v>21655.303514578787</v>
      </c>
      <c r="K1038" s="444">
        <f t="shared" ca="1" si="103"/>
        <v>-159361.48084796953</v>
      </c>
      <c r="L1038" s="444">
        <f t="shared" ca="1" si="104"/>
        <v>-38406116.884360656</v>
      </c>
      <c r="M1038" s="460">
        <f t="shared" si="106"/>
        <v>0.05</v>
      </c>
      <c r="N1038" s="464">
        <f t="shared" si="107"/>
        <v>82637</v>
      </c>
    </row>
    <row r="1039" spans="7:14" ht="11.25" customHeight="1" x14ac:dyDescent="0.3">
      <c r="G1039" s="459"/>
      <c r="H1039" s="459">
        <v>1032</v>
      </c>
      <c r="I1039" s="444">
        <f t="shared" ca="1" si="105"/>
        <v>-38406116.884360656</v>
      </c>
      <c r="J1039" s="444">
        <f t="array" ref="J1039">IFERROR(INDEX('Retirement Calculator'!K:K,MATCH('Lorri 401b'!N1039,'Retirement Calculator'!A:A,0),0),0)</f>
        <v>21655.303514578787</v>
      </c>
      <c r="K1039" s="444">
        <f t="shared" ca="1" si="103"/>
        <v>-160115.71744948014</v>
      </c>
      <c r="L1039" s="444">
        <f t="shared" ca="1" si="104"/>
        <v>-38587887.905324712</v>
      </c>
      <c r="M1039" s="460">
        <f t="shared" si="106"/>
        <v>0.05</v>
      </c>
      <c r="N1039" s="464">
        <f t="shared" si="107"/>
        <v>82667</v>
      </c>
    </row>
    <row r="1040" spans="7:14" ht="11.25" customHeight="1" x14ac:dyDescent="0.3">
      <c r="G1040" s="459"/>
      <c r="H1040" s="459">
        <v>1033</v>
      </c>
      <c r="I1040" s="444">
        <f t="shared" ca="1" si="105"/>
        <v>-38587887.905324712</v>
      </c>
      <c r="J1040" s="444">
        <f t="array" ref="J1040">IFERROR(INDEX('Retirement Calculator'!K:K,MATCH('Lorri 401b'!N1040,'Retirement Calculator'!A:A,0),0),0)</f>
        <v>21655.303514578787</v>
      </c>
      <c r="K1040" s="444">
        <f t="shared" ca="1" si="103"/>
        <v>-160873.09670349705</v>
      </c>
      <c r="L1040" s="444">
        <f t="shared" ca="1" si="104"/>
        <v>-38770416.305542789</v>
      </c>
      <c r="M1040" s="460">
        <f t="shared" si="106"/>
        <v>0.05</v>
      </c>
      <c r="N1040" s="464">
        <f t="shared" si="107"/>
        <v>82698</v>
      </c>
    </row>
    <row r="1041" spans="7:14" ht="11.25" customHeight="1" x14ac:dyDescent="0.3">
      <c r="G1041" s="459"/>
      <c r="H1041" s="459">
        <v>1034</v>
      </c>
      <c r="I1041" s="444">
        <f t="shared" ca="1" si="105"/>
        <v>-38770416.305542789</v>
      </c>
      <c r="J1041" s="444">
        <f t="array" ref="J1041">IFERROR(INDEX('Retirement Calculator'!K:K,MATCH('Lorri 401b'!N1041,'Retirement Calculator'!A:A,0),0),0)</f>
        <v>21655.303514578787</v>
      </c>
      <c r="K1041" s="444">
        <f t="shared" ca="1" si="103"/>
        <v>-161633.63170440571</v>
      </c>
      <c r="L1041" s="444">
        <f t="shared" ca="1" si="104"/>
        <v>-38953705.240761772</v>
      </c>
      <c r="M1041" s="460">
        <f t="shared" si="106"/>
        <v>0.05</v>
      </c>
      <c r="N1041" s="464">
        <f t="shared" si="107"/>
        <v>82728</v>
      </c>
    </row>
    <row r="1042" spans="7:14" ht="11.25" customHeight="1" x14ac:dyDescent="0.3">
      <c r="G1042" s="459"/>
      <c r="H1042" s="459">
        <v>1035</v>
      </c>
      <c r="I1042" s="444">
        <f t="shared" ca="1" si="105"/>
        <v>-38953705.240761772</v>
      </c>
      <c r="J1042" s="444">
        <f t="array" ref="J1042">IFERROR(INDEX('Retirement Calculator'!K:K,MATCH('Lorri 401b'!N1042,'Retirement Calculator'!A:A,0),0),0)</f>
        <v>21655.303514578787</v>
      </c>
      <c r="K1042" s="444">
        <f t="shared" ca="1" si="103"/>
        <v>-162397.33560115146</v>
      </c>
      <c r="L1042" s="444">
        <f t="shared" ca="1" si="104"/>
        <v>-39137757.8798775</v>
      </c>
      <c r="M1042" s="460">
        <f t="shared" si="106"/>
        <v>0.05</v>
      </c>
      <c r="N1042" s="464">
        <f t="shared" si="107"/>
        <v>82759</v>
      </c>
    </row>
    <row r="1043" spans="7:14" ht="11.25" customHeight="1" x14ac:dyDescent="0.3">
      <c r="G1043" s="459"/>
      <c r="H1043" s="459">
        <v>1036</v>
      </c>
      <c r="I1043" s="444">
        <f t="shared" ca="1" si="105"/>
        <v>-39137757.8798775</v>
      </c>
      <c r="J1043" s="444">
        <f t="array" ref="J1043">IFERROR(INDEX('Retirement Calculator'!K:K,MATCH('Lorri 401b'!N1043,'Retirement Calculator'!A:A,0),0),0)</f>
        <v>21655.303514578787</v>
      </c>
      <c r="K1043" s="444">
        <f t="shared" ca="1" si="103"/>
        <v>-163164.221597467</v>
      </c>
      <c r="L1043" s="444">
        <f t="shared" ca="1" si="104"/>
        <v>-39322577.404989548</v>
      </c>
      <c r="M1043" s="460">
        <f t="shared" si="106"/>
        <v>0.05</v>
      </c>
      <c r="N1043" s="464">
        <f t="shared" si="107"/>
        <v>82790</v>
      </c>
    </row>
    <row r="1044" spans="7:14" ht="11.25" customHeight="1" x14ac:dyDescent="0.3">
      <c r="G1044" s="459"/>
      <c r="H1044" s="459">
        <v>1037</v>
      </c>
      <c r="I1044" s="444">
        <f t="shared" ca="1" si="105"/>
        <v>-39322577.404989548</v>
      </c>
      <c r="J1044" s="444">
        <f t="array" ref="J1044">IFERROR(INDEX('Retirement Calculator'!K:K,MATCH('Lorri 401b'!N1044,'Retirement Calculator'!A:A,0),0),0)</f>
        <v>21655.303514578787</v>
      </c>
      <c r="K1044" s="444">
        <f t="shared" ca="1" si="103"/>
        <v>-163934.30295210052</v>
      </c>
      <c r="L1044" s="444">
        <f t="shared" ca="1" si="104"/>
        <v>-39508167.011456229</v>
      </c>
      <c r="M1044" s="460">
        <f t="shared" si="106"/>
        <v>0.05</v>
      </c>
      <c r="N1044" s="464">
        <f t="shared" si="107"/>
        <v>82820</v>
      </c>
    </row>
    <row r="1045" spans="7:14" ht="11.25" customHeight="1" x14ac:dyDescent="0.3">
      <c r="G1045" s="459"/>
      <c r="H1045" s="459">
        <v>1038</v>
      </c>
      <c r="I1045" s="444">
        <f t="shared" ca="1" si="105"/>
        <v>-39508167.011456229</v>
      </c>
      <c r="J1045" s="444">
        <f t="array" ref="J1045">IFERROR(INDEX('Retirement Calculator'!K:K,MATCH('Lorri 401b'!N1045,'Retirement Calculator'!A:A,0),0),0)</f>
        <v>21655.303514578787</v>
      </c>
      <c r="K1045" s="444">
        <f t="shared" ca="1" si="103"/>
        <v>-164707.59297904503</v>
      </c>
      <c r="L1045" s="444">
        <f t="shared" ca="1" si="104"/>
        <v>-39694529.90794985</v>
      </c>
      <c r="M1045" s="460">
        <f t="shared" si="106"/>
        <v>0.05</v>
      </c>
      <c r="N1045" s="464">
        <f t="shared" si="107"/>
        <v>82851</v>
      </c>
    </row>
    <row r="1046" spans="7:14" ht="11.25" customHeight="1" x14ac:dyDescent="0.3">
      <c r="G1046" s="459"/>
      <c r="H1046" s="459">
        <v>1039</v>
      </c>
      <c r="I1046" s="444">
        <f t="shared" ca="1" si="105"/>
        <v>-39694529.90794985</v>
      </c>
      <c r="J1046" s="444">
        <f t="array" ref="J1046">IFERROR(INDEX('Retirement Calculator'!K:K,MATCH('Lorri 401b'!N1046,'Retirement Calculator'!A:A,0),0),0)</f>
        <v>21655.303514578787</v>
      </c>
      <c r="K1046" s="444">
        <f t="shared" ca="1" si="103"/>
        <v>-165484.10504776845</v>
      </c>
      <c r="L1046" s="444">
        <f t="shared" ca="1" si="104"/>
        <v>-39881669.316512197</v>
      </c>
      <c r="M1046" s="460">
        <f t="shared" si="106"/>
        <v>0.05</v>
      </c>
      <c r="N1046" s="464">
        <f t="shared" si="107"/>
        <v>82881</v>
      </c>
    </row>
    <row r="1047" spans="7:14" ht="11.25" customHeight="1" x14ac:dyDescent="0.3">
      <c r="G1047" s="459"/>
      <c r="H1047" s="459">
        <v>1040</v>
      </c>
      <c r="I1047" s="444">
        <f t="shared" ca="1" si="105"/>
        <v>-39881669.316512197</v>
      </c>
      <c r="J1047" s="444">
        <f t="array" ref="J1047">IFERROR(INDEX('Retirement Calculator'!K:K,MATCH('Lorri 401b'!N1047,'Retirement Calculator'!A:A,0),0),0)</f>
        <v>21655.303514578787</v>
      </c>
      <c r="K1047" s="444">
        <f t="shared" ca="1" si="103"/>
        <v>-166263.85258344488</v>
      </c>
      <c r="L1047" s="444">
        <f t="shared" ca="1" si="104"/>
        <v>-40069588.47261022</v>
      </c>
      <c r="M1047" s="460">
        <f t="shared" si="106"/>
        <v>0.05</v>
      </c>
      <c r="N1047" s="464">
        <f t="shared" si="107"/>
        <v>82912</v>
      </c>
    </row>
    <row r="1048" spans="7:14" ht="11.25" customHeight="1" x14ac:dyDescent="0.3">
      <c r="G1048" s="459"/>
      <c r="H1048" s="459">
        <v>1041</v>
      </c>
      <c r="I1048" s="444">
        <f t="shared" ca="1" si="105"/>
        <v>-40069588.47261022</v>
      </c>
      <c r="J1048" s="444">
        <f t="array" ref="J1048">IFERROR(INDEX('Retirement Calculator'!K:K,MATCH('Lorri 401b'!N1048,'Retirement Calculator'!A:A,0),0),0)</f>
        <v>21655.303514578787</v>
      </c>
      <c r="K1048" s="444">
        <f t="shared" ca="1" si="103"/>
        <v>-167046.84906718665</v>
      </c>
      <c r="L1048" s="444">
        <f t="shared" ca="1" si="104"/>
        <v>-40258290.625191987</v>
      </c>
      <c r="M1048" s="460">
        <f t="shared" si="106"/>
        <v>0.05</v>
      </c>
      <c r="N1048" s="464">
        <f t="shared" si="107"/>
        <v>82943</v>
      </c>
    </row>
    <row r="1049" spans="7:14" ht="11.25" customHeight="1" x14ac:dyDescent="0.3">
      <c r="G1049" s="459"/>
      <c r="H1049" s="459">
        <v>1042</v>
      </c>
      <c r="I1049" s="444">
        <f t="shared" ca="1" si="105"/>
        <v>-40258290.625191987</v>
      </c>
      <c r="J1049" s="444">
        <f t="array" ref="J1049">IFERROR(INDEX('Retirement Calculator'!K:K,MATCH('Lorri 401b'!N1049,'Retirement Calculator'!A:A,0),0),0)</f>
        <v>21655.303514578787</v>
      </c>
      <c r="K1049" s="444">
        <f t="shared" ca="1" si="103"/>
        <v>-167833.10803627735</v>
      </c>
      <c r="L1049" s="444">
        <f t="shared" ca="1" si="104"/>
        <v>-40447779.036742844</v>
      </c>
      <c r="M1049" s="460">
        <f t="shared" si="106"/>
        <v>0.05</v>
      </c>
      <c r="N1049" s="464">
        <f t="shared" si="107"/>
        <v>82971</v>
      </c>
    </row>
    <row r="1050" spans="7:14" ht="11.25" customHeight="1" x14ac:dyDescent="0.3">
      <c r="G1050" s="459"/>
      <c r="H1050" s="459">
        <v>1043</v>
      </c>
      <c r="I1050" s="444">
        <f t="shared" ca="1" si="105"/>
        <v>-40447779.036742844</v>
      </c>
      <c r="J1050" s="444">
        <f t="array" ref="J1050">IFERROR(INDEX('Retirement Calculator'!K:K,MATCH('Lorri 401b'!N1050,'Retirement Calculator'!A:A,0),0),0)</f>
        <v>21655.303514578787</v>
      </c>
      <c r="K1050" s="444">
        <f t="shared" ca="1" si="103"/>
        <v>-168622.64308440592</v>
      </c>
      <c r="L1050" s="444">
        <f t="shared" ca="1" si="104"/>
        <v>-40638056.983341828</v>
      </c>
      <c r="M1050" s="460">
        <f t="shared" si="106"/>
        <v>0.05</v>
      </c>
      <c r="N1050" s="464">
        <f t="shared" si="107"/>
        <v>83002</v>
      </c>
    </row>
    <row r="1051" spans="7:14" ht="11.25" customHeight="1" x14ac:dyDescent="0.3">
      <c r="G1051" s="459"/>
      <c r="H1051" s="459">
        <v>1044</v>
      </c>
      <c r="I1051" s="444">
        <f t="shared" ca="1" si="105"/>
        <v>-40638056.983341828</v>
      </c>
      <c r="J1051" s="444">
        <f t="array" ref="J1051">IFERROR(INDEX('Retirement Calculator'!K:K,MATCH('Lorri 401b'!N1051,'Retirement Calculator'!A:A,0),0),0)</f>
        <v>21655.303514578787</v>
      </c>
      <c r="K1051" s="444">
        <f t="shared" ca="1" si="103"/>
        <v>-169415.46786190168</v>
      </c>
      <c r="L1051" s="444">
        <f t="shared" ca="1" si="104"/>
        <v>-40829127.754718304</v>
      </c>
      <c r="M1051" s="460">
        <f t="shared" si="106"/>
        <v>0.05</v>
      </c>
      <c r="N1051" s="464">
        <f t="shared" si="107"/>
        <v>83032</v>
      </c>
    </row>
    <row r="1052" spans="7:14" ht="11.25" customHeight="1" x14ac:dyDescent="0.3">
      <c r="G1052" s="459"/>
      <c r="H1052" s="459">
        <v>1045</v>
      </c>
      <c r="I1052" s="444">
        <f t="shared" ca="1" si="105"/>
        <v>-40829127.754718304</v>
      </c>
      <c r="J1052" s="444">
        <f t="array" ref="J1052">IFERROR(INDEX('Retirement Calculator'!K:K,MATCH('Lorri 401b'!N1052,'Retirement Calculator'!A:A,0),0),0)</f>
        <v>21655.303514578787</v>
      </c>
      <c r="K1052" s="444">
        <f t="shared" ca="1" si="103"/>
        <v>-170211.59607597033</v>
      </c>
      <c r="L1052" s="444">
        <f t="shared" ca="1" si="104"/>
        <v>-41020994.654308848</v>
      </c>
      <c r="M1052" s="460">
        <f t="shared" si="106"/>
        <v>0.05</v>
      </c>
      <c r="N1052" s="464">
        <f t="shared" si="107"/>
        <v>83063</v>
      </c>
    </row>
    <row r="1053" spans="7:14" ht="11.25" customHeight="1" x14ac:dyDescent="0.3">
      <c r="G1053" s="459"/>
      <c r="H1053" s="459">
        <v>1046</v>
      </c>
      <c r="I1053" s="444">
        <f t="shared" ca="1" si="105"/>
        <v>-41020994.654308848</v>
      </c>
      <c r="J1053" s="444">
        <f t="array" ref="J1053">IFERROR(INDEX('Retirement Calculator'!K:K,MATCH('Lorri 401b'!N1053,'Retirement Calculator'!A:A,0),0),0)</f>
        <v>21655.303514578787</v>
      </c>
      <c r="K1053" s="444">
        <f t="shared" ca="1" si="103"/>
        <v>-171011.04149093095</v>
      </c>
      <c r="L1053" s="444">
        <f t="shared" ca="1" si="104"/>
        <v>-41213660.999314353</v>
      </c>
      <c r="M1053" s="460">
        <f t="shared" si="106"/>
        <v>0.05</v>
      </c>
      <c r="N1053" s="464">
        <f t="shared" si="107"/>
        <v>83093</v>
      </c>
    </row>
    <row r="1054" spans="7:14" ht="11.25" customHeight="1" x14ac:dyDescent="0.3">
      <c r="G1054" s="459"/>
      <c r="H1054" s="459">
        <v>1047</v>
      </c>
      <c r="I1054" s="444">
        <f t="shared" ca="1" si="105"/>
        <v>-41213660.999314353</v>
      </c>
      <c r="J1054" s="444">
        <f t="array" ref="J1054">IFERROR(INDEX('Retirement Calculator'!K:K,MATCH('Lorri 401b'!N1054,'Retirement Calculator'!A:A,0),0),0)</f>
        <v>21655.303514578787</v>
      </c>
      <c r="K1054" s="444">
        <f t="shared" ca="1" si="103"/>
        <v>-171813.81792845388</v>
      </c>
      <c r="L1054" s="444">
        <f t="shared" ca="1" si="104"/>
        <v>-41407130.120757386</v>
      </c>
      <c r="M1054" s="460">
        <f t="shared" si="106"/>
        <v>0.05</v>
      </c>
      <c r="N1054" s="464">
        <f t="shared" si="107"/>
        <v>83124</v>
      </c>
    </row>
    <row r="1055" spans="7:14" ht="11.25" customHeight="1" x14ac:dyDescent="0.3">
      <c r="G1055" s="459"/>
      <c r="H1055" s="459">
        <v>1048</v>
      </c>
      <c r="I1055" s="444">
        <f t="shared" ca="1" si="105"/>
        <v>-41407130.120757386</v>
      </c>
      <c r="J1055" s="444">
        <f t="array" ref="J1055">IFERROR(INDEX('Retirement Calculator'!K:K,MATCH('Lorri 401b'!N1055,'Retirement Calculator'!A:A,0),0),0)</f>
        <v>21655.303514578787</v>
      </c>
      <c r="K1055" s="444">
        <f t="shared" ca="1" si="103"/>
        <v>-172619.93926779984</v>
      </c>
      <c r="L1055" s="444">
        <f t="shared" ca="1" si="104"/>
        <v>-41601405.363539763</v>
      </c>
      <c r="M1055" s="460">
        <f t="shared" si="106"/>
        <v>0.05</v>
      </c>
      <c r="N1055" s="464">
        <f t="shared" si="107"/>
        <v>83155</v>
      </c>
    </row>
    <row r="1056" spans="7:14" ht="11.25" customHeight="1" x14ac:dyDescent="0.3">
      <c r="G1056" s="459"/>
      <c r="H1056" s="459">
        <v>1049</v>
      </c>
      <c r="I1056" s="444">
        <f t="shared" ca="1" si="105"/>
        <v>-41601405.363539763</v>
      </c>
      <c r="J1056" s="444">
        <f t="array" ref="J1056">IFERROR(INDEX('Retirement Calculator'!K:K,MATCH('Lorri 401b'!N1056,'Retirement Calculator'!A:A,0),0),0)</f>
        <v>21655.303514578787</v>
      </c>
      <c r="K1056" s="444">
        <f t="shared" ca="1" si="103"/>
        <v>-173429.41944605974</v>
      </c>
      <c r="L1056" s="444">
        <f t="shared" ca="1" si="104"/>
        <v>-41796490.086500399</v>
      </c>
      <c r="M1056" s="460">
        <f t="shared" si="106"/>
        <v>0.05</v>
      </c>
      <c r="N1056" s="464">
        <f t="shared" si="107"/>
        <v>83185</v>
      </c>
    </row>
    <row r="1057" spans="7:14" ht="11.25" customHeight="1" x14ac:dyDescent="0.3">
      <c r="G1057" s="459"/>
      <c r="H1057" s="459">
        <v>1050</v>
      </c>
      <c r="I1057" s="444">
        <f t="shared" ca="1" si="105"/>
        <v>-41796490.086500399</v>
      </c>
      <c r="J1057" s="444">
        <f t="array" ref="J1057">IFERROR(INDEX('Retirement Calculator'!K:K,MATCH('Lorri 401b'!N1057,'Retirement Calculator'!A:A,0),0),0)</f>
        <v>21655.303514578787</v>
      </c>
      <c r="K1057" s="444">
        <f t="shared" ca="1" si="103"/>
        <v>-174242.27245839575</v>
      </c>
      <c r="L1057" s="444">
        <f t="shared" ca="1" si="104"/>
        <v>-41992387.662473373</v>
      </c>
      <c r="M1057" s="460">
        <f t="shared" si="106"/>
        <v>0.05</v>
      </c>
      <c r="N1057" s="464">
        <f t="shared" si="107"/>
        <v>83216</v>
      </c>
    </row>
    <row r="1058" spans="7:14" ht="11.25" customHeight="1" x14ac:dyDescent="0.3">
      <c r="G1058" s="459"/>
      <c r="H1058" s="459">
        <v>1051</v>
      </c>
      <c r="I1058" s="444">
        <f t="shared" ca="1" si="105"/>
        <v>-41992387.662473373</v>
      </c>
      <c r="J1058" s="444">
        <f t="array" ref="J1058">IFERROR(INDEX('Retirement Calculator'!K:K,MATCH('Lorri 401b'!N1058,'Retirement Calculator'!A:A,0),0),0)</f>
        <v>21655.303514578787</v>
      </c>
      <c r="K1058" s="444">
        <f t="shared" ca="1" si="103"/>
        <v>-175058.51235828313</v>
      </c>
      <c r="L1058" s="444">
        <f t="shared" ca="1" si="104"/>
        <v>-42189101.478346236</v>
      </c>
      <c r="M1058" s="460">
        <f t="shared" si="106"/>
        <v>0.05</v>
      </c>
      <c r="N1058" s="464">
        <f t="shared" si="107"/>
        <v>83246</v>
      </c>
    </row>
    <row r="1059" spans="7:14" ht="11.25" customHeight="1" x14ac:dyDescent="0.3">
      <c r="G1059" s="459"/>
      <c r="H1059" s="459">
        <v>1052</v>
      </c>
      <c r="I1059" s="444">
        <f t="shared" ca="1" si="105"/>
        <v>-42189101.478346236</v>
      </c>
      <c r="J1059" s="444">
        <f t="array" ref="J1059">IFERROR(INDEX('Retirement Calculator'!K:K,MATCH('Lorri 401b'!N1059,'Retirement Calculator'!A:A,0),0),0)</f>
        <v>21655.303514578787</v>
      </c>
      <c r="K1059" s="444">
        <f t="shared" ca="1" si="103"/>
        <v>-175878.15325775338</v>
      </c>
      <c r="L1059" s="444">
        <f t="shared" ca="1" si="104"/>
        <v>-42386634.935118563</v>
      </c>
      <c r="M1059" s="460">
        <f t="shared" si="106"/>
        <v>0.05</v>
      </c>
      <c r="N1059" s="464">
        <f t="shared" si="107"/>
        <v>83277</v>
      </c>
    </row>
    <row r="1060" spans="7:14" ht="11.25" customHeight="1" x14ac:dyDescent="0.3">
      <c r="G1060" s="459"/>
      <c r="H1060" s="459">
        <v>1053</v>
      </c>
      <c r="I1060" s="444">
        <f t="shared" ca="1" si="105"/>
        <v>-42386634.935118563</v>
      </c>
      <c r="J1060" s="444">
        <f t="array" ref="J1060">IFERROR(INDEX('Retirement Calculator'!K:K,MATCH('Lorri 401b'!N1060,'Retirement Calculator'!A:A,0),0),0)</f>
        <v>21655.303514578787</v>
      </c>
      <c r="K1060" s="444">
        <f t="shared" ca="1" si="103"/>
        <v>-176701.20932763809</v>
      </c>
      <c r="L1060" s="444">
        <f t="shared" ca="1" si="104"/>
        <v>-42584991.447960779</v>
      </c>
      <c r="M1060" s="460">
        <f t="shared" si="106"/>
        <v>0.05</v>
      </c>
      <c r="N1060" s="464">
        <f t="shared" si="107"/>
        <v>83308</v>
      </c>
    </row>
    <row r="1061" spans="7:14" ht="11.25" customHeight="1" x14ac:dyDescent="0.3">
      <c r="G1061" s="459"/>
      <c r="H1061" s="459">
        <v>1054</v>
      </c>
      <c r="I1061" s="444">
        <f t="shared" ca="1" si="105"/>
        <v>-42584991.447960779</v>
      </c>
      <c r="J1061" s="444">
        <f t="array" ref="J1061">IFERROR(INDEX('Retirement Calculator'!K:K,MATCH('Lorri 401b'!N1061,'Retirement Calculator'!A:A,0),0),0)</f>
        <v>21655.303514578787</v>
      </c>
      <c r="K1061" s="444">
        <f t="shared" ca="1" si="103"/>
        <v>-177527.69479781398</v>
      </c>
      <c r="L1061" s="444">
        <f t="shared" ca="1" si="104"/>
        <v>-42784174.44627317</v>
      </c>
      <c r="M1061" s="460">
        <f t="shared" si="106"/>
        <v>0.05</v>
      </c>
      <c r="N1061" s="464">
        <f t="shared" si="107"/>
        <v>83337</v>
      </c>
    </row>
    <row r="1062" spans="7:14" ht="11.25" customHeight="1" x14ac:dyDescent="0.3">
      <c r="G1062" s="459"/>
      <c r="H1062" s="459">
        <v>1055</v>
      </c>
      <c r="I1062" s="444">
        <f t="shared" ca="1" si="105"/>
        <v>-42784174.44627317</v>
      </c>
      <c r="J1062" s="444">
        <f t="array" ref="J1062">IFERROR(INDEX('Retirement Calculator'!K:K,MATCH('Lorri 401b'!N1062,'Retirement Calculator'!A:A,0),0),0)</f>
        <v>21655.303514578787</v>
      </c>
      <c r="K1062" s="444">
        <f t="shared" ca="1" si="103"/>
        <v>-178357.62395744896</v>
      </c>
      <c r="L1062" s="444">
        <f t="shared" ca="1" si="104"/>
        <v>-42984187.373745196</v>
      </c>
      <c r="M1062" s="460">
        <f t="shared" si="106"/>
        <v>0.05</v>
      </c>
      <c r="N1062" s="464">
        <f t="shared" si="107"/>
        <v>83368</v>
      </c>
    </row>
    <row r="1063" spans="7:14" ht="11.25" customHeight="1" x14ac:dyDescent="0.3">
      <c r="G1063" s="459"/>
      <c r="H1063" s="459">
        <v>1056</v>
      </c>
      <c r="I1063" s="444">
        <f t="shared" ca="1" si="105"/>
        <v>-42984187.373745196</v>
      </c>
      <c r="J1063" s="444">
        <f t="array" ref="J1063">IFERROR(INDEX('Retirement Calculator'!K:K,MATCH('Lorri 401b'!N1063,'Retirement Calculator'!A:A,0),0),0)</f>
        <v>21655.303514578787</v>
      </c>
      <c r="K1063" s="444">
        <f t="shared" ca="1" si="103"/>
        <v>-179191.01115524906</v>
      </c>
      <c r="L1063" s="444">
        <f t="shared" ca="1" si="104"/>
        <v>-43185033.688415021</v>
      </c>
      <c r="M1063" s="460">
        <f t="shared" si="106"/>
        <v>0.05</v>
      </c>
      <c r="N1063" s="464">
        <f t="shared" si="107"/>
        <v>83398</v>
      </c>
    </row>
    <row r="1064" spans="7:14" ht="11.25" customHeight="1" x14ac:dyDescent="0.3">
      <c r="G1064" s="459"/>
      <c r="H1064" s="459">
        <v>1057</v>
      </c>
      <c r="I1064" s="444">
        <f t="shared" ca="1" si="105"/>
        <v>-43185033.688415021</v>
      </c>
      <c r="J1064" s="444">
        <f t="array" ref="J1064">IFERROR(INDEX('Retirement Calculator'!K:K,MATCH('Lorri 401b'!N1064,'Retirement Calculator'!A:A,0),0),0)</f>
        <v>21655.303514578787</v>
      </c>
      <c r="K1064" s="444">
        <f t="shared" ca="1" si="103"/>
        <v>-180027.87079970667</v>
      </c>
      <c r="L1064" s="444">
        <f t="shared" ca="1" si="104"/>
        <v>-43386716.862729304</v>
      </c>
      <c r="M1064" s="460">
        <f t="shared" si="106"/>
        <v>0.05</v>
      </c>
      <c r="N1064" s="464">
        <f t="shared" si="107"/>
        <v>83429</v>
      </c>
    </row>
    <row r="1065" spans="7:14" ht="11.25" customHeight="1" x14ac:dyDescent="0.3">
      <c r="G1065" s="459"/>
      <c r="H1065" s="459">
        <v>1058</v>
      </c>
      <c r="I1065" s="444">
        <f t="shared" ca="1" si="105"/>
        <v>-43386716.862729304</v>
      </c>
      <c r="J1065" s="444">
        <f t="array" ref="J1065">IFERROR(INDEX('Retirement Calculator'!K:K,MATCH('Lorri 401b'!N1065,'Retirement Calculator'!A:A,0),0),0)</f>
        <v>21655.303514578787</v>
      </c>
      <c r="K1065" s="444">
        <f t="shared" ca="1" si="103"/>
        <v>-180868.21735934951</v>
      </c>
      <c r="L1065" s="444">
        <f t="shared" ca="1" si="104"/>
        <v>-43589240.38360323</v>
      </c>
      <c r="M1065" s="460">
        <f t="shared" si="106"/>
        <v>0.05</v>
      </c>
      <c r="N1065" s="464">
        <f t="shared" si="107"/>
        <v>83459</v>
      </c>
    </row>
    <row r="1066" spans="7:14" ht="11.25" customHeight="1" x14ac:dyDescent="0.3">
      <c r="G1066" s="459"/>
      <c r="H1066" s="459">
        <v>1059</v>
      </c>
      <c r="I1066" s="444">
        <f t="shared" ca="1" si="105"/>
        <v>-43589240.38360323</v>
      </c>
      <c r="J1066" s="444">
        <f t="array" ref="J1066">IFERROR(INDEX('Retirement Calculator'!K:K,MATCH('Lorri 401b'!N1066,'Retirement Calculator'!A:A,0),0),0)</f>
        <v>21655.303514578787</v>
      </c>
      <c r="K1066" s="444">
        <f t="shared" ca="1" si="103"/>
        <v>-181712.06536299086</v>
      </c>
      <c r="L1066" s="444">
        <f t="shared" ca="1" si="104"/>
        <v>-43792607.752480797</v>
      </c>
      <c r="M1066" s="460">
        <f t="shared" si="106"/>
        <v>0.05</v>
      </c>
      <c r="N1066" s="464">
        <f t="shared" si="107"/>
        <v>83490</v>
      </c>
    </row>
    <row r="1067" spans="7:14" ht="11.25" customHeight="1" x14ac:dyDescent="0.3">
      <c r="G1067" s="459"/>
      <c r="H1067" s="459">
        <v>1060</v>
      </c>
      <c r="I1067" s="444">
        <f t="shared" ca="1" si="105"/>
        <v>-43792607.752480797</v>
      </c>
      <c r="J1067" s="444">
        <f t="array" ref="J1067">IFERROR(INDEX('Retirement Calculator'!K:K,MATCH('Lorri 401b'!N1067,'Retirement Calculator'!A:A,0),0),0)</f>
        <v>21655.303514578787</v>
      </c>
      <c r="K1067" s="444">
        <f t="shared" ca="1" si="103"/>
        <v>-182559.42939998073</v>
      </c>
      <c r="L1067" s="444">
        <f t="shared" ca="1" si="104"/>
        <v>-43996822.485395357</v>
      </c>
      <c r="M1067" s="460">
        <f t="shared" si="106"/>
        <v>0.05</v>
      </c>
      <c r="N1067" s="464">
        <f t="shared" si="107"/>
        <v>83521</v>
      </c>
    </row>
    <row r="1068" spans="7:14" ht="11.25" customHeight="1" x14ac:dyDescent="0.3">
      <c r="G1068" s="459"/>
      <c r="H1068" s="459">
        <v>1061</v>
      </c>
      <c r="I1068" s="444">
        <f t="shared" ca="1" si="105"/>
        <v>-43996822.485395357</v>
      </c>
      <c r="J1068" s="444">
        <f t="array" ref="J1068">IFERROR(INDEX('Retirement Calculator'!K:K,MATCH('Lorri 401b'!N1068,'Retirement Calculator'!A:A,0),0),0)</f>
        <v>21655.303514578787</v>
      </c>
      <c r="K1068" s="444">
        <f t="shared" ca="1" si="103"/>
        <v>-183410.32412045807</v>
      </c>
      <c r="L1068" s="444">
        <f t="shared" ca="1" si="104"/>
        <v>-44201888.113030389</v>
      </c>
      <c r="M1068" s="460">
        <f t="shared" si="106"/>
        <v>0.05</v>
      </c>
      <c r="N1068" s="464">
        <f t="shared" si="107"/>
        <v>83551</v>
      </c>
    </row>
    <row r="1069" spans="7:14" ht="11.25" customHeight="1" x14ac:dyDescent="0.3">
      <c r="G1069" s="459"/>
      <c r="H1069" s="459">
        <v>1062</v>
      </c>
      <c r="I1069" s="444">
        <f t="shared" ca="1" si="105"/>
        <v>-44201888.113030389</v>
      </c>
      <c r="J1069" s="444">
        <f t="array" ref="J1069">IFERROR(INDEX('Retirement Calculator'!K:K,MATCH('Lorri 401b'!N1069,'Retirement Calculator'!A:A,0),0),0)</f>
        <v>21655.303514578787</v>
      </c>
      <c r="K1069" s="444">
        <f t="shared" ca="1" si="103"/>
        <v>-184264.76423560403</v>
      </c>
      <c r="L1069" s="444">
        <f t="shared" ca="1" si="104"/>
        <v>-44407808.180780567</v>
      </c>
      <c r="M1069" s="460">
        <f t="shared" si="106"/>
        <v>0.05</v>
      </c>
      <c r="N1069" s="464">
        <f t="shared" si="107"/>
        <v>83582</v>
      </c>
    </row>
    <row r="1070" spans="7:14" ht="11.25" customHeight="1" x14ac:dyDescent="0.3">
      <c r="G1070" s="459"/>
      <c r="H1070" s="459">
        <v>1063</v>
      </c>
      <c r="I1070" s="444">
        <f t="shared" ca="1" si="105"/>
        <v>-44407808.180780567</v>
      </c>
      <c r="J1070" s="444">
        <f t="array" ref="J1070">IFERROR(INDEX('Retirement Calculator'!K:K,MATCH('Lorri 401b'!N1070,'Retirement Calculator'!A:A,0),0),0)</f>
        <v>21655.303514578787</v>
      </c>
      <c r="K1070" s="444">
        <f t="shared" ca="1" si="103"/>
        <v>-185122.76451789643</v>
      </c>
      <c r="L1070" s="444">
        <f t="shared" ca="1" si="104"/>
        <v>-44614586.248813041</v>
      </c>
      <c r="M1070" s="460">
        <f t="shared" si="106"/>
        <v>0.05</v>
      </c>
      <c r="N1070" s="464">
        <f t="shared" si="107"/>
        <v>83612</v>
      </c>
    </row>
    <row r="1071" spans="7:14" ht="11.25" customHeight="1" x14ac:dyDescent="0.3">
      <c r="G1071" s="459"/>
      <c r="H1071" s="459">
        <v>1064</v>
      </c>
      <c r="I1071" s="444">
        <f t="shared" ca="1" si="105"/>
        <v>-44614586.248813041</v>
      </c>
      <c r="J1071" s="444">
        <f t="array" ref="J1071">IFERROR(INDEX('Retirement Calculator'!K:K,MATCH('Lorri 401b'!N1071,'Retirement Calculator'!A:A,0),0),0)</f>
        <v>21655.303514578787</v>
      </c>
      <c r="K1071" s="444">
        <f t="shared" ca="1" si="103"/>
        <v>-185984.33980136507</v>
      </c>
      <c r="L1071" s="444">
        <f t="shared" ca="1" si="104"/>
        <v>-44822225.892128982</v>
      </c>
      <c r="M1071" s="460">
        <f t="shared" si="106"/>
        <v>0.05</v>
      </c>
      <c r="N1071" s="464">
        <f t="shared" si="107"/>
        <v>83643</v>
      </c>
    </row>
    <row r="1072" spans="7:14" ht="11.25" customHeight="1" x14ac:dyDescent="0.3">
      <c r="G1072" s="459"/>
      <c r="H1072" s="459">
        <v>1065</v>
      </c>
      <c r="I1072" s="444">
        <f t="shared" ca="1" si="105"/>
        <v>-44822225.892128982</v>
      </c>
      <c r="J1072" s="444">
        <f t="array" ref="J1072">IFERROR(INDEX('Retirement Calculator'!K:K,MATCH('Lorri 401b'!N1072,'Retirement Calculator'!A:A,0),0),0)</f>
        <v>21655.303514578787</v>
      </c>
      <c r="K1072" s="444">
        <f t="shared" ca="1" si="103"/>
        <v>-186849.50498184815</v>
      </c>
      <c r="L1072" s="444">
        <f t="shared" ca="1" si="104"/>
        <v>-45030730.700625405</v>
      </c>
      <c r="M1072" s="460">
        <f t="shared" si="106"/>
        <v>0.05</v>
      </c>
      <c r="N1072" s="464">
        <f t="shared" si="107"/>
        <v>83674</v>
      </c>
    </row>
    <row r="1073" spans="7:14" ht="11.25" customHeight="1" x14ac:dyDescent="0.3">
      <c r="G1073" s="459"/>
      <c r="H1073" s="459">
        <v>1066</v>
      </c>
      <c r="I1073" s="444">
        <f t="shared" ca="1" si="105"/>
        <v>-45030730.700625405</v>
      </c>
      <c r="J1073" s="444">
        <f t="array" ref="J1073">IFERROR(INDEX('Retirement Calculator'!K:K,MATCH('Lorri 401b'!N1073,'Retirement Calculator'!A:A,0),0),0)</f>
        <v>21655.303514578787</v>
      </c>
      <c r="K1073" s="444">
        <f t="shared" ca="1" si="103"/>
        <v>-187718.27501724992</v>
      </c>
      <c r="L1073" s="444">
        <f t="shared" ca="1" si="104"/>
        <v>-45240104.279157229</v>
      </c>
      <c r="M1073" s="460">
        <f t="shared" si="106"/>
        <v>0.05</v>
      </c>
      <c r="N1073" s="464">
        <f t="shared" si="107"/>
        <v>83702</v>
      </c>
    </row>
    <row r="1074" spans="7:14" ht="11.25" customHeight="1" x14ac:dyDescent="0.3">
      <c r="G1074" s="459"/>
      <c r="H1074" s="459">
        <v>1067</v>
      </c>
      <c r="I1074" s="444">
        <f t="shared" ca="1" si="105"/>
        <v>-45240104.279157229</v>
      </c>
      <c r="J1074" s="444">
        <f t="array" ref="J1074">IFERROR(INDEX('Retirement Calculator'!K:K,MATCH('Lorri 401b'!N1074,'Retirement Calculator'!A:A,0),0),0)</f>
        <v>21655.303514578787</v>
      </c>
      <c r="K1074" s="444">
        <f t="shared" ca="1" si="103"/>
        <v>-188590.6649277992</v>
      </c>
      <c r="L1074" s="444">
        <f t="shared" ca="1" si="104"/>
        <v>-45450350.247599602</v>
      </c>
      <c r="M1074" s="460">
        <f t="shared" si="106"/>
        <v>0.05</v>
      </c>
      <c r="N1074" s="464">
        <f t="shared" si="107"/>
        <v>83733</v>
      </c>
    </row>
    <row r="1075" spans="7:14" ht="11.25" customHeight="1" x14ac:dyDescent="0.3">
      <c r="G1075" s="459"/>
      <c r="H1075" s="459">
        <v>1068</v>
      </c>
      <c r="I1075" s="444">
        <f t="shared" ca="1" si="105"/>
        <v>-45450350.247599602</v>
      </c>
      <c r="J1075" s="444">
        <f t="array" ref="J1075">IFERROR(INDEX('Retirement Calculator'!K:K,MATCH('Lorri 401b'!N1075,'Retirement Calculator'!A:A,0),0),0)</f>
        <v>21655.303514578787</v>
      </c>
      <c r="K1075" s="444">
        <f t="shared" ca="1" si="103"/>
        <v>-189466.68979630907</v>
      </c>
      <c r="L1075" s="444">
        <f t="shared" ca="1" si="104"/>
        <v>-45661472.240910485</v>
      </c>
      <c r="M1075" s="460">
        <f t="shared" si="106"/>
        <v>0.05</v>
      </c>
      <c r="N1075" s="464">
        <f t="shared" si="107"/>
        <v>83763</v>
      </c>
    </row>
    <row r="1076" spans="7:14" ht="11.25" customHeight="1" x14ac:dyDescent="0.3">
      <c r="G1076" s="459"/>
      <c r="H1076" s="459">
        <v>1069</v>
      </c>
      <c r="I1076" s="444">
        <f t="shared" ca="1" si="105"/>
        <v>-45661472.240910485</v>
      </c>
      <c r="J1076" s="444">
        <f t="array" ref="J1076">IFERROR(INDEX('Retirement Calculator'!K:K,MATCH('Lorri 401b'!N1076,'Retirement Calculator'!A:A,0),0),0)</f>
        <v>21655.303514578787</v>
      </c>
      <c r="K1076" s="444">
        <f t="shared" ca="1" si="103"/>
        <v>-190346.36476843775</v>
      </c>
      <c r="L1076" s="444">
        <f t="shared" ca="1" si="104"/>
        <v>-45873473.909193501</v>
      </c>
      <c r="M1076" s="460">
        <f t="shared" si="106"/>
        <v>0.05</v>
      </c>
      <c r="N1076" s="464">
        <f t="shared" si="107"/>
        <v>83794</v>
      </c>
    </row>
    <row r="1077" spans="7:14" ht="11.25" customHeight="1" x14ac:dyDescent="0.3">
      <c r="G1077" s="459"/>
      <c r="H1077" s="459">
        <v>1070</v>
      </c>
      <c r="I1077" s="444">
        <f t="shared" ca="1" si="105"/>
        <v>-45873473.909193501</v>
      </c>
      <c r="J1077" s="444">
        <f t="array" ref="J1077">IFERROR(INDEX('Retirement Calculator'!K:K,MATCH('Lorri 401b'!N1077,'Retirement Calculator'!A:A,0),0),0)</f>
        <v>21655.303514578787</v>
      </c>
      <c r="K1077" s="444">
        <f t="shared" ca="1" si="103"/>
        <v>-191229.70505295033</v>
      </c>
      <c r="L1077" s="444">
        <f t="shared" ca="1" si="104"/>
        <v>-46086358.917761028</v>
      </c>
      <c r="M1077" s="460">
        <f t="shared" si="106"/>
        <v>0.05</v>
      </c>
      <c r="N1077" s="464">
        <f t="shared" si="107"/>
        <v>83824</v>
      </c>
    </row>
    <row r="1078" spans="7:14" ht="11.25" customHeight="1" x14ac:dyDescent="0.3">
      <c r="G1078" s="459"/>
      <c r="H1078" s="459">
        <v>1071</v>
      </c>
      <c r="I1078" s="444">
        <f t="shared" ca="1" si="105"/>
        <v>-46086358.917761028</v>
      </c>
      <c r="J1078" s="444">
        <f t="array" ref="J1078">IFERROR(INDEX('Retirement Calculator'!K:K,MATCH('Lorri 401b'!N1078,'Retirement Calculator'!A:A,0),0),0)</f>
        <v>21655.303514578787</v>
      </c>
      <c r="K1078" s="444">
        <f t="shared" ca="1" si="103"/>
        <v>-192116.72592198168</v>
      </c>
      <c r="L1078" s="444">
        <f t="shared" ca="1" si="104"/>
        <v>-46300130.947197586</v>
      </c>
      <c r="M1078" s="460">
        <f t="shared" si="106"/>
        <v>0.05</v>
      </c>
      <c r="N1078" s="464">
        <f t="shared" si="107"/>
        <v>83855</v>
      </c>
    </row>
    <row r="1079" spans="7:14" ht="11.25" customHeight="1" x14ac:dyDescent="0.3">
      <c r="G1079" s="459"/>
      <c r="H1079" s="459">
        <v>1072</v>
      </c>
      <c r="I1079" s="444">
        <f t="shared" ca="1" si="105"/>
        <v>-46300130.947197586</v>
      </c>
      <c r="J1079" s="444">
        <f t="array" ref="J1079">IFERROR(INDEX('Retirement Calculator'!K:K,MATCH('Lorri 401b'!N1079,'Retirement Calculator'!A:A,0),0),0)</f>
        <v>21655.303514578787</v>
      </c>
      <c r="K1079" s="444">
        <f t="shared" ca="1" si="103"/>
        <v>-193007.44271130068</v>
      </c>
      <c r="L1079" s="444">
        <f t="shared" ca="1" si="104"/>
        <v>-46514793.693423465</v>
      </c>
      <c r="M1079" s="460">
        <f t="shared" si="106"/>
        <v>0.05</v>
      </c>
      <c r="N1079" s="464">
        <f t="shared" si="107"/>
        <v>83886</v>
      </c>
    </row>
    <row r="1080" spans="7:14" ht="11.25" customHeight="1" x14ac:dyDescent="0.3">
      <c r="G1080" s="459"/>
      <c r="H1080" s="459">
        <v>1073</v>
      </c>
      <c r="I1080" s="444">
        <f t="shared" ca="1" si="105"/>
        <v>-46514793.693423465</v>
      </c>
      <c r="J1080" s="444">
        <f t="array" ref="J1080">IFERROR(INDEX('Retirement Calculator'!K:K,MATCH('Lorri 401b'!N1080,'Retirement Calculator'!A:A,0),0),0)</f>
        <v>21655.303514578787</v>
      </c>
      <c r="K1080" s="444">
        <f t="shared" ca="1" si="103"/>
        <v>-193901.87082057516</v>
      </c>
      <c r="L1080" s="444">
        <f t="shared" ca="1" si="104"/>
        <v>-46730350.867758617</v>
      </c>
      <c r="M1080" s="460">
        <f t="shared" si="106"/>
        <v>0.05</v>
      </c>
      <c r="N1080" s="464">
        <f t="shared" si="107"/>
        <v>83916</v>
      </c>
    </row>
    <row r="1081" spans="7:14" ht="11.25" customHeight="1" x14ac:dyDescent="0.3">
      <c r="G1081" s="459"/>
      <c r="H1081" s="459">
        <v>1074</v>
      </c>
      <c r="I1081" s="444">
        <f t="shared" ca="1" si="105"/>
        <v>-46730350.867758617</v>
      </c>
      <c r="J1081" s="444">
        <f t="array" ref="J1081">IFERROR(INDEX('Retirement Calculator'!K:K,MATCH('Lorri 401b'!N1081,'Retirement Calculator'!A:A,0),0),0)</f>
        <v>21655.303514578787</v>
      </c>
      <c r="K1081" s="444">
        <f t="shared" ca="1" si="103"/>
        <v>-194800.02571363832</v>
      </c>
      <c r="L1081" s="444">
        <f t="shared" ca="1" si="104"/>
        <v>-46946806.196986832</v>
      </c>
      <c r="M1081" s="460">
        <f t="shared" si="106"/>
        <v>0.05</v>
      </c>
      <c r="N1081" s="464">
        <f t="shared" si="107"/>
        <v>83947</v>
      </c>
    </row>
    <row r="1082" spans="7:14" ht="11.25" customHeight="1" x14ac:dyDescent="0.3">
      <c r="G1082" s="459"/>
      <c r="H1082" s="459">
        <v>1075</v>
      </c>
      <c r="I1082" s="444">
        <f t="shared" ca="1" si="105"/>
        <v>-46946806.196986832</v>
      </c>
      <c r="J1082" s="444">
        <f t="array" ref="J1082">IFERROR(INDEX('Retirement Calculator'!K:K,MATCH('Lorri 401b'!N1082,'Retirement Calculator'!A:A,0),0),0)</f>
        <v>21655.303514578787</v>
      </c>
      <c r="K1082" s="444">
        <f t="shared" ca="1" si="103"/>
        <v>-195701.92291875588</v>
      </c>
      <c r="L1082" s="444">
        <f t="shared" ca="1" si="104"/>
        <v>-47164163.423420168</v>
      </c>
      <c r="M1082" s="460">
        <f t="shared" si="106"/>
        <v>0.05</v>
      </c>
      <c r="N1082" s="464">
        <f t="shared" si="107"/>
        <v>83977</v>
      </c>
    </row>
    <row r="1083" spans="7:14" ht="11.25" customHeight="1" x14ac:dyDescent="0.3">
      <c r="G1083" s="459"/>
      <c r="H1083" s="459">
        <v>1076</v>
      </c>
      <c r="I1083" s="444">
        <f t="shared" ca="1" si="105"/>
        <v>-47164163.423420168</v>
      </c>
      <c r="J1083" s="444">
        <f t="array" ref="J1083">IFERROR(INDEX('Retirement Calculator'!K:K,MATCH('Lorri 401b'!N1083,'Retirement Calculator'!A:A,0),0),0)</f>
        <v>21655.303514578787</v>
      </c>
      <c r="K1083" s="444">
        <f t="shared" ca="1" si="103"/>
        <v>-196607.57802889479</v>
      </c>
      <c r="L1083" s="444">
        <f t="shared" ca="1" si="104"/>
        <v>-47382426.304963641</v>
      </c>
      <c r="M1083" s="460">
        <f t="shared" si="106"/>
        <v>0.05</v>
      </c>
      <c r="N1083" s="464">
        <f t="shared" si="107"/>
        <v>84008</v>
      </c>
    </row>
    <row r="1084" spans="7:14" ht="11.25" customHeight="1" x14ac:dyDescent="0.3">
      <c r="G1084" s="459"/>
      <c r="H1084" s="459">
        <v>1077</v>
      </c>
      <c r="I1084" s="444">
        <f t="shared" ca="1" si="105"/>
        <v>-47382426.304963641</v>
      </c>
      <c r="J1084" s="444">
        <f t="array" ref="J1084">IFERROR(INDEX('Retirement Calculator'!K:K,MATCH('Lorri 401b'!N1084,'Retirement Calculator'!A:A,0),0),0)</f>
        <v>21655.303514578787</v>
      </c>
      <c r="K1084" s="444">
        <f t="shared" ca="1" si="103"/>
        <v>-197517.00670199256</v>
      </c>
      <c r="L1084" s="444">
        <f t="shared" ca="1" si="104"/>
        <v>-47601598.615180209</v>
      </c>
      <c r="M1084" s="460">
        <f t="shared" si="106"/>
        <v>0.05</v>
      </c>
      <c r="N1084" s="464">
        <f t="shared" si="107"/>
        <v>84039</v>
      </c>
    </row>
    <row r="1085" spans="7:14" ht="11.25" customHeight="1" x14ac:dyDescent="0.3">
      <c r="G1085" s="459"/>
      <c r="H1085" s="459">
        <v>1078</v>
      </c>
      <c r="I1085" s="444">
        <f t="shared" ca="1" si="105"/>
        <v>-47601598.615180209</v>
      </c>
      <c r="J1085" s="444">
        <f t="array" ref="J1085">IFERROR(INDEX('Retirement Calculator'!K:K,MATCH('Lorri 401b'!N1085,'Retirement Calculator'!A:A,0),0),0)</f>
        <v>21655.303514578787</v>
      </c>
      <c r="K1085" s="444">
        <f t="shared" ca="1" si="103"/>
        <v>-198430.22466122828</v>
      </c>
      <c r="L1085" s="444">
        <f t="shared" ca="1" si="104"/>
        <v>-47821684.143356018</v>
      </c>
      <c r="M1085" s="460">
        <f t="shared" si="106"/>
        <v>0.05</v>
      </c>
      <c r="N1085" s="464">
        <f t="shared" si="107"/>
        <v>84067</v>
      </c>
    </row>
    <row r="1086" spans="7:14" ht="11.25" customHeight="1" x14ac:dyDescent="0.3">
      <c r="G1086" s="459"/>
      <c r="H1086" s="459">
        <v>1079</v>
      </c>
      <c r="I1086" s="444">
        <f t="shared" ca="1" si="105"/>
        <v>-47821684.143356018</v>
      </c>
      <c r="J1086" s="444">
        <f t="array" ref="J1086">IFERROR(INDEX('Retirement Calculator'!K:K,MATCH('Lorri 401b'!N1086,'Retirement Calculator'!A:A,0),0),0)</f>
        <v>21655.303514578787</v>
      </c>
      <c r="K1086" s="444">
        <f t="shared" ca="1" si="103"/>
        <v>-199347.24769529415</v>
      </c>
      <c r="L1086" s="444">
        <f t="shared" ca="1" si="104"/>
        <v>-48042686.694565892</v>
      </c>
      <c r="M1086" s="460">
        <f t="shared" si="106"/>
        <v>0.05</v>
      </c>
      <c r="N1086" s="464">
        <f t="shared" si="107"/>
        <v>84098</v>
      </c>
    </row>
    <row r="1087" spans="7:14" ht="11.25" customHeight="1" x14ac:dyDescent="0.3">
      <c r="G1087" s="459"/>
      <c r="H1087" s="459">
        <v>1080</v>
      </c>
      <c r="I1087" s="444">
        <f t="shared" ca="1" si="105"/>
        <v>-48042686.694565892</v>
      </c>
      <c r="J1087" s="444">
        <f t="array" ref="J1087">IFERROR(INDEX('Retirement Calculator'!K:K,MATCH('Lorri 401b'!N1087,'Retirement Calculator'!A:A,0),0),0)</f>
        <v>21655.303514578787</v>
      </c>
      <c r="K1087" s="444">
        <f t="shared" ca="1" si="103"/>
        <v>-200268.09165866862</v>
      </c>
      <c r="L1087" s="444">
        <f t="shared" ca="1" si="104"/>
        <v>-48264610.089739136</v>
      </c>
      <c r="M1087" s="460">
        <f t="shared" si="106"/>
        <v>0.05</v>
      </c>
      <c r="N1087" s="464">
        <f t="shared" si="107"/>
        <v>84128</v>
      </c>
    </row>
    <row r="1088" spans="7:14" ht="11.25" customHeight="1" x14ac:dyDescent="0.3">
      <c r="G1088" s="459"/>
      <c r="H1088" s="459">
        <v>1081</v>
      </c>
      <c r="I1088" s="444">
        <f t="shared" ca="1" si="105"/>
        <v>-48264610.089739136</v>
      </c>
      <c r="J1088" s="444">
        <f t="array" ref="J1088">IFERROR(INDEX('Retirement Calculator'!K:K,MATCH('Lorri 401b'!N1088,'Retirement Calculator'!A:A,0),0),0)</f>
        <v>21655.303514578787</v>
      </c>
      <c r="K1088" s="444">
        <f t="shared" ca="1" si="103"/>
        <v>-201192.77247189046</v>
      </c>
      <c r="L1088" s="444">
        <f t="shared" ca="1" si="104"/>
        <v>-48487458.165725604</v>
      </c>
      <c r="M1088" s="460">
        <f t="shared" si="106"/>
        <v>0.05</v>
      </c>
      <c r="N1088" s="464">
        <f t="shared" si="107"/>
        <v>84159</v>
      </c>
    </row>
    <row r="1089" spans="7:14" ht="11.25" customHeight="1" x14ac:dyDescent="0.3">
      <c r="G1089" s="459"/>
      <c r="H1089" s="459">
        <v>1082</v>
      </c>
      <c r="I1089" s="444">
        <f t="shared" ca="1" si="105"/>
        <v>-48487458.165725604</v>
      </c>
      <c r="J1089" s="444">
        <f t="array" ref="J1089">IFERROR(INDEX('Retirement Calculator'!K:K,MATCH('Lorri 401b'!N1089,'Retirement Calculator'!A:A,0),0),0)</f>
        <v>21655.303514578787</v>
      </c>
      <c r="K1089" s="444">
        <f t="shared" ca="1" si="103"/>
        <v>-202121.30612183409</v>
      </c>
      <c r="L1089" s="444">
        <f t="shared" ca="1" si="104"/>
        <v>-48711234.775362015</v>
      </c>
      <c r="M1089" s="460">
        <f t="shared" si="106"/>
        <v>0.05</v>
      </c>
      <c r="N1089" s="464">
        <f t="shared" si="107"/>
        <v>84189</v>
      </c>
    </row>
    <row r="1090" spans="7:14" ht="11.25" customHeight="1" x14ac:dyDescent="0.3">
      <c r="G1090" s="459"/>
      <c r="H1090" s="459">
        <v>1083</v>
      </c>
      <c r="I1090" s="444">
        <f t="shared" ca="1" si="105"/>
        <v>-48711234.775362015</v>
      </c>
      <c r="J1090" s="444">
        <f t="array" ref="J1090">IFERROR(INDEX('Retirement Calculator'!K:K,MATCH('Lorri 401b'!N1090,'Retirement Calculator'!A:A,0),0),0)</f>
        <v>21655.303514578787</v>
      </c>
      <c r="K1090" s="444">
        <f t="shared" ca="1" si="103"/>
        <v>-203053.70866198579</v>
      </c>
      <c r="L1090" s="444">
        <f t="shared" ca="1" si="104"/>
        <v>-48935943.787538581</v>
      </c>
      <c r="M1090" s="460">
        <f t="shared" si="106"/>
        <v>0.05</v>
      </c>
      <c r="N1090" s="464">
        <f t="shared" si="107"/>
        <v>84220</v>
      </c>
    </row>
    <row r="1091" spans="7:14" ht="11.25" customHeight="1" x14ac:dyDescent="0.3">
      <c r="G1091" s="459"/>
      <c r="H1091" s="459">
        <v>1084</v>
      </c>
      <c r="I1091" s="444">
        <f t="shared" ca="1" si="105"/>
        <v>-48935943.787538581</v>
      </c>
      <c r="J1091" s="444">
        <f t="array" ref="J1091">IFERROR(INDEX('Retirement Calculator'!K:K,MATCH('Lorri 401b'!N1091,'Retirement Calculator'!A:A,0),0),0)</f>
        <v>21655.303514578787</v>
      </c>
      <c r="K1091" s="444">
        <f t="shared" ca="1" si="103"/>
        <v>-203989.99621272148</v>
      </c>
      <c r="L1091" s="444">
        <f t="shared" ca="1" si="104"/>
        <v>-49161589.087265879</v>
      </c>
      <c r="M1091" s="460">
        <f t="shared" si="106"/>
        <v>0.05</v>
      </c>
      <c r="N1091" s="464">
        <f t="shared" si="107"/>
        <v>84251</v>
      </c>
    </row>
    <row r="1092" spans="7:14" ht="11.25" customHeight="1" x14ac:dyDescent="0.3">
      <c r="G1092" s="459"/>
      <c r="H1092" s="459">
        <v>1085</v>
      </c>
      <c r="I1092" s="444">
        <f t="shared" ca="1" si="105"/>
        <v>-49161589.087265879</v>
      </c>
      <c r="J1092" s="444">
        <f t="array" ref="J1092">IFERROR(INDEX('Retirement Calculator'!K:K,MATCH('Lorri 401b'!N1092,'Retirement Calculator'!A:A,0),0),0)</f>
        <v>21655.303514578787</v>
      </c>
      <c r="K1092" s="444">
        <f t="shared" ca="1" si="103"/>
        <v>-204930.18496158524</v>
      </c>
      <c r="L1092" s="444">
        <f t="shared" ca="1" si="104"/>
        <v>-49388174.575742044</v>
      </c>
      <c r="M1092" s="460">
        <f t="shared" si="106"/>
        <v>0.05</v>
      </c>
      <c r="N1092" s="464">
        <f t="shared" si="107"/>
        <v>84281</v>
      </c>
    </row>
    <row r="1093" spans="7:14" ht="11.25" customHeight="1" x14ac:dyDescent="0.3">
      <c r="G1093" s="459"/>
      <c r="H1093" s="459">
        <v>1086</v>
      </c>
      <c r="I1093" s="444">
        <f t="shared" ca="1" si="105"/>
        <v>-49388174.575742044</v>
      </c>
      <c r="J1093" s="444">
        <f t="array" ref="J1093">IFERROR(INDEX('Retirement Calculator'!K:K,MATCH('Lorri 401b'!N1093,'Retirement Calculator'!A:A,0),0),0)</f>
        <v>21655.303514578787</v>
      </c>
      <c r="K1093" s="444">
        <f t="shared" ca="1" si="103"/>
        <v>-205874.29116356926</v>
      </c>
      <c r="L1093" s="444">
        <f t="shared" ca="1" si="104"/>
        <v>-49615704.170420192</v>
      </c>
      <c r="M1093" s="460">
        <f t="shared" si="106"/>
        <v>0.05</v>
      </c>
      <c r="N1093" s="464">
        <f t="shared" si="107"/>
        <v>84312</v>
      </c>
    </row>
    <row r="1094" spans="7:14" ht="11.25" customHeight="1" x14ac:dyDescent="0.3">
      <c r="G1094" s="459"/>
      <c r="H1094" s="459">
        <v>1087</v>
      </c>
      <c r="I1094" s="444">
        <f t="shared" ca="1" si="105"/>
        <v>-49615704.170420192</v>
      </c>
      <c r="J1094" s="444">
        <f t="array" ref="J1094">IFERROR(INDEX('Retirement Calculator'!K:K,MATCH('Lorri 401b'!N1094,'Retirement Calculator'!A:A,0),0),0)</f>
        <v>21655.303514578787</v>
      </c>
      <c r="K1094" s="444">
        <f t="shared" ca="1" si="103"/>
        <v>-206822.33114139488</v>
      </c>
      <c r="L1094" s="444">
        <f t="shared" ca="1" si="104"/>
        <v>-49844181.805076167</v>
      </c>
      <c r="M1094" s="460">
        <f t="shared" si="106"/>
        <v>0.05</v>
      </c>
      <c r="N1094" s="464">
        <f t="shared" si="107"/>
        <v>84342</v>
      </c>
    </row>
    <row r="1095" spans="7:14" ht="11.25" customHeight="1" x14ac:dyDescent="0.3">
      <c r="G1095" s="459"/>
      <c r="H1095" s="459">
        <v>1088</v>
      </c>
      <c r="I1095" s="444">
        <f t="shared" ca="1" si="105"/>
        <v>-49844181.805076167</v>
      </c>
      <c r="J1095" s="444">
        <f t="array" ref="J1095">IFERROR(INDEX('Retirement Calculator'!K:K,MATCH('Lorri 401b'!N1095,'Retirement Calculator'!A:A,0),0),0)</f>
        <v>21655.303514578787</v>
      </c>
      <c r="K1095" s="444">
        <f t="shared" ca="1" si="103"/>
        <v>-207774.32128579478</v>
      </c>
      <c r="L1095" s="444">
        <f t="shared" ca="1" si="104"/>
        <v>-50073611.429876536</v>
      </c>
      <c r="M1095" s="460">
        <f t="shared" si="106"/>
        <v>0.05</v>
      </c>
      <c r="N1095" s="464">
        <f t="shared" si="107"/>
        <v>84373</v>
      </c>
    </row>
    <row r="1096" spans="7:14" ht="11.25" customHeight="1" x14ac:dyDescent="0.3">
      <c r="G1096" s="459"/>
      <c r="H1096" s="459">
        <v>1089</v>
      </c>
      <c r="I1096" s="444">
        <f t="shared" ca="1" si="105"/>
        <v>-50073611.429876536</v>
      </c>
      <c r="J1096" s="444">
        <f t="array" ref="J1096">IFERROR(INDEX('Retirement Calculator'!K:K,MATCH('Lorri 401b'!N1096,'Retirement Calculator'!A:A,0),0),0)</f>
        <v>21655.303514578787</v>
      </c>
      <c r="K1096" s="444">
        <f t="shared" ca="1" si="103"/>
        <v>-208730.27805579631</v>
      </c>
      <c r="L1096" s="444">
        <f t="shared" ca="1" si="104"/>
        <v>-50303997.011446908</v>
      </c>
      <c r="M1096" s="460">
        <f t="shared" si="106"/>
        <v>0.05</v>
      </c>
      <c r="N1096" s="464">
        <f t="shared" si="107"/>
        <v>84404</v>
      </c>
    </row>
    <row r="1097" spans="7:14" ht="11.25" customHeight="1" x14ac:dyDescent="0.3">
      <c r="G1097" s="459"/>
      <c r="H1097" s="459">
        <v>1090</v>
      </c>
      <c r="I1097" s="444">
        <f t="shared" ca="1" si="105"/>
        <v>-50303997.011446908</v>
      </c>
      <c r="J1097" s="444">
        <f t="array" ref="J1097">IFERROR(INDEX('Retirement Calculator'!K:K,MATCH('Lorri 401b'!N1097,'Retirement Calculator'!A:A,0),0),0)</f>
        <v>21655.303514578787</v>
      </c>
      <c r="K1097" s="444">
        <f t="shared" ca="1" si="103"/>
        <v>-209690.21797900618</v>
      </c>
      <c r="L1097" s="444">
        <f t="shared" ca="1" si="104"/>
        <v>-50535342.532940492</v>
      </c>
      <c r="M1097" s="460">
        <f t="shared" si="106"/>
        <v>0.05</v>
      </c>
      <c r="N1097" s="464">
        <f t="shared" si="107"/>
        <v>84432</v>
      </c>
    </row>
    <row r="1098" spans="7:14" ht="11.25" customHeight="1" x14ac:dyDescent="0.3">
      <c r="G1098" s="459"/>
      <c r="H1098" s="459">
        <v>1091</v>
      </c>
      <c r="I1098" s="444">
        <f t="shared" ca="1" si="105"/>
        <v>-50535342.532940492</v>
      </c>
      <c r="J1098" s="444">
        <f t="array" ref="J1098">IFERROR(INDEX('Retirement Calculator'!K:K,MATCH('Lorri 401b'!N1098,'Retirement Calculator'!A:A,0),0),0)</f>
        <v>21655.303514578787</v>
      </c>
      <c r="K1098" s="444">
        <f t="shared" ca="1" si="103"/>
        <v>-210654.15765189612</v>
      </c>
      <c r="L1098" s="444">
        <f t="shared" ca="1" si="104"/>
        <v>-50767651.994106963</v>
      </c>
      <c r="M1098" s="460">
        <f t="shared" si="106"/>
        <v>0.05</v>
      </c>
      <c r="N1098" s="464">
        <f t="shared" si="107"/>
        <v>84463</v>
      </c>
    </row>
    <row r="1099" spans="7:14" ht="11.25" customHeight="1" x14ac:dyDescent="0.3">
      <c r="G1099" s="459"/>
      <c r="H1099" s="459">
        <v>1092</v>
      </c>
      <c r="I1099" s="444">
        <f t="shared" ca="1" si="105"/>
        <v>-50767651.994106963</v>
      </c>
      <c r="J1099" s="444">
        <f t="array" ref="J1099">IFERROR(INDEX('Retirement Calculator'!K:K,MATCH('Lorri 401b'!N1099,'Retirement Calculator'!A:A,0),0),0)</f>
        <v>21655.303514578787</v>
      </c>
      <c r="K1099" s="444">
        <f t="shared" ca="1" si="103"/>
        <v>-211622.11374008976</v>
      </c>
      <c r="L1099" s="444">
        <f t="shared" ca="1" si="104"/>
        <v>-51000929.411361627</v>
      </c>
      <c r="M1099" s="460">
        <f t="shared" si="106"/>
        <v>0.05</v>
      </c>
      <c r="N1099" s="464">
        <f t="shared" si="107"/>
        <v>84493</v>
      </c>
    </row>
    <row r="1100" spans="7:14" ht="11.25" customHeight="1" x14ac:dyDescent="0.3">
      <c r="G1100" s="459"/>
      <c r="H1100" s="459">
        <v>1093</v>
      </c>
      <c r="I1100" s="444">
        <f t="shared" ca="1" si="105"/>
        <v>-51000929.411361627</v>
      </c>
      <c r="J1100" s="444">
        <f t="array" ref="J1100">IFERROR(INDEX('Retirement Calculator'!K:K,MATCH('Lorri 401b'!N1100,'Retirement Calculator'!A:A,0),0),0)</f>
        <v>21655.303514578787</v>
      </c>
      <c r="K1100" s="444">
        <f t="shared" ca="1" si="103"/>
        <v>-212594.10297865086</v>
      </c>
      <c r="L1100" s="444">
        <f t="shared" ca="1" si="104"/>
        <v>-51235178.817854859</v>
      </c>
      <c r="M1100" s="460">
        <f t="shared" si="106"/>
        <v>0.05</v>
      </c>
      <c r="N1100" s="464">
        <f t="shared" si="107"/>
        <v>84524</v>
      </c>
    </row>
    <row r="1101" spans="7:14" ht="11.25" customHeight="1" x14ac:dyDescent="0.3">
      <c r="G1101" s="459"/>
      <c r="H1101" s="459">
        <v>1094</v>
      </c>
      <c r="I1101" s="444">
        <f t="shared" ca="1" si="105"/>
        <v>-51235178.817854859</v>
      </c>
      <c r="J1101" s="444">
        <f t="array" ref="J1101">IFERROR(INDEX('Retirement Calculator'!K:K,MATCH('Lorri 401b'!N1101,'Retirement Calculator'!A:A,0),0),0)</f>
        <v>21655.303514578787</v>
      </c>
      <c r="K1101" s="444">
        <f t="shared" ca="1" si="103"/>
        <v>-213570.14217237264</v>
      </c>
      <c r="L1101" s="444">
        <f t="shared" ca="1" si="104"/>
        <v>-51470404.26354181</v>
      </c>
      <c r="M1101" s="460">
        <f t="shared" si="106"/>
        <v>0.05</v>
      </c>
      <c r="N1101" s="464">
        <f t="shared" si="107"/>
        <v>84554</v>
      </c>
    </row>
    <row r="1102" spans="7:14" ht="11.25" customHeight="1" x14ac:dyDescent="0.3">
      <c r="G1102" s="459"/>
      <c r="H1102" s="459">
        <v>1095</v>
      </c>
      <c r="I1102" s="444">
        <f t="shared" ca="1" si="105"/>
        <v>-51470404.26354181</v>
      </c>
      <c r="J1102" s="444">
        <f t="array" ref="J1102">IFERROR(INDEX('Retirement Calculator'!K:K,MATCH('Lorri 401b'!N1102,'Retirement Calculator'!A:A,0),0),0)</f>
        <v>21655.303514578787</v>
      </c>
      <c r="K1102" s="444">
        <f t="shared" ca="1" si="103"/>
        <v>-214550.24819606828</v>
      </c>
      <c r="L1102" s="444">
        <f t="shared" ca="1" si="104"/>
        <v>-51706609.815252453</v>
      </c>
      <c r="M1102" s="460">
        <f t="shared" si="106"/>
        <v>0.05</v>
      </c>
      <c r="N1102" s="464">
        <f t="shared" si="107"/>
        <v>84585</v>
      </c>
    </row>
    <row r="1103" spans="7:14" ht="11.25" customHeight="1" x14ac:dyDescent="0.3">
      <c r="G1103" s="459"/>
      <c r="H1103" s="459">
        <v>1096</v>
      </c>
      <c r="I1103" s="444">
        <f t="shared" ca="1" si="105"/>
        <v>-51706609.815252453</v>
      </c>
      <c r="J1103" s="444">
        <f t="array" ref="J1103">IFERROR(INDEX('Retirement Calculator'!K:K,MATCH('Lorri 401b'!N1103,'Retirement Calculator'!A:A,0),0),0)</f>
        <v>21655.303514578787</v>
      </c>
      <c r="K1103" s="444">
        <f t="shared" ca="1" si="103"/>
        <v>-215534.43799486262</v>
      </c>
      <c r="L1103" s="444">
        <f t="shared" ca="1" si="104"/>
        <v>-51943799.556761891</v>
      </c>
      <c r="M1103" s="460">
        <f t="shared" si="106"/>
        <v>0.05</v>
      </c>
      <c r="N1103" s="464">
        <f t="shared" si="107"/>
        <v>84616</v>
      </c>
    </row>
    <row r="1104" spans="7:14" ht="11.25" customHeight="1" x14ac:dyDescent="0.3">
      <c r="G1104" s="459"/>
      <c r="H1104" s="459">
        <v>1097</v>
      </c>
      <c r="I1104" s="444">
        <f t="shared" ca="1" si="105"/>
        <v>-51943799.556761891</v>
      </c>
      <c r="J1104" s="444">
        <f t="array" ref="J1104">IFERROR(INDEX('Retirement Calculator'!K:K,MATCH('Lorri 401b'!N1104,'Retirement Calculator'!A:A,0),0),0)</f>
        <v>21655.303514578787</v>
      </c>
      <c r="K1104" s="444">
        <f t="shared" ca="1" si="103"/>
        <v>-216522.72858448527</v>
      </c>
      <c r="L1104" s="444">
        <f t="shared" ca="1" si="104"/>
        <v>-52181977.588860951</v>
      </c>
      <c r="M1104" s="460">
        <f t="shared" si="106"/>
        <v>0.05</v>
      </c>
      <c r="N1104" s="464">
        <f t="shared" si="107"/>
        <v>84646</v>
      </c>
    </row>
    <row r="1105" spans="7:14" ht="11.25" customHeight="1" x14ac:dyDescent="0.3">
      <c r="G1105" s="459"/>
      <c r="H1105" s="459">
        <v>1098</v>
      </c>
      <c r="I1105" s="444">
        <f t="shared" ca="1" si="105"/>
        <v>-52181977.588860951</v>
      </c>
      <c r="J1105" s="444">
        <f t="array" ref="J1105">IFERROR(INDEX('Retirement Calculator'!K:K,MATCH('Lorri 401b'!N1105,'Retirement Calculator'!A:A,0),0),0)</f>
        <v>21655.303514578787</v>
      </c>
      <c r="K1105" s="444">
        <f t="shared" ca="1" si="103"/>
        <v>-217515.1370515647</v>
      </c>
      <c r="L1105" s="444">
        <f t="shared" ca="1" si="104"/>
        <v>-52421148.029427096</v>
      </c>
      <c r="M1105" s="460">
        <f t="shared" si="106"/>
        <v>0.05</v>
      </c>
      <c r="N1105" s="464">
        <f t="shared" si="107"/>
        <v>84677</v>
      </c>
    </row>
    <row r="1106" spans="7:14" ht="11.25" customHeight="1" x14ac:dyDescent="0.3">
      <c r="G1106" s="459"/>
      <c r="H1106" s="459">
        <v>1099</v>
      </c>
      <c r="I1106" s="444">
        <f t="shared" ca="1" si="105"/>
        <v>-52421148.029427096</v>
      </c>
      <c r="J1106" s="444">
        <f t="array" ref="J1106">IFERROR(INDEX('Retirement Calculator'!K:K,MATCH('Lorri 401b'!N1106,'Retirement Calculator'!A:A,0),0),0)</f>
        <v>21655.303514578787</v>
      </c>
      <c r="K1106" s="444">
        <f t="shared" ca="1" si="103"/>
        <v>-218511.68055392359</v>
      </c>
      <c r="L1106" s="444">
        <f t="shared" ca="1" si="104"/>
        <v>-52661315.013495594</v>
      </c>
      <c r="M1106" s="460">
        <f t="shared" si="106"/>
        <v>0.05</v>
      </c>
      <c r="N1106" s="464">
        <f t="shared" si="107"/>
        <v>84707</v>
      </c>
    </row>
    <row r="1107" spans="7:14" ht="11.25" customHeight="1" x14ac:dyDescent="0.3">
      <c r="G1107" s="459"/>
      <c r="H1107" s="459">
        <v>1100</v>
      </c>
      <c r="I1107" s="444">
        <f t="shared" ca="1" si="105"/>
        <v>-52661315.013495594</v>
      </c>
      <c r="J1107" s="444">
        <f t="array" ref="J1107">IFERROR(INDEX('Retirement Calculator'!K:K,MATCH('Lorri 401b'!N1107,'Retirement Calculator'!A:A,0),0),0)</f>
        <v>21655.303514578787</v>
      </c>
      <c r="K1107" s="444">
        <f t="shared" ca="1" si="103"/>
        <v>-219512.37632087572</v>
      </c>
      <c r="L1107" s="444">
        <f t="shared" ca="1" si="104"/>
        <v>-52902482.693331048</v>
      </c>
      <c r="M1107" s="460">
        <f t="shared" si="106"/>
        <v>0.05</v>
      </c>
      <c r="N1107" s="464">
        <f t="shared" si="107"/>
        <v>84738</v>
      </c>
    </row>
    <row r="1108" spans="7:14" ht="11.25" customHeight="1" x14ac:dyDescent="0.3">
      <c r="G1108" s="459"/>
      <c r="H1108" s="459">
        <v>1101</v>
      </c>
      <c r="I1108" s="444">
        <f t="shared" ca="1" si="105"/>
        <v>-52902482.693331048</v>
      </c>
      <c r="J1108" s="444">
        <f t="array" ref="J1108">IFERROR(INDEX('Retirement Calculator'!K:K,MATCH('Lorri 401b'!N1108,'Retirement Calculator'!A:A,0),0),0)</f>
        <v>21655.303514578787</v>
      </c>
      <c r="K1108" s="444">
        <f t="shared" ca="1" si="103"/>
        <v>-220517.24165352344</v>
      </c>
      <c r="L1108" s="444">
        <f t="shared" ca="1" si="104"/>
        <v>-53144655.23849915</v>
      </c>
      <c r="M1108" s="460">
        <f t="shared" si="106"/>
        <v>0.05</v>
      </c>
      <c r="N1108" s="464">
        <f t="shared" si="107"/>
        <v>84769</v>
      </c>
    </row>
    <row r="1109" spans="7:14" ht="11.25" customHeight="1" x14ac:dyDescent="0.3">
      <c r="G1109" s="459"/>
      <c r="H1109" s="459">
        <v>1102</v>
      </c>
      <c r="I1109" s="444">
        <f t="shared" ca="1" si="105"/>
        <v>-53144655.23849915</v>
      </c>
      <c r="J1109" s="444">
        <f t="array" ref="J1109">IFERROR(INDEX('Retirement Calculator'!K:K,MATCH('Lorri 401b'!N1109,'Retirement Calculator'!A:A,0),0),0)</f>
        <v>21655.303514578787</v>
      </c>
      <c r="K1109" s="444">
        <f t="shared" ca="1" si="103"/>
        <v>-221526.29392505717</v>
      </c>
      <c r="L1109" s="444">
        <f t="shared" ca="1" si="104"/>
        <v>-53387836.835938781</v>
      </c>
      <c r="M1109" s="460">
        <f t="shared" si="106"/>
        <v>0.05</v>
      </c>
      <c r="N1109" s="464">
        <f t="shared" si="107"/>
        <v>84798</v>
      </c>
    </row>
    <row r="1110" spans="7:14" ht="11.25" customHeight="1" x14ac:dyDescent="0.3">
      <c r="G1110" s="459"/>
      <c r="H1110" s="459">
        <v>1103</v>
      </c>
      <c r="I1110" s="444">
        <f t="shared" ca="1" si="105"/>
        <v>-53387836.835938781</v>
      </c>
      <c r="J1110" s="444">
        <f t="array" ref="J1110">IFERROR(INDEX('Retirement Calculator'!K:K,MATCH('Lorri 401b'!N1110,'Retirement Calculator'!A:A,0),0),0)</f>
        <v>21655.303514578787</v>
      </c>
      <c r="K1110" s="444">
        <f t="shared" ca="1" si="103"/>
        <v>-222539.55058105564</v>
      </c>
      <c r="L1110" s="444">
        <f t="shared" ca="1" si="104"/>
        <v>-53632031.690034412</v>
      </c>
      <c r="M1110" s="460">
        <f t="shared" si="106"/>
        <v>0.05</v>
      </c>
      <c r="N1110" s="464">
        <f t="shared" si="107"/>
        <v>84829</v>
      </c>
    </row>
    <row r="1111" spans="7:14" ht="11.25" customHeight="1" x14ac:dyDescent="0.3">
      <c r="G1111" s="459"/>
      <c r="H1111" s="459">
        <v>1104</v>
      </c>
      <c r="I1111" s="444">
        <f t="shared" ca="1" si="105"/>
        <v>-53632031.690034412</v>
      </c>
      <c r="J1111" s="444">
        <f t="array" ref="J1111">IFERROR(INDEX('Retirement Calculator'!K:K,MATCH('Lorri 401b'!N1111,'Retirement Calculator'!A:A,0),0),0)</f>
        <v>21655.303514578787</v>
      </c>
      <c r="K1111" s="444">
        <f t="shared" ca="1" si="103"/>
        <v>-223557.02913978742</v>
      </c>
      <c r="L1111" s="444">
        <f t="shared" ca="1" si="104"/>
        <v>-53877244.022688776</v>
      </c>
      <c r="M1111" s="460">
        <f t="shared" si="106"/>
        <v>0.05</v>
      </c>
      <c r="N1111" s="464">
        <f t="shared" si="107"/>
        <v>84859</v>
      </c>
    </row>
    <row r="1112" spans="7:14" ht="11.25" customHeight="1" x14ac:dyDescent="0.3">
      <c r="G1112" s="459"/>
      <c r="H1112" s="459">
        <v>1105</v>
      </c>
      <c r="I1112" s="444">
        <f t="shared" ca="1" si="105"/>
        <v>-53877244.022688776</v>
      </c>
      <c r="J1112" s="444">
        <f t="array" ref="J1112">IFERROR(INDEX('Retirement Calculator'!K:K,MATCH('Lorri 401b'!N1112,'Retirement Calculator'!A:A,0),0),0)</f>
        <v>21655.303514578787</v>
      </c>
      <c r="K1112" s="444">
        <f t="shared" ca="1" si="103"/>
        <v>-224578.74719251398</v>
      </c>
      <c r="L1112" s="444">
        <f t="shared" ca="1" si="104"/>
        <v>-54123478.073395871</v>
      </c>
      <c r="M1112" s="460">
        <f t="shared" si="106"/>
        <v>0.05</v>
      </c>
      <c r="N1112" s="464">
        <f t="shared" si="107"/>
        <v>84890</v>
      </c>
    </row>
    <row r="1113" spans="7:14" ht="11.25" customHeight="1" x14ac:dyDescent="0.3">
      <c r="G1113" s="459"/>
      <c r="H1113" s="459">
        <v>1106</v>
      </c>
      <c r="I1113" s="444">
        <f t="shared" ca="1" si="105"/>
        <v>-54123478.073395871</v>
      </c>
      <c r="J1113" s="444">
        <f t="array" ref="J1113">IFERROR(INDEX('Retirement Calculator'!K:K,MATCH('Lorri 401b'!N1113,'Retirement Calculator'!A:A,0),0),0)</f>
        <v>21655.303514578787</v>
      </c>
      <c r="K1113" s="444">
        <f t="shared" ca="1" si="103"/>
        <v>-225604.72240379354</v>
      </c>
      <c r="L1113" s="444">
        <f t="shared" ca="1" si="104"/>
        <v>-54370738.099314243</v>
      </c>
      <c r="M1113" s="460">
        <f t="shared" si="106"/>
        <v>0.05</v>
      </c>
      <c r="N1113" s="464">
        <f t="shared" si="107"/>
        <v>84920</v>
      </c>
    </row>
    <row r="1114" spans="7:14" ht="11.25" customHeight="1" x14ac:dyDescent="0.3">
      <c r="G1114" s="459"/>
      <c r="H1114" s="459">
        <v>1107</v>
      </c>
      <c r="I1114" s="444">
        <f t="shared" ca="1" si="105"/>
        <v>-54370738.099314243</v>
      </c>
      <c r="J1114" s="444">
        <f t="array" ref="J1114">IFERROR(INDEX('Retirement Calculator'!K:K,MATCH('Lorri 401b'!N1114,'Retirement Calculator'!A:A,0),0),0)</f>
        <v>21655.303514578787</v>
      </c>
      <c r="K1114" s="444">
        <f t="shared" ca="1" si="103"/>
        <v>-226634.97251178673</v>
      </c>
      <c r="L1114" s="444">
        <f t="shared" ca="1" si="104"/>
        <v>-54619028.375340603</v>
      </c>
      <c r="M1114" s="460">
        <f t="shared" si="106"/>
        <v>0.05</v>
      </c>
      <c r="N1114" s="464">
        <f t="shared" si="107"/>
        <v>84951</v>
      </c>
    </row>
    <row r="1115" spans="7:14" ht="11.25" customHeight="1" x14ac:dyDescent="0.3">
      <c r="G1115" s="459"/>
      <c r="H1115" s="459">
        <v>1108</v>
      </c>
      <c r="I1115" s="444">
        <f t="shared" ca="1" si="105"/>
        <v>-54619028.375340603</v>
      </c>
      <c r="J1115" s="444">
        <f t="array" ref="J1115">IFERROR(INDEX('Retirement Calculator'!K:K,MATCH('Lorri 401b'!N1115,'Retirement Calculator'!A:A,0),0),0)</f>
        <v>21655.303514578787</v>
      </c>
      <c r="K1115" s="444">
        <f t="shared" ca="1" si="103"/>
        <v>-227669.51532856326</v>
      </c>
      <c r="L1115" s="444">
        <f t="shared" ca="1" si="104"/>
        <v>-54868353.194183744</v>
      </c>
      <c r="M1115" s="460">
        <f t="shared" si="106"/>
        <v>0.05</v>
      </c>
      <c r="N1115" s="464">
        <f t="shared" si="107"/>
        <v>84982</v>
      </c>
    </row>
    <row r="1116" spans="7:14" ht="11.25" customHeight="1" x14ac:dyDescent="0.3">
      <c r="G1116" s="459"/>
      <c r="H1116" s="459">
        <v>1109</v>
      </c>
      <c r="I1116" s="444">
        <f t="shared" ca="1" si="105"/>
        <v>-54868353.194183744</v>
      </c>
      <c r="J1116" s="444">
        <f t="array" ref="J1116">IFERROR(INDEX('Retirement Calculator'!K:K,MATCH('Lorri 401b'!N1116,'Retirement Calculator'!A:A,0),0),0)</f>
        <v>21655.303514578787</v>
      </c>
      <c r="K1116" s="444">
        <f t="shared" ca="1" si="103"/>
        <v>-228708.36874040967</v>
      </c>
      <c r="L1116" s="444">
        <f t="shared" ca="1" si="104"/>
        <v>-55118716.866438732</v>
      </c>
      <c r="M1116" s="460">
        <f t="shared" si="106"/>
        <v>0.05</v>
      </c>
      <c r="N1116" s="464">
        <f t="shared" si="107"/>
        <v>85012</v>
      </c>
    </row>
    <row r="1117" spans="7:14" ht="11.25" customHeight="1" x14ac:dyDescent="0.3">
      <c r="G1117" s="459"/>
      <c r="H1117" s="459">
        <v>1110</v>
      </c>
      <c r="I1117" s="444">
        <f t="shared" ca="1" si="105"/>
        <v>-55118716.866438732</v>
      </c>
      <c r="J1117" s="444">
        <f t="array" ref="J1117">IFERROR(INDEX('Retirement Calculator'!K:K,MATCH('Lorri 401b'!N1117,'Retirement Calculator'!A:A,0),0),0)</f>
        <v>21655.303514578787</v>
      </c>
      <c r="K1117" s="444">
        <f t="shared" ca="1" si="103"/>
        <v>-229751.55070813876</v>
      </c>
      <c r="L1117" s="444">
        <f t="shared" ca="1" si="104"/>
        <v>-55370123.720661446</v>
      </c>
      <c r="M1117" s="460">
        <f t="shared" si="106"/>
        <v>0.05</v>
      </c>
      <c r="N1117" s="464">
        <f t="shared" si="107"/>
        <v>85043</v>
      </c>
    </row>
    <row r="1118" spans="7:14" ht="11.25" customHeight="1" x14ac:dyDescent="0.3">
      <c r="G1118" s="459"/>
      <c r="H1118" s="459">
        <v>1111</v>
      </c>
      <c r="I1118" s="444">
        <f t="shared" ca="1" si="105"/>
        <v>-55370123.720661446</v>
      </c>
      <c r="J1118" s="444">
        <f t="array" ref="J1118">IFERROR(INDEX('Retirement Calculator'!K:K,MATCH('Lorri 401b'!N1118,'Retirement Calculator'!A:A,0),0),0)</f>
        <v>21655.303514578787</v>
      </c>
      <c r="K1118" s="444">
        <f t="shared" ca="1" si="103"/>
        <v>-230799.07926740008</v>
      </c>
      <c r="L1118" s="444">
        <f t="shared" ca="1" si="104"/>
        <v>-55622578.103443421</v>
      </c>
      <c r="M1118" s="460">
        <f t="shared" si="106"/>
        <v>0.05</v>
      </c>
      <c r="N1118" s="464">
        <f t="shared" si="107"/>
        <v>85073</v>
      </c>
    </row>
    <row r="1119" spans="7:14" ht="11.25" customHeight="1" x14ac:dyDescent="0.3">
      <c r="G1119" s="459"/>
      <c r="H1119" s="459">
        <v>1112</v>
      </c>
      <c r="I1119" s="444">
        <f t="shared" ca="1" si="105"/>
        <v>-55622578.103443421</v>
      </c>
      <c r="J1119" s="444">
        <f t="array" ref="J1119">IFERROR(INDEX('Retirement Calculator'!K:K,MATCH('Lorri 401b'!N1119,'Retirement Calculator'!A:A,0),0),0)</f>
        <v>21655.303514578787</v>
      </c>
      <c r="K1119" s="444">
        <f t="shared" ca="1" si="103"/>
        <v>-231850.97252899167</v>
      </c>
      <c r="L1119" s="444">
        <f t="shared" ca="1" si="104"/>
        <v>-55876084.379486993</v>
      </c>
      <c r="M1119" s="460">
        <f t="shared" si="106"/>
        <v>0.05</v>
      </c>
      <c r="N1119" s="464">
        <f t="shared" si="107"/>
        <v>85104</v>
      </c>
    </row>
    <row r="1120" spans="7:14" ht="11.25" customHeight="1" x14ac:dyDescent="0.3">
      <c r="G1120" s="459"/>
      <c r="H1120" s="459">
        <v>1113</v>
      </c>
      <c r="I1120" s="444">
        <f t="shared" ca="1" si="105"/>
        <v>-55876084.379486993</v>
      </c>
      <c r="J1120" s="444">
        <f t="array" ref="J1120">IFERROR(INDEX('Retirement Calculator'!K:K,MATCH('Lorri 401b'!N1120,'Retirement Calculator'!A:A,0),0),0)</f>
        <v>21655.303514578787</v>
      </c>
      <c r="K1120" s="444">
        <f t="shared" ca="1" si="103"/>
        <v>-232907.24867917321</v>
      </c>
      <c r="L1120" s="444">
        <f t="shared" ca="1" si="104"/>
        <v>-56130646.931680746</v>
      </c>
      <c r="M1120" s="460">
        <f t="shared" si="106"/>
        <v>0.05</v>
      </c>
      <c r="N1120" s="464">
        <f t="shared" si="107"/>
        <v>85135</v>
      </c>
    </row>
    <row r="1121" spans="7:14" ht="11.25" customHeight="1" x14ac:dyDescent="0.3">
      <c r="G1121" s="459"/>
      <c r="H1121" s="459">
        <v>1114</v>
      </c>
      <c r="I1121" s="444">
        <f t="shared" ca="1" si="105"/>
        <v>-56130646.931680746</v>
      </c>
      <c r="J1121" s="444">
        <f t="array" ref="J1121">IFERROR(INDEX('Retirement Calculator'!K:K,MATCH('Lorri 401b'!N1121,'Retirement Calculator'!A:A,0),0),0)</f>
        <v>21655.303514578787</v>
      </c>
      <c r="K1121" s="444">
        <f t="shared" ca="1" si="103"/>
        <v>-233967.92597998047</v>
      </c>
      <c r="L1121" s="444">
        <f t="shared" ca="1" si="104"/>
        <v>-56386270.161175303</v>
      </c>
      <c r="M1121" s="460">
        <f t="shared" si="106"/>
        <v>0.05</v>
      </c>
      <c r="N1121" s="464">
        <f t="shared" si="107"/>
        <v>85163</v>
      </c>
    </row>
    <row r="1122" spans="7:14" ht="11.25" customHeight="1" x14ac:dyDescent="0.3">
      <c r="G1122" s="459"/>
      <c r="H1122" s="459">
        <v>1115</v>
      </c>
      <c r="I1122" s="444">
        <f t="shared" ca="1" si="105"/>
        <v>-56386270.161175303</v>
      </c>
      <c r="J1122" s="444">
        <f t="array" ref="J1122">IFERROR(INDEX('Retirement Calculator'!K:K,MATCH('Lorri 401b'!N1122,'Retirement Calculator'!A:A,0),0),0)</f>
        <v>21655.303514578787</v>
      </c>
      <c r="K1122" s="444">
        <f t="shared" ca="1" si="103"/>
        <v>-235033.02276954113</v>
      </c>
      <c r="L1122" s="444">
        <f t="shared" ca="1" si="104"/>
        <v>-56642958.487459421</v>
      </c>
      <c r="M1122" s="460">
        <f t="shared" si="106"/>
        <v>0.05</v>
      </c>
      <c r="N1122" s="464">
        <f t="shared" si="107"/>
        <v>85194</v>
      </c>
    </row>
    <row r="1123" spans="7:14" ht="11.25" customHeight="1" x14ac:dyDescent="0.3">
      <c r="G1123" s="459"/>
      <c r="H1123" s="459">
        <v>1116</v>
      </c>
      <c r="I1123" s="444">
        <f t="shared" ca="1" si="105"/>
        <v>-56642958.487459421</v>
      </c>
      <c r="J1123" s="444">
        <f t="array" ref="J1123">IFERROR(INDEX('Retirement Calculator'!K:K,MATCH('Lorri 401b'!N1123,'Retirement Calculator'!A:A,0),0),0)</f>
        <v>21655.303514578787</v>
      </c>
      <c r="K1123" s="444">
        <f t="shared" ca="1" si="103"/>
        <v>-236102.55746239165</v>
      </c>
      <c r="L1123" s="444">
        <f t="shared" ca="1" si="104"/>
        <v>-56900716.348436393</v>
      </c>
      <c r="M1123" s="460">
        <f t="shared" si="106"/>
        <v>0.05</v>
      </c>
      <c r="N1123" s="464">
        <f t="shared" si="107"/>
        <v>85224</v>
      </c>
    </row>
    <row r="1124" spans="7:14" ht="11.25" customHeight="1" x14ac:dyDescent="0.3">
      <c r="G1124" s="459"/>
      <c r="H1124" s="459">
        <v>1117</v>
      </c>
      <c r="I1124" s="444">
        <f t="shared" ca="1" si="105"/>
        <v>-56900716.348436393</v>
      </c>
      <c r="J1124" s="444">
        <f t="array" ref="J1124">IFERROR(INDEX('Retirement Calculator'!K:K,MATCH('Lorri 401b'!N1124,'Retirement Calculator'!A:A,0),0),0)</f>
        <v>21655.303514578787</v>
      </c>
      <c r="K1124" s="444">
        <f t="shared" ca="1" si="103"/>
        <v>-237176.54854979573</v>
      </c>
      <c r="L1124" s="444">
        <f t="shared" ca="1" si="104"/>
        <v>-57159548.200500764</v>
      </c>
      <c r="M1124" s="460">
        <f t="shared" si="106"/>
        <v>0.05</v>
      </c>
      <c r="N1124" s="464">
        <f t="shared" si="107"/>
        <v>85255</v>
      </c>
    </row>
    <row r="1125" spans="7:14" ht="11.25" customHeight="1" x14ac:dyDescent="0.3">
      <c r="G1125" s="459"/>
      <c r="H1125" s="459">
        <v>1118</v>
      </c>
      <c r="I1125" s="444">
        <f t="shared" ca="1" si="105"/>
        <v>-57159548.200500764</v>
      </c>
      <c r="J1125" s="444">
        <f t="array" ref="J1125">IFERROR(INDEX('Retirement Calculator'!K:K,MATCH('Lorri 401b'!N1125,'Retirement Calculator'!A:A,0),0),0)</f>
        <v>21655.303514578787</v>
      </c>
      <c r="K1125" s="444">
        <f t="shared" ca="1" si="103"/>
        <v>-238255.01460006391</v>
      </c>
      <c r="L1125" s="444">
        <f t="shared" ca="1" si="104"/>
        <v>-57419458.518615402</v>
      </c>
      <c r="M1125" s="460">
        <f t="shared" si="106"/>
        <v>0.05</v>
      </c>
      <c r="N1125" s="464">
        <f t="shared" si="107"/>
        <v>85285</v>
      </c>
    </row>
    <row r="1126" spans="7:14" ht="11.25" customHeight="1" x14ac:dyDescent="0.3">
      <c r="G1126" s="459"/>
      <c r="H1126" s="459">
        <v>1119</v>
      </c>
      <c r="I1126" s="444">
        <f t="shared" ca="1" si="105"/>
        <v>-57419458.518615402</v>
      </c>
      <c r="J1126" s="444">
        <f t="array" ref="J1126">IFERROR(INDEX('Retirement Calculator'!K:K,MATCH('Lorri 401b'!N1126,'Retirement Calculator'!A:A,0),0),0)</f>
        <v>21655.303514578787</v>
      </c>
      <c r="K1126" s="444">
        <f t="shared" ca="1" si="103"/>
        <v>-239337.97425887492</v>
      </c>
      <c r="L1126" s="444">
        <f t="shared" ca="1" si="104"/>
        <v>-57680451.796388857</v>
      </c>
      <c r="M1126" s="460">
        <f t="shared" si="106"/>
        <v>0.05</v>
      </c>
      <c r="N1126" s="464">
        <f t="shared" si="107"/>
        <v>85316</v>
      </c>
    </row>
    <row r="1127" spans="7:14" ht="11.25" customHeight="1" x14ac:dyDescent="0.3">
      <c r="G1127" s="459"/>
      <c r="H1127" s="459">
        <v>1120</v>
      </c>
      <c r="I1127" s="444">
        <f t="shared" ca="1" si="105"/>
        <v>-57680451.796388857</v>
      </c>
      <c r="J1127" s="444">
        <f t="array" ref="J1127">IFERROR(INDEX('Retirement Calculator'!K:K,MATCH('Lorri 401b'!N1127,'Retirement Calculator'!A:A,0),0),0)</f>
        <v>21655.303514578787</v>
      </c>
      <c r="K1127" s="444">
        <f t="shared" ca="1" si="103"/>
        <v>-240425.44624959765</v>
      </c>
      <c r="L1127" s="444">
        <f t="shared" ca="1" si="104"/>
        <v>-57942532.546153031</v>
      </c>
      <c r="M1127" s="460">
        <f t="shared" si="106"/>
        <v>0.05</v>
      </c>
      <c r="N1127" s="464">
        <f t="shared" si="107"/>
        <v>85347</v>
      </c>
    </row>
    <row r="1128" spans="7:14" ht="11.25" customHeight="1" x14ac:dyDescent="0.3">
      <c r="G1128" s="459"/>
      <c r="H1128" s="459">
        <v>1121</v>
      </c>
      <c r="I1128" s="444">
        <f t="shared" ca="1" si="105"/>
        <v>-57942532.546153031</v>
      </c>
      <c r="J1128" s="444">
        <f t="array" ref="J1128">IFERROR(INDEX('Retirement Calculator'!K:K,MATCH('Lorri 401b'!N1128,'Retirement Calculator'!A:A,0),0),0)</f>
        <v>21655.303514578787</v>
      </c>
      <c r="K1128" s="444">
        <f t="shared" ca="1" si="103"/>
        <v>-241517.44937361506</v>
      </c>
      <c r="L1128" s="444">
        <f t="shared" ca="1" si="104"/>
        <v>-58205705.299041227</v>
      </c>
      <c r="M1128" s="460">
        <f t="shared" si="106"/>
        <v>0.05</v>
      </c>
      <c r="N1128" s="464">
        <f t="shared" si="107"/>
        <v>85377</v>
      </c>
    </row>
    <row r="1129" spans="7:14" ht="11.25" customHeight="1" x14ac:dyDescent="0.3">
      <c r="G1129" s="459"/>
      <c r="H1129" s="459">
        <v>1122</v>
      </c>
      <c r="I1129" s="444">
        <f t="shared" ca="1" si="105"/>
        <v>-58205705.299041227</v>
      </c>
      <c r="J1129" s="444">
        <f t="array" ref="J1129">IFERROR(INDEX('Retirement Calculator'!K:K,MATCH('Lorri 401b'!N1129,'Retirement Calculator'!A:A,0),0),0)</f>
        <v>21655.303514578787</v>
      </c>
      <c r="K1129" s="444">
        <f t="shared" ca="1" si="103"/>
        <v>-242614.00251064915</v>
      </c>
      <c r="L1129" s="444">
        <f t="shared" ca="1" si="104"/>
        <v>-58469974.605066456</v>
      </c>
      <c r="M1129" s="460">
        <f t="shared" si="106"/>
        <v>0.05</v>
      </c>
      <c r="N1129" s="464">
        <f t="shared" si="107"/>
        <v>85408</v>
      </c>
    </row>
    <row r="1130" spans="7:14" ht="11.25" customHeight="1" x14ac:dyDescent="0.3">
      <c r="G1130" s="459"/>
      <c r="H1130" s="459">
        <v>1123</v>
      </c>
      <c r="I1130" s="444">
        <f t="shared" ca="1" si="105"/>
        <v>-58469974.605066456</v>
      </c>
      <c r="J1130" s="444">
        <f t="array" ref="J1130">IFERROR(INDEX('Retirement Calculator'!K:K,MATCH('Lorri 401b'!N1130,'Retirement Calculator'!A:A,0),0),0)</f>
        <v>21655.303514578787</v>
      </c>
      <c r="K1130" s="444">
        <f t="shared" ca="1" si="103"/>
        <v>-243715.12461908764</v>
      </c>
      <c r="L1130" s="444">
        <f t="shared" ca="1" si="104"/>
        <v>-58735345.033200122</v>
      </c>
      <c r="M1130" s="460">
        <f t="shared" si="106"/>
        <v>0.05</v>
      </c>
      <c r="N1130" s="464">
        <f t="shared" si="107"/>
        <v>85438</v>
      </c>
    </row>
    <row r="1131" spans="7:14" ht="11.25" customHeight="1" x14ac:dyDescent="0.3">
      <c r="G1131" s="459"/>
      <c r="H1131" s="459">
        <v>1124</v>
      </c>
      <c r="I1131" s="444">
        <f t="shared" ca="1" si="105"/>
        <v>-58735345.033200122</v>
      </c>
      <c r="J1131" s="444">
        <f t="array" ref="J1131">IFERROR(INDEX('Retirement Calculator'!K:K,MATCH('Lorri 401b'!N1131,'Retirement Calculator'!A:A,0),0),0)</f>
        <v>21655.303514578787</v>
      </c>
      <c r="K1131" s="444">
        <f t="shared" ca="1" si="103"/>
        <v>-244820.83473631126</v>
      </c>
      <c r="L1131" s="444">
        <f t="shared" ca="1" si="104"/>
        <v>-59001821.17145101</v>
      </c>
      <c r="M1131" s="460">
        <f t="shared" si="106"/>
        <v>0.05</v>
      </c>
      <c r="N1131" s="464">
        <f t="shared" si="107"/>
        <v>85469</v>
      </c>
    </row>
    <row r="1132" spans="7:14" ht="11.25" customHeight="1" x14ac:dyDescent="0.3">
      <c r="G1132" s="459"/>
      <c r="H1132" s="459">
        <v>1125</v>
      </c>
      <c r="I1132" s="444">
        <f t="shared" ca="1" si="105"/>
        <v>-59001821.17145101</v>
      </c>
      <c r="J1132" s="444">
        <f t="array" ref="J1132">IFERROR(INDEX('Retirement Calculator'!K:K,MATCH('Lorri 401b'!N1132,'Retirement Calculator'!A:A,0),0),0)</f>
        <v>21655.303514578787</v>
      </c>
      <c r="K1132" s="444">
        <f t="shared" ca="1" si="103"/>
        <v>-245931.15197902324</v>
      </c>
      <c r="L1132" s="444">
        <f t="shared" ca="1" si="104"/>
        <v>-59269407.626944609</v>
      </c>
      <c r="M1132" s="460">
        <f t="shared" si="106"/>
        <v>0.05</v>
      </c>
      <c r="N1132" s="464">
        <f t="shared" si="107"/>
        <v>85500</v>
      </c>
    </row>
    <row r="1133" spans="7:14" ht="11.25" customHeight="1" x14ac:dyDescent="0.3">
      <c r="G1133" s="459"/>
      <c r="H1133" s="459">
        <v>1126</v>
      </c>
      <c r="I1133" s="444">
        <f t="shared" ca="1" si="105"/>
        <v>-59269407.626944609</v>
      </c>
      <c r="J1133" s="444">
        <f t="array" ref="J1133">IFERROR(INDEX('Retirement Calculator'!K:K,MATCH('Lorri 401b'!N1133,'Retirement Calculator'!A:A,0),0),0)</f>
        <v>21655.303514578787</v>
      </c>
      <c r="K1133" s="444">
        <f t="shared" ca="1" si="103"/>
        <v>-247046.09554357993</v>
      </c>
      <c r="L1133" s="444">
        <f t="shared" ca="1" si="104"/>
        <v>-59538109.026002765</v>
      </c>
      <c r="M1133" s="460">
        <f t="shared" si="106"/>
        <v>0.05</v>
      </c>
      <c r="N1133" s="464">
        <f t="shared" si="107"/>
        <v>85528</v>
      </c>
    </row>
    <row r="1134" spans="7:14" ht="11.25" customHeight="1" x14ac:dyDescent="0.3">
      <c r="G1134" s="459"/>
      <c r="H1134" s="459">
        <v>1127</v>
      </c>
      <c r="I1134" s="444">
        <f t="shared" ca="1" si="105"/>
        <v>-59538109.026002765</v>
      </c>
      <c r="J1134" s="444">
        <f t="array" ref="J1134">IFERROR(INDEX('Retirement Calculator'!K:K,MATCH('Lorri 401b'!N1134,'Retirement Calculator'!A:A,0),0),0)</f>
        <v>21655.303514578787</v>
      </c>
      <c r="K1134" s="444">
        <f t="shared" ca="1" si="103"/>
        <v>-248165.68470632227</v>
      </c>
      <c r="L1134" s="444">
        <f t="shared" ca="1" si="104"/>
        <v>-59807930.014223665</v>
      </c>
      <c r="M1134" s="460">
        <f t="shared" si="106"/>
        <v>0.05</v>
      </c>
      <c r="N1134" s="464">
        <f t="shared" si="107"/>
        <v>85559</v>
      </c>
    </row>
    <row r="1135" spans="7:14" ht="11.25" customHeight="1" x14ac:dyDescent="0.3">
      <c r="G1135" s="459"/>
      <c r="H1135" s="459">
        <v>1128</v>
      </c>
      <c r="I1135" s="444">
        <f t="shared" ca="1" si="105"/>
        <v>-59807930.014223665</v>
      </c>
      <c r="J1135" s="444">
        <f t="array" ref="J1135">IFERROR(INDEX('Retirement Calculator'!K:K,MATCH('Lorri 401b'!N1135,'Retirement Calculator'!A:A,0),0),0)</f>
        <v>21655.303514578787</v>
      </c>
      <c r="K1135" s="444">
        <f t="shared" ca="1" si="103"/>
        <v>-249289.93882390935</v>
      </c>
      <c r="L1135" s="444">
        <f t="shared" ca="1" si="104"/>
        <v>-60078875.256562151</v>
      </c>
      <c r="M1135" s="460">
        <f t="shared" si="106"/>
        <v>0.05</v>
      </c>
      <c r="N1135" s="464">
        <f t="shared" si="107"/>
        <v>85589</v>
      </c>
    </row>
    <row r="1136" spans="7:14" ht="11.25" customHeight="1" x14ac:dyDescent="0.3">
      <c r="G1136" s="459"/>
      <c r="H1136" s="459">
        <v>1129</v>
      </c>
      <c r="I1136" s="444">
        <f t="shared" ca="1" si="105"/>
        <v>-60078875.256562151</v>
      </c>
      <c r="J1136" s="444">
        <f t="array" ref="J1136">IFERROR(INDEX('Retirement Calculator'!K:K,MATCH('Lorri 401b'!N1136,'Retirement Calculator'!A:A,0),0),0)</f>
        <v>21655.303514578787</v>
      </c>
      <c r="K1136" s="444">
        <f t="shared" ca="1" si="103"/>
        <v>-250418.87733365304</v>
      </c>
      <c r="L1136" s="444">
        <f t="shared" ca="1" si="104"/>
        <v>-60350949.437410384</v>
      </c>
      <c r="M1136" s="460">
        <f t="shared" si="106"/>
        <v>0.05</v>
      </c>
      <c r="N1136" s="464">
        <f t="shared" si="107"/>
        <v>85620</v>
      </c>
    </row>
    <row r="1137" spans="7:14" ht="11.25" customHeight="1" x14ac:dyDescent="0.3">
      <c r="G1137" s="459"/>
      <c r="H1137" s="459">
        <v>1130</v>
      </c>
      <c r="I1137" s="444">
        <f t="shared" ca="1" si="105"/>
        <v>-60350949.437410384</v>
      </c>
      <c r="J1137" s="444">
        <f t="array" ref="J1137">IFERROR(INDEX('Retirement Calculator'!K:K,MATCH('Lorri 401b'!N1137,'Retirement Calculator'!A:A,0),0),0)</f>
        <v>21655.303514578787</v>
      </c>
      <c r="K1137" s="444">
        <f t="shared" ca="1" si="103"/>
        <v>-251552.51975385402</v>
      </c>
      <c r="L1137" s="444">
        <f t="shared" ca="1" si="104"/>
        <v>-60624157.260678813</v>
      </c>
      <c r="M1137" s="460">
        <f t="shared" si="106"/>
        <v>0.05</v>
      </c>
      <c r="N1137" s="464">
        <f t="shared" si="107"/>
        <v>85650</v>
      </c>
    </row>
    <row r="1138" spans="7:14" ht="11.25" customHeight="1" x14ac:dyDescent="0.3">
      <c r="G1138" s="459"/>
      <c r="H1138" s="459">
        <v>1131</v>
      </c>
      <c r="I1138" s="444">
        <f t="shared" ca="1" si="105"/>
        <v>-60624157.260678813</v>
      </c>
      <c r="J1138" s="444">
        <f t="array" ref="J1138">IFERROR(INDEX('Retirement Calculator'!K:K,MATCH('Lorri 401b'!N1138,'Retirement Calculator'!A:A,0),0),0)</f>
        <v>21655.303514578787</v>
      </c>
      <c r="K1138" s="444">
        <f t="shared" ca="1" si="103"/>
        <v>-252690.8856841391</v>
      </c>
      <c r="L1138" s="444">
        <f t="shared" ca="1" si="104"/>
        <v>-60898503.44987753</v>
      </c>
      <c r="M1138" s="460">
        <f t="shared" si="106"/>
        <v>0.05</v>
      </c>
      <c r="N1138" s="464">
        <f t="shared" si="107"/>
        <v>85681</v>
      </c>
    </row>
    <row r="1139" spans="7:14" ht="11.25" customHeight="1" x14ac:dyDescent="0.3">
      <c r="G1139" s="459"/>
      <c r="H1139" s="459">
        <v>1132</v>
      </c>
      <c r="I1139" s="444">
        <f t="shared" ca="1" si="105"/>
        <v>-60898503.44987753</v>
      </c>
      <c r="J1139" s="444">
        <f t="array" ref="J1139">IFERROR(INDEX('Retirement Calculator'!K:K,MATCH('Lorri 401b'!N1139,'Retirement Calculator'!A:A,0),0),0)</f>
        <v>21655.303514578787</v>
      </c>
      <c r="K1139" s="444">
        <f t="shared" ca="1" si="103"/>
        <v>-253833.99480580044</v>
      </c>
      <c r="L1139" s="444">
        <f t="shared" ca="1" si="104"/>
        <v>-61173992.748197906</v>
      </c>
      <c r="M1139" s="460">
        <f t="shared" si="106"/>
        <v>0.05</v>
      </c>
      <c r="N1139" s="464">
        <f t="shared" si="107"/>
        <v>85712</v>
      </c>
    </row>
    <row r="1140" spans="7:14" ht="11.25" customHeight="1" x14ac:dyDescent="0.3">
      <c r="G1140" s="459"/>
      <c r="H1140" s="459">
        <v>1133</v>
      </c>
      <c r="I1140" s="444">
        <f t="shared" ca="1" si="105"/>
        <v>-61173992.748197906</v>
      </c>
      <c r="J1140" s="444">
        <f t="array" ref="J1140">IFERROR(INDEX('Retirement Calculator'!K:K,MATCH('Lorri 401b'!N1140,'Retirement Calculator'!A:A,0),0),0)</f>
        <v>21655.303514578787</v>
      </c>
      <c r="K1140" s="444">
        <f t="shared" ca="1" si="103"/>
        <v>-254981.86688213533</v>
      </c>
      <c r="L1140" s="444">
        <f t="shared" ca="1" si="104"/>
        <v>-61450629.918594621</v>
      </c>
      <c r="M1140" s="460">
        <f t="shared" si="106"/>
        <v>0.05</v>
      </c>
      <c r="N1140" s="464">
        <f t="shared" si="107"/>
        <v>85742</v>
      </c>
    </row>
    <row r="1141" spans="7:14" ht="11.25" customHeight="1" x14ac:dyDescent="0.3">
      <c r="G1141" s="459"/>
      <c r="H1141" s="459">
        <v>1134</v>
      </c>
      <c r="I1141" s="444">
        <f t="shared" ca="1" si="105"/>
        <v>-61450629.918594621</v>
      </c>
      <c r="J1141" s="444">
        <f t="array" ref="J1141">IFERROR(INDEX('Retirement Calculator'!K:K,MATCH('Lorri 401b'!N1141,'Retirement Calculator'!A:A,0),0),0)</f>
        <v>21655.303514578787</v>
      </c>
      <c r="K1141" s="444">
        <f t="shared" ca="1" si="103"/>
        <v>-256134.52175878829</v>
      </c>
      <c r="L1141" s="444">
        <f t="shared" ca="1" si="104"/>
        <v>-61728419.743867986</v>
      </c>
      <c r="M1141" s="460">
        <f t="shared" si="106"/>
        <v>0.05</v>
      </c>
      <c r="N1141" s="464">
        <f t="shared" si="107"/>
        <v>85773</v>
      </c>
    </row>
    <row r="1142" spans="7:14" ht="11.25" customHeight="1" x14ac:dyDescent="0.3">
      <c r="G1142" s="459"/>
      <c r="H1142" s="459">
        <v>1135</v>
      </c>
      <c r="I1142" s="444">
        <f t="shared" ca="1" si="105"/>
        <v>-61728419.743867986</v>
      </c>
      <c r="J1142" s="444">
        <f t="array" ref="J1142">IFERROR(INDEX('Retirement Calculator'!K:K,MATCH('Lorri 401b'!N1142,'Retirement Calculator'!A:A,0),0),0)</f>
        <v>21655.303514578787</v>
      </c>
      <c r="K1142" s="444">
        <f t="shared" ca="1" si="103"/>
        <v>-257291.979364094</v>
      </c>
      <c r="L1142" s="444">
        <f t="shared" ca="1" si="104"/>
        <v>-62007367.02674666</v>
      </c>
      <c r="M1142" s="460">
        <f t="shared" si="106"/>
        <v>0.05</v>
      </c>
      <c r="N1142" s="464">
        <f t="shared" si="107"/>
        <v>85803</v>
      </c>
    </row>
    <row r="1143" spans="7:14" ht="11.25" customHeight="1" x14ac:dyDescent="0.3">
      <c r="G1143" s="459"/>
      <c r="H1143" s="459">
        <v>1136</v>
      </c>
      <c r="I1143" s="444">
        <f t="shared" ca="1" si="105"/>
        <v>-62007367.02674666</v>
      </c>
      <c r="J1143" s="444">
        <f t="array" ref="J1143">IFERROR(INDEX('Retirement Calculator'!K:K,MATCH('Lorri 401b'!N1143,'Retirement Calculator'!A:A,0),0),0)</f>
        <v>21655.303514578787</v>
      </c>
      <c r="K1143" s="444">
        <f t="shared" ca="1" si="103"/>
        <v>-258454.25970942181</v>
      </c>
      <c r="L1143" s="444">
        <f t="shared" ca="1" si="104"/>
        <v>-62287476.589970663</v>
      </c>
      <c r="M1143" s="460">
        <f t="shared" si="106"/>
        <v>0.05</v>
      </c>
      <c r="N1143" s="464">
        <f t="shared" si="107"/>
        <v>85834</v>
      </c>
    </row>
    <row r="1144" spans="7:14" ht="11.25" customHeight="1" x14ac:dyDescent="0.3">
      <c r="G1144" s="459"/>
      <c r="H1144" s="459">
        <v>1137</v>
      </c>
      <c r="I1144" s="444">
        <f t="shared" ca="1" si="105"/>
        <v>-62287476.589970663</v>
      </c>
      <c r="J1144" s="444">
        <f t="array" ref="J1144">IFERROR(INDEX('Retirement Calculator'!K:K,MATCH('Lorri 401b'!N1144,'Retirement Calculator'!A:A,0),0),0)</f>
        <v>21655.303514578787</v>
      </c>
      <c r="K1144" s="444">
        <f t="shared" ca="1" si="103"/>
        <v>-259621.38288952183</v>
      </c>
      <c r="L1144" s="444">
        <f t="shared" ca="1" si="104"/>
        <v>-62568753.276374765</v>
      </c>
      <c r="M1144" s="460">
        <f t="shared" si="106"/>
        <v>0.05</v>
      </c>
      <c r="N1144" s="464">
        <f t="shared" si="107"/>
        <v>85865</v>
      </c>
    </row>
    <row r="1145" spans="7:14" ht="11.25" customHeight="1" x14ac:dyDescent="0.3">
      <c r="G1145" s="459"/>
      <c r="H1145" s="459">
        <v>1138</v>
      </c>
      <c r="I1145" s="444">
        <f t="shared" ca="1" si="105"/>
        <v>-62568753.276374765</v>
      </c>
      <c r="J1145" s="444">
        <f t="array" ref="J1145">IFERROR(INDEX('Retirement Calculator'!K:K,MATCH('Lorri 401b'!N1145,'Retirement Calculator'!A:A,0),0),0)</f>
        <v>21655.303514578787</v>
      </c>
      <c r="K1145" s="444">
        <f t="shared" ca="1" si="103"/>
        <v>-260793.36908287226</v>
      </c>
      <c r="L1145" s="444">
        <f t="shared" ca="1" si="104"/>
        <v>-62851201.948972218</v>
      </c>
      <c r="M1145" s="460">
        <f t="shared" si="106"/>
        <v>0.05</v>
      </c>
      <c r="N1145" s="464">
        <f t="shared" si="107"/>
        <v>85893</v>
      </c>
    </row>
    <row r="1146" spans="7:14" ht="11.25" customHeight="1" x14ac:dyDescent="0.3">
      <c r="G1146" s="459"/>
      <c r="H1146" s="459">
        <v>1139</v>
      </c>
      <c r="I1146" s="444">
        <f t="shared" ca="1" si="105"/>
        <v>-62851201.948972218</v>
      </c>
      <c r="J1146" s="444">
        <f t="array" ref="J1146">IFERROR(INDEX('Retirement Calculator'!K:K,MATCH('Lorri 401b'!N1146,'Retirement Calculator'!A:A,0),0),0)</f>
        <v>21655.303514578787</v>
      </c>
      <c r="K1146" s="444">
        <f t="shared" ca="1" si="103"/>
        <v>-261970.23855202831</v>
      </c>
      <c r="L1146" s="444">
        <f t="shared" ca="1" si="104"/>
        <v>-63134827.491038822</v>
      </c>
      <c r="M1146" s="460">
        <f t="shared" si="106"/>
        <v>0.05</v>
      </c>
      <c r="N1146" s="464">
        <f t="shared" si="107"/>
        <v>85924</v>
      </c>
    </row>
    <row r="1147" spans="7:14" ht="11.25" customHeight="1" x14ac:dyDescent="0.3">
      <c r="G1147" s="459"/>
      <c r="H1147" s="459">
        <v>1140</v>
      </c>
      <c r="I1147" s="444">
        <f t="shared" ca="1" si="105"/>
        <v>-63134827.491038822</v>
      </c>
      <c r="J1147" s="444">
        <f t="array" ref="J1147">IFERROR(INDEX('Retirement Calculator'!K:K,MATCH('Lorri 401b'!N1147,'Retirement Calculator'!A:A,0),0),0)</f>
        <v>21655.303514578787</v>
      </c>
      <c r="K1147" s="444">
        <f t="shared" ca="1" si="103"/>
        <v>-263152.01164397254</v>
      </c>
      <c r="L1147" s="444">
        <f t="shared" ca="1" si="104"/>
        <v>-63419634.806197375</v>
      </c>
      <c r="M1147" s="460">
        <f t="shared" si="106"/>
        <v>0.05</v>
      </c>
      <c r="N1147" s="464">
        <f t="shared" si="107"/>
        <v>85954</v>
      </c>
    </row>
    <row r="1148" spans="7:14" ht="11.25" customHeight="1" x14ac:dyDescent="0.3">
      <c r="G1148" s="459"/>
      <c r="H1148" s="459">
        <v>1141</v>
      </c>
      <c r="I1148" s="444">
        <f t="shared" ca="1" si="105"/>
        <v>-63419634.806197375</v>
      </c>
      <c r="J1148" s="444">
        <f t="array" ref="J1148">IFERROR(INDEX('Retirement Calculator'!K:K,MATCH('Lorri 401b'!N1148,'Retirement Calculator'!A:A,0),0),0)</f>
        <v>21655.303514578787</v>
      </c>
      <c r="K1148" s="444">
        <f t="shared" ca="1" si="103"/>
        <v>-264338.70879046648</v>
      </c>
      <c r="L1148" s="444">
        <f t="shared" ca="1" si="104"/>
        <v>-63705628.818502419</v>
      </c>
      <c r="M1148" s="460">
        <f t="shared" si="106"/>
        <v>0.05</v>
      </c>
      <c r="N1148" s="464">
        <f t="shared" si="107"/>
        <v>85985</v>
      </c>
    </row>
    <row r="1149" spans="7:14" ht="11.25" customHeight="1" x14ac:dyDescent="0.3">
      <c r="G1149" s="459"/>
      <c r="H1149" s="459">
        <v>1142</v>
      </c>
      <c r="I1149" s="444">
        <f t="shared" ca="1" si="105"/>
        <v>-63705628.818502419</v>
      </c>
      <c r="J1149" s="444">
        <f t="array" ref="J1149">IFERROR(INDEX('Retirement Calculator'!K:K,MATCH('Lorri 401b'!N1149,'Retirement Calculator'!A:A,0),0),0)</f>
        <v>21655.303514578787</v>
      </c>
      <c r="K1149" s="444">
        <f t="shared" ca="1" si="103"/>
        <v>-265530.35050840414</v>
      </c>
      <c r="L1149" s="444">
        <f t="shared" ca="1" si="104"/>
        <v>-63992814.472525403</v>
      </c>
      <c r="M1149" s="460">
        <f t="shared" si="106"/>
        <v>0.05</v>
      </c>
      <c r="N1149" s="464">
        <f t="shared" si="107"/>
        <v>86015</v>
      </c>
    </row>
    <row r="1150" spans="7:14" ht="11.25" customHeight="1" x14ac:dyDescent="0.3">
      <c r="G1150" s="459"/>
      <c r="H1150" s="459">
        <v>1143</v>
      </c>
      <c r="I1150" s="444">
        <f t="shared" ca="1" si="105"/>
        <v>-63992814.472525403</v>
      </c>
      <c r="J1150" s="444">
        <f t="array" ref="J1150">IFERROR(INDEX('Retirement Calculator'!K:K,MATCH('Lorri 401b'!N1150,'Retirement Calculator'!A:A,0),0),0)</f>
        <v>21655.303514578787</v>
      </c>
      <c r="K1150" s="444">
        <f t="shared" ca="1" si="103"/>
        <v>-266726.9574001666</v>
      </c>
      <c r="L1150" s="444">
        <f t="shared" ca="1" si="104"/>
        <v>-64281196.733440146</v>
      </c>
      <c r="M1150" s="460">
        <f t="shared" si="106"/>
        <v>0.05</v>
      </c>
      <c r="N1150" s="464">
        <f t="shared" si="107"/>
        <v>86046</v>
      </c>
    </row>
    <row r="1151" spans="7:14" ht="11.25" customHeight="1" x14ac:dyDescent="0.3">
      <c r="G1151" s="459"/>
      <c r="H1151" s="459">
        <v>1144</v>
      </c>
      <c r="I1151" s="444">
        <f t="shared" ca="1" si="105"/>
        <v>-64281196.733440146</v>
      </c>
      <c r="J1151" s="444">
        <f t="array" ref="J1151">IFERROR(INDEX('Retirement Calculator'!K:K,MATCH('Lorri 401b'!N1151,'Retirement Calculator'!A:A,0),0),0)</f>
        <v>21655.303514578787</v>
      </c>
      <c r="K1151" s="444">
        <f t="shared" ca="1" si="103"/>
        <v>-267928.55015397799</v>
      </c>
      <c r="L1151" s="444">
        <f t="shared" ca="1" si="104"/>
        <v>-64570780.587108701</v>
      </c>
      <c r="M1151" s="460">
        <f t="shared" si="106"/>
        <v>0.05</v>
      </c>
      <c r="N1151" s="464">
        <f t="shared" si="107"/>
        <v>86077</v>
      </c>
    </row>
    <row r="1152" spans="7:14" ht="11.25" customHeight="1" x14ac:dyDescent="0.3">
      <c r="G1152" s="459"/>
      <c r="H1152" s="459">
        <v>1145</v>
      </c>
      <c r="I1152" s="444">
        <f t="shared" ca="1" si="105"/>
        <v>-64570780.587108701</v>
      </c>
      <c r="J1152" s="444">
        <f t="array" ref="J1152">IFERROR(INDEX('Retirement Calculator'!K:K,MATCH('Lorri 401b'!N1152,'Retirement Calculator'!A:A,0),0),0)</f>
        <v>21655.303514578787</v>
      </c>
      <c r="K1152" s="444">
        <f t="shared" ca="1" si="103"/>
        <v>-269135.14954426367</v>
      </c>
      <c r="L1152" s="444">
        <f t="shared" ca="1" si="104"/>
        <v>-64861571.04016754</v>
      </c>
      <c r="M1152" s="460">
        <f t="shared" si="106"/>
        <v>0.05</v>
      </c>
      <c r="N1152" s="464">
        <f t="shared" si="107"/>
        <v>86107</v>
      </c>
    </row>
    <row r="1153" spans="7:14" ht="11.25" customHeight="1" x14ac:dyDescent="0.3">
      <c r="G1153" s="459"/>
      <c r="H1153" s="459">
        <v>1146</v>
      </c>
      <c r="I1153" s="444">
        <f t="shared" ca="1" si="105"/>
        <v>-64861571.04016754</v>
      </c>
      <c r="J1153" s="444">
        <f t="array" ref="J1153">IFERROR(INDEX('Retirement Calculator'!K:K,MATCH('Lorri 401b'!N1153,'Retirement Calculator'!A:A,0),0),0)</f>
        <v>21655.303514578787</v>
      </c>
      <c r="K1153" s="444">
        <f t="shared" ca="1" si="103"/>
        <v>-270346.77643200883</v>
      </c>
      <c r="L1153" s="444">
        <f t="shared" ca="1" si="104"/>
        <v>-65153573.120114125</v>
      </c>
      <c r="M1153" s="460">
        <f t="shared" si="106"/>
        <v>0.05</v>
      </c>
      <c r="N1153" s="464">
        <f t="shared" si="107"/>
        <v>86138</v>
      </c>
    </row>
    <row r="1154" spans="7:14" ht="11.25" customHeight="1" x14ac:dyDescent="0.3">
      <c r="G1154" s="459"/>
      <c r="H1154" s="459">
        <v>1147</v>
      </c>
      <c r="I1154" s="444">
        <f t="shared" ca="1" si="105"/>
        <v>-65153573.120114125</v>
      </c>
      <c r="J1154" s="444">
        <f t="array" ref="J1154">IFERROR(INDEX('Retirement Calculator'!K:K,MATCH('Lorri 401b'!N1154,'Retirement Calculator'!A:A,0),0),0)</f>
        <v>21655.303514578787</v>
      </c>
      <c r="K1154" s="444">
        <f t="shared" ca="1" si="103"/>
        <v>-271563.45176511956</v>
      </c>
      <c r="L1154" s="444">
        <f t="shared" ca="1" si="104"/>
        <v>-65446791.875393823</v>
      </c>
      <c r="M1154" s="460">
        <f t="shared" si="106"/>
        <v>0.05</v>
      </c>
      <c r="N1154" s="464">
        <f t="shared" si="107"/>
        <v>86168</v>
      </c>
    </row>
    <row r="1155" spans="7:14" ht="11.25" customHeight="1" x14ac:dyDescent="0.3">
      <c r="G1155" s="459"/>
      <c r="H1155" s="459">
        <v>1148</v>
      </c>
      <c r="I1155" s="444">
        <f t="shared" ca="1" si="105"/>
        <v>-65446791.875393823</v>
      </c>
      <c r="J1155" s="444">
        <f t="array" ref="J1155">IFERROR(INDEX('Retirement Calculator'!K:K,MATCH('Lorri 401b'!N1155,'Retirement Calculator'!A:A,0),0),0)</f>
        <v>21655.303514578787</v>
      </c>
      <c r="K1155" s="444">
        <f t="shared" ca="1" si="103"/>
        <v>-272785.19657878502</v>
      </c>
      <c r="L1155" s="444">
        <f t="shared" ca="1" si="104"/>
        <v>-65741232.375487186</v>
      </c>
      <c r="M1155" s="460">
        <f t="shared" si="106"/>
        <v>0.05</v>
      </c>
      <c r="N1155" s="464">
        <f t="shared" si="107"/>
        <v>86199</v>
      </c>
    </row>
    <row r="1156" spans="7:14" ht="11.25" customHeight="1" x14ac:dyDescent="0.3">
      <c r="G1156" s="459"/>
      <c r="H1156" s="459">
        <v>1149</v>
      </c>
      <c r="I1156" s="444">
        <f t="shared" ca="1" si="105"/>
        <v>-65741232.375487186</v>
      </c>
      <c r="J1156" s="444">
        <f t="array" ref="J1156">IFERROR(INDEX('Retirement Calculator'!K:K,MATCH('Lorri 401b'!N1156,'Retirement Calculator'!A:A,0),0),0)</f>
        <v>21655.303514578787</v>
      </c>
      <c r="K1156" s="444">
        <f t="shared" ca="1" si="103"/>
        <v>-274012.03199584066</v>
      </c>
      <c r="L1156" s="444">
        <f t="shared" ca="1" si="104"/>
        <v>-66036899.710997604</v>
      </c>
      <c r="M1156" s="460">
        <f t="shared" si="106"/>
        <v>0.05</v>
      </c>
      <c r="N1156" s="464">
        <f t="shared" si="107"/>
        <v>86230</v>
      </c>
    </row>
    <row r="1157" spans="7:14" ht="11.25" customHeight="1" x14ac:dyDescent="0.3">
      <c r="G1157" s="459"/>
      <c r="H1157" s="459">
        <v>1150</v>
      </c>
      <c r="I1157" s="444">
        <f t="shared" ca="1" si="105"/>
        <v>-66036899.710997604</v>
      </c>
      <c r="J1157" s="444">
        <f t="array" ref="J1157">IFERROR(INDEX('Retirement Calculator'!K:K,MATCH('Lorri 401b'!N1157,'Retirement Calculator'!A:A,0),0),0)</f>
        <v>21655.303514578787</v>
      </c>
      <c r="K1157" s="444">
        <f t="shared" ca="1" si="103"/>
        <v>-275243.97922713403</v>
      </c>
      <c r="L1157" s="444">
        <f t="shared" ca="1" si="104"/>
        <v>-66333798.993739314</v>
      </c>
      <c r="M1157" s="460">
        <f t="shared" si="106"/>
        <v>0.05</v>
      </c>
      <c r="N1157" s="464">
        <f t="shared" si="107"/>
        <v>86259</v>
      </c>
    </row>
    <row r="1158" spans="7:14" ht="11.25" customHeight="1" x14ac:dyDescent="0.3">
      <c r="G1158" s="459"/>
      <c r="H1158" s="459">
        <v>1151</v>
      </c>
      <c r="I1158" s="444">
        <f t="shared" ca="1" si="105"/>
        <v>-66333798.993739314</v>
      </c>
      <c r="J1158" s="444">
        <f t="array" ref="J1158">IFERROR(INDEX('Retirement Calculator'!K:K,MATCH('Lorri 401b'!N1158,'Retirement Calculator'!A:A,0),0),0)</f>
        <v>21655.303514578787</v>
      </c>
      <c r="K1158" s="444">
        <f t="shared" ca="1" si="103"/>
        <v>-276481.05957189121</v>
      </c>
      <c r="L1158" s="444">
        <f t="shared" ca="1" si="104"/>
        <v>-66631935.356825784</v>
      </c>
      <c r="M1158" s="460">
        <f t="shared" si="106"/>
        <v>0.05</v>
      </c>
      <c r="N1158" s="464">
        <f t="shared" si="107"/>
        <v>86290</v>
      </c>
    </row>
    <row r="1159" spans="7:14" ht="11.25" customHeight="1" x14ac:dyDescent="0.3">
      <c r="G1159" s="459"/>
      <c r="H1159" s="459">
        <v>1152</v>
      </c>
      <c r="I1159" s="444">
        <f t="shared" ca="1" si="105"/>
        <v>-66631935.356825784</v>
      </c>
      <c r="J1159" s="444">
        <f t="array" ref="J1159">IFERROR(INDEX('Retirement Calculator'!K:K,MATCH('Lorri 401b'!N1159,'Retirement Calculator'!A:A,0),0),0)</f>
        <v>21655.303514578787</v>
      </c>
      <c r="K1159" s="444">
        <f t="shared" ca="1" si="103"/>
        <v>-277723.29441808484</v>
      </c>
      <c r="L1159" s="444">
        <f t="shared" ca="1" si="104"/>
        <v>-66931313.954758443</v>
      </c>
      <c r="M1159" s="460">
        <f t="shared" si="106"/>
        <v>0.05</v>
      </c>
      <c r="N1159" s="464">
        <f t="shared" si="107"/>
        <v>86320</v>
      </c>
    </row>
    <row r="1160" spans="7:14" ht="11.25" customHeight="1" x14ac:dyDescent="0.3">
      <c r="G1160" s="459"/>
      <c r="H1160" s="459">
        <v>1153</v>
      </c>
      <c r="I1160" s="444">
        <f t="shared" ca="1" si="105"/>
        <v>-66931313.954758443</v>
      </c>
      <c r="J1160" s="444">
        <f t="array" ref="J1160">IFERROR(INDEX('Retirement Calculator'!K:K,MATCH('Lorri 401b'!N1160,'Retirement Calculator'!A:A,0),0),0)</f>
        <v>21655.303514578787</v>
      </c>
      <c r="K1160" s="444">
        <f t="shared" ca="1" si="103"/>
        <v>-278970.70524280425</v>
      </c>
      <c r="L1160" s="444">
        <f t="shared" ca="1" si="104"/>
        <v>-67231939.963515818</v>
      </c>
      <c r="M1160" s="460">
        <f t="shared" si="106"/>
        <v>0.05</v>
      </c>
      <c r="N1160" s="464">
        <f t="shared" si="107"/>
        <v>86351</v>
      </c>
    </row>
    <row r="1161" spans="7:14" ht="11.25" customHeight="1" x14ac:dyDescent="0.3">
      <c r="G1161" s="459"/>
      <c r="H1161" s="459">
        <v>1154</v>
      </c>
      <c r="I1161" s="444">
        <f t="shared" ca="1" si="105"/>
        <v>-67231939.963515818</v>
      </c>
      <c r="J1161" s="444">
        <f t="array" ref="J1161">IFERROR(INDEX('Retirement Calculator'!K:K,MATCH('Lorri 401b'!N1161,'Retirement Calculator'!A:A,0),0),0)</f>
        <v>21655.303514578787</v>
      </c>
      <c r="K1161" s="444">
        <f t="shared" ca="1" si="103"/>
        <v>-280223.31361262669</v>
      </c>
      <c r="L1161" s="444">
        <f t="shared" ca="1" si="104"/>
        <v>-67533818.580643028</v>
      </c>
      <c r="M1161" s="460">
        <f t="shared" si="106"/>
        <v>0.05</v>
      </c>
      <c r="N1161" s="464">
        <f t="shared" si="107"/>
        <v>86381</v>
      </c>
    </row>
    <row r="1162" spans="7:14" ht="11.25" customHeight="1" x14ac:dyDescent="0.3">
      <c r="G1162" s="459"/>
      <c r="H1162" s="459">
        <v>1155</v>
      </c>
      <c r="I1162" s="444">
        <f t="shared" ca="1" si="105"/>
        <v>-67533818.580643028</v>
      </c>
      <c r="J1162" s="444">
        <f t="array" ref="J1162">IFERROR(INDEX('Retirement Calculator'!K:K,MATCH('Lorri 401b'!N1162,'Retirement Calculator'!A:A,0),0),0)</f>
        <v>21655.303514578787</v>
      </c>
      <c r="K1162" s="444">
        <f t="shared" ca="1" si="103"/>
        <v>-281481.14118399005</v>
      </c>
      <c r="L1162" s="444">
        <f t="shared" ca="1" si="104"/>
        <v>-67836955.0253416</v>
      </c>
      <c r="M1162" s="460">
        <f t="shared" si="106"/>
        <v>0.05</v>
      </c>
      <c r="N1162" s="464">
        <f t="shared" si="107"/>
        <v>86412</v>
      </c>
    </row>
    <row r="1163" spans="7:14" ht="11.25" customHeight="1" x14ac:dyDescent="0.3">
      <c r="G1163" s="459"/>
      <c r="H1163" s="459">
        <v>1156</v>
      </c>
      <c r="I1163" s="444">
        <f t="shared" ca="1" si="105"/>
        <v>-67836955.0253416</v>
      </c>
      <c r="J1163" s="444">
        <f t="array" ref="J1163">IFERROR(INDEX('Retirement Calculator'!K:K,MATCH('Lorri 401b'!N1163,'Retirement Calculator'!A:A,0),0),0)</f>
        <v>21655.303514578787</v>
      </c>
      <c r="K1163" s="444">
        <f t="shared" ca="1" si="103"/>
        <v>-282744.20970356744</v>
      </c>
      <c r="L1163" s="444">
        <f t="shared" ca="1" si="104"/>
        <v>-68141354.53855975</v>
      </c>
      <c r="M1163" s="460">
        <f t="shared" si="106"/>
        <v>0.05</v>
      </c>
      <c r="N1163" s="464">
        <f t="shared" si="107"/>
        <v>86443</v>
      </c>
    </row>
    <row r="1164" spans="7:14" ht="11.25" customHeight="1" x14ac:dyDescent="0.3">
      <c r="G1164" s="459"/>
      <c r="H1164" s="459">
        <v>1157</v>
      </c>
      <c r="I1164" s="444">
        <f t="shared" ca="1" si="105"/>
        <v>-68141354.53855975</v>
      </c>
      <c r="J1164" s="444">
        <f t="array" ref="J1164">IFERROR(INDEX('Retirement Calculator'!K:K,MATCH('Lorri 401b'!N1164,'Retirement Calculator'!A:A,0),0),0)</f>
        <v>21655.303514578787</v>
      </c>
      <c r="K1164" s="444">
        <f t="shared" ca="1" si="103"/>
        <v>-284012.54100864305</v>
      </c>
      <c r="L1164" s="444">
        <f t="shared" ca="1" si="104"/>
        <v>-68447022.383082971</v>
      </c>
      <c r="M1164" s="460">
        <f t="shared" si="106"/>
        <v>0.05</v>
      </c>
      <c r="N1164" s="464">
        <f t="shared" si="107"/>
        <v>86473</v>
      </c>
    </row>
    <row r="1165" spans="7:14" ht="11.25" customHeight="1" x14ac:dyDescent="0.3">
      <c r="G1165" s="459"/>
      <c r="H1165" s="459">
        <v>1158</v>
      </c>
      <c r="I1165" s="444">
        <f t="shared" ca="1" si="105"/>
        <v>-68447022.383082971</v>
      </c>
      <c r="J1165" s="444">
        <f t="array" ref="J1165">IFERROR(INDEX('Retirement Calculator'!K:K,MATCH('Lorri 401b'!N1165,'Retirement Calculator'!A:A,0),0),0)</f>
        <v>21655.303514578787</v>
      </c>
      <c r="K1165" s="444">
        <f t="shared" ca="1" si="103"/>
        <v>-285286.1570274898</v>
      </c>
      <c r="L1165" s="444">
        <f t="shared" ca="1" si="104"/>
        <v>-68753963.843625039</v>
      </c>
      <c r="M1165" s="460">
        <f t="shared" si="106"/>
        <v>0.05</v>
      </c>
      <c r="N1165" s="464">
        <f t="shared" si="107"/>
        <v>86504</v>
      </c>
    </row>
    <row r="1166" spans="7:14" ht="11.25" customHeight="1" x14ac:dyDescent="0.3">
      <c r="G1166" s="459"/>
      <c r="H1166" s="459">
        <v>1159</v>
      </c>
      <c r="I1166" s="444">
        <f t="shared" ca="1" si="105"/>
        <v>-68753963.843625039</v>
      </c>
      <c r="J1166" s="444">
        <f t="array" ref="J1166">IFERROR(INDEX('Retirement Calculator'!K:K,MATCH('Lorri 401b'!N1166,'Retirement Calculator'!A:A,0),0),0)</f>
        <v>21655.303514578787</v>
      </c>
      <c r="K1166" s="444">
        <f t="shared" ca="1" si="103"/>
        <v>-286565.07977974846</v>
      </c>
      <c r="L1166" s="444">
        <f t="shared" ca="1" si="104"/>
        <v>-69062184.226919368</v>
      </c>
      <c r="M1166" s="460">
        <f t="shared" si="106"/>
        <v>0.05</v>
      </c>
      <c r="N1166" s="464">
        <f t="shared" si="107"/>
        <v>86534</v>
      </c>
    </row>
    <row r="1167" spans="7:14" ht="11.25" customHeight="1" x14ac:dyDescent="0.3">
      <c r="G1167" s="459"/>
      <c r="H1167" s="459">
        <v>1160</v>
      </c>
      <c r="I1167" s="444">
        <f t="shared" ca="1" si="105"/>
        <v>-69062184.226919368</v>
      </c>
      <c r="J1167" s="444">
        <f t="array" ref="J1167">IFERROR(INDEX('Retirement Calculator'!K:K,MATCH('Lorri 401b'!N1167,'Retirement Calculator'!A:A,0),0),0)</f>
        <v>21655.303514578787</v>
      </c>
      <c r="K1167" s="444">
        <f t="shared" ca="1" si="103"/>
        <v>-287849.33137680811</v>
      </c>
      <c r="L1167" s="444">
        <f t="shared" ca="1" si="104"/>
        <v>-69371688.861810759</v>
      </c>
      <c r="M1167" s="460">
        <f t="shared" si="106"/>
        <v>0.05</v>
      </c>
      <c r="N1167" s="464">
        <f t="shared" si="107"/>
        <v>86565</v>
      </c>
    </row>
    <row r="1168" spans="7:14" ht="11.25" customHeight="1" x14ac:dyDescent="0.3">
      <c r="G1168" s="459"/>
      <c r="H1168" s="459">
        <v>1161</v>
      </c>
      <c r="I1168" s="444">
        <f t="shared" ca="1" si="105"/>
        <v>-69371688.861810759</v>
      </c>
      <c r="J1168" s="444">
        <f t="array" ref="J1168">IFERROR(INDEX('Retirement Calculator'!K:K,MATCH('Lorri 401b'!N1168,'Retirement Calculator'!A:A,0),0),0)</f>
        <v>21655.303514578787</v>
      </c>
      <c r="K1168" s="444">
        <f t="shared" ca="1" si="103"/>
        <v>-289138.93402218894</v>
      </c>
      <c r="L1168" s="444">
        <f t="shared" ca="1" si="104"/>
        <v>-69682483.099347532</v>
      </c>
      <c r="M1168" s="460">
        <f t="shared" si="106"/>
        <v>0.05</v>
      </c>
      <c r="N1168" s="464">
        <f t="shared" si="107"/>
        <v>86596</v>
      </c>
    </row>
    <row r="1169" spans="7:14" ht="11.25" customHeight="1" x14ac:dyDescent="0.3">
      <c r="G1169" s="459"/>
      <c r="H1169" s="459">
        <v>1162</v>
      </c>
      <c r="I1169" s="444">
        <f t="shared" ca="1" si="105"/>
        <v>-69682483.099347532</v>
      </c>
      <c r="J1169" s="444">
        <f t="array" ref="J1169">IFERROR(INDEX('Retirement Calculator'!K:K,MATCH('Lorri 401b'!N1169,'Retirement Calculator'!A:A,0),0),0)</f>
        <v>0</v>
      </c>
      <c r="K1169" s="444">
        <f t="shared" ca="1" si="103"/>
        <v>-290343.67958061473</v>
      </c>
      <c r="L1169" s="444">
        <f t="shared" ca="1" si="104"/>
        <v>-69972826.778928146</v>
      </c>
      <c r="M1169" s="460">
        <f t="shared" si="106"/>
        <v>0.05</v>
      </c>
      <c r="N1169" s="464">
        <f t="shared" si="107"/>
        <v>86624</v>
      </c>
    </row>
    <row r="1170" spans="7:14" ht="11.25" customHeight="1" x14ac:dyDescent="0.3">
      <c r="G1170" s="459"/>
      <c r="H1170" s="459">
        <v>1163</v>
      </c>
      <c r="I1170" s="444">
        <f t="shared" ca="1" si="105"/>
        <v>-69972826.778928146</v>
      </c>
      <c r="J1170" s="444">
        <f t="array" ref="J1170">IFERROR(INDEX('Retirement Calculator'!K:K,MATCH('Lorri 401b'!N1170,'Retirement Calculator'!A:A,0),0),0)</f>
        <v>0</v>
      </c>
      <c r="K1170" s="444">
        <f t="shared" ca="1" si="103"/>
        <v>-291553.44491220062</v>
      </c>
      <c r="L1170" s="444">
        <f t="shared" ca="1" si="104"/>
        <v>-70264380.223840341</v>
      </c>
      <c r="M1170" s="460">
        <f t="shared" si="106"/>
        <v>0.05</v>
      </c>
      <c r="N1170" s="464">
        <f t="shared" si="107"/>
        <v>86655</v>
      </c>
    </row>
    <row r="1171" spans="7:14" ht="11.25" customHeight="1" x14ac:dyDescent="0.3">
      <c r="G1171" s="459"/>
      <c r="H1171" s="459">
        <v>1164</v>
      </c>
      <c r="I1171" s="444">
        <f t="shared" ca="1" si="105"/>
        <v>-70264380.223840341</v>
      </c>
      <c r="J1171" s="444">
        <f t="array" ref="J1171">IFERROR(INDEX('Retirement Calculator'!K:K,MATCH('Lorri 401b'!N1171,'Retirement Calculator'!A:A,0),0),0)</f>
        <v>0</v>
      </c>
      <c r="K1171" s="444">
        <f t="shared" ca="1" si="103"/>
        <v>-292768.2509326681</v>
      </c>
      <c r="L1171" s="444">
        <f t="shared" ca="1" si="104"/>
        <v>-70557148.474773005</v>
      </c>
      <c r="M1171" s="460">
        <f t="shared" si="106"/>
        <v>0.05</v>
      </c>
      <c r="N1171" s="464">
        <f t="shared" si="107"/>
        <v>86685</v>
      </c>
    </row>
    <row r="1172" spans="7:14" ht="11.25" customHeight="1" x14ac:dyDescent="0.3">
      <c r="G1172" s="459"/>
      <c r="H1172" s="459">
        <v>1165</v>
      </c>
      <c r="I1172" s="444">
        <f t="shared" ca="1" si="105"/>
        <v>-70557148.474773005</v>
      </c>
      <c r="J1172" s="444">
        <f t="array" ref="J1172">IFERROR(INDEX('Retirement Calculator'!K:K,MATCH('Lorri 401b'!N1172,'Retirement Calculator'!A:A,0),0),0)</f>
        <v>0</v>
      </c>
      <c r="K1172" s="444">
        <f t="shared" ca="1" si="103"/>
        <v>-293988.11864488752</v>
      </c>
      <c r="L1172" s="444">
        <f t="shared" ca="1" si="104"/>
        <v>-70851136.593417898</v>
      </c>
      <c r="M1172" s="460">
        <f t="shared" si="106"/>
        <v>0.05</v>
      </c>
      <c r="N1172" s="464">
        <f t="shared" si="107"/>
        <v>86716</v>
      </c>
    </row>
    <row r="1173" spans="7:14" ht="11.25" customHeight="1" x14ac:dyDescent="0.3">
      <c r="G1173" s="459"/>
      <c r="H1173" s="459">
        <v>1166</v>
      </c>
      <c r="I1173" s="444">
        <f t="shared" ca="1" si="105"/>
        <v>-70851136.593417898</v>
      </c>
      <c r="J1173" s="444">
        <f t="array" ref="J1173">IFERROR(INDEX('Retirement Calculator'!K:K,MATCH('Lorri 401b'!N1173,'Retirement Calculator'!A:A,0),0),0)</f>
        <v>0</v>
      </c>
      <c r="K1173" s="444">
        <f t="shared" ca="1" si="103"/>
        <v>-295213.06913924124</v>
      </c>
      <c r="L1173" s="444">
        <f t="shared" ca="1" si="104"/>
        <v>-71146349.66255714</v>
      </c>
      <c r="M1173" s="460">
        <f t="shared" si="106"/>
        <v>0.05</v>
      </c>
      <c r="N1173" s="464">
        <f t="shared" si="107"/>
        <v>86746</v>
      </c>
    </row>
    <row r="1174" spans="7:14" ht="11.25" customHeight="1" x14ac:dyDescent="0.3">
      <c r="G1174" s="459"/>
      <c r="H1174" s="459">
        <v>1167</v>
      </c>
      <c r="I1174" s="444">
        <f t="shared" ca="1" si="105"/>
        <v>-71146349.66255714</v>
      </c>
      <c r="J1174" s="444">
        <f t="array" ref="J1174">IFERROR(INDEX('Retirement Calculator'!K:K,MATCH('Lorri 401b'!N1174,'Retirement Calculator'!A:A,0),0),0)</f>
        <v>0</v>
      </c>
      <c r="K1174" s="444">
        <f t="shared" ca="1" si="103"/>
        <v>-296443.12359398807</v>
      </c>
      <c r="L1174" s="444">
        <f t="shared" ca="1" si="104"/>
        <v>-71442792.786151126</v>
      </c>
      <c r="M1174" s="460">
        <f t="shared" si="106"/>
        <v>0.05</v>
      </c>
      <c r="N1174" s="464">
        <f t="shared" si="107"/>
        <v>86777</v>
      </c>
    </row>
    <row r="1175" spans="7:14" ht="11.25" customHeight="1" x14ac:dyDescent="0.3">
      <c r="G1175" s="459"/>
      <c r="H1175" s="459">
        <v>1168</v>
      </c>
      <c r="I1175" s="444">
        <f t="shared" ca="1" si="105"/>
        <v>-71442792.786151126</v>
      </c>
      <c r="J1175" s="444">
        <f t="array" ref="J1175">IFERROR(INDEX('Retirement Calculator'!K:K,MATCH('Lorri 401b'!N1175,'Retirement Calculator'!A:A,0),0),0)</f>
        <v>0</v>
      </c>
      <c r="K1175" s="444">
        <f t="shared" ca="1" si="103"/>
        <v>-297678.3032756297</v>
      </c>
      <c r="L1175" s="444">
        <f t="shared" ca="1" si="104"/>
        <v>-71740471.089426756</v>
      </c>
      <c r="M1175" s="460">
        <f t="shared" si="106"/>
        <v>0.05</v>
      </c>
      <c r="N1175" s="464">
        <f t="shared" si="107"/>
        <v>86808</v>
      </c>
    </row>
    <row r="1176" spans="7:14" ht="11.25" customHeight="1" x14ac:dyDescent="0.3">
      <c r="G1176" s="459"/>
      <c r="H1176" s="459">
        <v>1169</v>
      </c>
      <c r="I1176" s="444">
        <f t="shared" ca="1" si="105"/>
        <v>-71740471.089426756</v>
      </c>
      <c r="J1176" s="444">
        <f t="array" ref="J1176">IFERROR(INDEX('Retirement Calculator'!K:K,MATCH('Lorri 401b'!N1176,'Retirement Calculator'!A:A,0),0),0)</f>
        <v>0</v>
      </c>
      <c r="K1176" s="444">
        <f t="shared" ca="1" si="103"/>
        <v>-298918.62953927816</v>
      </c>
      <c r="L1176" s="444">
        <f t="shared" ca="1" si="104"/>
        <v>-72039389.718966037</v>
      </c>
      <c r="M1176" s="460">
        <f t="shared" si="106"/>
        <v>0.05</v>
      </c>
      <c r="N1176" s="464">
        <f t="shared" si="107"/>
        <v>86838</v>
      </c>
    </row>
    <row r="1177" spans="7:14" ht="11.25" customHeight="1" x14ac:dyDescent="0.3">
      <c r="G1177" s="459"/>
      <c r="H1177" s="459">
        <v>1170</v>
      </c>
      <c r="I1177" s="444">
        <f t="shared" ca="1" si="105"/>
        <v>-72039389.718966037</v>
      </c>
      <c r="J1177" s="444">
        <f t="array" ref="J1177">IFERROR(INDEX('Retirement Calculator'!K:K,MATCH('Lorri 401b'!N1177,'Retirement Calculator'!A:A,0),0),0)</f>
        <v>0</v>
      </c>
      <c r="K1177" s="444">
        <f t="shared" ca="1" si="103"/>
        <v>-300164.12382902513</v>
      </c>
      <c r="L1177" s="444">
        <f t="shared" ca="1" si="104"/>
        <v>-72339553.842795059</v>
      </c>
      <c r="M1177" s="460">
        <f t="shared" si="106"/>
        <v>0.05</v>
      </c>
      <c r="N1177" s="464">
        <f t="shared" si="107"/>
        <v>86869</v>
      </c>
    </row>
    <row r="1178" spans="7:14" ht="11.25" customHeight="1" x14ac:dyDescent="0.3">
      <c r="G1178" s="459"/>
      <c r="H1178" s="459">
        <v>1171</v>
      </c>
      <c r="I1178" s="444">
        <f t="shared" ca="1" si="105"/>
        <v>-72339553.842795059</v>
      </c>
      <c r="J1178" s="444">
        <f t="array" ref="J1178">IFERROR(INDEX('Retirement Calculator'!K:K,MATCH('Lorri 401b'!N1178,'Retirement Calculator'!A:A,0),0),0)</f>
        <v>0</v>
      </c>
      <c r="K1178" s="444">
        <f t="shared" ca="1" si="103"/>
        <v>-301414.80767831276</v>
      </c>
      <c r="L1178" s="444">
        <f t="shared" ca="1" si="104"/>
        <v>-72640968.650473371</v>
      </c>
      <c r="M1178" s="460">
        <f t="shared" si="106"/>
        <v>0.05</v>
      </c>
      <c r="N1178" s="464">
        <f t="shared" si="107"/>
        <v>86899</v>
      </c>
    </row>
    <row r="1179" spans="7:14" ht="11.25" customHeight="1" x14ac:dyDescent="0.3">
      <c r="G1179" s="459"/>
      <c r="H1179" s="459">
        <v>1172</v>
      </c>
      <c r="I1179" s="444">
        <f t="shared" ca="1" si="105"/>
        <v>-72640968.650473371</v>
      </c>
      <c r="J1179" s="444">
        <f t="array" ref="J1179">IFERROR(INDEX('Retirement Calculator'!K:K,MATCH('Lorri 401b'!N1179,'Retirement Calculator'!A:A,0),0),0)</f>
        <v>0</v>
      </c>
      <c r="K1179" s="444">
        <f t="shared" ca="1" si="103"/>
        <v>-302670.70271030569</v>
      </c>
      <c r="L1179" s="444">
        <f t="shared" ca="1" si="104"/>
        <v>-72943639.353183672</v>
      </c>
      <c r="M1179" s="460">
        <f t="shared" si="106"/>
        <v>0.05</v>
      </c>
      <c r="N1179" s="464">
        <f t="shared" si="107"/>
        <v>86930</v>
      </c>
    </row>
    <row r="1180" spans="7:14" ht="11.25" customHeight="1" x14ac:dyDescent="0.3">
      <c r="G1180" s="459"/>
      <c r="H1180" s="459">
        <v>1173</v>
      </c>
      <c r="I1180" s="444">
        <f t="shared" ca="1" si="105"/>
        <v>-72943639.353183672</v>
      </c>
      <c r="J1180" s="444">
        <f t="array" ref="J1180">IFERROR(INDEX('Retirement Calculator'!K:K,MATCH('Lorri 401b'!N1180,'Retirement Calculator'!A:A,0),0),0)</f>
        <v>0</v>
      </c>
      <c r="K1180" s="444">
        <f t="shared" ca="1" si="103"/>
        <v>-303931.8306382653</v>
      </c>
      <c r="L1180" s="444">
        <f t="shared" ca="1" si="104"/>
        <v>-73247571.183821931</v>
      </c>
      <c r="M1180" s="460">
        <f t="shared" si="106"/>
        <v>0.05</v>
      </c>
      <c r="N1180" s="464">
        <f t="shared" si="107"/>
        <v>86961</v>
      </c>
    </row>
    <row r="1181" spans="7:14" ht="11.25" customHeight="1" x14ac:dyDescent="0.3">
      <c r="G1181" s="459"/>
      <c r="H1181" s="459">
        <v>1174</v>
      </c>
      <c r="I1181" s="444">
        <f t="shared" ca="1" si="105"/>
        <v>-73247571.183821931</v>
      </c>
      <c r="J1181" s="444">
        <f t="array" ref="J1181">IFERROR(INDEX('Retirement Calculator'!K:K,MATCH('Lorri 401b'!N1181,'Retirement Calculator'!A:A,0),0),0)</f>
        <v>0</v>
      </c>
      <c r="K1181" s="444">
        <f t="shared" ca="1" si="103"/>
        <v>-305198.21326592471</v>
      </c>
      <c r="L1181" s="444">
        <f t="shared" ca="1" si="104"/>
        <v>-73552769.397087857</v>
      </c>
      <c r="M1181" s="460">
        <f t="shared" si="106"/>
        <v>0.05</v>
      </c>
      <c r="N1181" s="464">
        <f t="shared" si="107"/>
        <v>86989</v>
      </c>
    </row>
    <row r="1182" spans="7:14" ht="11.25" customHeight="1" x14ac:dyDescent="0.3">
      <c r="G1182" s="459"/>
      <c r="H1182" s="459">
        <v>1175</v>
      </c>
      <c r="I1182" s="444">
        <f t="shared" ca="1" si="105"/>
        <v>-73552769.397087857</v>
      </c>
      <c r="J1182" s="444">
        <f t="array" ref="J1182">IFERROR(INDEX('Retirement Calculator'!K:K,MATCH('Lorri 401b'!N1182,'Retirement Calculator'!A:A,0),0),0)</f>
        <v>0</v>
      </c>
      <c r="K1182" s="444">
        <f t="shared" ca="1" si="103"/>
        <v>-306469.87248786609</v>
      </c>
      <c r="L1182" s="444">
        <f t="shared" ca="1" si="104"/>
        <v>-73859239.26957573</v>
      </c>
      <c r="M1182" s="460">
        <f t="shared" si="106"/>
        <v>0.05</v>
      </c>
      <c r="N1182" s="464">
        <f t="shared" si="107"/>
        <v>87020</v>
      </c>
    </row>
    <row r="1183" spans="7:14" ht="11.25" customHeight="1" x14ac:dyDescent="0.3">
      <c r="G1183" s="459"/>
      <c r="H1183" s="459">
        <v>1176</v>
      </c>
      <c r="I1183" s="444">
        <f t="shared" ca="1" si="105"/>
        <v>-73859239.26957573</v>
      </c>
      <c r="J1183" s="444">
        <f t="array" ref="J1183">IFERROR(INDEX('Retirement Calculator'!K:K,MATCH('Lorri 401b'!N1183,'Retirement Calculator'!A:A,0),0),0)</f>
        <v>0</v>
      </c>
      <c r="K1183" s="444">
        <f t="shared" ca="1" si="103"/>
        <v>-307746.83028989885</v>
      </c>
      <c r="L1183" s="444">
        <f t="shared" ca="1" si="104"/>
        <v>-74166986.09986563</v>
      </c>
      <c r="M1183" s="460">
        <f t="shared" si="106"/>
        <v>0.05</v>
      </c>
      <c r="N1183" s="464">
        <f t="shared" si="107"/>
        <v>87050</v>
      </c>
    </row>
    <row r="1184" spans="7:14" ht="11.25" customHeight="1" x14ac:dyDescent="0.3">
      <c r="G1184" s="459"/>
      <c r="H1184" s="459">
        <v>1177</v>
      </c>
      <c r="I1184" s="444">
        <f t="shared" ca="1" si="105"/>
        <v>-74166986.09986563</v>
      </c>
      <c r="J1184" s="444">
        <f t="array" ref="J1184">IFERROR(INDEX('Retirement Calculator'!K:K,MATCH('Lorri 401b'!N1184,'Retirement Calculator'!A:A,0),0),0)</f>
        <v>0</v>
      </c>
      <c r="K1184" s="444">
        <f t="shared" ca="1" si="103"/>
        <v>-309029.10874944011</v>
      </c>
      <c r="L1184" s="444">
        <f t="shared" ca="1" si="104"/>
        <v>-74476015.208615065</v>
      </c>
      <c r="M1184" s="460">
        <f t="shared" si="106"/>
        <v>0.05</v>
      </c>
      <c r="N1184" s="464">
        <f t="shared" si="107"/>
        <v>87081</v>
      </c>
    </row>
    <row r="1185" spans="7:14" ht="11.25" customHeight="1" x14ac:dyDescent="0.3">
      <c r="G1185" s="459"/>
      <c r="H1185" s="459">
        <v>1178</v>
      </c>
      <c r="I1185" s="444">
        <f t="shared" ca="1" si="105"/>
        <v>-74476015.208615065</v>
      </c>
      <c r="J1185" s="444">
        <f t="array" ref="J1185">IFERROR(INDEX('Retirement Calculator'!K:K,MATCH('Lorri 401b'!N1185,'Retirement Calculator'!A:A,0),0),0)</f>
        <v>0</v>
      </c>
      <c r="K1185" s="444">
        <f t="shared" ca="1" si="103"/>
        <v>-310316.73003589612</v>
      </c>
      <c r="L1185" s="444">
        <f t="shared" ca="1" si="104"/>
        <v>-74786331.938650966</v>
      </c>
      <c r="M1185" s="460">
        <f t="shared" si="106"/>
        <v>0.05</v>
      </c>
      <c r="N1185" s="464">
        <f t="shared" si="107"/>
        <v>87111</v>
      </c>
    </row>
    <row r="1186" spans="7:14" ht="11.25" customHeight="1" x14ac:dyDescent="0.3">
      <c r="G1186" s="459"/>
      <c r="H1186" s="459">
        <v>1179</v>
      </c>
      <c r="I1186" s="444">
        <f t="shared" ca="1" si="105"/>
        <v>-74786331.938650966</v>
      </c>
      <c r="J1186" s="444">
        <f t="array" ref="J1186">IFERROR(INDEX('Retirement Calculator'!K:K,MATCH('Lorri 401b'!N1186,'Retirement Calculator'!A:A,0),0),0)</f>
        <v>0</v>
      </c>
      <c r="K1186" s="444">
        <f t="shared" ca="1" si="103"/>
        <v>-311609.71641104569</v>
      </c>
      <c r="L1186" s="444">
        <f t="shared" ca="1" si="104"/>
        <v>-75097941.655062005</v>
      </c>
      <c r="M1186" s="460">
        <f t="shared" si="106"/>
        <v>0.05</v>
      </c>
      <c r="N1186" s="464">
        <f t="shared" si="107"/>
        <v>87142</v>
      </c>
    </row>
    <row r="1187" spans="7:14" ht="11.25" customHeight="1" x14ac:dyDescent="0.3">
      <c r="G1187" s="459"/>
      <c r="H1187" s="459">
        <v>1180</v>
      </c>
      <c r="I1187" s="444">
        <f t="shared" ca="1" si="105"/>
        <v>-75097941.655062005</v>
      </c>
      <c r="J1187" s="444">
        <f t="array" ref="J1187">IFERROR(INDEX('Retirement Calculator'!K:K,MATCH('Lorri 401b'!N1187,'Retirement Calculator'!A:A,0),0),0)</f>
        <v>0</v>
      </c>
      <c r="K1187" s="444">
        <f t="shared" ca="1" si="103"/>
        <v>-312908.090229425</v>
      </c>
      <c r="L1187" s="444">
        <f t="shared" ca="1" si="104"/>
        <v>-75410849.745291427</v>
      </c>
      <c r="M1187" s="460">
        <f t="shared" si="106"/>
        <v>0.05</v>
      </c>
      <c r="N1187" s="464">
        <f t="shared" si="107"/>
        <v>87173</v>
      </c>
    </row>
    <row r="1188" spans="7:14" ht="11.25" customHeight="1" x14ac:dyDescent="0.3">
      <c r="G1188" s="459"/>
      <c r="H1188" s="459">
        <v>1181</v>
      </c>
      <c r="I1188" s="444">
        <f t="shared" ca="1" si="105"/>
        <v>-75410849.745291427</v>
      </c>
      <c r="J1188" s="444">
        <f t="array" ref="J1188">IFERROR(INDEX('Retirement Calculator'!K:K,MATCH('Lorri 401b'!N1188,'Retirement Calculator'!A:A,0),0),0)</f>
        <v>0</v>
      </c>
      <c r="K1188" s="444">
        <f t="shared" ca="1" si="103"/>
        <v>-314211.87393871427</v>
      </c>
      <c r="L1188" s="444">
        <f t="shared" ca="1" si="104"/>
        <v>-75725061.619230136</v>
      </c>
      <c r="M1188" s="460">
        <f t="shared" si="106"/>
        <v>0.05</v>
      </c>
      <c r="N1188" s="464">
        <f t="shared" si="107"/>
        <v>87203</v>
      </c>
    </row>
    <row r="1189" spans="7:14" ht="11.25" customHeight="1" x14ac:dyDescent="0.3">
      <c r="G1189" s="459"/>
      <c r="H1189" s="459">
        <v>1182</v>
      </c>
      <c r="I1189" s="444">
        <f t="shared" ca="1" si="105"/>
        <v>-75725061.619230136</v>
      </c>
      <c r="J1189" s="444">
        <f t="array" ref="J1189">IFERROR(INDEX('Retirement Calculator'!K:K,MATCH('Lorri 401b'!N1189,'Retirement Calculator'!A:A,0),0),0)</f>
        <v>0</v>
      </c>
      <c r="K1189" s="444">
        <f t="shared" ca="1" si="103"/>
        <v>-315521.09008012555</v>
      </c>
      <c r="L1189" s="444">
        <f t="shared" ca="1" si="104"/>
        <v>-76040582.709310263</v>
      </c>
      <c r="M1189" s="460">
        <f t="shared" si="106"/>
        <v>0.05</v>
      </c>
      <c r="N1189" s="464">
        <f t="shared" si="107"/>
        <v>87234</v>
      </c>
    </row>
    <row r="1190" spans="7:14" ht="11.25" customHeight="1" x14ac:dyDescent="0.3">
      <c r="G1190" s="459"/>
      <c r="H1190" s="459">
        <v>1183</v>
      </c>
      <c r="I1190" s="444">
        <f t="shared" ca="1" si="105"/>
        <v>-76040582.709310263</v>
      </c>
      <c r="J1190" s="444">
        <f t="array" ref="J1190">IFERROR(INDEX('Retirement Calculator'!K:K,MATCH('Lorri 401b'!N1190,'Retirement Calculator'!A:A,0),0),0)</f>
        <v>0</v>
      </c>
      <c r="K1190" s="444">
        <f t="shared" ca="1" si="103"/>
        <v>-316835.76128879277</v>
      </c>
      <c r="L1190" s="444">
        <f t="shared" ca="1" si="104"/>
        <v>-76357418.470599055</v>
      </c>
      <c r="M1190" s="460">
        <f t="shared" si="106"/>
        <v>0.05</v>
      </c>
      <c r="N1190" s="464">
        <f t="shared" si="107"/>
        <v>87264</v>
      </c>
    </row>
    <row r="1191" spans="7:14" ht="11.25" customHeight="1" x14ac:dyDescent="0.3">
      <c r="G1191" s="459"/>
      <c r="H1191" s="459">
        <v>1184</v>
      </c>
      <c r="I1191" s="444">
        <f t="shared" ca="1" si="105"/>
        <v>-76357418.470599055</v>
      </c>
      <c r="J1191" s="444">
        <f t="array" ref="J1191">IFERROR(INDEX('Retirement Calculator'!K:K,MATCH('Lorri 401b'!N1191,'Retirement Calculator'!A:A,0),0),0)</f>
        <v>0</v>
      </c>
      <c r="K1191" s="444">
        <f t="shared" ca="1" si="103"/>
        <v>-318155.91029416275</v>
      </c>
      <c r="L1191" s="444">
        <f t="shared" ca="1" si="104"/>
        <v>-76675574.380893216</v>
      </c>
      <c r="M1191" s="460">
        <f t="shared" si="106"/>
        <v>0.05</v>
      </c>
      <c r="N1191" s="464">
        <f t="shared" si="107"/>
        <v>87295</v>
      </c>
    </row>
    <row r="1192" spans="7:14" ht="11.25" customHeight="1" x14ac:dyDescent="0.3">
      <c r="G1192" s="459"/>
      <c r="H1192" s="459">
        <v>1185</v>
      </c>
      <c r="I1192" s="444">
        <f t="shared" ca="1" si="105"/>
        <v>-76675574.380893216</v>
      </c>
      <c r="J1192" s="444">
        <f t="array" ref="J1192">IFERROR(INDEX('Retirement Calculator'!K:K,MATCH('Lorri 401b'!N1192,'Retirement Calculator'!A:A,0),0),0)</f>
        <v>0</v>
      </c>
      <c r="K1192" s="444">
        <f t="shared" ca="1" si="103"/>
        <v>-319481.55992038839</v>
      </c>
      <c r="L1192" s="444">
        <f t="shared" ca="1" si="104"/>
        <v>-76995055.940813601</v>
      </c>
      <c r="M1192" s="460">
        <f t="shared" si="106"/>
        <v>0.05</v>
      </c>
      <c r="N1192" s="464">
        <f t="shared" si="107"/>
        <v>87326</v>
      </c>
    </row>
    <row r="1193" spans="7:14" ht="11.25" customHeight="1" x14ac:dyDescent="0.3">
      <c r="G1193" s="459"/>
      <c r="H1193" s="459">
        <v>1186</v>
      </c>
      <c r="I1193" s="444">
        <f t="shared" ca="1" si="105"/>
        <v>-76995055.940813601</v>
      </c>
      <c r="J1193" s="444">
        <f t="array" ref="J1193">IFERROR(INDEX('Retirement Calculator'!K:K,MATCH('Lorri 401b'!N1193,'Retirement Calculator'!A:A,0),0),0)</f>
        <v>0</v>
      </c>
      <c r="K1193" s="444">
        <f t="shared" ca="1" si="103"/>
        <v>-320812.73308672331</v>
      </c>
      <c r="L1193" s="444">
        <f t="shared" ca="1" si="104"/>
        <v>-77315868.673900321</v>
      </c>
      <c r="M1193" s="460">
        <f t="shared" si="106"/>
        <v>0.05</v>
      </c>
      <c r="N1193" s="464">
        <f t="shared" si="107"/>
        <v>87354</v>
      </c>
    </row>
    <row r="1194" spans="7:14" ht="11.25" customHeight="1" x14ac:dyDescent="0.3">
      <c r="G1194" s="459"/>
      <c r="H1194" s="459">
        <v>1187</v>
      </c>
      <c r="I1194" s="444">
        <f t="shared" ca="1" si="105"/>
        <v>-77315868.673900321</v>
      </c>
      <c r="J1194" s="444">
        <f t="array" ref="J1194">IFERROR(INDEX('Retirement Calculator'!K:K,MATCH('Lorri 401b'!N1194,'Retirement Calculator'!A:A,0),0),0)</f>
        <v>0</v>
      </c>
      <c r="K1194" s="444">
        <f t="shared" ca="1" si="103"/>
        <v>-322149.45280791802</v>
      </c>
      <c r="L1194" s="444">
        <f t="shared" ca="1" si="104"/>
        <v>-77638018.126708239</v>
      </c>
      <c r="M1194" s="460">
        <f t="shared" si="106"/>
        <v>0.05</v>
      </c>
      <c r="N1194" s="464">
        <f t="shared" si="107"/>
        <v>87385</v>
      </c>
    </row>
    <row r="1195" spans="7:14" ht="11.25" customHeight="1" x14ac:dyDescent="0.3">
      <c r="G1195" s="459"/>
      <c r="H1195" s="459">
        <v>1188</v>
      </c>
      <c r="I1195" s="444">
        <f t="shared" ca="1" si="105"/>
        <v>-77638018.126708239</v>
      </c>
      <c r="J1195" s="444">
        <f t="array" ref="J1195">IFERROR(INDEX('Retirement Calculator'!K:K,MATCH('Lorri 401b'!N1195,'Retirement Calculator'!A:A,0),0),0)</f>
        <v>0</v>
      </c>
      <c r="K1195" s="444">
        <f t="shared" ca="1" si="103"/>
        <v>-323491.74219461763</v>
      </c>
      <c r="L1195" s="444">
        <f t="shared" ca="1" si="104"/>
        <v>-77961509.868902862</v>
      </c>
      <c r="M1195" s="460">
        <f t="shared" si="106"/>
        <v>0.05</v>
      </c>
      <c r="N1195" s="464">
        <f t="shared" si="107"/>
        <v>87415</v>
      </c>
    </row>
    <row r="1196" spans="7:14" ht="11.25" customHeight="1" x14ac:dyDescent="0.3">
      <c r="G1196" s="459"/>
      <c r="H1196" s="459">
        <v>1189</v>
      </c>
      <c r="I1196" s="444">
        <f t="shared" ca="1" si="105"/>
        <v>-77961509.868902862</v>
      </c>
      <c r="J1196" s="444">
        <f t="array" ref="J1196">IFERROR(INDEX('Retirement Calculator'!K:K,MATCH('Lorri 401b'!N1196,'Retirement Calculator'!A:A,0),0),0)</f>
        <v>0</v>
      </c>
      <c r="K1196" s="444">
        <f t="shared" ca="1" si="103"/>
        <v>-324839.62445376191</v>
      </c>
      <c r="L1196" s="444">
        <f t="shared" ca="1" si="104"/>
        <v>-78286349.49335663</v>
      </c>
      <c r="M1196" s="460">
        <f t="shared" si="106"/>
        <v>0.05</v>
      </c>
      <c r="N1196" s="464">
        <f t="shared" si="107"/>
        <v>87446</v>
      </c>
    </row>
    <row r="1197" spans="7:14" ht="11.25" customHeight="1" x14ac:dyDescent="0.3">
      <c r="G1197" s="459"/>
      <c r="H1197" s="459">
        <v>1190</v>
      </c>
      <c r="I1197" s="444">
        <f t="shared" ca="1" si="105"/>
        <v>-78286349.49335663</v>
      </c>
      <c r="J1197" s="444">
        <f t="array" ref="J1197">IFERROR(INDEX('Retirement Calculator'!K:K,MATCH('Lorri 401b'!N1197,'Retirement Calculator'!A:A,0),0),0)</f>
        <v>0</v>
      </c>
      <c r="K1197" s="444">
        <f t="shared" ca="1" si="103"/>
        <v>-326193.12288898596</v>
      </c>
      <c r="L1197" s="444">
        <f t="shared" ca="1" si="104"/>
        <v>-78612542.616245613</v>
      </c>
      <c r="M1197" s="460">
        <f t="shared" si="106"/>
        <v>0.05</v>
      </c>
      <c r="N1197" s="464">
        <f t="shared" si="107"/>
        <v>87476</v>
      </c>
    </row>
    <row r="1198" spans="7:14" ht="11.25" customHeight="1" x14ac:dyDescent="0.3">
      <c r="G1198" s="459"/>
      <c r="H1198" s="459">
        <v>1191</v>
      </c>
      <c r="I1198" s="444">
        <f t="shared" ca="1" si="105"/>
        <v>-78612542.616245613</v>
      </c>
      <c r="J1198" s="444">
        <f t="array" ref="J1198">IFERROR(INDEX('Retirement Calculator'!K:K,MATCH('Lorri 401b'!N1198,'Retirement Calculator'!A:A,0),0),0)</f>
        <v>0</v>
      </c>
      <c r="K1198" s="444">
        <f t="shared" ca="1" si="103"/>
        <v>-327552.2609010234</v>
      </c>
      <c r="L1198" s="444">
        <f t="shared" ca="1" si="104"/>
        <v>-78940094.877146631</v>
      </c>
      <c r="M1198" s="460">
        <f t="shared" si="106"/>
        <v>0.05</v>
      </c>
      <c r="N1198" s="464">
        <f t="shared" si="107"/>
        <v>87507</v>
      </c>
    </row>
    <row r="1199" spans="7:14" ht="11.25" customHeight="1" x14ac:dyDescent="0.3">
      <c r="G1199" s="459"/>
      <c r="H1199" s="459">
        <v>1192</v>
      </c>
      <c r="I1199" s="444">
        <f t="shared" ca="1" si="105"/>
        <v>-78940094.877146631</v>
      </c>
      <c r="J1199" s="444">
        <f t="array" ref="J1199">IFERROR(INDEX('Retirement Calculator'!K:K,MATCH('Lorri 401b'!N1199,'Retirement Calculator'!A:A,0),0),0)</f>
        <v>0</v>
      </c>
      <c r="K1199" s="444">
        <f t="shared" ca="1" si="103"/>
        <v>-328917.06198811095</v>
      </c>
      <c r="L1199" s="444">
        <f t="shared" ca="1" si="104"/>
        <v>-79269011.939134747</v>
      </c>
      <c r="M1199" s="460">
        <f t="shared" si="106"/>
        <v>0.05</v>
      </c>
      <c r="N1199" s="464">
        <f t="shared" si="107"/>
        <v>87538</v>
      </c>
    </row>
    <row r="1200" spans="7:14" ht="11.25" customHeight="1" x14ac:dyDescent="0.3">
      <c r="G1200" s="459"/>
      <c r="H1200" s="459">
        <v>1193</v>
      </c>
      <c r="I1200" s="444">
        <f t="shared" ca="1" si="105"/>
        <v>-79269011.939134747</v>
      </c>
      <c r="J1200" s="444">
        <f t="array" ref="J1200">IFERROR(INDEX('Retirement Calculator'!K:K,MATCH('Lorri 401b'!N1200,'Retirement Calculator'!A:A,0),0),0)</f>
        <v>0</v>
      </c>
      <c r="K1200" s="444">
        <f t="shared" ca="1" si="103"/>
        <v>-330287.5497463948</v>
      </c>
      <c r="L1200" s="444">
        <f t="shared" ca="1" si="104"/>
        <v>-79599299.488881141</v>
      </c>
      <c r="M1200" s="460">
        <f t="shared" si="106"/>
        <v>0.05</v>
      </c>
      <c r="N1200" s="464">
        <f t="shared" si="107"/>
        <v>87568</v>
      </c>
    </row>
    <row r="1201" spans="7:14" ht="11.25" customHeight="1" x14ac:dyDescent="0.3">
      <c r="G1201" s="459"/>
      <c r="H1201" s="459">
        <v>1194</v>
      </c>
      <c r="I1201" s="444">
        <f t="shared" ca="1" si="105"/>
        <v>-79599299.488881141</v>
      </c>
      <c r="J1201" s="444">
        <f t="array" ref="J1201">IFERROR(INDEX('Retirement Calculator'!K:K,MATCH('Lorri 401b'!N1201,'Retirement Calculator'!A:A,0),0),0)</f>
        <v>0</v>
      </c>
      <c r="K1201" s="444">
        <f t="shared" ca="1" si="103"/>
        <v>-331663.74787033809</v>
      </c>
      <c r="L1201" s="444">
        <f t="shared" ca="1" si="104"/>
        <v>-79930963.236751482</v>
      </c>
      <c r="M1201" s="460">
        <f t="shared" si="106"/>
        <v>0.05</v>
      </c>
      <c r="N1201" s="464">
        <f t="shared" si="107"/>
        <v>87599</v>
      </c>
    </row>
    <row r="1202" spans="7:14" ht="11.25" customHeight="1" x14ac:dyDescent="0.3">
      <c r="G1202" s="459"/>
      <c r="H1202" s="459">
        <v>1195</v>
      </c>
      <c r="I1202" s="444">
        <f t="shared" ca="1" si="105"/>
        <v>-79930963.236751482</v>
      </c>
      <c r="J1202" s="444">
        <f t="array" ref="J1202">IFERROR(INDEX('Retirement Calculator'!K:K,MATCH('Lorri 401b'!N1202,'Retirement Calculator'!A:A,0),0),0)</f>
        <v>0</v>
      </c>
      <c r="K1202" s="444">
        <f t="shared" ca="1" si="103"/>
        <v>-333045.68015313119</v>
      </c>
      <c r="L1202" s="444">
        <f t="shared" ca="1" si="104"/>
        <v>-80264008.916904613</v>
      </c>
      <c r="M1202" s="460">
        <f t="shared" si="106"/>
        <v>0.05</v>
      </c>
      <c r="N1202" s="464">
        <f t="shared" si="107"/>
        <v>87629</v>
      </c>
    </row>
    <row r="1203" spans="7:14" ht="11.25" customHeight="1" x14ac:dyDescent="0.3">
      <c r="G1203" s="459"/>
      <c r="H1203" s="459">
        <v>1196</v>
      </c>
      <c r="I1203" s="444">
        <f t="shared" ca="1" si="105"/>
        <v>-80264008.916904613</v>
      </c>
      <c r="J1203" s="444">
        <f t="array" ref="J1203">IFERROR(INDEX('Retirement Calculator'!K:K,MATCH('Lorri 401b'!N1203,'Retirement Calculator'!A:A,0),0),0)</f>
        <v>0</v>
      </c>
      <c r="K1203" s="444">
        <f t="shared" ca="1" si="103"/>
        <v>-334433.37048710254</v>
      </c>
      <c r="L1203" s="444">
        <f t="shared" ca="1" si="104"/>
        <v>-80598442.287391722</v>
      </c>
      <c r="M1203" s="460">
        <f t="shared" si="106"/>
        <v>0.05</v>
      </c>
      <c r="N1203" s="464">
        <f t="shared" si="107"/>
        <v>87660</v>
      </c>
    </row>
    <row r="1204" spans="7:14" ht="11.25" customHeight="1" x14ac:dyDescent="0.3">
      <c r="G1204" s="459"/>
      <c r="H1204" s="459">
        <v>1197</v>
      </c>
      <c r="I1204" s="444">
        <f t="shared" ca="1" si="105"/>
        <v>-80598442.287391722</v>
      </c>
      <c r="J1204" s="444">
        <f t="array" ref="J1204">IFERROR(INDEX('Retirement Calculator'!K:K,MATCH('Lorri 401b'!N1204,'Retirement Calculator'!A:A,0),0),0)</f>
        <v>0</v>
      </c>
      <c r="K1204" s="444">
        <f t="shared" ca="1" si="103"/>
        <v>-335826.8428641322</v>
      </c>
      <c r="L1204" s="444">
        <f t="shared" ca="1" si="104"/>
        <v>-80934269.130255848</v>
      </c>
      <c r="M1204" s="460">
        <f t="shared" si="106"/>
        <v>0.05</v>
      </c>
      <c r="N1204" s="464">
        <f t="shared" si="107"/>
        <v>87691</v>
      </c>
    </row>
    <row r="1205" spans="7:14" ht="11.25" customHeight="1" x14ac:dyDescent="0.3">
      <c r="G1205" s="459"/>
      <c r="H1205" s="459">
        <v>1198</v>
      </c>
      <c r="I1205" s="444">
        <f t="shared" ca="1" si="105"/>
        <v>-80934269.130255848</v>
      </c>
      <c r="J1205" s="444">
        <f t="array" ref="J1205">IFERROR(INDEX('Retirement Calculator'!K:K,MATCH('Lorri 401b'!N1205,'Retirement Calculator'!A:A,0),0),0)</f>
        <v>0</v>
      </c>
      <c r="K1205" s="444">
        <f t="shared" ca="1" si="103"/>
        <v>-337226.121376066</v>
      </c>
      <c r="L1205" s="444">
        <f t="shared" ca="1" si="104"/>
        <v>-81271495.251631916</v>
      </c>
      <c r="M1205" s="460">
        <f t="shared" si="106"/>
        <v>0.05</v>
      </c>
      <c r="N1205" s="464">
        <f t="shared" si="107"/>
        <v>87720</v>
      </c>
    </row>
    <row r="1206" spans="7:14" ht="11.25" customHeight="1" x14ac:dyDescent="0.3">
      <c r="G1206" s="459"/>
      <c r="H1206" s="459">
        <v>1199</v>
      </c>
      <c r="I1206" s="444">
        <f t="shared" ca="1" si="105"/>
        <v>-81271495.251631916</v>
      </c>
      <c r="J1206" s="444">
        <f t="array" ref="J1206">IFERROR(INDEX('Retirement Calculator'!K:K,MATCH('Lorri 401b'!N1206,'Retirement Calculator'!A:A,0),0),0)</f>
        <v>0</v>
      </c>
      <c r="K1206" s="444">
        <f t="shared" ca="1" si="103"/>
        <v>-338631.23021513299</v>
      </c>
      <c r="L1206" s="444">
        <f t="shared" ca="1" si="104"/>
        <v>-81610126.481847048</v>
      </c>
      <c r="M1206" s="460">
        <f t="shared" si="106"/>
        <v>0.05</v>
      </c>
      <c r="N1206" s="464">
        <f t="shared" si="107"/>
        <v>87751</v>
      </c>
    </row>
    <row r="1207" spans="7:14" ht="11.25" customHeight="1" x14ac:dyDescent="0.3">
      <c r="G1207" s="459"/>
      <c r="H1207" s="459">
        <v>1200</v>
      </c>
      <c r="I1207" s="444">
        <f t="shared" ca="1" si="105"/>
        <v>-81610126.481847048</v>
      </c>
      <c r="J1207" s="444">
        <f t="array" ref="J1207">IFERROR(INDEX('Retirement Calculator'!K:K,MATCH('Lorri 401b'!N1207,'Retirement Calculator'!A:A,0),0),0)</f>
        <v>0</v>
      </c>
      <c r="K1207" s="444">
        <f t="shared" ca="1" si="103"/>
        <v>-340042.19367436267</v>
      </c>
      <c r="L1207" s="444">
        <f t="shared" ca="1" si="104"/>
        <v>-81950168.675521404</v>
      </c>
      <c r="M1207" s="460">
        <f t="shared" si="106"/>
        <v>0.05</v>
      </c>
      <c r="N1207" s="464">
        <f t="shared" si="107"/>
        <v>87781</v>
      </c>
    </row>
    <row r="1208" spans="7:14" ht="11.25" customHeight="1" x14ac:dyDescent="0.3">
      <c r="G1208" s="459"/>
      <c r="H1208" s="459">
        <v>1201</v>
      </c>
      <c r="I1208" s="444">
        <f t="shared" ca="1" si="105"/>
        <v>-81950168.675521404</v>
      </c>
      <c r="J1208" s="444">
        <f t="array" ref="J1208">IFERROR(INDEX('Retirement Calculator'!K:K,MATCH('Lorri 401b'!N1208,'Retirement Calculator'!A:A,0),0),0)</f>
        <v>0</v>
      </c>
      <c r="K1208" s="444">
        <f t="shared" ca="1" si="103"/>
        <v>-341459.03614800586</v>
      </c>
      <c r="L1208" s="444">
        <f t="shared" ca="1" si="104"/>
        <v>-82291627.711669415</v>
      </c>
      <c r="M1208" s="460">
        <f t="shared" si="106"/>
        <v>0.05</v>
      </c>
      <c r="N1208" s="464">
        <f t="shared" si="107"/>
        <v>87812</v>
      </c>
    </row>
    <row r="1209" spans="7:14" ht="11.25" customHeight="1" x14ac:dyDescent="0.3">
      <c r="G1209" s="459"/>
      <c r="H1209" s="459">
        <v>1202</v>
      </c>
      <c r="I1209" s="444">
        <f t="shared" ca="1" si="105"/>
        <v>-82291627.711669415</v>
      </c>
      <c r="J1209" s="444">
        <f t="array" ref="J1209">IFERROR(INDEX('Retirement Calculator'!K:K,MATCH('Lorri 401b'!N1209,'Retirement Calculator'!A:A,0),0),0)</f>
        <v>0</v>
      </c>
      <c r="K1209" s="444">
        <f t="shared" ca="1" si="103"/>
        <v>-342881.7821319559</v>
      </c>
      <c r="L1209" s="444">
        <f t="shared" ca="1" si="104"/>
        <v>-82634509.49380137</v>
      </c>
      <c r="M1209" s="460">
        <f t="shared" si="106"/>
        <v>0.05</v>
      </c>
      <c r="N1209" s="464">
        <f t="shared" si="107"/>
        <v>87842</v>
      </c>
    </row>
    <row r="1210" spans="7:14" ht="11.25" customHeight="1" x14ac:dyDescent="0.3">
      <c r="G1210" s="459"/>
      <c r="H1210" s="459">
        <v>1203</v>
      </c>
      <c r="I1210" s="444">
        <f t="shared" ca="1" si="105"/>
        <v>-82634509.49380137</v>
      </c>
      <c r="J1210" s="444">
        <f t="array" ref="J1210">IFERROR(INDEX('Retirement Calculator'!K:K,MATCH('Lorri 401b'!N1210,'Retirement Calculator'!A:A,0),0),0)</f>
        <v>0</v>
      </c>
      <c r="K1210" s="444">
        <f t="shared" ca="1" si="103"/>
        <v>-344310.45622417238</v>
      </c>
      <c r="L1210" s="444">
        <f t="shared" ca="1" si="104"/>
        <v>-82978819.950025544</v>
      </c>
      <c r="M1210" s="460">
        <f t="shared" si="106"/>
        <v>0.05</v>
      </c>
      <c r="N1210" s="464">
        <f t="shared" si="107"/>
        <v>87873</v>
      </c>
    </row>
    <row r="1211" spans="7:14" ht="11.25" customHeight="1" x14ac:dyDescent="0.3">
      <c r="G1211" s="459"/>
      <c r="H1211" s="459">
        <v>1204</v>
      </c>
      <c r="I1211" s="444">
        <f t="shared" ca="1" si="105"/>
        <v>-82978819.950025544</v>
      </c>
      <c r="J1211" s="444">
        <f t="array" ref="J1211">IFERROR(INDEX('Retirement Calculator'!K:K,MATCH('Lorri 401b'!N1211,'Retirement Calculator'!A:A,0),0),0)</f>
        <v>0</v>
      </c>
      <c r="K1211" s="444">
        <f t="shared" ca="1" si="103"/>
        <v>-345745.08312510641</v>
      </c>
      <c r="L1211" s="444">
        <f t="shared" ca="1" si="104"/>
        <v>-83324565.033150643</v>
      </c>
      <c r="M1211" s="460">
        <f t="shared" si="106"/>
        <v>0.05</v>
      </c>
      <c r="N1211" s="464">
        <f t="shared" si="107"/>
        <v>87904</v>
      </c>
    </row>
    <row r="1212" spans="7:14" ht="11.25" customHeight="1" x14ac:dyDescent="0.3">
      <c r="G1212" s="459"/>
      <c r="H1212" s="459">
        <v>1205</v>
      </c>
      <c r="I1212" s="444">
        <f t="shared" ca="1" si="105"/>
        <v>-83324565.033150643</v>
      </c>
      <c r="J1212" s="444">
        <f t="array" ref="J1212">IFERROR(INDEX('Retirement Calculator'!K:K,MATCH('Lorri 401b'!N1212,'Retirement Calculator'!A:A,0),0),0)</f>
        <v>0</v>
      </c>
      <c r="K1212" s="444">
        <f t="shared" ca="1" si="103"/>
        <v>-347185.68763812765</v>
      </c>
      <c r="L1212" s="444">
        <f t="shared" ca="1" si="104"/>
        <v>-83671750.720788777</v>
      </c>
      <c r="M1212" s="460">
        <f t="shared" si="106"/>
        <v>0.05</v>
      </c>
      <c r="N1212" s="464">
        <f t="shared" si="107"/>
        <v>87934</v>
      </c>
    </row>
    <row r="1213" spans="7:14" ht="11.25" customHeight="1" x14ac:dyDescent="0.3">
      <c r="G1213" s="459"/>
      <c r="H1213" s="459">
        <v>1206</v>
      </c>
      <c r="I1213" s="444">
        <f t="shared" ca="1" si="105"/>
        <v>-83671750.720788777</v>
      </c>
      <c r="J1213" s="444">
        <f t="array" ref="J1213">IFERROR(INDEX('Retirement Calculator'!K:K,MATCH('Lorri 401b'!N1213,'Retirement Calculator'!A:A,0),0),0)</f>
        <v>0</v>
      </c>
      <c r="K1213" s="444">
        <f t="shared" ca="1" si="103"/>
        <v>-348632.29466995323</v>
      </c>
      <c r="L1213" s="444">
        <f t="shared" ca="1" si="104"/>
        <v>-84020383.015458733</v>
      </c>
      <c r="M1213" s="460">
        <f t="shared" si="106"/>
        <v>0.05</v>
      </c>
      <c r="N1213" s="464">
        <f t="shared" si="107"/>
        <v>87965</v>
      </c>
    </row>
    <row r="1214" spans="7:14" ht="11.25" customHeight="1" x14ac:dyDescent="0.3">
      <c r="G1214" s="459"/>
      <c r="H1214" s="459">
        <v>1207</v>
      </c>
      <c r="I1214" s="444">
        <f t="shared" ca="1" si="105"/>
        <v>-84020383.015458733</v>
      </c>
      <c r="J1214" s="444">
        <f t="array" ref="J1214">IFERROR(INDEX('Retirement Calculator'!K:K,MATCH('Lorri 401b'!N1214,'Retirement Calculator'!A:A,0),0),0)</f>
        <v>0</v>
      </c>
      <c r="K1214" s="444">
        <f t="shared" ca="1" si="103"/>
        <v>-350084.92923107807</v>
      </c>
      <c r="L1214" s="444">
        <f t="shared" ca="1" si="104"/>
        <v>-84370467.94468981</v>
      </c>
      <c r="M1214" s="460">
        <f t="shared" si="106"/>
        <v>0.05</v>
      </c>
      <c r="N1214" s="464">
        <f t="shared" si="107"/>
        <v>87995</v>
      </c>
    </row>
    <row r="1215" spans="7:14" ht="11.25" customHeight="1" x14ac:dyDescent="0.3">
      <c r="G1215" s="459"/>
      <c r="H1215" s="459">
        <v>1208</v>
      </c>
      <c r="I1215" s="444">
        <f t="shared" ca="1" si="105"/>
        <v>-84370467.94468981</v>
      </c>
      <c r="J1215" s="444">
        <f t="array" ref="J1215">IFERROR(INDEX('Retirement Calculator'!K:K,MATCH('Lorri 401b'!N1215,'Retirement Calculator'!A:A,0),0),0)</f>
        <v>0</v>
      </c>
      <c r="K1215" s="444">
        <f t="shared" ca="1" si="103"/>
        <v>-351543.61643620755</v>
      </c>
      <c r="L1215" s="444">
        <f t="shared" ca="1" si="104"/>
        <v>-84722011.561126024</v>
      </c>
      <c r="M1215" s="460">
        <f t="shared" si="106"/>
        <v>0.05</v>
      </c>
      <c r="N1215" s="464">
        <f t="shared" si="107"/>
        <v>88026</v>
      </c>
    </row>
    <row r="1216" spans="7:14" ht="11.25" customHeight="1" x14ac:dyDescent="0.3">
      <c r="G1216" s="459"/>
      <c r="H1216" s="459">
        <v>1209</v>
      </c>
      <c r="I1216" s="444">
        <f t="shared" ca="1" si="105"/>
        <v>-84722011.561126024</v>
      </c>
      <c r="J1216" s="444">
        <f t="array" ref="J1216">IFERROR(INDEX('Retirement Calculator'!K:K,MATCH('Lorri 401b'!N1216,'Retirement Calculator'!A:A,0),0),0)</f>
        <v>0</v>
      </c>
      <c r="K1216" s="444">
        <f t="shared" ca="1" si="103"/>
        <v>-353008.38150469179</v>
      </c>
      <c r="L1216" s="444">
        <f t="shared" ca="1" si="104"/>
        <v>-85075019.942630708</v>
      </c>
      <c r="M1216" s="460">
        <f t="shared" si="106"/>
        <v>0.05</v>
      </c>
      <c r="N1216" s="464">
        <f t="shared" si="107"/>
        <v>88057</v>
      </c>
    </row>
    <row r="1217" spans="7:14" ht="11.25" customHeight="1" x14ac:dyDescent="0.3">
      <c r="G1217" s="459"/>
      <c r="H1217" s="459">
        <v>1210</v>
      </c>
      <c r="I1217" s="444">
        <f t="shared" ca="1" si="105"/>
        <v>-85075019.942630708</v>
      </c>
      <c r="J1217" s="444">
        <f t="array" ref="J1217">IFERROR(INDEX('Retirement Calculator'!K:K,MATCH('Lorri 401b'!N1217,'Retirement Calculator'!A:A,0),0),0)</f>
        <v>0</v>
      </c>
      <c r="K1217" s="444">
        <f t="shared" ca="1" si="103"/>
        <v>-354479.24976096128</v>
      </c>
      <c r="L1217" s="444">
        <f t="shared" ca="1" si="104"/>
        <v>-85429499.192391664</v>
      </c>
      <c r="M1217" s="460">
        <f t="shared" si="106"/>
        <v>0.05</v>
      </c>
      <c r="N1217" s="464">
        <f t="shared" si="107"/>
        <v>88085</v>
      </c>
    </row>
    <row r="1218" spans="7:14" ht="11.25" customHeight="1" x14ac:dyDescent="0.3">
      <c r="G1218" s="459"/>
      <c r="H1218" s="459">
        <v>1211</v>
      </c>
      <c r="I1218" s="444">
        <f t="shared" ca="1" si="105"/>
        <v>-85429499.192391664</v>
      </c>
      <c r="J1218" s="444">
        <f t="array" ref="J1218">IFERROR(INDEX('Retirement Calculator'!K:K,MATCH('Lorri 401b'!N1218,'Retirement Calculator'!A:A,0),0),0)</f>
        <v>0</v>
      </c>
      <c r="K1218" s="444">
        <f t="shared" ca="1" si="103"/>
        <v>-355956.24663496524</v>
      </c>
      <c r="L1218" s="444">
        <f t="shared" ca="1" si="104"/>
        <v>-85785455.439026624</v>
      </c>
      <c r="M1218" s="460">
        <f t="shared" si="106"/>
        <v>0.05</v>
      </c>
      <c r="N1218" s="464">
        <f t="shared" si="107"/>
        <v>88116</v>
      </c>
    </row>
    <row r="1219" spans="7:14" ht="11.25" customHeight="1" x14ac:dyDescent="0.3">
      <c r="G1219" s="459"/>
      <c r="H1219" s="459">
        <v>1212</v>
      </c>
      <c r="I1219" s="444">
        <f t="shared" ca="1" si="105"/>
        <v>-85785455.439026624</v>
      </c>
      <c r="J1219" s="444">
        <f t="array" ref="J1219">IFERROR(INDEX('Retirement Calculator'!K:K,MATCH('Lorri 401b'!N1219,'Retirement Calculator'!A:A,0),0),0)</f>
        <v>0</v>
      </c>
      <c r="K1219" s="444">
        <f t="shared" ca="1" si="103"/>
        <v>-357439.39766261092</v>
      </c>
      <c r="L1219" s="444">
        <f t="shared" ca="1" si="104"/>
        <v>-86142894.836689234</v>
      </c>
      <c r="M1219" s="460">
        <f t="shared" si="106"/>
        <v>0.05</v>
      </c>
      <c r="N1219" s="464">
        <f t="shared" si="107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5"/>
        <v>-86142894.836689234</v>
      </c>
      <c r="J1220" s="444">
        <f t="array" ref="J1220">IFERROR(INDEX('Retirement Calculator'!K:K,MATCH('Lorri 401b'!N1220,'Retirement Calculator'!A:A,0),0),0)</f>
        <v>0</v>
      </c>
      <c r="K1220" s="444">
        <f t="shared" ca="1" si="103"/>
        <v>-358928.72848620516</v>
      </c>
      <c r="L1220" s="444">
        <f t="shared" ca="1" si="104"/>
        <v>-86501823.565175444</v>
      </c>
      <c r="M1220" s="460">
        <f t="shared" si="106"/>
        <v>0.05</v>
      </c>
      <c r="N1220" s="464">
        <f t="shared" si="107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5"/>
        <v>-86501823.565175444</v>
      </c>
      <c r="J1221" s="444">
        <f t="array" ref="J1221">IFERROR(INDEX('Retirement Calculator'!K:K,MATCH('Lorri 401b'!N1221,'Retirement Calculator'!A:A,0),0),0)</f>
        <v>0</v>
      </c>
      <c r="K1221" s="444">
        <f t="shared" ca="1" si="103"/>
        <v>-360424.26485489769</v>
      </c>
      <c r="L1221" s="444">
        <f t="shared" ca="1" si="104"/>
        <v>-86862247.830030337</v>
      </c>
      <c r="M1221" s="460">
        <f t="shared" si="106"/>
        <v>0.05</v>
      </c>
      <c r="N1221" s="464">
        <f t="shared" si="107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5"/>
        <v>-86862247.830030337</v>
      </c>
      <c r="J1222" s="444">
        <f t="array" ref="J1222">IFERROR(INDEX('Retirement Calculator'!K:K,MATCH('Lorri 401b'!N1222,'Retirement Calculator'!A:A,0),0),0)</f>
        <v>0</v>
      </c>
      <c r="K1222" s="444">
        <f t="shared" ca="1" si="103"/>
        <v>-361926.03262512642</v>
      </c>
      <c r="L1222" s="444">
        <f t="shared" ca="1" si="104"/>
        <v>-87224173.862655461</v>
      </c>
      <c r="M1222" s="460">
        <f t="shared" si="106"/>
        <v>0.05</v>
      </c>
      <c r="N1222" s="464">
        <f t="shared" si="107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5"/>
        <v>-87224173.862655461</v>
      </c>
      <c r="J1223" s="444">
        <f t="array" ref="J1223">IFERROR(INDEX('Retirement Calculator'!K:K,MATCH('Lorri 401b'!N1223,'Retirement Calculator'!A:A,0),0),0)</f>
        <v>0</v>
      </c>
      <c r="K1223" s="444">
        <f t="shared" ca="1" si="103"/>
        <v>-363434.05776106444</v>
      </c>
      <c r="L1223" s="444">
        <f t="shared" ca="1" si="104"/>
        <v>-87587607.920416519</v>
      </c>
      <c r="M1223" s="460">
        <f t="shared" si="106"/>
        <v>0.05</v>
      </c>
      <c r="N1223" s="464">
        <f t="shared" si="107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5"/>
        <v>-87587607.920416519</v>
      </c>
      <c r="J1224" s="444">
        <f t="array" ref="J1224">IFERROR(INDEX('Retirement Calculator'!K:K,MATCH('Lorri 401b'!N1224,'Retirement Calculator'!A:A,0),0),0)</f>
        <v>0</v>
      </c>
      <c r="K1224" s="444">
        <f t="shared" ca="1" si="103"/>
        <v>-364948.36633506883</v>
      </c>
      <c r="L1224" s="444">
        <f t="shared" ca="1" si="104"/>
        <v>-87952556.286751583</v>
      </c>
      <c r="M1224" s="460">
        <f t="shared" si="106"/>
        <v>0.05</v>
      </c>
      <c r="N1224" s="464">
        <f t="shared" si="107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5"/>
        <v>-87952556.286751583</v>
      </c>
      <c r="J1225" s="444">
        <f t="array" ref="J1225">IFERROR(INDEX('Retirement Calculator'!K:K,MATCH('Lorri 401b'!N1225,'Retirement Calculator'!A:A,0),0),0)</f>
        <v>0</v>
      </c>
      <c r="K1225" s="444">
        <f t="shared" ca="1" si="103"/>
        <v>-366468.98452813161</v>
      </c>
      <c r="L1225" s="444">
        <f t="shared" ca="1" si="104"/>
        <v>-88319025.271279708</v>
      </c>
      <c r="M1225" s="460">
        <f t="shared" si="106"/>
        <v>0.05</v>
      </c>
      <c r="N1225" s="464">
        <f t="shared" si="107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5"/>
        <v>-88319025.271279708</v>
      </c>
      <c r="J1226" s="444">
        <f t="array" ref="J1226">IFERROR(INDEX('Retirement Calculator'!K:K,MATCH('Lorri 401b'!N1226,'Retirement Calculator'!A:A,0),0),0)</f>
        <v>0</v>
      </c>
      <c r="K1226" s="444">
        <f t="shared" ca="1" si="103"/>
        <v>-367995.93863033212</v>
      </c>
      <c r="L1226" s="444">
        <f t="shared" ca="1" si="104"/>
        <v>-88687021.209910035</v>
      </c>
      <c r="M1226" s="460">
        <f t="shared" si="106"/>
        <v>0.05</v>
      </c>
      <c r="N1226" s="464">
        <f t="shared" si="107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5"/>
        <v>-88687021.209910035</v>
      </c>
      <c r="J1227" s="444">
        <f t="array" ref="J1227">IFERROR(INDEX('Retirement Calculator'!K:K,MATCH('Lorri 401b'!N1227,'Retirement Calculator'!A:A,0),0),0)</f>
        <v>0</v>
      </c>
      <c r="K1227" s="444">
        <f t="shared" ca="1" si="103"/>
        <v>-369529.25504129182</v>
      </c>
      <c r="L1227" s="444">
        <f t="shared" ca="1" si="104"/>
        <v>-89056550.464951321</v>
      </c>
      <c r="M1227" s="460">
        <f t="shared" si="106"/>
        <v>0.05</v>
      </c>
      <c r="N1227" s="464">
        <f t="shared" si="107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5"/>
        <v>-89056550.464951321</v>
      </c>
      <c r="J1228" s="444">
        <f t="array" ref="J1228">IFERROR(INDEX('Retirement Calculator'!K:K,MATCH('Lorri 401b'!N1228,'Retirement Calculator'!A:A,0),0),0)</f>
        <v>0</v>
      </c>
      <c r="K1228" s="444">
        <f t="shared" ca="1" si="103"/>
        <v>-371068.96027063049</v>
      </c>
      <c r="L1228" s="444">
        <f t="shared" ca="1" si="104"/>
        <v>-89427619.42522195</v>
      </c>
      <c r="M1228" s="460">
        <f t="shared" si="106"/>
        <v>0.05</v>
      </c>
      <c r="N1228" s="464">
        <f t="shared" si="107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5"/>
        <v>-89427619.42522195</v>
      </c>
      <c r="J1229" s="444">
        <f t="array" ref="J1229">IFERROR(INDEX('Retirement Calculator'!K:K,MATCH('Lorri 401b'!N1229,'Retirement Calculator'!A:A,0),0),0)</f>
        <v>0</v>
      </c>
      <c r="K1229" s="444">
        <f t="shared" ca="1" si="103"/>
        <v>-372615.0809384248</v>
      </c>
      <c r="L1229" s="444">
        <f t="shared" ca="1" si="104"/>
        <v>-89800234.506160378</v>
      </c>
      <c r="M1229" s="460">
        <f t="shared" si="106"/>
        <v>0.05</v>
      </c>
      <c r="N1229" s="464">
        <f t="shared" si="107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5"/>
        <v>-89800234.506160378</v>
      </c>
      <c r="J1230" s="444">
        <f t="array" ref="J1230">IFERROR(INDEX('Retirement Calculator'!K:K,MATCH('Lorri 401b'!N1230,'Retirement Calculator'!A:A,0),0),0)</f>
        <v>0</v>
      </c>
      <c r="K1230" s="444">
        <f t="shared" ca="1" si="103"/>
        <v>-374167.64377566823</v>
      </c>
      <c r="L1230" s="444">
        <f t="shared" ca="1" si="104"/>
        <v>-90174402.14993605</v>
      </c>
      <c r="M1230" s="460">
        <f t="shared" si="106"/>
        <v>0.05</v>
      </c>
      <c r="N1230" s="464">
        <f t="shared" si="107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5"/>
        <v>-90174402.14993605</v>
      </c>
      <c r="J1231" s="444">
        <f t="array" ref="J1231">IFERROR(INDEX('Retirement Calculator'!K:K,MATCH('Lorri 401b'!N1231,'Retirement Calculator'!A:A,0),0),0)</f>
        <v>0</v>
      </c>
      <c r="K1231" s="444">
        <f t="shared" ca="1" si="103"/>
        <v>-375726.67562473356</v>
      </c>
      <c r="L1231" s="444">
        <f t="shared" ca="1" si="104"/>
        <v>-90550128.825560778</v>
      </c>
      <c r="M1231" s="460">
        <f t="shared" si="106"/>
        <v>0.05</v>
      </c>
      <c r="N1231" s="464">
        <f t="shared" si="107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5"/>
        <v>-90550128.825560778</v>
      </c>
      <c r="J1232" s="444">
        <f t="array" ref="J1232">IFERROR(INDEX('Retirement Calculator'!K:K,MATCH('Lorri 401b'!N1232,'Retirement Calculator'!A:A,0),0),0)</f>
        <v>0</v>
      </c>
      <c r="K1232" s="444">
        <f t="shared" ca="1" si="103"/>
        <v>-377292.20343983656</v>
      </c>
      <c r="L1232" s="444">
        <f t="shared" ca="1" si="104"/>
        <v>-90927421.02900061</v>
      </c>
      <c r="M1232" s="460">
        <f t="shared" si="106"/>
        <v>0.05</v>
      </c>
      <c r="N1232" s="464">
        <f t="shared" si="107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5"/>
        <v>-90927421.02900061</v>
      </c>
      <c r="J1233" s="444">
        <f t="array" ref="J1233">IFERROR(INDEX('Retirement Calculator'!K:K,MATCH('Lorri 401b'!N1233,'Retirement Calculator'!A:A,0),0),0)</f>
        <v>0</v>
      </c>
      <c r="K1233" s="444">
        <f t="shared" ca="1" si="103"/>
        <v>-378864.25428750255</v>
      </c>
      <c r="L1233" s="444">
        <f t="shared" ca="1" si="104"/>
        <v>-91306285.283288106</v>
      </c>
      <c r="M1233" s="460">
        <f t="shared" si="106"/>
        <v>0.05</v>
      </c>
      <c r="N1233" s="464">
        <f t="shared" si="107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5"/>
        <v>-91306285.283288106</v>
      </c>
      <c r="J1234" s="444">
        <f t="array" ref="J1234">IFERROR(INDEX('Retirement Calculator'!K:K,MATCH('Lorri 401b'!N1234,'Retirement Calculator'!A:A,0),0),0)</f>
        <v>0</v>
      </c>
      <c r="K1234" s="444">
        <f t="shared" ca="1" si="103"/>
        <v>-380442.85534703376</v>
      </c>
      <c r="L1234" s="444">
        <f t="shared" ca="1" si="104"/>
        <v>-91686728.138635144</v>
      </c>
      <c r="M1234" s="460">
        <f t="shared" si="106"/>
        <v>0.05</v>
      </c>
      <c r="N1234" s="464">
        <f t="shared" si="107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5"/>
        <v>-91686728.138635144</v>
      </c>
      <c r="J1235" s="444">
        <f t="array" ref="J1235">IFERROR(INDEX('Retirement Calculator'!K:K,MATCH('Lorri 401b'!N1235,'Retirement Calculator'!A:A,0),0),0)</f>
        <v>0</v>
      </c>
      <c r="K1235" s="444">
        <f t="shared" ca="1" si="103"/>
        <v>-382028.03391097975</v>
      </c>
      <c r="L1235" s="444">
        <f t="shared" ca="1" si="104"/>
        <v>-92068756.172546118</v>
      </c>
      <c r="M1235" s="460">
        <f t="shared" si="106"/>
        <v>0.05</v>
      </c>
      <c r="N1235" s="464">
        <f t="shared" si="107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5"/>
        <v>-92068756.172546118</v>
      </c>
      <c r="J1236" s="444">
        <f t="array" ref="J1236">IFERROR(INDEX('Retirement Calculator'!K:K,MATCH('Lorri 401b'!N1236,'Retirement Calculator'!A:A,0),0),0)</f>
        <v>0</v>
      </c>
      <c r="K1236" s="444">
        <f t="shared" ca="1" si="103"/>
        <v>-383619.8173856088</v>
      </c>
      <c r="L1236" s="444">
        <f t="shared" ca="1" si="104"/>
        <v>-92452375.989931732</v>
      </c>
      <c r="M1236" s="460">
        <f t="shared" si="106"/>
        <v>0.05</v>
      </c>
      <c r="N1236" s="464">
        <f t="shared" si="107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5"/>
        <v>-92452375.989931732</v>
      </c>
      <c r="J1237" s="444">
        <f t="array" ref="J1237">IFERROR(INDEX('Retirement Calculator'!K:K,MATCH('Lorri 401b'!N1237,'Retirement Calculator'!A:A,0),0),0)</f>
        <v>0</v>
      </c>
      <c r="K1237" s="444">
        <f t="shared" ca="1" si="103"/>
        <v>-385218.2332913822</v>
      </c>
      <c r="L1237" s="444">
        <f t="shared" ca="1" si="104"/>
        <v>-92837594.22322312</v>
      </c>
      <c r="M1237" s="460">
        <f t="shared" si="106"/>
        <v>0.05</v>
      </c>
      <c r="N1237" s="464">
        <f t="shared" si="107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5"/>
        <v>-92837594.22322312</v>
      </c>
      <c r="J1238" s="444">
        <f t="array" ref="J1238">IFERROR(INDEX('Retirement Calculator'!K:K,MATCH('Lorri 401b'!N1238,'Retirement Calculator'!A:A,0),0),0)</f>
        <v>0</v>
      </c>
      <c r="K1238" s="444">
        <f t="shared" ca="1" si="103"/>
        <v>-386823.30926342966</v>
      </c>
      <c r="L1238" s="444">
        <f t="shared" ca="1" si="104"/>
        <v>-93224417.532486543</v>
      </c>
      <c r="M1238" s="460">
        <f t="shared" si="106"/>
        <v>0.05</v>
      </c>
      <c r="N1238" s="464">
        <f t="shared" si="107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5"/>
        <v>-93224417.532486543</v>
      </c>
      <c r="J1239" s="444">
        <f t="array" ref="J1239">IFERROR(INDEX('Retirement Calculator'!K:K,MATCH('Lorri 401b'!N1239,'Retirement Calculator'!A:A,0),0),0)</f>
        <v>0</v>
      </c>
      <c r="K1239" s="444">
        <f t="shared" ca="1" si="103"/>
        <v>-388435.07305202726</v>
      </c>
      <c r="L1239" s="444">
        <f t="shared" ca="1" si="104"/>
        <v>-93612852.605538577</v>
      </c>
      <c r="M1239" s="460">
        <f t="shared" si="106"/>
        <v>0.05</v>
      </c>
      <c r="N1239" s="464">
        <f t="shared" si="107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5"/>
        <v>-93612852.605538577</v>
      </c>
      <c r="J1240" s="444">
        <f t="array" ref="J1240">IFERROR(INDEX('Retirement Calculator'!K:K,MATCH('Lorri 401b'!N1240,'Retirement Calculator'!A:A,0),0),0)</f>
        <v>0</v>
      </c>
      <c r="K1240" s="444">
        <f t="shared" ca="1" si="103"/>
        <v>-390053.55252307741</v>
      </c>
      <c r="L1240" s="444">
        <f t="shared" ca="1" si="104"/>
        <v>-94002906.158061653</v>
      </c>
      <c r="M1240" s="460">
        <f t="shared" si="106"/>
        <v>0.05</v>
      </c>
      <c r="N1240" s="464">
        <f t="shared" si="107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5"/>
        <v>-94002906.158061653</v>
      </c>
      <c r="J1241" s="444">
        <f t="array" ref="J1241">IFERROR(INDEX('Retirement Calculator'!K:K,MATCH('Lorri 401b'!N1241,'Retirement Calculator'!A:A,0),0),0)</f>
        <v>0</v>
      </c>
      <c r="K1241" s="444">
        <f t="shared" ca="1" si="103"/>
        <v>-391678.7756585902</v>
      </c>
      <c r="L1241" s="444">
        <f t="shared" ca="1" si="104"/>
        <v>-94394584.933720246</v>
      </c>
      <c r="M1241" s="460">
        <f t="shared" si="106"/>
        <v>0.05</v>
      </c>
      <c r="N1241" s="464">
        <f t="shared" si="107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5"/>
        <v>-94394584.933720246</v>
      </c>
      <c r="J1242" s="444">
        <f t="array" ref="J1242">IFERROR(INDEX('Retirement Calculator'!K:K,MATCH('Lorri 401b'!N1242,'Retirement Calculator'!A:A,0),0),0)</f>
        <v>0</v>
      </c>
      <c r="K1242" s="444">
        <f t="shared" ca="1" si="103"/>
        <v>-393310.77055716771</v>
      </c>
      <c r="L1242" s="444">
        <f t="shared" ca="1" si="104"/>
        <v>-94787895.704277411</v>
      </c>
      <c r="M1242" s="460">
        <f t="shared" si="106"/>
        <v>0.05</v>
      </c>
      <c r="N1242" s="464">
        <f t="shared" si="107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5"/>
        <v>-94787895.704277411</v>
      </c>
      <c r="J1243" s="444">
        <f t="array" ref="J1243">IFERROR(INDEX('Retirement Calculator'!K:K,MATCH('Lorri 401b'!N1243,'Retirement Calculator'!A:A,0),0),0)</f>
        <v>0</v>
      </c>
      <c r="K1243" s="444">
        <f t="shared" ca="1" si="103"/>
        <v>-394949.56543448922</v>
      </c>
      <c r="L1243" s="444">
        <f t="shared" ca="1" si="104"/>
        <v>-95182845.269711897</v>
      </c>
      <c r="M1243" s="460">
        <f t="shared" si="106"/>
        <v>0.05</v>
      </c>
      <c r="N1243" s="464">
        <f t="shared" si="107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5"/>
        <v>-95182845.269711897</v>
      </c>
      <c r="J1244" s="444">
        <f t="array" ref="J1244">IFERROR(INDEX('Retirement Calculator'!K:K,MATCH('Lorri 401b'!N1244,'Retirement Calculator'!A:A,0),0),0)</f>
        <v>0</v>
      </c>
      <c r="K1244" s="444">
        <f t="shared" ca="1" si="103"/>
        <v>-396595.18862379959</v>
      </c>
      <c r="L1244" s="444">
        <f t="shared" ca="1" si="104"/>
        <v>-95579440.458335698</v>
      </c>
      <c r="M1244" s="460">
        <f t="shared" si="106"/>
        <v>0.05</v>
      </c>
      <c r="N1244" s="464">
        <f t="shared" si="107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5"/>
        <v>-95579440.458335698</v>
      </c>
      <c r="J1245" s="444">
        <f t="array" ref="J1245">IFERROR(INDEX('Retirement Calculator'!K:K,MATCH('Lorri 401b'!N1245,'Retirement Calculator'!A:A,0),0),0)</f>
        <v>0</v>
      </c>
      <c r="K1245" s="444">
        <f t="shared" ca="1" si="103"/>
        <v>-398247.66857639875</v>
      </c>
      <c r="L1245" s="444">
        <f t="shared" ca="1" si="104"/>
        <v>-95977688.126912102</v>
      </c>
      <c r="M1245" s="460">
        <f t="shared" si="106"/>
        <v>0.05</v>
      </c>
      <c r="N1245" s="464">
        <f t="shared" si="107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5"/>
        <v>-95977688.126912102</v>
      </c>
      <c r="J1246" s="444">
        <f t="array" ref="J1246">IFERROR(INDEX('Retirement Calculator'!K:K,MATCH('Lorri 401b'!N1246,'Retirement Calculator'!A:A,0),0),0)</f>
        <v>0</v>
      </c>
      <c r="K1246" s="444">
        <f t="shared" ca="1" si="103"/>
        <v>-399907.03386213374</v>
      </c>
      <c r="L1246" s="444">
        <f t="shared" ca="1" si="104"/>
        <v>-96377595.160774231</v>
      </c>
      <c r="M1246" s="460">
        <f t="shared" si="106"/>
        <v>0.05</v>
      </c>
      <c r="N1246" s="464">
        <f t="shared" si="107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5"/>
        <v>-96377595.160774231</v>
      </c>
      <c r="J1247" s="444">
        <f t="array" ref="J1247">IFERROR(INDEX('Retirement Calculator'!K:K,MATCH('Lorri 401b'!N1247,'Retirement Calculator'!A:A,0),0),0)</f>
        <v>0</v>
      </c>
      <c r="K1247" s="444">
        <f t="shared" ca="1" si="103"/>
        <v>-401573.31316989264</v>
      </c>
      <c r="L1247" s="444">
        <f t="shared" ca="1" si="104"/>
        <v>-96779168.473944128</v>
      </c>
      <c r="M1247" s="460">
        <f t="shared" si="106"/>
        <v>0.05</v>
      </c>
      <c r="N1247" s="464">
        <f t="shared" si="107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5"/>
        <v>-96779168.473944128</v>
      </c>
      <c r="J1248" s="444">
        <f t="array" ref="J1248">IFERROR(INDEX('Retirement Calculator'!K:K,MATCH('Lorri 401b'!N1248,'Retirement Calculator'!A:A,0),0),0)</f>
        <v>0</v>
      </c>
      <c r="K1248" s="444">
        <f t="shared" ca="1" si="103"/>
        <v>-403246.53530810052</v>
      </c>
      <c r="L1248" s="444">
        <f t="shared" ca="1" si="104"/>
        <v>-97182415.009252235</v>
      </c>
      <c r="M1248" s="460">
        <f t="shared" si="106"/>
        <v>0.05</v>
      </c>
      <c r="N1248" s="464">
        <f t="shared" si="107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5"/>
        <v>-97182415.009252235</v>
      </c>
      <c r="J1249" s="444">
        <f t="array" ref="J1249">IFERROR(INDEX('Retirement Calculator'!K:K,MATCH('Lorri 401b'!N1249,'Retirement Calculator'!A:A,0),0),0)</f>
        <v>0</v>
      </c>
      <c r="K1249" s="444">
        <f t="shared" ca="1" si="103"/>
        <v>-404926.72920521762</v>
      </c>
      <c r="L1249" s="444">
        <f t="shared" ca="1" si="104"/>
        <v>-97587341.738457456</v>
      </c>
      <c r="M1249" s="460">
        <f t="shared" si="106"/>
        <v>0.05</v>
      </c>
      <c r="N1249" s="464">
        <f t="shared" si="107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5"/>
        <v>-97587341.738457456</v>
      </c>
      <c r="J1250" s="444">
        <f t="array" ref="J1250">IFERROR(INDEX('Retirement Calculator'!K:K,MATCH('Lorri 401b'!N1250,'Retirement Calculator'!A:A,0),0),0)</f>
        <v>0</v>
      </c>
      <c r="K1250" s="444">
        <f t="shared" ca="1" si="103"/>
        <v>-406613.92391023942</v>
      </c>
      <c r="L1250" s="444">
        <f t="shared" ca="1" si="104"/>
        <v>-97993955.662367702</v>
      </c>
      <c r="M1250" s="460">
        <f t="shared" si="106"/>
        <v>0.05</v>
      </c>
      <c r="N1250" s="464">
        <f t="shared" si="107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5"/>
        <v>-97993955.662367702</v>
      </c>
      <c r="J1251" s="444">
        <f t="array" ref="J1251">IFERROR(INDEX('Retirement Calculator'!K:K,MATCH('Lorri 401b'!N1251,'Retirement Calculator'!A:A,0),0),0)</f>
        <v>0</v>
      </c>
      <c r="K1251" s="444">
        <f t="shared" ca="1" si="103"/>
        <v>-408308.14859319874</v>
      </c>
      <c r="L1251" s="444">
        <f t="shared" ca="1" si="104"/>
        <v>-98402263.810960904</v>
      </c>
      <c r="M1251" s="460">
        <f t="shared" si="106"/>
        <v>0.05</v>
      </c>
      <c r="N1251" s="464">
        <f t="shared" si="107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5"/>
        <v>-98402263.810960904</v>
      </c>
      <c r="J1252" s="444">
        <f t="array" ref="J1252">IFERROR(INDEX('Retirement Calculator'!K:K,MATCH('Lorri 401b'!N1252,'Retirement Calculator'!A:A,0),0),0)</f>
        <v>0</v>
      </c>
      <c r="K1252" s="444">
        <f t="shared" ca="1" si="103"/>
        <v>-410009.43254567042</v>
      </c>
      <c r="L1252" s="444">
        <f t="shared" ca="1" si="104"/>
        <v>-98812273.243506581</v>
      </c>
      <c r="M1252" s="460">
        <f t="shared" si="106"/>
        <v>0.05</v>
      </c>
      <c r="N1252" s="464">
        <f t="shared" si="107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5"/>
        <v>-98812273.243506581</v>
      </c>
      <c r="J1253" s="444">
        <f t="array" ref="J1253">IFERROR(INDEX('Retirement Calculator'!K:K,MATCH('Lorri 401b'!N1253,'Retirement Calculator'!A:A,0),0),0)</f>
        <v>0</v>
      </c>
      <c r="K1253" s="444">
        <f t="shared" ca="1" si="103"/>
        <v>-411717.80518127739</v>
      </c>
      <c r="L1253" s="444">
        <f t="shared" ca="1" si="104"/>
        <v>-99223991.04868786</v>
      </c>
      <c r="M1253" s="460">
        <f t="shared" si="106"/>
        <v>0.05</v>
      </c>
      <c r="N1253" s="464">
        <f t="shared" si="107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5"/>
        <v>-99223991.04868786</v>
      </c>
      <c r="J1254" s="444">
        <f t="array" ref="J1254">IFERROR(INDEX('Retirement Calculator'!K:K,MATCH('Lorri 401b'!N1254,'Retirement Calculator'!A:A,0),0),0)</f>
        <v>0</v>
      </c>
      <c r="K1254" s="444">
        <f t="shared" ca="1" si="103"/>
        <v>-413433.29603619943</v>
      </c>
      <c r="L1254" s="444">
        <f t="shared" ca="1" si="104"/>
        <v>-99637424.344724059</v>
      </c>
      <c r="M1254" s="460">
        <f t="shared" si="106"/>
        <v>0.05</v>
      </c>
      <c r="N1254" s="464">
        <f t="shared" si="107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5"/>
        <v>-99637424.344724059</v>
      </c>
      <c r="J1255" s="444">
        <f t="array" ref="J1255">IFERROR(INDEX('Retirement Calculator'!K:K,MATCH('Lorri 401b'!N1255,'Retirement Calculator'!A:A,0),0),0)</f>
        <v>0</v>
      </c>
      <c r="K1255" s="444">
        <f t="shared" ca="1" si="103"/>
        <v>-415155.93476968358</v>
      </c>
      <c r="L1255" s="444">
        <f t="shared" ca="1" si="104"/>
        <v>-100052580.27949375</v>
      </c>
      <c r="M1255" s="460">
        <f t="shared" si="106"/>
        <v>0.05</v>
      </c>
      <c r="N1255" s="464">
        <f t="shared" si="107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5"/>
        <v>-100052580.27949375</v>
      </c>
      <c r="J1256" s="444">
        <f t="array" ref="J1256">IFERROR(INDEX('Retirement Calculator'!K:K,MATCH('Lorri 401b'!N1256,'Retirement Calculator'!A:A,0),0),0)</f>
        <v>0</v>
      </c>
      <c r="K1256" s="444">
        <f t="shared" ca="1" si="103"/>
        <v>-416885.7511645573</v>
      </c>
      <c r="L1256" s="444">
        <f t="shared" ca="1" si="104"/>
        <v>-100469466.0306583</v>
      </c>
      <c r="M1256" s="460">
        <f t="shared" si="106"/>
        <v>0.05</v>
      </c>
      <c r="N1256" s="464">
        <f t="shared" si="107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5"/>
        <v>-100469466.0306583</v>
      </c>
      <c r="J1257" s="444">
        <f t="array" ref="J1257">IFERROR(INDEX('Retirement Calculator'!K:K,MATCH('Lorri 401b'!N1257,'Retirement Calculator'!A:A,0),0),0)</f>
        <v>0</v>
      </c>
      <c r="K1257" s="444">
        <f t="shared" ca="1" si="103"/>
        <v>-418622.77512774291</v>
      </c>
      <c r="L1257" s="444">
        <f t="shared" ca="1" si="104"/>
        <v>-100888088.80578604</v>
      </c>
      <c r="M1257" s="460">
        <f t="shared" si="106"/>
        <v>0.05</v>
      </c>
      <c r="N1257" s="464">
        <f t="shared" si="107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5"/>
        <v>-100888088.80578604</v>
      </c>
      <c r="J1258" s="444">
        <f t="array" ref="J1258">IFERROR(INDEX('Retirement Calculator'!K:K,MATCH('Lorri 401b'!N1258,'Retirement Calculator'!A:A,0),0),0)</f>
        <v>0</v>
      </c>
      <c r="K1258" s="444">
        <f t="shared" ca="1" si="103"/>
        <v>-420367.03669077519</v>
      </c>
      <c r="L1258" s="444">
        <f t="shared" ca="1" si="104"/>
        <v>-101308455.84247681</v>
      </c>
      <c r="M1258" s="460">
        <f t="shared" si="106"/>
        <v>0.05</v>
      </c>
      <c r="N1258" s="464">
        <f t="shared" si="107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5"/>
        <v>-101308455.84247681</v>
      </c>
      <c r="J1259" s="444">
        <f t="array" ref="J1259">IFERROR(INDEX('Retirement Calculator'!K:K,MATCH('Lorri 401b'!N1259,'Retirement Calculator'!A:A,0),0),0)</f>
        <v>0</v>
      </c>
      <c r="K1259" s="444">
        <f t="shared" ca="1" si="103"/>
        <v>-422118.56601032004</v>
      </c>
      <c r="L1259" s="444">
        <f t="shared" ca="1" si="104"/>
        <v>-101730574.40848714</v>
      </c>
      <c r="M1259" s="460">
        <f t="shared" si="106"/>
        <v>0.05</v>
      </c>
      <c r="N1259" s="464">
        <f t="shared" si="107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5"/>
        <v>-101730574.40848714</v>
      </c>
      <c r="J1260" s="444">
        <f t="array" ref="J1260">IFERROR(INDEX('Retirement Calculator'!K:K,MATCH('Lorri 401b'!N1260,'Retirement Calculator'!A:A,0),0),0)</f>
        <v>0</v>
      </c>
      <c r="K1260" s="444">
        <f t="shared" ca="1" si="103"/>
        <v>-423877.39336869639</v>
      </c>
      <c r="L1260" s="444">
        <f t="shared" ca="1" si="104"/>
        <v>-102154451.80185583</v>
      </c>
      <c r="M1260" s="460">
        <f t="shared" si="106"/>
        <v>0.05</v>
      </c>
      <c r="N1260" s="464">
        <f t="shared" si="107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5"/>
        <v>-102154451.80185583</v>
      </c>
      <c r="J1261" s="444">
        <f t="array" ref="J1261">IFERROR(INDEX('Retirement Calculator'!K:K,MATCH('Lorri 401b'!N1261,'Retirement Calculator'!A:A,0),0),0)</f>
        <v>0</v>
      </c>
      <c r="K1261" s="444">
        <f t="shared" ca="1" si="103"/>
        <v>-425643.54917439929</v>
      </c>
      <c r="L1261" s="444">
        <f t="shared" ca="1" si="104"/>
        <v>-102580095.35103023</v>
      </c>
      <c r="M1261" s="460">
        <f t="shared" si="106"/>
        <v>0.05</v>
      </c>
      <c r="N1261" s="464">
        <f t="shared" si="107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5"/>
        <v>-102580095.35103023</v>
      </c>
      <c r="J1262" s="444">
        <f t="array" ref="J1262">IFERROR(INDEX('Retirement Calculator'!K:K,MATCH('Lorri 401b'!N1262,'Retirement Calculator'!A:A,0),0),0)</f>
        <v>0</v>
      </c>
      <c r="K1262" s="444">
        <f t="shared" ca="1" si="103"/>
        <v>-427417.06396262598</v>
      </c>
      <c r="L1262" s="444">
        <f t="shared" ca="1" si="104"/>
        <v>-103007512.41499285</v>
      </c>
      <c r="M1262" s="460">
        <f t="shared" si="106"/>
        <v>0.05</v>
      </c>
      <c r="N1262" s="464">
        <f t="shared" si="107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5"/>
        <v>-103007512.41499285</v>
      </c>
      <c r="J1263" s="444">
        <f t="array" ref="J1263">IFERROR(INDEX('Retirement Calculator'!K:K,MATCH('Lorri 401b'!N1263,'Retirement Calculator'!A:A,0),0),0)</f>
        <v>0</v>
      </c>
      <c r="K1263" s="444">
        <f t="shared" ca="1" si="103"/>
        <v>-429197.96839580353</v>
      </c>
      <c r="L1263" s="444">
        <f t="shared" ca="1" si="104"/>
        <v>-103436710.38338865</v>
      </c>
      <c r="M1263" s="460">
        <f t="shared" si="106"/>
        <v>0.05</v>
      </c>
      <c r="N1263" s="464">
        <f t="shared" si="107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5"/>
        <v>-103436710.38338865</v>
      </c>
      <c r="J1264" s="444">
        <f t="array" ref="J1264">IFERROR(INDEX('Retirement Calculator'!K:K,MATCH('Lorri 401b'!N1264,'Retirement Calculator'!A:A,0),0),0)</f>
        <v>0</v>
      </c>
      <c r="K1264" s="444">
        <f t="shared" ca="1" si="103"/>
        <v>-430986.29326411936</v>
      </c>
      <c r="L1264" s="444">
        <f t="shared" ca="1" si="104"/>
        <v>-103867696.67665277</v>
      </c>
      <c r="M1264" s="460">
        <f t="shared" si="106"/>
        <v>0.05</v>
      </c>
      <c r="N1264" s="464">
        <f t="shared" si="107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5"/>
        <v>-103867696.67665277</v>
      </c>
      <c r="J1265" s="444">
        <f t="array" ref="J1265">IFERROR(INDEX('Retirement Calculator'!K:K,MATCH('Lorri 401b'!N1265,'Retirement Calculator'!A:A,0),0),0)</f>
        <v>0</v>
      </c>
      <c r="K1265" s="444">
        <f t="shared" ca="1" si="103"/>
        <v>-432782.06948605319</v>
      </c>
      <c r="L1265" s="444">
        <f t="shared" ca="1" si="104"/>
        <v>-104300478.74613883</v>
      </c>
      <c r="M1265" s="460">
        <f t="shared" si="106"/>
        <v>0.05</v>
      </c>
      <c r="N1265" s="464">
        <f t="shared" si="107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5"/>
        <v>-104300478.74613883</v>
      </c>
      <c r="J1266" s="444">
        <f t="array" ref="J1266">IFERROR(INDEX('Retirement Calculator'!K:K,MATCH('Lorri 401b'!N1266,'Retirement Calculator'!A:A,0),0),0)</f>
        <v>0</v>
      </c>
      <c r="K1266" s="444">
        <f t="shared" ca="1" si="103"/>
        <v>-434585.32810891175</v>
      </c>
      <c r="L1266" s="444">
        <f t="shared" ca="1" si="104"/>
        <v>-104735064.07424773</v>
      </c>
      <c r="M1266" s="460">
        <f t="shared" si="106"/>
        <v>0.05</v>
      </c>
      <c r="N1266" s="464">
        <f t="shared" si="107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5"/>
        <v>-104735064.07424773</v>
      </c>
      <c r="J1267" s="444">
        <f t="array" ref="J1267">IFERROR(INDEX('Retirement Calculator'!K:K,MATCH('Lorri 401b'!N1267,'Retirement Calculator'!A:A,0),0),0)</f>
        <v>0</v>
      </c>
      <c r="K1267" s="444">
        <f t="shared" ca="1" si="103"/>
        <v>-436396.1003093656</v>
      </c>
      <c r="L1267" s="444">
        <f t="shared" ca="1" si="104"/>
        <v>-105171460.1745571</v>
      </c>
      <c r="M1267" s="460">
        <f t="shared" si="106"/>
        <v>0.05</v>
      </c>
      <c r="N1267" s="464">
        <f t="shared" si="107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5"/>
        <v>-105171460.1745571</v>
      </c>
      <c r="J1268" s="444">
        <f t="array" ref="J1268">IFERROR(INDEX('Retirement Calculator'!K:K,MATCH('Lorri 401b'!N1268,'Retirement Calculator'!A:A,0),0),0)</f>
        <v>0</v>
      </c>
      <c r="K1268" s="444">
        <f t="shared" ca="1" si="103"/>
        <v>-438214.41739398794</v>
      </c>
      <c r="L1268" s="444">
        <f t="shared" ca="1" si="104"/>
        <v>-105609674.59195109</v>
      </c>
      <c r="M1268" s="460">
        <f t="shared" si="106"/>
        <v>0.05</v>
      </c>
      <c r="N1268" s="464">
        <f t="shared" si="107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5"/>
        <v>-105609674.59195109</v>
      </c>
      <c r="J1269" s="444">
        <f t="array" ref="J1269">IFERROR(INDEX('Retirement Calculator'!K:K,MATCH('Lorri 401b'!N1269,'Retirement Calculator'!A:A,0),0),0)</f>
        <v>0</v>
      </c>
      <c r="K1269" s="444">
        <f t="shared" ca="1" si="103"/>
        <v>-440040.31079979625</v>
      </c>
      <c r="L1269" s="444">
        <f t="shared" ca="1" si="104"/>
        <v>-106049714.90275088</v>
      </c>
      <c r="M1269" s="460">
        <f t="shared" si="106"/>
        <v>0.05</v>
      </c>
      <c r="N1269" s="464">
        <f t="shared" si="107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5"/>
        <v>-106049714.90275088</v>
      </c>
      <c r="J1270" s="444">
        <f t="array" ref="J1270">IFERROR(INDEX('Retirement Calculator'!K:K,MATCH('Lorri 401b'!N1270,'Retirement Calculator'!A:A,0),0),0)</f>
        <v>0</v>
      </c>
      <c r="K1270" s="444">
        <f t="shared" ca="1" si="103"/>
        <v>-441873.81209479534</v>
      </c>
      <c r="L1270" s="444">
        <f t="shared" ca="1" si="104"/>
        <v>-106491588.71484567</v>
      </c>
      <c r="M1270" s="460">
        <f t="shared" si="106"/>
        <v>0.05</v>
      </c>
      <c r="N1270" s="464">
        <f t="shared" si="107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5"/>
        <v>-106491588.71484567</v>
      </c>
      <c r="J1271" s="444">
        <f t="array" ref="J1271">IFERROR(INDEX('Retirement Calculator'!K:K,MATCH('Lorri 401b'!N1271,'Retirement Calculator'!A:A,0),0),0)</f>
        <v>0</v>
      </c>
      <c r="K1271" s="444">
        <f t="shared" ca="1" si="103"/>
        <v>-443714.95297852362</v>
      </c>
      <c r="L1271" s="444">
        <f t="shared" ca="1" si="104"/>
        <v>-106935303.66782419</v>
      </c>
      <c r="M1271" s="460">
        <f t="shared" si="106"/>
        <v>0.05</v>
      </c>
      <c r="N1271" s="464">
        <f t="shared" si="107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5"/>
        <v>-106935303.66782419</v>
      </c>
      <c r="J1272" s="444">
        <f t="array" ref="J1272">IFERROR(INDEX('Retirement Calculator'!K:K,MATCH('Lorri 401b'!N1272,'Retirement Calculator'!A:A,0),0),0)</f>
        <v>0</v>
      </c>
      <c r="K1272" s="444">
        <f t="shared" ca="1" si="103"/>
        <v>-445563.76528260089</v>
      </c>
      <c r="L1272" s="444">
        <f t="shared" ca="1" si="104"/>
        <v>-107380867.43310679</v>
      </c>
      <c r="M1272" s="460">
        <f t="shared" si="106"/>
        <v>0.05</v>
      </c>
      <c r="N1272" s="464">
        <f t="shared" si="107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5"/>
        <v>-107380867.43310679</v>
      </c>
      <c r="J1273" s="444">
        <f t="array" ref="J1273">IFERROR(INDEX('Retirement Calculator'!K:K,MATCH('Lorri 401b'!N1273,'Retirement Calculator'!A:A,0),0),0)</f>
        <v>0</v>
      </c>
      <c r="K1273" s="444">
        <f t="shared" ca="1" si="103"/>
        <v>-447420.28097127832</v>
      </c>
      <c r="L1273" s="444">
        <f t="shared" ca="1" si="104"/>
        <v>-107828287.71407807</v>
      </c>
      <c r="M1273" s="460">
        <f t="shared" si="106"/>
        <v>0.05</v>
      </c>
      <c r="N1273" s="464">
        <f t="shared" si="107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5"/>
        <v>-107828287.71407807</v>
      </c>
      <c r="J1274" s="444">
        <f t="array" ref="J1274">IFERROR(INDEX('Retirement Calculator'!K:K,MATCH('Lorri 401b'!N1274,'Retirement Calculator'!A:A,0),0),0)</f>
        <v>0</v>
      </c>
      <c r="K1274" s="444">
        <f t="shared" ca="1" si="103"/>
        <v>-449284.53214199195</v>
      </c>
      <c r="L1274" s="444">
        <f t="shared" ca="1" si="104"/>
        <v>-108277572.24622007</v>
      </c>
      <c r="M1274" s="460">
        <f t="shared" si="106"/>
        <v>0.05</v>
      </c>
      <c r="N1274" s="464">
        <f t="shared" si="107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5"/>
        <v>-108277572.24622007</v>
      </c>
      <c r="J1275" s="444">
        <f t="array" ref="J1275">IFERROR(INDEX('Retirement Calculator'!K:K,MATCH('Lorri 401b'!N1275,'Retirement Calculator'!A:A,0),0),0)</f>
        <v>0</v>
      </c>
      <c r="K1275" s="444">
        <f t="shared" ca="1" si="103"/>
        <v>-451156.55102591688</v>
      </c>
      <c r="L1275" s="444">
        <f t="shared" ca="1" si="104"/>
        <v>-108728728.79724598</v>
      </c>
      <c r="M1275" s="460">
        <f t="shared" si="106"/>
        <v>0.05</v>
      </c>
      <c r="N1275" s="464">
        <f t="shared" si="107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5"/>
        <v>-108728728.79724598</v>
      </c>
      <c r="J1276" s="444">
        <f t="array" ref="J1276">IFERROR(INDEX('Retirement Calculator'!K:K,MATCH('Lorri 401b'!N1276,'Retirement Calculator'!A:A,0),0),0)</f>
        <v>0</v>
      </c>
      <c r="K1276" s="444">
        <f t="shared" ca="1" si="103"/>
        <v>-453036.36998852488</v>
      </c>
      <c r="L1276" s="444">
        <f t="shared" ca="1" si="104"/>
        <v>-109181765.16723451</v>
      </c>
      <c r="M1276" s="460">
        <f t="shared" si="106"/>
        <v>0.05</v>
      </c>
      <c r="N1276" s="464">
        <f t="shared" si="107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5"/>
        <v>-109181765.16723451</v>
      </c>
      <c r="J1277" s="444">
        <f t="array" ref="J1277">IFERROR(INDEX('Retirement Calculator'!K:K,MATCH('Lorri 401b'!N1277,'Retirement Calculator'!A:A,0),0),0)</f>
        <v>0</v>
      </c>
      <c r="K1277" s="444">
        <f t="shared" ca="1" si="103"/>
        <v>-454924.0215301438</v>
      </c>
      <c r="L1277" s="444">
        <f t="shared" ca="1" si="104"/>
        <v>-109636689.18876465</v>
      </c>
      <c r="M1277" s="460">
        <f t="shared" si="106"/>
        <v>0.05</v>
      </c>
      <c r="N1277" s="464">
        <f t="shared" si="107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5"/>
        <v>-109636689.18876465</v>
      </c>
      <c r="J1278" s="444">
        <f t="array" ref="J1278">IFERROR(INDEX('Retirement Calculator'!K:K,MATCH('Lorri 401b'!N1278,'Retirement Calculator'!A:A,0),0),0)</f>
        <v>0</v>
      </c>
      <c r="K1278" s="444">
        <f t="shared" ca="1" si="103"/>
        <v>-456819.53828651935</v>
      </c>
      <c r="L1278" s="444">
        <f t="shared" ca="1" si="104"/>
        <v>-110093508.72705117</v>
      </c>
      <c r="M1278" s="460">
        <f t="shared" si="106"/>
        <v>0.05</v>
      </c>
      <c r="N1278" s="464">
        <f t="shared" si="107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5"/>
        <v>-110093508.72705117</v>
      </c>
      <c r="J1279" s="444">
        <f t="array" ref="J1279">IFERROR(INDEX('Retirement Calculator'!K:K,MATCH('Lorri 401b'!N1279,'Retirement Calculator'!A:A,0),0),0)</f>
        <v>0</v>
      </c>
      <c r="K1279" s="444">
        <f t="shared" ca="1" si="103"/>
        <v>-458722.95302937989</v>
      </c>
      <c r="L1279" s="444">
        <f t="shared" ca="1" si="104"/>
        <v>-110552231.68008055</v>
      </c>
      <c r="M1279" s="460">
        <f t="shared" si="106"/>
        <v>0.05</v>
      </c>
      <c r="N1279" s="464">
        <f t="shared" si="107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5"/>
        <v>-110552231.68008055</v>
      </c>
      <c r="J1280" s="444">
        <f t="array" ref="J1280">IFERROR(INDEX('Retirement Calculator'!K:K,MATCH('Lorri 401b'!N1280,'Retirement Calculator'!A:A,0),0),0)</f>
        <v>0</v>
      </c>
      <c r="K1280" s="444">
        <f t="shared" ca="1" si="103"/>
        <v>-460634.29866700224</v>
      </c>
      <c r="L1280" s="444">
        <f t="shared" ca="1" si="104"/>
        <v>-111012865.97874755</v>
      </c>
      <c r="M1280" s="460">
        <f t="shared" si="106"/>
        <v>0.05</v>
      </c>
      <c r="N1280" s="464">
        <f t="shared" si="107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5"/>
        <v>-111012865.97874755</v>
      </c>
      <c r="J1281" s="444">
        <f t="array" ref="J1281">IFERROR(INDEX('Retirement Calculator'!K:K,MATCH('Lorri 401b'!N1281,'Retirement Calculator'!A:A,0),0),0)</f>
        <v>0</v>
      </c>
      <c r="K1281" s="444">
        <f t="shared" ca="1" si="103"/>
        <v>-462553.60824478138</v>
      </c>
      <c r="L1281" s="444">
        <f t="shared" ca="1" si="104"/>
        <v>-111475419.58699232</v>
      </c>
      <c r="M1281" s="460">
        <f t="shared" si="106"/>
        <v>0.05</v>
      </c>
      <c r="N1281" s="464">
        <f t="shared" si="107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5"/>
        <v>-111475419.58699232</v>
      </c>
      <c r="J1282" s="444">
        <f t="array" ref="J1282">IFERROR(INDEX('Retirement Calculator'!K:K,MATCH('Lorri 401b'!N1282,'Retirement Calculator'!A:A,0),0),0)</f>
        <v>0</v>
      </c>
      <c r="K1282" s="444">
        <f t="shared" ca="1" si="103"/>
        <v>-464480.91494580131</v>
      </c>
      <c r="L1282" s="444">
        <f t="shared" ca="1" si="104"/>
        <v>-111939900.50193812</v>
      </c>
      <c r="M1282" s="460">
        <f t="shared" si="106"/>
        <v>0.05</v>
      </c>
      <c r="N1282" s="464">
        <f t="shared" si="107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5"/>
        <v>-111939900.50193812</v>
      </c>
      <c r="J1283" s="444">
        <f t="array" ref="J1283">IFERROR(INDEX('Retirement Calculator'!K:K,MATCH('Lorri 401b'!N1283,'Retirement Calculator'!A:A,0),0),0)</f>
        <v>0</v>
      </c>
      <c r="K1283" s="444">
        <f t="shared" ref="K1283:K1537" ca="1" si="108">IPMT(M1283/12,1,12,-I1283+J1283,,0)</f>
        <v>-466416.25209140882</v>
      </c>
      <c r="L1283" s="444">
        <f t="shared" ref="L1283:L1537" ca="1" si="109">I1283-J1283+K1283</f>
        <v>-112406316.75402953</v>
      </c>
      <c r="M1283" s="460">
        <f t="shared" si="106"/>
        <v>0.05</v>
      </c>
      <c r="N1283" s="464">
        <f t="shared" si="107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10">L1283</f>
        <v>-112406316.75402953</v>
      </c>
      <c r="J1284" s="444">
        <f t="array" ref="J1284">IFERROR(INDEX('Retirement Calculator'!K:K,MATCH('Lorri 401b'!N1284,'Retirement Calculator'!A:A,0),0),0)</f>
        <v>0</v>
      </c>
      <c r="K1284" s="444">
        <f t="shared" ca="1" si="108"/>
        <v>-468359.6531417896</v>
      </c>
      <c r="L1284" s="444">
        <f t="shared" ca="1" si="109"/>
        <v>-112874676.40717132</v>
      </c>
      <c r="M1284" s="460">
        <f t="shared" ref="M1284:M1538" si="111">M1283</f>
        <v>0.05</v>
      </c>
      <c r="N1284" s="464">
        <f t="shared" ref="N1284:N1538" si="112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10"/>
        <v>-112874676.40717132</v>
      </c>
      <c r="J1285" s="444">
        <f t="array" ref="J1285">IFERROR(INDEX('Retirement Calculator'!K:K,MATCH('Lorri 401b'!N1285,'Retirement Calculator'!A:A,0),0),0)</f>
        <v>0</v>
      </c>
      <c r="K1285" s="444">
        <f t="shared" ca="1" si="108"/>
        <v>-470311.15169654723</v>
      </c>
      <c r="L1285" s="444">
        <f t="shared" ca="1" si="109"/>
        <v>-113344987.55886787</v>
      </c>
      <c r="M1285" s="460">
        <f t="shared" si="111"/>
        <v>0.05</v>
      </c>
      <c r="N1285" s="464">
        <f t="shared" si="112"/>
        <v>90156</v>
      </c>
    </row>
    <row r="1286" spans="7:14" ht="11.25" customHeight="1" x14ac:dyDescent="0.3">
      <c r="G1286" s="459"/>
      <c r="H1286" s="459">
        <v>1279</v>
      </c>
      <c r="I1286" s="444">
        <f t="shared" ca="1" si="110"/>
        <v>-113344987.55886787</v>
      </c>
      <c r="J1286" s="444">
        <f t="array" ref="J1286">IFERROR(INDEX('Retirement Calculator'!K:K,MATCH('Lorri 401b'!N1286,'Retirement Calculator'!A:A,0),0),0)</f>
        <v>0</v>
      </c>
      <c r="K1286" s="444">
        <f t="shared" ca="1" si="108"/>
        <v>-472270.78149528278</v>
      </c>
      <c r="L1286" s="444">
        <f t="shared" ca="1" si="109"/>
        <v>-113817258.34036316</v>
      </c>
      <c r="M1286" s="460">
        <f t="shared" si="111"/>
        <v>0.05</v>
      </c>
      <c r="N1286" s="464">
        <f t="shared" si="112"/>
        <v>90186</v>
      </c>
    </row>
    <row r="1287" spans="7:14" ht="11.25" customHeight="1" x14ac:dyDescent="0.3">
      <c r="G1287" s="459"/>
      <c r="H1287" s="459">
        <v>1280</v>
      </c>
      <c r="I1287" s="444">
        <f t="shared" ca="1" si="110"/>
        <v>-113817258.34036316</v>
      </c>
      <c r="J1287" s="444">
        <f t="array" ref="J1287">IFERROR(INDEX('Retirement Calculator'!K:K,MATCH('Lorri 401b'!N1287,'Retirement Calculator'!A:A,0),0),0)</f>
        <v>0</v>
      </c>
      <c r="K1287" s="444">
        <f t="shared" ca="1" si="108"/>
        <v>-474238.5764181799</v>
      </c>
      <c r="L1287" s="444">
        <f t="shared" ca="1" si="109"/>
        <v>-114291496.91678134</v>
      </c>
      <c r="M1287" s="460">
        <f t="shared" si="111"/>
        <v>0.05</v>
      </c>
      <c r="N1287" s="464">
        <f t="shared" si="112"/>
        <v>90217</v>
      </c>
    </row>
    <row r="1288" spans="7:14" ht="11.25" customHeight="1" x14ac:dyDescent="0.3">
      <c r="G1288" s="459"/>
      <c r="H1288" s="459">
        <v>1281</v>
      </c>
      <c r="I1288" s="444">
        <f t="shared" ca="1" si="110"/>
        <v>-114291496.91678134</v>
      </c>
      <c r="J1288" s="444">
        <f t="array" ref="J1288">IFERROR(INDEX('Retirement Calculator'!K:K,MATCH('Lorri 401b'!N1288,'Retirement Calculator'!A:A,0),0),0)</f>
        <v>0</v>
      </c>
      <c r="K1288" s="444">
        <f t="shared" ca="1" si="108"/>
        <v>-476214.57048658881</v>
      </c>
      <c r="L1288" s="444">
        <f t="shared" ca="1" si="109"/>
        <v>-114767711.48726793</v>
      </c>
      <c r="M1288" s="460">
        <f t="shared" si="111"/>
        <v>0.05</v>
      </c>
      <c r="N1288" s="464">
        <f t="shared" si="112"/>
        <v>90248</v>
      </c>
    </row>
    <row r="1289" spans="7:14" ht="11.25" customHeight="1" x14ac:dyDescent="0.3">
      <c r="G1289" s="459"/>
      <c r="H1289" s="459">
        <v>1282</v>
      </c>
      <c r="I1289" s="444">
        <f t="shared" ca="1" si="110"/>
        <v>-114767711.48726793</v>
      </c>
      <c r="J1289" s="444">
        <f t="array" ref="J1289">IFERROR(INDEX('Retirement Calculator'!K:K,MATCH('Lorri 401b'!N1289,'Retirement Calculator'!A:A,0),0),0)</f>
        <v>0</v>
      </c>
      <c r="K1289" s="444">
        <f t="shared" ca="1" si="108"/>
        <v>-478198.79786361632</v>
      </c>
      <c r="L1289" s="444">
        <f t="shared" ca="1" si="109"/>
        <v>-115245910.28513154</v>
      </c>
      <c r="M1289" s="460">
        <f t="shared" si="111"/>
        <v>0.05</v>
      </c>
      <c r="N1289" s="464">
        <f t="shared" si="112"/>
        <v>90276</v>
      </c>
    </row>
    <row r="1290" spans="7:14" ht="11.25" customHeight="1" x14ac:dyDescent="0.3">
      <c r="G1290" s="459"/>
      <c r="H1290" s="459">
        <v>1283</v>
      </c>
      <c r="I1290" s="444">
        <f t="shared" ca="1" si="110"/>
        <v>-115245910.28513154</v>
      </c>
      <c r="J1290" s="444">
        <f t="array" ref="J1290">IFERROR(INDEX('Retirement Calculator'!K:K,MATCH('Lorri 401b'!N1290,'Retirement Calculator'!A:A,0),0),0)</f>
        <v>0</v>
      </c>
      <c r="K1290" s="444">
        <f t="shared" ca="1" si="108"/>
        <v>-480191.29285471473</v>
      </c>
      <c r="L1290" s="444">
        <f t="shared" ca="1" si="109"/>
        <v>-115726101.57798626</v>
      </c>
      <c r="M1290" s="460">
        <f t="shared" si="111"/>
        <v>0.05</v>
      </c>
      <c r="N1290" s="464">
        <f t="shared" si="112"/>
        <v>90307</v>
      </c>
    </row>
    <row r="1291" spans="7:14" ht="11.25" customHeight="1" x14ac:dyDescent="0.3">
      <c r="G1291" s="459"/>
      <c r="H1291" s="459">
        <v>1284</v>
      </c>
      <c r="I1291" s="444">
        <f t="shared" ca="1" si="110"/>
        <v>-115726101.57798626</v>
      </c>
      <c r="J1291" s="444">
        <f t="array" ref="J1291">IFERROR(INDEX('Retirement Calculator'!K:K,MATCH('Lorri 401b'!N1291,'Retirement Calculator'!A:A,0),0),0)</f>
        <v>0</v>
      </c>
      <c r="K1291" s="444">
        <f t="shared" ca="1" si="108"/>
        <v>-482192.08990827604</v>
      </c>
      <c r="L1291" s="444">
        <f t="shared" ca="1" si="109"/>
        <v>-116208293.66789453</v>
      </c>
      <c r="M1291" s="460">
        <f t="shared" si="111"/>
        <v>0.05</v>
      </c>
      <c r="N1291" s="464">
        <f t="shared" si="112"/>
        <v>90337</v>
      </c>
    </row>
    <row r="1292" spans="7:14" ht="11.25" customHeight="1" x14ac:dyDescent="0.3">
      <c r="G1292" s="459"/>
      <c r="H1292" s="459">
        <v>1285</v>
      </c>
      <c r="I1292" s="444">
        <f t="shared" ca="1" si="110"/>
        <v>-116208293.66789453</v>
      </c>
      <c r="J1292" s="444">
        <f t="array" ref="J1292">IFERROR(INDEX('Retirement Calculator'!K:K,MATCH('Lorri 401b'!N1292,'Retirement Calculator'!A:A,0),0),0)</f>
        <v>0</v>
      </c>
      <c r="K1292" s="444">
        <f t="shared" ca="1" si="108"/>
        <v>-484201.2236162271</v>
      </c>
      <c r="L1292" s="444">
        <f t="shared" ca="1" si="109"/>
        <v>-116692494.89151075</v>
      </c>
      <c r="M1292" s="460">
        <f t="shared" si="111"/>
        <v>0.05</v>
      </c>
      <c r="N1292" s="464">
        <f t="shared" si="112"/>
        <v>90368</v>
      </c>
    </row>
    <row r="1293" spans="7:14" ht="11.25" customHeight="1" x14ac:dyDescent="0.3">
      <c r="G1293" s="459"/>
      <c r="H1293" s="459">
        <v>1286</v>
      </c>
      <c r="I1293" s="444">
        <f t="shared" ca="1" si="110"/>
        <v>-116692494.89151075</v>
      </c>
      <c r="J1293" s="444">
        <f t="array" ref="J1293">IFERROR(INDEX('Retirement Calculator'!K:K,MATCH('Lorri 401b'!N1293,'Retirement Calculator'!A:A,0),0),0)</f>
        <v>0</v>
      </c>
      <c r="K1293" s="444">
        <f t="shared" ca="1" si="108"/>
        <v>-486218.72871462815</v>
      </c>
      <c r="L1293" s="444">
        <f t="shared" ca="1" si="109"/>
        <v>-117178713.62022538</v>
      </c>
      <c r="M1293" s="460">
        <f t="shared" si="111"/>
        <v>0.05</v>
      </c>
      <c r="N1293" s="464">
        <f t="shared" si="112"/>
        <v>90398</v>
      </c>
    </row>
    <row r="1294" spans="7:14" ht="11.25" customHeight="1" x14ac:dyDescent="0.3">
      <c r="G1294" s="459"/>
      <c r="H1294" s="459">
        <v>1287</v>
      </c>
      <c r="I1294" s="444">
        <f t="shared" ca="1" si="110"/>
        <v>-117178713.62022538</v>
      </c>
      <c r="J1294" s="444">
        <f t="array" ref="J1294">IFERROR(INDEX('Retirement Calculator'!K:K,MATCH('Lorri 401b'!N1294,'Retirement Calculator'!A:A,0),0),0)</f>
        <v>0</v>
      </c>
      <c r="K1294" s="444">
        <f t="shared" ca="1" si="108"/>
        <v>-488244.64008427243</v>
      </c>
      <c r="L1294" s="444">
        <f t="shared" ca="1" si="109"/>
        <v>-117666958.26030965</v>
      </c>
      <c r="M1294" s="460">
        <f t="shared" si="111"/>
        <v>0.05</v>
      </c>
      <c r="N1294" s="464">
        <f t="shared" si="112"/>
        <v>90429</v>
      </c>
    </row>
    <row r="1295" spans="7:14" ht="11.25" customHeight="1" x14ac:dyDescent="0.3">
      <c r="G1295" s="459"/>
      <c r="H1295" s="459">
        <v>1288</v>
      </c>
      <c r="I1295" s="444">
        <f t="shared" ca="1" si="110"/>
        <v>-117666958.26030965</v>
      </c>
      <c r="J1295" s="444">
        <f t="array" ref="J1295">IFERROR(INDEX('Retirement Calculator'!K:K,MATCH('Lorri 401b'!N1295,'Retirement Calculator'!A:A,0),0),0)</f>
        <v>0</v>
      </c>
      <c r="K1295" s="444">
        <f t="shared" ca="1" si="108"/>
        <v>-490278.99275129021</v>
      </c>
      <c r="L1295" s="444">
        <f t="shared" ca="1" si="109"/>
        <v>-118157237.25306094</v>
      </c>
      <c r="M1295" s="460">
        <f t="shared" si="111"/>
        <v>0.05</v>
      </c>
      <c r="N1295" s="464">
        <f t="shared" si="112"/>
        <v>90460</v>
      </c>
    </row>
    <row r="1296" spans="7:14" ht="11.25" customHeight="1" x14ac:dyDescent="0.3">
      <c r="G1296" s="459"/>
      <c r="H1296" s="459">
        <v>1289</v>
      </c>
      <c r="I1296" s="444">
        <f t="shared" ca="1" si="110"/>
        <v>-118157237.25306094</v>
      </c>
      <c r="J1296" s="444">
        <f t="array" ref="J1296">IFERROR(INDEX('Retirement Calculator'!K:K,MATCH('Lorri 401b'!N1296,'Retirement Calculator'!A:A,0),0),0)</f>
        <v>0</v>
      </c>
      <c r="K1296" s="444">
        <f t="shared" ca="1" si="108"/>
        <v>-492321.82188775396</v>
      </c>
      <c r="L1296" s="444">
        <f t="shared" ca="1" si="109"/>
        <v>-118649559.0749487</v>
      </c>
      <c r="M1296" s="460">
        <f t="shared" si="111"/>
        <v>0.05</v>
      </c>
      <c r="N1296" s="464">
        <f t="shared" si="112"/>
        <v>90490</v>
      </c>
    </row>
    <row r="1297" spans="7:14" ht="11.25" customHeight="1" x14ac:dyDescent="0.3">
      <c r="G1297" s="459"/>
      <c r="H1297" s="459">
        <v>1290</v>
      </c>
      <c r="I1297" s="444">
        <f t="shared" ca="1" si="110"/>
        <v>-118649559.0749487</v>
      </c>
      <c r="J1297" s="444">
        <f t="array" ref="J1297">IFERROR(INDEX('Retirement Calculator'!K:K,MATCH('Lorri 401b'!N1297,'Retirement Calculator'!A:A,0),0),0)</f>
        <v>0</v>
      </c>
      <c r="K1297" s="444">
        <f t="shared" ca="1" si="108"/>
        <v>-494373.16281228623</v>
      </c>
      <c r="L1297" s="444">
        <f t="shared" ca="1" si="109"/>
        <v>-119143932.23776099</v>
      </c>
      <c r="M1297" s="460">
        <f t="shared" si="111"/>
        <v>0.05</v>
      </c>
      <c r="N1297" s="464">
        <f t="shared" si="112"/>
        <v>90521</v>
      </c>
    </row>
    <row r="1298" spans="7:14" ht="11.25" customHeight="1" x14ac:dyDescent="0.3">
      <c r="G1298" s="459"/>
      <c r="H1298" s="459">
        <v>1291</v>
      </c>
      <c r="I1298" s="444">
        <f t="shared" ca="1" si="110"/>
        <v>-119143932.23776099</v>
      </c>
      <c r="J1298" s="444">
        <f t="array" ref="J1298">IFERROR(INDEX('Retirement Calculator'!K:K,MATCH('Lorri 401b'!N1298,'Retirement Calculator'!A:A,0),0),0)</f>
        <v>0</v>
      </c>
      <c r="K1298" s="444">
        <f t="shared" ca="1" si="108"/>
        <v>-496433.0509906708</v>
      </c>
      <c r="L1298" s="444">
        <f t="shared" ca="1" si="109"/>
        <v>-119640365.28875166</v>
      </c>
      <c r="M1298" s="460">
        <f t="shared" si="111"/>
        <v>0.05</v>
      </c>
      <c r="N1298" s="464">
        <f t="shared" si="112"/>
        <v>90551</v>
      </c>
    </row>
    <row r="1299" spans="7:14" ht="11.25" customHeight="1" x14ac:dyDescent="0.3">
      <c r="G1299" s="459"/>
      <c r="H1299" s="459">
        <v>1292</v>
      </c>
      <c r="I1299" s="444">
        <f t="shared" ca="1" si="110"/>
        <v>-119640365.28875166</v>
      </c>
      <c r="J1299" s="444">
        <f t="array" ref="J1299">IFERROR(INDEX('Retirement Calculator'!K:K,MATCH('Lorri 401b'!N1299,'Retirement Calculator'!A:A,0),0),0)</f>
        <v>0</v>
      </c>
      <c r="K1299" s="444">
        <f t="shared" ca="1" si="108"/>
        <v>-498501.52203646529</v>
      </c>
      <c r="L1299" s="444">
        <f t="shared" ca="1" si="109"/>
        <v>-120138866.81078812</v>
      </c>
      <c r="M1299" s="460">
        <f t="shared" si="111"/>
        <v>0.05</v>
      </c>
      <c r="N1299" s="464">
        <f t="shared" si="112"/>
        <v>90582</v>
      </c>
    </row>
    <row r="1300" spans="7:14" ht="11.25" customHeight="1" x14ac:dyDescent="0.3">
      <c r="G1300" s="459"/>
      <c r="H1300" s="459">
        <v>1293</v>
      </c>
      <c r="I1300" s="444">
        <f t="shared" ca="1" si="110"/>
        <v>-120138866.81078812</v>
      </c>
      <c r="J1300" s="444">
        <f t="array" ref="J1300">IFERROR(INDEX('Retirement Calculator'!K:K,MATCH('Lorri 401b'!N1300,'Retirement Calculator'!A:A,0),0),0)</f>
        <v>0</v>
      </c>
      <c r="K1300" s="444">
        <f t="shared" ca="1" si="108"/>
        <v>-500578.61171161715</v>
      </c>
      <c r="L1300" s="444">
        <f t="shared" ca="1" si="109"/>
        <v>-120639445.42249975</v>
      </c>
      <c r="M1300" s="460">
        <f t="shared" si="111"/>
        <v>0.05</v>
      </c>
      <c r="N1300" s="464">
        <f t="shared" si="112"/>
        <v>90613</v>
      </c>
    </row>
    <row r="1301" spans="7:14" ht="11.25" customHeight="1" x14ac:dyDescent="0.3">
      <c r="G1301" s="459"/>
      <c r="H1301" s="459">
        <v>1294</v>
      </c>
      <c r="I1301" s="444">
        <f t="shared" ca="1" si="110"/>
        <v>-120639445.42249975</v>
      </c>
      <c r="J1301" s="444">
        <f t="array" ref="J1301">IFERROR(INDEX('Retirement Calculator'!K:K,MATCH('Lorri 401b'!N1301,'Retirement Calculator'!A:A,0),0),0)</f>
        <v>0</v>
      </c>
      <c r="K1301" s="444">
        <f t="shared" ca="1" si="108"/>
        <v>-502664.35592708224</v>
      </c>
      <c r="L1301" s="444">
        <f t="shared" ca="1" si="109"/>
        <v>-121142109.77842683</v>
      </c>
      <c r="M1301" s="460">
        <f t="shared" si="111"/>
        <v>0.05</v>
      </c>
      <c r="N1301" s="464">
        <f t="shared" si="112"/>
        <v>90642</v>
      </c>
    </row>
    <row r="1302" spans="7:14" ht="11.25" customHeight="1" x14ac:dyDescent="0.3">
      <c r="G1302" s="459"/>
      <c r="H1302" s="459">
        <v>1295</v>
      </c>
      <c r="I1302" s="444">
        <f t="shared" ca="1" si="110"/>
        <v>-121142109.77842683</v>
      </c>
      <c r="J1302" s="444">
        <f t="array" ref="J1302">IFERROR(INDEX('Retirement Calculator'!K:K,MATCH('Lorri 401b'!N1302,'Retirement Calculator'!A:A,0),0),0)</f>
        <v>0</v>
      </c>
      <c r="K1302" s="444">
        <f t="shared" ca="1" si="108"/>
        <v>-504758.79074344516</v>
      </c>
      <c r="L1302" s="444">
        <f t="shared" ca="1" si="109"/>
        <v>-121646868.56917027</v>
      </c>
      <c r="M1302" s="460">
        <f t="shared" si="111"/>
        <v>0.05</v>
      </c>
      <c r="N1302" s="464">
        <f t="shared" si="112"/>
        <v>90673</v>
      </c>
    </row>
    <row r="1303" spans="7:14" ht="11.25" customHeight="1" x14ac:dyDescent="0.3">
      <c r="G1303" s="459"/>
      <c r="H1303" s="459">
        <v>1296</v>
      </c>
      <c r="I1303" s="444">
        <f t="shared" ca="1" si="110"/>
        <v>-121646868.56917027</v>
      </c>
      <c r="J1303" s="444">
        <f t="array" ref="J1303">IFERROR(INDEX('Retirement Calculator'!K:K,MATCH('Lorri 401b'!N1303,'Retirement Calculator'!A:A,0),0),0)</f>
        <v>0</v>
      </c>
      <c r="K1303" s="444">
        <f t="shared" ca="1" si="108"/>
        <v>-506861.95237154269</v>
      </c>
      <c r="L1303" s="444">
        <f t="shared" ca="1" si="109"/>
        <v>-122153730.5215418</v>
      </c>
      <c r="M1303" s="460">
        <f t="shared" si="111"/>
        <v>0.05</v>
      </c>
      <c r="N1303" s="464">
        <f t="shared" si="112"/>
        <v>90703</v>
      </c>
    </row>
    <row r="1304" spans="7:14" ht="11.25" customHeight="1" x14ac:dyDescent="0.3">
      <c r="G1304" s="459"/>
      <c r="H1304" s="459">
        <v>1297</v>
      </c>
      <c r="I1304" s="444">
        <f t="shared" ca="1" si="110"/>
        <v>-122153730.5215418</v>
      </c>
      <c r="J1304" s="444">
        <f t="array" ref="J1304">IFERROR(INDEX('Retirement Calculator'!K:K,MATCH('Lorri 401b'!N1304,'Retirement Calculator'!A:A,0),0),0)</f>
        <v>0</v>
      </c>
      <c r="K1304" s="444">
        <f t="shared" ca="1" si="108"/>
        <v>-508973.87717309082</v>
      </c>
      <c r="L1304" s="444">
        <f t="shared" ca="1" si="109"/>
        <v>-122662704.3987149</v>
      </c>
      <c r="M1304" s="460">
        <f t="shared" si="111"/>
        <v>0.05</v>
      </c>
      <c r="N1304" s="464">
        <f t="shared" si="112"/>
        <v>90734</v>
      </c>
    </row>
    <row r="1305" spans="7:14" ht="11.25" customHeight="1" x14ac:dyDescent="0.3">
      <c r="G1305" s="459"/>
      <c r="H1305" s="459">
        <v>1298</v>
      </c>
      <c r="I1305" s="444">
        <f t="shared" ca="1" si="110"/>
        <v>-122662704.3987149</v>
      </c>
      <c r="J1305" s="444">
        <f t="array" ref="J1305">IFERROR(INDEX('Retirement Calculator'!K:K,MATCH('Lorri 401b'!N1305,'Retirement Calculator'!A:A,0),0),0)</f>
        <v>0</v>
      </c>
      <c r="K1305" s="444">
        <f t="shared" ca="1" si="108"/>
        <v>-511094.60166131216</v>
      </c>
      <c r="L1305" s="444">
        <f t="shared" ca="1" si="109"/>
        <v>-123173799.00037621</v>
      </c>
      <c r="M1305" s="460">
        <f t="shared" si="111"/>
        <v>0.05</v>
      </c>
      <c r="N1305" s="464">
        <f t="shared" si="112"/>
        <v>90764</v>
      </c>
    </row>
    <row r="1306" spans="7:14" ht="11.25" customHeight="1" x14ac:dyDescent="0.3">
      <c r="G1306" s="459"/>
      <c r="H1306" s="459">
        <v>1299</v>
      </c>
      <c r="I1306" s="444">
        <f t="shared" ca="1" si="110"/>
        <v>-123173799.00037621</v>
      </c>
      <c r="J1306" s="444">
        <f t="array" ref="J1306">IFERROR(INDEX('Retirement Calculator'!K:K,MATCH('Lorri 401b'!N1306,'Retirement Calculator'!A:A,0),0),0)</f>
        <v>0</v>
      </c>
      <c r="K1306" s="444">
        <f t="shared" ca="1" si="108"/>
        <v>-513224.16250156751</v>
      </c>
      <c r="L1306" s="444">
        <f t="shared" ca="1" si="109"/>
        <v>-123687023.16287778</v>
      </c>
      <c r="M1306" s="460">
        <f t="shared" si="111"/>
        <v>0.05</v>
      </c>
      <c r="N1306" s="464">
        <f t="shared" si="112"/>
        <v>90795</v>
      </c>
    </row>
    <row r="1307" spans="7:14" ht="11.25" customHeight="1" x14ac:dyDescent="0.3">
      <c r="G1307" s="459"/>
      <c r="H1307" s="459">
        <v>1300</v>
      </c>
      <c r="I1307" s="444">
        <f t="shared" ca="1" si="110"/>
        <v>-123687023.16287778</v>
      </c>
      <c r="J1307" s="444">
        <f t="array" ref="J1307">IFERROR(INDEX('Retirement Calculator'!K:K,MATCH('Lorri 401b'!N1307,'Retirement Calculator'!A:A,0),0),0)</f>
        <v>0</v>
      </c>
      <c r="K1307" s="444">
        <f t="shared" ca="1" si="108"/>
        <v>-515362.59651199076</v>
      </c>
      <c r="L1307" s="444">
        <f t="shared" ca="1" si="109"/>
        <v>-124202385.75938977</v>
      </c>
      <c r="M1307" s="460">
        <f t="shared" si="111"/>
        <v>0.05</v>
      </c>
      <c r="N1307" s="464">
        <f t="shared" si="112"/>
        <v>90826</v>
      </c>
    </row>
    <row r="1308" spans="7:14" ht="11.25" customHeight="1" x14ac:dyDescent="0.3">
      <c r="G1308" s="459"/>
      <c r="H1308" s="459">
        <v>1301</v>
      </c>
      <c r="I1308" s="444">
        <f t="shared" ca="1" si="110"/>
        <v>-124202385.75938977</v>
      </c>
      <c r="J1308" s="444">
        <f t="array" ref="J1308">IFERROR(INDEX('Retirement Calculator'!K:K,MATCH('Lorri 401b'!N1308,'Retirement Calculator'!A:A,0),0),0)</f>
        <v>0</v>
      </c>
      <c r="K1308" s="444">
        <f t="shared" ca="1" si="108"/>
        <v>-517509.94066412403</v>
      </c>
      <c r="L1308" s="444">
        <f t="shared" ca="1" si="109"/>
        <v>-124719895.7000539</v>
      </c>
      <c r="M1308" s="460">
        <f t="shared" si="111"/>
        <v>0.05</v>
      </c>
      <c r="N1308" s="464">
        <f t="shared" si="112"/>
        <v>90856</v>
      </c>
    </row>
    <row r="1309" spans="7:14" ht="11.25" customHeight="1" x14ac:dyDescent="0.3">
      <c r="G1309" s="459"/>
      <c r="H1309" s="459">
        <v>1302</v>
      </c>
      <c r="I1309" s="444">
        <f t="shared" ca="1" si="110"/>
        <v>-124719895.7000539</v>
      </c>
      <c r="J1309" s="444">
        <f t="array" ref="J1309">IFERROR(INDEX('Retirement Calculator'!K:K,MATCH('Lorri 401b'!N1309,'Retirement Calculator'!A:A,0),0),0)</f>
        <v>0</v>
      </c>
      <c r="K1309" s="444">
        <f t="shared" ca="1" si="108"/>
        <v>-519666.23208355793</v>
      </c>
      <c r="L1309" s="444">
        <f t="shared" ca="1" si="109"/>
        <v>-125239561.93213746</v>
      </c>
      <c r="M1309" s="460">
        <f t="shared" si="111"/>
        <v>0.05</v>
      </c>
      <c r="N1309" s="464">
        <f t="shared" si="112"/>
        <v>90887</v>
      </c>
    </row>
    <row r="1310" spans="7:14" ht="11.25" customHeight="1" x14ac:dyDescent="0.3">
      <c r="G1310" s="459"/>
      <c r="H1310" s="459">
        <v>1303</v>
      </c>
      <c r="I1310" s="444">
        <f t="shared" ca="1" si="110"/>
        <v>-125239561.93213746</v>
      </c>
      <c r="J1310" s="444">
        <f t="array" ref="J1310">IFERROR(INDEX('Retirement Calculator'!K:K,MATCH('Lorri 401b'!N1310,'Retirement Calculator'!A:A,0),0),0)</f>
        <v>0</v>
      </c>
      <c r="K1310" s="444">
        <f t="shared" ca="1" si="108"/>
        <v>-521831.50805057277</v>
      </c>
      <c r="L1310" s="444">
        <f t="shared" ca="1" si="109"/>
        <v>-125761393.44018804</v>
      </c>
      <c r="M1310" s="460">
        <f t="shared" si="111"/>
        <v>0.05</v>
      </c>
      <c r="N1310" s="464">
        <f t="shared" si="112"/>
        <v>90917</v>
      </c>
    </row>
    <row r="1311" spans="7:14" ht="11.25" customHeight="1" x14ac:dyDescent="0.3">
      <c r="G1311" s="459"/>
      <c r="H1311" s="459">
        <v>1304</v>
      </c>
      <c r="I1311" s="444">
        <f t="shared" ca="1" si="110"/>
        <v>-125761393.44018804</v>
      </c>
      <c r="J1311" s="444">
        <f t="array" ref="J1311">IFERROR(INDEX('Retirement Calculator'!K:K,MATCH('Lorri 401b'!N1311,'Retirement Calculator'!A:A,0),0),0)</f>
        <v>0</v>
      </c>
      <c r="K1311" s="444">
        <f t="shared" ca="1" si="108"/>
        <v>-524005.80600078346</v>
      </c>
      <c r="L1311" s="444">
        <f t="shared" ca="1" si="109"/>
        <v>-126285399.24618882</v>
      </c>
      <c r="M1311" s="460">
        <f t="shared" si="111"/>
        <v>0.05</v>
      </c>
      <c r="N1311" s="464">
        <f t="shared" si="112"/>
        <v>90948</v>
      </c>
    </row>
    <row r="1312" spans="7:14" ht="11.25" customHeight="1" x14ac:dyDescent="0.3">
      <c r="G1312" s="459"/>
      <c r="H1312" s="459">
        <v>1305</v>
      </c>
      <c r="I1312" s="444">
        <f t="shared" ca="1" si="110"/>
        <v>-126285399.24618882</v>
      </c>
      <c r="J1312" s="444">
        <f t="array" ref="J1312">IFERROR(INDEX('Retirement Calculator'!K:K,MATCH('Lorri 401b'!N1312,'Retirement Calculator'!A:A,0),0),0)</f>
        <v>0</v>
      </c>
      <c r="K1312" s="444">
        <f t="shared" ca="1" si="108"/>
        <v>-526189.16352578672</v>
      </c>
      <c r="L1312" s="444">
        <f t="shared" ca="1" si="109"/>
        <v>-126811588.40971461</v>
      </c>
      <c r="M1312" s="460">
        <f t="shared" si="111"/>
        <v>0.05</v>
      </c>
      <c r="N1312" s="464">
        <f t="shared" si="112"/>
        <v>90979</v>
      </c>
    </row>
    <row r="1313" spans="7:14" ht="11.25" customHeight="1" x14ac:dyDescent="0.3">
      <c r="G1313" s="459"/>
      <c r="H1313" s="459">
        <v>1306</v>
      </c>
      <c r="I1313" s="444">
        <f t="shared" ca="1" si="110"/>
        <v>-126811588.40971461</v>
      </c>
      <c r="J1313" s="444">
        <f t="array" ref="J1313">IFERROR(INDEX('Retirement Calculator'!K:K,MATCH('Lorri 401b'!N1313,'Retirement Calculator'!A:A,0),0),0)</f>
        <v>0</v>
      </c>
      <c r="K1313" s="444">
        <f t="shared" ca="1" si="108"/>
        <v>-528381.6183738109</v>
      </c>
      <c r="L1313" s="444">
        <f t="shared" ca="1" si="109"/>
        <v>-127339970.02808842</v>
      </c>
      <c r="M1313" s="460">
        <f t="shared" si="111"/>
        <v>0.05</v>
      </c>
      <c r="N1313" s="464">
        <f t="shared" si="112"/>
        <v>91007</v>
      </c>
    </row>
    <row r="1314" spans="7:14" ht="11.25" customHeight="1" x14ac:dyDescent="0.3">
      <c r="G1314" s="459"/>
      <c r="H1314" s="459">
        <v>1307</v>
      </c>
      <c r="I1314" s="444">
        <f t="shared" ca="1" si="110"/>
        <v>-127339970.02808842</v>
      </c>
      <c r="J1314" s="444">
        <f t="array" ref="J1314">IFERROR(INDEX('Retirement Calculator'!K:K,MATCH('Lorri 401b'!N1314,'Retirement Calculator'!A:A,0),0),0)</f>
        <v>0</v>
      </c>
      <c r="K1314" s="444">
        <f t="shared" ca="1" si="108"/>
        <v>-530583.20845036849</v>
      </c>
      <c r="L1314" s="444">
        <f t="shared" ca="1" si="109"/>
        <v>-127870553.23653878</v>
      </c>
      <c r="M1314" s="460">
        <f t="shared" si="111"/>
        <v>0.05</v>
      </c>
      <c r="N1314" s="464">
        <f t="shared" si="112"/>
        <v>91038</v>
      </c>
    </row>
    <row r="1315" spans="7:14" ht="11.25" customHeight="1" x14ac:dyDescent="0.3">
      <c r="G1315" s="459"/>
      <c r="H1315" s="459">
        <v>1308</v>
      </c>
      <c r="I1315" s="444">
        <f t="shared" ca="1" si="110"/>
        <v>-127870553.23653878</v>
      </c>
      <c r="J1315" s="444">
        <f t="array" ref="J1315">IFERROR(INDEX('Retirement Calculator'!K:K,MATCH('Lorri 401b'!N1315,'Retirement Calculator'!A:A,0),0),0)</f>
        <v>0</v>
      </c>
      <c r="K1315" s="444">
        <f t="shared" ca="1" si="108"/>
        <v>-532793.97181891161</v>
      </c>
      <c r="L1315" s="444">
        <f t="shared" ca="1" si="109"/>
        <v>-128403347.20835769</v>
      </c>
      <c r="M1315" s="460">
        <f t="shared" si="111"/>
        <v>0.05</v>
      </c>
      <c r="N1315" s="464">
        <f t="shared" si="112"/>
        <v>91068</v>
      </c>
    </row>
    <row r="1316" spans="7:14" ht="11.25" customHeight="1" x14ac:dyDescent="0.3">
      <c r="G1316" s="459"/>
      <c r="H1316" s="459">
        <v>1309</v>
      </c>
      <c r="I1316" s="444">
        <f t="shared" ca="1" si="110"/>
        <v>-128403347.20835769</v>
      </c>
      <c r="J1316" s="444">
        <f t="array" ref="J1316">IFERROR(INDEX('Retirement Calculator'!K:K,MATCH('Lorri 401b'!N1316,'Retirement Calculator'!A:A,0),0),0)</f>
        <v>0</v>
      </c>
      <c r="K1316" s="444">
        <f t="shared" ca="1" si="108"/>
        <v>-535013.94670149032</v>
      </c>
      <c r="L1316" s="444">
        <f t="shared" ca="1" si="109"/>
        <v>-128938361.15505919</v>
      </c>
      <c r="M1316" s="460">
        <f t="shared" si="111"/>
        <v>0.05</v>
      </c>
      <c r="N1316" s="464">
        <f t="shared" si="112"/>
        <v>91099</v>
      </c>
    </row>
    <row r="1317" spans="7:14" ht="11.25" customHeight="1" x14ac:dyDescent="0.3">
      <c r="G1317" s="459"/>
      <c r="H1317" s="459">
        <v>1310</v>
      </c>
      <c r="I1317" s="444">
        <f t="shared" ca="1" si="110"/>
        <v>-128938361.15505919</v>
      </c>
      <c r="J1317" s="444">
        <f t="array" ref="J1317">IFERROR(INDEX('Retirement Calculator'!K:K,MATCH('Lorri 401b'!N1317,'Retirement Calculator'!A:A,0),0),0)</f>
        <v>0</v>
      </c>
      <c r="K1317" s="444">
        <f t="shared" ca="1" si="108"/>
        <v>-537243.17147941329</v>
      </c>
      <c r="L1317" s="444">
        <f t="shared" ca="1" si="109"/>
        <v>-129475604.32653861</v>
      </c>
      <c r="M1317" s="460">
        <f t="shared" si="111"/>
        <v>0.05</v>
      </c>
      <c r="N1317" s="464">
        <f t="shared" si="112"/>
        <v>91129</v>
      </c>
    </row>
    <row r="1318" spans="7:14" ht="11.25" customHeight="1" x14ac:dyDescent="0.3">
      <c r="G1318" s="459"/>
      <c r="H1318" s="459">
        <v>1311</v>
      </c>
      <c r="I1318" s="444">
        <f t="shared" ca="1" si="110"/>
        <v>-129475604.32653861</v>
      </c>
      <c r="J1318" s="444">
        <f t="array" ref="J1318">IFERROR(INDEX('Retirement Calculator'!K:K,MATCH('Lorri 401b'!N1318,'Retirement Calculator'!A:A,0),0),0)</f>
        <v>0</v>
      </c>
      <c r="K1318" s="444">
        <f t="shared" ca="1" si="108"/>
        <v>-539481.68469391088</v>
      </c>
      <c r="L1318" s="444">
        <f t="shared" ca="1" si="109"/>
        <v>-130015086.01123253</v>
      </c>
      <c r="M1318" s="460">
        <f t="shared" si="111"/>
        <v>0.05</v>
      </c>
      <c r="N1318" s="464">
        <f t="shared" si="112"/>
        <v>91160</v>
      </c>
    </row>
    <row r="1319" spans="7:14" ht="11.25" customHeight="1" x14ac:dyDescent="0.3">
      <c r="G1319" s="459"/>
      <c r="H1319" s="459">
        <v>1312</v>
      </c>
      <c r="I1319" s="444">
        <f t="shared" ca="1" si="110"/>
        <v>-130015086.01123253</v>
      </c>
      <c r="J1319" s="444">
        <f t="array" ref="J1319">IFERROR(INDEX('Retirement Calculator'!K:K,MATCH('Lorri 401b'!N1319,'Retirement Calculator'!A:A,0),0),0)</f>
        <v>0</v>
      </c>
      <c r="K1319" s="444">
        <f t="shared" ca="1" si="108"/>
        <v>-541729.52504680213</v>
      </c>
      <c r="L1319" s="444">
        <f t="shared" ca="1" si="109"/>
        <v>-130556815.53627932</v>
      </c>
      <c r="M1319" s="460">
        <f t="shared" si="111"/>
        <v>0.05</v>
      </c>
      <c r="N1319" s="464">
        <f t="shared" si="112"/>
        <v>91191</v>
      </c>
    </row>
    <row r="1320" spans="7:14" ht="11.25" customHeight="1" x14ac:dyDescent="0.3">
      <c r="G1320" s="459"/>
      <c r="H1320" s="459">
        <v>1313</v>
      </c>
      <c r="I1320" s="444">
        <f t="shared" ca="1" si="110"/>
        <v>-130556815.53627932</v>
      </c>
      <c r="J1320" s="444">
        <f t="array" ref="J1320">IFERROR(INDEX('Retirement Calculator'!K:K,MATCH('Lorri 401b'!N1320,'Retirement Calculator'!A:A,0),0),0)</f>
        <v>0</v>
      </c>
      <c r="K1320" s="444">
        <f t="shared" ca="1" si="108"/>
        <v>-543986.73140116385</v>
      </c>
      <c r="L1320" s="444">
        <f t="shared" ca="1" si="109"/>
        <v>-131100802.26768048</v>
      </c>
      <c r="M1320" s="460">
        <f t="shared" si="111"/>
        <v>0.05</v>
      </c>
      <c r="N1320" s="464">
        <f t="shared" si="112"/>
        <v>91221</v>
      </c>
    </row>
    <row r="1321" spans="7:14" ht="11.25" customHeight="1" x14ac:dyDescent="0.3">
      <c r="G1321" s="459"/>
      <c r="H1321" s="459">
        <v>1314</v>
      </c>
      <c r="I1321" s="444">
        <f t="shared" ca="1" si="110"/>
        <v>-131100802.26768048</v>
      </c>
      <c r="J1321" s="444">
        <f t="array" ref="J1321">IFERROR(INDEX('Retirement Calculator'!K:K,MATCH('Lorri 401b'!N1321,'Retirement Calculator'!A:A,0),0),0)</f>
        <v>0</v>
      </c>
      <c r="K1321" s="444">
        <f t="shared" ca="1" si="108"/>
        <v>-546253.34278200194</v>
      </c>
      <c r="L1321" s="444">
        <f t="shared" ca="1" si="109"/>
        <v>-131647055.61046249</v>
      </c>
      <c r="M1321" s="460">
        <f t="shared" si="111"/>
        <v>0.05</v>
      </c>
      <c r="N1321" s="464">
        <f t="shared" si="112"/>
        <v>91252</v>
      </c>
    </row>
    <row r="1322" spans="7:14" ht="11.25" customHeight="1" x14ac:dyDescent="0.3">
      <c r="G1322" s="459"/>
      <c r="H1322" s="459">
        <v>1315</v>
      </c>
      <c r="I1322" s="444">
        <f t="shared" ca="1" si="110"/>
        <v>-131647055.61046249</v>
      </c>
      <c r="J1322" s="444">
        <f t="array" ref="J1322">IFERROR(INDEX('Retirement Calculator'!K:K,MATCH('Lorri 401b'!N1322,'Retirement Calculator'!A:A,0),0),0)</f>
        <v>0</v>
      </c>
      <c r="K1322" s="444">
        <f t="shared" ca="1" si="108"/>
        <v>-548529.39837692701</v>
      </c>
      <c r="L1322" s="444">
        <f t="shared" ca="1" si="109"/>
        <v>-132195585.00883941</v>
      </c>
      <c r="M1322" s="460">
        <f t="shared" si="111"/>
        <v>0.05</v>
      </c>
      <c r="N1322" s="464">
        <f t="shared" si="112"/>
        <v>91282</v>
      </c>
    </row>
    <row r="1323" spans="7:14" ht="11.25" customHeight="1" x14ac:dyDescent="0.3">
      <c r="G1323" s="459"/>
      <c r="H1323" s="459">
        <v>1316</v>
      </c>
      <c r="I1323" s="444">
        <f t="shared" ca="1" si="110"/>
        <v>-132195585.00883941</v>
      </c>
      <c r="J1323" s="444">
        <f t="array" ref="J1323">IFERROR(INDEX('Retirement Calculator'!K:K,MATCH('Lorri 401b'!N1323,'Retirement Calculator'!A:A,0),0),0)</f>
        <v>0</v>
      </c>
      <c r="K1323" s="444">
        <f t="shared" ca="1" si="108"/>
        <v>-550814.9375368309</v>
      </c>
      <c r="L1323" s="444">
        <f t="shared" ca="1" si="109"/>
        <v>-132746399.94637625</v>
      </c>
      <c r="M1323" s="460">
        <f t="shared" si="111"/>
        <v>0.05</v>
      </c>
      <c r="N1323" s="464">
        <f t="shared" si="112"/>
        <v>91313</v>
      </c>
    </row>
    <row r="1324" spans="7:14" ht="11.25" customHeight="1" x14ac:dyDescent="0.3">
      <c r="G1324" s="459"/>
      <c r="H1324" s="459">
        <v>1317</v>
      </c>
      <c r="I1324" s="444">
        <f t="shared" ca="1" si="110"/>
        <v>-132746399.94637625</v>
      </c>
      <c r="J1324" s="444">
        <f t="array" ref="J1324">IFERROR(INDEX('Retirement Calculator'!K:K,MATCH('Lorri 401b'!N1324,'Retirement Calculator'!A:A,0),0),0)</f>
        <v>0</v>
      </c>
      <c r="K1324" s="444">
        <f t="shared" ca="1" si="108"/>
        <v>-553109.99977656768</v>
      </c>
      <c r="L1324" s="444">
        <f t="shared" ca="1" si="109"/>
        <v>-133299509.94615282</v>
      </c>
      <c r="M1324" s="460">
        <f t="shared" si="111"/>
        <v>0.05</v>
      </c>
      <c r="N1324" s="464">
        <f t="shared" si="112"/>
        <v>91344</v>
      </c>
    </row>
    <row r="1325" spans="7:14" ht="11.25" customHeight="1" x14ac:dyDescent="0.3">
      <c r="G1325" s="459"/>
      <c r="H1325" s="459">
        <v>1318</v>
      </c>
      <c r="I1325" s="444">
        <f t="shared" ca="1" si="110"/>
        <v>-133299509.94615282</v>
      </c>
      <c r="J1325" s="444">
        <f t="array" ref="J1325">IFERROR(INDEX('Retirement Calculator'!K:K,MATCH('Lorri 401b'!N1325,'Retirement Calculator'!A:A,0),0),0)</f>
        <v>0</v>
      </c>
      <c r="K1325" s="444">
        <f t="shared" ca="1" si="108"/>
        <v>-555414.62477563682</v>
      </c>
      <c r="L1325" s="444">
        <f t="shared" ca="1" si="109"/>
        <v>-133854924.57092845</v>
      </c>
      <c r="M1325" s="460">
        <f t="shared" si="111"/>
        <v>0.05</v>
      </c>
      <c r="N1325" s="464">
        <f t="shared" si="112"/>
        <v>91372</v>
      </c>
    </row>
    <row r="1326" spans="7:14" ht="11.25" customHeight="1" x14ac:dyDescent="0.3">
      <c r="G1326" s="459"/>
      <c r="H1326" s="459">
        <v>1319</v>
      </c>
      <c r="I1326" s="444">
        <f t="shared" ca="1" si="110"/>
        <v>-133854924.57092845</v>
      </c>
      <c r="J1326" s="444">
        <f t="array" ref="J1326">IFERROR(INDEX('Retirement Calculator'!K:K,MATCH('Lorri 401b'!N1326,'Retirement Calculator'!A:A,0),0),0)</f>
        <v>0</v>
      </c>
      <c r="K1326" s="444">
        <f t="shared" ca="1" si="108"/>
        <v>-557728.8523788685</v>
      </c>
      <c r="L1326" s="444">
        <f t="shared" ca="1" si="109"/>
        <v>-134412653.42330733</v>
      </c>
      <c r="M1326" s="460">
        <f t="shared" si="111"/>
        <v>0.05</v>
      </c>
      <c r="N1326" s="464">
        <f t="shared" si="112"/>
        <v>91403</v>
      </c>
    </row>
    <row r="1327" spans="7:14" ht="11.25" customHeight="1" x14ac:dyDescent="0.3">
      <c r="G1327" s="459"/>
      <c r="H1327" s="459">
        <v>1320</v>
      </c>
      <c r="I1327" s="444">
        <f t="shared" ca="1" si="110"/>
        <v>-134412653.42330733</v>
      </c>
      <c r="J1327" s="444">
        <f t="array" ref="J1327">IFERROR(INDEX('Retirement Calculator'!K:K,MATCH('Lorri 401b'!N1327,'Retirement Calculator'!A:A,0),0),0)</f>
        <v>0</v>
      </c>
      <c r="K1327" s="444">
        <f t="shared" ca="1" si="108"/>
        <v>-560052.72259711381</v>
      </c>
      <c r="L1327" s="444">
        <f t="shared" ca="1" si="109"/>
        <v>-134972706.14590445</v>
      </c>
      <c r="M1327" s="460">
        <f t="shared" si="111"/>
        <v>0.05</v>
      </c>
      <c r="N1327" s="464">
        <f t="shared" si="112"/>
        <v>91433</v>
      </c>
    </row>
    <row r="1328" spans="7:14" ht="11.25" customHeight="1" x14ac:dyDescent="0.3">
      <c r="G1328" s="459"/>
      <c r="H1328" s="459">
        <v>1321</v>
      </c>
      <c r="I1328" s="444">
        <f t="shared" ca="1" si="110"/>
        <v>-134972706.14590445</v>
      </c>
      <c r="J1328" s="444">
        <f t="array" ref="J1328">IFERROR(INDEX('Retirement Calculator'!K:K,MATCH('Lorri 401b'!N1328,'Retirement Calculator'!A:A,0),0),0)</f>
        <v>0</v>
      </c>
      <c r="K1328" s="444">
        <f t="shared" ca="1" si="108"/>
        <v>-562386.27560793515</v>
      </c>
      <c r="L1328" s="444">
        <f t="shared" ca="1" si="109"/>
        <v>-135535092.4215124</v>
      </c>
      <c r="M1328" s="460">
        <f t="shared" si="111"/>
        <v>0.05</v>
      </c>
      <c r="N1328" s="464">
        <f t="shared" si="112"/>
        <v>91464</v>
      </c>
    </row>
    <row r="1329" spans="7:14" ht="11.25" customHeight="1" x14ac:dyDescent="0.3">
      <c r="G1329" s="459"/>
      <c r="H1329" s="459">
        <v>1322</v>
      </c>
      <c r="I1329" s="444">
        <f t="shared" ca="1" si="110"/>
        <v>-135535092.4215124</v>
      </c>
      <c r="J1329" s="444">
        <f t="array" ref="J1329">IFERROR(INDEX('Retirement Calculator'!K:K,MATCH('Lorri 401b'!N1329,'Retirement Calculator'!A:A,0),0),0)</f>
        <v>0</v>
      </c>
      <c r="K1329" s="444">
        <f t="shared" ca="1" si="108"/>
        <v>-564729.55175630166</v>
      </c>
      <c r="L1329" s="444">
        <f t="shared" ca="1" si="109"/>
        <v>-136099821.97326869</v>
      </c>
      <c r="M1329" s="460">
        <f t="shared" si="111"/>
        <v>0.05</v>
      </c>
      <c r="N1329" s="464">
        <f t="shared" si="112"/>
        <v>91494</v>
      </c>
    </row>
    <row r="1330" spans="7:14" ht="11.25" customHeight="1" x14ac:dyDescent="0.3">
      <c r="G1330" s="459"/>
      <c r="H1330" s="459">
        <v>1323</v>
      </c>
      <c r="I1330" s="444">
        <f t="shared" ca="1" si="110"/>
        <v>-136099821.97326869</v>
      </c>
      <c r="J1330" s="444">
        <f t="array" ref="J1330">IFERROR(INDEX('Retirement Calculator'!K:K,MATCH('Lorri 401b'!N1330,'Retirement Calculator'!A:A,0),0),0)</f>
        <v>0</v>
      </c>
      <c r="K1330" s="444">
        <f t="shared" ca="1" si="108"/>
        <v>-567082.5915552862</v>
      </c>
      <c r="L1330" s="444">
        <f t="shared" ca="1" si="109"/>
        <v>-136666904.56482399</v>
      </c>
      <c r="M1330" s="460">
        <f t="shared" si="111"/>
        <v>0.05</v>
      </c>
      <c r="N1330" s="464">
        <f t="shared" si="112"/>
        <v>91525</v>
      </c>
    </row>
    <row r="1331" spans="7:14" ht="11.25" customHeight="1" x14ac:dyDescent="0.3">
      <c r="G1331" s="459"/>
      <c r="H1331" s="459">
        <v>1324</v>
      </c>
      <c r="I1331" s="444">
        <f t="shared" ca="1" si="110"/>
        <v>-136666904.56482399</v>
      </c>
      <c r="J1331" s="444">
        <f t="array" ref="J1331">IFERROR(INDEX('Retirement Calculator'!K:K,MATCH('Lorri 401b'!N1331,'Retirement Calculator'!A:A,0),0),0)</f>
        <v>0</v>
      </c>
      <c r="K1331" s="444">
        <f t="shared" ca="1" si="108"/>
        <v>-569445.43568676664</v>
      </c>
      <c r="L1331" s="444">
        <f t="shared" ca="1" si="109"/>
        <v>-137236350.00051075</v>
      </c>
      <c r="M1331" s="460">
        <f t="shared" si="111"/>
        <v>0.05</v>
      </c>
      <c r="N1331" s="464">
        <f t="shared" si="112"/>
        <v>91556</v>
      </c>
    </row>
    <row r="1332" spans="7:14" ht="11.25" customHeight="1" x14ac:dyDescent="0.3">
      <c r="G1332" s="459"/>
      <c r="H1332" s="459">
        <v>1325</v>
      </c>
      <c r="I1332" s="444">
        <f t="shared" ca="1" si="110"/>
        <v>-137236350.00051075</v>
      </c>
      <c r="J1332" s="444">
        <f t="array" ref="J1332">IFERROR(INDEX('Retirement Calculator'!K:K,MATCH('Lorri 401b'!N1332,'Retirement Calculator'!A:A,0),0),0)</f>
        <v>0</v>
      </c>
      <c r="K1332" s="444">
        <f t="shared" ca="1" si="108"/>
        <v>-571818.12500212807</v>
      </c>
      <c r="L1332" s="444">
        <f t="shared" ca="1" si="109"/>
        <v>-137808168.12551287</v>
      </c>
      <c r="M1332" s="460">
        <f t="shared" si="111"/>
        <v>0.05</v>
      </c>
      <c r="N1332" s="464">
        <f t="shared" si="112"/>
        <v>91586</v>
      </c>
    </row>
    <row r="1333" spans="7:14" ht="11.25" customHeight="1" x14ac:dyDescent="0.3">
      <c r="G1333" s="459"/>
      <c r="H1333" s="459">
        <v>1326</v>
      </c>
      <c r="I1333" s="444">
        <f t="shared" ca="1" si="110"/>
        <v>-137808168.12551287</v>
      </c>
      <c r="J1333" s="444">
        <f t="array" ref="J1333">IFERROR(INDEX('Retirement Calculator'!K:K,MATCH('Lorri 401b'!N1333,'Retirement Calculator'!A:A,0),0),0)</f>
        <v>0</v>
      </c>
      <c r="K1333" s="444">
        <f t="shared" ca="1" si="108"/>
        <v>-574200.70052297029</v>
      </c>
      <c r="L1333" s="444">
        <f t="shared" ca="1" si="109"/>
        <v>-138382368.82603583</v>
      </c>
      <c r="M1333" s="460">
        <f t="shared" si="111"/>
        <v>0.05</v>
      </c>
      <c r="N1333" s="464">
        <f t="shared" si="112"/>
        <v>91617</v>
      </c>
    </row>
    <row r="1334" spans="7:14" ht="11.25" customHeight="1" x14ac:dyDescent="0.3">
      <c r="G1334" s="459"/>
      <c r="H1334" s="459">
        <v>1327</v>
      </c>
      <c r="I1334" s="444">
        <f t="shared" ca="1" si="110"/>
        <v>-138382368.82603583</v>
      </c>
      <c r="J1334" s="444">
        <f t="array" ref="J1334">IFERROR(INDEX('Retirement Calculator'!K:K,MATCH('Lorri 401b'!N1334,'Retirement Calculator'!A:A,0),0),0)</f>
        <v>0</v>
      </c>
      <c r="K1334" s="444">
        <f t="shared" ca="1" si="108"/>
        <v>-576593.20344181592</v>
      </c>
      <c r="L1334" s="444">
        <f t="shared" ca="1" si="109"/>
        <v>-138958962.02947766</v>
      </c>
      <c r="M1334" s="460">
        <f t="shared" si="111"/>
        <v>0.05</v>
      </c>
      <c r="N1334" s="464">
        <f t="shared" si="112"/>
        <v>91647</v>
      </c>
    </row>
    <row r="1335" spans="7:14" ht="11.25" customHeight="1" x14ac:dyDescent="0.3">
      <c r="G1335" s="459"/>
      <c r="H1335" s="459">
        <v>1328</v>
      </c>
      <c r="I1335" s="444">
        <f t="shared" ca="1" si="110"/>
        <v>-138958962.02947766</v>
      </c>
      <c r="J1335" s="444">
        <f t="array" ref="J1335">IFERROR(INDEX('Retirement Calculator'!K:K,MATCH('Lorri 401b'!N1335,'Retirement Calculator'!A:A,0),0),0)</f>
        <v>0</v>
      </c>
      <c r="K1335" s="444">
        <f t="shared" ca="1" si="108"/>
        <v>-578995.67512282357</v>
      </c>
      <c r="L1335" s="444">
        <f t="shared" ca="1" si="109"/>
        <v>-139537957.70460048</v>
      </c>
      <c r="M1335" s="460">
        <f t="shared" si="111"/>
        <v>0.05</v>
      </c>
      <c r="N1335" s="464">
        <f t="shared" si="112"/>
        <v>91678</v>
      </c>
    </row>
    <row r="1336" spans="7:14" ht="11.25" customHeight="1" x14ac:dyDescent="0.3">
      <c r="G1336" s="459"/>
      <c r="H1336" s="459">
        <v>1329</v>
      </c>
      <c r="I1336" s="444">
        <f t="shared" ca="1" si="110"/>
        <v>-139537957.70460048</v>
      </c>
      <c r="J1336" s="444">
        <f t="array" ref="J1336">IFERROR(INDEX('Retirement Calculator'!K:K,MATCH('Lorri 401b'!N1336,'Retirement Calculator'!A:A,0),0),0)</f>
        <v>0</v>
      </c>
      <c r="K1336" s="444">
        <f t="shared" ca="1" si="108"/>
        <v>-581408.15710250195</v>
      </c>
      <c r="L1336" s="444">
        <f t="shared" ca="1" si="109"/>
        <v>-140119365.86170298</v>
      </c>
      <c r="M1336" s="460">
        <f t="shared" si="111"/>
        <v>0.05</v>
      </c>
      <c r="N1336" s="464">
        <f t="shared" si="112"/>
        <v>91709</v>
      </c>
    </row>
    <row r="1337" spans="7:14" ht="11.25" customHeight="1" x14ac:dyDescent="0.3">
      <c r="G1337" s="459"/>
      <c r="H1337" s="459">
        <v>1330</v>
      </c>
      <c r="I1337" s="444">
        <f t="shared" ca="1" si="110"/>
        <v>-140119365.86170298</v>
      </c>
      <c r="J1337" s="444">
        <f t="array" ref="J1337">IFERROR(INDEX('Retirement Calculator'!K:K,MATCH('Lorri 401b'!N1337,'Retirement Calculator'!A:A,0),0),0)</f>
        <v>0</v>
      </c>
      <c r="K1337" s="444">
        <f t="shared" ca="1" si="108"/>
        <v>-583830.69109042909</v>
      </c>
      <c r="L1337" s="444">
        <f t="shared" ca="1" si="109"/>
        <v>-140703196.55279341</v>
      </c>
      <c r="M1337" s="460">
        <f t="shared" si="111"/>
        <v>0.05</v>
      </c>
      <c r="N1337" s="464">
        <f t="shared" si="112"/>
        <v>91737</v>
      </c>
    </row>
    <row r="1338" spans="7:14" ht="11.25" customHeight="1" x14ac:dyDescent="0.3">
      <c r="G1338" s="459"/>
      <c r="H1338" s="459">
        <v>1331</v>
      </c>
      <c r="I1338" s="444">
        <f t="shared" ca="1" si="110"/>
        <v>-140703196.55279341</v>
      </c>
      <c r="J1338" s="444">
        <f t="array" ref="J1338">IFERROR(INDEX('Retirement Calculator'!K:K,MATCH('Lorri 401b'!N1338,'Retirement Calculator'!A:A,0),0),0)</f>
        <v>0</v>
      </c>
      <c r="K1338" s="444">
        <f t="shared" ca="1" si="108"/>
        <v>-586263.31896997255</v>
      </c>
      <c r="L1338" s="444">
        <f t="shared" ca="1" si="109"/>
        <v>-141289459.87176338</v>
      </c>
      <c r="M1338" s="460">
        <f t="shared" si="111"/>
        <v>0.05</v>
      </c>
      <c r="N1338" s="464">
        <f t="shared" si="112"/>
        <v>91768</v>
      </c>
    </row>
    <row r="1339" spans="7:14" ht="11.25" customHeight="1" x14ac:dyDescent="0.3">
      <c r="G1339" s="459"/>
      <c r="H1339" s="459">
        <v>1332</v>
      </c>
      <c r="I1339" s="444">
        <f t="shared" ca="1" si="110"/>
        <v>-141289459.87176338</v>
      </c>
      <c r="J1339" s="444">
        <f t="array" ref="J1339">IFERROR(INDEX('Retirement Calculator'!K:K,MATCH('Lorri 401b'!N1339,'Retirement Calculator'!A:A,0),0),0)</f>
        <v>0</v>
      </c>
      <c r="K1339" s="444">
        <f t="shared" ca="1" si="108"/>
        <v>-588706.08279901405</v>
      </c>
      <c r="L1339" s="444">
        <f t="shared" ca="1" si="109"/>
        <v>-141878165.9545624</v>
      </c>
      <c r="M1339" s="460">
        <f t="shared" si="111"/>
        <v>0.05</v>
      </c>
      <c r="N1339" s="464">
        <f t="shared" si="112"/>
        <v>91798</v>
      </c>
    </row>
    <row r="1340" spans="7:14" ht="11.25" customHeight="1" x14ac:dyDescent="0.3">
      <c r="G1340" s="459"/>
      <c r="H1340" s="459">
        <v>1333</v>
      </c>
      <c r="I1340" s="444">
        <f t="shared" ca="1" si="110"/>
        <v>-141878165.9545624</v>
      </c>
      <c r="J1340" s="444">
        <f t="array" ref="J1340">IFERROR(INDEX('Retirement Calculator'!K:K,MATCH('Lorri 401b'!N1340,'Retirement Calculator'!A:A,0),0),0)</f>
        <v>0</v>
      </c>
      <c r="K1340" s="444">
        <f t="shared" ca="1" si="108"/>
        <v>-591159.0248106767</v>
      </c>
      <c r="L1340" s="444">
        <f t="shared" ca="1" si="109"/>
        <v>-142469324.97937307</v>
      </c>
      <c r="M1340" s="460">
        <f t="shared" si="111"/>
        <v>0.05</v>
      </c>
      <c r="N1340" s="464">
        <f t="shared" si="112"/>
        <v>91829</v>
      </c>
    </row>
    <row r="1341" spans="7:14" ht="11.25" customHeight="1" x14ac:dyDescent="0.3">
      <c r="G1341" s="459"/>
      <c r="H1341" s="459">
        <v>1334</v>
      </c>
      <c r="I1341" s="444">
        <f t="shared" ca="1" si="110"/>
        <v>-142469324.97937307</v>
      </c>
      <c r="J1341" s="444">
        <f t="array" ref="J1341">IFERROR(INDEX('Retirement Calculator'!K:K,MATCH('Lorri 401b'!N1341,'Retirement Calculator'!A:A,0),0),0)</f>
        <v>0</v>
      </c>
      <c r="K1341" s="444">
        <f t="shared" ca="1" si="108"/>
        <v>-593622.18741405441</v>
      </c>
      <c r="L1341" s="444">
        <f t="shared" ca="1" si="109"/>
        <v>-143062947.16678712</v>
      </c>
      <c r="M1341" s="460">
        <f t="shared" si="111"/>
        <v>0.05</v>
      </c>
      <c r="N1341" s="464">
        <f t="shared" si="112"/>
        <v>91859</v>
      </c>
    </row>
    <row r="1342" spans="7:14" ht="11.25" customHeight="1" x14ac:dyDescent="0.3">
      <c r="G1342" s="459"/>
      <c r="H1342" s="459">
        <v>1335</v>
      </c>
      <c r="I1342" s="444">
        <f t="shared" ca="1" si="110"/>
        <v>-143062947.16678712</v>
      </c>
      <c r="J1342" s="444">
        <f t="array" ref="J1342">IFERROR(INDEX('Retirement Calculator'!K:K,MATCH('Lorri 401b'!N1342,'Retirement Calculator'!A:A,0),0),0)</f>
        <v>0</v>
      </c>
      <c r="K1342" s="444">
        <f t="shared" ca="1" si="108"/>
        <v>-596095.61319494632</v>
      </c>
      <c r="L1342" s="444">
        <f t="shared" ca="1" si="109"/>
        <v>-143659042.77998206</v>
      </c>
      <c r="M1342" s="460">
        <f t="shared" si="111"/>
        <v>0.05</v>
      </c>
      <c r="N1342" s="464">
        <f t="shared" si="112"/>
        <v>91890</v>
      </c>
    </row>
    <row r="1343" spans="7:14" ht="11.25" customHeight="1" x14ac:dyDescent="0.3">
      <c r="G1343" s="459"/>
      <c r="H1343" s="459">
        <v>1336</v>
      </c>
      <c r="I1343" s="444">
        <f t="shared" ca="1" si="110"/>
        <v>-143659042.77998206</v>
      </c>
      <c r="J1343" s="444">
        <f t="array" ref="J1343">IFERROR(INDEX('Retirement Calculator'!K:K,MATCH('Lorri 401b'!N1343,'Retirement Calculator'!A:A,0),0),0)</f>
        <v>0</v>
      </c>
      <c r="K1343" s="444">
        <f t="shared" ca="1" si="108"/>
        <v>-598579.34491659189</v>
      </c>
      <c r="L1343" s="444">
        <f t="shared" ca="1" si="109"/>
        <v>-144257622.12489864</v>
      </c>
      <c r="M1343" s="460">
        <f t="shared" si="111"/>
        <v>0.05</v>
      </c>
      <c r="N1343" s="464">
        <f t="shared" si="112"/>
        <v>91921</v>
      </c>
    </row>
    <row r="1344" spans="7:14" ht="11.25" customHeight="1" x14ac:dyDescent="0.3">
      <c r="G1344" s="459"/>
      <c r="H1344" s="459">
        <v>1337</v>
      </c>
      <c r="I1344" s="444">
        <f t="shared" ca="1" si="110"/>
        <v>-144257622.12489864</v>
      </c>
      <c r="J1344" s="444">
        <f t="array" ref="J1344">IFERROR(INDEX('Retirement Calculator'!K:K,MATCH('Lorri 401b'!N1344,'Retirement Calculator'!A:A,0),0),0)</f>
        <v>0</v>
      </c>
      <c r="K1344" s="444">
        <f t="shared" ca="1" si="108"/>
        <v>-601073.42552041099</v>
      </c>
      <c r="L1344" s="444">
        <f t="shared" ca="1" si="109"/>
        <v>-144858695.55041906</v>
      </c>
      <c r="M1344" s="460">
        <f t="shared" si="111"/>
        <v>0.05</v>
      </c>
      <c r="N1344" s="464">
        <f t="shared" si="112"/>
        <v>91951</v>
      </c>
    </row>
    <row r="1345" spans="7:14" ht="11.25" customHeight="1" x14ac:dyDescent="0.3">
      <c r="G1345" s="459"/>
      <c r="H1345" s="459">
        <v>1338</v>
      </c>
      <c r="I1345" s="444">
        <f t="shared" ca="1" si="110"/>
        <v>-144858695.55041906</v>
      </c>
      <c r="J1345" s="444">
        <f t="array" ref="J1345">IFERROR(INDEX('Retirement Calculator'!K:K,MATCH('Lorri 401b'!N1345,'Retirement Calculator'!A:A,0),0),0)</f>
        <v>0</v>
      </c>
      <c r="K1345" s="444">
        <f t="shared" ca="1" si="108"/>
        <v>-603577.89812674606</v>
      </c>
      <c r="L1345" s="444">
        <f t="shared" ca="1" si="109"/>
        <v>-145462273.44854581</v>
      </c>
      <c r="M1345" s="460">
        <f t="shared" si="111"/>
        <v>0.05</v>
      </c>
      <c r="N1345" s="464">
        <f t="shared" si="112"/>
        <v>91982</v>
      </c>
    </row>
    <row r="1346" spans="7:14" ht="11.25" customHeight="1" x14ac:dyDescent="0.3">
      <c r="G1346" s="459"/>
      <c r="H1346" s="459">
        <v>1339</v>
      </c>
      <c r="I1346" s="444">
        <f t="shared" ca="1" si="110"/>
        <v>-145462273.44854581</v>
      </c>
      <c r="J1346" s="444">
        <f t="array" ref="J1346">IFERROR(INDEX('Retirement Calculator'!K:K,MATCH('Lorri 401b'!N1346,'Retirement Calculator'!A:A,0),0),0)</f>
        <v>0</v>
      </c>
      <c r="K1346" s="444">
        <f t="shared" ca="1" si="108"/>
        <v>-606092.80603560759</v>
      </c>
      <c r="L1346" s="444">
        <f t="shared" ca="1" si="109"/>
        <v>-146068366.25458142</v>
      </c>
      <c r="M1346" s="460">
        <f t="shared" si="111"/>
        <v>0.05</v>
      </c>
      <c r="N1346" s="464">
        <f t="shared" si="112"/>
        <v>92012</v>
      </c>
    </row>
    <row r="1347" spans="7:14" ht="11.25" customHeight="1" x14ac:dyDescent="0.3">
      <c r="G1347" s="459"/>
      <c r="H1347" s="459">
        <v>1340</v>
      </c>
      <c r="I1347" s="444">
        <f t="shared" ca="1" si="110"/>
        <v>-146068366.25458142</v>
      </c>
      <c r="J1347" s="444">
        <f t="array" ref="J1347">IFERROR(INDEX('Retirement Calculator'!K:K,MATCH('Lorri 401b'!N1347,'Retirement Calculator'!A:A,0),0),0)</f>
        <v>0</v>
      </c>
      <c r="K1347" s="444">
        <f t="shared" ca="1" si="108"/>
        <v>-608618.19272742257</v>
      </c>
      <c r="L1347" s="444">
        <f t="shared" ca="1" si="109"/>
        <v>-146676984.44730884</v>
      </c>
      <c r="M1347" s="460">
        <f t="shared" si="111"/>
        <v>0.05</v>
      </c>
      <c r="N1347" s="464">
        <f t="shared" si="112"/>
        <v>92043</v>
      </c>
    </row>
    <row r="1348" spans="7:14" ht="11.25" customHeight="1" x14ac:dyDescent="0.3">
      <c r="G1348" s="459"/>
      <c r="H1348" s="459">
        <v>1341</v>
      </c>
      <c r="I1348" s="444">
        <f t="shared" ca="1" si="110"/>
        <v>-146676984.44730884</v>
      </c>
      <c r="J1348" s="444">
        <f t="array" ref="J1348">IFERROR(INDEX('Retirement Calculator'!K:K,MATCH('Lorri 401b'!N1348,'Retirement Calculator'!A:A,0),0),0)</f>
        <v>0</v>
      </c>
      <c r="K1348" s="444">
        <f t="shared" ca="1" si="108"/>
        <v>-611154.10186378681</v>
      </c>
      <c r="L1348" s="444">
        <f t="shared" ca="1" si="109"/>
        <v>-147288138.54917264</v>
      </c>
      <c r="M1348" s="460">
        <f t="shared" si="111"/>
        <v>0.05</v>
      </c>
      <c r="N1348" s="464">
        <f t="shared" si="112"/>
        <v>92074</v>
      </c>
    </row>
    <row r="1349" spans="7:14" ht="11.25" customHeight="1" x14ac:dyDescent="0.3">
      <c r="G1349" s="459"/>
      <c r="H1349" s="459">
        <v>1342</v>
      </c>
      <c r="I1349" s="444">
        <f t="shared" ca="1" si="110"/>
        <v>-147288138.54917264</v>
      </c>
      <c r="J1349" s="444">
        <f t="array" ref="J1349">IFERROR(INDEX('Retirement Calculator'!K:K,MATCH('Lorri 401b'!N1349,'Retirement Calculator'!A:A,0),0),0)</f>
        <v>0</v>
      </c>
      <c r="K1349" s="444">
        <f t="shared" ca="1" si="108"/>
        <v>-613700.57728821936</v>
      </c>
      <c r="L1349" s="444">
        <f t="shared" ca="1" si="109"/>
        <v>-147901839.12646085</v>
      </c>
      <c r="M1349" s="460">
        <f t="shared" si="111"/>
        <v>0.05</v>
      </c>
      <c r="N1349" s="464">
        <f t="shared" si="112"/>
        <v>92103</v>
      </c>
    </row>
    <row r="1350" spans="7:14" ht="11.25" customHeight="1" x14ac:dyDescent="0.3">
      <c r="G1350" s="459"/>
      <c r="H1350" s="459">
        <v>1343</v>
      </c>
      <c r="I1350" s="444">
        <f t="shared" ca="1" si="110"/>
        <v>-147901839.12646085</v>
      </c>
      <c r="J1350" s="444">
        <f t="array" ref="J1350">IFERROR(INDEX('Retirement Calculator'!K:K,MATCH('Lorri 401b'!N1350,'Retirement Calculator'!A:A,0),0),0)</f>
        <v>0</v>
      </c>
      <c r="K1350" s="444">
        <f t="shared" ca="1" si="108"/>
        <v>-616257.66302692017</v>
      </c>
      <c r="L1350" s="444">
        <f t="shared" ca="1" si="109"/>
        <v>-148518096.78948778</v>
      </c>
      <c r="M1350" s="460">
        <f t="shared" si="111"/>
        <v>0.05</v>
      </c>
      <c r="N1350" s="464">
        <f t="shared" si="112"/>
        <v>92134</v>
      </c>
    </row>
    <row r="1351" spans="7:14" ht="11.25" customHeight="1" x14ac:dyDescent="0.3">
      <c r="G1351" s="459"/>
      <c r="H1351" s="459">
        <v>1344</v>
      </c>
      <c r="I1351" s="444">
        <f t="shared" ca="1" si="110"/>
        <v>-148518096.78948778</v>
      </c>
      <c r="J1351" s="444">
        <f t="array" ref="J1351">IFERROR(INDEX('Retirement Calculator'!K:K,MATCH('Lorri 401b'!N1351,'Retirement Calculator'!A:A,0),0),0)</f>
        <v>0</v>
      </c>
      <c r="K1351" s="444">
        <f t="shared" ca="1" si="108"/>
        <v>-618825.40328953241</v>
      </c>
      <c r="L1351" s="444">
        <f t="shared" ca="1" si="109"/>
        <v>-149136922.19277731</v>
      </c>
      <c r="M1351" s="460">
        <f t="shared" si="111"/>
        <v>0.05</v>
      </c>
      <c r="N1351" s="464">
        <f t="shared" si="112"/>
        <v>92164</v>
      </c>
    </row>
    <row r="1352" spans="7:14" ht="11.25" customHeight="1" x14ac:dyDescent="0.3">
      <c r="G1352" s="459"/>
      <c r="H1352" s="459">
        <v>1345</v>
      </c>
      <c r="I1352" s="444">
        <f t="shared" ca="1" si="110"/>
        <v>-149136922.19277731</v>
      </c>
      <c r="J1352" s="444">
        <f t="array" ref="J1352">IFERROR(INDEX('Retirement Calculator'!K:K,MATCH('Lorri 401b'!N1352,'Retirement Calculator'!A:A,0),0),0)</f>
        <v>0</v>
      </c>
      <c r="K1352" s="444">
        <f t="shared" ca="1" si="108"/>
        <v>-621403.84246990539</v>
      </c>
      <c r="L1352" s="444">
        <f t="shared" ca="1" si="109"/>
        <v>-149758326.03524721</v>
      </c>
      <c r="M1352" s="460">
        <f t="shared" si="111"/>
        <v>0.05</v>
      </c>
      <c r="N1352" s="464">
        <f t="shared" si="112"/>
        <v>92195</v>
      </c>
    </row>
    <row r="1353" spans="7:14" ht="11.25" customHeight="1" x14ac:dyDescent="0.3">
      <c r="G1353" s="459"/>
      <c r="H1353" s="459">
        <v>1346</v>
      </c>
      <c r="I1353" s="444">
        <f t="shared" ca="1" si="110"/>
        <v>-149758326.03524721</v>
      </c>
      <c r="J1353" s="444">
        <f t="array" ref="J1353">IFERROR(INDEX('Retirement Calculator'!K:K,MATCH('Lorri 401b'!N1353,'Retirement Calculator'!A:A,0),0),0)</f>
        <v>0</v>
      </c>
      <c r="K1353" s="444">
        <f t="shared" ca="1" si="108"/>
        <v>-623993.02514686331</v>
      </c>
      <c r="L1353" s="444">
        <f t="shared" ca="1" si="109"/>
        <v>-150382319.06039408</v>
      </c>
      <c r="M1353" s="460">
        <f t="shared" si="111"/>
        <v>0.05</v>
      </c>
      <c r="N1353" s="464">
        <f t="shared" si="112"/>
        <v>92225</v>
      </c>
    </row>
    <row r="1354" spans="7:14" ht="11.25" customHeight="1" x14ac:dyDescent="0.3">
      <c r="G1354" s="459"/>
      <c r="H1354" s="459">
        <v>1347</v>
      </c>
      <c r="I1354" s="444">
        <f t="shared" ca="1" si="110"/>
        <v>-150382319.06039408</v>
      </c>
      <c r="J1354" s="444">
        <f t="array" ref="J1354">IFERROR(INDEX('Retirement Calculator'!K:K,MATCH('Lorri 401b'!N1354,'Retirement Calculator'!A:A,0),0),0)</f>
        <v>0</v>
      </c>
      <c r="K1354" s="444">
        <f t="shared" ca="1" si="108"/>
        <v>-626592.99608497531</v>
      </c>
      <c r="L1354" s="444">
        <f t="shared" ca="1" si="109"/>
        <v>-151008912.05647907</v>
      </c>
      <c r="M1354" s="460">
        <f t="shared" si="111"/>
        <v>0.05</v>
      </c>
      <c r="N1354" s="464">
        <f t="shared" si="112"/>
        <v>92256</v>
      </c>
    </row>
    <row r="1355" spans="7:14" ht="11.25" customHeight="1" x14ac:dyDescent="0.3">
      <c r="G1355" s="459"/>
      <c r="H1355" s="459">
        <v>1348</v>
      </c>
      <c r="I1355" s="444">
        <f t="shared" ca="1" si="110"/>
        <v>-151008912.05647907</v>
      </c>
      <c r="J1355" s="444">
        <f t="array" ref="J1355">IFERROR(INDEX('Retirement Calculator'!K:K,MATCH('Lorri 401b'!N1355,'Retirement Calculator'!A:A,0),0),0)</f>
        <v>0</v>
      </c>
      <c r="K1355" s="444">
        <f t="shared" ca="1" si="108"/>
        <v>-629203.80023532943</v>
      </c>
      <c r="L1355" s="444">
        <f t="shared" ca="1" si="109"/>
        <v>-151638115.8567144</v>
      </c>
      <c r="M1355" s="460">
        <f t="shared" si="111"/>
        <v>0.05</v>
      </c>
      <c r="N1355" s="464">
        <f t="shared" si="112"/>
        <v>92287</v>
      </c>
    </row>
    <row r="1356" spans="7:14" ht="11.25" customHeight="1" x14ac:dyDescent="0.3">
      <c r="G1356" s="459"/>
      <c r="H1356" s="459">
        <v>1349</v>
      </c>
      <c r="I1356" s="444">
        <f t="shared" ca="1" si="110"/>
        <v>-151638115.8567144</v>
      </c>
      <c r="J1356" s="444">
        <f t="array" ref="J1356">IFERROR(INDEX('Retirement Calculator'!K:K,MATCH('Lorri 401b'!N1356,'Retirement Calculator'!A:A,0),0),0)</f>
        <v>0</v>
      </c>
      <c r="K1356" s="444">
        <f t="shared" ca="1" si="108"/>
        <v>-631825.48273630999</v>
      </c>
      <c r="L1356" s="444">
        <f t="shared" ca="1" si="109"/>
        <v>-152269941.33945072</v>
      </c>
      <c r="M1356" s="460">
        <f t="shared" si="111"/>
        <v>0.05</v>
      </c>
      <c r="N1356" s="464">
        <f t="shared" si="112"/>
        <v>92317</v>
      </c>
    </row>
    <row r="1357" spans="7:14" ht="11.25" customHeight="1" x14ac:dyDescent="0.3">
      <c r="G1357" s="459"/>
      <c r="H1357" s="459">
        <v>1350</v>
      </c>
      <c r="I1357" s="444">
        <f t="shared" ca="1" si="110"/>
        <v>-152269941.33945072</v>
      </c>
      <c r="J1357" s="444">
        <f t="array" ref="J1357">IFERROR(INDEX('Retirement Calculator'!K:K,MATCH('Lorri 401b'!N1357,'Retirement Calculator'!A:A,0),0),0)</f>
        <v>0</v>
      </c>
      <c r="K1357" s="444">
        <f t="shared" ca="1" si="108"/>
        <v>-634458.08891437796</v>
      </c>
      <c r="L1357" s="444">
        <f t="shared" ca="1" si="109"/>
        <v>-152904399.42836508</v>
      </c>
      <c r="M1357" s="460">
        <f t="shared" si="111"/>
        <v>0.05</v>
      </c>
      <c r="N1357" s="464">
        <f t="shared" si="112"/>
        <v>92348</v>
      </c>
    </row>
    <row r="1358" spans="7:14" ht="11.25" customHeight="1" x14ac:dyDescent="0.3">
      <c r="G1358" s="459"/>
      <c r="H1358" s="459">
        <v>1351</v>
      </c>
      <c r="I1358" s="444">
        <f t="shared" ca="1" si="110"/>
        <v>-152904399.42836508</v>
      </c>
      <c r="J1358" s="444">
        <f t="array" ref="J1358">IFERROR(INDEX('Retirement Calculator'!K:K,MATCH('Lorri 401b'!N1358,'Retirement Calculator'!A:A,0),0),0)</f>
        <v>0</v>
      </c>
      <c r="K1358" s="444">
        <f t="shared" ca="1" si="108"/>
        <v>-637101.66428485455</v>
      </c>
      <c r="L1358" s="444">
        <f t="shared" ca="1" si="109"/>
        <v>-153541501.09264994</v>
      </c>
      <c r="M1358" s="460">
        <f t="shared" si="111"/>
        <v>0.05</v>
      </c>
      <c r="N1358" s="464">
        <f t="shared" si="112"/>
        <v>92378</v>
      </c>
    </row>
    <row r="1359" spans="7:14" ht="11.25" customHeight="1" x14ac:dyDescent="0.3">
      <c r="G1359" s="459"/>
      <c r="H1359" s="459">
        <v>1352</v>
      </c>
      <c r="I1359" s="444">
        <f t="shared" ca="1" si="110"/>
        <v>-153541501.09264994</v>
      </c>
      <c r="J1359" s="444">
        <f t="array" ref="J1359">IFERROR(INDEX('Retirement Calculator'!K:K,MATCH('Lorri 401b'!N1359,'Retirement Calculator'!A:A,0),0),0)</f>
        <v>0</v>
      </c>
      <c r="K1359" s="444">
        <f t="shared" ca="1" si="108"/>
        <v>-639756.25455270801</v>
      </c>
      <c r="L1359" s="444">
        <f t="shared" ca="1" si="109"/>
        <v>-154181257.34720266</v>
      </c>
      <c r="M1359" s="460">
        <f t="shared" si="111"/>
        <v>0.05</v>
      </c>
      <c r="N1359" s="464">
        <f t="shared" si="112"/>
        <v>92409</v>
      </c>
    </row>
    <row r="1360" spans="7:14" ht="11.25" customHeight="1" x14ac:dyDescent="0.3">
      <c r="G1360" s="459"/>
      <c r="H1360" s="459">
        <v>1353</v>
      </c>
      <c r="I1360" s="444">
        <f t="shared" ca="1" si="110"/>
        <v>-154181257.34720266</v>
      </c>
      <c r="J1360" s="444">
        <f t="array" ref="J1360">IFERROR(INDEX('Retirement Calculator'!K:K,MATCH('Lorri 401b'!N1360,'Retirement Calculator'!A:A,0),0),0)</f>
        <v>0</v>
      </c>
      <c r="K1360" s="444">
        <f t="shared" ca="1" si="108"/>
        <v>-642421.9056133444</v>
      </c>
      <c r="L1360" s="444">
        <f t="shared" ca="1" si="109"/>
        <v>-154823679.25281599</v>
      </c>
      <c r="M1360" s="460">
        <f t="shared" si="111"/>
        <v>0.05</v>
      </c>
      <c r="N1360" s="464">
        <f t="shared" si="112"/>
        <v>92440</v>
      </c>
    </row>
    <row r="1361" spans="7:14" ht="11.25" customHeight="1" x14ac:dyDescent="0.3">
      <c r="G1361" s="459"/>
      <c r="H1361" s="459">
        <v>1354</v>
      </c>
      <c r="I1361" s="444">
        <f t="shared" ca="1" si="110"/>
        <v>-154823679.25281599</v>
      </c>
      <c r="J1361" s="444">
        <f t="array" ref="J1361">IFERROR(INDEX('Retirement Calculator'!K:K,MATCH('Lorri 401b'!N1361,'Retirement Calculator'!A:A,0),0),0)</f>
        <v>0</v>
      </c>
      <c r="K1361" s="444">
        <f t="shared" ca="1" si="108"/>
        <v>-645098.66355339997</v>
      </c>
      <c r="L1361" s="444">
        <f t="shared" ca="1" si="109"/>
        <v>-155468777.91636938</v>
      </c>
      <c r="M1361" s="460">
        <f t="shared" si="111"/>
        <v>0.05</v>
      </c>
      <c r="N1361" s="464">
        <f t="shared" si="112"/>
        <v>92468</v>
      </c>
    </row>
    <row r="1362" spans="7:14" ht="11.25" customHeight="1" x14ac:dyDescent="0.3">
      <c r="G1362" s="459"/>
      <c r="H1362" s="459">
        <v>1355</v>
      </c>
      <c r="I1362" s="444">
        <f t="shared" ca="1" si="110"/>
        <v>-155468777.91636938</v>
      </c>
      <c r="J1362" s="444">
        <f t="array" ref="J1362">IFERROR(INDEX('Retirement Calculator'!K:K,MATCH('Lorri 401b'!N1362,'Retirement Calculator'!A:A,0),0),0)</f>
        <v>0</v>
      </c>
      <c r="K1362" s="444">
        <f t="shared" ca="1" si="108"/>
        <v>-647786.57465153909</v>
      </c>
      <c r="L1362" s="444">
        <f t="shared" ca="1" si="109"/>
        <v>-156116564.49102092</v>
      </c>
      <c r="M1362" s="460">
        <f t="shared" si="111"/>
        <v>0.05</v>
      </c>
      <c r="N1362" s="464">
        <f t="shared" si="112"/>
        <v>92499</v>
      </c>
    </row>
    <row r="1363" spans="7:14" ht="11.25" customHeight="1" x14ac:dyDescent="0.3">
      <c r="G1363" s="459"/>
      <c r="H1363" s="459">
        <v>1356</v>
      </c>
      <c r="I1363" s="444">
        <f t="shared" ca="1" si="110"/>
        <v>-156116564.49102092</v>
      </c>
      <c r="J1363" s="444">
        <f t="array" ref="J1363">IFERROR(INDEX('Retirement Calculator'!K:K,MATCH('Lorri 401b'!N1363,'Retirement Calculator'!A:A,0),0),0)</f>
        <v>0</v>
      </c>
      <c r="K1363" s="444">
        <f t="shared" ca="1" si="108"/>
        <v>-650485.68537925382</v>
      </c>
      <c r="L1363" s="444">
        <f t="shared" ca="1" si="109"/>
        <v>-156767050.17640018</v>
      </c>
      <c r="M1363" s="460">
        <f t="shared" si="111"/>
        <v>0.05</v>
      </c>
      <c r="N1363" s="464">
        <f t="shared" si="112"/>
        <v>92529</v>
      </c>
    </row>
    <row r="1364" spans="7:14" ht="11.25" customHeight="1" x14ac:dyDescent="0.3">
      <c r="G1364" s="459"/>
      <c r="H1364" s="459">
        <v>1357</v>
      </c>
      <c r="I1364" s="444">
        <f t="shared" ca="1" si="110"/>
        <v>-156767050.17640018</v>
      </c>
      <c r="J1364" s="444">
        <f t="array" ref="J1364">IFERROR(INDEX('Retirement Calculator'!K:K,MATCH('Lorri 401b'!N1364,'Retirement Calculator'!A:A,0),0),0)</f>
        <v>0</v>
      </c>
      <c r="K1364" s="444">
        <f t="shared" ca="1" si="108"/>
        <v>-653196.04240166745</v>
      </c>
      <c r="L1364" s="444">
        <f t="shared" ca="1" si="109"/>
        <v>-157420246.21880186</v>
      </c>
      <c r="M1364" s="460">
        <f t="shared" si="111"/>
        <v>0.05</v>
      </c>
      <c r="N1364" s="464">
        <f t="shared" si="112"/>
        <v>92560</v>
      </c>
    </row>
    <row r="1365" spans="7:14" ht="11.25" customHeight="1" x14ac:dyDescent="0.3">
      <c r="G1365" s="459"/>
      <c r="H1365" s="459">
        <v>1358</v>
      </c>
      <c r="I1365" s="444">
        <f t="shared" ca="1" si="110"/>
        <v>-157420246.21880186</v>
      </c>
      <c r="J1365" s="444">
        <f t="array" ref="J1365">IFERROR(INDEX('Retirement Calculator'!K:K,MATCH('Lorri 401b'!N1365,'Retirement Calculator'!A:A,0),0),0)</f>
        <v>0</v>
      </c>
      <c r="K1365" s="444">
        <f t="shared" ca="1" si="108"/>
        <v>-655917.69257834111</v>
      </c>
      <c r="L1365" s="444">
        <f t="shared" ca="1" si="109"/>
        <v>-158076163.9113802</v>
      </c>
      <c r="M1365" s="460">
        <f t="shared" si="111"/>
        <v>0.05</v>
      </c>
      <c r="N1365" s="464">
        <f t="shared" si="112"/>
        <v>92590</v>
      </c>
    </row>
    <row r="1366" spans="7:14" ht="11.25" customHeight="1" x14ac:dyDescent="0.3">
      <c r="G1366" s="459"/>
      <c r="H1366" s="459">
        <v>1359</v>
      </c>
      <c r="I1366" s="444">
        <f t="shared" ca="1" si="110"/>
        <v>-158076163.9113802</v>
      </c>
      <c r="J1366" s="444">
        <f t="array" ref="J1366">IFERROR(INDEX('Retirement Calculator'!K:K,MATCH('Lorri 401b'!N1366,'Retirement Calculator'!A:A,0),0),0)</f>
        <v>0</v>
      </c>
      <c r="K1366" s="444">
        <f t="shared" ca="1" si="108"/>
        <v>-658650.6829640842</v>
      </c>
      <c r="L1366" s="444">
        <f t="shared" ca="1" si="109"/>
        <v>-158734814.59434429</v>
      </c>
      <c r="M1366" s="460">
        <f t="shared" si="111"/>
        <v>0.05</v>
      </c>
      <c r="N1366" s="464">
        <f t="shared" si="112"/>
        <v>92621</v>
      </c>
    </row>
    <row r="1367" spans="7:14" ht="11.25" customHeight="1" x14ac:dyDescent="0.3">
      <c r="G1367" s="459"/>
      <c r="H1367" s="459">
        <v>1360</v>
      </c>
      <c r="I1367" s="444">
        <f t="shared" ca="1" si="110"/>
        <v>-158734814.59434429</v>
      </c>
      <c r="J1367" s="444">
        <f t="array" ref="J1367">IFERROR(INDEX('Retirement Calculator'!K:K,MATCH('Lorri 401b'!N1367,'Retirement Calculator'!A:A,0),0),0)</f>
        <v>0</v>
      </c>
      <c r="K1367" s="444">
        <f t="shared" ca="1" si="108"/>
        <v>-661395.06080976781</v>
      </c>
      <c r="L1367" s="444">
        <f t="shared" ca="1" si="109"/>
        <v>-159396209.65515405</v>
      </c>
      <c r="M1367" s="460">
        <f t="shared" si="111"/>
        <v>0.05</v>
      </c>
      <c r="N1367" s="464">
        <f t="shared" si="112"/>
        <v>92652</v>
      </c>
    </row>
    <row r="1368" spans="7:14" ht="11.25" customHeight="1" x14ac:dyDescent="0.3">
      <c r="G1368" s="459"/>
      <c r="H1368" s="459">
        <v>1361</v>
      </c>
      <c r="I1368" s="444">
        <f t="shared" ca="1" si="110"/>
        <v>-159396209.65515405</v>
      </c>
      <c r="J1368" s="444">
        <f t="array" ref="J1368">IFERROR(INDEX('Retirement Calculator'!K:K,MATCH('Lorri 401b'!N1368,'Retirement Calculator'!A:A,0),0),0)</f>
        <v>0</v>
      </c>
      <c r="K1368" s="444">
        <f t="shared" ca="1" si="108"/>
        <v>-664150.87356314191</v>
      </c>
      <c r="L1368" s="444">
        <f t="shared" ca="1" si="109"/>
        <v>-160060360.52871719</v>
      </c>
      <c r="M1368" s="460">
        <f t="shared" si="111"/>
        <v>0.05</v>
      </c>
      <c r="N1368" s="464">
        <f t="shared" si="112"/>
        <v>92682</v>
      </c>
    </row>
    <row r="1369" spans="7:14" ht="11.25" customHeight="1" x14ac:dyDescent="0.3">
      <c r="G1369" s="459"/>
      <c r="H1369" s="459">
        <v>1362</v>
      </c>
      <c r="I1369" s="444">
        <f t="shared" ca="1" si="110"/>
        <v>-160060360.52871719</v>
      </c>
      <c r="J1369" s="444">
        <f t="array" ref="J1369">IFERROR(INDEX('Retirement Calculator'!K:K,MATCH('Lorri 401b'!N1369,'Retirement Calculator'!A:A,0),0),0)</f>
        <v>0</v>
      </c>
      <c r="K1369" s="444">
        <f t="shared" ca="1" si="108"/>
        <v>-666918.168869655</v>
      </c>
      <c r="L1369" s="444">
        <f t="shared" ca="1" si="109"/>
        <v>-160727278.69758683</v>
      </c>
      <c r="M1369" s="460">
        <f t="shared" si="111"/>
        <v>0.05</v>
      </c>
      <c r="N1369" s="464">
        <f t="shared" si="112"/>
        <v>92713</v>
      </c>
    </row>
    <row r="1370" spans="7:14" ht="11.25" customHeight="1" x14ac:dyDescent="0.3">
      <c r="G1370" s="459"/>
      <c r="H1370" s="459">
        <v>1363</v>
      </c>
      <c r="I1370" s="444">
        <f t="shared" ca="1" si="110"/>
        <v>-160727278.69758683</v>
      </c>
      <c r="J1370" s="444">
        <f t="array" ref="J1370">IFERROR(INDEX('Retirement Calculator'!K:K,MATCH('Lorri 401b'!N1370,'Retirement Calculator'!A:A,0),0),0)</f>
        <v>0</v>
      </c>
      <c r="K1370" s="444">
        <f t="shared" ca="1" si="108"/>
        <v>-669696.99457327847</v>
      </c>
      <c r="L1370" s="444">
        <f t="shared" ca="1" si="109"/>
        <v>-161396975.6921601</v>
      </c>
      <c r="M1370" s="460">
        <f t="shared" si="111"/>
        <v>0.05</v>
      </c>
      <c r="N1370" s="464">
        <f t="shared" si="112"/>
        <v>92743</v>
      </c>
    </row>
    <row r="1371" spans="7:14" ht="11.25" customHeight="1" x14ac:dyDescent="0.3">
      <c r="G1371" s="459"/>
      <c r="H1371" s="459">
        <v>1364</v>
      </c>
      <c r="I1371" s="444">
        <f t="shared" ca="1" si="110"/>
        <v>-161396975.6921601</v>
      </c>
      <c r="J1371" s="444">
        <f t="array" ref="J1371">IFERROR(INDEX('Retirement Calculator'!K:K,MATCH('Lorri 401b'!N1371,'Retirement Calculator'!A:A,0),0),0)</f>
        <v>0</v>
      </c>
      <c r="K1371" s="444">
        <f t="shared" ca="1" si="108"/>
        <v>-672487.3987173338</v>
      </c>
      <c r="L1371" s="444">
        <f t="shared" ca="1" si="109"/>
        <v>-162069463.09087744</v>
      </c>
      <c r="M1371" s="460">
        <f t="shared" si="111"/>
        <v>0.05</v>
      </c>
      <c r="N1371" s="464">
        <f t="shared" si="112"/>
        <v>92774</v>
      </c>
    </row>
    <row r="1372" spans="7:14" ht="11.25" customHeight="1" x14ac:dyDescent="0.3">
      <c r="G1372" s="459"/>
      <c r="H1372" s="459">
        <v>1365</v>
      </c>
      <c r="I1372" s="444">
        <f t="shared" ca="1" si="110"/>
        <v>-162069463.09087744</v>
      </c>
      <c r="J1372" s="444">
        <f t="array" ref="J1372">IFERROR(INDEX('Retirement Calculator'!K:K,MATCH('Lorri 401b'!N1372,'Retirement Calculator'!A:A,0),0),0)</f>
        <v>0</v>
      </c>
      <c r="K1372" s="444">
        <f t="shared" ca="1" si="108"/>
        <v>-675289.42954532267</v>
      </c>
      <c r="L1372" s="444">
        <f t="shared" ca="1" si="109"/>
        <v>-162744752.52042276</v>
      </c>
      <c r="M1372" s="460">
        <f t="shared" si="111"/>
        <v>0.05</v>
      </c>
      <c r="N1372" s="464">
        <f t="shared" si="112"/>
        <v>92805</v>
      </c>
    </row>
    <row r="1373" spans="7:14" ht="11.25" customHeight="1" x14ac:dyDescent="0.3">
      <c r="G1373" s="459"/>
      <c r="H1373" s="459">
        <v>1366</v>
      </c>
      <c r="I1373" s="444">
        <f t="shared" ca="1" si="110"/>
        <v>-162744752.52042276</v>
      </c>
      <c r="J1373" s="444">
        <f t="array" ref="J1373">IFERROR(INDEX('Retirement Calculator'!K:K,MATCH('Lorri 401b'!N1373,'Retirement Calculator'!A:A,0),0),0)</f>
        <v>0</v>
      </c>
      <c r="K1373" s="444">
        <f t="shared" ca="1" si="108"/>
        <v>-678103.13550176146</v>
      </c>
      <c r="L1373" s="444">
        <f t="shared" ca="1" si="109"/>
        <v>-163422855.65592453</v>
      </c>
      <c r="M1373" s="460">
        <f t="shared" si="111"/>
        <v>0.05</v>
      </c>
      <c r="N1373" s="464">
        <f t="shared" si="112"/>
        <v>92833</v>
      </c>
    </row>
    <row r="1374" spans="7:14" ht="11.25" customHeight="1" x14ac:dyDescent="0.3">
      <c r="G1374" s="459"/>
      <c r="H1374" s="459">
        <v>1367</v>
      </c>
      <c r="I1374" s="444">
        <f t="shared" ca="1" si="110"/>
        <v>-163422855.65592453</v>
      </c>
      <c r="J1374" s="444">
        <f t="array" ref="J1374">IFERROR(INDEX('Retirement Calculator'!K:K,MATCH('Lorri 401b'!N1374,'Retirement Calculator'!A:A,0),0),0)</f>
        <v>0</v>
      </c>
      <c r="K1374" s="444">
        <f t="shared" ca="1" si="108"/>
        <v>-680928.56523301883</v>
      </c>
      <c r="L1374" s="444">
        <f t="shared" ca="1" si="109"/>
        <v>-164103784.22115755</v>
      </c>
      <c r="M1374" s="460">
        <f t="shared" si="111"/>
        <v>0.05</v>
      </c>
      <c r="N1374" s="464">
        <f t="shared" si="112"/>
        <v>92864</v>
      </c>
    </row>
    <row r="1375" spans="7:14" ht="11.25" customHeight="1" x14ac:dyDescent="0.3">
      <c r="G1375" s="459"/>
      <c r="H1375" s="459">
        <v>1368</v>
      </c>
      <c r="I1375" s="444">
        <f t="shared" ca="1" si="110"/>
        <v>-164103784.22115755</v>
      </c>
      <c r="J1375" s="444">
        <f t="array" ref="J1375">IFERROR(INDEX('Retirement Calculator'!K:K,MATCH('Lorri 401b'!N1375,'Retirement Calculator'!A:A,0),0),0)</f>
        <v>0</v>
      </c>
      <c r="K1375" s="444">
        <f t="shared" ca="1" si="108"/>
        <v>-683765.76758815651</v>
      </c>
      <c r="L1375" s="444">
        <f t="shared" ca="1" si="109"/>
        <v>-164787549.98874572</v>
      </c>
      <c r="M1375" s="460">
        <f t="shared" si="111"/>
        <v>0.05</v>
      </c>
      <c r="N1375" s="464">
        <f t="shared" si="112"/>
        <v>92894</v>
      </c>
    </row>
    <row r="1376" spans="7:14" ht="11.25" customHeight="1" x14ac:dyDescent="0.3">
      <c r="G1376" s="459"/>
      <c r="H1376" s="459">
        <v>1369</v>
      </c>
      <c r="I1376" s="444">
        <f t="shared" ca="1" si="110"/>
        <v>-164787549.98874572</v>
      </c>
      <c r="J1376" s="444">
        <f t="array" ref="J1376">IFERROR(INDEX('Retirement Calculator'!K:K,MATCH('Lorri 401b'!N1376,'Retirement Calculator'!A:A,0),0),0)</f>
        <v>0</v>
      </c>
      <c r="K1376" s="444">
        <f t="shared" ca="1" si="108"/>
        <v>-686614.79161977384</v>
      </c>
      <c r="L1376" s="444">
        <f t="shared" ca="1" si="109"/>
        <v>-165474164.7803655</v>
      </c>
      <c r="M1376" s="460">
        <f t="shared" si="111"/>
        <v>0.05</v>
      </c>
      <c r="N1376" s="464">
        <f t="shared" si="112"/>
        <v>92925</v>
      </c>
    </row>
    <row r="1377" spans="7:14" ht="11.25" customHeight="1" x14ac:dyDescent="0.3">
      <c r="G1377" s="459"/>
      <c r="H1377" s="459">
        <v>1370</v>
      </c>
      <c r="I1377" s="444">
        <f t="shared" ca="1" si="110"/>
        <v>-165474164.7803655</v>
      </c>
      <c r="J1377" s="444">
        <f t="array" ref="J1377">IFERROR(INDEX('Retirement Calculator'!K:K,MATCH('Lorri 401b'!N1377,'Retirement Calculator'!A:A,0),0),0)</f>
        <v>0</v>
      </c>
      <c r="K1377" s="444">
        <f t="shared" ca="1" si="108"/>
        <v>-689475.68658485624</v>
      </c>
      <c r="L1377" s="444">
        <f t="shared" ca="1" si="109"/>
        <v>-166163640.46695036</v>
      </c>
      <c r="M1377" s="460">
        <f t="shared" si="111"/>
        <v>0.05</v>
      </c>
      <c r="N1377" s="464">
        <f t="shared" si="112"/>
        <v>92955</v>
      </c>
    </row>
    <row r="1378" spans="7:14" ht="11.25" customHeight="1" x14ac:dyDescent="0.3">
      <c r="G1378" s="459"/>
      <c r="H1378" s="459">
        <v>1371</v>
      </c>
      <c r="I1378" s="444">
        <f t="shared" ca="1" si="110"/>
        <v>-166163640.46695036</v>
      </c>
      <c r="J1378" s="444">
        <f t="array" ref="J1378">IFERROR(INDEX('Retirement Calculator'!K:K,MATCH('Lorri 401b'!N1378,'Retirement Calculator'!A:A,0),0),0)</f>
        <v>0</v>
      </c>
      <c r="K1378" s="444">
        <f t="shared" ca="1" si="108"/>
        <v>-692348.50194562646</v>
      </c>
      <c r="L1378" s="444">
        <f t="shared" ca="1" si="109"/>
        <v>-166855988.96889597</v>
      </c>
      <c r="M1378" s="460">
        <f t="shared" si="111"/>
        <v>0.05</v>
      </c>
      <c r="N1378" s="464">
        <f t="shared" si="112"/>
        <v>92986</v>
      </c>
    </row>
    <row r="1379" spans="7:14" ht="11.25" customHeight="1" x14ac:dyDescent="0.3">
      <c r="G1379" s="459"/>
      <c r="H1379" s="459">
        <v>1372</v>
      </c>
      <c r="I1379" s="444">
        <f t="shared" ca="1" si="110"/>
        <v>-166855988.96889597</v>
      </c>
      <c r="J1379" s="444">
        <f t="array" ref="J1379">IFERROR(INDEX('Retirement Calculator'!K:K,MATCH('Lorri 401b'!N1379,'Retirement Calculator'!A:A,0),0),0)</f>
        <v>0</v>
      </c>
      <c r="K1379" s="444">
        <f t="shared" ca="1" si="108"/>
        <v>-695233.28737039992</v>
      </c>
      <c r="L1379" s="444">
        <f t="shared" ca="1" si="109"/>
        <v>-167551222.25626639</v>
      </c>
      <c r="M1379" s="460">
        <f t="shared" si="111"/>
        <v>0.05</v>
      </c>
      <c r="N1379" s="464">
        <f t="shared" si="112"/>
        <v>93017</v>
      </c>
    </row>
    <row r="1380" spans="7:14" ht="11.25" customHeight="1" x14ac:dyDescent="0.3">
      <c r="G1380" s="459"/>
      <c r="H1380" s="459">
        <v>1373</v>
      </c>
      <c r="I1380" s="444">
        <f t="shared" ca="1" si="110"/>
        <v>-167551222.25626639</v>
      </c>
      <c r="J1380" s="444">
        <f t="array" ref="J1380">IFERROR(INDEX('Retirement Calculator'!K:K,MATCH('Lorri 401b'!N1380,'Retirement Calculator'!A:A,0),0),0)</f>
        <v>0</v>
      </c>
      <c r="K1380" s="444">
        <f t="shared" ca="1" si="108"/>
        <v>-698130.09273444326</v>
      </c>
      <c r="L1380" s="444">
        <f t="shared" ca="1" si="109"/>
        <v>-168249352.34900084</v>
      </c>
      <c r="M1380" s="460">
        <f t="shared" si="111"/>
        <v>0.05</v>
      </c>
      <c r="N1380" s="464">
        <f t="shared" si="112"/>
        <v>93047</v>
      </c>
    </row>
    <row r="1381" spans="7:14" ht="11.25" customHeight="1" x14ac:dyDescent="0.3">
      <c r="G1381" s="459"/>
      <c r="H1381" s="459">
        <v>1374</v>
      </c>
      <c r="I1381" s="444">
        <f t="shared" ca="1" si="110"/>
        <v>-168249352.34900084</v>
      </c>
      <c r="J1381" s="444">
        <f t="array" ref="J1381">IFERROR(INDEX('Retirement Calculator'!K:K,MATCH('Lorri 401b'!N1381,'Retirement Calculator'!A:A,0),0),0)</f>
        <v>0</v>
      </c>
      <c r="K1381" s="444">
        <f t="shared" ca="1" si="108"/>
        <v>-701038.96812083689</v>
      </c>
      <c r="L1381" s="444">
        <f t="shared" ca="1" si="109"/>
        <v>-168950391.31712168</v>
      </c>
      <c r="M1381" s="460">
        <f t="shared" si="111"/>
        <v>0.05</v>
      </c>
      <c r="N1381" s="464">
        <f t="shared" si="112"/>
        <v>93078</v>
      </c>
    </row>
    <row r="1382" spans="7:14" ht="11.25" customHeight="1" x14ac:dyDescent="0.3">
      <c r="G1382" s="459"/>
      <c r="H1382" s="459">
        <v>1375</v>
      </c>
      <c r="I1382" s="444">
        <f t="shared" ca="1" si="110"/>
        <v>-168950391.31712168</v>
      </c>
      <c r="J1382" s="444">
        <f t="array" ref="J1382">IFERROR(INDEX('Retirement Calculator'!K:K,MATCH('Lorri 401b'!N1382,'Retirement Calculator'!A:A,0),0),0)</f>
        <v>0</v>
      </c>
      <c r="K1382" s="444">
        <f t="shared" ca="1" si="108"/>
        <v>-703959.96382134035</v>
      </c>
      <c r="L1382" s="444">
        <f t="shared" ca="1" si="109"/>
        <v>-169654351.28094304</v>
      </c>
      <c r="M1382" s="460">
        <f t="shared" si="111"/>
        <v>0.05</v>
      </c>
      <c r="N1382" s="464">
        <f t="shared" si="112"/>
        <v>93108</v>
      </c>
    </row>
    <row r="1383" spans="7:14" ht="11.25" customHeight="1" x14ac:dyDescent="0.3">
      <c r="G1383" s="459"/>
      <c r="H1383" s="459">
        <v>1376</v>
      </c>
      <c r="I1383" s="444">
        <f t="shared" ca="1" si="110"/>
        <v>-169654351.28094304</v>
      </c>
      <c r="J1383" s="444">
        <f t="array" ref="J1383">IFERROR(INDEX('Retirement Calculator'!K:K,MATCH('Lorri 401b'!N1383,'Retirement Calculator'!A:A,0),0),0)</f>
        <v>0</v>
      </c>
      <c r="K1383" s="444">
        <f t="shared" ca="1" si="108"/>
        <v>-706893.13033726264</v>
      </c>
      <c r="L1383" s="444">
        <f t="shared" ca="1" si="109"/>
        <v>-170361244.4112803</v>
      </c>
      <c r="M1383" s="460">
        <f t="shared" si="111"/>
        <v>0.05</v>
      </c>
      <c r="N1383" s="464">
        <f t="shared" si="112"/>
        <v>93139</v>
      </c>
    </row>
    <row r="1384" spans="7:14" ht="11.25" customHeight="1" x14ac:dyDescent="0.3">
      <c r="G1384" s="459"/>
      <c r="H1384" s="459">
        <v>1377</v>
      </c>
      <c r="I1384" s="444">
        <f t="shared" ca="1" si="110"/>
        <v>-170361244.4112803</v>
      </c>
      <c r="J1384" s="444">
        <f t="array" ref="J1384">IFERROR(INDEX('Retirement Calculator'!K:K,MATCH('Lorri 401b'!N1384,'Retirement Calculator'!A:A,0),0),0)</f>
        <v>0</v>
      </c>
      <c r="K1384" s="444">
        <f t="shared" ca="1" si="108"/>
        <v>-709838.5183803346</v>
      </c>
      <c r="L1384" s="444">
        <f t="shared" ca="1" si="109"/>
        <v>-171071082.92966065</v>
      </c>
      <c r="M1384" s="460">
        <f t="shared" si="111"/>
        <v>0.05</v>
      </c>
      <c r="N1384" s="464">
        <f t="shared" si="112"/>
        <v>93170</v>
      </c>
    </row>
    <row r="1385" spans="7:14" ht="11.25" customHeight="1" x14ac:dyDescent="0.3">
      <c r="G1385" s="459"/>
      <c r="H1385" s="459">
        <v>1378</v>
      </c>
      <c r="I1385" s="444">
        <f t="shared" ca="1" si="110"/>
        <v>-171071082.92966065</v>
      </c>
      <c r="J1385" s="444">
        <f t="array" ref="J1385">IFERROR(INDEX('Retirement Calculator'!K:K,MATCH('Lorri 401b'!N1385,'Retirement Calculator'!A:A,0),0),0)</f>
        <v>0</v>
      </c>
      <c r="K1385" s="444">
        <f t="shared" ca="1" si="108"/>
        <v>-712796.178873586</v>
      </c>
      <c r="L1385" s="444">
        <f t="shared" ca="1" si="109"/>
        <v>-171783879.10853425</v>
      </c>
      <c r="M1385" s="460">
        <f t="shared" si="111"/>
        <v>0.05</v>
      </c>
      <c r="N1385" s="464">
        <f t="shared" si="112"/>
        <v>93198</v>
      </c>
    </row>
    <row r="1386" spans="7:14" ht="11.25" customHeight="1" x14ac:dyDescent="0.3">
      <c r="G1386" s="459"/>
      <c r="H1386" s="459">
        <v>1379</v>
      </c>
      <c r="I1386" s="444">
        <f t="shared" ca="1" si="110"/>
        <v>-171783879.10853425</v>
      </c>
      <c r="J1386" s="444">
        <f t="array" ref="J1386">IFERROR(INDEX('Retirement Calculator'!K:K,MATCH('Lorri 401b'!N1386,'Retirement Calculator'!A:A,0),0),0)</f>
        <v>0</v>
      </c>
      <c r="K1386" s="444">
        <f t="shared" ca="1" si="108"/>
        <v>-715766.162952226</v>
      </c>
      <c r="L1386" s="444">
        <f t="shared" ca="1" si="109"/>
        <v>-172499645.27148646</v>
      </c>
      <c r="M1386" s="460">
        <f t="shared" si="111"/>
        <v>0.05</v>
      </c>
      <c r="N1386" s="464">
        <f t="shared" si="112"/>
        <v>93229</v>
      </c>
    </row>
    <row r="1387" spans="7:14" ht="11.25" customHeight="1" x14ac:dyDescent="0.3">
      <c r="G1387" s="459"/>
      <c r="H1387" s="459">
        <v>1380</v>
      </c>
      <c r="I1387" s="444">
        <f t="shared" ca="1" si="110"/>
        <v>-172499645.27148646</v>
      </c>
      <c r="J1387" s="444">
        <f t="array" ref="J1387">IFERROR(INDEX('Retirement Calculator'!K:K,MATCH('Lorri 401b'!N1387,'Retirement Calculator'!A:A,0),0),0)</f>
        <v>0</v>
      </c>
      <c r="K1387" s="444">
        <f t="shared" ca="1" si="108"/>
        <v>-718748.52196452697</v>
      </c>
      <c r="L1387" s="444">
        <f t="shared" ca="1" si="109"/>
        <v>-173218393.79345098</v>
      </c>
      <c r="M1387" s="460">
        <f t="shared" si="111"/>
        <v>0.05</v>
      </c>
      <c r="N1387" s="464">
        <f t="shared" si="112"/>
        <v>93259</v>
      </c>
    </row>
    <row r="1388" spans="7:14" ht="11.25" customHeight="1" x14ac:dyDescent="0.3">
      <c r="G1388" s="459"/>
      <c r="H1388" s="459">
        <v>1381</v>
      </c>
      <c r="I1388" s="444">
        <f t="shared" ca="1" si="110"/>
        <v>-173218393.79345098</v>
      </c>
      <c r="J1388" s="444">
        <f t="array" ref="J1388">IFERROR(INDEX('Retirement Calculator'!K:K,MATCH('Lorri 401b'!N1388,'Retirement Calculator'!A:A,0),0),0)</f>
        <v>0</v>
      </c>
      <c r="K1388" s="444">
        <f t="shared" ca="1" si="108"/>
        <v>-721743.30747271236</v>
      </c>
      <c r="L1388" s="444">
        <f t="shared" ca="1" si="109"/>
        <v>-173940137.10092369</v>
      </c>
      <c r="M1388" s="460">
        <f t="shared" si="111"/>
        <v>0.05</v>
      </c>
      <c r="N1388" s="464">
        <f t="shared" si="112"/>
        <v>93290</v>
      </c>
    </row>
    <row r="1389" spans="7:14" ht="11.25" customHeight="1" x14ac:dyDescent="0.3">
      <c r="G1389" s="459"/>
      <c r="H1389" s="459">
        <v>1382</v>
      </c>
      <c r="I1389" s="444">
        <f t="shared" ca="1" si="110"/>
        <v>-173940137.10092369</v>
      </c>
      <c r="J1389" s="444">
        <f t="array" ref="J1389">IFERROR(INDEX('Retirement Calculator'!K:K,MATCH('Lorri 401b'!N1389,'Retirement Calculator'!A:A,0),0),0)</f>
        <v>0</v>
      </c>
      <c r="K1389" s="444">
        <f t="shared" ca="1" si="108"/>
        <v>-724750.57125384873</v>
      </c>
      <c r="L1389" s="444">
        <f t="shared" ca="1" si="109"/>
        <v>-174664887.67217752</v>
      </c>
      <c r="M1389" s="460">
        <f t="shared" si="111"/>
        <v>0.05</v>
      </c>
      <c r="N1389" s="464">
        <f t="shared" si="112"/>
        <v>93320</v>
      </c>
    </row>
    <row r="1390" spans="7:14" ht="11.25" customHeight="1" x14ac:dyDescent="0.3">
      <c r="G1390" s="459"/>
      <c r="H1390" s="459">
        <v>1383</v>
      </c>
      <c r="I1390" s="444">
        <f t="shared" ca="1" si="110"/>
        <v>-174664887.67217752</v>
      </c>
      <c r="J1390" s="444">
        <f t="array" ref="J1390">IFERROR(INDEX('Retirement Calculator'!K:K,MATCH('Lorri 401b'!N1390,'Retirement Calculator'!A:A,0),0),0)</f>
        <v>0</v>
      </c>
      <c r="K1390" s="444">
        <f t="shared" ca="1" si="108"/>
        <v>-727770.36530073965</v>
      </c>
      <c r="L1390" s="444">
        <f t="shared" ca="1" si="109"/>
        <v>-175392658.03747827</v>
      </c>
      <c r="M1390" s="460">
        <f t="shared" si="111"/>
        <v>0.05</v>
      </c>
      <c r="N1390" s="464">
        <f t="shared" si="112"/>
        <v>93351</v>
      </c>
    </row>
    <row r="1391" spans="7:14" ht="11.25" customHeight="1" x14ac:dyDescent="0.3">
      <c r="G1391" s="459"/>
      <c r="H1391" s="459">
        <v>1384</v>
      </c>
      <c r="I1391" s="444">
        <f t="shared" ca="1" si="110"/>
        <v>-175392658.03747827</v>
      </c>
      <c r="J1391" s="444">
        <f t="array" ref="J1391">IFERROR(INDEX('Retirement Calculator'!K:K,MATCH('Lorri 401b'!N1391,'Retirement Calculator'!A:A,0),0),0)</f>
        <v>0</v>
      </c>
      <c r="K1391" s="444">
        <f t="shared" ca="1" si="108"/>
        <v>-730802.74182282609</v>
      </c>
      <c r="L1391" s="444">
        <f t="shared" ca="1" si="109"/>
        <v>-176123460.77930111</v>
      </c>
      <c r="M1391" s="460">
        <f t="shared" si="111"/>
        <v>0.05</v>
      </c>
      <c r="N1391" s="464">
        <f t="shared" si="112"/>
        <v>93382</v>
      </c>
    </row>
    <row r="1392" spans="7:14" ht="11.25" customHeight="1" x14ac:dyDescent="0.3">
      <c r="G1392" s="459"/>
      <c r="H1392" s="459">
        <v>1385</v>
      </c>
      <c r="I1392" s="444">
        <f t="shared" ca="1" si="110"/>
        <v>-176123460.77930111</v>
      </c>
      <c r="J1392" s="444">
        <f t="array" ref="J1392">IFERROR(INDEX('Retirement Calculator'!K:K,MATCH('Lorri 401b'!N1392,'Retirement Calculator'!A:A,0),0),0)</f>
        <v>0</v>
      </c>
      <c r="K1392" s="444">
        <f t="shared" ca="1" si="108"/>
        <v>-733847.75324708794</v>
      </c>
      <c r="L1392" s="444">
        <f t="shared" ca="1" si="109"/>
        <v>-176857308.53254819</v>
      </c>
      <c r="M1392" s="460">
        <f t="shared" si="111"/>
        <v>0.05</v>
      </c>
      <c r="N1392" s="464">
        <f t="shared" si="112"/>
        <v>93412</v>
      </c>
    </row>
    <row r="1393" spans="7:14" ht="11.25" customHeight="1" x14ac:dyDescent="0.3">
      <c r="G1393" s="459"/>
      <c r="H1393" s="459">
        <v>1386</v>
      </c>
      <c r="I1393" s="444">
        <f t="shared" ca="1" si="110"/>
        <v>-176857308.53254819</v>
      </c>
      <c r="J1393" s="444">
        <f t="array" ref="J1393">IFERROR(INDEX('Retirement Calculator'!K:K,MATCH('Lorri 401b'!N1393,'Retirement Calculator'!A:A,0),0),0)</f>
        <v>0</v>
      </c>
      <c r="K1393" s="444">
        <f t="shared" ca="1" si="108"/>
        <v>-736905.45221895073</v>
      </c>
      <c r="L1393" s="444">
        <f t="shared" ca="1" si="109"/>
        <v>-177594213.98476714</v>
      </c>
      <c r="M1393" s="460">
        <f t="shared" si="111"/>
        <v>0.05</v>
      </c>
      <c r="N1393" s="464">
        <f t="shared" si="112"/>
        <v>93443</v>
      </c>
    </row>
    <row r="1394" spans="7:14" ht="11.25" customHeight="1" x14ac:dyDescent="0.3">
      <c r="G1394" s="459"/>
      <c r="H1394" s="459">
        <v>1387</v>
      </c>
      <c r="I1394" s="444">
        <f t="shared" ca="1" si="110"/>
        <v>-177594213.98476714</v>
      </c>
      <c r="J1394" s="444">
        <f t="array" ref="J1394">IFERROR(INDEX('Retirement Calculator'!K:K,MATCH('Lorri 401b'!N1394,'Retirement Calculator'!A:A,0),0),0)</f>
        <v>0</v>
      </c>
      <c r="K1394" s="444">
        <f t="shared" ca="1" si="108"/>
        <v>-739975.89160319639</v>
      </c>
      <c r="L1394" s="444">
        <f t="shared" ca="1" si="109"/>
        <v>-178334189.87637034</v>
      </c>
      <c r="M1394" s="460">
        <f t="shared" si="111"/>
        <v>0.05</v>
      </c>
      <c r="N1394" s="464">
        <f t="shared" si="112"/>
        <v>93473</v>
      </c>
    </row>
    <row r="1395" spans="7:14" ht="11.25" customHeight="1" x14ac:dyDescent="0.3">
      <c r="G1395" s="459"/>
      <c r="H1395" s="459">
        <v>1388</v>
      </c>
      <c r="I1395" s="444">
        <f t="shared" ca="1" si="110"/>
        <v>-178334189.87637034</v>
      </c>
      <c r="J1395" s="444">
        <f t="array" ref="J1395">IFERROR(INDEX('Retirement Calculator'!K:K,MATCH('Lorri 401b'!N1395,'Retirement Calculator'!A:A,0),0),0)</f>
        <v>0</v>
      </c>
      <c r="K1395" s="444">
        <f t="shared" ca="1" si="108"/>
        <v>-743059.1244848764</v>
      </c>
      <c r="L1395" s="444">
        <f t="shared" ca="1" si="109"/>
        <v>-179077249.00085521</v>
      </c>
      <c r="M1395" s="460">
        <f t="shared" si="111"/>
        <v>0.05</v>
      </c>
      <c r="N1395" s="464">
        <f t="shared" si="112"/>
        <v>93504</v>
      </c>
    </row>
    <row r="1396" spans="7:14" ht="11.25" customHeight="1" x14ac:dyDescent="0.3">
      <c r="G1396" s="459"/>
      <c r="H1396" s="459">
        <v>1389</v>
      </c>
      <c r="I1396" s="444">
        <f t="shared" ca="1" si="110"/>
        <v>-179077249.00085521</v>
      </c>
      <c r="J1396" s="444">
        <f t="array" ref="J1396">IFERROR(INDEX('Retirement Calculator'!K:K,MATCH('Lorri 401b'!N1396,'Retirement Calculator'!A:A,0),0),0)</f>
        <v>0</v>
      </c>
      <c r="K1396" s="444">
        <f t="shared" ca="1" si="108"/>
        <v>-746155.20417023008</v>
      </c>
      <c r="L1396" s="444">
        <f t="shared" ca="1" si="109"/>
        <v>-179823404.20502543</v>
      </c>
      <c r="M1396" s="460">
        <f t="shared" si="111"/>
        <v>0.05</v>
      </c>
      <c r="N1396" s="464">
        <f t="shared" si="112"/>
        <v>93535</v>
      </c>
    </row>
    <row r="1397" spans="7:14" ht="11.25" customHeight="1" x14ac:dyDescent="0.3">
      <c r="G1397" s="459"/>
      <c r="H1397" s="459">
        <v>1390</v>
      </c>
      <c r="I1397" s="444">
        <f t="shared" ca="1" si="110"/>
        <v>-179823404.20502543</v>
      </c>
      <c r="J1397" s="444">
        <f t="array" ref="J1397">IFERROR(INDEX('Retirement Calculator'!K:K,MATCH('Lorri 401b'!N1397,'Retirement Calculator'!A:A,0),0),0)</f>
        <v>0</v>
      </c>
      <c r="K1397" s="444">
        <f t="shared" ca="1" si="108"/>
        <v>-749264.18418760598</v>
      </c>
      <c r="L1397" s="444">
        <f t="shared" ca="1" si="109"/>
        <v>-180572668.38921303</v>
      </c>
      <c r="M1397" s="460">
        <f t="shared" si="111"/>
        <v>0.05</v>
      </c>
      <c r="N1397" s="464">
        <f t="shared" si="112"/>
        <v>93564</v>
      </c>
    </row>
    <row r="1398" spans="7:14" ht="11.25" customHeight="1" x14ac:dyDescent="0.3">
      <c r="G1398" s="459"/>
      <c r="H1398" s="459">
        <v>1391</v>
      </c>
      <c r="I1398" s="444">
        <f t="shared" ca="1" si="110"/>
        <v>-180572668.38921303</v>
      </c>
      <c r="J1398" s="444">
        <f t="array" ref="J1398">IFERROR(INDEX('Retirement Calculator'!K:K,MATCH('Lorri 401b'!N1398,'Retirement Calculator'!A:A,0),0),0)</f>
        <v>0</v>
      </c>
      <c r="K1398" s="444">
        <f t="shared" ca="1" si="108"/>
        <v>-752386.11828838754</v>
      </c>
      <c r="L1398" s="444">
        <f t="shared" ca="1" si="109"/>
        <v>-181325054.50750142</v>
      </c>
      <c r="M1398" s="460">
        <f t="shared" si="111"/>
        <v>0.05</v>
      </c>
      <c r="N1398" s="464">
        <f t="shared" si="112"/>
        <v>93595</v>
      </c>
    </row>
    <row r="1399" spans="7:14" ht="11.25" customHeight="1" x14ac:dyDescent="0.3">
      <c r="G1399" s="459"/>
      <c r="H1399" s="459">
        <v>1392</v>
      </c>
      <c r="I1399" s="444">
        <f t="shared" ca="1" si="110"/>
        <v>-181325054.50750142</v>
      </c>
      <c r="J1399" s="444">
        <f t="array" ref="J1399">IFERROR(INDEX('Retirement Calculator'!K:K,MATCH('Lorri 401b'!N1399,'Retirement Calculator'!A:A,0),0),0)</f>
        <v>0</v>
      </c>
      <c r="K1399" s="444">
        <f t="shared" ca="1" si="108"/>
        <v>-755521.06044792256</v>
      </c>
      <c r="L1399" s="444">
        <f t="shared" ca="1" si="109"/>
        <v>-182080575.56794935</v>
      </c>
      <c r="M1399" s="460">
        <f t="shared" si="111"/>
        <v>0.05</v>
      </c>
      <c r="N1399" s="464">
        <f t="shared" si="112"/>
        <v>93625</v>
      </c>
    </row>
    <row r="1400" spans="7:14" ht="11.25" customHeight="1" x14ac:dyDescent="0.3">
      <c r="G1400" s="459"/>
      <c r="H1400" s="459">
        <v>1393</v>
      </c>
      <c r="I1400" s="444">
        <f t="shared" ca="1" si="110"/>
        <v>-182080575.56794935</v>
      </c>
      <c r="J1400" s="444">
        <f t="array" ref="J1400">IFERROR(INDEX('Retirement Calculator'!K:K,MATCH('Lorri 401b'!N1400,'Retirement Calculator'!A:A,0),0),0)</f>
        <v>0</v>
      </c>
      <c r="K1400" s="444">
        <f t="shared" ca="1" si="108"/>
        <v>-758669.06486645562</v>
      </c>
      <c r="L1400" s="444">
        <f t="shared" ca="1" si="109"/>
        <v>-182839244.63281581</v>
      </c>
      <c r="M1400" s="460">
        <f t="shared" si="111"/>
        <v>0.05</v>
      </c>
      <c r="N1400" s="464">
        <f t="shared" si="112"/>
        <v>93656</v>
      </c>
    </row>
    <row r="1401" spans="7:14" ht="11.25" customHeight="1" x14ac:dyDescent="0.3">
      <c r="G1401" s="459"/>
      <c r="H1401" s="459">
        <v>1394</v>
      </c>
      <c r="I1401" s="444">
        <f t="shared" ca="1" si="110"/>
        <v>-182839244.63281581</v>
      </c>
      <c r="J1401" s="444">
        <f t="array" ref="J1401">IFERROR(INDEX('Retirement Calculator'!K:K,MATCH('Lorri 401b'!N1401,'Retirement Calculator'!A:A,0),0),0)</f>
        <v>0</v>
      </c>
      <c r="K1401" s="444">
        <f t="shared" ca="1" si="108"/>
        <v>-761830.18597006588</v>
      </c>
      <c r="L1401" s="444">
        <f t="shared" ca="1" si="109"/>
        <v>-183601074.81878588</v>
      </c>
      <c r="M1401" s="460">
        <f t="shared" si="111"/>
        <v>0.05</v>
      </c>
      <c r="N1401" s="464">
        <f t="shared" si="112"/>
        <v>93686</v>
      </c>
    </row>
    <row r="1402" spans="7:14" ht="11.25" customHeight="1" x14ac:dyDescent="0.3">
      <c r="G1402" s="459"/>
      <c r="H1402" s="459">
        <v>1395</v>
      </c>
      <c r="I1402" s="444">
        <f t="shared" ca="1" si="110"/>
        <v>-183601074.81878588</v>
      </c>
      <c r="J1402" s="444">
        <f t="array" ref="J1402">IFERROR(INDEX('Retirement Calculator'!K:K,MATCH('Lorri 401b'!N1402,'Retirement Calculator'!A:A,0),0),0)</f>
        <v>0</v>
      </c>
      <c r="K1402" s="444">
        <f t="shared" ca="1" si="108"/>
        <v>-765004.47841160779</v>
      </c>
      <c r="L1402" s="444">
        <f t="shared" ca="1" si="109"/>
        <v>-184366079.29719749</v>
      </c>
      <c r="M1402" s="460">
        <f t="shared" si="111"/>
        <v>0.05</v>
      </c>
      <c r="N1402" s="464">
        <f t="shared" si="112"/>
        <v>93717</v>
      </c>
    </row>
    <row r="1403" spans="7:14" ht="11.25" customHeight="1" x14ac:dyDescent="0.3">
      <c r="G1403" s="459"/>
      <c r="H1403" s="459">
        <v>1396</v>
      </c>
      <c r="I1403" s="444">
        <f t="shared" ca="1" si="110"/>
        <v>-184366079.29719749</v>
      </c>
      <c r="J1403" s="444">
        <f t="array" ref="J1403">IFERROR(INDEX('Retirement Calculator'!K:K,MATCH('Lorri 401b'!N1403,'Retirement Calculator'!A:A,0),0),0)</f>
        <v>0</v>
      </c>
      <c r="K1403" s="444">
        <f t="shared" ca="1" si="108"/>
        <v>-768191.99707165617</v>
      </c>
      <c r="L1403" s="444">
        <f t="shared" ca="1" si="109"/>
        <v>-185134271.29426914</v>
      </c>
      <c r="M1403" s="460">
        <f t="shared" si="111"/>
        <v>0.05</v>
      </c>
      <c r="N1403" s="464">
        <f t="shared" si="112"/>
        <v>93748</v>
      </c>
    </row>
    <row r="1404" spans="7:14" ht="11.25" customHeight="1" x14ac:dyDescent="0.3">
      <c r="G1404" s="459"/>
      <c r="H1404" s="459">
        <v>1397</v>
      </c>
      <c r="I1404" s="444">
        <f t="shared" ca="1" si="110"/>
        <v>-185134271.29426914</v>
      </c>
      <c r="J1404" s="444">
        <f t="array" ref="J1404">IFERROR(INDEX('Retirement Calculator'!K:K,MATCH('Lorri 401b'!N1404,'Retirement Calculator'!A:A,0),0),0)</f>
        <v>0</v>
      </c>
      <c r="K1404" s="444">
        <f t="shared" ca="1" si="108"/>
        <v>-771392.79705945472</v>
      </c>
      <c r="L1404" s="444">
        <f t="shared" ca="1" si="109"/>
        <v>-185905664.09132859</v>
      </c>
      <c r="M1404" s="460">
        <f t="shared" si="111"/>
        <v>0.05</v>
      </c>
      <c r="N1404" s="464">
        <f t="shared" si="112"/>
        <v>93778</v>
      </c>
    </row>
    <row r="1405" spans="7:14" ht="11.25" customHeight="1" x14ac:dyDescent="0.3">
      <c r="G1405" s="459"/>
      <c r="H1405" s="459">
        <v>1398</v>
      </c>
      <c r="I1405" s="444">
        <f t="shared" ca="1" si="110"/>
        <v>-185905664.09132859</v>
      </c>
      <c r="J1405" s="444">
        <f t="array" ref="J1405">IFERROR(INDEX('Retirement Calculator'!K:K,MATCH('Lorri 401b'!N1405,'Retirement Calculator'!A:A,0),0),0)</f>
        <v>0</v>
      </c>
      <c r="K1405" s="444">
        <f t="shared" ca="1" si="108"/>
        <v>-774606.93371386908</v>
      </c>
      <c r="L1405" s="444">
        <f t="shared" ca="1" si="109"/>
        <v>-186680271.02504247</v>
      </c>
      <c r="M1405" s="460">
        <f t="shared" si="111"/>
        <v>0.05</v>
      </c>
      <c r="N1405" s="464">
        <f t="shared" si="112"/>
        <v>93809</v>
      </c>
    </row>
    <row r="1406" spans="7:14" ht="11.25" customHeight="1" x14ac:dyDescent="0.3">
      <c r="G1406" s="459"/>
      <c r="H1406" s="459">
        <v>1399</v>
      </c>
      <c r="I1406" s="444">
        <f t="shared" ca="1" si="110"/>
        <v>-186680271.02504247</v>
      </c>
      <c r="J1406" s="444">
        <f t="array" ref="J1406">IFERROR(INDEX('Retirement Calculator'!K:K,MATCH('Lorri 401b'!N1406,'Retirement Calculator'!A:A,0),0),0)</f>
        <v>0</v>
      </c>
      <c r="K1406" s="444">
        <f t="shared" ca="1" si="108"/>
        <v>-777834.46260434366</v>
      </c>
      <c r="L1406" s="444">
        <f t="shared" ca="1" si="109"/>
        <v>-187458105.48764682</v>
      </c>
      <c r="M1406" s="460">
        <f t="shared" si="111"/>
        <v>0.05</v>
      </c>
      <c r="N1406" s="464">
        <f t="shared" si="112"/>
        <v>93839</v>
      </c>
    </row>
    <row r="1407" spans="7:14" ht="11.25" customHeight="1" x14ac:dyDescent="0.3">
      <c r="G1407" s="459"/>
      <c r="H1407" s="459">
        <v>1400</v>
      </c>
      <c r="I1407" s="444">
        <f t="shared" ca="1" si="110"/>
        <v>-187458105.48764682</v>
      </c>
      <c r="J1407" s="444">
        <f t="array" ref="J1407">IFERROR(INDEX('Retirement Calculator'!K:K,MATCH('Lorri 401b'!N1407,'Retirement Calculator'!A:A,0),0),0)</f>
        <v>0</v>
      </c>
      <c r="K1407" s="444">
        <f t="shared" ca="1" si="108"/>
        <v>-781075.43953186169</v>
      </c>
      <c r="L1407" s="444">
        <f t="shared" ca="1" si="109"/>
        <v>-188239180.92717868</v>
      </c>
      <c r="M1407" s="460">
        <f t="shared" si="111"/>
        <v>0.05</v>
      </c>
      <c r="N1407" s="464">
        <f t="shared" si="112"/>
        <v>93870</v>
      </c>
    </row>
    <row r="1408" spans="7:14" ht="11.25" customHeight="1" x14ac:dyDescent="0.3">
      <c r="G1408" s="459"/>
      <c r="H1408" s="459">
        <v>1401</v>
      </c>
      <c r="I1408" s="444">
        <f t="shared" ca="1" si="110"/>
        <v>-188239180.92717868</v>
      </c>
      <c r="J1408" s="444">
        <f t="array" ref="J1408">IFERROR(INDEX('Retirement Calculator'!K:K,MATCH('Lorri 401b'!N1408,'Retirement Calculator'!A:A,0),0),0)</f>
        <v>0</v>
      </c>
      <c r="K1408" s="444">
        <f t="shared" ca="1" si="108"/>
        <v>-784329.92052991118</v>
      </c>
      <c r="L1408" s="444">
        <f t="shared" ca="1" si="109"/>
        <v>-189023510.84770858</v>
      </c>
      <c r="M1408" s="460">
        <f t="shared" si="111"/>
        <v>0.05</v>
      </c>
      <c r="N1408" s="464">
        <f t="shared" si="112"/>
        <v>93901</v>
      </c>
    </row>
    <row r="1409" spans="7:14" ht="11.25" customHeight="1" x14ac:dyDescent="0.3">
      <c r="G1409" s="459"/>
      <c r="H1409" s="459">
        <v>1402</v>
      </c>
      <c r="I1409" s="444">
        <f t="shared" ca="1" si="110"/>
        <v>-189023510.84770858</v>
      </c>
      <c r="J1409" s="444">
        <f t="array" ref="J1409">IFERROR(INDEX('Retirement Calculator'!K:K,MATCH('Lorri 401b'!N1409,'Retirement Calculator'!A:A,0),0),0)</f>
        <v>0</v>
      </c>
      <c r="K1409" s="444">
        <f t="shared" ca="1" si="108"/>
        <v>-787597.96186545247</v>
      </c>
      <c r="L1409" s="444">
        <f t="shared" ca="1" si="109"/>
        <v>-189811108.80957404</v>
      </c>
      <c r="M1409" s="460">
        <f t="shared" si="111"/>
        <v>0.05</v>
      </c>
      <c r="N1409" s="464">
        <f t="shared" si="112"/>
        <v>93929</v>
      </c>
    </row>
    <row r="1410" spans="7:14" ht="11.25" customHeight="1" x14ac:dyDescent="0.3">
      <c r="G1410" s="459"/>
      <c r="H1410" s="459">
        <v>1403</v>
      </c>
      <c r="I1410" s="444">
        <f t="shared" ca="1" si="110"/>
        <v>-189811108.80957404</v>
      </c>
      <c r="J1410" s="444">
        <f t="array" ref="J1410">IFERROR(INDEX('Retirement Calculator'!K:K,MATCH('Lorri 401b'!N1410,'Retirement Calculator'!A:A,0),0),0)</f>
        <v>0</v>
      </c>
      <c r="K1410" s="444">
        <f t="shared" ca="1" si="108"/>
        <v>-790879.6200398918</v>
      </c>
      <c r="L1410" s="444">
        <f t="shared" ca="1" si="109"/>
        <v>-190601988.42961392</v>
      </c>
      <c r="M1410" s="460">
        <f t="shared" si="111"/>
        <v>0.05</v>
      </c>
      <c r="N1410" s="464">
        <f t="shared" si="112"/>
        <v>93960</v>
      </c>
    </row>
    <row r="1411" spans="7:14" ht="11.25" customHeight="1" x14ac:dyDescent="0.3">
      <c r="G1411" s="459"/>
      <c r="H1411" s="459">
        <v>1404</v>
      </c>
      <c r="I1411" s="444">
        <f t="shared" ca="1" si="110"/>
        <v>-190601988.42961392</v>
      </c>
      <c r="J1411" s="444">
        <f t="array" ref="J1411">IFERROR(INDEX('Retirement Calculator'!K:K,MATCH('Lorri 401b'!N1411,'Retirement Calculator'!A:A,0),0),0)</f>
        <v>0</v>
      </c>
      <c r="K1411" s="444">
        <f t="shared" ca="1" si="108"/>
        <v>-794174.95179005794</v>
      </c>
      <c r="L1411" s="444">
        <f t="shared" ca="1" si="109"/>
        <v>-191396163.38140398</v>
      </c>
      <c r="M1411" s="460">
        <f t="shared" si="111"/>
        <v>0.05</v>
      </c>
      <c r="N1411" s="464">
        <f t="shared" si="112"/>
        <v>93990</v>
      </c>
    </row>
    <row r="1412" spans="7:14" ht="11.25" customHeight="1" x14ac:dyDescent="0.3">
      <c r="G1412" s="459"/>
      <c r="H1412" s="459">
        <v>1405</v>
      </c>
      <c r="I1412" s="444">
        <f t="shared" ca="1" si="110"/>
        <v>-191396163.38140398</v>
      </c>
      <c r="J1412" s="444">
        <f t="array" ref="J1412">IFERROR(INDEX('Retirement Calculator'!K:K,MATCH('Lorri 401b'!N1412,'Retirement Calculator'!A:A,0),0),0)</f>
        <v>0</v>
      </c>
      <c r="K1412" s="444">
        <f t="shared" ca="1" si="108"/>
        <v>-797484.0140891833</v>
      </c>
      <c r="L1412" s="444">
        <f t="shared" ca="1" si="109"/>
        <v>-192193647.39549318</v>
      </c>
      <c r="M1412" s="460">
        <f t="shared" si="111"/>
        <v>0.05</v>
      </c>
      <c r="N1412" s="464">
        <f t="shared" si="112"/>
        <v>94021</v>
      </c>
    </row>
    <row r="1413" spans="7:14" ht="11.25" customHeight="1" x14ac:dyDescent="0.3">
      <c r="G1413" s="459"/>
      <c r="H1413" s="459">
        <v>1406</v>
      </c>
      <c r="I1413" s="444">
        <f t="shared" ca="1" si="110"/>
        <v>-192193647.39549318</v>
      </c>
      <c r="J1413" s="444">
        <f t="array" ref="J1413">IFERROR(INDEX('Retirement Calculator'!K:K,MATCH('Lorri 401b'!N1413,'Retirement Calculator'!A:A,0),0),0)</f>
        <v>0</v>
      </c>
      <c r="K1413" s="444">
        <f t="shared" ca="1" si="108"/>
        <v>-800806.86414788826</v>
      </c>
      <c r="L1413" s="444">
        <f t="shared" ca="1" si="109"/>
        <v>-192994454.25964108</v>
      </c>
      <c r="M1413" s="460">
        <f t="shared" si="111"/>
        <v>0.05</v>
      </c>
      <c r="N1413" s="464">
        <f t="shared" si="112"/>
        <v>94051</v>
      </c>
    </row>
    <row r="1414" spans="7:14" ht="11.25" customHeight="1" x14ac:dyDescent="0.3">
      <c r="G1414" s="459"/>
      <c r="H1414" s="459">
        <v>1407</v>
      </c>
      <c r="I1414" s="444">
        <f t="shared" ca="1" si="110"/>
        <v>-192994454.25964108</v>
      </c>
      <c r="J1414" s="444">
        <f t="array" ref="J1414">IFERROR(INDEX('Retirement Calculator'!K:K,MATCH('Lorri 401b'!N1414,'Retirement Calculator'!A:A,0),0),0)</f>
        <v>0</v>
      </c>
      <c r="K1414" s="444">
        <f t="shared" ca="1" si="108"/>
        <v>-804143.55941517116</v>
      </c>
      <c r="L1414" s="444">
        <f t="shared" ca="1" si="109"/>
        <v>-193798597.81905624</v>
      </c>
      <c r="M1414" s="460">
        <f t="shared" si="111"/>
        <v>0.05</v>
      </c>
      <c r="N1414" s="464">
        <f t="shared" si="112"/>
        <v>94082</v>
      </c>
    </row>
    <row r="1415" spans="7:14" ht="11.25" customHeight="1" x14ac:dyDescent="0.3">
      <c r="G1415" s="459"/>
      <c r="H1415" s="459">
        <v>1408</v>
      </c>
      <c r="I1415" s="444">
        <f t="shared" ca="1" si="110"/>
        <v>-193798597.81905624</v>
      </c>
      <c r="J1415" s="444">
        <f t="array" ref="J1415">IFERROR(INDEX('Retirement Calculator'!K:K,MATCH('Lorri 401b'!N1415,'Retirement Calculator'!A:A,0),0),0)</f>
        <v>0</v>
      </c>
      <c r="K1415" s="444">
        <f t="shared" ca="1" si="108"/>
        <v>-807494.15757940104</v>
      </c>
      <c r="L1415" s="444">
        <f t="shared" ca="1" si="109"/>
        <v>-194606091.97663563</v>
      </c>
      <c r="M1415" s="460">
        <f t="shared" si="111"/>
        <v>0.05</v>
      </c>
      <c r="N1415" s="464">
        <f t="shared" si="112"/>
        <v>94113</v>
      </c>
    </row>
    <row r="1416" spans="7:14" ht="11.25" customHeight="1" x14ac:dyDescent="0.3">
      <c r="G1416" s="459"/>
      <c r="H1416" s="459">
        <v>1409</v>
      </c>
      <c r="I1416" s="444">
        <f t="shared" ca="1" si="110"/>
        <v>-194606091.97663563</v>
      </c>
      <c r="J1416" s="444">
        <f t="array" ref="J1416">IFERROR(INDEX('Retirement Calculator'!K:K,MATCH('Lorri 401b'!N1416,'Retirement Calculator'!A:A,0),0),0)</f>
        <v>0</v>
      </c>
      <c r="K1416" s="444">
        <f t="shared" ca="1" si="108"/>
        <v>-810858.71656931518</v>
      </c>
      <c r="L1416" s="444">
        <f t="shared" ca="1" si="109"/>
        <v>-195416950.69320494</v>
      </c>
      <c r="M1416" s="460">
        <f t="shared" si="111"/>
        <v>0.05</v>
      </c>
      <c r="N1416" s="464">
        <f t="shared" si="112"/>
        <v>94143</v>
      </c>
    </row>
    <row r="1417" spans="7:14" ht="11.25" customHeight="1" x14ac:dyDescent="0.3">
      <c r="G1417" s="459"/>
      <c r="H1417" s="459">
        <v>1410</v>
      </c>
      <c r="I1417" s="444">
        <f t="shared" ca="1" si="110"/>
        <v>-195416950.69320494</v>
      </c>
      <c r="J1417" s="444">
        <f t="array" ref="J1417">IFERROR(INDEX('Retirement Calculator'!K:K,MATCH('Lorri 401b'!N1417,'Retirement Calculator'!A:A,0),0),0)</f>
        <v>0</v>
      </c>
      <c r="K1417" s="444">
        <f t="shared" ca="1" si="108"/>
        <v>-814237.29455502052</v>
      </c>
      <c r="L1417" s="444">
        <f t="shared" ca="1" si="109"/>
        <v>-196231187.98775995</v>
      </c>
      <c r="M1417" s="460">
        <f t="shared" si="111"/>
        <v>0.05</v>
      </c>
      <c r="N1417" s="464">
        <f t="shared" si="112"/>
        <v>94174</v>
      </c>
    </row>
    <row r="1418" spans="7:14" ht="11.25" customHeight="1" x14ac:dyDescent="0.3">
      <c r="G1418" s="459"/>
      <c r="H1418" s="459">
        <v>1411</v>
      </c>
      <c r="I1418" s="444">
        <f t="shared" ca="1" si="110"/>
        <v>-196231187.98775995</v>
      </c>
      <c r="J1418" s="444">
        <f t="array" ref="J1418">IFERROR(INDEX('Retirement Calculator'!K:K,MATCH('Lorri 401b'!N1418,'Retirement Calculator'!A:A,0),0),0)</f>
        <v>0</v>
      </c>
      <c r="K1418" s="444">
        <f t="shared" ca="1" si="108"/>
        <v>-817629.9499489998</v>
      </c>
      <c r="L1418" s="444">
        <f t="shared" ca="1" si="109"/>
        <v>-197048817.93770894</v>
      </c>
      <c r="M1418" s="460">
        <f t="shared" si="111"/>
        <v>0.05</v>
      </c>
      <c r="N1418" s="464">
        <f t="shared" si="112"/>
        <v>94204</v>
      </c>
    </row>
    <row r="1419" spans="7:14" ht="11.25" customHeight="1" x14ac:dyDescent="0.3">
      <c r="G1419" s="459"/>
      <c r="H1419" s="459">
        <v>1412</v>
      </c>
      <c r="I1419" s="444">
        <f t="shared" ca="1" si="110"/>
        <v>-197048817.93770894</v>
      </c>
      <c r="J1419" s="444">
        <f t="array" ref="J1419">IFERROR(INDEX('Retirement Calculator'!K:K,MATCH('Lorri 401b'!N1419,'Retirement Calculator'!A:A,0),0),0)</f>
        <v>0</v>
      </c>
      <c r="K1419" s="444">
        <f t="shared" ca="1" si="108"/>
        <v>-821036.7414071206</v>
      </c>
      <c r="L1419" s="444">
        <f t="shared" ca="1" si="109"/>
        <v>-197869854.67911607</v>
      </c>
      <c r="M1419" s="460">
        <f t="shared" si="111"/>
        <v>0.05</v>
      </c>
      <c r="N1419" s="464">
        <f t="shared" si="112"/>
        <v>94235</v>
      </c>
    </row>
    <row r="1420" spans="7:14" ht="11.25" customHeight="1" x14ac:dyDescent="0.3">
      <c r="G1420" s="459"/>
      <c r="H1420" s="459">
        <v>1413</v>
      </c>
      <c r="I1420" s="444">
        <f t="shared" ca="1" si="110"/>
        <v>-197869854.67911607</v>
      </c>
      <c r="J1420" s="444">
        <f t="array" ref="J1420">IFERROR(INDEX('Retirement Calculator'!K:K,MATCH('Lorri 401b'!N1420,'Retirement Calculator'!A:A,0),0),0)</f>
        <v>0</v>
      </c>
      <c r="K1420" s="444">
        <f t="shared" ca="1" si="108"/>
        <v>-824457.72782965028</v>
      </c>
      <c r="L1420" s="444">
        <f t="shared" ca="1" si="109"/>
        <v>-198694312.40694574</v>
      </c>
      <c r="M1420" s="460">
        <f t="shared" si="111"/>
        <v>0.05</v>
      </c>
      <c r="N1420" s="464">
        <f t="shared" si="112"/>
        <v>94266</v>
      </c>
    </row>
    <row r="1421" spans="7:14" ht="11.25" customHeight="1" x14ac:dyDescent="0.3">
      <c r="G1421" s="459"/>
      <c r="H1421" s="459">
        <v>1414</v>
      </c>
      <c r="I1421" s="444">
        <f t="shared" ca="1" si="110"/>
        <v>-198694312.40694574</v>
      </c>
      <c r="J1421" s="444">
        <f t="array" ref="J1421">IFERROR(INDEX('Retirement Calculator'!K:K,MATCH('Lorri 401b'!N1421,'Retirement Calculator'!A:A,0),0),0)</f>
        <v>0</v>
      </c>
      <c r="K1421" s="444">
        <f t="shared" ca="1" si="108"/>
        <v>-827892.96836227388</v>
      </c>
      <c r="L1421" s="444">
        <f t="shared" ca="1" si="109"/>
        <v>-199522205.37530801</v>
      </c>
      <c r="M1421" s="460">
        <f t="shared" si="111"/>
        <v>0.05</v>
      </c>
      <c r="N1421" s="464">
        <f t="shared" si="112"/>
        <v>94294</v>
      </c>
    </row>
    <row r="1422" spans="7:14" ht="11.25" customHeight="1" x14ac:dyDescent="0.3">
      <c r="G1422" s="459"/>
      <c r="H1422" s="459">
        <v>1415</v>
      </c>
      <c r="I1422" s="444">
        <f t="shared" ca="1" si="110"/>
        <v>-199522205.37530801</v>
      </c>
      <c r="J1422" s="444">
        <f t="array" ref="J1422">IFERROR(INDEX('Retirement Calculator'!K:K,MATCH('Lorri 401b'!N1422,'Retirement Calculator'!A:A,0),0),0)</f>
        <v>0</v>
      </c>
      <c r="K1422" s="444">
        <f t="shared" ca="1" si="108"/>
        <v>-831342.52239711664</v>
      </c>
      <c r="L1422" s="444">
        <f t="shared" ca="1" si="109"/>
        <v>-200353547.89770514</v>
      </c>
      <c r="M1422" s="460">
        <f t="shared" si="111"/>
        <v>0.05</v>
      </c>
      <c r="N1422" s="464">
        <f t="shared" si="112"/>
        <v>94325</v>
      </c>
    </row>
    <row r="1423" spans="7:14" ht="11.25" customHeight="1" x14ac:dyDescent="0.3">
      <c r="G1423" s="459"/>
      <c r="H1423" s="459">
        <v>1416</v>
      </c>
      <c r="I1423" s="444">
        <f t="shared" ca="1" si="110"/>
        <v>-200353547.89770514</v>
      </c>
      <c r="J1423" s="444">
        <f t="array" ref="J1423">IFERROR(INDEX('Retirement Calculator'!K:K,MATCH('Lorri 401b'!N1423,'Retirement Calculator'!A:A,0),0),0)</f>
        <v>0</v>
      </c>
      <c r="K1423" s="444">
        <f t="shared" ca="1" si="108"/>
        <v>-834806.44957377145</v>
      </c>
      <c r="L1423" s="444">
        <f t="shared" ca="1" si="109"/>
        <v>-201188354.34727892</v>
      </c>
      <c r="M1423" s="460">
        <f t="shared" si="111"/>
        <v>0.05</v>
      </c>
      <c r="N1423" s="464">
        <f t="shared" si="112"/>
        <v>94355</v>
      </c>
    </row>
    <row r="1424" spans="7:14" ht="11.25" customHeight="1" x14ac:dyDescent="0.3">
      <c r="G1424" s="459"/>
      <c r="H1424" s="459">
        <v>1417</v>
      </c>
      <c r="I1424" s="444">
        <f t="shared" ca="1" si="110"/>
        <v>-201188354.34727892</v>
      </c>
      <c r="J1424" s="444">
        <f t="array" ref="J1424">IFERROR(INDEX('Retirement Calculator'!K:K,MATCH('Lorri 401b'!N1424,'Retirement Calculator'!A:A,0),0),0)</f>
        <v>0</v>
      </c>
      <c r="K1424" s="444">
        <f t="shared" ca="1" si="108"/>
        <v>-838284.80978032888</v>
      </c>
      <c r="L1424" s="444">
        <f t="shared" ca="1" si="109"/>
        <v>-202026639.15705925</v>
      </c>
      <c r="M1424" s="460">
        <f t="shared" si="111"/>
        <v>0.05</v>
      </c>
      <c r="N1424" s="464">
        <f t="shared" si="112"/>
        <v>94386</v>
      </c>
    </row>
    <row r="1425" spans="7:14" ht="11.25" customHeight="1" x14ac:dyDescent="0.3">
      <c r="G1425" s="459"/>
      <c r="H1425" s="459">
        <v>1418</v>
      </c>
      <c r="I1425" s="444">
        <f t="shared" ca="1" si="110"/>
        <v>-202026639.15705925</v>
      </c>
      <c r="J1425" s="444">
        <f t="array" ref="J1425">IFERROR(INDEX('Retirement Calculator'!K:K,MATCH('Lorri 401b'!N1425,'Retirement Calculator'!A:A,0),0),0)</f>
        <v>0</v>
      </c>
      <c r="K1425" s="444">
        <f t="shared" ca="1" si="108"/>
        <v>-841777.66315441357</v>
      </c>
      <c r="L1425" s="444">
        <f t="shared" ca="1" si="109"/>
        <v>-202868416.82021368</v>
      </c>
      <c r="M1425" s="460">
        <f t="shared" si="111"/>
        <v>0.05</v>
      </c>
      <c r="N1425" s="464">
        <f t="shared" si="112"/>
        <v>94416</v>
      </c>
    </row>
    <row r="1426" spans="7:14" ht="11.25" customHeight="1" x14ac:dyDescent="0.3">
      <c r="G1426" s="459"/>
      <c r="H1426" s="459">
        <v>1419</v>
      </c>
      <c r="I1426" s="444">
        <f t="shared" ca="1" si="110"/>
        <v>-202868416.82021368</v>
      </c>
      <c r="J1426" s="444">
        <f t="array" ref="J1426">IFERROR(INDEX('Retirement Calculator'!K:K,MATCH('Lorri 401b'!N1426,'Retirement Calculator'!A:A,0),0),0)</f>
        <v>0</v>
      </c>
      <c r="K1426" s="444">
        <f t="shared" ca="1" si="108"/>
        <v>-845285.07008422364</v>
      </c>
      <c r="L1426" s="444">
        <f t="shared" ca="1" si="109"/>
        <v>-203713701.89029789</v>
      </c>
      <c r="M1426" s="460">
        <f t="shared" si="111"/>
        <v>0.05</v>
      </c>
      <c r="N1426" s="464">
        <f t="shared" si="112"/>
        <v>94447</v>
      </c>
    </row>
    <row r="1427" spans="7:14" ht="11.25" customHeight="1" x14ac:dyDescent="0.3">
      <c r="G1427" s="459"/>
      <c r="H1427" s="459">
        <v>1420</v>
      </c>
      <c r="I1427" s="444">
        <f t="shared" ca="1" si="110"/>
        <v>-203713701.89029789</v>
      </c>
      <c r="J1427" s="444">
        <f t="array" ref="J1427">IFERROR(INDEX('Retirement Calculator'!K:K,MATCH('Lorri 401b'!N1427,'Retirement Calculator'!A:A,0),0),0)</f>
        <v>0</v>
      </c>
      <c r="K1427" s="444">
        <f t="shared" ca="1" si="108"/>
        <v>-848807.09120957449</v>
      </c>
      <c r="L1427" s="444">
        <f t="shared" ca="1" si="109"/>
        <v>-204562508.98150745</v>
      </c>
      <c r="M1427" s="460">
        <f t="shared" si="111"/>
        <v>0.05</v>
      </c>
      <c r="N1427" s="464">
        <f t="shared" si="112"/>
        <v>94478</v>
      </c>
    </row>
    <row r="1428" spans="7:14" ht="11.25" customHeight="1" x14ac:dyDescent="0.3">
      <c r="G1428" s="459"/>
      <c r="H1428" s="459">
        <v>1421</v>
      </c>
      <c r="I1428" s="444">
        <f t="shared" ca="1" si="110"/>
        <v>-204562508.98150745</v>
      </c>
      <c r="J1428" s="444">
        <f t="array" ref="J1428">IFERROR(INDEX('Retirement Calculator'!K:K,MATCH('Lorri 401b'!N1428,'Retirement Calculator'!A:A,0),0),0)</f>
        <v>0</v>
      </c>
      <c r="K1428" s="444">
        <f t="shared" ca="1" si="108"/>
        <v>-852343.7874229477</v>
      </c>
      <c r="L1428" s="444">
        <f t="shared" ca="1" si="109"/>
        <v>-205414852.76893041</v>
      </c>
      <c r="M1428" s="460">
        <f t="shared" si="111"/>
        <v>0.05</v>
      </c>
      <c r="N1428" s="464">
        <f t="shared" si="112"/>
        <v>94508</v>
      </c>
    </row>
    <row r="1429" spans="7:14" ht="11.25" customHeight="1" x14ac:dyDescent="0.3">
      <c r="G1429" s="459"/>
      <c r="H1429" s="459">
        <v>1422</v>
      </c>
      <c r="I1429" s="444">
        <f t="shared" ca="1" si="110"/>
        <v>-205414852.76893041</v>
      </c>
      <c r="J1429" s="444">
        <f t="array" ref="J1429">IFERROR(INDEX('Retirement Calculator'!K:K,MATCH('Lorri 401b'!N1429,'Retirement Calculator'!A:A,0),0),0)</f>
        <v>0</v>
      </c>
      <c r="K1429" s="444">
        <f t="shared" ca="1" si="108"/>
        <v>-855895.21987054334</v>
      </c>
      <c r="L1429" s="444">
        <f t="shared" ca="1" si="109"/>
        <v>-206270747.98880094</v>
      </c>
      <c r="M1429" s="460">
        <f t="shared" si="111"/>
        <v>0.05</v>
      </c>
      <c r="N1429" s="464">
        <f t="shared" si="112"/>
        <v>94539</v>
      </c>
    </row>
    <row r="1430" spans="7:14" ht="11.25" customHeight="1" x14ac:dyDescent="0.3">
      <c r="G1430" s="459"/>
      <c r="H1430" s="459">
        <v>1423</v>
      </c>
      <c r="I1430" s="444">
        <f t="shared" ca="1" si="110"/>
        <v>-206270747.98880094</v>
      </c>
      <c r="J1430" s="444">
        <f t="array" ref="J1430">IFERROR(INDEX('Retirement Calculator'!K:K,MATCH('Lorri 401b'!N1430,'Retirement Calculator'!A:A,0),0),0)</f>
        <v>0</v>
      </c>
      <c r="K1430" s="444">
        <f t="shared" ca="1" si="108"/>
        <v>-859461.4499533372</v>
      </c>
      <c r="L1430" s="444">
        <f t="shared" ca="1" si="109"/>
        <v>-207130209.43875429</v>
      </c>
      <c r="M1430" s="460">
        <f t="shared" si="111"/>
        <v>0.05</v>
      </c>
      <c r="N1430" s="464">
        <f t="shared" si="112"/>
        <v>94569</v>
      </c>
    </row>
    <row r="1431" spans="7:14" ht="11.25" customHeight="1" x14ac:dyDescent="0.3">
      <c r="G1431" s="459"/>
      <c r="H1431" s="459">
        <v>1424</v>
      </c>
      <c r="I1431" s="444">
        <f t="shared" ca="1" si="110"/>
        <v>-207130209.43875429</v>
      </c>
      <c r="J1431" s="444">
        <f t="array" ref="J1431">IFERROR(INDEX('Retirement Calculator'!K:K,MATCH('Lorri 401b'!N1431,'Retirement Calculator'!A:A,0),0),0)</f>
        <v>0</v>
      </c>
      <c r="K1431" s="444">
        <f t="shared" ca="1" si="108"/>
        <v>-863042.53932814288</v>
      </c>
      <c r="L1431" s="444">
        <f t="shared" ca="1" si="109"/>
        <v>-207993251.97808242</v>
      </c>
      <c r="M1431" s="460">
        <f t="shared" si="111"/>
        <v>0.05</v>
      </c>
      <c r="N1431" s="464">
        <f t="shared" si="112"/>
        <v>94600</v>
      </c>
    </row>
    <row r="1432" spans="7:14" ht="11.25" customHeight="1" x14ac:dyDescent="0.3">
      <c r="G1432" s="459"/>
      <c r="H1432" s="459">
        <v>1425</v>
      </c>
      <c r="I1432" s="444">
        <f t="shared" ca="1" si="110"/>
        <v>-207993251.97808242</v>
      </c>
      <c r="J1432" s="444">
        <f t="array" ref="J1432">IFERROR(INDEX('Retirement Calculator'!K:K,MATCH('Lorri 401b'!N1432,'Retirement Calculator'!A:A,0),0),0)</f>
        <v>0</v>
      </c>
      <c r="K1432" s="444">
        <f t="shared" ca="1" si="108"/>
        <v>-866638.54990867677</v>
      </c>
      <c r="L1432" s="444">
        <f t="shared" ca="1" si="109"/>
        <v>-208859890.52799109</v>
      </c>
      <c r="M1432" s="460">
        <f t="shared" si="111"/>
        <v>0.05</v>
      </c>
      <c r="N1432" s="464">
        <f t="shared" si="112"/>
        <v>94631</v>
      </c>
    </row>
    <row r="1433" spans="7:14" ht="11.25" customHeight="1" x14ac:dyDescent="0.3">
      <c r="G1433" s="459"/>
      <c r="H1433" s="459">
        <v>1426</v>
      </c>
      <c r="I1433" s="444">
        <f t="shared" ca="1" si="110"/>
        <v>-208859890.52799109</v>
      </c>
      <c r="J1433" s="444">
        <f t="array" ref="J1433">IFERROR(INDEX('Retirement Calculator'!K:K,MATCH('Lorri 401b'!N1433,'Retirement Calculator'!A:A,0),0),0)</f>
        <v>0</v>
      </c>
      <c r="K1433" s="444">
        <f t="shared" ca="1" si="108"/>
        <v>-870249.54386662948</v>
      </c>
      <c r="L1433" s="444">
        <f t="shared" ca="1" si="109"/>
        <v>-209730140.07185772</v>
      </c>
      <c r="M1433" s="460">
        <f t="shared" si="111"/>
        <v>0.05</v>
      </c>
      <c r="N1433" s="464">
        <f t="shared" si="112"/>
        <v>94659</v>
      </c>
    </row>
    <row r="1434" spans="7:14" ht="11.25" customHeight="1" x14ac:dyDescent="0.3">
      <c r="G1434" s="459"/>
      <c r="H1434" s="459">
        <v>1427</v>
      </c>
      <c r="I1434" s="444">
        <f t="shared" ca="1" si="110"/>
        <v>-209730140.07185772</v>
      </c>
      <c r="J1434" s="444">
        <f t="array" ref="J1434">IFERROR(INDEX('Retirement Calculator'!K:K,MATCH('Lorri 401b'!N1434,'Retirement Calculator'!A:A,0),0),0)</f>
        <v>0</v>
      </c>
      <c r="K1434" s="444">
        <f t="shared" ca="1" si="108"/>
        <v>-873875.58363274054</v>
      </c>
      <c r="L1434" s="444">
        <f t="shared" ca="1" si="109"/>
        <v>-210604015.65549046</v>
      </c>
      <c r="M1434" s="460">
        <f t="shared" si="111"/>
        <v>0.05</v>
      </c>
      <c r="N1434" s="464">
        <f t="shared" si="112"/>
        <v>94690</v>
      </c>
    </row>
    <row r="1435" spans="7:14" ht="11.25" customHeight="1" x14ac:dyDescent="0.3">
      <c r="G1435" s="459"/>
      <c r="H1435" s="459">
        <v>1428</v>
      </c>
      <c r="I1435" s="444">
        <f t="shared" ca="1" si="110"/>
        <v>-210604015.65549046</v>
      </c>
      <c r="J1435" s="444">
        <f t="array" ref="J1435">IFERROR(INDEX('Retirement Calculator'!K:K,MATCH('Lorri 401b'!N1435,'Retirement Calculator'!A:A,0),0),0)</f>
        <v>0</v>
      </c>
      <c r="K1435" s="444">
        <f t="shared" ca="1" si="108"/>
        <v>-877516.73189787695</v>
      </c>
      <c r="L1435" s="444">
        <f t="shared" ca="1" si="109"/>
        <v>-211481532.38738835</v>
      </c>
      <c r="M1435" s="460">
        <f t="shared" si="111"/>
        <v>0.05</v>
      </c>
      <c r="N1435" s="464">
        <f t="shared" si="112"/>
        <v>94720</v>
      </c>
    </row>
    <row r="1436" spans="7:14" ht="11.25" customHeight="1" x14ac:dyDescent="0.3">
      <c r="G1436" s="459"/>
      <c r="H1436" s="459">
        <v>1429</v>
      </c>
      <c r="I1436" s="444">
        <f t="shared" ca="1" si="110"/>
        <v>-211481532.38738835</v>
      </c>
      <c r="J1436" s="444">
        <f t="array" ref="J1436">IFERROR(INDEX('Retirement Calculator'!K:K,MATCH('Lorri 401b'!N1436,'Retirement Calculator'!A:A,0),0),0)</f>
        <v>0</v>
      </c>
      <c r="K1436" s="444">
        <f t="shared" ca="1" si="108"/>
        <v>-881173.05161411816</v>
      </c>
      <c r="L1436" s="444">
        <f t="shared" ca="1" si="109"/>
        <v>-212362705.43900245</v>
      </c>
      <c r="M1436" s="460">
        <f t="shared" si="111"/>
        <v>0.05</v>
      </c>
      <c r="N1436" s="464">
        <f t="shared" si="112"/>
        <v>94751</v>
      </c>
    </row>
    <row r="1437" spans="7:14" ht="11.25" customHeight="1" x14ac:dyDescent="0.3">
      <c r="G1437" s="459"/>
      <c r="H1437" s="459">
        <v>1430</v>
      </c>
      <c r="I1437" s="444">
        <f t="shared" ca="1" si="110"/>
        <v>-212362705.43900245</v>
      </c>
      <c r="J1437" s="444">
        <f t="array" ref="J1437">IFERROR(INDEX('Retirement Calculator'!K:K,MATCH('Lorri 401b'!N1437,'Retirement Calculator'!A:A,0),0),0)</f>
        <v>0</v>
      </c>
      <c r="K1437" s="444">
        <f t="shared" ca="1" si="108"/>
        <v>-884844.60599584354</v>
      </c>
      <c r="L1437" s="444">
        <f t="shared" ca="1" si="109"/>
        <v>-213247550.04499829</v>
      </c>
      <c r="M1437" s="460">
        <f t="shared" si="111"/>
        <v>0.05</v>
      </c>
      <c r="N1437" s="464">
        <f t="shared" si="112"/>
        <v>94781</v>
      </c>
    </row>
    <row r="1438" spans="7:14" ht="11.25" customHeight="1" x14ac:dyDescent="0.3">
      <c r="G1438" s="459"/>
      <c r="H1438" s="459">
        <v>1431</v>
      </c>
      <c r="I1438" s="444">
        <f t="shared" ca="1" si="110"/>
        <v>-213247550.04499829</v>
      </c>
      <c r="J1438" s="444">
        <f t="array" ref="J1438">IFERROR(INDEX('Retirement Calculator'!K:K,MATCH('Lorri 401b'!N1438,'Retirement Calculator'!A:A,0),0),0)</f>
        <v>0</v>
      </c>
      <c r="K1438" s="444">
        <f t="shared" ca="1" si="108"/>
        <v>-888531.45852082607</v>
      </c>
      <c r="L1438" s="444">
        <f t="shared" ca="1" si="109"/>
        <v>-214136081.50351912</v>
      </c>
      <c r="M1438" s="460">
        <f t="shared" si="111"/>
        <v>0.05</v>
      </c>
      <c r="N1438" s="464">
        <f t="shared" si="112"/>
        <v>94812</v>
      </c>
    </row>
    <row r="1439" spans="7:14" ht="11.25" customHeight="1" x14ac:dyDescent="0.3">
      <c r="G1439" s="459"/>
      <c r="H1439" s="459">
        <v>1432</v>
      </c>
      <c r="I1439" s="444">
        <f t="shared" ca="1" si="110"/>
        <v>-214136081.50351912</v>
      </c>
      <c r="J1439" s="444">
        <f t="array" ref="J1439">IFERROR(INDEX('Retirement Calculator'!K:K,MATCH('Lorri 401b'!N1439,'Retirement Calculator'!A:A,0),0),0)</f>
        <v>0</v>
      </c>
      <c r="K1439" s="444">
        <f t="shared" ca="1" si="108"/>
        <v>-892233.67293132981</v>
      </c>
      <c r="L1439" s="444">
        <f t="shared" ca="1" si="109"/>
        <v>-215028315.17645046</v>
      </c>
      <c r="M1439" s="460">
        <f t="shared" si="111"/>
        <v>0.05</v>
      </c>
      <c r="N1439" s="464">
        <f t="shared" si="112"/>
        <v>94843</v>
      </c>
    </row>
    <row r="1440" spans="7:14" ht="11.25" customHeight="1" x14ac:dyDescent="0.3">
      <c r="G1440" s="459"/>
      <c r="H1440" s="459">
        <v>1433</v>
      </c>
      <c r="I1440" s="444">
        <f t="shared" ca="1" si="110"/>
        <v>-215028315.17645046</v>
      </c>
      <c r="J1440" s="444">
        <f t="array" ref="J1440">IFERROR(INDEX('Retirement Calculator'!K:K,MATCH('Lorri 401b'!N1440,'Retirement Calculator'!A:A,0),0),0)</f>
        <v>0</v>
      </c>
      <c r="K1440" s="444">
        <f t="shared" ca="1" si="108"/>
        <v>-895951.31323521025</v>
      </c>
      <c r="L1440" s="444">
        <f t="shared" ca="1" si="109"/>
        <v>-215924266.48968568</v>
      </c>
      <c r="M1440" s="460">
        <f t="shared" si="111"/>
        <v>0.05</v>
      </c>
      <c r="N1440" s="464">
        <f t="shared" si="112"/>
        <v>94873</v>
      </c>
    </row>
    <row r="1441" spans="7:14" ht="11.25" customHeight="1" x14ac:dyDescent="0.3">
      <c r="G1441" s="459"/>
      <c r="H1441" s="459">
        <v>1434</v>
      </c>
      <c r="I1441" s="444">
        <f t="shared" ca="1" si="110"/>
        <v>-215924266.48968568</v>
      </c>
      <c r="J1441" s="444">
        <f t="array" ref="J1441">IFERROR(INDEX('Retirement Calculator'!K:K,MATCH('Lorri 401b'!N1441,'Retirement Calculator'!A:A,0),0),0)</f>
        <v>0</v>
      </c>
      <c r="K1441" s="444">
        <f t="shared" ca="1" si="108"/>
        <v>-899684.44370702351</v>
      </c>
      <c r="L1441" s="444">
        <f t="shared" ca="1" si="109"/>
        <v>-216823950.9333927</v>
      </c>
      <c r="M1441" s="460">
        <f t="shared" si="111"/>
        <v>0.05</v>
      </c>
      <c r="N1441" s="464">
        <f t="shared" si="112"/>
        <v>94904</v>
      </c>
    </row>
    <row r="1442" spans="7:14" ht="11.25" customHeight="1" x14ac:dyDescent="0.3">
      <c r="G1442" s="459"/>
      <c r="H1442" s="459">
        <v>1435</v>
      </c>
      <c r="I1442" s="444">
        <f t="shared" ca="1" si="110"/>
        <v>-216823950.9333927</v>
      </c>
      <c r="J1442" s="444">
        <f t="array" ref="J1442">IFERROR(INDEX('Retirement Calculator'!K:K,MATCH('Lorri 401b'!N1442,'Retirement Calculator'!A:A,0),0),0)</f>
        <v>0</v>
      </c>
      <c r="K1442" s="444">
        <f t="shared" ca="1" si="108"/>
        <v>-903433.12888913637</v>
      </c>
      <c r="L1442" s="444">
        <f t="shared" ca="1" si="109"/>
        <v>-217727384.06228185</v>
      </c>
      <c r="M1442" s="460">
        <f t="shared" si="111"/>
        <v>0.05</v>
      </c>
      <c r="N1442" s="464">
        <f t="shared" si="112"/>
        <v>94934</v>
      </c>
    </row>
    <row r="1443" spans="7:14" ht="11.25" customHeight="1" x14ac:dyDescent="0.3">
      <c r="G1443" s="459"/>
      <c r="H1443" s="459">
        <v>1436</v>
      </c>
      <c r="I1443" s="444">
        <f t="shared" ca="1" si="110"/>
        <v>-217727384.06228185</v>
      </c>
      <c r="J1443" s="444">
        <f t="array" ref="J1443">IFERROR(INDEX('Retirement Calculator'!K:K,MATCH('Lorri 401b'!N1443,'Retirement Calculator'!A:A,0),0),0)</f>
        <v>0</v>
      </c>
      <c r="K1443" s="444">
        <f t="shared" ca="1" si="108"/>
        <v>-907197.43359284103</v>
      </c>
      <c r="L1443" s="444">
        <f t="shared" ca="1" si="109"/>
        <v>-218634581.4958747</v>
      </c>
      <c r="M1443" s="460">
        <f t="shared" si="111"/>
        <v>0.05</v>
      </c>
      <c r="N1443" s="464">
        <f t="shared" si="112"/>
        <v>94965</v>
      </c>
    </row>
    <row r="1444" spans="7:14" ht="11.25" customHeight="1" x14ac:dyDescent="0.3">
      <c r="G1444" s="459"/>
      <c r="H1444" s="459">
        <v>1437</v>
      </c>
      <c r="I1444" s="444">
        <f t="shared" ca="1" si="110"/>
        <v>-218634581.4958747</v>
      </c>
      <c r="J1444" s="444">
        <f t="array" ref="J1444">IFERROR(INDEX('Retirement Calculator'!K:K,MATCH('Lorri 401b'!N1444,'Retirement Calculator'!A:A,0),0),0)</f>
        <v>0</v>
      </c>
      <c r="K1444" s="444">
        <f t="shared" ca="1" si="108"/>
        <v>-910977.42289947788</v>
      </c>
      <c r="L1444" s="444">
        <f t="shared" ca="1" si="109"/>
        <v>-219545558.91877419</v>
      </c>
      <c r="M1444" s="460">
        <f t="shared" si="111"/>
        <v>0.05</v>
      </c>
      <c r="N1444" s="464">
        <f t="shared" si="112"/>
        <v>94996</v>
      </c>
    </row>
    <row r="1445" spans="7:14" ht="11.25" customHeight="1" x14ac:dyDescent="0.3">
      <c r="G1445" s="459"/>
      <c r="H1445" s="459">
        <v>1438</v>
      </c>
      <c r="I1445" s="444">
        <f t="shared" ca="1" si="110"/>
        <v>-219545558.91877419</v>
      </c>
      <c r="J1445" s="444">
        <f t="array" ref="J1445">IFERROR(INDEX('Retirement Calculator'!K:K,MATCH('Lorri 401b'!N1445,'Retirement Calculator'!A:A,0),0),0)</f>
        <v>0</v>
      </c>
      <c r="K1445" s="444">
        <f t="shared" ca="1" si="108"/>
        <v>-914773.1621615591</v>
      </c>
      <c r="L1445" s="444">
        <f t="shared" ca="1" si="109"/>
        <v>-220460332.08093575</v>
      </c>
      <c r="M1445" s="460">
        <f t="shared" si="111"/>
        <v>0.05</v>
      </c>
      <c r="N1445" s="464">
        <f t="shared" si="112"/>
        <v>95025</v>
      </c>
    </row>
    <row r="1446" spans="7:14" ht="11.25" customHeight="1" x14ac:dyDescent="0.3">
      <c r="G1446" s="459"/>
      <c r="H1446" s="459">
        <v>1439</v>
      </c>
      <c r="I1446" s="444">
        <f t="shared" ca="1" si="110"/>
        <v>-220460332.08093575</v>
      </c>
      <c r="J1446" s="444">
        <f t="array" ref="J1446">IFERROR(INDEX('Retirement Calculator'!K:K,MATCH('Lorri 401b'!N1446,'Retirement Calculator'!A:A,0),0),0)</f>
        <v>0</v>
      </c>
      <c r="K1446" s="444">
        <f t="shared" ca="1" si="108"/>
        <v>-918584.71700389881</v>
      </c>
      <c r="L1446" s="444">
        <f t="shared" ca="1" si="109"/>
        <v>-221378916.79793966</v>
      </c>
      <c r="M1446" s="460">
        <f t="shared" si="111"/>
        <v>0.05</v>
      </c>
      <c r="N1446" s="464">
        <f t="shared" si="112"/>
        <v>95056</v>
      </c>
    </row>
    <row r="1447" spans="7:14" ht="11.25" customHeight="1" x14ac:dyDescent="0.3">
      <c r="G1447" s="459"/>
      <c r="H1447" s="459">
        <v>1440</v>
      </c>
      <c r="I1447" s="444">
        <f t="shared" ca="1" si="110"/>
        <v>-221378916.79793966</v>
      </c>
      <c r="J1447" s="444">
        <f t="array" ref="J1447">IFERROR(INDEX('Retirement Calculator'!K:K,MATCH('Lorri 401b'!N1447,'Retirement Calculator'!A:A,0),0),0)</f>
        <v>0</v>
      </c>
      <c r="K1447" s="444">
        <f t="shared" ca="1" si="108"/>
        <v>-922412.15332474851</v>
      </c>
      <c r="L1447" s="444">
        <f t="shared" ca="1" si="109"/>
        <v>-222301328.95126441</v>
      </c>
      <c r="M1447" s="460">
        <f t="shared" si="111"/>
        <v>0.05</v>
      </c>
      <c r="N1447" s="464">
        <f t="shared" si="112"/>
        <v>95086</v>
      </c>
    </row>
    <row r="1448" spans="7:14" ht="11.25" customHeight="1" x14ac:dyDescent="0.3">
      <c r="G1448" s="459"/>
      <c r="H1448" s="459">
        <v>1441</v>
      </c>
      <c r="I1448" s="444">
        <f t="shared" ca="1" si="110"/>
        <v>-222301328.95126441</v>
      </c>
      <c r="J1448" s="444">
        <f t="array" ref="J1448">IFERROR(INDEX('Retirement Calculator'!K:K,MATCH('Lorri 401b'!N1448,'Retirement Calculator'!A:A,0),0),0)</f>
        <v>0</v>
      </c>
      <c r="K1448" s="444">
        <f t="shared" ca="1" si="108"/>
        <v>-926255.53729693498</v>
      </c>
      <c r="L1448" s="444">
        <f t="shared" ca="1" si="109"/>
        <v>-223227584.48856133</v>
      </c>
      <c r="M1448" s="460">
        <f t="shared" si="111"/>
        <v>0.05</v>
      </c>
      <c r="N1448" s="464">
        <f t="shared" si="112"/>
        <v>95117</v>
      </c>
    </row>
    <row r="1449" spans="7:14" ht="11.25" customHeight="1" x14ac:dyDescent="0.3">
      <c r="G1449" s="459"/>
      <c r="H1449" s="459">
        <v>1442</v>
      </c>
      <c r="I1449" s="444">
        <f t="shared" ca="1" si="110"/>
        <v>-223227584.48856133</v>
      </c>
      <c r="J1449" s="444">
        <f t="array" ref="J1449">IFERROR(INDEX('Retirement Calculator'!K:K,MATCH('Lorri 401b'!N1449,'Retirement Calculator'!A:A,0),0),0)</f>
        <v>0</v>
      </c>
      <c r="K1449" s="444">
        <f t="shared" ca="1" si="108"/>
        <v>-930114.93536900566</v>
      </c>
      <c r="L1449" s="444">
        <f t="shared" ca="1" si="109"/>
        <v>-224157699.42393035</v>
      </c>
      <c r="M1449" s="460">
        <f t="shared" si="111"/>
        <v>0.05</v>
      </c>
      <c r="N1449" s="464">
        <f t="shared" si="112"/>
        <v>95147</v>
      </c>
    </row>
    <row r="1450" spans="7:14" ht="11.25" customHeight="1" x14ac:dyDescent="0.3">
      <c r="G1450" s="459"/>
      <c r="H1450" s="459">
        <v>1443</v>
      </c>
      <c r="I1450" s="444">
        <f t="shared" ca="1" si="110"/>
        <v>-224157699.42393035</v>
      </c>
      <c r="J1450" s="444">
        <f t="array" ref="J1450">IFERROR(INDEX('Retirement Calculator'!K:K,MATCH('Lorri 401b'!N1450,'Retirement Calculator'!A:A,0),0),0)</f>
        <v>0</v>
      </c>
      <c r="K1450" s="444">
        <f t="shared" ca="1" si="108"/>
        <v>-933990.41426637641</v>
      </c>
      <c r="L1450" s="444">
        <f t="shared" ca="1" si="109"/>
        <v>-225091689.83819672</v>
      </c>
      <c r="M1450" s="460">
        <f t="shared" si="111"/>
        <v>0.05</v>
      </c>
      <c r="N1450" s="464">
        <f t="shared" si="112"/>
        <v>95178</v>
      </c>
    </row>
    <row r="1451" spans="7:14" ht="11.25" customHeight="1" x14ac:dyDescent="0.3">
      <c r="G1451" s="459"/>
      <c r="H1451" s="459">
        <v>1444</v>
      </c>
      <c r="I1451" s="444">
        <f t="shared" ca="1" si="110"/>
        <v>-225091689.83819672</v>
      </c>
      <c r="J1451" s="444">
        <f t="array" ref="J1451">IFERROR(INDEX('Retirement Calculator'!K:K,MATCH('Lorri 401b'!N1451,'Retirement Calculator'!A:A,0),0),0)</f>
        <v>0</v>
      </c>
      <c r="K1451" s="444">
        <f t="shared" ca="1" si="108"/>
        <v>-937882.04099248629</v>
      </c>
      <c r="L1451" s="444">
        <f t="shared" ca="1" si="109"/>
        <v>-226029571.87918922</v>
      </c>
      <c r="M1451" s="460">
        <f t="shared" si="111"/>
        <v>0.05</v>
      </c>
      <c r="N1451" s="464">
        <f t="shared" si="112"/>
        <v>95209</v>
      </c>
    </row>
    <row r="1452" spans="7:14" ht="11.25" customHeight="1" x14ac:dyDescent="0.3">
      <c r="G1452" s="459"/>
      <c r="H1452" s="459">
        <v>1445</v>
      </c>
      <c r="I1452" s="444">
        <f t="shared" ca="1" si="110"/>
        <v>-226029571.87918922</v>
      </c>
      <c r="J1452" s="444">
        <f t="array" ref="J1452">IFERROR(INDEX('Retirement Calculator'!K:K,MATCH('Lorri 401b'!N1452,'Retirement Calculator'!A:A,0),0),0)</f>
        <v>0</v>
      </c>
      <c r="K1452" s="444">
        <f t="shared" ca="1" si="108"/>
        <v>-941789.88282995508</v>
      </c>
      <c r="L1452" s="444">
        <f t="shared" ca="1" si="109"/>
        <v>-226971361.76201919</v>
      </c>
      <c r="M1452" s="460">
        <f t="shared" si="111"/>
        <v>0.05</v>
      </c>
      <c r="N1452" s="464">
        <f t="shared" si="112"/>
        <v>95239</v>
      </c>
    </row>
    <row r="1453" spans="7:14" ht="11.25" customHeight="1" x14ac:dyDescent="0.3">
      <c r="G1453" s="459"/>
      <c r="H1453" s="459">
        <v>1446</v>
      </c>
      <c r="I1453" s="444">
        <f t="shared" ca="1" si="110"/>
        <v>-226971361.76201919</v>
      </c>
      <c r="J1453" s="444">
        <f t="array" ref="J1453">IFERROR(INDEX('Retirement Calculator'!K:K,MATCH('Lorri 401b'!N1453,'Retirement Calculator'!A:A,0),0),0)</f>
        <v>0</v>
      </c>
      <c r="K1453" s="444">
        <f t="shared" ca="1" si="108"/>
        <v>-945714.00734174671</v>
      </c>
      <c r="L1453" s="444">
        <f t="shared" ca="1" si="109"/>
        <v>-227917075.76936093</v>
      </c>
      <c r="M1453" s="460">
        <f t="shared" si="111"/>
        <v>0.05</v>
      </c>
      <c r="N1453" s="464">
        <f t="shared" si="112"/>
        <v>95270</v>
      </c>
    </row>
    <row r="1454" spans="7:14" ht="11.25" customHeight="1" x14ac:dyDescent="0.3">
      <c r="G1454" s="459"/>
      <c r="H1454" s="459">
        <v>1447</v>
      </c>
      <c r="I1454" s="444">
        <f t="shared" ca="1" si="110"/>
        <v>-227917075.76936093</v>
      </c>
      <c r="J1454" s="444">
        <f t="array" ref="J1454">IFERROR(INDEX('Retirement Calculator'!K:K,MATCH('Lorri 401b'!N1454,'Retirement Calculator'!A:A,0),0),0)</f>
        <v>0</v>
      </c>
      <c r="K1454" s="444">
        <f t="shared" ca="1" si="108"/>
        <v>-949654.48237233714</v>
      </c>
      <c r="L1454" s="444">
        <f t="shared" ca="1" si="109"/>
        <v>-228866730.25173327</v>
      </c>
      <c r="M1454" s="460">
        <f t="shared" si="111"/>
        <v>0.05</v>
      </c>
      <c r="N1454" s="464">
        <f t="shared" si="112"/>
        <v>95300</v>
      </c>
    </row>
    <row r="1455" spans="7:14" ht="11.25" customHeight="1" x14ac:dyDescent="0.3">
      <c r="G1455" s="459"/>
      <c r="H1455" s="459">
        <v>1448</v>
      </c>
      <c r="I1455" s="444">
        <f t="shared" ca="1" si="110"/>
        <v>-228866730.25173327</v>
      </c>
      <c r="J1455" s="444">
        <f t="array" ref="J1455">IFERROR(INDEX('Retirement Calculator'!K:K,MATCH('Lorri 401b'!N1455,'Retirement Calculator'!A:A,0),0),0)</f>
        <v>0</v>
      </c>
      <c r="K1455" s="444">
        <f t="shared" ca="1" si="108"/>
        <v>-953611.37604888878</v>
      </c>
      <c r="L1455" s="444">
        <f t="shared" ca="1" si="109"/>
        <v>-229820341.62778217</v>
      </c>
      <c r="M1455" s="460">
        <f t="shared" si="111"/>
        <v>0.05</v>
      </c>
      <c r="N1455" s="464">
        <f t="shared" si="112"/>
        <v>95331</v>
      </c>
    </row>
    <row r="1456" spans="7:14" ht="11.25" customHeight="1" x14ac:dyDescent="0.3">
      <c r="G1456" s="459"/>
      <c r="H1456" s="459">
        <v>1449</v>
      </c>
      <c r="I1456" s="444">
        <f t="shared" ca="1" si="110"/>
        <v>-229820341.62778217</v>
      </c>
      <c r="J1456" s="444">
        <f t="array" ref="J1456">IFERROR(INDEX('Retirement Calculator'!K:K,MATCH('Lorri 401b'!N1456,'Retirement Calculator'!A:A,0),0),0)</f>
        <v>0</v>
      </c>
      <c r="K1456" s="444">
        <f t="shared" ca="1" si="108"/>
        <v>-957584.75678242568</v>
      </c>
      <c r="L1456" s="444">
        <f t="shared" ca="1" si="109"/>
        <v>-230777926.38456458</v>
      </c>
      <c r="M1456" s="460">
        <f t="shared" si="111"/>
        <v>0.05</v>
      </c>
      <c r="N1456" s="464">
        <f t="shared" si="112"/>
        <v>95362</v>
      </c>
    </row>
    <row r="1457" spans="7:14" ht="11.25" customHeight="1" x14ac:dyDescent="0.3">
      <c r="G1457" s="459"/>
      <c r="H1457" s="459">
        <v>1450</v>
      </c>
      <c r="I1457" s="444">
        <f t="shared" ca="1" si="110"/>
        <v>-230777926.38456458</v>
      </c>
      <c r="J1457" s="444">
        <f t="array" ref="J1457">IFERROR(INDEX('Retirement Calculator'!K:K,MATCH('Lorri 401b'!N1457,'Retirement Calculator'!A:A,0),0),0)</f>
        <v>0</v>
      </c>
      <c r="K1457" s="444">
        <f t="shared" ca="1" si="108"/>
        <v>-961574.69326901913</v>
      </c>
      <c r="L1457" s="444">
        <f t="shared" ca="1" si="109"/>
        <v>-231739501.07783359</v>
      </c>
      <c r="M1457" s="460">
        <f t="shared" si="111"/>
        <v>0.05</v>
      </c>
      <c r="N1457" s="464">
        <f t="shared" si="112"/>
        <v>95390</v>
      </c>
    </row>
    <row r="1458" spans="7:14" ht="11.25" customHeight="1" x14ac:dyDescent="0.3">
      <c r="G1458" s="459"/>
      <c r="H1458" s="459">
        <v>1451</v>
      </c>
      <c r="I1458" s="444">
        <f t="shared" ca="1" si="110"/>
        <v>-231739501.07783359</v>
      </c>
      <c r="J1458" s="444">
        <f t="array" ref="J1458">IFERROR(INDEX('Retirement Calculator'!K:K,MATCH('Lorri 401b'!N1458,'Retirement Calculator'!A:A,0),0),0)</f>
        <v>0</v>
      </c>
      <c r="K1458" s="444">
        <f t="shared" ca="1" si="108"/>
        <v>-965581.2544909732</v>
      </c>
      <c r="L1458" s="444">
        <f t="shared" ca="1" si="109"/>
        <v>-232705082.33232456</v>
      </c>
      <c r="M1458" s="460">
        <f t="shared" si="111"/>
        <v>0.05</v>
      </c>
      <c r="N1458" s="464">
        <f t="shared" si="112"/>
        <v>95421</v>
      </c>
    </row>
    <row r="1459" spans="7:14" ht="11.25" customHeight="1" x14ac:dyDescent="0.3">
      <c r="G1459" s="459"/>
      <c r="H1459" s="459">
        <v>1452</v>
      </c>
      <c r="I1459" s="444">
        <f t="shared" ca="1" si="110"/>
        <v>-232705082.33232456</v>
      </c>
      <c r="J1459" s="444">
        <f t="array" ref="J1459">IFERROR(INDEX('Retirement Calculator'!K:K,MATCH('Lorri 401b'!N1459,'Retirement Calculator'!A:A,0),0),0)</f>
        <v>0</v>
      </c>
      <c r="K1459" s="444">
        <f t="shared" ca="1" si="108"/>
        <v>-969604.50971801917</v>
      </c>
      <c r="L1459" s="444">
        <f t="shared" ca="1" si="109"/>
        <v>-233674686.8420426</v>
      </c>
      <c r="M1459" s="460">
        <f t="shared" si="111"/>
        <v>0.05</v>
      </c>
      <c r="N1459" s="464">
        <f t="shared" si="112"/>
        <v>95451</v>
      </c>
    </row>
    <row r="1460" spans="7:14" ht="11.25" customHeight="1" x14ac:dyDescent="0.3">
      <c r="G1460" s="459"/>
      <c r="H1460" s="459">
        <v>1453</v>
      </c>
      <c r="I1460" s="444">
        <f t="shared" ca="1" si="110"/>
        <v>-233674686.8420426</v>
      </c>
      <c r="J1460" s="444">
        <f t="array" ref="J1460">IFERROR(INDEX('Retirement Calculator'!K:K,MATCH('Lorri 401b'!N1460,'Retirement Calculator'!A:A,0),0),0)</f>
        <v>0</v>
      </c>
      <c r="K1460" s="444">
        <f t="shared" ca="1" si="108"/>
        <v>-973644.52850851079</v>
      </c>
      <c r="L1460" s="444">
        <f t="shared" ca="1" si="109"/>
        <v>-234648331.37055111</v>
      </c>
      <c r="M1460" s="460">
        <f t="shared" si="111"/>
        <v>0.05</v>
      </c>
      <c r="N1460" s="464">
        <f t="shared" si="112"/>
        <v>95482</v>
      </c>
    </row>
    <row r="1461" spans="7:14" ht="11.25" customHeight="1" x14ac:dyDescent="0.3">
      <c r="G1461" s="459"/>
      <c r="H1461" s="459">
        <v>1454</v>
      </c>
      <c r="I1461" s="444">
        <f t="shared" ca="1" si="110"/>
        <v>-234648331.37055111</v>
      </c>
      <c r="J1461" s="444">
        <f t="array" ref="J1461">IFERROR(INDEX('Retirement Calculator'!K:K,MATCH('Lorri 401b'!N1461,'Retirement Calculator'!A:A,0),0),0)</f>
        <v>0</v>
      </c>
      <c r="K1461" s="444">
        <f t="shared" ca="1" si="108"/>
        <v>-977701.38071062951</v>
      </c>
      <c r="L1461" s="444">
        <f t="shared" ca="1" si="109"/>
        <v>-235626032.75126174</v>
      </c>
      <c r="M1461" s="460">
        <f t="shared" si="111"/>
        <v>0.05</v>
      </c>
      <c r="N1461" s="464">
        <f t="shared" si="112"/>
        <v>95512</v>
      </c>
    </row>
    <row r="1462" spans="7:14" ht="11.25" customHeight="1" x14ac:dyDescent="0.3">
      <c r="G1462" s="459"/>
      <c r="H1462" s="459">
        <v>1455</v>
      </c>
      <c r="I1462" s="444">
        <f t="shared" ca="1" si="110"/>
        <v>-235626032.75126174</v>
      </c>
      <c r="J1462" s="444">
        <f t="array" ref="J1462">IFERROR(INDEX('Retirement Calculator'!K:K,MATCH('Lorri 401b'!N1462,'Retirement Calculator'!A:A,0),0),0)</f>
        <v>0</v>
      </c>
      <c r="K1462" s="444">
        <f t="shared" ca="1" si="108"/>
        <v>-981775.13646359066</v>
      </c>
      <c r="L1462" s="444">
        <f t="shared" ca="1" si="109"/>
        <v>-236607807.88772532</v>
      </c>
      <c r="M1462" s="460">
        <f t="shared" si="111"/>
        <v>0.05</v>
      </c>
      <c r="N1462" s="464">
        <f t="shared" si="112"/>
        <v>95543</v>
      </c>
    </row>
    <row r="1463" spans="7:14" ht="11.25" customHeight="1" x14ac:dyDescent="0.3">
      <c r="G1463" s="459"/>
      <c r="H1463" s="459">
        <v>1456</v>
      </c>
      <c r="I1463" s="444">
        <f t="shared" ca="1" si="110"/>
        <v>-236607807.88772532</v>
      </c>
      <c r="J1463" s="444">
        <f t="array" ref="J1463">IFERROR(INDEX('Retirement Calculator'!K:K,MATCH('Lorri 401b'!N1463,'Retirement Calculator'!A:A,0),0),0)</f>
        <v>0</v>
      </c>
      <c r="K1463" s="444">
        <f t="shared" ca="1" si="108"/>
        <v>-985865.86619885545</v>
      </c>
      <c r="L1463" s="444">
        <f t="shared" ca="1" si="109"/>
        <v>-237593673.75392419</v>
      </c>
      <c r="M1463" s="460">
        <f t="shared" si="111"/>
        <v>0.05</v>
      </c>
      <c r="N1463" s="464">
        <f t="shared" si="112"/>
        <v>95574</v>
      </c>
    </row>
    <row r="1464" spans="7:14" ht="11.25" customHeight="1" x14ac:dyDescent="0.3">
      <c r="G1464" s="459"/>
      <c r="H1464" s="459">
        <v>1457</v>
      </c>
      <c r="I1464" s="444">
        <f t="shared" ca="1" si="110"/>
        <v>-237593673.75392419</v>
      </c>
      <c r="J1464" s="444">
        <f t="array" ref="J1464">IFERROR(INDEX('Retirement Calculator'!K:K,MATCH('Lorri 401b'!N1464,'Retirement Calculator'!A:A,0),0),0)</f>
        <v>0</v>
      </c>
      <c r="K1464" s="444">
        <f t="shared" ca="1" si="108"/>
        <v>-989973.64064135065</v>
      </c>
      <c r="L1464" s="444">
        <f t="shared" ca="1" si="109"/>
        <v>-238583647.39456555</v>
      </c>
      <c r="M1464" s="460">
        <f t="shared" si="111"/>
        <v>0.05</v>
      </c>
      <c r="N1464" s="464">
        <f t="shared" si="112"/>
        <v>95604</v>
      </c>
    </row>
    <row r="1465" spans="7:14" ht="11.25" customHeight="1" x14ac:dyDescent="0.3">
      <c r="G1465" s="459"/>
      <c r="H1465" s="459">
        <v>1458</v>
      </c>
      <c r="I1465" s="444">
        <f t="shared" ca="1" si="110"/>
        <v>-238583647.39456555</v>
      </c>
      <c r="J1465" s="444">
        <f t="array" ref="J1465">IFERROR(INDEX('Retirement Calculator'!K:K,MATCH('Lorri 401b'!N1465,'Retirement Calculator'!A:A,0),0),0)</f>
        <v>0</v>
      </c>
      <c r="K1465" s="444">
        <f t="shared" ca="1" si="108"/>
        <v>-994098.53081068979</v>
      </c>
      <c r="L1465" s="444">
        <f t="shared" ca="1" si="109"/>
        <v>-239577745.92537624</v>
      </c>
      <c r="M1465" s="460">
        <f t="shared" si="111"/>
        <v>0.05</v>
      </c>
      <c r="N1465" s="464">
        <f t="shared" si="112"/>
        <v>95635</v>
      </c>
    </row>
    <row r="1466" spans="7:14" ht="11.25" customHeight="1" x14ac:dyDescent="0.3">
      <c r="G1466" s="459"/>
      <c r="H1466" s="459">
        <v>1459</v>
      </c>
      <c r="I1466" s="444">
        <f t="shared" ca="1" si="110"/>
        <v>-239577745.92537624</v>
      </c>
      <c r="J1466" s="444">
        <f t="array" ref="J1466">IFERROR(INDEX('Retirement Calculator'!K:K,MATCH('Lorri 401b'!N1466,'Retirement Calculator'!A:A,0),0),0)</f>
        <v>0</v>
      </c>
      <c r="K1466" s="444">
        <f t="shared" ca="1" si="108"/>
        <v>-998240.60802240099</v>
      </c>
      <c r="L1466" s="444">
        <f t="shared" ca="1" si="109"/>
        <v>-240575986.53339863</v>
      </c>
      <c r="M1466" s="460">
        <f t="shared" si="111"/>
        <v>0.05</v>
      </c>
      <c r="N1466" s="464">
        <f t="shared" si="112"/>
        <v>95665</v>
      </c>
    </row>
    <row r="1467" spans="7:14" ht="11.25" customHeight="1" x14ac:dyDescent="0.3">
      <c r="G1467" s="459"/>
      <c r="H1467" s="459">
        <v>1460</v>
      </c>
      <c r="I1467" s="444">
        <f t="shared" ca="1" si="110"/>
        <v>-240575986.53339863</v>
      </c>
      <c r="J1467" s="444">
        <f t="array" ref="J1467">IFERROR(INDEX('Retirement Calculator'!K:K,MATCH('Lorri 401b'!N1467,'Retirement Calculator'!A:A,0),0),0)</f>
        <v>0</v>
      </c>
      <c r="K1467" s="444">
        <f t="shared" ca="1" si="108"/>
        <v>-1002399.9438891611</v>
      </c>
      <c r="L1467" s="444">
        <f t="shared" ca="1" si="109"/>
        <v>-241578386.4772878</v>
      </c>
      <c r="M1467" s="460">
        <f t="shared" si="111"/>
        <v>0.05</v>
      </c>
      <c r="N1467" s="464">
        <f t="shared" si="112"/>
        <v>95696</v>
      </c>
    </row>
    <row r="1468" spans="7:14" ht="11.25" customHeight="1" x14ac:dyDescent="0.3">
      <c r="G1468" s="459"/>
      <c r="H1468" s="459">
        <v>1461</v>
      </c>
      <c r="I1468" s="444">
        <f t="shared" ca="1" si="110"/>
        <v>-241578386.4772878</v>
      </c>
      <c r="J1468" s="444">
        <f t="array" ref="J1468">IFERROR(INDEX('Retirement Calculator'!K:K,MATCH('Lorri 401b'!N1468,'Retirement Calculator'!A:A,0),0),0)</f>
        <v>0</v>
      </c>
      <c r="K1468" s="444">
        <f t="shared" ca="1" si="108"/>
        <v>-1006576.6103220325</v>
      </c>
      <c r="L1468" s="444">
        <f t="shared" ca="1" si="109"/>
        <v>-242584963.08760983</v>
      </c>
      <c r="M1468" s="460">
        <f t="shared" si="111"/>
        <v>0.05</v>
      </c>
      <c r="N1468" s="464">
        <f t="shared" si="112"/>
        <v>95727</v>
      </c>
    </row>
    <row r="1469" spans="7:14" ht="11.25" customHeight="1" x14ac:dyDescent="0.3">
      <c r="G1469" s="459"/>
      <c r="H1469" s="459">
        <v>1462</v>
      </c>
      <c r="I1469" s="444">
        <f t="shared" ca="1" si="110"/>
        <v>-242584963.08760983</v>
      </c>
      <c r="J1469" s="444">
        <f t="array" ref="J1469">IFERROR(INDEX('Retirement Calculator'!K:K,MATCH('Lorri 401b'!N1469,'Retirement Calculator'!A:A,0),0),0)</f>
        <v>0</v>
      </c>
      <c r="K1469" s="444">
        <f t="shared" ca="1" si="108"/>
        <v>-1010770.6795317078</v>
      </c>
      <c r="L1469" s="444">
        <f t="shared" ca="1" si="109"/>
        <v>-243595733.76714152</v>
      </c>
      <c r="M1469" s="460">
        <f t="shared" si="111"/>
        <v>0.05</v>
      </c>
      <c r="N1469" s="464">
        <f t="shared" si="112"/>
        <v>95755</v>
      </c>
    </row>
    <row r="1470" spans="7:14" ht="11.25" customHeight="1" x14ac:dyDescent="0.3">
      <c r="G1470" s="459"/>
      <c r="H1470" s="459">
        <v>1463</v>
      </c>
      <c r="I1470" s="444">
        <f t="shared" ca="1" si="110"/>
        <v>-243595733.76714152</v>
      </c>
      <c r="J1470" s="444">
        <f t="array" ref="J1470">IFERROR(INDEX('Retirement Calculator'!K:K,MATCH('Lorri 401b'!N1470,'Retirement Calculator'!A:A,0),0),0)</f>
        <v>0</v>
      </c>
      <c r="K1470" s="444">
        <f t="shared" ca="1" si="108"/>
        <v>-1014982.2240297563</v>
      </c>
      <c r="L1470" s="444">
        <f t="shared" ca="1" si="109"/>
        <v>-244610715.99117127</v>
      </c>
      <c r="M1470" s="460">
        <f t="shared" si="111"/>
        <v>0.05</v>
      </c>
      <c r="N1470" s="464">
        <f t="shared" si="112"/>
        <v>95786</v>
      </c>
    </row>
    <row r="1471" spans="7:14" ht="11.25" customHeight="1" x14ac:dyDescent="0.3">
      <c r="G1471" s="459"/>
      <c r="H1471" s="459">
        <v>1464</v>
      </c>
      <c r="I1471" s="444">
        <f t="shared" ca="1" si="110"/>
        <v>-244610715.99117127</v>
      </c>
      <c r="J1471" s="444">
        <f t="array" ref="J1471">IFERROR(INDEX('Retirement Calculator'!K:K,MATCH('Lorri 401b'!N1471,'Retirement Calculator'!A:A,0),0),0)</f>
        <v>0</v>
      </c>
      <c r="K1471" s="444">
        <f t="shared" ca="1" si="108"/>
        <v>-1019211.3166298802</v>
      </c>
      <c r="L1471" s="444">
        <f t="shared" ca="1" si="109"/>
        <v>-245629927.30780116</v>
      </c>
      <c r="M1471" s="460">
        <f t="shared" si="111"/>
        <v>0.05</v>
      </c>
      <c r="N1471" s="464">
        <f t="shared" si="112"/>
        <v>95816</v>
      </c>
    </row>
    <row r="1472" spans="7:14" ht="11.25" customHeight="1" x14ac:dyDescent="0.3">
      <c r="G1472" s="459"/>
      <c r="H1472" s="459">
        <v>1465</v>
      </c>
      <c r="I1472" s="444">
        <f t="shared" ca="1" si="110"/>
        <v>-245629927.30780116</v>
      </c>
      <c r="J1472" s="444">
        <f t="array" ref="J1472">IFERROR(INDEX('Retirement Calculator'!K:K,MATCH('Lorri 401b'!N1472,'Retirement Calculator'!A:A,0),0),0)</f>
        <v>0</v>
      </c>
      <c r="K1472" s="444">
        <f t="shared" ca="1" si="108"/>
        <v>-1023458.0304491714</v>
      </c>
      <c r="L1472" s="444">
        <f t="shared" ca="1" si="109"/>
        <v>-246653385.33825034</v>
      </c>
      <c r="M1472" s="460">
        <f t="shared" si="111"/>
        <v>0.05</v>
      </c>
      <c r="N1472" s="464">
        <f t="shared" si="112"/>
        <v>95847</v>
      </c>
    </row>
    <row r="1473" spans="7:14" ht="11.25" customHeight="1" x14ac:dyDescent="0.3">
      <c r="G1473" s="459"/>
      <c r="H1473" s="459">
        <v>1466</v>
      </c>
      <c r="I1473" s="444">
        <f t="shared" ca="1" si="110"/>
        <v>-246653385.33825034</v>
      </c>
      <c r="J1473" s="444">
        <f t="array" ref="J1473">IFERROR(INDEX('Retirement Calculator'!K:K,MATCH('Lorri 401b'!N1473,'Retirement Calculator'!A:A,0),0),0)</f>
        <v>0</v>
      </c>
      <c r="K1473" s="444">
        <f t="shared" ca="1" si="108"/>
        <v>-1027722.4389093764</v>
      </c>
      <c r="L1473" s="444">
        <f t="shared" ca="1" si="109"/>
        <v>-247681107.77715972</v>
      </c>
      <c r="M1473" s="460">
        <f t="shared" si="111"/>
        <v>0.05</v>
      </c>
      <c r="N1473" s="464">
        <f t="shared" si="112"/>
        <v>95877</v>
      </c>
    </row>
    <row r="1474" spans="7:14" ht="11.25" customHeight="1" x14ac:dyDescent="0.3">
      <c r="G1474" s="459"/>
      <c r="H1474" s="459">
        <v>1467</v>
      </c>
      <c r="I1474" s="444">
        <f t="shared" ca="1" si="110"/>
        <v>-247681107.77715972</v>
      </c>
      <c r="J1474" s="444">
        <f t="array" ref="J1474">IFERROR(INDEX('Retirement Calculator'!K:K,MATCH('Lorri 401b'!N1474,'Retirement Calculator'!A:A,0),0),0)</f>
        <v>0</v>
      </c>
      <c r="K1474" s="444">
        <f t="shared" ca="1" si="108"/>
        <v>-1032004.6157381654</v>
      </c>
      <c r="L1474" s="444">
        <f t="shared" ca="1" si="109"/>
        <v>-248713112.39289787</v>
      </c>
      <c r="M1474" s="460">
        <f t="shared" si="111"/>
        <v>0.05</v>
      </c>
      <c r="N1474" s="464">
        <f t="shared" si="112"/>
        <v>95908</v>
      </c>
    </row>
    <row r="1475" spans="7:14" ht="11.25" customHeight="1" x14ac:dyDescent="0.3">
      <c r="G1475" s="459"/>
      <c r="H1475" s="459">
        <v>1468</v>
      </c>
      <c r="I1475" s="444">
        <f t="shared" ca="1" si="110"/>
        <v>-248713112.39289787</v>
      </c>
      <c r="J1475" s="444">
        <f t="array" ref="J1475">IFERROR(INDEX('Retirement Calculator'!K:K,MATCH('Lorri 401b'!N1475,'Retirement Calculator'!A:A,0),0),0)</f>
        <v>0</v>
      </c>
      <c r="K1475" s="444">
        <f t="shared" ca="1" si="108"/>
        <v>-1036304.6349704078</v>
      </c>
      <c r="L1475" s="444">
        <f t="shared" ca="1" si="109"/>
        <v>-249749417.02786827</v>
      </c>
      <c r="M1475" s="460">
        <f t="shared" si="111"/>
        <v>0.05</v>
      </c>
      <c r="N1475" s="464">
        <f t="shared" si="112"/>
        <v>95939</v>
      </c>
    </row>
    <row r="1476" spans="7:14" ht="11.25" customHeight="1" x14ac:dyDescent="0.3">
      <c r="G1476" s="459"/>
      <c r="H1476" s="459">
        <v>1469</v>
      </c>
      <c r="I1476" s="444">
        <f t="shared" ca="1" si="110"/>
        <v>-249749417.02786827</v>
      </c>
      <c r="J1476" s="444">
        <f t="array" ref="J1476">IFERROR(INDEX('Retirement Calculator'!K:K,MATCH('Lorri 401b'!N1476,'Retirement Calculator'!A:A,0),0),0)</f>
        <v>0</v>
      </c>
      <c r="K1476" s="444">
        <f t="shared" ca="1" si="108"/>
        <v>-1040622.5709494511</v>
      </c>
      <c r="L1476" s="444">
        <f t="shared" ca="1" si="109"/>
        <v>-250790039.59881774</v>
      </c>
      <c r="M1476" s="460">
        <f t="shared" si="111"/>
        <v>0.05</v>
      </c>
      <c r="N1476" s="464">
        <f t="shared" si="112"/>
        <v>95969</v>
      </c>
    </row>
    <row r="1477" spans="7:14" ht="11.25" customHeight="1" x14ac:dyDescent="0.3">
      <c r="G1477" s="459"/>
      <c r="H1477" s="459">
        <v>1470</v>
      </c>
      <c r="I1477" s="444">
        <f t="shared" ca="1" si="110"/>
        <v>-250790039.59881774</v>
      </c>
      <c r="J1477" s="444">
        <f t="array" ref="J1477">IFERROR(INDEX('Retirement Calculator'!K:K,MATCH('Lorri 401b'!N1477,'Retirement Calculator'!A:A,0),0),0)</f>
        <v>0</v>
      </c>
      <c r="K1477" s="444">
        <f t="shared" ca="1" si="108"/>
        <v>-1044958.4983284073</v>
      </c>
      <c r="L1477" s="444">
        <f t="shared" ca="1" si="109"/>
        <v>-251834998.09714615</v>
      </c>
      <c r="M1477" s="460">
        <f t="shared" si="111"/>
        <v>0.05</v>
      </c>
      <c r="N1477" s="464">
        <f t="shared" si="112"/>
        <v>96000</v>
      </c>
    </row>
    <row r="1478" spans="7:14" ht="11.25" customHeight="1" x14ac:dyDescent="0.3">
      <c r="G1478" s="459"/>
      <c r="H1478" s="459">
        <v>1471</v>
      </c>
      <c r="I1478" s="444">
        <f t="shared" ca="1" si="110"/>
        <v>-251834998.09714615</v>
      </c>
      <c r="J1478" s="444">
        <f t="array" ref="J1478">IFERROR(INDEX('Retirement Calculator'!K:K,MATCH('Lorri 401b'!N1478,'Retirement Calculator'!A:A,0),0),0)</f>
        <v>0</v>
      </c>
      <c r="K1478" s="444">
        <f t="shared" ca="1" si="108"/>
        <v>-1049312.4920714423</v>
      </c>
      <c r="L1478" s="444">
        <f t="shared" ca="1" si="109"/>
        <v>-252884310.5892176</v>
      </c>
      <c r="M1478" s="460">
        <f t="shared" si="111"/>
        <v>0.05</v>
      </c>
      <c r="N1478" s="464">
        <f t="shared" si="112"/>
        <v>96030</v>
      </c>
    </row>
    <row r="1479" spans="7:14" ht="11.25" customHeight="1" x14ac:dyDescent="0.3">
      <c r="G1479" s="459"/>
      <c r="H1479" s="459">
        <v>1472</v>
      </c>
      <c r="I1479" s="444">
        <f t="shared" ca="1" si="110"/>
        <v>-252884310.5892176</v>
      </c>
      <c r="J1479" s="444">
        <f t="array" ref="J1479">IFERROR(INDEX('Retirement Calculator'!K:K,MATCH('Lorri 401b'!N1479,'Retirement Calculator'!A:A,0),0),0)</f>
        <v>0</v>
      </c>
      <c r="K1479" s="444">
        <f t="shared" ca="1" si="108"/>
        <v>-1053684.6274550732</v>
      </c>
      <c r="L1479" s="444">
        <f t="shared" ca="1" si="109"/>
        <v>-253937995.21667269</v>
      </c>
      <c r="M1479" s="460">
        <f t="shared" si="111"/>
        <v>0.05</v>
      </c>
      <c r="N1479" s="464">
        <f t="shared" si="112"/>
        <v>96061</v>
      </c>
    </row>
    <row r="1480" spans="7:14" ht="11.25" customHeight="1" x14ac:dyDescent="0.3">
      <c r="G1480" s="459"/>
      <c r="H1480" s="459">
        <v>1473</v>
      </c>
      <c r="I1480" s="444">
        <f t="shared" ca="1" si="110"/>
        <v>-253937995.21667269</v>
      </c>
      <c r="J1480" s="444">
        <f t="array" ref="J1480">IFERROR(INDEX('Retirement Calculator'!K:K,MATCH('Lorri 401b'!N1480,'Retirement Calculator'!A:A,0),0),0)</f>
        <v>0</v>
      </c>
      <c r="K1480" s="444">
        <f t="shared" ca="1" si="108"/>
        <v>-1058074.9800694694</v>
      </c>
      <c r="L1480" s="444">
        <f t="shared" ca="1" si="109"/>
        <v>-254996070.19674215</v>
      </c>
      <c r="M1480" s="460">
        <f t="shared" si="111"/>
        <v>0.05</v>
      </c>
      <c r="N1480" s="464">
        <f t="shared" si="112"/>
        <v>96092</v>
      </c>
    </row>
    <row r="1481" spans="7:14" ht="11.25" customHeight="1" x14ac:dyDescent="0.3">
      <c r="G1481" s="459"/>
      <c r="H1481" s="459">
        <v>1474</v>
      </c>
      <c r="I1481" s="444">
        <f t="shared" ca="1" si="110"/>
        <v>-254996070.19674215</v>
      </c>
      <c r="J1481" s="444">
        <f t="array" ref="J1481">IFERROR(INDEX('Retirement Calculator'!K:K,MATCH('Lorri 401b'!N1481,'Retirement Calculator'!A:A,0),0),0)</f>
        <v>0</v>
      </c>
      <c r="K1481" s="444">
        <f t="shared" ca="1" si="108"/>
        <v>-1062483.625819759</v>
      </c>
      <c r="L1481" s="444">
        <f t="shared" ca="1" si="109"/>
        <v>-256058553.82256192</v>
      </c>
      <c r="M1481" s="460">
        <f t="shared" si="111"/>
        <v>0.05</v>
      </c>
      <c r="N1481" s="464">
        <f t="shared" si="112"/>
        <v>96120</v>
      </c>
    </row>
    <row r="1482" spans="7:14" ht="11.25" customHeight="1" x14ac:dyDescent="0.3">
      <c r="G1482" s="459"/>
      <c r="H1482" s="459">
        <v>1475</v>
      </c>
      <c r="I1482" s="444">
        <f t="shared" ca="1" si="110"/>
        <v>-256058553.82256192</v>
      </c>
      <c r="J1482" s="444">
        <f t="array" ref="J1482">IFERROR(INDEX('Retirement Calculator'!K:K,MATCH('Lorri 401b'!N1482,'Retirement Calculator'!A:A,0),0),0)</f>
        <v>0</v>
      </c>
      <c r="K1482" s="444">
        <f t="shared" ca="1" si="108"/>
        <v>-1066910.6409273413</v>
      </c>
      <c r="L1482" s="444">
        <f t="shared" ca="1" si="109"/>
        <v>-257125464.46348926</v>
      </c>
      <c r="M1482" s="460">
        <f t="shared" si="111"/>
        <v>0.05</v>
      </c>
      <c r="N1482" s="464">
        <f t="shared" si="112"/>
        <v>96151</v>
      </c>
    </row>
    <row r="1483" spans="7:14" ht="11.25" customHeight="1" x14ac:dyDescent="0.3">
      <c r="G1483" s="459"/>
      <c r="H1483" s="459">
        <v>1476</v>
      </c>
      <c r="I1483" s="444">
        <f t="shared" ca="1" si="110"/>
        <v>-257125464.46348926</v>
      </c>
      <c r="J1483" s="444">
        <f t="array" ref="J1483">IFERROR(INDEX('Retirement Calculator'!K:K,MATCH('Lorri 401b'!N1483,'Retirement Calculator'!A:A,0),0),0)</f>
        <v>0</v>
      </c>
      <c r="K1483" s="444">
        <f t="shared" ca="1" si="108"/>
        <v>-1071356.1019312053</v>
      </c>
      <c r="L1483" s="444">
        <f t="shared" ca="1" si="109"/>
        <v>-258196820.56542048</v>
      </c>
      <c r="M1483" s="460">
        <f t="shared" si="111"/>
        <v>0.05</v>
      </c>
      <c r="N1483" s="464">
        <f t="shared" si="112"/>
        <v>96181</v>
      </c>
    </row>
    <row r="1484" spans="7:14" ht="11.25" customHeight="1" x14ac:dyDescent="0.3">
      <c r="G1484" s="459"/>
      <c r="H1484" s="459">
        <v>1477</v>
      </c>
      <c r="I1484" s="444">
        <f t="shared" ca="1" si="110"/>
        <v>-258196820.56542048</v>
      </c>
      <c r="J1484" s="444">
        <f t="array" ref="J1484">IFERROR(INDEX('Retirement Calculator'!K:K,MATCH('Lorri 401b'!N1484,'Retirement Calculator'!A:A,0),0),0)</f>
        <v>0</v>
      </c>
      <c r="K1484" s="444">
        <f t="shared" ca="1" si="108"/>
        <v>-1075820.0856892518</v>
      </c>
      <c r="L1484" s="444">
        <f t="shared" ca="1" si="109"/>
        <v>-259272640.65110973</v>
      </c>
      <c r="M1484" s="460">
        <f t="shared" si="111"/>
        <v>0.05</v>
      </c>
      <c r="N1484" s="464">
        <f t="shared" si="112"/>
        <v>96212</v>
      </c>
    </row>
    <row r="1485" spans="7:14" ht="11.25" customHeight="1" x14ac:dyDescent="0.3">
      <c r="G1485" s="459"/>
      <c r="H1485" s="459">
        <v>1478</v>
      </c>
      <c r="I1485" s="444">
        <f t="shared" ca="1" si="110"/>
        <v>-259272640.65110973</v>
      </c>
      <c r="J1485" s="444">
        <f t="array" ref="J1485">IFERROR(INDEX('Retirement Calculator'!K:K,MATCH('Lorri 401b'!N1485,'Retirement Calculator'!A:A,0),0),0)</f>
        <v>0</v>
      </c>
      <c r="K1485" s="444">
        <f t="shared" ca="1" si="108"/>
        <v>-1080302.6693796241</v>
      </c>
      <c r="L1485" s="444">
        <f t="shared" ca="1" si="109"/>
        <v>-260352943.32048935</v>
      </c>
      <c r="M1485" s="460">
        <f t="shared" si="111"/>
        <v>0.05</v>
      </c>
      <c r="N1485" s="464">
        <f t="shared" si="112"/>
        <v>96242</v>
      </c>
    </row>
    <row r="1486" spans="7:14" ht="11.25" customHeight="1" x14ac:dyDescent="0.3">
      <c r="G1486" s="459"/>
      <c r="H1486" s="459">
        <v>1479</v>
      </c>
      <c r="I1486" s="444">
        <f t="shared" ca="1" si="110"/>
        <v>-260352943.32048935</v>
      </c>
      <c r="J1486" s="444">
        <f t="array" ref="J1486">IFERROR(INDEX('Retirement Calculator'!K:K,MATCH('Lorri 401b'!N1486,'Retirement Calculator'!A:A,0),0),0)</f>
        <v>0</v>
      </c>
      <c r="K1486" s="444">
        <f t="shared" ca="1" si="108"/>
        <v>-1084803.9305020389</v>
      </c>
      <c r="L1486" s="444">
        <f t="shared" ca="1" si="109"/>
        <v>-261437747.25099137</v>
      </c>
      <c r="M1486" s="460">
        <f t="shared" si="111"/>
        <v>0.05</v>
      </c>
      <c r="N1486" s="464">
        <f t="shared" si="112"/>
        <v>96273</v>
      </c>
    </row>
    <row r="1487" spans="7:14" ht="11.25" customHeight="1" x14ac:dyDescent="0.3">
      <c r="G1487" s="459"/>
      <c r="H1487" s="459">
        <v>1480</v>
      </c>
      <c r="I1487" s="444">
        <f t="shared" ca="1" si="110"/>
        <v>-261437747.25099137</v>
      </c>
      <c r="J1487" s="444">
        <f t="array" ref="J1487">IFERROR(INDEX('Retirement Calculator'!K:K,MATCH('Lorri 401b'!N1487,'Retirement Calculator'!A:A,0),0),0)</f>
        <v>0</v>
      </c>
      <c r="K1487" s="444">
        <f t="shared" ca="1" si="108"/>
        <v>-1089323.9468791306</v>
      </c>
      <c r="L1487" s="444">
        <f t="shared" ca="1" si="109"/>
        <v>-262527071.19787049</v>
      </c>
      <c r="M1487" s="460">
        <f t="shared" si="111"/>
        <v>0.05</v>
      </c>
      <c r="N1487" s="464">
        <f t="shared" si="112"/>
        <v>96304</v>
      </c>
    </row>
    <row r="1488" spans="7:14" ht="11.25" customHeight="1" x14ac:dyDescent="0.3">
      <c r="G1488" s="459"/>
      <c r="H1488" s="459">
        <v>1481</v>
      </c>
      <c r="I1488" s="444">
        <f t="shared" ca="1" si="110"/>
        <v>-262527071.19787049</v>
      </c>
      <c r="J1488" s="444">
        <f t="array" ref="J1488">IFERROR(INDEX('Retirement Calculator'!K:K,MATCH('Lorri 401b'!N1488,'Retirement Calculator'!A:A,0),0),0)</f>
        <v>0</v>
      </c>
      <c r="K1488" s="444">
        <f t="shared" ca="1" si="108"/>
        <v>-1093862.7966577937</v>
      </c>
      <c r="L1488" s="444">
        <f t="shared" ca="1" si="109"/>
        <v>-263620933.99452829</v>
      </c>
      <c r="M1488" s="460">
        <f t="shared" si="111"/>
        <v>0.05</v>
      </c>
      <c r="N1488" s="464">
        <f t="shared" si="112"/>
        <v>96334</v>
      </c>
    </row>
    <row r="1489" spans="7:14" ht="11.25" customHeight="1" x14ac:dyDescent="0.3">
      <c r="G1489" s="459"/>
      <c r="H1489" s="459">
        <v>1482</v>
      </c>
      <c r="I1489" s="444">
        <f t="shared" ca="1" si="110"/>
        <v>-263620933.99452829</v>
      </c>
      <c r="J1489" s="444">
        <f t="array" ref="J1489">IFERROR(INDEX('Retirement Calculator'!K:K,MATCH('Lorri 401b'!N1489,'Retirement Calculator'!A:A,0),0),0)</f>
        <v>0</v>
      </c>
      <c r="K1489" s="444">
        <f t="shared" ca="1" si="108"/>
        <v>-1098420.5583105346</v>
      </c>
      <c r="L1489" s="444">
        <f t="shared" ca="1" si="109"/>
        <v>-264719354.55283883</v>
      </c>
      <c r="M1489" s="460">
        <f t="shared" si="111"/>
        <v>0.05</v>
      </c>
      <c r="N1489" s="464">
        <f t="shared" si="112"/>
        <v>96365</v>
      </c>
    </row>
    <row r="1490" spans="7:14" ht="11.25" customHeight="1" x14ac:dyDescent="0.3">
      <c r="G1490" s="459"/>
      <c r="H1490" s="459">
        <v>1483</v>
      </c>
      <c r="I1490" s="444">
        <f t="shared" ca="1" si="110"/>
        <v>-264719354.55283883</v>
      </c>
      <c r="J1490" s="444">
        <f t="array" ref="J1490">IFERROR(INDEX('Retirement Calculator'!K:K,MATCH('Lorri 401b'!N1490,'Retirement Calculator'!A:A,0),0),0)</f>
        <v>0</v>
      </c>
      <c r="K1490" s="444">
        <f t="shared" ca="1" si="108"/>
        <v>-1102997.3106368284</v>
      </c>
      <c r="L1490" s="444">
        <f t="shared" ca="1" si="109"/>
        <v>-265822351.86347565</v>
      </c>
      <c r="M1490" s="460">
        <f t="shared" si="111"/>
        <v>0.05</v>
      </c>
      <c r="N1490" s="464">
        <f t="shared" si="112"/>
        <v>96395</v>
      </c>
    </row>
    <row r="1491" spans="7:14" ht="11.25" customHeight="1" x14ac:dyDescent="0.3">
      <c r="G1491" s="459"/>
      <c r="H1491" s="459">
        <v>1484</v>
      </c>
      <c r="I1491" s="444">
        <f t="shared" ca="1" si="110"/>
        <v>-265822351.86347565</v>
      </c>
      <c r="J1491" s="444">
        <f t="array" ref="J1491">IFERROR(INDEX('Retirement Calculator'!K:K,MATCH('Lorri 401b'!N1491,'Retirement Calculator'!A:A,0),0),0)</f>
        <v>0</v>
      </c>
      <c r="K1491" s="444">
        <f t="shared" ca="1" si="108"/>
        <v>-1107593.1327644819</v>
      </c>
      <c r="L1491" s="444">
        <f t="shared" ca="1" si="109"/>
        <v>-266929944.99624014</v>
      </c>
      <c r="M1491" s="460">
        <f t="shared" si="111"/>
        <v>0.05</v>
      </c>
      <c r="N1491" s="464">
        <f t="shared" si="112"/>
        <v>96426</v>
      </c>
    </row>
    <row r="1492" spans="7:14" ht="11.25" customHeight="1" x14ac:dyDescent="0.3">
      <c r="G1492" s="459"/>
      <c r="H1492" s="459">
        <v>1485</v>
      </c>
      <c r="I1492" s="444">
        <f t="shared" ca="1" si="110"/>
        <v>-266929944.99624014</v>
      </c>
      <c r="J1492" s="444">
        <f t="array" ref="J1492">IFERROR(INDEX('Retirement Calculator'!K:K,MATCH('Lorri 401b'!N1492,'Retirement Calculator'!A:A,0),0),0)</f>
        <v>0</v>
      </c>
      <c r="K1492" s="444">
        <f t="shared" ca="1" si="108"/>
        <v>-1112208.1041510005</v>
      </c>
      <c r="L1492" s="444">
        <f t="shared" ca="1" si="109"/>
        <v>-268042153.10039115</v>
      </c>
      <c r="M1492" s="460">
        <f t="shared" si="111"/>
        <v>0.05</v>
      </c>
      <c r="N1492" s="464">
        <f t="shared" si="112"/>
        <v>96457</v>
      </c>
    </row>
    <row r="1493" spans="7:14" ht="11.25" customHeight="1" x14ac:dyDescent="0.3">
      <c r="G1493" s="459"/>
      <c r="H1493" s="459">
        <v>1486</v>
      </c>
      <c r="I1493" s="444">
        <f t="shared" ca="1" si="110"/>
        <v>-268042153.10039115</v>
      </c>
      <c r="J1493" s="444">
        <f t="array" ref="J1493">IFERROR(INDEX('Retirement Calculator'!K:K,MATCH('Lorri 401b'!N1493,'Retirement Calculator'!A:A,0),0),0)</f>
        <v>0</v>
      </c>
      <c r="K1493" s="444">
        <f t="shared" ca="1" si="108"/>
        <v>-1116842.304584963</v>
      </c>
      <c r="L1493" s="444">
        <f t="shared" ca="1" si="109"/>
        <v>-269158995.40497613</v>
      </c>
      <c r="M1493" s="460">
        <f t="shared" si="111"/>
        <v>0.05</v>
      </c>
      <c r="N1493" s="464">
        <f t="shared" si="112"/>
        <v>96486</v>
      </c>
    </row>
    <row r="1494" spans="7:14" ht="11.25" customHeight="1" x14ac:dyDescent="0.3">
      <c r="G1494" s="459"/>
      <c r="H1494" s="459">
        <v>1487</v>
      </c>
      <c r="I1494" s="444">
        <f t="shared" ca="1" si="110"/>
        <v>-269158995.40497613</v>
      </c>
      <c r="J1494" s="444">
        <f t="array" ref="J1494">IFERROR(INDEX('Retirement Calculator'!K:K,MATCH('Lorri 401b'!N1494,'Retirement Calculator'!A:A,0),0),0)</f>
        <v>0</v>
      </c>
      <c r="K1494" s="444">
        <f t="shared" ca="1" si="108"/>
        <v>-1121495.8141874005</v>
      </c>
      <c r="L1494" s="444">
        <f t="shared" ca="1" si="109"/>
        <v>-270280491.21916354</v>
      </c>
      <c r="M1494" s="460">
        <f t="shared" si="111"/>
        <v>0.05</v>
      </c>
      <c r="N1494" s="464">
        <f t="shared" si="112"/>
        <v>96517</v>
      </c>
    </row>
    <row r="1495" spans="7:14" ht="11.25" customHeight="1" x14ac:dyDescent="0.3">
      <c r="G1495" s="459"/>
      <c r="H1495" s="459">
        <v>1488</v>
      </c>
      <c r="I1495" s="444">
        <f t="shared" ca="1" si="110"/>
        <v>-270280491.21916354</v>
      </c>
      <c r="J1495" s="444">
        <f t="array" ref="J1495">IFERROR(INDEX('Retirement Calculator'!K:K,MATCH('Lorri 401b'!N1495,'Retirement Calculator'!A:A,0),0),0)</f>
        <v>0</v>
      </c>
      <c r="K1495" s="444">
        <f t="shared" ca="1" si="108"/>
        <v>-1126168.7134131815</v>
      </c>
      <c r="L1495" s="444">
        <f t="shared" ca="1" si="109"/>
        <v>-271406659.93257672</v>
      </c>
      <c r="M1495" s="460">
        <f t="shared" si="111"/>
        <v>0.05</v>
      </c>
      <c r="N1495" s="464">
        <f t="shared" si="112"/>
        <v>96547</v>
      </c>
    </row>
    <row r="1496" spans="7:14" ht="11.25" customHeight="1" x14ac:dyDescent="0.3">
      <c r="G1496" s="459"/>
      <c r="H1496" s="459">
        <v>1489</v>
      </c>
      <c r="I1496" s="444">
        <f t="shared" ca="1" si="110"/>
        <v>-271406659.93257672</v>
      </c>
      <c r="J1496" s="444">
        <f t="array" ref="J1496">IFERROR(INDEX('Retirement Calculator'!K:K,MATCH('Lorri 401b'!N1496,'Retirement Calculator'!A:A,0),0),0)</f>
        <v>0</v>
      </c>
      <c r="K1496" s="444">
        <f t="shared" ca="1" si="108"/>
        <v>-1130861.0830524031</v>
      </c>
      <c r="L1496" s="444">
        <f t="shared" ca="1" si="109"/>
        <v>-272537521.01562911</v>
      </c>
      <c r="M1496" s="460">
        <f t="shared" si="111"/>
        <v>0.05</v>
      </c>
      <c r="N1496" s="464">
        <f t="shared" si="112"/>
        <v>96578</v>
      </c>
    </row>
    <row r="1497" spans="7:14" ht="11.25" customHeight="1" x14ac:dyDescent="0.3">
      <c r="G1497" s="459"/>
      <c r="H1497" s="459">
        <v>1490</v>
      </c>
      <c r="I1497" s="444">
        <f t="shared" ca="1" si="110"/>
        <v>-272537521.01562911</v>
      </c>
      <c r="J1497" s="444">
        <f t="array" ref="J1497">IFERROR(INDEX('Retirement Calculator'!K:K,MATCH('Lorri 401b'!N1497,'Retirement Calculator'!A:A,0),0),0)</f>
        <v>0</v>
      </c>
      <c r="K1497" s="444">
        <f t="shared" ca="1" si="108"/>
        <v>-1135573.004231788</v>
      </c>
      <c r="L1497" s="444">
        <f t="shared" ca="1" si="109"/>
        <v>-273673094.01986092</v>
      </c>
      <c r="M1497" s="460">
        <f t="shared" si="111"/>
        <v>0.05</v>
      </c>
      <c r="N1497" s="464">
        <f t="shared" si="112"/>
        <v>96608</v>
      </c>
    </row>
    <row r="1498" spans="7:14" ht="11.25" customHeight="1" x14ac:dyDescent="0.3">
      <c r="G1498" s="459"/>
      <c r="H1498" s="459">
        <v>1491</v>
      </c>
      <c r="I1498" s="444">
        <f t="shared" ca="1" si="110"/>
        <v>-273673094.01986092</v>
      </c>
      <c r="J1498" s="444">
        <f t="array" ref="J1498">IFERROR(INDEX('Retirement Calculator'!K:K,MATCH('Lorri 401b'!N1498,'Retirement Calculator'!A:A,0),0),0)</f>
        <v>0</v>
      </c>
      <c r="K1498" s="444">
        <f t="shared" ca="1" si="108"/>
        <v>-1140304.5584160872</v>
      </c>
      <c r="L1498" s="444">
        <f t="shared" ca="1" si="109"/>
        <v>-274813398.57827699</v>
      </c>
      <c r="M1498" s="460">
        <f t="shared" si="111"/>
        <v>0.05</v>
      </c>
      <c r="N1498" s="464">
        <f t="shared" si="112"/>
        <v>96639</v>
      </c>
    </row>
    <row r="1499" spans="7:14" ht="11.25" customHeight="1" x14ac:dyDescent="0.3">
      <c r="G1499" s="459"/>
      <c r="H1499" s="459">
        <v>1492</v>
      </c>
      <c r="I1499" s="444">
        <f t="shared" ca="1" si="110"/>
        <v>-274813398.57827699</v>
      </c>
      <c r="J1499" s="444">
        <f t="array" ref="J1499">IFERROR(INDEX('Retirement Calculator'!K:K,MATCH('Lorri 401b'!N1499,'Retirement Calculator'!A:A,0),0),0)</f>
        <v>0</v>
      </c>
      <c r="K1499" s="444">
        <f t="shared" ca="1" si="108"/>
        <v>-1145055.8274094875</v>
      </c>
      <c r="L1499" s="444">
        <f t="shared" ca="1" si="109"/>
        <v>-275958454.4056865</v>
      </c>
      <c r="M1499" s="460">
        <f t="shared" si="111"/>
        <v>0.05</v>
      </c>
      <c r="N1499" s="464">
        <f t="shared" si="112"/>
        <v>96670</v>
      </c>
    </row>
    <row r="1500" spans="7:14" ht="11.25" customHeight="1" x14ac:dyDescent="0.3">
      <c r="G1500" s="459"/>
      <c r="H1500" s="459">
        <v>1493</v>
      </c>
      <c r="I1500" s="444">
        <f t="shared" ca="1" si="110"/>
        <v>-275958454.4056865</v>
      </c>
      <c r="J1500" s="444">
        <f t="array" ref="J1500">IFERROR(INDEX('Retirement Calculator'!K:K,MATCH('Lorri 401b'!N1500,'Retirement Calculator'!A:A,0),0),0)</f>
        <v>0</v>
      </c>
      <c r="K1500" s="444">
        <f t="shared" ca="1" si="108"/>
        <v>-1149826.8933570271</v>
      </c>
      <c r="L1500" s="444">
        <f t="shared" ca="1" si="109"/>
        <v>-277108281.29904354</v>
      </c>
      <c r="M1500" s="460">
        <f t="shared" si="111"/>
        <v>0.05</v>
      </c>
      <c r="N1500" s="464">
        <f t="shared" si="112"/>
        <v>96700</v>
      </c>
    </row>
    <row r="1501" spans="7:14" ht="11.25" customHeight="1" x14ac:dyDescent="0.3">
      <c r="G1501" s="459"/>
      <c r="H1501" s="459">
        <v>1494</v>
      </c>
      <c r="I1501" s="444">
        <f t="shared" ca="1" si="110"/>
        <v>-277108281.29904354</v>
      </c>
      <c r="J1501" s="444">
        <f t="array" ref="J1501">IFERROR(INDEX('Retirement Calculator'!K:K,MATCH('Lorri 401b'!N1501,'Retirement Calculator'!A:A,0),0),0)</f>
        <v>0</v>
      </c>
      <c r="K1501" s="444">
        <f t="shared" ca="1" si="108"/>
        <v>-1154617.8387460147</v>
      </c>
      <c r="L1501" s="444">
        <f t="shared" ca="1" si="109"/>
        <v>-278262899.13778955</v>
      </c>
      <c r="M1501" s="460">
        <f t="shared" si="111"/>
        <v>0.05</v>
      </c>
      <c r="N1501" s="464">
        <f t="shared" si="112"/>
        <v>96731</v>
      </c>
    </row>
    <row r="1502" spans="7:14" ht="11.25" customHeight="1" x14ac:dyDescent="0.3">
      <c r="G1502" s="459"/>
      <c r="H1502" s="459">
        <v>1495</v>
      </c>
      <c r="I1502" s="444">
        <f t="shared" ca="1" si="110"/>
        <v>-278262899.13778955</v>
      </c>
      <c r="J1502" s="444">
        <f t="array" ref="J1502">IFERROR(INDEX('Retirement Calculator'!K:K,MATCH('Lorri 401b'!N1502,'Retirement Calculator'!A:A,0),0),0)</f>
        <v>0</v>
      </c>
      <c r="K1502" s="444">
        <f t="shared" ca="1" si="108"/>
        <v>-1159428.7464074565</v>
      </c>
      <c r="L1502" s="444">
        <f t="shared" ca="1" si="109"/>
        <v>-279422327.884197</v>
      </c>
      <c r="M1502" s="460">
        <f t="shared" si="111"/>
        <v>0.05</v>
      </c>
      <c r="N1502" s="464">
        <f t="shared" si="112"/>
        <v>96761</v>
      </c>
    </row>
    <row r="1503" spans="7:14" ht="11.25" customHeight="1" x14ac:dyDescent="0.3">
      <c r="G1503" s="459"/>
      <c r="H1503" s="459">
        <v>1496</v>
      </c>
      <c r="I1503" s="444">
        <f t="shared" ca="1" si="110"/>
        <v>-279422327.884197</v>
      </c>
      <c r="J1503" s="444">
        <f t="array" ref="J1503">IFERROR(INDEX('Retirement Calculator'!K:K,MATCH('Lorri 401b'!N1503,'Retirement Calculator'!A:A,0),0),0)</f>
        <v>0</v>
      </c>
      <c r="K1503" s="444">
        <f t="shared" ca="1" si="108"/>
        <v>-1164259.6995174875</v>
      </c>
      <c r="L1503" s="444">
        <f t="shared" ca="1" si="109"/>
        <v>-280586587.58371449</v>
      </c>
      <c r="M1503" s="460">
        <f t="shared" si="111"/>
        <v>0.05</v>
      </c>
      <c r="N1503" s="464">
        <f t="shared" si="112"/>
        <v>96792</v>
      </c>
    </row>
    <row r="1504" spans="7:14" ht="11.25" customHeight="1" x14ac:dyDescent="0.3">
      <c r="G1504" s="459"/>
      <c r="H1504" s="459">
        <v>1497</v>
      </c>
      <c r="I1504" s="444">
        <f t="shared" ca="1" si="110"/>
        <v>-280586587.58371449</v>
      </c>
      <c r="J1504" s="444">
        <f t="array" ref="J1504">IFERROR(INDEX('Retirement Calculator'!K:K,MATCH('Lorri 401b'!N1504,'Retirement Calculator'!A:A,0),0),0)</f>
        <v>0</v>
      </c>
      <c r="K1504" s="444">
        <f t="shared" ca="1" si="108"/>
        <v>-1169110.7815988103</v>
      </c>
      <c r="L1504" s="444">
        <f t="shared" ca="1" si="109"/>
        <v>-281755698.36531329</v>
      </c>
      <c r="M1504" s="460">
        <f t="shared" si="111"/>
        <v>0.05</v>
      </c>
      <c r="N1504" s="464">
        <f t="shared" si="112"/>
        <v>96823</v>
      </c>
    </row>
    <row r="1505" spans="7:14" ht="11.25" customHeight="1" x14ac:dyDescent="0.3">
      <c r="G1505" s="459"/>
      <c r="H1505" s="459">
        <v>1498</v>
      </c>
      <c r="I1505" s="444">
        <f t="shared" ca="1" si="110"/>
        <v>-281755698.36531329</v>
      </c>
      <c r="J1505" s="444">
        <f t="array" ref="J1505">IFERROR(INDEX('Retirement Calculator'!K:K,MATCH('Lorri 401b'!N1505,'Retirement Calculator'!A:A,0),0),0)</f>
        <v>0</v>
      </c>
      <c r="K1505" s="444">
        <f t="shared" ca="1" si="108"/>
        <v>-1173982.0765221387</v>
      </c>
      <c r="L1505" s="444">
        <f t="shared" ca="1" si="109"/>
        <v>-282929680.4418354</v>
      </c>
      <c r="M1505" s="460">
        <f t="shared" si="111"/>
        <v>0.05</v>
      </c>
      <c r="N1505" s="464">
        <f t="shared" si="112"/>
        <v>96851</v>
      </c>
    </row>
    <row r="1506" spans="7:14" ht="11.25" customHeight="1" x14ac:dyDescent="0.3">
      <c r="G1506" s="459"/>
      <c r="H1506" s="459">
        <v>1499</v>
      </c>
      <c r="I1506" s="444">
        <f t="shared" ca="1" si="110"/>
        <v>-282929680.4418354</v>
      </c>
      <c r="J1506" s="444">
        <f t="array" ref="J1506">IFERROR(INDEX('Retirement Calculator'!K:K,MATCH('Lorri 401b'!N1506,'Retirement Calculator'!A:A,0),0),0)</f>
        <v>0</v>
      </c>
      <c r="K1506" s="444">
        <f t="shared" ca="1" si="108"/>
        <v>-1178873.6685076475</v>
      </c>
      <c r="L1506" s="444">
        <f t="shared" ca="1" si="109"/>
        <v>-284108554.11034304</v>
      </c>
      <c r="M1506" s="460">
        <f t="shared" si="111"/>
        <v>0.05</v>
      </c>
      <c r="N1506" s="464">
        <f t="shared" si="112"/>
        <v>96882</v>
      </c>
    </row>
    <row r="1507" spans="7:14" ht="11.25" customHeight="1" x14ac:dyDescent="0.3">
      <c r="G1507" s="459"/>
      <c r="H1507" s="459">
        <v>1500</v>
      </c>
      <c r="I1507" s="444">
        <f t="shared" ca="1" si="110"/>
        <v>-284108554.11034304</v>
      </c>
      <c r="J1507" s="444">
        <f t="array" ref="J1507">IFERROR(INDEX('Retirement Calculator'!K:K,MATCH('Lorri 401b'!N1507,'Retirement Calculator'!A:A,0),0),0)</f>
        <v>0</v>
      </c>
      <c r="K1507" s="444">
        <f t="shared" ca="1" si="108"/>
        <v>-1183785.6421264294</v>
      </c>
      <c r="L1507" s="444">
        <f t="shared" ca="1" si="109"/>
        <v>-285292339.75246948</v>
      </c>
      <c r="M1507" s="460">
        <f t="shared" si="111"/>
        <v>0.05</v>
      </c>
      <c r="N1507" s="464">
        <f t="shared" si="112"/>
        <v>96912</v>
      </c>
    </row>
    <row r="1508" spans="7:14" ht="11.25" customHeight="1" x14ac:dyDescent="0.3">
      <c r="G1508" s="459"/>
      <c r="H1508" s="459">
        <v>1501</v>
      </c>
      <c r="I1508" s="444">
        <f t="shared" ca="1" si="110"/>
        <v>-285292339.75246948</v>
      </c>
      <c r="J1508" s="444">
        <f t="array" ref="J1508">IFERROR(INDEX('Retirement Calculator'!K:K,MATCH('Lorri 401b'!N1508,'Retirement Calculator'!A:A,0),0),0)</f>
        <v>0</v>
      </c>
      <c r="K1508" s="444">
        <f t="shared" ca="1" si="108"/>
        <v>-1188718.0823019561</v>
      </c>
      <c r="L1508" s="444">
        <f t="shared" ca="1" si="109"/>
        <v>-286481057.83477145</v>
      </c>
      <c r="M1508" s="460">
        <f t="shared" si="111"/>
        <v>0.05</v>
      </c>
      <c r="N1508" s="464">
        <f t="shared" si="112"/>
        <v>96943</v>
      </c>
    </row>
    <row r="1509" spans="7:14" ht="11.25" customHeight="1" x14ac:dyDescent="0.3">
      <c r="G1509" s="459"/>
      <c r="H1509" s="459">
        <v>1502</v>
      </c>
      <c r="I1509" s="444">
        <f t="shared" ca="1" si="110"/>
        <v>-286481057.83477145</v>
      </c>
      <c r="J1509" s="444">
        <f t="array" ref="J1509">IFERROR(INDEX('Retirement Calculator'!K:K,MATCH('Lorri 401b'!N1509,'Retirement Calculator'!A:A,0),0),0)</f>
        <v>0</v>
      </c>
      <c r="K1509" s="444">
        <f t="shared" ca="1" si="108"/>
        <v>-1193671.0743115477</v>
      </c>
      <c r="L1509" s="444">
        <f t="shared" ca="1" si="109"/>
        <v>-287674728.90908301</v>
      </c>
      <c r="M1509" s="460">
        <f t="shared" si="111"/>
        <v>0.05</v>
      </c>
      <c r="N1509" s="464">
        <f t="shared" si="112"/>
        <v>96973</v>
      </c>
    </row>
    <row r="1510" spans="7:14" ht="11.25" customHeight="1" x14ac:dyDescent="0.3">
      <c r="G1510" s="459"/>
      <c r="H1510" s="459">
        <v>1503</v>
      </c>
      <c r="I1510" s="444">
        <f t="shared" ca="1" si="110"/>
        <v>-287674728.90908301</v>
      </c>
      <c r="J1510" s="444">
        <f t="array" ref="J1510">IFERROR(INDEX('Retirement Calculator'!K:K,MATCH('Lorri 401b'!N1510,'Retirement Calculator'!A:A,0),0),0)</f>
        <v>0</v>
      </c>
      <c r="K1510" s="444">
        <f t="shared" ca="1" si="108"/>
        <v>-1198644.7037878458</v>
      </c>
      <c r="L1510" s="444">
        <f t="shared" ca="1" si="109"/>
        <v>-288873373.61287087</v>
      </c>
      <c r="M1510" s="460">
        <f t="shared" si="111"/>
        <v>0.05</v>
      </c>
      <c r="N1510" s="464">
        <f t="shared" si="112"/>
        <v>97004</v>
      </c>
    </row>
    <row r="1511" spans="7:14" ht="11.25" customHeight="1" x14ac:dyDescent="0.3">
      <c r="G1511" s="459"/>
      <c r="H1511" s="459">
        <v>1504</v>
      </c>
      <c r="I1511" s="444">
        <f t="shared" ca="1" si="110"/>
        <v>-288873373.61287087</v>
      </c>
      <c r="J1511" s="444">
        <f t="array" ref="J1511">IFERROR(INDEX('Retirement Calculator'!K:K,MATCH('Lorri 401b'!N1511,'Retirement Calculator'!A:A,0),0),0)</f>
        <v>0</v>
      </c>
      <c r="K1511" s="444">
        <f t="shared" ca="1" si="108"/>
        <v>-1203639.0567202952</v>
      </c>
      <c r="L1511" s="444">
        <f t="shared" ca="1" si="109"/>
        <v>-290077012.66959119</v>
      </c>
      <c r="M1511" s="460">
        <f t="shared" si="111"/>
        <v>0.05</v>
      </c>
      <c r="N1511" s="464">
        <f t="shared" si="112"/>
        <v>97035</v>
      </c>
    </row>
    <row r="1512" spans="7:14" ht="11.25" customHeight="1" x14ac:dyDescent="0.3">
      <c r="G1512" s="459"/>
      <c r="H1512" s="459">
        <v>1505</v>
      </c>
      <c r="I1512" s="444">
        <f t="shared" ca="1" si="110"/>
        <v>-290077012.66959119</v>
      </c>
      <c r="J1512" s="444">
        <f t="array" ref="J1512">IFERROR(INDEX('Retirement Calculator'!K:K,MATCH('Lorri 401b'!N1512,'Retirement Calculator'!A:A,0),0),0)</f>
        <v>0</v>
      </c>
      <c r="K1512" s="444">
        <f t="shared" ca="1" si="108"/>
        <v>-1208654.2194566298</v>
      </c>
      <c r="L1512" s="444">
        <f t="shared" ca="1" si="109"/>
        <v>-291285666.8890478</v>
      </c>
      <c r="M1512" s="460">
        <f t="shared" si="111"/>
        <v>0.05</v>
      </c>
      <c r="N1512" s="464">
        <f t="shared" si="112"/>
        <v>97065</v>
      </c>
    </row>
    <row r="1513" spans="7:14" ht="11.25" customHeight="1" x14ac:dyDescent="0.3">
      <c r="G1513" s="459"/>
      <c r="H1513" s="459">
        <v>1506</v>
      </c>
      <c r="I1513" s="444">
        <f t="shared" ca="1" si="110"/>
        <v>-291285666.8890478</v>
      </c>
      <c r="J1513" s="444">
        <f t="array" ref="J1513">IFERROR(INDEX('Retirement Calculator'!K:K,MATCH('Lorri 401b'!N1513,'Retirement Calculator'!A:A,0),0),0)</f>
        <v>0</v>
      </c>
      <c r="K1513" s="444">
        <f t="shared" ca="1" si="108"/>
        <v>-1213690.2787043657</v>
      </c>
      <c r="L1513" s="444">
        <f t="shared" ca="1" si="109"/>
        <v>-292499357.16775215</v>
      </c>
      <c r="M1513" s="460">
        <f t="shared" si="111"/>
        <v>0.05</v>
      </c>
      <c r="N1513" s="464">
        <f t="shared" si="112"/>
        <v>97096</v>
      </c>
    </row>
    <row r="1514" spans="7:14" ht="11.25" customHeight="1" x14ac:dyDescent="0.3">
      <c r="G1514" s="459"/>
      <c r="H1514" s="459">
        <v>1507</v>
      </c>
      <c r="I1514" s="444">
        <f t="shared" ca="1" si="110"/>
        <v>-292499357.16775215</v>
      </c>
      <c r="J1514" s="444">
        <f t="array" ref="J1514">IFERROR(INDEX('Retirement Calculator'!K:K,MATCH('Lorri 401b'!N1514,'Retirement Calculator'!A:A,0),0),0)</f>
        <v>0</v>
      </c>
      <c r="K1514" s="444">
        <f t="shared" ca="1" si="108"/>
        <v>-1218747.3215323007</v>
      </c>
      <c r="L1514" s="444">
        <f t="shared" ca="1" si="109"/>
        <v>-293718104.48928446</v>
      </c>
      <c r="M1514" s="460">
        <f t="shared" si="111"/>
        <v>0.05</v>
      </c>
      <c r="N1514" s="464">
        <f t="shared" si="112"/>
        <v>97126</v>
      </c>
    </row>
    <row r="1515" spans="7:14" ht="11.25" customHeight="1" x14ac:dyDescent="0.3">
      <c r="G1515" s="459"/>
      <c r="H1515" s="459">
        <v>1508</v>
      </c>
      <c r="I1515" s="444">
        <f t="shared" ca="1" si="110"/>
        <v>-293718104.48928446</v>
      </c>
      <c r="J1515" s="444">
        <f t="array" ref="J1515">IFERROR(INDEX('Retirement Calculator'!K:K,MATCH('Lorri 401b'!N1515,'Retirement Calculator'!A:A,0),0),0)</f>
        <v>0</v>
      </c>
      <c r="K1515" s="444">
        <f t="shared" ca="1" si="108"/>
        <v>-1223825.4353720185</v>
      </c>
      <c r="L1515" s="444">
        <f t="shared" ca="1" si="109"/>
        <v>-294941929.92465645</v>
      </c>
      <c r="M1515" s="460">
        <f t="shared" si="111"/>
        <v>0.05</v>
      </c>
      <c r="N1515" s="464">
        <f t="shared" si="112"/>
        <v>97157</v>
      </c>
    </row>
    <row r="1516" spans="7:14" ht="11.25" customHeight="1" x14ac:dyDescent="0.3">
      <c r="G1516" s="459"/>
      <c r="H1516" s="459">
        <v>1509</v>
      </c>
      <c r="I1516" s="444">
        <f t="shared" ca="1" si="110"/>
        <v>-294941929.92465645</v>
      </c>
      <c r="J1516" s="444">
        <f t="array" ref="J1516">IFERROR(INDEX('Retirement Calculator'!K:K,MATCH('Lorri 401b'!N1516,'Retirement Calculator'!A:A,0),0),0)</f>
        <v>0</v>
      </c>
      <c r="K1516" s="444">
        <f t="shared" ca="1" si="108"/>
        <v>-1228924.7080194019</v>
      </c>
      <c r="L1516" s="444">
        <f t="shared" ca="1" si="109"/>
        <v>-296170854.63267583</v>
      </c>
      <c r="M1516" s="460">
        <f t="shared" si="111"/>
        <v>0.05</v>
      </c>
      <c r="N1516" s="464">
        <f t="shared" si="112"/>
        <v>97188</v>
      </c>
    </row>
    <row r="1517" spans="7:14" ht="11.25" customHeight="1" x14ac:dyDescent="0.3">
      <c r="G1517" s="459"/>
      <c r="H1517" s="459">
        <v>1510</v>
      </c>
      <c r="I1517" s="444">
        <f t="shared" ca="1" si="110"/>
        <v>-296170854.63267583</v>
      </c>
      <c r="J1517" s="444">
        <f t="array" ref="J1517">IFERROR(INDEX('Retirement Calculator'!K:K,MATCH('Lorri 401b'!N1517,'Retirement Calculator'!A:A,0),0),0)</f>
        <v>0</v>
      </c>
      <c r="K1517" s="444">
        <f t="shared" ca="1" si="108"/>
        <v>-1234045.2276361492</v>
      </c>
      <c r="L1517" s="444">
        <f t="shared" ca="1" si="109"/>
        <v>-297404899.86031199</v>
      </c>
      <c r="M1517" s="460">
        <f t="shared" si="111"/>
        <v>0.05</v>
      </c>
      <c r="N1517" s="464">
        <f t="shared" si="112"/>
        <v>97216</v>
      </c>
    </row>
    <row r="1518" spans="7:14" ht="11.25" customHeight="1" x14ac:dyDescent="0.3">
      <c r="G1518" s="459"/>
      <c r="H1518" s="459">
        <v>1511</v>
      </c>
      <c r="I1518" s="444">
        <f t="shared" ca="1" si="110"/>
        <v>-297404899.86031199</v>
      </c>
      <c r="J1518" s="444">
        <f t="array" ref="J1518">IFERROR(INDEX('Retirement Calculator'!K:K,MATCH('Lorri 401b'!N1518,'Retirement Calculator'!A:A,0),0),0)</f>
        <v>0</v>
      </c>
      <c r="K1518" s="444">
        <f t="shared" ca="1" si="108"/>
        <v>-1239187.0827513</v>
      </c>
      <c r="L1518" s="444">
        <f t="shared" ca="1" si="109"/>
        <v>-298644086.94306326</v>
      </c>
      <c r="M1518" s="460">
        <f t="shared" si="111"/>
        <v>0.05</v>
      </c>
      <c r="N1518" s="464">
        <f t="shared" si="112"/>
        <v>97247</v>
      </c>
    </row>
    <row r="1519" spans="7:14" ht="11.25" customHeight="1" x14ac:dyDescent="0.3">
      <c r="G1519" s="459"/>
      <c r="H1519" s="459">
        <v>1512</v>
      </c>
      <c r="I1519" s="444">
        <f t="shared" ca="1" si="110"/>
        <v>-298644086.94306326</v>
      </c>
      <c r="J1519" s="444">
        <f t="array" ref="J1519">IFERROR(INDEX('Retirement Calculator'!K:K,MATCH('Lorri 401b'!N1519,'Retirement Calculator'!A:A,0),0),0)</f>
        <v>0</v>
      </c>
      <c r="K1519" s="444">
        <f t="shared" ca="1" si="108"/>
        <v>-1244350.3622627635</v>
      </c>
      <c r="L1519" s="444">
        <f t="shared" ca="1" si="109"/>
        <v>-299888437.30532604</v>
      </c>
      <c r="M1519" s="460">
        <f t="shared" si="111"/>
        <v>0.05</v>
      </c>
      <c r="N1519" s="464">
        <f t="shared" si="112"/>
        <v>97277</v>
      </c>
    </row>
    <row r="1520" spans="7:14" ht="11.25" customHeight="1" x14ac:dyDescent="0.3">
      <c r="G1520" s="459"/>
      <c r="H1520" s="459">
        <v>1513</v>
      </c>
      <c r="I1520" s="444">
        <f t="shared" ca="1" si="110"/>
        <v>-299888437.30532604</v>
      </c>
      <c r="J1520" s="444">
        <f t="array" ref="J1520">IFERROR(INDEX('Retirement Calculator'!K:K,MATCH('Lorri 401b'!N1520,'Retirement Calculator'!A:A,0),0),0)</f>
        <v>0</v>
      </c>
      <c r="K1520" s="444">
        <f t="shared" ca="1" si="108"/>
        <v>-1249535.1554388586</v>
      </c>
      <c r="L1520" s="444">
        <f t="shared" ca="1" si="109"/>
        <v>-301137972.46076488</v>
      </c>
      <c r="M1520" s="460">
        <f t="shared" si="111"/>
        <v>0.05</v>
      </c>
      <c r="N1520" s="464">
        <f t="shared" si="112"/>
        <v>97308</v>
      </c>
    </row>
    <row r="1521" spans="7:14" ht="11.25" customHeight="1" x14ac:dyDescent="0.3">
      <c r="G1521" s="459"/>
      <c r="H1521" s="459">
        <v>1514</v>
      </c>
      <c r="I1521" s="444">
        <f t="shared" ca="1" si="110"/>
        <v>-301137972.46076488</v>
      </c>
      <c r="J1521" s="444">
        <f t="array" ref="J1521">IFERROR(INDEX('Retirement Calculator'!K:K,MATCH('Lorri 401b'!N1521,'Retirement Calculator'!A:A,0),0),0)</f>
        <v>0</v>
      </c>
      <c r="K1521" s="444">
        <f t="shared" ca="1" si="108"/>
        <v>-1254741.5519198538</v>
      </c>
      <c r="L1521" s="444">
        <f t="shared" ca="1" si="109"/>
        <v>-302392714.01268476</v>
      </c>
      <c r="M1521" s="460">
        <f t="shared" si="111"/>
        <v>0.05</v>
      </c>
      <c r="N1521" s="464">
        <f t="shared" si="112"/>
        <v>97338</v>
      </c>
    </row>
    <row r="1522" spans="7:14" ht="11.25" customHeight="1" x14ac:dyDescent="0.3">
      <c r="G1522" s="459"/>
      <c r="H1522" s="459">
        <v>1515</v>
      </c>
      <c r="I1522" s="444">
        <f t="shared" ca="1" si="110"/>
        <v>-302392714.01268476</v>
      </c>
      <c r="J1522" s="444">
        <f t="array" ref="J1522">IFERROR(INDEX('Retirement Calculator'!K:K,MATCH('Lorri 401b'!N1522,'Retirement Calculator'!A:A,0),0),0)</f>
        <v>0</v>
      </c>
      <c r="K1522" s="444">
        <f t="shared" ca="1" si="108"/>
        <v>-1259969.6417195199</v>
      </c>
      <c r="L1522" s="444">
        <f t="shared" ca="1" si="109"/>
        <v>-303652683.65440428</v>
      </c>
      <c r="M1522" s="460">
        <f t="shared" si="111"/>
        <v>0.05</v>
      </c>
      <c r="N1522" s="464">
        <f t="shared" si="112"/>
        <v>97369</v>
      </c>
    </row>
    <row r="1523" spans="7:14" ht="11.25" customHeight="1" x14ac:dyDescent="0.3">
      <c r="G1523" s="459"/>
      <c r="H1523" s="459">
        <v>1516</v>
      </c>
      <c r="I1523" s="444">
        <f t="shared" ca="1" si="110"/>
        <v>-303652683.65440428</v>
      </c>
      <c r="J1523" s="444">
        <f t="array" ref="J1523">IFERROR(INDEX('Retirement Calculator'!K:K,MATCH('Lorri 401b'!N1523,'Retirement Calculator'!A:A,0),0),0)</f>
        <v>0</v>
      </c>
      <c r="K1523" s="444">
        <f t="shared" ca="1" si="108"/>
        <v>-1265219.5152266845</v>
      </c>
      <c r="L1523" s="444">
        <f t="shared" ca="1" si="109"/>
        <v>-304917903.16963094</v>
      </c>
      <c r="M1523" s="460">
        <f t="shared" si="111"/>
        <v>0.05</v>
      </c>
      <c r="N1523" s="464">
        <f t="shared" si="112"/>
        <v>97400</v>
      </c>
    </row>
    <row r="1524" spans="7:14" ht="11.25" customHeight="1" x14ac:dyDescent="0.3">
      <c r="G1524" s="459"/>
      <c r="H1524" s="459">
        <v>1517</v>
      </c>
      <c r="I1524" s="444">
        <f t="shared" ca="1" si="110"/>
        <v>-304917903.16963094</v>
      </c>
      <c r="J1524" s="444">
        <f t="array" ref="J1524">IFERROR(INDEX('Retirement Calculator'!K:K,MATCH('Lorri 401b'!N1524,'Retirement Calculator'!A:A,0),0),0)</f>
        <v>0</v>
      </c>
      <c r="K1524" s="444">
        <f t="shared" ca="1" si="108"/>
        <v>-1270491.2632067956</v>
      </c>
      <c r="L1524" s="444">
        <f t="shared" ca="1" si="109"/>
        <v>-306188394.43283772</v>
      </c>
      <c r="M1524" s="460">
        <f t="shared" si="111"/>
        <v>0.05</v>
      </c>
      <c r="N1524" s="464">
        <f t="shared" si="112"/>
        <v>97430</v>
      </c>
    </row>
    <row r="1525" spans="7:14" ht="11.25" customHeight="1" x14ac:dyDescent="0.3">
      <c r="G1525" s="459"/>
      <c r="H1525" s="459">
        <v>1518</v>
      </c>
      <c r="I1525" s="444">
        <f t="shared" ca="1" si="110"/>
        <v>-306188394.43283772</v>
      </c>
      <c r="J1525" s="444">
        <f t="array" ref="J1525">IFERROR(INDEX('Retirement Calculator'!K:K,MATCH('Lorri 401b'!N1525,'Retirement Calculator'!A:A,0),0),0)</f>
        <v>0</v>
      </c>
      <c r="K1525" s="444">
        <f t="shared" ca="1" si="108"/>
        <v>-1275784.9768034904</v>
      </c>
      <c r="L1525" s="444">
        <f t="shared" ca="1" si="109"/>
        <v>-307464179.40964121</v>
      </c>
      <c r="M1525" s="460">
        <f t="shared" si="111"/>
        <v>0.05</v>
      </c>
      <c r="N1525" s="464">
        <f t="shared" si="112"/>
        <v>97461</v>
      </c>
    </row>
    <row r="1526" spans="7:14" ht="11.25" customHeight="1" x14ac:dyDescent="0.3">
      <c r="G1526" s="459"/>
      <c r="H1526" s="459">
        <v>1519</v>
      </c>
      <c r="I1526" s="444">
        <f t="shared" ca="1" si="110"/>
        <v>-307464179.40964121</v>
      </c>
      <c r="J1526" s="444">
        <f t="array" ref="J1526">IFERROR(INDEX('Retirement Calculator'!K:K,MATCH('Lorri 401b'!N1526,'Retirement Calculator'!A:A,0),0),0)</f>
        <v>0</v>
      </c>
      <c r="K1526" s="444">
        <f t="shared" ca="1" si="108"/>
        <v>-1281100.7475401717</v>
      </c>
      <c r="L1526" s="444">
        <f t="shared" ca="1" si="109"/>
        <v>-308745280.15718138</v>
      </c>
      <c r="M1526" s="460">
        <f t="shared" si="111"/>
        <v>0.05</v>
      </c>
      <c r="N1526" s="464">
        <f t="shared" si="112"/>
        <v>97491</v>
      </c>
    </row>
    <row r="1527" spans="7:14" ht="11.25" customHeight="1" x14ac:dyDescent="0.3">
      <c r="G1527" s="459"/>
      <c r="H1527" s="459">
        <v>1520</v>
      </c>
      <c r="I1527" s="444">
        <f t="shared" ca="1" si="110"/>
        <v>-308745280.15718138</v>
      </c>
      <c r="J1527" s="444">
        <f t="array" ref="J1527">IFERROR(INDEX('Retirement Calculator'!K:K,MATCH('Lorri 401b'!N1527,'Retirement Calculator'!A:A,0),0),0)</f>
        <v>0</v>
      </c>
      <c r="K1527" s="444">
        <f t="shared" ca="1" si="108"/>
        <v>-1286438.6673215891</v>
      </c>
      <c r="L1527" s="444">
        <f t="shared" ca="1" si="109"/>
        <v>-310031718.82450294</v>
      </c>
      <c r="M1527" s="460">
        <f t="shared" si="111"/>
        <v>0.05</v>
      </c>
      <c r="N1527" s="464">
        <f t="shared" si="112"/>
        <v>97522</v>
      </c>
    </row>
    <row r="1528" spans="7:14" ht="11.25" customHeight="1" x14ac:dyDescent="0.3">
      <c r="G1528" s="459"/>
      <c r="H1528" s="459">
        <v>1521</v>
      </c>
      <c r="I1528" s="444">
        <f t="shared" ca="1" si="110"/>
        <v>-310031718.82450294</v>
      </c>
      <c r="J1528" s="444">
        <f t="array" ref="J1528">IFERROR(INDEX('Retirement Calculator'!K:K,MATCH('Lorri 401b'!N1528,'Retirement Calculator'!A:A,0),0),0)</f>
        <v>0</v>
      </c>
      <c r="K1528" s="444">
        <f t="shared" ca="1" si="108"/>
        <v>-1291798.8284354289</v>
      </c>
      <c r="L1528" s="444">
        <f t="shared" ca="1" si="109"/>
        <v>-311323517.65293837</v>
      </c>
      <c r="M1528" s="460">
        <f t="shared" si="111"/>
        <v>0.05</v>
      </c>
      <c r="N1528" s="464">
        <f t="shared" si="112"/>
        <v>97553</v>
      </c>
    </row>
    <row r="1529" spans="7:14" ht="11.25" customHeight="1" x14ac:dyDescent="0.3">
      <c r="G1529" s="459"/>
      <c r="H1529" s="459">
        <v>1522</v>
      </c>
      <c r="I1529" s="444">
        <f t="shared" ca="1" si="110"/>
        <v>-311323517.65293837</v>
      </c>
      <c r="J1529" s="444">
        <f t="array" ref="J1529">IFERROR(INDEX('Retirement Calculator'!K:K,MATCH('Lorri 401b'!N1529,'Retirement Calculator'!A:A,0),0),0)</f>
        <v>0</v>
      </c>
      <c r="K1529" s="444">
        <f t="shared" ca="1" si="108"/>
        <v>-1297181.3235539098</v>
      </c>
      <c r="L1529" s="444">
        <f t="shared" ca="1" si="109"/>
        <v>-312620698.97649229</v>
      </c>
      <c r="M1529" s="460">
        <f t="shared" si="111"/>
        <v>0.05</v>
      </c>
      <c r="N1529" s="464">
        <f t="shared" si="112"/>
        <v>97581</v>
      </c>
    </row>
    <row r="1530" spans="7:14" ht="11.25" customHeight="1" x14ac:dyDescent="0.3">
      <c r="G1530" s="459"/>
      <c r="H1530" s="459">
        <v>1523</v>
      </c>
      <c r="I1530" s="444">
        <f t="shared" ca="1" si="110"/>
        <v>-312620698.97649229</v>
      </c>
      <c r="J1530" s="444">
        <f t="array" ref="J1530">IFERROR(INDEX('Retirement Calculator'!K:K,MATCH('Lorri 401b'!N1530,'Retirement Calculator'!A:A,0),0),0)</f>
        <v>0</v>
      </c>
      <c r="K1530" s="444">
        <f t="shared" ca="1" si="108"/>
        <v>-1302586.2457353845</v>
      </c>
      <c r="L1530" s="444">
        <f t="shared" ca="1" si="109"/>
        <v>-313923285.22222769</v>
      </c>
      <c r="M1530" s="460">
        <f t="shared" si="111"/>
        <v>0.05</v>
      </c>
      <c r="N1530" s="464">
        <f t="shared" si="112"/>
        <v>97612</v>
      </c>
    </row>
    <row r="1531" spans="7:14" ht="11.25" customHeight="1" x14ac:dyDescent="0.3">
      <c r="G1531" s="459"/>
      <c r="H1531" s="459">
        <v>1524</v>
      </c>
      <c r="I1531" s="444">
        <f t="shared" ca="1" si="110"/>
        <v>-313923285.22222769</v>
      </c>
      <c r="J1531" s="444">
        <f t="array" ref="J1531">IFERROR(INDEX('Retirement Calculator'!K:K,MATCH('Lorri 401b'!N1531,'Retirement Calculator'!A:A,0),0),0)</f>
        <v>0</v>
      </c>
      <c r="K1531" s="444">
        <f t="shared" ca="1" si="108"/>
        <v>-1308013.6884259486</v>
      </c>
      <c r="L1531" s="444">
        <f t="shared" ca="1" si="109"/>
        <v>-315231298.91065365</v>
      </c>
      <c r="M1531" s="460">
        <f t="shared" si="111"/>
        <v>0.05</v>
      </c>
      <c r="N1531" s="464">
        <f t="shared" si="112"/>
        <v>97642</v>
      </c>
    </row>
    <row r="1532" spans="7:14" ht="11.25" customHeight="1" x14ac:dyDescent="0.3">
      <c r="G1532" s="459"/>
      <c r="H1532" s="459">
        <v>1525</v>
      </c>
      <c r="I1532" s="444">
        <f t="shared" ca="1" si="110"/>
        <v>-315231298.91065365</v>
      </c>
      <c r="J1532" s="444">
        <f t="array" ref="J1532">IFERROR(INDEX('Retirement Calculator'!K:K,MATCH('Lorri 401b'!N1532,'Retirement Calculator'!A:A,0),0),0)</f>
        <v>0</v>
      </c>
      <c r="K1532" s="444">
        <f t="shared" ca="1" si="108"/>
        <v>-1313463.7454610569</v>
      </c>
      <c r="L1532" s="444">
        <f t="shared" ca="1" si="109"/>
        <v>-316544762.6561147</v>
      </c>
      <c r="M1532" s="460">
        <f t="shared" si="111"/>
        <v>0.05</v>
      </c>
      <c r="N1532" s="464">
        <f t="shared" si="112"/>
        <v>97673</v>
      </c>
    </row>
    <row r="1533" spans="7:14" ht="11.25" customHeight="1" x14ac:dyDescent="0.3">
      <c r="G1533" s="459"/>
      <c r="H1533" s="459">
        <v>1526</v>
      </c>
      <c r="I1533" s="444">
        <f t="shared" ca="1" si="110"/>
        <v>-316544762.6561147</v>
      </c>
      <c r="J1533" s="444">
        <f t="array" ref="J1533">IFERROR(INDEX('Retirement Calculator'!K:K,MATCH('Lorri 401b'!N1533,'Retirement Calculator'!A:A,0),0),0)</f>
        <v>0</v>
      </c>
      <c r="K1533" s="444">
        <f t="shared" ca="1" si="108"/>
        <v>-1318936.5110671446</v>
      </c>
      <c r="L1533" s="444">
        <f t="shared" ca="1" si="109"/>
        <v>-317863699.16718185</v>
      </c>
      <c r="M1533" s="460">
        <f t="shared" si="111"/>
        <v>0.05</v>
      </c>
      <c r="N1533" s="464">
        <f t="shared" si="112"/>
        <v>97703</v>
      </c>
    </row>
    <row r="1534" spans="7:14" ht="11.25" customHeight="1" x14ac:dyDescent="0.3">
      <c r="G1534" s="459"/>
      <c r="H1534" s="459">
        <v>1527</v>
      </c>
      <c r="I1534" s="444">
        <f t="shared" ca="1" si="110"/>
        <v>-317863699.16718185</v>
      </c>
      <c r="J1534" s="444">
        <f t="array" ref="J1534">IFERROR(INDEX('Retirement Calculator'!K:K,MATCH('Lorri 401b'!N1534,'Retirement Calculator'!A:A,0),0),0)</f>
        <v>0</v>
      </c>
      <c r="K1534" s="444">
        <f t="shared" ca="1" si="108"/>
        <v>-1324432.0798632577</v>
      </c>
      <c r="L1534" s="444">
        <f t="shared" ca="1" si="109"/>
        <v>-319188131.2470451</v>
      </c>
      <c r="M1534" s="460">
        <f t="shared" si="111"/>
        <v>0.05</v>
      </c>
      <c r="N1534" s="464">
        <f t="shared" si="112"/>
        <v>97734</v>
      </c>
    </row>
    <row r="1535" spans="7:14" ht="11.25" customHeight="1" x14ac:dyDescent="0.3">
      <c r="G1535" s="459"/>
      <c r="H1535" s="459">
        <v>1528</v>
      </c>
      <c r="I1535" s="444">
        <f t="shared" ca="1" si="110"/>
        <v>-319188131.2470451</v>
      </c>
      <c r="J1535" s="444">
        <f t="array" ref="J1535">IFERROR(INDEX('Retirement Calculator'!K:K,MATCH('Lorri 401b'!N1535,'Retirement Calculator'!A:A,0),0),0)</f>
        <v>0</v>
      </c>
      <c r="K1535" s="444">
        <f t="shared" ca="1" si="108"/>
        <v>-1329950.5468626879</v>
      </c>
      <c r="L1535" s="444">
        <f t="shared" ca="1" si="109"/>
        <v>-320518081.79390776</v>
      </c>
      <c r="M1535" s="460">
        <f t="shared" si="111"/>
        <v>0.05</v>
      </c>
      <c r="N1535" s="464">
        <f t="shared" si="112"/>
        <v>97765</v>
      </c>
    </row>
    <row r="1536" spans="7:14" ht="11.25" customHeight="1" x14ac:dyDescent="0.3">
      <c r="G1536" s="459"/>
      <c r="H1536" s="459">
        <v>1529</v>
      </c>
      <c r="I1536" s="444">
        <f t="shared" ca="1" si="110"/>
        <v>-320518081.79390776</v>
      </c>
      <c r="J1536" s="444">
        <f t="array" ref="J1536">IFERROR(INDEX('Retirement Calculator'!K:K,MATCH('Lorri 401b'!N1536,'Retirement Calculator'!A:A,0),0),0)</f>
        <v>0</v>
      </c>
      <c r="K1536" s="444">
        <f t="shared" ca="1" si="108"/>
        <v>-1335492.0074746157</v>
      </c>
      <c r="L1536" s="444">
        <f t="shared" ca="1" si="109"/>
        <v>-321853573.80138236</v>
      </c>
      <c r="M1536" s="460">
        <f t="shared" si="111"/>
        <v>0.05</v>
      </c>
      <c r="N1536" s="464">
        <f t="shared" si="112"/>
        <v>97795</v>
      </c>
    </row>
    <row r="1537" spans="7:14" ht="11.25" customHeight="1" x14ac:dyDescent="0.3">
      <c r="G1537" s="459"/>
      <c r="H1537" s="459">
        <v>1530</v>
      </c>
      <c r="I1537" s="444">
        <f t="shared" ca="1" si="110"/>
        <v>-321853573.80138236</v>
      </c>
      <c r="J1537" s="444">
        <f t="array" ref="J1537">IFERROR(INDEX('Retirement Calculator'!K:K,MATCH('Lorri 401b'!N1537,'Retirement Calculator'!A:A,0),0),0)</f>
        <v>0</v>
      </c>
      <c r="K1537" s="444">
        <f t="shared" ca="1" si="108"/>
        <v>-1341056.5575057599</v>
      </c>
      <c r="L1537" s="444">
        <f t="shared" ca="1" si="109"/>
        <v>-323194630.35888815</v>
      </c>
      <c r="M1537" s="460">
        <f t="shared" si="111"/>
        <v>0.05</v>
      </c>
      <c r="N1537" s="464">
        <f t="shared" si="112"/>
        <v>97826</v>
      </c>
    </row>
    <row r="1538" spans="7:14" ht="11.25" customHeight="1" x14ac:dyDescent="0.3">
      <c r="G1538" s="459"/>
      <c r="H1538" s="459">
        <v>1531</v>
      </c>
      <c r="I1538" s="444">
        <f t="shared" ca="1" si="110"/>
        <v>-323194630.35888815</v>
      </c>
      <c r="J1538" s="444">
        <f t="array" ref="J1538">IFERROR(INDEX('Retirement Calculator'!K:K,MATCH('Lorri 401b'!N1538,'Retirement Calculator'!A:A,0),0),0)</f>
        <v>0</v>
      </c>
      <c r="K1538" s="444">
        <f t="shared" ref="K1538:K1792" ca="1" si="113">IPMT(M1538/12,1,12,-I1538+J1538,,0)</f>
        <v>-1346644.2931620339</v>
      </c>
      <c r="L1538" s="444">
        <f t="shared" ref="L1538:L1792" ca="1" si="114">I1538-J1538+K1538</f>
        <v>-324541274.6520502</v>
      </c>
      <c r="M1538" s="460">
        <f t="shared" si="111"/>
        <v>0.05</v>
      </c>
      <c r="N1538" s="464">
        <f t="shared" si="112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15">L1538</f>
        <v>-324541274.6520502</v>
      </c>
      <c r="J1539" s="444">
        <f t="array" ref="J1539">IFERROR(INDEX('Retirement Calculator'!K:K,MATCH('Lorri 401b'!N1539,'Retirement Calculator'!A:A,0),0),0)</f>
        <v>0</v>
      </c>
      <c r="K1539" s="444">
        <f t="shared" ca="1" si="113"/>
        <v>-1352255.3110502092</v>
      </c>
      <c r="L1539" s="444">
        <f t="shared" ca="1" si="114"/>
        <v>-325893529.96310043</v>
      </c>
      <c r="M1539" s="460">
        <f t="shared" ref="M1539:M1793" si="116">M1538</f>
        <v>0.05</v>
      </c>
      <c r="N1539" s="464">
        <f t="shared" ref="N1539:N1793" si="117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15"/>
        <v>-325893529.96310043</v>
      </c>
      <c r="J1540" s="444">
        <f t="array" ref="J1540">IFERROR(INDEX('Retirement Calculator'!K:K,MATCH('Lorri 401b'!N1540,'Retirement Calculator'!A:A,0),0),0)</f>
        <v>0</v>
      </c>
      <c r="K1540" s="444">
        <f t="shared" ca="1" si="113"/>
        <v>-1357889.7081795852</v>
      </c>
      <c r="L1540" s="444">
        <f t="shared" ca="1" si="114"/>
        <v>-327251419.67128003</v>
      </c>
      <c r="M1540" s="460">
        <f t="shared" si="116"/>
        <v>0.05</v>
      </c>
      <c r="N1540" s="464">
        <f t="shared" si="117"/>
        <v>97918</v>
      </c>
    </row>
    <row r="1541" spans="7:14" ht="11.25" customHeight="1" x14ac:dyDescent="0.3">
      <c r="G1541" s="459"/>
      <c r="H1541" s="459">
        <v>1534</v>
      </c>
      <c r="I1541" s="444">
        <f t="shared" ca="1" si="115"/>
        <v>-327251419.67128003</v>
      </c>
      <c r="J1541" s="444">
        <f t="array" ref="J1541">IFERROR(INDEX('Retirement Calculator'!K:K,MATCH('Lorri 401b'!N1541,'Retirement Calculator'!A:A,0),0),0)</f>
        <v>0</v>
      </c>
      <c r="K1541" s="444">
        <f t="shared" ca="1" si="113"/>
        <v>-1363547.5819636667</v>
      </c>
      <c r="L1541" s="444">
        <f t="shared" ca="1" si="114"/>
        <v>-328614967.25324368</v>
      </c>
      <c r="M1541" s="460">
        <f t="shared" si="116"/>
        <v>0.05</v>
      </c>
      <c r="N1541" s="464">
        <f t="shared" si="117"/>
        <v>97947</v>
      </c>
    </row>
    <row r="1542" spans="7:14" ht="11.25" customHeight="1" x14ac:dyDescent="0.3">
      <c r="G1542" s="459"/>
      <c r="H1542" s="459">
        <v>1535</v>
      </c>
      <c r="I1542" s="444">
        <f t="shared" ca="1" si="115"/>
        <v>-328614967.25324368</v>
      </c>
      <c r="J1542" s="444">
        <f t="array" ref="J1542">IFERROR(INDEX('Retirement Calculator'!K:K,MATCH('Lorri 401b'!N1542,'Retirement Calculator'!A:A,0),0),0)</f>
        <v>0</v>
      </c>
      <c r="K1542" s="444">
        <f t="shared" ca="1" si="113"/>
        <v>-1369229.0302218487</v>
      </c>
      <c r="L1542" s="444">
        <f t="shared" ca="1" si="114"/>
        <v>-329984196.2834655</v>
      </c>
      <c r="M1542" s="460">
        <f t="shared" si="116"/>
        <v>0.05</v>
      </c>
      <c r="N1542" s="464">
        <f t="shared" si="117"/>
        <v>97978</v>
      </c>
    </row>
    <row r="1543" spans="7:14" ht="11.25" customHeight="1" x14ac:dyDescent="0.3">
      <c r="G1543" s="459"/>
      <c r="H1543" s="459">
        <v>1536</v>
      </c>
      <c r="I1543" s="444">
        <f t="shared" ca="1" si="115"/>
        <v>-329984196.2834655</v>
      </c>
      <c r="J1543" s="444">
        <f t="array" ref="J1543">IFERROR(INDEX('Retirement Calculator'!K:K,MATCH('Lorri 401b'!N1543,'Retirement Calculator'!A:A,0),0),0)</f>
        <v>0</v>
      </c>
      <c r="K1543" s="444">
        <f t="shared" ca="1" si="113"/>
        <v>-1374934.1511811062</v>
      </c>
      <c r="L1543" s="444">
        <f t="shared" ca="1" si="114"/>
        <v>-331359130.43464661</v>
      </c>
      <c r="M1543" s="460">
        <f t="shared" si="116"/>
        <v>0.05</v>
      </c>
      <c r="N1543" s="464">
        <f t="shared" si="117"/>
        <v>98008</v>
      </c>
    </row>
    <row r="1544" spans="7:14" ht="11.25" customHeight="1" x14ac:dyDescent="0.3">
      <c r="G1544" s="459"/>
      <c r="H1544" s="459">
        <v>1537</v>
      </c>
      <c r="I1544" s="444">
        <f t="shared" ca="1" si="115"/>
        <v>-331359130.43464661</v>
      </c>
      <c r="J1544" s="444">
        <f t="array" ref="J1544">IFERROR(INDEX('Retirement Calculator'!K:K,MATCH('Lorri 401b'!N1544,'Retirement Calculator'!A:A,0),0),0)</f>
        <v>0</v>
      </c>
      <c r="K1544" s="444">
        <f t="shared" ca="1" si="113"/>
        <v>-1380663.0434776943</v>
      </c>
      <c r="L1544" s="444">
        <f t="shared" ca="1" si="114"/>
        <v>-332739793.47812432</v>
      </c>
      <c r="M1544" s="460">
        <f t="shared" si="116"/>
        <v>0.05</v>
      </c>
      <c r="N1544" s="464">
        <f t="shared" si="117"/>
        <v>98039</v>
      </c>
    </row>
    <row r="1545" spans="7:14" ht="11.25" customHeight="1" x14ac:dyDescent="0.3">
      <c r="G1545" s="459"/>
      <c r="H1545" s="459">
        <v>1538</v>
      </c>
      <c r="I1545" s="444">
        <f t="shared" ca="1" si="115"/>
        <v>-332739793.47812432</v>
      </c>
      <c r="J1545" s="444">
        <f t="array" ref="J1545">IFERROR(INDEX('Retirement Calculator'!K:K,MATCH('Lorri 401b'!N1545,'Retirement Calculator'!A:A,0),0),0)</f>
        <v>0</v>
      </c>
      <c r="K1545" s="444">
        <f t="shared" ca="1" si="113"/>
        <v>-1386415.8061588514</v>
      </c>
      <c r="L1545" s="444">
        <f t="shared" ca="1" si="114"/>
        <v>-334126209.28428316</v>
      </c>
      <c r="M1545" s="460">
        <f t="shared" si="116"/>
        <v>0.05</v>
      </c>
      <c r="N1545" s="464">
        <f t="shared" si="117"/>
        <v>98069</v>
      </c>
    </row>
    <row r="1546" spans="7:14" ht="11.25" customHeight="1" x14ac:dyDescent="0.3">
      <c r="G1546" s="459"/>
      <c r="H1546" s="459">
        <v>1539</v>
      </c>
      <c r="I1546" s="444">
        <f t="shared" ca="1" si="115"/>
        <v>-334126209.28428316</v>
      </c>
      <c r="J1546" s="444">
        <f t="array" ref="J1546">IFERROR(INDEX('Retirement Calculator'!K:K,MATCH('Lorri 401b'!N1546,'Retirement Calculator'!A:A,0),0),0)</f>
        <v>0</v>
      </c>
      <c r="K1546" s="444">
        <f t="shared" ca="1" si="113"/>
        <v>-1392192.5386845132</v>
      </c>
      <c r="L1546" s="444">
        <f t="shared" ca="1" si="114"/>
        <v>-335518401.82296765</v>
      </c>
      <c r="M1546" s="460">
        <f t="shared" si="116"/>
        <v>0.05</v>
      </c>
      <c r="N1546" s="464">
        <f t="shared" si="117"/>
        <v>98100</v>
      </c>
    </row>
    <row r="1547" spans="7:14" ht="11.25" customHeight="1" x14ac:dyDescent="0.3">
      <c r="G1547" s="459"/>
      <c r="H1547" s="459">
        <v>1540</v>
      </c>
      <c r="I1547" s="444">
        <f t="shared" ca="1" si="115"/>
        <v>-335518401.82296765</v>
      </c>
      <c r="J1547" s="444">
        <f t="array" ref="J1547">IFERROR(INDEX('Retirement Calculator'!K:K,MATCH('Lorri 401b'!N1547,'Retirement Calculator'!A:A,0),0),0)</f>
        <v>0</v>
      </c>
      <c r="K1547" s="444">
        <f t="shared" ca="1" si="113"/>
        <v>-1397993.3409290318</v>
      </c>
      <c r="L1547" s="444">
        <f t="shared" ca="1" si="114"/>
        <v>-336916395.16389668</v>
      </c>
      <c r="M1547" s="460">
        <f t="shared" si="116"/>
        <v>0.05</v>
      </c>
      <c r="N1547" s="464">
        <f t="shared" si="117"/>
        <v>98131</v>
      </c>
    </row>
    <row r="1548" spans="7:14" ht="11.25" customHeight="1" x14ac:dyDescent="0.3">
      <c r="G1548" s="459"/>
      <c r="H1548" s="459">
        <v>1541</v>
      </c>
      <c r="I1548" s="444">
        <f t="shared" ca="1" si="115"/>
        <v>-336916395.16389668</v>
      </c>
      <c r="J1548" s="444">
        <f t="array" ref="J1548">IFERROR(INDEX('Retirement Calculator'!K:K,MATCH('Lorri 401b'!N1548,'Retirement Calculator'!A:A,0),0),0)</f>
        <v>0</v>
      </c>
      <c r="K1548" s="444">
        <f t="shared" ca="1" si="113"/>
        <v>-1403818.3131829028</v>
      </c>
      <c r="L1548" s="444">
        <f t="shared" ca="1" si="114"/>
        <v>-338320213.47707957</v>
      </c>
      <c r="M1548" s="460">
        <f t="shared" si="116"/>
        <v>0.05</v>
      </c>
      <c r="N1548" s="464">
        <f t="shared" si="117"/>
        <v>98161</v>
      </c>
    </row>
    <row r="1549" spans="7:14" ht="11.25" customHeight="1" x14ac:dyDescent="0.3">
      <c r="G1549" s="459"/>
      <c r="H1549" s="459">
        <v>1542</v>
      </c>
      <c r="I1549" s="444">
        <f t="shared" ca="1" si="115"/>
        <v>-338320213.47707957</v>
      </c>
      <c r="J1549" s="444">
        <f t="array" ref="J1549">IFERROR(INDEX('Retirement Calculator'!K:K,MATCH('Lorri 401b'!N1549,'Retirement Calculator'!A:A,0),0),0)</f>
        <v>0</v>
      </c>
      <c r="K1549" s="444">
        <f t="shared" ca="1" si="113"/>
        <v>-1409667.5561544981</v>
      </c>
      <c r="L1549" s="444">
        <f t="shared" ca="1" si="114"/>
        <v>-339729881.03323406</v>
      </c>
      <c r="M1549" s="460">
        <f t="shared" si="116"/>
        <v>0.05</v>
      </c>
      <c r="N1549" s="464">
        <f t="shared" si="117"/>
        <v>98192</v>
      </c>
    </row>
    <row r="1550" spans="7:14" ht="11.25" customHeight="1" x14ac:dyDescent="0.3">
      <c r="G1550" s="459"/>
      <c r="H1550" s="459">
        <v>1543</v>
      </c>
      <c r="I1550" s="444">
        <f t="shared" ca="1" si="115"/>
        <v>-339729881.03323406</v>
      </c>
      <c r="J1550" s="444">
        <f t="array" ref="J1550">IFERROR(INDEX('Retirement Calculator'!K:K,MATCH('Lorri 401b'!N1550,'Retirement Calculator'!A:A,0),0),0)</f>
        <v>0</v>
      </c>
      <c r="K1550" s="444">
        <f t="shared" ca="1" si="113"/>
        <v>-1415541.1709718085</v>
      </c>
      <c r="L1550" s="444">
        <f t="shared" ca="1" si="114"/>
        <v>-341145422.20420587</v>
      </c>
      <c r="M1550" s="460">
        <f t="shared" si="116"/>
        <v>0.05</v>
      </c>
      <c r="N1550" s="464">
        <f t="shared" si="117"/>
        <v>98222</v>
      </c>
    </row>
    <row r="1551" spans="7:14" ht="11.25" customHeight="1" x14ac:dyDescent="0.3">
      <c r="G1551" s="459"/>
      <c r="H1551" s="459">
        <v>1544</v>
      </c>
      <c r="I1551" s="444">
        <f t="shared" ca="1" si="115"/>
        <v>-341145422.20420587</v>
      </c>
      <c r="J1551" s="444">
        <f t="array" ref="J1551">IFERROR(INDEX('Retirement Calculator'!K:K,MATCH('Lorri 401b'!N1551,'Retirement Calculator'!A:A,0),0),0)</f>
        <v>0</v>
      </c>
      <c r="K1551" s="444">
        <f t="shared" ca="1" si="113"/>
        <v>-1421439.259184191</v>
      </c>
      <c r="L1551" s="444">
        <f t="shared" ca="1" si="114"/>
        <v>-342566861.46339005</v>
      </c>
      <c r="M1551" s="460">
        <f t="shared" si="116"/>
        <v>0.05</v>
      </c>
      <c r="N1551" s="464">
        <f t="shared" si="117"/>
        <v>98253</v>
      </c>
    </row>
    <row r="1552" spans="7:14" ht="11.25" customHeight="1" x14ac:dyDescent="0.3">
      <c r="G1552" s="459"/>
      <c r="H1552" s="459">
        <v>1545</v>
      </c>
      <c r="I1552" s="444">
        <f t="shared" ca="1" si="115"/>
        <v>-342566861.46339005</v>
      </c>
      <c r="J1552" s="444">
        <f t="array" ref="J1552">IFERROR(INDEX('Retirement Calculator'!K:K,MATCH('Lorri 401b'!N1552,'Retirement Calculator'!A:A,0),0),0)</f>
        <v>0</v>
      </c>
      <c r="K1552" s="444">
        <f t="shared" ca="1" si="113"/>
        <v>-1427361.9227641253</v>
      </c>
      <c r="L1552" s="444">
        <f t="shared" ca="1" si="114"/>
        <v>-343994223.38615417</v>
      </c>
      <c r="M1552" s="460">
        <f t="shared" si="116"/>
        <v>0.05</v>
      </c>
      <c r="N1552" s="464">
        <f t="shared" si="117"/>
        <v>98284</v>
      </c>
    </row>
    <row r="1553" spans="7:14" ht="11.25" customHeight="1" x14ac:dyDescent="0.3">
      <c r="G1553" s="459"/>
      <c r="H1553" s="459">
        <v>1546</v>
      </c>
      <c r="I1553" s="444">
        <f t="shared" ca="1" si="115"/>
        <v>-343994223.38615417</v>
      </c>
      <c r="J1553" s="444">
        <f t="array" ref="J1553">IFERROR(INDEX('Retirement Calculator'!K:K,MATCH('Lorri 401b'!N1553,'Retirement Calculator'!A:A,0),0),0)</f>
        <v>0</v>
      </c>
      <c r="K1553" s="444">
        <f t="shared" ca="1" si="113"/>
        <v>-1433309.2641089757</v>
      </c>
      <c r="L1553" s="444">
        <f t="shared" ca="1" si="114"/>
        <v>-345427532.65026313</v>
      </c>
      <c r="M1553" s="460">
        <f t="shared" si="116"/>
        <v>0.05</v>
      </c>
      <c r="N1553" s="464">
        <f t="shared" si="117"/>
        <v>98312</v>
      </c>
    </row>
    <row r="1554" spans="7:14" ht="11.25" customHeight="1" x14ac:dyDescent="0.3">
      <c r="G1554" s="459"/>
      <c r="H1554" s="459">
        <v>1547</v>
      </c>
      <c r="I1554" s="444">
        <f t="shared" ca="1" si="115"/>
        <v>-345427532.65026313</v>
      </c>
      <c r="J1554" s="444">
        <f t="array" ref="J1554">IFERROR(INDEX('Retirement Calculator'!K:K,MATCH('Lorri 401b'!N1554,'Retirement Calculator'!A:A,0),0),0)</f>
        <v>0</v>
      </c>
      <c r="K1554" s="444">
        <f t="shared" ca="1" si="113"/>
        <v>-1439281.386042763</v>
      </c>
      <c r="L1554" s="444">
        <f t="shared" ca="1" si="114"/>
        <v>-346866814.0363059</v>
      </c>
      <c r="M1554" s="460">
        <f t="shared" si="116"/>
        <v>0.05</v>
      </c>
      <c r="N1554" s="464">
        <f t="shared" si="117"/>
        <v>98343</v>
      </c>
    </row>
    <row r="1555" spans="7:14" ht="11.25" customHeight="1" x14ac:dyDescent="0.3">
      <c r="G1555" s="459"/>
      <c r="H1555" s="459">
        <v>1548</v>
      </c>
      <c r="I1555" s="444">
        <f t="shared" ca="1" si="115"/>
        <v>-346866814.0363059</v>
      </c>
      <c r="J1555" s="444">
        <f t="array" ref="J1555">IFERROR(INDEX('Retirement Calculator'!K:K,MATCH('Lorri 401b'!N1555,'Retirement Calculator'!A:A,0),0),0)</f>
        <v>0</v>
      </c>
      <c r="K1555" s="444">
        <f t="shared" ca="1" si="113"/>
        <v>-1445278.3918179413</v>
      </c>
      <c r="L1555" s="444">
        <f t="shared" ca="1" si="114"/>
        <v>-348312092.42812383</v>
      </c>
      <c r="M1555" s="460">
        <f t="shared" si="116"/>
        <v>0.05</v>
      </c>
      <c r="N1555" s="464">
        <f t="shared" si="117"/>
        <v>98373</v>
      </c>
    </row>
    <row r="1556" spans="7:14" ht="11.25" customHeight="1" x14ac:dyDescent="0.3">
      <c r="G1556" s="459"/>
      <c r="H1556" s="459">
        <v>1549</v>
      </c>
      <c r="I1556" s="444">
        <f t="shared" ca="1" si="115"/>
        <v>-348312092.42812383</v>
      </c>
      <c r="J1556" s="444">
        <f t="array" ref="J1556">IFERROR(INDEX('Retirement Calculator'!K:K,MATCH('Lorri 401b'!N1556,'Retirement Calculator'!A:A,0),0),0)</f>
        <v>0</v>
      </c>
      <c r="K1556" s="444">
        <f t="shared" ca="1" si="113"/>
        <v>-1451300.3851171825</v>
      </c>
      <c r="L1556" s="444">
        <f t="shared" ca="1" si="114"/>
        <v>-349763392.813241</v>
      </c>
      <c r="M1556" s="460">
        <f t="shared" si="116"/>
        <v>0.05</v>
      </c>
      <c r="N1556" s="464">
        <f t="shared" si="117"/>
        <v>98404</v>
      </c>
    </row>
    <row r="1557" spans="7:14" ht="11.25" customHeight="1" x14ac:dyDescent="0.3">
      <c r="G1557" s="459"/>
      <c r="H1557" s="459">
        <v>1550</v>
      </c>
      <c r="I1557" s="444">
        <f t="shared" ca="1" si="115"/>
        <v>-349763392.813241</v>
      </c>
      <c r="J1557" s="444">
        <f t="array" ref="J1557">IFERROR(INDEX('Retirement Calculator'!K:K,MATCH('Lorri 401b'!N1557,'Retirement Calculator'!A:A,0),0),0)</f>
        <v>0</v>
      </c>
      <c r="K1557" s="444">
        <f t="shared" ca="1" si="113"/>
        <v>-1457347.4700551708</v>
      </c>
      <c r="L1557" s="444">
        <f t="shared" ca="1" si="114"/>
        <v>-351220740.28329617</v>
      </c>
      <c r="M1557" s="460">
        <f t="shared" si="116"/>
        <v>0.05</v>
      </c>
      <c r="N1557" s="464">
        <f t="shared" si="117"/>
        <v>98434</v>
      </c>
    </row>
    <row r="1558" spans="7:14" ht="11.25" customHeight="1" x14ac:dyDescent="0.3">
      <c r="G1558" s="459"/>
      <c r="H1558" s="459">
        <v>1551</v>
      </c>
      <c r="I1558" s="444">
        <f t="shared" ca="1" si="115"/>
        <v>-351220740.28329617</v>
      </c>
      <c r="J1558" s="444">
        <f t="array" ref="J1558">IFERROR(INDEX('Retirement Calculator'!K:K,MATCH('Lorri 401b'!N1558,'Retirement Calculator'!A:A,0),0),0)</f>
        <v>0</v>
      </c>
      <c r="K1558" s="444">
        <f t="shared" ca="1" si="113"/>
        <v>-1463419.7511804006</v>
      </c>
      <c r="L1558" s="444">
        <f t="shared" ca="1" si="114"/>
        <v>-352684160.03447658</v>
      </c>
      <c r="M1558" s="460">
        <f t="shared" si="116"/>
        <v>0.05</v>
      </c>
      <c r="N1558" s="464">
        <f t="shared" si="117"/>
        <v>98465</v>
      </c>
    </row>
    <row r="1559" spans="7:14" ht="11.25" customHeight="1" x14ac:dyDescent="0.3">
      <c r="G1559" s="459"/>
      <c r="H1559" s="459">
        <v>1552</v>
      </c>
      <c r="I1559" s="444">
        <f t="shared" ca="1" si="115"/>
        <v>-352684160.03447658</v>
      </c>
      <c r="J1559" s="444">
        <f t="array" ref="J1559">IFERROR(INDEX('Retirement Calculator'!K:K,MATCH('Lorri 401b'!N1559,'Retirement Calculator'!A:A,0),0),0)</f>
        <v>0</v>
      </c>
      <c r="K1559" s="444">
        <f t="shared" ca="1" si="113"/>
        <v>-1469517.3334769858</v>
      </c>
      <c r="L1559" s="444">
        <f t="shared" ca="1" si="114"/>
        <v>-354153677.36795354</v>
      </c>
      <c r="M1559" s="460">
        <f t="shared" si="116"/>
        <v>0.05</v>
      </c>
      <c r="N1559" s="464">
        <f t="shared" si="117"/>
        <v>98496</v>
      </c>
    </row>
    <row r="1560" spans="7:14" ht="11.25" customHeight="1" x14ac:dyDescent="0.3">
      <c r="G1560" s="459"/>
      <c r="H1560" s="459">
        <v>1553</v>
      </c>
      <c r="I1560" s="444">
        <f t="shared" ca="1" si="115"/>
        <v>-354153677.36795354</v>
      </c>
      <c r="J1560" s="444">
        <f t="array" ref="J1560">IFERROR(INDEX('Retirement Calculator'!K:K,MATCH('Lorri 401b'!N1560,'Retirement Calculator'!A:A,0),0),0)</f>
        <v>0</v>
      </c>
      <c r="K1560" s="444">
        <f t="shared" ca="1" si="113"/>
        <v>-1475640.322366473</v>
      </c>
      <c r="L1560" s="444">
        <f t="shared" ca="1" si="114"/>
        <v>-355629317.69032001</v>
      </c>
      <c r="M1560" s="460">
        <f t="shared" si="116"/>
        <v>0.05</v>
      </c>
      <c r="N1560" s="464">
        <f t="shared" si="117"/>
        <v>98526</v>
      </c>
    </row>
    <row r="1561" spans="7:14" ht="11.25" customHeight="1" x14ac:dyDescent="0.3">
      <c r="G1561" s="459"/>
      <c r="H1561" s="459">
        <v>1554</v>
      </c>
      <c r="I1561" s="444">
        <f t="shared" ca="1" si="115"/>
        <v>-355629317.69032001</v>
      </c>
      <c r="J1561" s="444">
        <f t="array" ref="J1561">IFERROR(INDEX('Retirement Calculator'!K:K,MATCH('Lorri 401b'!N1561,'Retirement Calculator'!A:A,0),0),0)</f>
        <v>0</v>
      </c>
      <c r="K1561" s="444">
        <f t="shared" ca="1" si="113"/>
        <v>-1481788.8237096667</v>
      </c>
      <c r="L1561" s="444">
        <f t="shared" ca="1" si="114"/>
        <v>-357111106.51402968</v>
      </c>
      <c r="M1561" s="460">
        <f t="shared" si="116"/>
        <v>0.05</v>
      </c>
      <c r="N1561" s="464">
        <f t="shared" si="117"/>
        <v>98557</v>
      </c>
    </row>
    <row r="1562" spans="7:14" ht="11.25" customHeight="1" x14ac:dyDescent="0.3">
      <c r="G1562" s="459"/>
      <c r="H1562" s="459">
        <v>1555</v>
      </c>
      <c r="I1562" s="444">
        <f t="shared" ca="1" si="115"/>
        <v>-357111106.51402968</v>
      </c>
      <c r="J1562" s="444">
        <f t="array" ref="J1562">IFERROR(INDEX('Retirement Calculator'!K:K,MATCH('Lorri 401b'!N1562,'Retirement Calculator'!A:A,0),0),0)</f>
        <v>0</v>
      </c>
      <c r="K1562" s="444">
        <f t="shared" ca="1" si="113"/>
        <v>-1487962.9438084569</v>
      </c>
      <c r="L1562" s="444">
        <f t="shared" ca="1" si="114"/>
        <v>-358599069.45783812</v>
      </c>
      <c r="M1562" s="460">
        <f t="shared" si="116"/>
        <v>0.05</v>
      </c>
      <c r="N1562" s="464">
        <f t="shared" si="117"/>
        <v>98587</v>
      </c>
    </row>
    <row r="1563" spans="7:14" ht="11.25" customHeight="1" x14ac:dyDescent="0.3">
      <c r="G1563" s="459"/>
      <c r="H1563" s="459">
        <v>1556</v>
      </c>
      <c r="I1563" s="444">
        <f t="shared" ca="1" si="115"/>
        <v>-358599069.45783812</v>
      </c>
      <c r="J1563" s="444">
        <f t="array" ref="J1563">IFERROR(INDEX('Retirement Calculator'!K:K,MATCH('Lorri 401b'!N1563,'Retirement Calculator'!A:A,0),0),0)</f>
        <v>0</v>
      </c>
      <c r="K1563" s="444">
        <f t="shared" ca="1" si="113"/>
        <v>-1494162.7894076589</v>
      </c>
      <c r="L1563" s="444">
        <f t="shared" ca="1" si="114"/>
        <v>-360093232.24724579</v>
      </c>
      <c r="M1563" s="460">
        <f t="shared" si="116"/>
        <v>0.05</v>
      </c>
      <c r="N1563" s="464">
        <f t="shared" si="117"/>
        <v>98618</v>
      </c>
    </row>
    <row r="1564" spans="7:14" ht="11.25" customHeight="1" x14ac:dyDescent="0.3">
      <c r="G1564" s="459"/>
      <c r="H1564" s="459">
        <v>1557</v>
      </c>
      <c r="I1564" s="444">
        <f t="shared" ca="1" si="115"/>
        <v>-360093232.24724579</v>
      </c>
      <c r="J1564" s="444">
        <f t="array" ref="J1564">IFERROR(INDEX('Retirement Calculator'!K:K,MATCH('Lorri 401b'!N1564,'Retirement Calculator'!A:A,0),0),0)</f>
        <v>0</v>
      </c>
      <c r="K1564" s="444">
        <f t="shared" ca="1" si="113"/>
        <v>-1500388.4676968574</v>
      </c>
      <c r="L1564" s="444">
        <f t="shared" ca="1" si="114"/>
        <v>-361593620.71494263</v>
      </c>
      <c r="M1564" s="460">
        <f t="shared" si="116"/>
        <v>0.05</v>
      </c>
      <c r="N1564" s="464">
        <f t="shared" si="117"/>
        <v>98649</v>
      </c>
    </row>
    <row r="1565" spans="7:14" ht="11.25" customHeight="1" x14ac:dyDescent="0.3">
      <c r="G1565" s="459"/>
      <c r="H1565" s="459">
        <v>1558</v>
      </c>
      <c r="I1565" s="444">
        <f t="shared" ca="1" si="115"/>
        <v>-361593620.71494263</v>
      </c>
      <c r="J1565" s="444">
        <f t="array" ref="J1565">IFERROR(INDEX('Retirement Calculator'!K:K,MATCH('Lorri 401b'!N1565,'Retirement Calculator'!A:A,0),0),0)</f>
        <v>0</v>
      </c>
      <c r="K1565" s="444">
        <f t="shared" ca="1" si="113"/>
        <v>-1506640.0863122609</v>
      </c>
      <c r="L1565" s="444">
        <f t="shared" ca="1" si="114"/>
        <v>-363100260.80125487</v>
      </c>
      <c r="M1565" s="460">
        <f t="shared" si="116"/>
        <v>0.05</v>
      </c>
      <c r="N1565" s="464">
        <f t="shared" si="117"/>
        <v>98677</v>
      </c>
    </row>
    <row r="1566" spans="7:14" ht="11.25" customHeight="1" x14ac:dyDescent="0.3">
      <c r="G1566" s="459"/>
      <c r="H1566" s="459">
        <v>1559</v>
      </c>
      <c r="I1566" s="444">
        <f t="shared" ca="1" si="115"/>
        <v>-363100260.80125487</v>
      </c>
      <c r="J1566" s="444">
        <f t="array" ref="J1566">IFERROR(INDEX('Retirement Calculator'!K:K,MATCH('Lorri 401b'!N1566,'Retirement Calculator'!A:A,0),0),0)</f>
        <v>0</v>
      </c>
      <c r="K1566" s="444">
        <f t="shared" ca="1" si="113"/>
        <v>-1512917.7533385619</v>
      </c>
      <c r="L1566" s="444">
        <f t="shared" ca="1" si="114"/>
        <v>-364613178.55459344</v>
      </c>
      <c r="M1566" s="460">
        <f t="shared" si="116"/>
        <v>0.05</v>
      </c>
      <c r="N1566" s="464">
        <f t="shared" si="117"/>
        <v>98708</v>
      </c>
    </row>
    <row r="1567" spans="7:14" ht="11.25" customHeight="1" x14ac:dyDescent="0.3">
      <c r="G1567" s="459"/>
      <c r="H1567" s="459">
        <v>1560</v>
      </c>
      <c r="I1567" s="444">
        <f t="shared" ca="1" si="115"/>
        <v>-364613178.55459344</v>
      </c>
      <c r="J1567" s="444">
        <f t="array" ref="J1567">IFERROR(INDEX('Retirement Calculator'!K:K,MATCH('Lorri 401b'!N1567,'Retirement Calculator'!A:A,0),0),0)</f>
        <v>0</v>
      </c>
      <c r="K1567" s="444">
        <f t="shared" ca="1" si="113"/>
        <v>-1519221.5773108059</v>
      </c>
      <c r="L1567" s="444">
        <f t="shared" ca="1" si="114"/>
        <v>-366132400.13190424</v>
      </c>
      <c r="M1567" s="460">
        <f t="shared" si="116"/>
        <v>0.05</v>
      </c>
      <c r="N1567" s="464">
        <f t="shared" si="117"/>
        <v>98738</v>
      </c>
    </row>
    <row r="1568" spans="7:14" ht="11.25" customHeight="1" x14ac:dyDescent="0.3">
      <c r="G1568" s="459"/>
      <c r="H1568" s="459">
        <v>1561</v>
      </c>
      <c r="I1568" s="444">
        <f t="shared" ca="1" si="115"/>
        <v>-366132400.13190424</v>
      </c>
      <c r="J1568" s="444">
        <f t="array" ref="J1568">IFERROR(INDEX('Retirement Calculator'!K:K,MATCH('Lorri 401b'!N1568,'Retirement Calculator'!A:A,0),0),0)</f>
        <v>0</v>
      </c>
      <c r="K1568" s="444">
        <f t="shared" ca="1" si="113"/>
        <v>-1525551.6672162677</v>
      </c>
      <c r="L1568" s="444">
        <f t="shared" ca="1" si="114"/>
        <v>-367657951.79912049</v>
      </c>
      <c r="M1568" s="460">
        <f t="shared" si="116"/>
        <v>0.05</v>
      </c>
      <c r="N1568" s="464">
        <f t="shared" si="117"/>
        <v>98769</v>
      </c>
    </row>
    <row r="1569" spans="7:14" ht="11.25" customHeight="1" x14ac:dyDescent="0.3">
      <c r="G1569" s="459"/>
      <c r="H1569" s="459">
        <v>1562</v>
      </c>
      <c r="I1569" s="444">
        <f t="shared" ca="1" si="115"/>
        <v>-367657951.79912049</v>
      </c>
      <c r="J1569" s="444">
        <f t="array" ref="J1569">IFERROR(INDEX('Retirement Calculator'!K:K,MATCH('Lorri 401b'!N1569,'Retirement Calculator'!A:A,0),0),0)</f>
        <v>0</v>
      </c>
      <c r="K1569" s="444">
        <f t="shared" ca="1" si="113"/>
        <v>-1531908.1324963353</v>
      </c>
      <c r="L1569" s="444">
        <f t="shared" ca="1" si="114"/>
        <v>-369189859.93161684</v>
      </c>
      <c r="M1569" s="460">
        <f t="shared" si="116"/>
        <v>0.05</v>
      </c>
      <c r="N1569" s="464">
        <f t="shared" si="117"/>
        <v>98799</v>
      </c>
    </row>
    <row r="1570" spans="7:14" ht="11.25" customHeight="1" x14ac:dyDescent="0.3">
      <c r="G1570" s="459"/>
      <c r="H1570" s="459">
        <v>1563</v>
      </c>
      <c r="I1570" s="444">
        <f t="shared" ca="1" si="115"/>
        <v>-369189859.93161684</v>
      </c>
      <c r="J1570" s="444">
        <f t="array" ref="J1570">IFERROR(INDEX('Retirement Calculator'!K:K,MATCH('Lorri 401b'!N1570,'Retirement Calculator'!A:A,0),0),0)</f>
        <v>0</v>
      </c>
      <c r="K1570" s="444">
        <f t="shared" ca="1" si="113"/>
        <v>-1538291.0830484035</v>
      </c>
      <c r="L1570" s="444">
        <f t="shared" ca="1" si="114"/>
        <v>-370728151.01466525</v>
      </c>
      <c r="M1570" s="460">
        <f t="shared" si="116"/>
        <v>0.05</v>
      </c>
      <c r="N1570" s="464">
        <f t="shared" si="117"/>
        <v>98830</v>
      </c>
    </row>
    <row r="1571" spans="7:14" ht="11.25" customHeight="1" x14ac:dyDescent="0.3">
      <c r="G1571" s="459"/>
      <c r="H1571" s="459">
        <v>1564</v>
      </c>
      <c r="I1571" s="444">
        <f t="shared" ca="1" si="115"/>
        <v>-370728151.01466525</v>
      </c>
      <c r="J1571" s="444">
        <f t="array" ref="J1571">IFERROR(INDEX('Retirement Calculator'!K:K,MATCH('Lorri 401b'!N1571,'Retirement Calculator'!A:A,0),0),0)</f>
        <v>0</v>
      </c>
      <c r="K1571" s="444">
        <f t="shared" ca="1" si="113"/>
        <v>-1544700.6292277719</v>
      </c>
      <c r="L1571" s="444">
        <f t="shared" ca="1" si="114"/>
        <v>-372272851.643893</v>
      </c>
      <c r="M1571" s="460">
        <f t="shared" si="116"/>
        <v>0.05</v>
      </c>
      <c r="N1571" s="464">
        <f t="shared" si="117"/>
        <v>98861</v>
      </c>
    </row>
    <row r="1572" spans="7:14" ht="11.25" customHeight="1" x14ac:dyDescent="0.3">
      <c r="G1572" s="459"/>
      <c r="H1572" s="459">
        <v>1565</v>
      </c>
      <c r="I1572" s="444">
        <f t="shared" ca="1" si="115"/>
        <v>-372272851.643893</v>
      </c>
      <c r="J1572" s="444">
        <f t="array" ref="J1572">IFERROR(INDEX('Retirement Calculator'!K:K,MATCH('Lorri 401b'!N1572,'Retirement Calculator'!A:A,0),0),0)</f>
        <v>0</v>
      </c>
      <c r="K1572" s="444">
        <f t="shared" ca="1" si="113"/>
        <v>-1551136.8818495541</v>
      </c>
      <c r="L1572" s="444">
        <f t="shared" ca="1" si="114"/>
        <v>-373823988.52574253</v>
      </c>
      <c r="M1572" s="460">
        <f t="shared" si="116"/>
        <v>0.05</v>
      </c>
      <c r="N1572" s="464">
        <f t="shared" si="117"/>
        <v>98891</v>
      </c>
    </row>
    <row r="1573" spans="7:14" ht="11.25" customHeight="1" x14ac:dyDescent="0.3">
      <c r="G1573" s="459"/>
      <c r="H1573" s="459">
        <v>1566</v>
      </c>
      <c r="I1573" s="444">
        <f t="shared" ca="1" si="115"/>
        <v>-373823988.52574253</v>
      </c>
      <c r="J1573" s="444">
        <f t="array" ref="J1573">IFERROR(INDEX('Retirement Calculator'!K:K,MATCH('Lorri 401b'!N1573,'Retirement Calculator'!A:A,0),0),0)</f>
        <v>0</v>
      </c>
      <c r="K1573" s="444">
        <f t="shared" ca="1" si="113"/>
        <v>-1557599.9521905938</v>
      </c>
      <c r="L1573" s="444">
        <f t="shared" ca="1" si="114"/>
        <v>-375381588.47793311</v>
      </c>
      <c r="M1573" s="460">
        <f t="shared" si="116"/>
        <v>0.05</v>
      </c>
      <c r="N1573" s="464">
        <f t="shared" si="117"/>
        <v>98922</v>
      </c>
    </row>
    <row r="1574" spans="7:14" ht="11.25" customHeight="1" x14ac:dyDescent="0.3">
      <c r="G1574" s="459"/>
      <c r="H1574" s="459">
        <v>1567</v>
      </c>
      <c r="I1574" s="444">
        <f t="shared" ca="1" si="115"/>
        <v>-375381588.47793311</v>
      </c>
      <c r="J1574" s="444">
        <f t="array" ref="J1574">IFERROR(INDEX('Retirement Calculator'!K:K,MATCH('Lorri 401b'!N1574,'Retirement Calculator'!A:A,0),0),0)</f>
        <v>0</v>
      </c>
      <c r="K1574" s="444">
        <f t="shared" ca="1" si="113"/>
        <v>-1564089.9519913879</v>
      </c>
      <c r="L1574" s="444">
        <f t="shared" ca="1" si="114"/>
        <v>-376945678.42992449</v>
      </c>
      <c r="M1574" s="460">
        <f t="shared" si="116"/>
        <v>0.05</v>
      </c>
      <c r="N1574" s="464">
        <f t="shared" si="117"/>
        <v>98952</v>
      </c>
    </row>
    <row r="1575" spans="7:14" ht="11.25" customHeight="1" x14ac:dyDescent="0.3">
      <c r="G1575" s="459"/>
      <c r="H1575" s="459">
        <v>1568</v>
      </c>
      <c r="I1575" s="444">
        <f t="shared" ca="1" si="115"/>
        <v>-376945678.42992449</v>
      </c>
      <c r="J1575" s="444">
        <f t="array" ref="J1575">IFERROR(INDEX('Retirement Calculator'!K:K,MATCH('Lorri 401b'!N1575,'Retirement Calculator'!A:A,0),0),0)</f>
        <v>0</v>
      </c>
      <c r="K1575" s="444">
        <f t="shared" ca="1" si="113"/>
        <v>-1570606.9934580186</v>
      </c>
      <c r="L1575" s="444">
        <f t="shared" ca="1" si="114"/>
        <v>-378516285.42338252</v>
      </c>
      <c r="M1575" s="460">
        <f t="shared" si="116"/>
        <v>0.05</v>
      </c>
      <c r="N1575" s="464">
        <f t="shared" si="117"/>
        <v>98983</v>
      </c>
    </row>
    <row r="1576" spans="7:14" ht="11.25" customHeight="1" x14ac:dyDescent="0.3">
      <c r="G1576" s="459"/>
      <c r="H1576" s="459">
        <v>1569</v>
      </c>
      <c r="I1576" s="444">
        <f t="shared" ca="1" si="115"/>
        <v>-378516285.42338252</v>
      </c>
      <c r="J1576" s="444">
        <f t="array" ref="J1576">IFERROR(INDEX('Retirement Calculator'!K:K,MATCH('Lorri 401b'!N1576,'Retirement Calculator'!A:A,0),0),0)</f>
        <v>0</v>
      </c>
      <c r="K1576" s="444">
        <f t="shared" ca="1" si="113"/>
        <v>-1577151.1892640938</v>
      </c>
      <c r="L1576" s="444">
        <f t="shared" ca="1" si="114"/>
        <v>-380093436.61264664</v>
      </c>
      <c r="M1576" s="460">
        <f t="shared" si="116"/>
        <v>0.05</v>
      </c>
      <c r="N1576" s="464">
        <f t="shared" si="117"/>
        <v>99014</v>
      </c>
    </row>
    <row r="1577" spans="7:14" ht="11.25" customHeight="1" x14ac:dyDescent="0.3">
      <c r="G1577" s="459"/>
      <c r="H1577" s="459">
        <v>1570</v>
      </c>
      <c r="I1577" s="444">
        <f t="shared" ca="1" si="115"/>
        <v>-380093436.61264664</v>
      </c>
      <c r="J1577" s="444">
        <f t="array" ref="J1577">IFERROR(INDEX('Retirement Calculator'!K:K,MATCH('Lorri 401b'!N1577,'Retirement Calculator'!A:A,0),0),0)</f>
        <v>0</v>
      </c>
      <c r="K1577" s="444">
        <f t="shared" ca="1" si="113"/>
        <v>-1583722.6525526943</v>
      </c>
      <c r="L1577" s="444">
        <f t="shared" ca="1" si="114"/>
        <v>-381677159.26519936</v>
      </c>
      <c r="M1577" s="460">
        <f t="shared" si="116"/>
        <v>0.05</v>
      </c>
      <c r="N1577" s="464">
        <f t="shared" si="117"/>
        <v>99042</v>
      </c>
    </row>
    <row r="1578" spans="7:14" ht="11.25" customHeight="1" x14ac:dyDescent="0.3">
      <c r="G1578" s="459"/>
      <c r="H1578" s="459">
        <v>1571</v>
      </c>
      <c r="I1578" s="444">
        <f t="shared" ca="1" si="115"/>
        <v>-381677159.26519936</v>
      </c>
      <c r="J1578" s="444">
        <f t="array" ref="J1578">IFERROR(INDEX('Retirement Calculator'!K:K,MATCH('Lorri 401b'!N1578,'Retirement Calculator'!A:A,0),0),0)</f>
        <v>0</v>
      </c>
      <c r="K1578" s="444">
        <f t="shared" ca="1" si="113"/>
        <v>-1590321.4969383306</v>
      </c>
      <c r="L1578" s="444">
        <f t="shared" ca="1" si="114"/>
        <v>-383267480.76213771</v>
      </c>
      <c r="M1578" s="460">
        <f t="shared" si="116"/>
        <v>0.05</v>
      </c>
      <c r="N1578" s="464">
        <f t="shared" si="117"/>
        <v>99073</v>
      </c>
    </row>
    <row r="1579" spans="7:14" ht="11.25" customHeight="1" x14ac:dyDescent="0.3">
      <c r="G1579" s="459"/>
      <c r="H1579" s="459">
        <v>1572</v>
      </c>
      <c r="I1579" s="444">
        <f t="shared" ca="1" si="115"/>
        <v>-383267480.76213771</v>
      </c>
      <c r="J1579" s="444">
        <f t="array" ref="J1579">IFERROR(INDEX('Retirement Calculator'!K:K,MATCH('Lorri 401b'!N1579,'Retirement Calculator'!A:A,0),0),0)</f>
        <v>0</v>
      </c>
      <c r="K1579" s="444">
        <f t="shared" ca="1" si="113"/>
        <v>-1596947.8365089071</v>
      </c>
      <c r="L1579" s="444">
        <f t="shared" ca="1" si="114"/>
        <v>-384864428.59864664</v>
      </c>
      <c r="M1579" s="460">
        <f t="shared" si="116"/>
        <v>0.05</v>
      </c>
      <c r="N1579" s="464">
        <f t="shared" si="117"/>
        <v>99103</v>
      </c>
    </row>
    <row r="1580" spans="7:14" ht="11.25" customHeight="1" x14ac:dyDescent="0.3">
      <c r="G1580" s="459"/>
      <c r="H1580" s="459">
        <v>1573</v>
      </c>
      <c r="I1580" s="444">
        <f t="shared" ca="1" si="115"/>
        <v>-384864428.59864664</v>
      </c>
      <c r="J1580" s="444">
        <f t="array" ref="J1580">IFERROR(INDEX('Retirement Calculator'!K:K,MATCH('Lorri 401b'!N1580,'Retirement Calculator'!A:A,0),0),0)</f>
        <v>0</v>
      </c>
      <c r="K1580" s="444">
        <f t="shared" ca="1" si="113"/>
        <v>-1603601.7858276942</v>
      </c>
      <c r="L1580" s="444">
        <f t="shared" ca="1" si="114"/>
        <v>-386468030.38447434</v>
      </c>
      <c r="M1580" s="460">
        <f t="shared" si="116"/>
        <v>0.05</v>
      </c>
      <c r="N1580" s="464">
        <f t="shared" si="117"/>
        <v>99134</v>
      </c>
    </row>
    <row r="1581" spans="7:14" ht="11.25" customHeight="1" x14ac:dyDescent="0.3">
      <c r="G1581" s="459"/>
      <c r="H1581" s="459">
        <v>1574</v>
      </c>
      <c r="I1581" s="444">
        <f t="shared" ca="1" si="115"/>
        <v>-386468030.38447434</v>
      </c>
      <c r="J1581" s="444">
        <f t="array" ref="J1581">IFERROR(INDEX('Retirement Calculator'!K:K,MATCH('Lorri 401b'!N1581,'Retirement Calculator'!A:A,0),0),0)</f>
        <v>0</v>
      </c>
      <c r="K1581" s="444">
        <f t="shared" ca="1" si="113"/>
        <v>-1610283.4599353098</v>
      </c>
      <c r="L1581" s="444">
        <f t="shared" ca="1" si="114"/>
        <v>-388078313.84440964</v>
      </c>
      <c r="M1581" s="460">
        <f t="shared" si="116"/>
        <v>0.05</v>
      </c>
      <c r="N1581" s="464">
        <f t="shared" si="117"/>
        <v>99164</v>
      </c>
    </row>
    <row r="1582" spans="7:14" ht="11.25" customHeight="1" x14ac:dyDescent="0.3">
      <c r="G1582" s="459"/>
      <c r="H1582" s="459">
        <v>1575</v>
      </c>
      <c r="I1582" s="444">
        <f t="shared" ca="1" si="115"/>
        <v>-388078313.84440964</v>
      </c>
      <c r="J1582" s="444">
        <f t="array" ref="J1582">IFERROR(INDEX('Retirement Calculator'!K:K,MATCH('Lorri 401b'!N1582,'Retirement Calculator'!A:A,0),0),0)</f>
        <v>0</v>
      </c>
      <c r="K1582" s="444">
        <f t="shared" ca="1" si="113"/>
        <v>-1616992.9743517069</v>
      </c>
      <c r="L1582" s="444">
        <f t="shared" ca="1" si="114"/>
        <v>-389695306.81876135</v>
      </c>
      <c r="M1582" s="460">
        <f t="shared" si="116"/>
        <v>0.05</v>
      </c>
      <c r="N1582" s="464">
        <f t="shared" si="117"/>
        <v>99195</v>
      </c>
    </row>
    <row r="1583" spans="7:14" ht="11.25" customHeight="1" x14ac:dyDescent="0.3">
      <c r="G1583" s="459"/>
      <c r="H1583" s="459">
        <v>1576</v>
      </c>
      <c r="I1583" s="444">
        <f t="shared" ca="1" si="115"/>
        <v>-389695306.81876135</v>
      </c>
      <c r="J1583" s="444">
        <f t="array" ref="J1583">IFERROR(INDEX('Retirement Calculator'!K:K,MATCH('Lorri 401b'!N1583,'Retirement Calculator'!A:A,0),0),0)</f>
        <v>0</v>
      </c>
      <c r="K1583" s="444">
        <f t="shared" ca="1" si="113"/>
        <v>-1623730.4450781723</v>
      </c>
      <c r="L1583" s="444">
        <f t="shared" ca="1" si="114"/>
        <v>-391319037.26383954</v>
      </c>
      <c r="M1583" s="460">
        <f t="shared" si="116"/>
        <v>0.05</v>
      </c>
      <c r="N1583" s="464">
        <f t="shared" si="117"/>
        <v>99226</v>
      </c>
    </row>
    <row r="1584" spans="7:14" ht="11.25" customHeight="1" x14ac:dyDescent="0.3">
      <c r="G1584" s="459"/>
      <c r="H1584" s="459">
        <v>1577</v>
      </c>
      <c r="I1584" s="444">
        <f t="shared" ca="1" si="115"/>
        <v>-391319037.26383954</v>
      </c>
      <c r="J1584" s="444">
        <f t="array" ref="J1584">IFERROR(INDEX('Retirement Calculator'!K:K,MATCH('Lorri 401b'!N1584,'Retirement Calculator'!A:A,0),0),0)</f>
        <v>0</v>
      </c>
      <c r="K1584" s="444">
        <f t="shared" ca="1" si="113"/>
        <v>-1630495.9885993314</v>
      </c>
      <c r="L1584" s="444">
        <f t="shared" ca="1" si="114"/>
        <v>-392949533.2524389</v>
      </c>
      <c r="M1584" s="460">
        <f t="shared" si="116"/>
        <v>0.05</v>
      </c>
      <c r="N1584" s="464">
        <f t="shared" si="117"/>
        <v>99256</v>
      </c>
    </row>
    <row r="1585" spans="7:14" ht="11.25" customHeight="1" x14ac:dyDescent="0.3">
      <c r="G1585" s="459"/>
      <c r="H1585" s="459">
        <v>1578</v>
      </c>
      <c r="I1585" s="444">
        <f t="shared" ca="1" si="115"/>
        <v>-392949533.2524389</v>
      </c>
      <c r="J1585" s="444">
        <f t="array" ref="J1585">IFERROR(INDEX('Retirement Calculator'!K:K,MATCH('Lorri 401b'!N1585,'Retirement Calculator'!A:A,0),0),0)</f>
        <v>0</v>
      </c>
      <c r="K1585" s="444">
        <f t="shared" ca="1" si="113"/>
        <v>-1637289.7218851622</v>
      </c>
      <c r="L1585" s="444">
        <f t="shared" ca="1" si="114"/>
        <v>-394586822.97432405</v>
      </c>
      <c r="M1585" s="460">
        <f t="shared" si="116"/>
        <v>0.05</v>
      </c>
      <c r="N1585" s="464">
        <f t="shared" si="117"/>
        <v>99287</v>
      </c>
    </row>
    <row r="1586" spans="7:14" ht="11.25" customHeight="1" x14ac:dyDescent="0.3">
      <c r="G1586" s="459"/>
      <c r="H1586" s="459">
        <v>1579</v>
      </c>
      <c r="I1586" s="444">
        <f t="shared" ca="1" si="115"/>
        <v>-394586822.97432405</v>
      </c>
      <c r="J1586" s="444">
        <f t="array" ref="J1586">IFERROR(INDEX('Retirement Calculator'!K:K,MATCH('Lorri 401b'!N1586,'Retirement Calculator'!A:A,0),0),0)</f>
        <v>0</v>
      </c>
      <c r="K1586" s="444">
        <f t="shared" ca="1" si="113"/>
        <v>-1644111.7623930168</v>
      </c>
      <c r="L1586" s="444">
        <f t="shared" ca="1" si="114"/>
        <v>-396230934.73671705</v>
      </c>
      <c r="M1586" s="460">
        <f t="shared" si="116"/>
        <v>0.05</v>
      </c>
      <c r="N1586" s="464">
        <f t="shared" si="117"/>
        <v>99317</v>
      </c>
    </row>
    <row r="1587" spans="7:14" ht="11.25" customHeight="1" x14ac:dyDescent="0.3">
      <c r="G1587" s="459"/>
      <c r="H1587" s="459">
        <v>1580</v>
      </c>
      <c r="I1587" s="444">
        <f t="shared" ca="1" si="115"/>
        <v>-396230934.73671705</v>
      </c>
      <c r="J1587" s="444">
        <f t="array" ref="J1587">IFERROR(INDEX('Retirement Calculator'!K:K,MATCH('Lorri 401b'!N1587,'Retirement Calculator'!A:A,0),0),0)</f>
        <v>0</v>
      </c>
      <c r="K1587" s="444">
        <f t="shared" ca="1" si="113"/>
        <v>-1650962.2280696544</v>
      </c>
      <c r="L1587" s="444">
        <f t="shared" ca="1" si="114"/>
        <v>-397881896.96478671</v>
      </c>
      <c r="M1587" s="460">
        <f t="shared" si="116"/>
        <v>0.05</v>
      </c>
      <c r="N1587" s="464">
        <f t="shared" si="117"/>
        <v>99348</v>
      </c>
    </row>
    <row r="1588" spans="7:14" ht="11.25" customHeight="1" x14ac:dyDescent="0.3">
      <c r="G1588" s="459"/>
      <c r="H1588" s="459">
        <v>1581</v>
      </c>
      <c r="I1588" s="444">
        <f t="shared" ca="1" si="115"/>
        <v>-397881896.96478671</v>
      </c>
      <c r="J1588" s="444">
        <f t="array" ref="J1588">IFERROR(INDEX('Retirement Calculator'!K:K,MATCH('Lorri 401b'!N1588,'Retirement Calculator'!A:A,0),0),0)</f>
        <v>0</v>
      </c>
      <c r="K1588" s="444">
        <f t="shared" ca="1" si="113"/>
        <v>-1657841.2373532779</v>
      </c>
      <c r="L1588" s="444">
        <f t="shared" ca="1" si="114"/>
        <v>-399539738.20213997</v>
      </c>
      <c r="M1588" s="460">
        <f t="shared" si="116"/>
        <v>0.05</v>
      </c>
      <c r="N1588" s="464">
        <f t="shared" si="117"/>
        <v>99379</v>
      </c>
    </row>
    <row r="1589" spans="7:14" ht="11.25" customHeight="1" x14ac:dyDescent="0.3">
      <c r="G1589" s="459"/>
      <c r="H1589" s="459">
        <v>1582</v>
      </c>
      <c r="I1589" s="444">
        <f t="shared" ca="1" si="115"/>
        <v>-399539738.20213997</v>
      </c>
      <c r="J1589" s="444">
        <f t="array" ref="J1589">IFERROR(INDEX('Retirement Calculator'!K:K,MATCH('Lorri 401b'!N1589,'Retirement Calculator'!A:A,0),0),0)</f>
        <v>0</v>
      </c>
      <c r="K1589" s="444">
        <f t="shared" ca="1" si="113"/>
        <v>-1664748.9091755832</v>
      </c>
      <c r="L1589" s="444">
        <f t="shared" ca="1" si="114"/>
        <v>-401204487.11131555</v>
      </c>
      <c r="M1589" s="460">
        <f t="shared" si="116"/>
        <v>0.05</v>
      </c>
      <c r="N1589" s="464">
        <f t="shared" si="117"/>
        <v>99408</v>
      </c>
    </row>
    <row r="1590" spans="7:14" ht="11.25" customHeight="1" x14ac:dyDescent="0.3">
      <c r="G1590" s="459"/>
      <c r="H1590" s="459">
        <v>1583</v>
      </c>
      <c r="I1590" s="444">
        <f t="shared" ca="1" si="115"/>
        <v>-401204487.11131555</v>
      </c>
      <c r="J1590" s="444">
        <f t="array" ref="J1590">IFERROR(INDEX('Retirement Calculator'!K:K,MATCH('Lorri 401b'!N1590,'Retirement Calculator'!A:A,0),0),0)</f>
        <v>0</v>
      </c>
      <c r="K1590" s="444">
        <f t="shared" ca="1" si="113"/>
        <v>-1671685.3629638148</v>
      </c>
      <c r="L1590" s="444">
        <f t="shared" ca="1" si="114"/>
        <v>-402876172.47427934</v>
      </c>
      <c r="M1590" s="460">
        <f t="shared" si="116"/>
        <v>0.05</v>
      </c>
      <c r="N1590" s="464">
        <f t="shared" si="117"/>
        <v>99439</v>
      </c>
    </row>
    <row r="1591" spans="7:14" ht="11.25" customHeight="1" x14ac:dyDescent="0.3">
      <c r="G1591" s="459"/>
      <c r="H1591" s="459">
        <v>1584</v>
      </c>
      <c r="I1591" s="444">
        <f t="shared" ca="1" si="115"/>
        <v>-402876172.47427934</v>
      </c>
      <c r="J1591" s="444">
        <f t="array" ref="J1591">IFERROR(INDEX('Retirement Calculator'!K:K,MATCH('Lorri 401b'!N1591,'Retirement Calculator'!A:A,0),0),0)</f>
        <v>0</v>
      </c>
      <c r="K1591" s="444">
        <f t="shared" ca="1" si="113"/>
        <v>-1678650.7186428306</v>
      </c>
      <c r="L1591" s="444">
        <f t="shared" ca="1" si="114"/>
        <v>-404554823.19292217</v>
      </c>
      <c r="M1591" s="460">
        <f t="shared" si="116"/>
        <v>0.05</v>
      </c>
      <c r="N1591" s="464">
        <f t="shared" si="117"/>
        <v>99469</v>
      </c>
    </row>
    <row r="1592" spans="7:14" ht="11.25" customHeight="1" x14ac:dyDescent="0.3">
      <c r="G1592" s="459"/>
      <c r="H1592" s="459">
        <v>1585</v>
      </c>
      <c r="I1592" s="444">
        <f t="shared" ca="1" si="115"/>
        <v>-404554823.19292217</v>
      </c>
      <c r="J1592" s="444">
        <f t="array" ref="J1592">IFERROR(INDEX('Retirement Calculator'!K:K,MATCH('Lorri 401b'!N1592,'Retirement Calculator'!A:A,0),0),0)</f>
        <v>0</v>
      </c>
      <c r="K1592" s="444">
        <f t="shared" ca="1" si="113"/>
        <v>-1685645.0966371757</v>
      </c>
      <c r="L1592" s="444">
        <f t="shared" ca="1" si="114"/>
        <v>-406240468.28955936</v>
      </c>
      <c r="M1592" s="460">
        <f t="shared" si="116"/>
        <v>0.05</v>
      </c>
      <c r="N1592" s="464">
        <f t="shared" si="117"/>
        <v>99500</v>
      </c>
    </row>
    <row r="1593" spans="7:14" ht="11.25" customHeight="1" x14ac:dyDescent="0.3">
      <c r="G1593" s="459"/>
      <c r="H1593" s="459">
        <v>1586</v>
      </c>
      <c r="I1593" s="444">
        <f t="shared" ca="1" si="115"/>
        <v>-406240468.28955936</v>
      </c>
      <c r="J1593" s="444">
        <f t="array" ref="J1593">IFERROR(INDEX('Retirement Calculator'!K:K,MATCH('Lorri 401b'!N1593,'Retirement Calculator'!A:A,0),0),0)</f>
        <v>0</v>
      </c>
      <c r="K1593" s="444">
        <f t="shared" ca="1" si="113"/>
        <v>-1692668.6178731639</v>
      </c>
      <c r="L1593" s="444">
        <f t="shared" ca="1" si="114"/>
        <v>-407933136.90743256</v>
      </c>
      <c r="M1593" s="460">
        <f t="shared" si="116"/>
        <v>0.05</v>
      </c>
      <c r="N1593" s="464">
        <f t="shared" si="117"/>
        <v>99530</v>
      </c>
    </row>
    <row r="1594" spans="7:14" ht="11.25" customHeight="1" x14ac:dyDescent="0.3">
      <c r="G1594" s="459"/>
      <c r="H1594" s="459">
        <v>1587</v>
      </c>
      <c r="I1594" s="444">
        <f t="shared" ca="1" si="115"/>
        <v>-407933136.90743256</v>
      </c>
      <c r="J1594" s="444">
        <f t="array" ref="J1594">IFERROR(INDEX('Retirement Calculator'!K:K,MATCH('Lorri 401b'!N1594,'Retirement Calculator'!A:A,0),0),0)</f>
        <v>0</v>
      </c>
      <c r="K1594" s="444">
        <f t="shared" ca="1" si="113"/>
        <v>-1699721.4037809689</v>
      </c>
      <c r="L1594" s="444">
        <f t="shared" ca="1" si="114"/>
        <v>-409632858.31121355</v>
      </c>
      <c r="M1594" s="460">
        <f t="shared" si="116"/>
        <v>0.05</v>
      </c>
      <c r="N1594" s="464">
        <f t="shared" si="117"/>
        <v>99561</v>
      </c>
    </row>
    <row r="1595" spans="7:14" ht="11.25" customHeight="1" x14ac:dyDescent="0.3">
      <c r="G1595" s="459"/>
      <c r="H1595" s="459">
        <v>1588</v>
      </c>
      <c r="I1595" s="444">
        <f t="shared" ca="1" si="115"/>
        <v>-409632858.31121355</v>
      </c>
      <c r="J1595" s="444">
        <f t="array" ref="J1595">IFERROR(INDEX('Retirement Calculator'!K:K,MATCH('Lorri 401b'!N1595,'Retirement Calculator'!A:A,0),0),0)</f>
        <v>0</v>
      </c>
      <c r="K1595" s="444">
        <f t="shared" ca="1" si="113"/>
        <v>-1706803.5762967232</v>
      </c>
      <c r="L1595" s="444">
        <f t="shared" ca="1" si="114"/>
        <v>-411339661.8875103</v>
      </c>
      <c r="M1595" s="460">
        <f t="shared" si="116"/>
        <v>0.05</v>
      </c>
      <c r="N1595" s="464">
        <f t="shared" si="117"/>
        <v>99592</v>
      </c>
    </row>
    <row r="1596" spans="7:14" ht="11.25" customHeight="1" x14ac:dyDescent="0.3">
      <c r="G1596" s="459"/>
      <c r="H1596" s="459">
        <v>1589</v>
      </c>
      <c r="I1596" s="444">
        <f t="shared" ca="1" si="115"/>
        <v>-411339661.8875103</v>
      </c>
      <c r="J1596" s="444">
        <f t="array" ref="J1596">IFERROR(INDEX('Retirement Calculator'!K:K,MATCH('Lorri 401b'!N1596,'Retirement Calculator'!A:A,0),0),0)</f>
        <v>0</v>
      </c>
      <c r="K1596" s="444">
        <f t="shared" ca="1" si="113"/>
        <v>-1713915.2578646261</v>
      </c>
      <c r="L1596" s="444">
        <f t="shared" ca="1" si="114"/>
        <v>-413053577.14537495</v>
      </c>
      <c r="M1596" s="460">
        <f t="shared" si="116"/>
        <v>0.05</v>
      </c>
      <c r="N1596" s="464">
        <f t="shared" si="117"/>
        <v>99622</v>
      </c>
    </row>
    <row r="1597" spans="7:14" ht="11.25" customHeight="1" x14ac:dyDescent="0.3">
      <c r="G1597" s="459"/>
      <c r="H1597" s="459">
        <v>1590</v>
      </c>
      <c r="I1597" s="444">
        <f t="shared" ca="1" si="115"/>
        <v>-413053577.14537495</v>
      </c>
      <c r="J1597" s="444">
        <f t="array" ref="J1597">IFERROR(INDEX('Retirement Calculator'!K:K,MATCH('Lorri 401b'!N1597,'Retirement Calculator'!A:A,0),0),0)</f>
        <v>0</v>
      </c>
      <c r="K1597" s="444">
        <f t="shared" ca="1" si="113"/>
        <v>-1721056.5714390622</v>
      </c>
      <c r="L1597" s="444">
        <f t="shared" ca="1" si="114"/>
        <v>-414774633.71681404</v>
      </c>
      <c r="M1597" s="460">
        <f t="shared" si="116"/>
        <v>0.05</v>
      </c>
      <c r="N1597" s="464">
        <f t="shared" si="117"/>
        <v>99653</v>
      </c>
    </row>
    <row r="1598" spans="7:14" ht="11.25" customHeight="1" x14ac:dyDescent="0.3">
      <c r="G1598" s="459"/>
      <c r="H1598" s="459">
        <v>1591</v>
      </c>
      <c r="I1598" s="444">
        <f t="shared" ca="1" si="115"/>
        <v>-414774633.71681404</v>
      </c>
      <c r="J1598" s="444">
        <f t="array" ref="J1598">IFERROR(INDEX('Retirement Calculator'!K:K,MATCH('Lorri 401b'!N1598,'Retirement Calculator'!A:A,0),0),0)</f>
        <v>0</v>
      </c>
      <c r="K1598" s="444">
        <f t="shared" ca="1" si="113"/>
        <v>-1728227.6404867251</v>
      </c>
      <c r="L1598" s="444">
        <f t="shared" ca="1" si="114"/>
        <v>-416502861.35730076</v>
      </c>
      <c r="M1598" s="460">
        <f t="shared" si="116"/>
        <v>0.05</v>
      </c>
      <c r="N1598" s="464">
        <f t="shared" si="117"/>
        <v>99683</v>
      </c>
    </row>
    <row r="1599" spans="7:14" ht="11.25" customHeight="1" x14ac:dyDescent="0.3">
      <c r="G1599" s="459"/>
      <c r="H1599" s="459">
        <v>1592</v>
      </c>
      <c r="I1599" s="444">
        <f t="shared" ca="1" si="115"/>
        <v>-416502861.35730076</v>
      </c>
      <c r="J1599" s="444">
        <f t="array" ref="J1599">IFERROR(INDEX('Retirement Calculator'!K:K,MATCH('Lorri 401b'!N1599,'Retirement Calculator'!A:A,0),0),0)</f>
        <v>0</v>
      </c>
      <c r="K1599" s="444">
        <f t="shared" ca="1" si="113"/>
        <v>-1735428.588988753</v>
      </c>
      <c r="L1599" s="444">
        <f t="shared" ca="1" si="114"/>
        <v>-418238289.94628954</v>
      </c>
      <c r="M1599" s="460">
        <f t="shared" si="116"/>
        <v>0.05</v>
      </c>
      <c r="N1599" s="464">
        <f t="shared" si="117"/>
        <v>99714</v>
      </c>
    </row>
    <row r="1600" spans="7:14" ht="11.25" customHeight="1" x14ac:dyDescent="0.3">
      <c r="G1600" s="459"/>
      <c r="H1600" s="459">
        <v>1593</v>
      </c>
      <c r="I1600" s="444">
        <f t="shared" ca="1" si="115"/>
        <v>-418238289.94628954</v>
      </c>
      <c r="J1600" s="444">
        <f t="array" ref="J1600">IFERROR(INDEX('Retirement Calculator'!K:K,MATCH('Lorri 401b'!N1600,'Retirement Calculator'!A:A,0),0),0)</f>
        <v>0</v>
      </c>
      <c r="K1600" s="444">
        <f t="shared" ca="1" si="113"/>
        <v>-1742659.541442873</v>
      </c>
      <c r="L1600" s="444">
        <f t="shared" ca="1" si="114"/>
        <v>-419980949.48773241</v>
      </c>
      <c r="M1600" s="460">
        <f t="shared" si="116"/>
        <v>0.05</v>
      </c>
      <c r="N1600" s="464">
        <f t="shared" si="117"/>
        <v>99745</v>
      </c>
    </row>
    <row r="1601" spans="7:14" ht="11.25" customHeight="1" x14ac:dyDescent="0.3">
      <c r="G1601" s="459"/>
      <c r="H1601" s="459">
        <v>1594</v>
      </c>
      <c r="I1601" s="444">
        <f t="shared" ca="1" si="115"/>
        <v>-419980949.48773241</v>
      </c>
      <c r="J1601" s="444">
        <f t="array" ref="J1601">IFERROR(INDEX('Retirement Calculator'!K:K,MATCH('Lorri 401b'!N1601,'Retirement Calculator'!A:A,0),0),0)</f>
        <v>0</v>
      </c>
      <c r="K1601" s="444">
        <f t="shared" ca="1" si="113"/>
        <v>-1749920.6228655516</v>
      </c>
      <c r="L1601" s="444">
        <f t="shared" ca="1" si="114"/>
        <v>-421730870.11059797</v>
      </c>
      <c r="M1601" s="460">
        <f t="shared" si="116"/>
        <v>0.05</v>
      </c>
      <c r="N1601" s="464">
        <f t="shared" si="117"/>
        <v>99773</v>
      </c>
    </row>
    <row r="1602" spans="7:14" ht="11.25" customHeight="1" x14ac:dyDescent="0.3">
      <c r="G1602" s="459"/>
      <c r="H1602" s="459">
        <v>1595</v>
      </c>
      <c r="I1602" s="444">
        <f t="shared" ca="1" si="115"/>
        <v>-421730870.11059797</v>
      </c>
      <c r="J1602" s="444">
        <f t="array" ref="J1602">IFERROR(INDEX('Retirement Calculator'!K:K,MATCH('Lorri 401b'!N1602,'Retirement Calculator'!A:A,0),0),0)</f>
        <v>0</v>
      </c>
      <c r="K1602" s="444">
        <f t="shared" ca="1" si="113"/>
        <v>-1757211.9587941584</v>
      </c>
      <c r="L1602" s="444">
        <f t="shared" ca="1" si="114"/>
        <v>-423488082.06939214</v>
      </c>
      <c r="M1602" s="460">
        <f t="shared" si="116"/>
        <v>0.05</v>
      </c>
      <c r="N1602" s="464">
        <f t="shared" si="117"/>
        <v>99804</v>
      </c>
    </row>
    <row r="1603" spans="7:14" ht="11.25" customHeight="1" x14ac:dyDescent="0.3">
      <c r="G1603" s="459"/>
      <c r="H1603" s="459">
        <v>1596</v>
      </c>
      <c r="I1603" s="444">
        <f t="shared" ca="1" si="115"/>
        <v>-423488082.06939214</v>
      </c>
      <c r="J1603" s="444">
        <f t="array" ref="J1603">IFERROR(INDEX('Retirement Calculator'!K:K,MATCH('Lorri 401b'!N1603,'Retirement Calculator'!A:A,0),0),0)</f>
        <v>0</v>
      </c>
      <c r="K1603" s="444">
        <f t="shared" ca="1" si="113"/>
        <v>-1764533.6752891338</v>
      </c>
      <c r="L1603" s="444">
        <f t="shared" ca="1" si="114"/>
        <v>-425252615.7446813</v>
      </c>
      <c r="M1603" s="460">
        <f t="shared" si="116"/>
        <v>0.05</v>
      </c>
      <c r="N1603" s="464">
        <f t="shared" si="117"/>
        <v>99834</v>
      </c>
    </row>
    <row r="1604" spans="7:14" ht="11.25" customHeight="1" x14ac:dyDescent="0.3">
      <c r="G1604" s="459"/>
      <c r="H1604" s="459">
        <v>1597</v>
      </c>
      <c r="I1604" s="444">
        <f t="shared" ca="1" si="115"/>
        <v>-425252615.7446813</v>
      </c>
      <c r="J1604" s="444">
        <f t="array" ref="J1604">IFERROR(INDEX('Retirement Calculator'!K:K,MATCH('Lorri 401b'!N1604,'Retirement Calculator'!A:A,0),0),0)</f>
        <v>0</v>
      </c>
      <c r="K1604" s="444">
        <f t="shared" ca="1" si="113"/>
        <v>-1771885.8989361718</v>
      </c>
      <c r="L1604" s="444">
        <f t="shared" ca="1" si="114"/>
        <v>-427024501.64361745</v>
      </c>
      <c r="M1604" s="460">
        <f t="shared" si="116"/>
        <v>0.05</v>
      </c>
      <c r="N1604" s="464">
        <f t="shared" si="117"/>
        <v>99865</v>
      </c>
    </row>
    <row r="1605" spans="7:14" ht="11.25" customHeight="1" x14ac:dyDescent="0.3">
      <c r="G1605" s="459"/>
      <c r="H1605" s="459">
        <v>1598</v>
      </c>
      <c r="I1605" s="444">
        <f t="shared" ca="1" si="115"/>
        <v>-427024501.64361745</v>
      </c>
      <c r="J1605" s="444">
        <f t="array" ref="J1605">IFERROR(INDEX('Retirement Calculator'!K:K,MATCH('Lorri 401b'!N1605,'Retirement Calculator'!A:A,0),0),0)</f>
        <v>0</v>
      </c>
      <c r="K1605" s="444">
        <f t="shared" ca="1" si="113"/>
        <v>-1779268.756848406</v>
      </c>
      <c r="L1605" s="444">
        <f t="shared" ca="1" si="114"/>
        <v>-428803770.40046585</v>
      </c>
      <c r="M1605" s="460">
        <f t="shared" si="116"/>
        <v>0.05</v>
      </c>
      <c r="N1605" s="464">
        <f t="shared" si="117"/>
        <v>99895</v>
      </c>
    </row>
    <row r="1606" spans="7:14" ht="11.25" customHeight="1" x14ac:dyDescent="0.3">
      <c r="G1606" s="459"/>
      <c r="H1606" s="459">
        <v>1599</v>
      </c>
      <c r="I1606" s="444">
        <f t="shared" ca="1" si="115"/>
        <v>-428803770.40046585</v>
      </c>
      <c r="J1606" s="444">
        <f t="array" ref="J1606">IFERROR(INDEX('Retirement Calculator'!K:K,MATCH('Lorri 401b'!N1606,'Retirement Calculator'!A:A,0),0),0)</f>
        <v>0</v>
      </c>
      <c r="K1606" s="444">
        <f t="shared" ca="1" si="113"/>
        <v>-1786682.3766686076</v>
      </c>
      <c r="L1606" s="444">
        <f t="shared" ca="1" si="114"/>
        <v>-430590452.77713448</v>
      </c>
      <c r="M1606" s="460">
        <f t="shared" si="116"/>
        <v>0.05</v>
      </c>
      <c r="N1606" s="464">
        <f t="shared" si="117"/>
        <v>99926</v>
      </c>
    </row>
    <row r="1607" spans="7:14" ht="11.25" customHeight="1" x14ac:dyDescent="0.3">
      <c r="G1607" s="459"/>
      <c r="H1607" s="459">
        <v>1600</v>
      </c>
      <c r="I1607" s="444">
        <f t="shared" ca="1" si="115"/>
        <v>-430590452.77713448</v>
      </c>
      <c r="J1607" s="444">
        <f t="array" ref="J1607">IFERROR(INDEX('Retirement Calculator'!K:K,MATCH('Lorri 401b'!N1607,'Retirement Calculator'!A:A,0),0),0)</f>
        <v>0</v>
      </c>
      <c r="K1607" s="444">
        <f t="shared" ca="1" si="113"/>
        <v>-1794126.8865713938</v>
      </c>
      <c r="L1607" s="444">
        <f t="shared" ca="1" si="114"/>
        <v>-432384579.66370589</v>
      </c>
      <c r="M1607" s="460">
        <f t="shared" si="116"/>
        <v>0.05</v>
      </c>
      <c r="N1607" s="464">
        <f t="shared" si="117"/>
        <v>99957</v>
      </c>
    </row>
    <row r="1608" spans="7:14" ht="11.25" customHeight="1" x14ac:dyDescent="0.3">
      <c r="G1608" s="459"/>
      <c r="H1608" s="459">
        <v>1601</v>
      </c>
      <c r="I1608" s="444">
        <f t="shared" ca="1" si="115"/>
        <v>-432384579.66370589</v>
      </c>
      <c r="J1608" s="444">
        <f t="array" ref="J1608">IFERROR(INDEX('Retirement Calculator'!K:K,MATCH('Lorri 401b'!N1608,'Retirement Calculator'!A:A,0),0),0)</f>
        <v>0</v>
      </c>
      <c r="K1608" s="444">
        <f t="shared" ca="1" si="113"/>
        <v>-1801602.4152654412</v>
      </c>
      <c r="L1608" s="444">
        <f t="shared" ca="1" si="114"/>
        <v>-434186182.07897133</v>
      </c>
      <c r="M1608" s="460">
        <f t="shared" si="116"/>
        <v>0.05</v>
      </c>
      <c r="N1608" s="464">
        <f t="shared" si="117"/>
        <v>99987</v>
      </c>
    </row>
    <row r="1609" spans="7:14" ht="11.25" customHeight="1" x14ac:dyDescent="0.3">
      <c r="G1609" s="459"/>
      <c r="H1609" s="459">
        <v>1602</v>
      </c>
      <c r="I1609" s="444">
        <f t="shared" ca="1" si="115"/>
        <v>-434186182.07897133</v>
      </c>
      <c r="J1609" s="444">
        <f t="array" ref="J1609">IFERROR(INDEX('Retirement Calculator'!K:K,MATCH('Lorri 401b'!N1609,'Retirement Calculator'!A:A,0),0),0)</f>
        <v>0</v>
      </c>
      <c r="K1609" s="444">
        <f t="shared" ca="1" si="113"/>
        <v>-1809109.0919957138</v>
      </c>
      <c r="L1609" s="444">
        <f t="shared" ca="1" si="114"/>
        <v>-435995291.17096704</v>
      </c>
      <c r="M1609" s="460">
        <f t="shared" si="116"/>
        <v>0.05</v>
      </c>
      <c r="N1609" s="464">
        <f t="shared" si="117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15"/>
        <v>-435995291.17096704</v>
      </c>
      <c r="J1610" s="444">
        <f t="array" ref="J1610">IFERROR(INDEX('Retirement Calculator'!K:K,MATCH('Lorri 401b'!N1610,'Retirement Calculator'!A:A,0),0),0)</f>
        <v>0</v>
      </c>
      <c r="K1610" s="444">
        <f t="shared" ca="1" si="113"/>
        <v>-1816647.046545696</v>
      </c>
      <c r="L1610" s="444">
        <f t="shared" ca="1" si="114"/>
        <v>-437811938.21751273</v>
      </c>
      <c r="M1610" s="460">
        <f t="shared" si="116"/>
        <v>0.05</v>
      </c>
      <c r="N1610" s="464">
        <f t="shared" si="117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15"/>
        <v>-437811938.21751273</v>
      </c>
      <c r="J1611" s="444">
        <f t="array" ref="J1611">IFERROR(INDEX('Retirement Calculator'!K:K,MATCH('Lorri 401b'!N1611,'Retirement Calculator'!A:A,0),0),0)</f>
        <v>0</v>
      </c>
      <c r="K1611" s="444">
        <f t="shared" ca="1" si="113"/>
        <v>-1824216.4092396363</v>
      </c>
      <c r="L1611" s="444">
        <f t="shared" ca="1" si="114"/>
        <v>-439636154.62675238</v>
      </c>
      <c r="M1611" s="460">
        <f t="shared" si="116"/>
        <v>0.05</v>
      </c>
      <c r="N1611" s="464">
        <f t="shared" si="117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15"/>
        <v>-439636154.62675238</v>
      </c>
      <c r="J1612" s="444">
        <f t="array" ref="J1612">IFERROR(INDEX('Retirement Calculator'!K:K,MATCH('Lorri 401b'!N1612,'Retirement Calculator'!A:A,0),0),0)</f>
        <v>0</v>
      </c>
      <c r="K1612" s="444">
        <f t="shared" ca="1" si="113"/>
        <v>-1831817.3109448014</v>
      </c>
      <c r="L1612" s="444">
        <f t="shared" ca="1" si="114"/>
        <v>-441467971.93769717</v>
      </c>
      <c r="M1612" s="460">
        <f t="shared" si="116"/>
        <v>0.05</v>
      </c>
      <c r="N1612" s="464">
        <f t="shared" si="117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15"/>
        <v>-441467971.93769717</v>
      </c>
      <c r="J1613" s="444">
        <f t="array" ref="J1613">IFERROR(INDEX('Retirement Calculator'!K:K,MATCH('Lorri 401b'!N1613,'Retirement Calculator'!A:A,0),0),0)</f>
        <v>0</v>
      </c>
      <c r="K1613" s="444">
        <f t="shared" ca="1" si="113"/>
        <v>-1839449.8830737381</v>
      </c>
      <c r="L1613" s="444">
        <f t="shared" ca="1" si="114"/>
        <v>-443307421.82077092</v>
      </c>
      <c r="M1613" s="460">
        <f t="shared" si="116"/>
        <v>0.05</v>
      </c>
      <c r="N1613" s="464">
        <f t="shared" si="117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15"/>
        <v>-443307421.82077092</v>
      </c>
      <c r="J1614" s="444">
        <f t="array" ref="J1614">IFERROR(INDEX('Retirement Calculator'!K:K,MATCH('Lorri 401b'!N1614,'Retirement Calculator'!A:A,0),0),0)</f>
        <v>0</v>
      </c>
      <c r="K1614" s="444">
        <f t="shared" ca="1" si="113"/>
        <v>-1847114.2575865453</v>
      </c>
      <c r="L1614" s="444">
        <f t="shared" ca="1" si="114"/>
        <v>-445154536.07835746</v>
      </c>
      <c r="M1614" s="460">
        <f t="shared" si="116"/>
        <v>0.05</v>
      </c>
      <c r="N1614" s="464">
        <f t="shared" si="117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15"/>
        <v>-445154536.07835746</v>
      </c>
      <c r="J1615" s="444">
        <f t="array" ref="J1615">IFERROR(INDEX('Retirement Calculator'!K:K,MATCH('Lorri 401b'!N1615,'Retirement Calculator'!A:A,0),0),0)</f>
        <v>0</v>
      </c>
      <c r="K1615" s="444">
        <f t="shared" ca="1" si="113"/>
        <v>-1854810.566993156</v>
      </c>
      <c r="L1615" s="444">
        <f t="shared" ca="1" si="114"/>
        <v>-447009346.64535064</v>
      </c>
      <c r="M1615" s="460">
        <f t="shared" si="116"/>
        <v>0.05</v>
      </c>
      <c r="N1615" s="464">
        <f t="shared" si="117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15"/>
        <v>-447009346.64535064</v>
      </c>
      <c r="J1616" s="444">
        <f t="array" ref="J1616">IFERROR(INDEX('Retirement Calculator'!K:K,MATCH('Lorri 401b'!N1616,'Retirement Calculator'!A:A,0),0),0)</f>
        <v>0</v>
      </c>
      <c r="K1616" s="444">
        <f t="shared" ca="1" si="113"/>
        <v>-1862538.9443556275</v>
      </c>
      <c r="L1616" s="444">
        <f t="shared" ca="1" si="114"/>
        <v>-448871885.58970624</v>
      </c>
      <c r="M1616" s="460">
        <f t="shared" si="116"/>
        <v>0.05</v>
      </c>
      <c r="N1616" s="464">
        <f t="shared" si="117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15"/>
        <v>-448871885.58970624</v>
      </c>
      <c r="J1617" s="444">
        <f t="array" ref="J1617">IFERROR(INDEX('Retirement Calculator'!K:K,MATCH('Lorri 401b'!N1617,'Retirement Calculator'!A:A,0),0),0)</f>
        <v>0</v>
      </c>
      <c r="K1617" s="444">
        <f t="shared" ca="1" si="113"/>
        <v>-1870299.5232904425</v>
      </c>
      <c r="L1617" s="444">
        <f t="shared" ca="1" si="114"/>
        <v>-450742185.1129967</v>
      </c>
      <c r="M1617" s="460">
        <f t="shared" si="116"/>
        <v>0.05</v>
      </c>
      <c r="N1617" s="464">
        <f t="shared" si="117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15"/>
        <v>-450742185.1129967</v>
      </c>
      <c r="J1618" s="444">
        <f t="array" ref="J1618">IFERROR(INDEX('Retirement Calculator'!K:K,MATCH('Lorri 401b'!N1618,'Retirement Calculator'!A:A,0),0),0)</f>
        <v>0</v>
      </c>
      <c r="K1618" s="444">
        <f t="shared" ca="1" si="113"/>
        <v>-1878092.4379708199</v>
      </c>
      <c r="L1618" s="444">
        <f t="shared" ca="1" si="114"/>
        <v>-452620277.55096751</v>
      </c>
      <c r="M1618" s="460">
        <f t="shared" si="116"/>
        <v>0.05</v>
      </c>
      <c r="N1618" s="464">
        <f t="shared" si="117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15"/>
        <v>-452620277.55096751</v>
      </c>
      <c r="J1619" s="444">
        <f t="array" ref="J1619">IFERROR(INDEX('Retirement Calculator'!K:K,MATCH('Lorri 401b'!N1619,'Retirement Calculator'!A:A,0),0),0)</f>
        <v>0</v>
      </c>
      <c r="K1619" s="444">
        <f t="shared" ca="1" si="113"/>
        <v>-1885917.8231290316</v>
      </c>
      <c r="L1619" s="444">
        <f t="shared" ca="1" si="114"/>
        <v>-454506195.37409657</v>
      </c>
      <c r="M1619" s="460">
        <f t="shared" si="116"/>
        <v>0.05</v>
      </c>
      <c r="N1619" s="464">
        <f t="shared" si="117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15"/>
        <v>-454506195.37409657</v>
      </c>
      <c r="J1620" s="444">
        <f t="array" ref="J1620">IFERROR(INDEX('Retirement Calculator'!K:K,MATCH('Lorri 401b'!N1620,'Retirement Calculator'!A:A,0),0),0)</f>
        <v>0</v>
      </c>
      <c r="K1620" s="444">
        <f t="shared" ca="1" si="113"/>
        <v>-1893775.814058736</v>
      </c>
      <c r="L1620" s="444">
        <f t="shared" ca="1" si="114"/>
        <v>-456399971.18815529</v>
      </c>
      <c r="M1620" s="460">
        <f t="shared" si="116"/>
        <v>0.05</v>
      </c>
      <c r="N1620" s="464">
        <f t="shared" si="117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15"/>
        <v>-456399971.18815529</v>
      </c>
      <c r="J1621" s="444">
        <f t="array" ref="J1621">IFERROR(INDEX('Retirement Calculator'!K:K,MATCH('Lorri 401b'!N1621,'Retirement Calculator'!A:A,0),0),0)</f>
        <v>0</v>
      </c>
      <c r="K1621" s="444">
        <f t="shared" ca="1" si="113"/>
        <v>-1901666.546617314</v>
      </c>
      <c r="L1621" s="444">
        <f t="shared" ca="1" si="114"/>
        <v>-458301637.73477262</v>
      </c>
      <c r="M1621" s="460">
        <f t="shared" si="116"/>
        <v>0.05</v>
      </c>
      <c r="N1621" s="464">
        <f t="shared" si="117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15"/>
        <v>-458301637.73477262</v>
      </c>
      <c r="J1622" s="444">
        <f t="array" ref="J1622">IFERROR(INDEX('Retirement Calculator'!K:K,MATCH('Lorri 401b'!N1622,'Retirement Calculator'!A:A,0),0),0)</f>
        <v>0</v>
      </c>
      <c r="K1622" s="444">
        <f t="shared" ca="1" si="113"/>
        <v>-1909590.1572282193</v>
      </c>
      <c r="L1622" s="444">
        <f t="shared" ca="1" si="114"/>
        <v>-460211227.89200085</v>
      </c>
      <c r="M1622" s="460">
        <f t="shared" si="116"/>
        <v>0.05</v>
      </c>
      <c r="N1622" s="464">
        <f t="shared" si="117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15"/>
        <v>-460211227.89200085</v>
      </c>
      <c r="J1623" s="444">
        <f t="array" ref="J1623">IFERROR(INDEX('Retirement Calculator'!K:K,MATCH('Lorri 401b'!N1623,'Retirement Calculator'!A:A,0),0),0)</f>
        <v>0</v>
      </c>
      <c r="K1623" s="444">
        <f t="shared" ca="1" si="113"/>
        <v>-1917546.7828833368</v>
      </c>
      <c r="L1623" s="444">
        <f t="shared" ca="1" si="114"/>
        <v>-462128774.6748842</v>
      </c>
      <c r="M1623" s="460">
        <f t="shared" si="116"/>
        <v>0.05</v>
      </c>
      <c r="N1623" s="464">
        <f t="shared" si="117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15"/>
        <v>-462128774.6748842</v>
      </c>
      <c r="J1624" s="444">
        <f t="array" ref="J1624">IFERROR(INDEX('Retirement Calculator'!K:K,MATCH('Lorri 401b'!N1624,'Retirement Calculator'!A:A,0),0),0)</f>
        <v>0</v>
      </c>
      <c r="K1624" s="444">
        <f t="shared" ca="1" si="113"/>
        <v>-1925536.5611453506</v>
      </c>
      <c r="L1624" s="444">
        <f t="shared" ca="1" si="114"/>
        <v>-464054311.23602957</v>
      </c>
      <c r="M1624" s="460">
        <f t="shared" si="116"/>
        <v>0.05</v>
      </c>
      <c r="N1624" s="464">
        <f t="shared" si="117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15"/>
        <v>-464054311.23602957</v>
      </c>
      <c r="J1625" s="444">
        <f t="array" ref="J1625">IFERROR(INDEX('Retirement Calculator'!K:K,MATCH('Lorri 401b'!N1625,'Retirement Calculator'!A:A,0),0),0)</f>
        <v>0</v>
      </c>
      <c r="K1625" s="444">
        <f t="shared" ca="1" si="113"/>
        <v>-1933559.6301501228</v>
      </c>
      <c r="L1625" s="444">
        <f t="shared" ca="1" si="114"/>
        <v>-465987870.8661797</v>
      </c>
      <c r="M1625" s="460">
        <f t="shared" si="116"/>
        <v>0.05</v>
      </c>
      <c r="N1625" s="464">
        <f t="shared" si="117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15"/>
        <v>-465987870.8661797</v>
      </c>
      <c r="J1626" s="444">
        <f t="array" ref="J1626">IFERROR(INDEX('Retirement Calculator'!K:K,MATCH('Lorri 401b'!N1626,'Retirement Calculator'!A:A,0),0),0)</f>
        <v>0</v>
      </c>
      <c r="K1626" s="444">
        <f t="shared" ca="1" si="113"/>
        <v>-1941616.128609082</v>
      </c>
      <c r="L1626" s="444">
        <f t="shared" ca="1" si="114"/>
        <v>-467929486.99478877</v>
      </c>
      <c r="M1626" s="460">
        <f t="shared" si="116"/>
        <v>0.05</v>
      </c>
      <c r="N1626" s="464">
        <f t="shared" si="117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15"/>
        <v>-467929486.99478877</v>
      </c>
      <c r="J1627" s="444">
        <f t="array" ref="J1627">IFERROR(INDEX('Retirement Calculator'!K:K,MATCH('Lorri 401b'!N1627,'Retirement Calculator'!A:A,0),0),0)</f>
        <v>0</v>
      </c>
      <c r="K1627" s="444">
        <f t="shared" ca="1" si="113"/>
        <v>-1949706.1958116197</v>
      </c>
      <c r="L1627" s="444">
        <f t="shared" ca="1" si="114"/>
        <v>-469879193.1906004</v>
      </c>
      <c r="M1627" s="460">
        <f t="shared" si="116"/>
        <v>0.05</v>
      </c>
      <c r="N1627" s="464">
        <f t="shared" si="117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15"/>
        <v>-469879193.1906004</v>
      </c>
      <c r="J1628" s="444">
        <f t="array" ref="J1628">IFERROR(INDEX('Retirement Calculator'!K:K,MATCH('Lorri 401b'!N1628,'Retirement Calculator'!A:A,0),0),0)</f>
        <v>0</v>
      </c>
      <c r="K1628" s="444">
        <f t="shared" ca="1" si="113"/>
        <v>-1957829.9716275013</v>
      </c>
      <c r="L1628" s="444">
        <f t="shared" ca="1" si="114"/>
        <v>-471837023.16222787</v>
      </c>
      <c r="M1628" s="460">
        <f t="shared" si="116"/>
        <v>0.05</v>
      </c>
      <c r="N1628" s="464">
        <f t="shared" si="117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15"/>
        <v>-471837023.16222787</v>
      </c>
      <c r="J1629" s="444">
        <f t="array" ref="J1629">IFERROR(INDEX('Retirement Calculator'!K:K,MATCH('Lorri 401b'!N1629,'Retirement Calculator'!A:A,0),0),0)</f>
        <v>0</v>
      </c>
      <c r="K1629" s="444">
        <f t="shared" ca="1" si="113"/>
        <v>-1965987.5965092827</v>
      </c>
      <c r="L1629" s="444">
        <f t="shared" ca="1" si="114"/>
        <v>-473803010.75873715</v>
      </c>
      <c r="M1629" s="460">
        <f t="shared" si="116"/>
        <v>0.05</v>
      </c>
      <c r="N1629" s="464">
        <f t="shared" si="117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15"/>
        <v>-473803010.75873715</v>
      </c>
      <c r="J1630" s="444">
        <f t="array" ref="J1630">IFERROR(INDEX('Retirement Calculator'!K:K,MATCH('Lorri 401b'!N1630,'Retirement Calculator'!A:A,0),0),0)</f>
        <v>0</v>
      </c>
      <c r="K1630" s="444">
        <f t="shared" ca="1" si="113"/>
        <v>-1974179.211494738</v>
      </c>
      <c r="L1630" s="444">
        <f t="shared" ca="1" si="114"/>
        <v>-475777189.97023189</v>
      </c>
      <c r="M1630" s="460">
        <f t="shared" si="116"/>
        <v>0.05</v>
      </c>
      <c r="N1630" s="464">
        <f t="shared" si="117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15"/>
        <v>-475777189.97023189</v>
      </c>
      <c r="J1631" s="444">
        <f t="array" ref="J1631">IFERROR(INDEX('Retirement Calculator'!K:K,MATCH('Lorri 401b'!N1631,'Retirement Calculator'!A:A,0),0),0)</f>
        <v>0</v>
      </c>
      <c r="K1631" s="444">
        <f t="shared" ca="1" si="113"/>
        <v>-1982404.9582092995</v>
      </c>
      <c r="L1631" s="444">
        <f t="shared" ca="1" si="114"/>
        <v>-477759594.92844117</v>
      </c>
      <c r="M1631" s="460">
        <f t="shared" si="116"/>
        <v>0.05</v>
      </c>
      <c r="N1631" s="464">
        <f t="shared" si="117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15"/>
        <v>-477759594.92844117</v>
      </c>
      <c r="J1632" s="444">
        <f t="array" ref="J1632">IFERROR(INDEX('Retirement Calculator'!K:K,MATCH('Lorri 401b'!N1632,'Retirement Calculator'!A:A,0),0),0)</f>
        <v>0</v>
      </c>
      <c r="K1632" s="444">
        <f t="shared" ca="1" si="113"/>
        <v>-1990664.9788685048</v>
      </c>
      <c r="L1632" s="444">
        <f t="shared" ca="1" si="114"/>
        <v>-479750259.90730965</v>
      </c>
      <c r="M1632" s="460">
        <f t="shared" si="116"/>
        <v>0.05</v>
      </c>
      <c r="N1632" s="464">
        <f t="shared" si="117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15"/>
        <v>-479750259.90730965</v>
      </c>
      <c r="J1633" s="444">
        <f t="array" ref="J1633">IFERROR(INDEX('Retirement Calculator'!K:K,MATCH('Lorri 401b'!N1633,'Retirement Calculator'!A:A,0),0),0)</f>
        <v>0</v>
      </c>
      <c r="K1633" s="444">
        <f t="shared" ca="1" si="113"/>
        <v>-1998959.4162804568</v>
      </c>
      <c r="L1633" s="444">
        <f t="shared" ca="1" si="114"/>
        <v>-481749219.3235901</v>
      </c>
      <c r="M1633" s="460">
        <f t="shared" si="116"/>
        <v>0.05</v>
      </c>
      <c r="N1633" s="464">
        <f t="shared" si="117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15"/>
        <v>-481749219.3235901</v>
      </c>
      <c r="J1634" s="444">
        <f t="array" ref="J1634">IFERROR(INDEX('Retirement Calculator'!K:K,MATCH('Lorri 401b'!N1634,'Retirement Calculator'!A:A,0),0),0)</f>
        <v>0</v>
      </c>
      <c r="K1634" s="444">
        <f t="shared" ca="1" si="113"/>
        <v>-2007288.4138482921</v>
      </c>
      <c r="L1634" s="444">
        <f t="shared" ca="1" si="114"/>
        <v>-483756507.73743838</v>
      </c>
      <c r="M1634" s="460">
        <f t="shared" si="116"/>
        <v>0.05</v>
      </c>
      <c r="N1634" s="464">
        <f t="shared" si="117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15"/>
        <v>-483756507.73743838</v>
      </c>
      <c r="J1635" s="444">
        <f t="array" ref="J1635">IFERROR(INDEX('Retirement Calculator'!K:K,MATCH('Lorri 401b'!N1635,'Retirement Calculator'!A:A,0),0),0)</f>
        <v>0</v>
      </c>
      <c r="K1635" s="444">
        <f t="shared" ca="1" si="113"/>
        <v>-2015652.1155726595</v>
      </c>
      <c r="L1635" s="444">
        <f t="shared" ca="1" si="114"/>
        <v>-485772159.85301101</v>
      </c>
      <c r="M1635" s="460">
        <f t="shared" si="116"/>
        <v>0.05</v>
      </c>
      <c r="N1635" s="464">
        <f t="shared" si="117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15"/>
        <v>-485772159.85301101</v>
      </c>
      <c r="J1636" s="444">
        <f t="array" ref="J1636">IFERROR(INDEX('Retirement Calculator'!K:K,MATCH('Lorri 401b'!N1636,'Retirement Calculator'!A:A,0),0),0)</f>
        <v>0</v>
      </c>
      <c r="K1636" s="444">
        <f t="shared" ca="1" si="113"/>
        <v>-2024050.6660542125</v>
      </c>
      <c r="L1636" s="444">
        <f t="shared" ca="1" si="114"/>
        <v>-487796210.5190652</v>
      </c>
      <c r="M1636" s="460">
        <f t="shared" si="116"/>
        <v>0.05</v>
      </c>
      <c r="N1636" s="464">
        <f t="shared" si="117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15"/>
        <v>-487796210.5190652</v>
      </c>
      <c r="J1637" s="444">
        <f t="array" ref="J1637">IFERROR(INDEX('Retirement Calculator'!K:K,MATCH('Lorri 401b'!N1637,'Retirement Calculator'!A:A,0),0),0)</f>
        <v>0</v>
      </c>
      <c r="K1637" s="444">
        <f t="shared" ca="1" si="113"/>
        <v>-2032484.210496105</v>
      </c>
      <c r="L1637" s="444">
        <f t="shared" ca="1" si="114"/>
        <v>-489828694.72956133</v>
      </c>
      <c r="M1637" s="460">
        <f t="shared" si="116"/>
        <v>0.05</v>
      </c>
      <c r="N1637" s="464">
        <f t="shared" si="117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15"/>
        <v>-489828694.72956133</v>
      </c>
      <c r="J1638" s="444">
        <f t="array" ref="J1638">IFERROR(INDEX('Retirement Calculator'!K:K,MATCH('Lorri 401b'!N1638,'Retirement Calculator'!A:A,0),0),0)</f>
        <v>0</v>
      </c>
      <c r="K1638" s="444">
        <f t="shared" ca="1" si="113"/>
        <v>-2040952.8947065056</v>
      </c>
      <c r="L1638" s="444">
        <f t="shared" ca="1" si="114"/>
        <v>-491869647.62426782</v>
      </c>
      <c r="M1638" s="460">
        <f t="shared" si="116"/>
        <v>0.05</v>
      </c>
      <c r="N1638" s="464">
        <f t="shared" si="117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15"/>
        <v>-491869647.62426782</v>
      </c>
      <c r="J1639" s="444">
        <f t="array" ref="J1639">IFERROR(INDEX('Retirement Calculator'!K:K,MATCH('Lorri 401b'!N1639,'Retirement Calculator'!A:A,0),0),0)</f>
        <v>0</v>
      </c>
      <c r="K1639" s="444">
        <f t="shared" ca="1" si="113"/>
        <v>-2049456.865101116</v>
      </c>
      <c r="L1639" s="444">
        <f t="shared" ca="1" si="114"/>
        <v>-493919104.48936892</v>
      </c>
      <c r="M1639" s="460">
        <f t="shared" si="116"/>
        <v>0.05</v>
      </c>
      <c r="N1639" s="464">
        <f t="shared" si="117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15"/>
        <v>-493919104.48936892</v>
      </c>
      <c r="J1640" s="444">
        <f t="array" ref="J1640">IFERROR(INDEX('Retirement Calculator'!K:K,MATCH('Lorri 401b'!N1640,'Retirement Calculator'!A:A,0),0),0)</f>
        <v>0</v>
      </c>
      <c r="K1640" s="444">
        <f t="shared" ca="1" si="113"/>
        <v>-2057996.2687057038</v>
      </c>
      <c r="L1640" s="444">
        <f t="shared" ca="1" si="114"/>
        <v>-495977100.75807464</v>
      </c>
      <c r="M1640" s="460">
        <f t="shared" si="116"/>
        <v>0.05</v>
      </c>
      <c r="N1640" s="464">
        <f t="shared" si="117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15"/>
        <v>-495977100.75807464</v>
      </c>
      <c r="J1641" s="444">
        <f t="array" ref="J1641">IFERROR(INDEX('Retirement Calculator'!K:K,MATCH('Lorri 401b'!N1641,'Retirement Calculator'!A:A,0),0),0)</f>
        <v>0</v>
      </c>
      <c r="K1641" s="444">
        <f t="shared" ca="1" si="113"/>
        <v>-2066571.2531586443</v>
      </c>
      <c r="L1641" s="444">
        <f t="shared" ca="1" si="114"/>
        <v>-498043672.01123327</v>
      </c>
      <c r="M1641" s="460">
        <f t="shared" si="116"/>
        <v>0.05</v>
      </c>
      <c r="N1641" s="464">
        <f t="shared" si="117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15"/>
        <v>-498043672.01123327</v>
      </c>
      <c r="J1642" s="444">
        <f t="array" ref="J1642">IFERROR(INDEX('Retirement Calculator'!K:K,MATCH('Lorri 401b'!N1642,'Retirement Calculator'!A:A,0),0),0)</f>
        <v>0</v>
      </c>
      <c r="K1642" s="444">
        <f t="shared" ca="1" si="113"/>
        <v>-2075181.966713472</v>
      </c>
      <c r="L1642" s="444">
        <f t="shared" ca="1" si="114"/>
        <v>-500118853.97794676</v>
      </c>
      <c r="M1642" s="460">
        <f t="shared" si="116"/>
        <v>0.05</v>
      </c>
      <c r="N1642" s="464">
        <f t="shared" si="117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15"/>
        <v>-500118853.97794676</v>
      </c>
      <c r="J1643" s="444">
        <f t="array" ref="J1643">IFERROR(INDEX('Retirement Calculator'!K:K,MATCH('Lorri 401b'!N1643,'Retirement Calculator'!A:A,0),0),0)</f>
        <v>0</v>
      </c>
      <c r="K1643" s="444">
        <f t="shared" ca="1" si="113"/>
        <v>-2083828.5582414451</v>
      </c>
      <c r="L1643" s="444">
        <f t="shared" ca="1" si="114"/>
        <v>-502202682.53618819</v>
      </c>
      <c r="M1643" s="460">
        <f t="shared" si="116"/>
        <v>0.05</v>
      </c>
      <c r="N1643" s="464">
        <f t="shared" si="117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15"/>
        <v>-502202682.53618819</v>
      </c>
      <c r="J1644" s="444">
        <f t="array" ref="J1644">IFERROR(INDEX('Retirement Calculator'!K:K,MATCH('Lorri 401b'!N1644,'Retirement Calculator'!A:A,0),0),0)</f>
        <v>0</v>
      </c>
      <c r="K1644" s="444">
        <f t="shared" ca="1" si="113"/>
        <v>-2092511.1772341174</v>
      </c>
      <c r="L1644" s="444">
        <f t="shared" ca="1" si="114"/>
        <v>-504295193.7134223</v>
      </c>
      <c r="M1644" s="460">
        <f t="shared" si="116"/>
        <v>0.05</v>
      </c>
      <c r="N1644" s="464">
        <f t="shared" si="117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15"/>
        <v>-504295193.7134223</v>
      </c>
      <c r="J1645" s="444">
        <f t="array" ref="J1645">IFERROR(INDEX('Retirement Calculator'!K:K,MATCH('Lorri 401b'!N1645,'Retirement Calculator'!A:A,0),0),0)</f>
        <v>0</v>
      </c>
      <c r="K1645" s="444">
        <f t="shared" ca="1" si="113"/>
        <v>-2101229.9738059263</v>
      </c>
      <c r="L1645" s="444">
        <f t="shared" ca="1" si="114"/>
        <v>-506396423.6872282</v>
      </c>
      <c r="M1645" s="460">
        <f t="shared" si="116"/>
        <v>0.05</v>
      </c>
      <c r="N1645" s="464">
        <f t="shared" si="117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15"/>
        <v>-506396423.6872282</v>
      </c>
      <c r="J1646" s="444">
        <f t="array" ref="J1646">IFERROR(INDEX('Retirement Calculator'!K:K,MATCH('Lorri 401b'!N1646,'Retirement Calculator'!A:A,0),0),0)</f>
        <v>0</v>
      </c>
      <c r="K1646" s="444">
        <f t="shared" ca="1" si="113"/>
        <v>-2109985.0986967841</v>
      </c>
      <c r="L1646" s="444">
        <f t="shared" ca="1" si="114"/>
        <v>-508506408.78592497</v>
      </c>
      <c r="M1646" s="460">
        <f t="shared" si="116"/>
        <v>0.05</v>
      </c>
      <c r="N1646" s="464">
        <f t="shared" si="117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15"/>
        <v>-508506408.78592497</v>
      </c>
      <c r="J1647" s="444">
        <f t="array" ref="J1647">IFERROR(INDEX('Retirement Calculator'!K:K,MATCH('Lorri 401b'!N1647,'Retirement Calculator'!A:A,0),0),0)</f>
        <v>0</v>
      </c>
      <c r="K1647" s="444">
        <f t="shared" ca="1" si="113"/>
        <v>-2118776.7032746873</v>
      </c>
      <c r="L1647" s="444">
        <f t="shared" ca="1" si="114"/>
        <v>-510625185.48919964</v>
      </c>
      <c r="M1647" s="460">
        <f t="shared" si="116"/>
        <v>0.05</v>
      </c>
      <c r="N1647" s="464">
        <f t="shared" si="117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15"/>
        <v>-510625185.48919964</v>
      </c>
      <c r="J1648" s="444">
        <f t="array" ref="J1648">IFERROR(INDEX('Retirement Calculator'!K:K,MATCH('Lorri 401b'!N1648,'Retirement Calculator'!A:A,0),0),0)</f>
        <v>0</v>
      </c>
      <c r="K1648" s="444">
        <f t="shared" ca="1" si="113"/>
        <v>-2127604.9395383322</v>
      </c>
      <c r="L1648" s="444">
        <f t="shared" ca="1" si="114"/>
        <v>-512752790.428738</v>
      </c>
      <c r="M1648" s="460">
        <f t="shared" si="116"/>
        <v>0.05</v>
      </c>
      <c r="N1648" s="464">
        <f t="shared" si="117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15"/>
        <v>-512752790.428738</v>
      </c>
      <c r="J1649" s="444">
        <f t="array" ref="J1649">IFERROR(INDEX('Retirement Calculator'!K:K,MATCH('Lorri 401b'!N1649,'Retirement Calculator'!A:A,0),0),0)</f>
        <v>0</v>
      </c>
      <c r="K1649" s="444">
        <f t="shared" ca="1" si="113"/>
        <v>-2136469.9601197415</v>
      </c>
      <c r="L1649" s="444">
        <f t="shared" ca="1" si="114"/>
        <v>-514889260.38885772</v>
      </c>
      <c r="M1649" s="460">
        <f t="shared" si="116"/>
        <v>0.05</v>
      </c>
      <c r="N1649" s="464">
        <f t="shared" si="117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15"/>
        <v>-514889260.38885772</v>
      </c>
      <c r="J1650" s="444">
        <f t="array" ref="J1650">IFERROR(INDEX('Retirement Calculator'!K:K,MATCH('Lorri 401b'!N1650,'Retirement Calculator'!A:A,0),0),0)</f>
        <v>0</v>
      </c>
      <c r="K1650" s="444">
        <f t="shared" ca="1" si="113"/>
        <v>-2145371.9182869075</v>
      </c>
      <c r="L1650" s="444">
        <f t="shared" ca="1" si="114"/>
        <v>-517034632.30714464</v>
      </c>
      <c r="M1650" s="460">
        <f t="shared" si="116"/>
        <v>0.05</v>
      </c>
      <c r="N1650" s="464">
        <f t="shared" si="117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15"/>
        <v>-517034632.30714464</v>
      </c>
      <c r="J1651" s="444">
        <f t="array" ref="J1651">IFERROR(INDEX('Retirement Calculator'!K:K,MATCH('Lorri 401b'!N1651,'Retirement Calculator'!A:A,0),0),0)</f>
        <v>0</v>
      </c>
      <c r="K1651" s="444">
        <f t="shared" ca="1" si="113"/>
        <v>-2154310.9679464358</v>
      </c>
      <c r="L1651" s="444">
        <f t="shared" ca="1" si="114"/>
        <v>-519188943.27509105</v>
      </c>
      <c r="M1651" s="460">
        <f t="shared" si="116"/>
        <v>0.05</v>
      </c>
      <c r="N1651" s="464">
        <f t="shared" si="117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15"/>
        <v>-519188943.27509105</v>
      </c>
      <c r="J1652" s="444">
        <f t="array" ref="J1652">IFERROR(INDEX('Retirement Calculator'!K:K,MATCH('Lorri 401b'!N1652,'Retirement Calculator'!A:A,0),0),0)</f>
        <v>0</v>
      </c>
      <c r="K1652" s="444">
        <f t="shared" ca="1" si="113"/>
        <v>-2163287.2636462124</v>
      </c>
      <c r="L1652" s="444">
        <f t="shared" ca="1" si="114"/>
        <v>-521352230.53873724</v>
      </c>
      <c r="M1652" s="460">
        <f t="shared" si="116"/>
        <v>0.05</v>
      </c>
      <c r="N1652" s="464">
        <f t="shared" si="117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15"/>
        <v>-521352230.53873724</v>
      </c>
      <c r="J1653" s="444">
        <f t="array" ref="J1653">IFERROR(INDEX('Retirement Calculator'!K:K,MATCH('Lorri 401b'!N1653,'Retirement Calculator'!A:A,0),0),0)</f>
        <v>0</v>
      </c>
      <c r="K1653" s="444">
        <f t="shared" ca="1" si="113"/>
        <v>-2172300.9605780719</v>
      </c>
      <c r="L1653" s="444">
        <f t="shared" ca="1" si="114"/>
        <v>-523524531.49931532</v>
      </c>
      <c r="M1653" s="460">
        <f t="shared" si="116"/>
        <v>0.05</v>
      </c>
      <c r="N1653" s="464">
        <f t="shared" si="117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15"/>
        <v>-523524531.49931532</v>
      </c>
      <c r="J1654" s="444">
        <f t="array" ref="J1654">IFERROR(INDEX('Retirement Calculator'!K:K,MATCH('Lorri 401b'!N1654,'Retirement Calculator'!A:A,0),0),0)</f>
        <v>0</v>
      </c>
      <c r="K1654" s="444">
        <f t="shared" ca="1" si="113"/>
        <v>-2181352.2145804805</v>
      </c>
      <c r="L1654" s="444">
        <f t="shared" ca="1" si="114"/>
        <v>-525705883.7138958</v>
      </c>
      <c r="M1654" s="460">
        <f t="shared" si="116"/>
        <v>0.05</v>
      </c>
      <c r="N1654" s="464">
        <f t="shared" si="117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15"/>
        <v>-525705883.7138958</v>
      </c>
      <c r="J1655" s="444">
        <f t="array" ref="J1655">IFERROR(INDEX('Retirement Calculator'!K:K,MATCH('Lorri 401b'!N1655,'Retirement Calculator'!A:A,0),0),0)</f>
        <v>0</v>
      </c>
      <c r="K1655" s="444">
        <f t="shared" ca="1" si="113"/>
        <v>-2190441.1821412328</v>
      </c>
      <c r="L1655" s="444">
        <f t="shared" ca="1" si="114"/>
        <v>-527896324.89603704</v>
      </c>
      <c r="M1655" s="460">
        <f t="shared" si="116"/>
        <v>0.05</v>
      </c>
      <c r="N1655" s="464">
        <f t="shared" si="117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15"/>
        <v>-527896324.89603704</v>
      </c>
      <c r="J1656" s="444">
        <f t="array" ref="J1656">IFERROR(INDEX('Retirement Calculator'!K:K,MATCH('Lorri 401b'!N1656,'Retirement Calculator'!A:A,0),0),0)</f>
        <v>0</v>
      </c>
      <c r="K1656" s="444">
        <f t="shared" ca="1" si="113"/>
        <v>-2199568.0204001544</v>
      </c>
      <c r="L1656" s="444">
        <f t="shared" ca="1" si="114"/>
        <v>-530095892.91643721</v>
      </c>
      <c r="M1656" s="460">
        <f t="shared" si="116"/>
        <v>0.05</v>
      </c>
      <c r="N1656" s="464">
        <f t="shared" si="117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15"/>
        <v>-530095892.91643721</v>
      </c>
      <c r="J1657" s="444">
        <f t="array" ref="J1657">IFERROR(INDEX('Retirement Calculator'!K:K,MATCH('Lorri 401b'!N1657,'Retirement Calculator'!A:A,0),0),0)</f>
        <v>0</v>
      </c>
      <c r="K1657" s="444">
        <f t="shared" ca="1" si="113"/>
        <v>-2208732.887151822</v>
      </c>
      <c r="L1657" s="444">
        <f t="shared" ca="1" si="114"/>
        <v>-532304625.80358905</v>
      </c>
      <c r="M1657" s="460">
        <f t="shared" si="116"/>
        <v>0.05</v>
      </c>
      <c r="N1657" s="464">
        <f t="shared" si="117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15"/>
        <v>-532304625.80358905</v>
      </c>
      <c r="J1658" s="444">
        <f t="array" ref="J1658">IFERROR(INDEX('Retirement Calculator'!K:K,MATCH('Lorri 401b'!N1658,'Retirement Calculator'!A:A,0),0),0)</f>
        <v>0</v>
      </c>
      <c r="K1658" s="444">
        <f t="shared" ca="1" si="113"/>
        <v>-2217935.9408482881</v>
      </c>
      <c r="L1658" s="444">
        <f t="shared" ca="1" si="114"/>
        <v>-534522561.74443734</v>
      </c>
      <c r="M1658" s="460">
        <f t="shared" si="116"/>
        <v>0.05</v>
      </c>
      <c r="N1658" s="464">
        <f t="shared" si="117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15"/>
        <v>-534522561.74443734</v>
      </c>
      <c r="J1659" s="444">
        <f t="array" ref="J1659">IFERROR(INDEX('Retirement Calculator'!K:K,MATCH('Lorri 401b'!N1659,'Retirement Calculator'!A:A,0),0),0)</f>
        <v>0</v>
      </c>
      <c r="K1659" s="444">
        <f t="shared" ca="1" si="113"/>
        <v>-2227177.3406018224</v>
      </c>
      <c r="L1659" s="444">
        <f t="shared" ca="1" si="114"/>
        <v>-536749739.08503914</v>
      </c>
      <c r="M1659" s="460">
        <f t="shared" si="116"/>
        <v>0.05</v>
      </c>
      <c r="N1659" s="464">
        <f t="shared" si="117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15"/>
        <v>-536749739.08503914</v>
      </c>
      <c r="J1660" s="444">
        <f t="array" ref="J1660">IFERROR(INDEX('Retirement Calculator'!K:K,MATCH('Lorri 401b'!N1660,'Retirement Calculator'!A:A,0),0),0)</f>
        <v>0</v>
      </c>
      <c r="K1660" s="444">
        <f t="shared" ca="1" si="113"/>
        <v>-2236457.2461876632</v>
      </c>
      <c r="L1660" s="444">
        <f t="shared" ca="1" si="114"/>
        <v>-538986196.33122683</v>
      </c>
      <c r="M1660" s="460">
        <f t="shared" si="116"/>
        <v>0.05</v>
      </c>
      <c r="N1660" s="464">
        <f t="shared" si="117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15"/>
        <v>-538986196.33122683</v>
      </c>
      <c r="J1661" s="444">
        <f t="array" ref="J1661">IFERROR(INDEX('Retirement Calculator'!K:K,MATCH('Lorri 401b'!N1661,'Retirement Calculator'!A:A,0),0),0)</f>
        <v>0</v>
      </c>
      <c r="K1661" s="444">
        <f t="shared" ca="1" si="113"/>
        <v>-2245775.8180467784</v>
      </c>
      <c r="L1661" s="444">
        <f t="shared" ca="1" si="114"/>
        <v>-541231972.14927363</v>
      </c>
      <c r="M1661" s="460">
        <f t="shared" si="116"/>
        <v>0.05</v>
      </c>
      <c r="N1661" s="464">
        <f t="shared" si="117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15"/>
        <v>-541231972.14927363</v>
      </c>
      <c r="J1662" s="444">
        <f t="array" ref="J1662">IFERROR(INDEX('Retirement Calculator'!K:K,MATCH('Lorri 401b'!N1662,'Retirement Calculator'!A:A,0),0),0)</f>
        <v>0</v>
      </c>
      <c r="K1662" s="444">
        <f t="shared" ca="1" si="113"/>
        <v>-2255133.2172886403</v>
      </c>
      <c r="L1662" s="444">
        <f t="shared" ca="1" si="114"/>
        <v>-543487105.36656225</v>
      </c>
      <c r="M1662" s="460">
        <f t="shared" si="116"/>
        <v>0.05</v>
      </c>
      <c r="N1662" s="464">
        <f t="shared" si="117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15"/>
        <v>-543487105.36656225</v>
      </c>
      <c r="J1663" s="444">
        <f t="array" ref="J1663">IFERROR(INDEX('Retirement Calculator'!K:K,MATCH('Lorri 401b'!N1663,'Retirement Calculator'!A:A,0),0),0)</f>
        <v>0</v>
      </c>
      <c r="K1663" s="444">
        <f t="shared" ca="1" si="113"/>
        <v>-2264529.6056940095</v>
      </c>
      <c r="L1663" s="444">
        <f t="shared" ca="1" si="114"/>
        <v>-545751634.9722563</v>
      </c>
      <c r="M1663" s="460">
        <f t="shared" si="116"/>
        <v>0.05</v>
      </c>
      <c r="N1663" s="464">
        <f t="shared" si="117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15"/>
        <v>-545751634.9722563</v>
      </c>
      <c r="J1664" s="444">
        <f t="array" ref="J1664">IFERROR(INDEX('Retirement Calculator'!K:K,MATCH('Lorri 401b'!N1664,'Retirement Calculator'!A:A,0),0),0)</f>
        <v>0</v>
      </c>
      <c r="K1664" s="444">
        <f t="shared" ca="1" si="113"/>
        <v>-2273965.1457177345</v>
      </c>
      <c r="L1664" s="444">
        <f t="shared" ca="1" si="114"/>
        <v>-548025600.11797404</v>
      </c>
      <c r="M1664" s="460">
        <f t="shared" si="116"/>
        <v>0.05</v>
      </c>
      <c r="N1664" s="464">
        <f t="shared" si="117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15"/>
        <v>-548025600.11797404</v>
      </c>
      <c r="J1665" s="444">
        <f t="array" ref="J1665">IFERROR(INDEX('Retirement Calculator'!K:K,MATCH('Lorri 401b'!N1665,'Retirement Calculator'!A:A,0),0),0)</f>
        <v>0</v>
      </c>
      <c r="K1665" s="444">
        <f t="shared" ca="1" si="113"/>
        <v>-2283440.0004915586</v>
      </c>
      <c r="L1665" s="444">
        <f t="shared" ca="1" si="114"/>
        <v>-550309040.11846554</v>
      </c>
      <c r="M1665" s="460">
        <f t="shared" si="116"/>
        <v>0.05</v>
      </c>
      <c r="N1665" s="464">
        <f t="shared" si="117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15"/>
        <v>-550309040.11846554</v>
      </c>
      <c r="J1666" s="444">
        <f t="array" ref="J1666">IFERROR(INDEX('Retirement Calculator'!K:K,MATCH('Lorri 401b'!N1666,'Retirement Calculator'!A:A,0),0),0)</f>
        <v>0</v>
      </c>
      <c r="K1666" s="444">
        <f t="shared" ca="1" si="113"/>
        <v>-2292954.3338269396</v>
      </c>
      <c r="L1666" s="444">
        <f t="shared" ca="1" si="114"/>
        <v>-552601994.45229244</v>
      </c>
      <c r="M1666" s="460">
        <f t="shared" si="116"/>
        <v>0.05</v>
      </c>
      <c r="N1666" s="464">
        <f t="shared" si="117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15"/>
        <v>-552601994.45229244</v>
      </c>
      <c r="J1667" s="444">
        <f t="array" ref="J1667">IFERROR(INDEX('Retirement Calculator'!K:K,MATCH('Lorri 401b'!N1667,'Retirement Calculator'!A:A,0),0),0)</f>
        <v>0</v>
      </c>
      <c r="K1667" s="444">
        <f t="shared" ca="1" si="113"/>
        <v>-2302508.3102178853</v>
      </c>
      <c r="L1667" s="444">
        <f t="shared" ca="1" si="114"/>
        <v>-554904502.7625103</v>
      </c>
      <c r="M1667" s="460">
        <f t="shared" si="116"/>
        <v>0.05</v>
      </c>
      <c r="N1667" s="464">
        <f t="shared" si="117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15"/>
        <v>-554904502.7625103</v>
      </c>
      <c r="J1668" s="444">
        <f t="array" ref="J1668">IFERROR(INDEX('Retirement Calculator'!K:K,MATCH('Lorri 401b'!N1668,'Retirement Calculator'!A:A,0),0),0)</f>
        <v>0</v>
      </c>
      <c r="K1668" s="444">
        <f t="shared" ca="1" si="113"/>
        <v>-2312102.0948437927</v>
      </c>
      <c r="L1668" s="444">
        <f t="shared" ca="1" si="114"/>
        <v>-557216604.85735404</v>
      </c>
      <c r="M1668" s="460">
        <f t="shared" si="116"/>
        <v>0.05</v>
      </c>
      <c r="N1668" s="464">
        <f t="shared" si="117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15"/>
        <v>-557216604.85735404</v>
      </c>
      <c r="J1669" s="444">
        <f t="array" ref="J1669">IFERROR(INDEX('Retirement Calculator'!K:K,MATCH('Lorri 401b'!N1669,'Retirement Calculator'!A:A,0),0),0)</f>
        <v>0</v>
      </c>
      <c r="K1669" s="444">
        <f t="shared" ca="1" si="113"/>
        <v>-2321735.8535723086</v>
      </c>
      <c r="L1669" s="444">
        <f t="shared" ca="1" si="114"/>
        <v>-559538340.71092629</v>
      </c>
      <c r="M1669" s="460">
        <f t="shared" si="116"/>
        <v>0.05</v>
      </c>
      <c r="N1669" s="464">
        <f t="shared" si="117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15"/>
        <v>-559538340.71092629</v>
      </c>
      <c r="J1670" s="444">
        <f t="array" ref="J1670">IFERROR(INDEX('Retirement Calculator'!K:K,MATCH('Lorri 401b'!N1670,'Retirement Calculator'!A:A,0),0),0)</f>
        <v>0</v>
      </c>
      <c r="K1670" s="444">
        <f t="shared" ca="1" si="113"/>
        <v>-2331409.752962193</v>
      </c>
      <c r="L1670" s="444">
        <f t="shared" ca="1" si="114"/>
        <v>-561869750.46388853</v>
      </c>
      <c r="M1670" s="460">
        <f t="shared" si="116"/>
        <v>0.05</v>
      </c>
      <c r="N1670" s="464">
        <f t="shared" si="117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15"/>
        <v>-561869750.46388853</v>
      </c>
      <c r="J1671" s="444">
        <f t="array" ref="J1671">IFERROR(INDEX('Retirement Calculator'!K:K,MATCH('Lorri 401b'!N1671,'Retirement Calculator'!A:A,0),0),0)</f>
        <v>0</v>
      </c>
      <c r="K1671" s="444">
        <f t="shared" ca="1" si="113"/>
        <v>-2341123.9602662022</v>
      </c>
      <c r="L1671" s="444">
        <f t="shared" ca="1" si="114"/>
        <v>-564210874.42415476</v>
      </c>
      <c r="M1671" s="460">
        <f t="shared" si="116"/>
        <v>0.05</v>
      </c>
      <c r="N1671" s="464">
        <f t="shared" si="117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15"/>
        <v>-564210874.42415476</v>
      </c>
      <c r="J1672" s="444">
        <f t="array" ref="J1672">IFERROR(INDEX('Retirement Calculator'!K:K,MATCH('Lorri 401b'!N1672,'Retirement Calculator'!A:A,0),0),0)</f>
        <v>0</v>
      </c>
      <c r="K1672" s="444">
        <f t="shared" ca="1" si="113"/>
        <v>-2350878.6434339783</v>
      </c>
      <c r="L1672" s="444">
        <f t="shared" ca="1" si="114"/>
        <v>-566561753.06758869</v>
      </c>
      <c r="M1672" s="460">
        <f t="shared" si="116"/>
        <v>0.05</v>
      </c>
      <c r="N1672" s="464">
        <f t="shared" si="117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15"/>
        <v>-566561753.06758869</v>
      </c>
      <c r="J1673" s="444">
        <f t="array" ref="J1673">IFERROR(INDEX('Retirement Calculator'!K:K,MATCH('Lorri 401b'!N1673,'Retirement Calculator'!A:A,0),0),0)</f>
        <v>0</v>
      </c>
      <c r="K1673" s="444">
        <f t="shared" ca="1" si="113"/>
        <v>-2360673.971114953</v>
      </c>
      <c r="L1673" s="444">
        <f t="shared" ca="1" si="114"/>
        <v>-568922427.03870368</v>
      </c>
      <c r="M1673" s="460">
        <f t="shared" si="116"/>
        <v>0.05</v>
      </c>
      <c r="N1673" s="464">
        <f t="shared" si="117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15"/>
        <v>-568922427.03870368</v>
      </c>
      <c r="J1674" s="444">
        <f t="array" ref="J1674">IFERROR(INDEX('Retirement Calculator'!K:K,MATCH('Lorri 401b'!N1674,'Retirement Calculator'!A:A,0),0),0)</f>
        <v>0</v>
      </c>
      <c r="K1674" s="444">
        <f t="shared" ca="1" si="113"/>
        <v>-2370510.1126612653</v>
      </c>
      <c r="L1674" s="444">
        <f t="shared" ca="1" si="114"/>
        <v>-571292937.15136492</v>
      </c>
      <c r="M1674" s="460">
        <f t="shared" si="116"/>
        <v>0.05</v>
      </c>
      <c r="N1674" s="464">
        <f t="shared" si="117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15"/>
        <v>-571292937.15136492</v>
      </c>
      <c r="J1675" s="444">
        <f t="array" ref="J1675">IFERROR(INDEX('Retirement Calculator'!K:K,MATCH('Lorri 401b'!N1675,'Retirement Calculator'!A:A,0),0),0)</f>
        <v>0</v>
      </c>
      <c r="K1675" s="444">
        <f t="shared" ca="1" si="113"/>
        <v>-2380387.2381306873</v>
      </c>
      <c r="L1675" s="444">
        <f t="shared" ca="1" si="114"/>
        <v>-573673324.38949561</v>
      </c>
      <c r="M1675" s="460">
        <f t="shared" si="116"/>
        <v>0.05</v>
      </c>
      <c r="N1675" s="464">
        <f t="shared" si="117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15"/>
        <v>-573673324.38949561</v>
      </c>
      <c r="J1676" s="444">
        <f t="array" ref="J1676">IFERROR(INDEX('Retirement Calculator'!K:K,MATCH('Lorri 401b'!N1676,'Retirement Calculator'!A:A,0),0),0)</f>
        <v>0</v>
      </c>
      <c r="K1676" s="444">
        <f t="shared" ca="1" si="113"/>
        <v>-2390305.5182895651</v>
      </c>
      <c r="L1676" s="444">
        <f t="shared" ca="1" si="114"/>
        <v>-576063629.90778518</v>
      </c>
      <c r="M1676" s="460">
        <f t="shared" si="116"/>
        <v>0.05</v>
      </c>
      <c r="N1676" s="464">
        <f t="shared" si="117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15"/>
        <v>-576063629.90778518</v>
      </c>
      <c r="J1677" s="444">
        <f t="array" ref="J1677">IFERROR(INDEX('Retirement Calculator'!K:K,MATCH('Lorri 401b'!N1677,'Retirement Calculator'!A:A,0),0),0)</f>
        <v>0</v>
      </c>
      <c r="K1677" s="444">
        <f t="shared" ca="1" si="113"/>
        <v>-2400265.1246157717</v>
      </c>
      <c r="L1677" s="444">
        <f t="shared" ca="1" si="114"/>
        <v>-578463895.03240097</v>
      </c>
      <c r="M1677" s="460">
        <f t="shared" si="116"/>
        <v>0.05</v>
      </c>
      <c r="N1677" s="464">
        <f t="shared" si="117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15"/>
        <v>-578463895.03240097</v>
      </c>
      <c r="J1678" s="444">
        <f t="array" ref="J1678">IFERROR(INDEX('Retirement Calculator'!K:K,MATCH('Lorri 401b'!N1678,'Retirement Calculator'!A:A,0),0),0)</f>
        <v>0</v>
      </c>
      <c r="K1678" s="444">
        <f t="shared" ca="1" si="113"/>
        <v>-2410266.2293016706</v>
      </c>
      <c r="L1678" s="444">
        <f t="shared" ca="1" si="114"/>
        <v>-580874161.26170266</v>
      </c>
      <c r="M1678" s="460">
        <f t="shared" si="116"/>
        <v>0.05</v>
      </c>
      <c r="N1678" s="464">
        <f t="shared" si="117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15"/>
        <v>-580874161.26170266</v>
      </c>
      <c r="J1679" s="444">
        <f t="array" ref="J1679">IFERROR(INDEX('Retirement Calculator'!K:K,MATCH('Lorri 401b'!N1679,'Retirement Calculator'!A:A,0),0),0)</f>
        <v>0</v>
      </c>
      <c r="K1679" s="444">
        <f t="shared" ca="1" si="113"/>
        <v>-2420309.0052570943</v>
      </c>
      <c r="L1679" s="444">
        <f t="shared" ca="1" si="114"/>
        <v>-583294470.26695979</v>
      </c>
      <c r="M1679" s="460">
        <f t="shared" si="116"/>
        <v>0.05</v>
      </c>
      <c r="N1679" s="464">
        <f t="shared" si="117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15"/>
        <v>-583294470.26695979</v>
      </c>
      <c r="J1680" s="444">
        <f t="array" ref="J1680">IFERROR(INDEX('Retirement Calculator'!K:K,MATCH('Lorri 401b'!N1680,'Retirement Calculator'!A:A,0),0),0)</f>
        <v>0</v>
      </c>
      <c r="K1680" s="444">
        <f t="shared" ca="1" si="113"/>
        <v>-2430393.6261123326</v>
      </c>
      <c r="L1680" s="444">
        <f t="shared" ca="1" si="114"/>
        <v>-585724863.89307213</v>
      </c>
      <c r="M1680" s="460">
        <f t="shared" si="116"/>
        <v>0.05</v>
      </c>
      <c r="N1680" s="464">
        <f t="shared" si="117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15"/>
        <v>-585724863.89307213</v>
      </c>
      <c r="J1681" s="444">
        <f t="array" ref="J1681">IFERROR(INDEX('Retirement Calculator'!K:K,MATCH('Lorri 401b'!N1681,'Retirement Calculator'!A:A,0),0),0)</f>
        <v>0</v>
      </c>
      <c r="K1681" s="444">
        <f t="shared" ca="1" si="113"/>
        <v>-2440520.266221134</v>
      </c>
      <c r="L1681" s="444">
        <f t="shared" ca="1" si="114"/>
        <v>-588165384.15929329</v>
      </c>
      <c r="M1681" s="460">
        <f t="shared" si="116"/>
        <v>0.05</v>
      </c>
      <c r="N1681" s="464">
        <f t="shared" si="117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15"/>
        <v>-588165384.15929329</v>
      </c>
      <c r="J1682" s="444">
        <f t="array" ref="J1682">IFERROR(INDEX('Retirement Calculator'!K:K,MATCH('Lorri 401b'!N1682,'Retirement Calculator'!A:A,0),0),0)</f>
        <v>0</v>
      </c>
      <c r="K1682" s="444">
        <f t="shared" ca="1" si="113"/>
        <v>-2450689.100663722</v>
      </c>
      <c r="L1682" s="444">
        <f t="shared" ca="1" si="114"/>
        <v>-590616073.25995708</v>
      </c>
      <c r="M1682" s="460">
        <f t="shared" si="116"/>
        <v>0.05</v>
      </c>
      <c r="N1682" s="464">
        <f t="shared" si="117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15"/>
        <v>-590616073.25995708</v>
      </c>
      <c r="J1683" s="444">
        <f t="array" ref="J1683">IFERROR(INDEX('Retirement Calculator'!K:K,MATCH('Lorri 401b'!N1683,'Retirement Calculator'!A:A,0),0),0)</f>
        <v>0</v>
      </c>
      <c r="K1683" s="444">
        <f t="shared" ca="1" si="113"/>
        <v>-2460900.3052498209</v>
      </c>
      <c r="L1683" s="444">
        <f t="shared" ca="1" si="114"/>
        <v>-593076973.56520689</v>
      </c>
      <c r="M1683" s="460">
        <f t="shared" si="116"/>
        <v>0.05</v>
      </c>
      <c r="N1683" s="464">
        <f t="shared" si="117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15"/>
        <v>-593076973.56520689</v>
      </c>
      <c r="J1684" s="444">
        <f t="array" ref="J1684">IFERROR(INDEX('Retirement Calculator'!K:K,MATCH('Lorri 401b'!N1684,'Retirement Calculator'!A:A,0),0),0)</f>
        <v>0</v>
      </c>
      <c r="K1684" s="444">
        <f t="shared" ca="1" si="113"/>
        <v>-2471154.0565216951</v>
      </c>
      <c r="L1684" s="444">
        <f t="shared" ca="1" si="114"/>
        <v>-595548127.62172854</v>
      </c>
      <c r="M1684" s="460">
        <f t="shared" si="116"/>
        <v>0.05</v>
      </c>
      <c r="N1684" s="464">
        <f t="shared" si="117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15"/>
        <v>-595548127.62172854</v>
      </c>
      <c r="J1685" s="444">
        <f t="array" ref="J1685">IFERROR(INDEX('Retirement Calculator'!K:K,MATCH('Lorri 401b'!N1685,'Retirement Calculator'!A:A,0),0),0)</f>
        <v>0</v>
      </c>
      <c r="K1685" s="444">
        <f t="shared" ca="1" si="113"/>
        <v>-2481450.531757202</v>
      </c>
      <c r="L1685" s="444">
        <f t="shared" ca="1" si="114"/>
        <v>-598029578.15348577</v>
      </c>
      <c r="M1685" s="460">
        <f t="shared" si="116"/>
        <v>0.05</v>
      </c>
      <c r="N1685" s="464">
        <f t="shared" si="117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15"/>
        <v>-598029578.15348577</v>
      </c>
      <c r="J1686" s="444">
        <f t="array" ref="J1686">IFERROR(INDEX('Retirement Calculator'!K:K,MATCH('Lorri 401b'!N1686,'Retirement Calculator'!A:A,0),0),0)</f>
        <v>0</v>
      </c>
      <c r="K1686" s="444">
        <f t="shared" ca="1" si="113"/>
        <v>-2491789.9089728575</v>
      </c>
      <c r="L1686" s="444">
        <f t="shared" ca="1" si="114"/>
        <v>-600521368.06245863</v>
      </c>
      <c r="M1686" s="460">
        <f t="shared" si="116"/>
        <v>0.05</v>
      </c>
      <c r="N1686" s="464">
        <f t="shared" si="117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15"/>
        <v>-600521368.06245863</v>
      </c>
      <c r="J1687" s="444">
        <f t="array" ref="J1687">IFERROR(INDEX('Retirement Calculator'!K:K,MATCH('Lorri 401b'!N1687,'Retirement Calculator'!A:A,0),0),0)</f>
        <v>0</v>
      </c>
      <c r="K1687" s="444">
        <f t="shared" ca="1" si="113"/>
        <v>-2502172.3669269108</v>
      </c>
      <c r="L1687" s="444">
        <f t="shared" ca="1" si="114"/>
        <v>-603023540.42938554</v>
      </c>
      <c r="M1687" s="460">
        <f t="shared" si="116"/>
        <v>0.05</v>
      </c>
      <c r="N1687" s="464">
        <f t="shared" si="117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15"/>
        <v>-603023540.42938554</v>
      </c>
      <c r="J1688" s="444">
        <f t="array" ref="J1688">IFERROR(INDEX('Retirement Calculator'!K:K,MATCH('Lorri 401b'!N1688,'Retirement Calculator'!A:A,0),0),0)</f>
        <v>0</v>
      </c>
      <c r="K1688" s="444">
        <f t="shared" ca="1" si="113"/>
        <v>-2512598.0851224395</v>
      </c>
      <c r="L1688" s="444">
        <f t="shared" ca="1" si="114"/>
        <v>-605536138.51450801</v>
      </c>
      <c r="M1688" s="460">
        <f t="shared" si="116"/>
        <v>0.05</v>
      </c>
      <c r="N1688" s="464">
        <f t="shared" si="117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15"/>
        <v>-605536138.51450801</v>
      </c>
      <c r="J1689" s="444">
        <f t="array" ref="J1689">IFERROR(INDEX('Retirement Calculator'!K:K,MATCH('Lorri 401b'!N1689,'Retirement Calculator'!A:A,0),0),0)</f>
        <v>0</v>
      </c>
      <c r="K1689" s="444">
        <f t="shared" ca="1" si="113"/>
        <v>-2523067.2438104502</v>
      </c>
      <c r="L1689" s="444">
        <f t="shared" ca="1" si="114"/>
        <v>-608059205.75831842</v>
      </c>
      <c r="M1689" s="460">
        <f t="shared" si="116"/>
        <v>0.05</v>
      </c>
      <c r="N1689" s="464">
        <f t="shared" si="117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15"/>
        <v>-608059205.75831842</v>
      </c>
      <c r="J1690" s="444">
        <f t="array" ref="J1690">IFERROR(INDEX('Retirement Calculator'!K:K,MATCH('Lorri 401b'!N1690,'Retirement Calculator'!A:A,0),0),0)</f>
        <v>0</v>
      </c>
      <c r="K1690" s="444">
        <f t="shared" ca="1" si="113"/>
        <v>-2533580.0239929934</v>
      </c>
      <c r="L1690" s="444">
        <f t="shared" ca="1" si="114"/>
        <v>-610592785.78231144</v>
      </c>
      <c r="M1690" s="460">
        <f t="shared" si="116"/>
        <v>0.05</v>
      </c>
      <c r="N1690" s="464">
        <f t="shared" si="117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15"/>
        <v>-610592785.78231144</v>
      </c>
      <c r="J1691" s="444">
        <f t="array" ref="J1691">IFERROR(INDEX('Retirement Calculator'!K:K,MATCH('Lorri 401b'!N1691,'Retirement Calculator'!A:A,0),0),0)</f>
        <v>0</v>
      </c>
      <c r="K1691" s="444">
        <f t="shared" ca="1" si="113"/>
        <v>-2544136.6074262979</v>
      </c>
      <c r="L1691" s="444">
        <f t="shared" ca="1" si="114"/>
        <v>-613136922.38973773</v>
      </c>
      <c r="M1691" s="460">
        <f t="shared" si="116"/>
        <v>0.05</v>
      </c>
      <c r="N1691" s="464">
        <f t="shared" si="117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15"/>
        <v>-613136922.38973773</v>
      </c>
      <c r="J1692" s="444">
        <f t="array" ref="J1692">IFERROR(INDEX('Retirement Calculator'!K:K,MATCH('Lorri 401b'!N1692,'Retirement Calculator'!A:A,0),0),0)</f>
        <v>0</v>
      </c>
      <c r="K1692" s="444">
        <f t="shared" ca="1" si="113"/>
        <v>-2554737.1766239069</v>
      </c>
      <c r="L1692" s="444">
        <f t="shared" ca="1" si="114"/>
        <v>-615691659.56636167</v>
      </c>
      <c r="M1692" s="460">
        <f t="shared" si="116"/>
        <v>0.05</v>
      </c>
      <c r="N1692" s="464">
        <f t="shared" si="117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15"/>
        <v>-615691659.56636167</v>
      </c>
      <c r="J1693" s="444">
        <f t="array" ref="J1693">IFERROR(INDEX('Retirement Calculator'!K:K,MATCH('Lorri 401b'!N1693,'Retirement Calculator'!A:A,0),0),0)</f>
        <v>0</v>
      </c>
      <c r="K1693" s="444">
        <f t="shared" ca="1" si="113"/>
        <v>-2565381.9148598402</v>
      </c>
      <c r="L1693" s="444">
        <f t="shared" ca="1" si="114"/>
        <v>-618257041.48122156</v>
      </c>
      <c r="M1693" s="460">
        <f t="shared" si="116"/>
        <v>0.05</v>
      </c>
      <c r="N1693" s="464">
        <f t="shared" si="117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15"/>
        <v>-618257041.48122156</v>
      </c>
      <c r="J1694" s="444">
        <f t="array" ref="J1694">IFERROR(INDEX('Retirement Calculator'!K:K,MATCH('Lorri 401b'!N1694,'Retirement Calculator'!A:A,0),0),0)</f>
        <v>0</v>
      </c>
      <c r="K1694" s="444">
        <f t="shared" ca="1" si="113"/>
        <v>-2576071.0061717564</v>
      </c>
      <c r="L1694" s="444">
        <f t="shared" ca="1" si="114"/>
        <v>-620833112.48739326</v>
      </c>
      <c r="M1694" s="460">
        <f t="shared" si="116"/>
        <v>0.05</v>
      </c>
      <c r="N1694" s="464">
        <f t="shared" si="117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15"/>
        <v>-620833112.48739326</v>
      </c>
      <c r="J1695" s="444">
        <f t="array" ref="J1695">IFERROR(INDEX('Retirement Calculator'!K:K,MATCH('Lorri 401b'!N1695,'Retirement Calculator'!A:A,0),0),0)</f>
        <v>0</v>
      </c>
      <c r="K1695" s="444">
        <f t="shared" ca="1" si="113"/>
        <v>-2586804.6353641385</v>
      </c>
      <c r="L1695" s="444">
        <f t="shared" ca="1" si="114"/>
        <v>-623419917.12275743</v>
      </c>
      <c r="M1695" s="460">
        <f t="shared" si="116"/>
        <v>0.05</v>
      </c>
      <c r="N1695" s="464">
        <f t="shared" si="117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15"/>
        <v>-623419917.12275743</v>
      </c>
      <c r="J1696" s="444">
        <f t="array" ref="J1696">IFERROR(INDEX('Retirement Calculator'!K:K,MATCH('Lorri 401b'!N1696,'Retirement Calculator'!A:A,0),0),0)</f>
        <v>0</v>
      </c>
      <c r="K1696" s="444">
        <f t="shared" ca="1" si="113"/>
        <v>-2597582.9880114892</v>
      </c>
      <c r="L1696" s="444">
        <f t="shared" ca="1" si="114"/>
        <v>-626017500.11076891</v>
      </c>
      <c r="M1696" s="460">
        <f t="shared" si="116"/>
        <v>0.05</v>
      </c>
      <c r="N1696" s="464">
        <f t="shared" si="117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15"/>
        <v>-626017500.11076891</v>
      </c>
      <c r="J1697" s="444">
        <f t="array" ref="J1697">IFERROR(INDEX('Retirement Calculator'!K:K,MATCH('Lorri 401b'!N1697,'Retirement Calculator'!A:A,0),0),0)</f>
        <v>0</v>
      </c>
      <c r="K1697" s="444">
        <f t="shared" ca="1" si="113"/>
        <v>-2608406.2504615369</v>
      </c>
      <c r="L1697" s="444">
        <f t="shared" ca="1" si="114"/>
        <v>-628625906.36123049</v>
      </c>
      <c r="M1697" s="460">
        <f t="shared" si="116"/>
        <v>0.05</v>
      </c>
      <c r="N1697" s="464">
        <f t="shared" si="117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15"/>
        <v>-628625906.36123049</v>
      </c>
      <c r="J1698" s="444">
        <f t="array" ref="J1698">IFERROR(INDEX('Retirement Calculator'!K:K,MATCH('Lorri 401b'!N1698,'Retirement Calculator'!A:A,0),0),0)</f>
        <v>0</v>
      </c>
      <c r="K1698" s="444">
        <f t="shared" ca="1" si="113"/>
        <v>-2619274.6098384606</v>
      </c>
      <c r="L1698" s="444">
        <f t="shared" ca="1" si="114"/>
        <v>-631245180.97106898</v>
      </c>
      <c r="M1698" s="460">
        <f t="shared" si="116"/>
        <v>0.05</v>
      </c>
      <c r="N1698" s="464">
        <f t="shared" si="117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15"/>
        <v>-631245180.97106898</v>
      </c>
      <c r="J1699" s="444">
        <f t="array" ref="J1699">IFERROR(INDEX('Retirement Calculator'!K:K,MATCH('Lorri 401b'!N1699,'Retirement Calculator'!A:A,0),0),0)</f>
        <v>0</v>
      </c>
      <c r="K1699" s="444">
        <f t="shared" ca="1" si="113"/>
        <v>-2630188.2540461207</v>
      </c>
      <c r="L1699" s="444">
        <f t="shared" ca="1" si="114"/>
        <v>-633875369.22511506</v>
      </c>
      <c r="M1699" s="460">
        <f t="shared" si="116"/>
        <v>0.05</v>
      </c>
      <c r="N1699" s="464">
        <f t="shared" si="117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15"/>
        <v>-633875369.22511506</v>
      </c>
      <c r="J1700" s="444">
        <f t="array" ref="J1700">IFERROR(INDEX('Retirement Calculator'!K:K,MATCH('Lorri 401b'!N1700,'Retirement Calculator'!A:A,0),0),0)</f>
        <v>0</v>
      </c>
      <c r="K1700" s="444">
        <f t="shared" ca="1" si="113"/>
        <v>-2641147.3717713128</v>
      </c>
      <c r="L1700" s="444">
        <f t="shared" ca="1" si="114"/>
        <v>-636516516.5968864</v>
      </c>
      <c r="M1700" s="460">
        <f t="shared" si="116"/>
        <v>0.05</v>
      </c>
      <c r="N1700" s="464">
        <f t="shared" si="117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15"/>
        <v>-636516516.5968864</v>
      </c>
      <c r="J1701" s="444">
        <f t="array" ref="J1701">IFERROR(INDEX('Retirement Calculator'!K:K,MATCH('Lorri 401b'!N1701,'Retirement Calculator'!A:A,0),0),0)</f>
        <v>0</v>
      </c>
      <c r="K1701" s="444">
        <f t="shared" ca="1" si="113"/>
        <v>-2652152.1524870265</v>
      </c>
      <c r="L1701" s="444">
        <f t="shared" ca="1" si="114"/>
        <v>-639168668.74937344</v>
      </c>
      <c r="M1701" s="460">
        <f t="shared" si="116"/>
        <v>0.05</v>
      </c>
      <c r="N1701" s="464">
        <f t="shared" si="117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15"/>
        <v>-639168668.74937344</v>
      </c>
      <c r="J1702" s="444">
        <f t="array" ref="J1702">IFERROR(INDEX('Retirement Calculator'!K:K,MATCH('Lorri 401b'!N1702,'Retirement Calculator'!A:A,0),0),0)</f>
        <v>0</v>
      </c>
      <c r="K1702" s="444">
        <f t="shared" ca="1" si="113"/>
        <v>-2663202.7864557225</v>
      </c>
      <c r="L1702" s="444">
        <f t="shared" ca="1" si="114"/>
        <v>-641831871.53582919</v>
      </c>
      <c r="M1702" s="460">
        <f t="shared" si="116"/>
        <v>0.05</v>
      </c>
      <c r="N1702" s="464">
        <f t="shared" si="117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15"/>
        <v>-641831871.53582919</v>
      </c>
      <c r="J1703" s="444">
        <f t="array" ref="J1703">IFERROR(INDEX('Retirement Calculator'!K:K,MATCH('Lorri 401b'!N1703,'Retirement Calculator'!A:A,0),0),0)</f>
        <v>0</v>
      </c>
      <c r="K1703" s="444">
        <f t="shared" ca="1" si="113"/>
        <v>-2674299.4647326218</v>
      </c>
      <c r="L1703" s="444">
        <f t="shared" ca="1" si="114"/>
        <v>-644506171.00056183</v>
      </c>
      <c r="M1703" s="460">
        <f t="shared" si="116"/>
        <v>0.05</v>
      </c>
      <c r="N1703" s="464">
        <f t="shared" si="117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15"/>
        <v>-644506171.00056183</v>
      </c>
      <c r="J1704" s="444">
        <f t="array" ref="J1704">IFERROR(INDEX('Retirement Calculator'!K:K,MATCH('Lorri 401b'!N1704,'Retirement Calculator'!A:A,0),0),0)</f>
        <v>0</v>
      </c>
      <c r="K1704" s="444">
        <f t="shared" ca="1" si="113"/>
        <v>-2685442.3791690078</v>
      </c>
      <c r="L1704" s="444">
        <f t="shared" ca="1" si="114"/>
        <v>-647191613.37973082</v>
      </c>
      <c r="M1704" s="460">
        <f t="shared" si="116"/>
        <v>0.05</v>
      </c>
      <c r="N1704" s="464">
        <f t="shared" si="117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15"/>
        <v>-647191613.37973082</v>
      </c>
      <c r="J1705" s="444">
        <f t="array" ref="J1705">IFERROR(INDEX('Retirement Calculator'!K:K,MATCH('Lorri 401b'!N1705,'Retirement Calculator'!A:A,0),0),0)</f>
        <v>0</v>
      </c>
      <c r="K1705" s="444">
        <f t="shared" ca="1" si="113"/>
        <v>-2696631.722415545</v>
      </c>
      <c r="L1705" s="444">
        <f t="shared" ca="1" si="114"/>
        <v>-649888245.10214639</v>
      </c>
      <c r="M1705" s="460">
        <f t="shared" si="116"/>
        <v>0.05</v>
      </c>
      <c r="N1705" s="464">
        <f t="shared" si="117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15"/>
        <v>-649888245.10214639</v>
      </c>
      <c r="J1706" s="444">
        <f t="array" ref="J1706">IFERROR(INDEX('Retirement Calculator'!K:K,MATCH('Lorri 401b'!N1706,'Retirement Calculator'!A:A,0),0),0)</f>
        <v>0</v>
      </c>
      <c r="K1706" s="444">
        <f t="shared" ca="1" si="113"/>
        <v>-2707867.6879256098</v>
      </c>
      <c r="L1706" s="444">
        <f t="shared" ca="1" si="114"/>
        <v>-652596112.79007196</v>
      </c>
      <c r="M1706" s="460">
        <f t="shared" si="116"/>
        <v>0.05</v>
      </c>
      <c r="N1706" s="464">
        <f t="shared" si="117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15"/>
        <v>-652596112.79007196</v>
      </c>
      <c r="J1707" s="444">
        <f t="array" ref="J1707">IFERROR(INDEX('Retirement Calculator'!K:K,MATCH('Lorri 401b'!N1707,'Retirement Calculator'!A:A,0),0),0)</f>
        <v>0</v>
      </c>
      <c r="K1707" s="444">
        <f t="shared" ca="1" si="113"/>
        <v>-2719150.4699586332</v>
      </c>
      <c r="L1707" s="444">
        <f t="shared" ca="1" si="114"/>
        <v>-655315263.26003063</v>
      </c>
      <c r="M1707" s="460">
        <f t="shared" si="116"/>
        <v>0.05</v>
      </c>
      <c r="N1707" s="464">
        <f t="shared" si="117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15"/>
        <v>-655315263.26003063</v>
      </c>
      <c r="J1708" s="444">
        <f t="array" ref="J1708">IFERROR(INDEX('Retirement Calculator'!K:K,MATCH('Lorri 401b'!N1708,'Retirement Calculator'!A:A,0),0),0)</f>
        <v>0</v>
      </c>
      <c r="K1708" s="444">
        <f t="shared" ca="1" si="113"/>
        <v>-2730480.2635834608</v>
      </c>
      <c r="L1708" s="444">
        <f t="shared" ca="1" si="114"/>
        <v>-658045743.52361405</v>
      </c>
      <c r="M1708" s="460">
        <f t="shared" si="116"/>
        <v>0.05</v>
      </c>
      <c r="N1708" s="464">
        <f t="shared" si="117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15"/>
        <v>-658045743.52361405</v>
      </c>
      <c r="J1709" s="444">
        <f t="array" ref="J1709">IFERROR(INDEX('Retirement Calculator'!K:K,MATCH('Lorri 401b'!N1709,'Retirement Calculator'!A:A,0),0),0)</f>
        <v>0</v>
      </c>
      <c r="K1709" s="444">
        <f t="shared" ca="1" si="113"/>
        <v>-2741857.2646817253</v>
      </c>
      <c r="L1709" s="444">
        <f t="shared" ca="1" si="114"/>
        <v>-660787600.78829575</v>
      </c>
      <c r="M1709" s="460">
        <f t="shared" si="116"/>
        <v>0.05</v>
      </c>
      <c r="N1709" s="464">
        <f t="shared" si="117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15"/>
        <v>-660787600.78829575</v>
      </c>
      <c r="J1710" s="444">
        <f t="array" ref="J1710">IFERROR(INDEX('Retirement Calculator'!K:K,MATCH('Lorri 401b'!N1710,'Retirement Calculator'!A:A,0),0),0)</f>
        <v>0</v>
      </c>
      <c r="K1710" s="444">
        <f t="shared" ca="1" si="113"/>
        <v>-2753281.6699512322</v>
      </c>
      <c r="L1710" s="444">
        <f t="shared" ca="1" si="114"/>
        <v>-663540882.45824695</v>
      </c>
      <c r="M1710" s="460">
        <f t="shared" si="116"/>
        <v>0.05</v>
      </c>
      <c r="N1710" s="464">
        <f t="shared" si="117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15"/>
        <v>-663540882.45824695</v>
      </c>
      <c r="J1711" s="444">
        <f t="array" ref="J1711">IFERROR(INDEX('Retirement Calculator'!K:K,MATCH('Lorri 401b'!N1711,'Retirement Calculator'!A:A,0),0),0)</f>
        <v>0</v>
      </c>
      <c r="K1711" s="444">
        <f t="shared" ca="1" si="113"/>
        <v>-2764753.6769093624</v>
      </c>
      <c r="L1711" s="444">
        <f t="shared" ca="1" si="114"/>
        <v>-666305636.13515627</v>
      </c>
      <c r="M1711" s="460">
        <f t="shared" si="116"/>
        <v>0.05</v>
      </c>
      <c r="N1711" s="464">
        <f t="shared" si="117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15"/>
        <v>-666305636.13515627</v>
      </c>
      <c r="J1712" s="444">
        <f t="array" ref="J1712">IFERROR(INDEX('Retirement Calculator'!K:K,MATCH('Lorri 401b'!N1712,'Retirement Calculator'!A:A,0),0),0)</f>
        <v>0</v>
      </c>
      <c r="K1712" s="444">
        <f t="shared" ca="1" si="113"/>
        <v>-2776273.4838964846</v>
      </c>
      <c r="L1712" s="444">
        <f t="shared" ca="1" si="114"/>
        <v>-669081909.61905277</v>
      </c>
      <c r="M1712" s="460">
        <f t="shared" si="116"/>
        <v>0.05</v>
      </c>
      <c r="N1712" s="464">
        <f t="shared" si="117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15"/>
        <v>-669081909.61905277</v>
      </c>
      <c r="J1713" s="444">
        <f t="array" ref="J1713">IFERROR(INDEX('Retirement Calculator'!K:K,MATCH('Lorri 401b'!N1713,'Retirement Calculator'!A:A,0),0),0)</f>
        <v>0</v>
      </c>
      <c r="K1713" s="444">
        <f t="shared" ca="1" si="113"/>
        <v>-2787841.2900793864</v>
      </c>
      <c r="L1713" s="444">
        <f t="shared" ca="1" si="114"/>
        <v>-671869750.90913212</v>
      </c>
      <c r="M1713" s="460">
        <f t="shared" si="116"/>
        <v>0.05</v>
      </c>
      <c r="N1713" s="464">
        <f t="shared" si="117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15"/>
        <v>-671869750.90913212</v>
      </c>
      <c r="J1714" s="444">
        <f t="array" ref="J1714">IFERROR(INDEX('Retirement Calculator'!K:K,MATCH('Lorri 401b'!N1714,'Retirement Calculator'!A:A,0),0),0)</f>
        <v>0</v>
      </c>
      <c r="K1714" s="444">
        <f t="shared" ca="1" si="113"/>
        <v>-2799457.2954547172</v>
      </c>
      <c r="L1714" s="444">
        <f t="shared" ca="1" si="114"/>
        <v>-674669208.20458686</v>
      </c>
      <c r="M1714" s="460">
        <f t="shared" si="116"/>
        <v>0.05</v>
      </c>
      <c r="N1714" s="464">
        <f t="shared" si="117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15"/>
        <v>-674669208.20458686</v>
      </c>
      <c r="J1715" s="444">
        <f t="array" ref="J1715">IFERROR(INDEX('Retirement Calculator'!K:K,MATCH('Lorri 401b'!N1715,'Retirement Calculator'!A:A,0),0),0)</f>
        <v>0</v>
      </c>
      <c r="K1715" s="444">
        <f t="shared" ca="1" si="113"/>
        <v>-2811121.7008524453</v>
      </c>
      <c r="L1715" s="444">
        <f t="shared" ca="1" si="114"/>
        <v>-677480329.90543926</v>
      </c>
      <c r="M1715" s="460">
        <f t="shared" si="116"/>
        <v>0.05</v>
      </c>
      <c r="N1715" s="464">
        <f t="shared" si="117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15"/>
        <v>-677480329.90543926</v>
      </c>
      <c r="J1716" s="444">
        <f t="array" ref="J1716">IFERROR(INDEX('Retirement Calculator'!K:K,MATCH('Lorri 401b'!N1716,'Retirement Calculator'!A:A,0),0),0)</f>
        <v>0</v>
      </c>
      <c r="K1716" s="444">
        <f t="shared" ca="1" si="113"/>
        <v>-2822834.70793933</v>
      </c>
      <c r="L1716" s="444">
        <f t="shared" ca="1" si="114"/>
        <v>-680303164.61337864</v>
      </c>
      <c r="M1716" s="460">
        <f t="shared" si="116"/>
        <v>0.05</v>
      </c>
      <c r="N1716" s="464">
        <f t="shared" si="117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15"/>
        <v>-680303164.61337864</v>
      </c>
      <c r="J1717" s="444">
        <f t="array" ref="J1717">IFERROR(INDEX('Retirement Calculator'!K:K,MATCH('Lorri 401b'!N1717,'Retirement Calculator'!A:A,0),0),0)</f>
        <v>0</v>
      </c>
      <c r="K1717" s="444">
        <f t="shared" ca="1" si="113"/>
        <v>-2834596.5192224109</v>
      </c>
      <c r="L1717" s="444">
        <f t="shared" ca="1" si="114"/>
        <v>-683137761.13260102</v>
      </c>
      <c r="M1717" s="460">
        <f t="shared" si="116"/>
        <v>0.05</v>
      </c>
      <c r="N1717" s="464">
        <f t="shared" si="117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15"/>
        <v>-683137761.13260102</v>
      </c>
      <c r="J1718" s="444">
        <f t="array" ref="J1718">IFERROR(INDEX('Retirement Calculator'!K:K,MATCH('Lorri 401b'!N1718,'Retirement Calculator'!A:A,0),0),0)</f>
        <v>0</v>
      </c>
      <c r="K1718" s="444">
        <f t="shared" ca="1" si="113"/>
        <v>-2846407.3380525042</v>
      </c>
      <c r="L1718" s="444">
        <f t="shared" ca="1" si="114"/>
        <v>-685984168.47065353</v>
      </c>
      <c r="M1718" s="460">
        <f t="shared" si="116"/>
        <v>0.05</v>
      </c>
      <c r="N1718" s="464">
        <f t="shared" si="117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15"/>
        <v>-685984168.47065353</v>
      </c>
      <c r="J1719" s="444">
        <f t="array" ref="J1719">IFERROR(INDEX('Retirement Calculator'!K:K,MATCH('Lorri 401b'!N1719,'Retirement Calculator'!A:A,0),0),0)</f>
        <v>0</v>
      </c>
      <c r="K1719" s="444">
        <f t="shared" ca="1" si="113"/>
        <v>-2858267.3686277228</v>
      </c>
      <c r="L1719" s="444">
        <f t="shared" ca="1" si="114"/>
        <v>-688842435.8392812</v>
      </c>
      <c r="M1719" s="460">
        <f t="shared" si="116"/>
        <v>0.05</v>
      </c>
      <c r="N1719" s="464">
        <f t="shared" si="117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15"/>
        <v>-688842435.8392812</v>
      </c>
      <c r="J1720" s="444">
        <f t="array" ref="J1720">IFERROR(INDEX('Retirement Calculator'!K:K,MATCH('Lorri 401b'!N1720,'Retirement Calculator'!A:A,0),0),0)</f>
        <v>0</v>
      </c>
      <c r="K1720" s="444">
        <f t="shared" ca="1" si="113"/>
        <v>-2870176.815997005</v>
      </c>
      <c r="L1720" s="444">
        <f t="shared" ca="1" si="114"/>
        <v>-691712612.65527821</v>
      </c>
      <c r="M1720" s="460">
        <f t="shared" si="116"/>
        <v>0.05</v>
      </c>
      <c r="N1720" s="464">
        <f t="shared" si="117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15"/>
        <v>-691712612.65527821</v>
      </c>
      <c r="J1721" s="444">
        <f t="array" ref="J1721">IFERROR(INDEX('Retirement Calculator'!K:K,MATCH('Lorri 401b'!N1721,'Retirement Calculator'!A:A,0),0),0)</f>
        <v>0</v>
      </c>
      <c r="K1721" s="444">
        <f t="shared" ca="1" si="113"/>
        <v>-2882135.8860636591</v>
      </c>
      <c r="L1721" s="444">
        <f t="shared" ca="1" si="114"/>
        <v>-694594748.5413419</v>
      </c>
      <c r="M1721" s="460">
        <f t="shared" si="116"/>
        <v>0.05</v>
      </c>
      <c r="N1721" s="464">
        <f t="shared" si="117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15"/>
        <v>-694594748.5413419</v>
      </c>
      <c r="J1722" s="444">
        <f t="array" ref="J1722">IFERROR(INDEX('Retirement Calculator'!K:K,MATCH('Lorri 401b'!N1722,'Retirement Calculator'!A:A,0),0),0)</f>
        <v>0</v>
      </c>
      <c r="K1722" s="444">
        <f t="shared" ca="1" si="113"/>
        <v>-2894144.7855889248</v>
      </c>
      <c r="L1722" s="444">
        <f t="shared" ca="1" si="114"/>
        <v>-697488893.32693088</v>
      </c>
      <c r="M1722" s="460">
        <f t="shared" si="116"/>
        <v>0.05</v>
      </c>
      <c r="N1722" s="464">
        <f t="shared" si="117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15"/>
        <v>-697488893.32693088</v>
      </c>
      <c r="J1723" s="444">
        <f t="array" ref="J1723">IFERROR(INDEX('Retirement Calculator'!K:K,MATCH('Lorri 401b'!N1723,'Retirement Calculator'!A:A,0),0),0)</f>
        <v>0</v>
      </c>
      <c r="K1723" s="444">
        <f t="shared" ca="1" si="113"/>
        <v>-2906203.7221955452</v>
      </c>
      <c r="L1723" s="444">
        <f t="shared" ca="1" si="114"/>
        <v>-700395097.04912639</v>
      </c>
      <c r="M1723" s="460">
        <f t="shared" si="116"/>
        <v>0.05</v>
      </c>
      <c r="N1723" s="464">
        <f t="shared" si="117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15"/>
        <v>-700395097.04912639</v>
      </c>
      <c r="J1724" s="444">
        <f t="array" ref="J1724">IFERROR(INDEX('Retirement Calculator'!K:K,MATCH('Lorri 401b'!N1724,'Retirement Calculator'!A:A,0),0),0)</f>
        <v>0</v>
      </c>
      <c r="K1724" s="444">
        <f t="shared" ca="1" si="113"/>
        <v>-2918312.9043713599</v>
      </c>
      <c r="L1724" s="444">
        <f t="shared" ca="1" si="114"/>
        <v>-703313409.95349777</v>
      </c>
      <c r="M1724" s="460">
        <f t="shared" si="116"/>
        <v>0.05</v>
      </c>
      <c r="N1724" s="464">
        <f t="shared" si="117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15"/>
        <v>-703313409.95349777</v>
      </c>
      <c r="J1725" s="444">
        <f t="array" ref="J1725">IFERROR(INDEX('Retirement Calculator'!K:K,MATCH('Lorri 401b'!N1725,'Retirement Calculator'!A:A,0),0),0)</f>
        <v>0</v>
      </c>
      <c r="K1725" s="444">
        <f t="shared" ca="1" si="113"/>
        <v>-2930472.5414729072</v>
      </c>
      <c r="L1725" s="444">
        <f t="shared" ca="1" si="114"/>
        <v>-706243882.49497068</v>
      </c>
      <c r="M1725" s="460">
        <f t="shared" si="116"/>
        <v>0.05</v>
      </c>
      <c r="N1725" s="464">
        <f t="shared" si="117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15"/>
        <v>-706243882.49497068</v>
      </c>
      <c r="J1726" s="444">
        <f t="array" ref="J1726">IFERROR(INDEX('Retirement Calculator'!K:K,MATCH('Lorri 401b'!N1726,'Retirement Calculator'!A:A,0),0),0)</f>
        <v>0</v>
      </c>
      <c r="K1726" s="444">
        <f t="shared" ca="1" si="113"/>
        <v>-2942682.8437290443</v>
      </c>
      <c r="L1726" s="444">
        <f t="shared" ca="1" si="114"/>
        <v>-709186565.3386997</v>
      </c>
      <c r="M1726" s="460">
        <f t="shared" si="116"/>
        <v>0.05</v>
      </c>
      <c r="N1726" s="464">
        <f t="shared" si="117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15"/>
        <v>-709186565.3386997</v>
      </c>
      <c r="J1727" s="444">
        <f t="array" ref="J1727">IFERROR(INDEX('Retirement Calculator'!K:K,MATCH('Lorri 401b'!N1727,'Retirement Calculator'!A:A,0),0),0)</f>
        <v>0</v>
      </c>
      <c r="K1727" s="444">
        <f t="shared" ca="1" si="113"/>
        <v>-2954944.022244582</v>
      </c>
      <c r="L1727" s="444">
        <f t="shared" ca="1" si="114"/>
        <v>-712141509.36094427</v>
      </c>
      <c r="M1727" s="460">
        <f t="shared" si="116"/>
        <v>0.05</v>
      </c>
      <c r="N1727" s="464">
        <f t="shared" si="117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15"/>
        <v>-712141509.36094427</v>
      </c>
      <c r="J1728" s="444">
        <f t="array" ref="J1728">IFERROR(INDEX('Retirement Calculator'!K:K,MATCH('Lorri 401b'!N1728,'Retirement Calculator'!A:A,0),0),0)</f>
        <v>0</v>
      </c>
      <c r="K1728" s="444">
        <f t="shared" ca="1" si="113"/>
        <v>-2967256.2890039342</v>
      </c>
      <c r="L1728" s="444">
        <f t="shared" ca="1" si="114"/>
        <v>-715108765.64994824</v>
      </c>
      <c r="M1728" s="460">
        <f t="shared" si="116"/>
        <v>0.05</v>
      </c>
      <c r="N1728" s="464">
        <f t="shared" si="117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15"/>
        <v>-715108765.64994824</v>
      </c>
      <c r="J1729" s="444">
        <f t="array" ref="J1729">IFERROR(INDEX('Retirement Calculator'!K:K,MATCH('Lorri 401b'!N1729,'Retirement Calculator'!A:A,0),0),0)</f>
        <v>0</v>
      </c>
      <c r="K1729" s="444">
        <f t="shared" ca="1" si="113"/>
        <v>-2979619.8568747845</v>
      </c>
      <c r="L1729" s="444">
        <f t="shared" ca="1" si="114"/>
        <v>-718088385.50682306</v>
      </c>
      <c r="M1729" s="460">
        <f t="shared" si="116"/>
        <v>0.05</v>
      </c>
      <c r="N1729" s="464">
        <f t="shared" si="117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15"/>
        <v>-718088385.50682306</v>
      </c>
      <c r="J1730" s="444">
        <f t="array" ref="J1730">IFERROR(INDEX('Retirement Calculator'!K:K,MATCH('Lorri 401b'!N1730,'Retirement Calculator'!A:A,0),0),0)</f>
        <v>0</v>
      </c>
      <c r="K1730" s="444">
        <f t="shared" ca="1" si="113"/>
        <v>-2992034.9396117628</v>
      </c>
      <c r="L1730" s="444">
        <f t="shared" ca="1" si="114"/>
        <v>-721080420.44643486</v>
      </c>
      <c r="M1730" s="460">
        <f t="shared" si="116"/>
        <v>0.05</v>
      </c>
      <c r="N1730" s="464">
        <f t="shared" si="117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15"/>
        <v>-721080420.44643486</v>
      </c>
      <c r="J1731" s="444">
        <f t="array" ref="J1731">IFERROR(INDEX('Retirement Calculator'!K:K,MATCH('Lorri 401b'!N1731,'Retirement Calculator'!A:A,0),0),0)</f>
        <v>0</v>
      </c>
      <c r="K1731" s="444">
        <f t="shared" ca="1" si="113"/>
        <v>-3004501.751860145</v>
      </c>
      <c r="L1731" s="444">
        <f t="shared" ca="1" si="114"/>
        <v>-724084922.198295</v>
      </c>
      <c r="M1731" s="460">
        <f t="shared" si="116"/>
        <v>0.05</v>
      </c>
      <c r="N1731" s="464">
        <f t="shared" si="117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15"/>
        <v>-724084922.198295</v>
      </c>
      <c r="J1732" s="444">
        <f t="array" ref="J1732">IFERROR(INDEX('Retirement Calculator'!K:K,MATCH('Lorri 401b'!N1732,'Retirement Calculator'!A:A,0),0),0)</f>
        <v>0</v>
      </c>
      <c r="K1732" s="444">
        <f t="shared" ca="1" si="113"/>
        <v>-3017020.5091595626</v>
      </c>
      <c r="L1732" s="444">
        <f t="shared" ca="1" si="114"/>
        <v>-727101942.70745456</v>
      </c>
      <c r="M1732" s="460">
        <f t="shared" si="116"/>
        <v>0.05</v>
      </c>
      <c r="N1732" s="464">
        <f t="shared" si="117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15"/>
        <v>-727101942.70745456</v>
      </c>
      <c r="J1733" s="444">
        <f t="array" ref="J1733">IFERROR(INDEX('Retirement Calculator'!K:K,MATCH('Lorri 401b'!N1733,'Retirement Calculator'!A:A,0),0),0)</f>
        <v>0</v>
      </c>
      <c r="K1733" s="444">
        <f t="shared" ca="1" si="113"/>
        <v>-3029591.4279477275</v>
      </c>
      <c r="L1733" s="444">
        <f t="shared" ca="1" si="114"/>
        <v>-730131534.13540232</v>
      </c>
      <c r="M1733" s="460">
        <f t="shared" si="116"/>
        <v>0.05</v>
      </c>
      <c r="N1733" s="464">
        <f t="shared" si="117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15"/>
        <v>-730131534.13540232</v>
      </c>
      <c r="J1734" s="444">
        <f t="array" ref="J1734">IFERROR(INDEX('Retirement Calculator'!K:K,MATCH('Lorri 401b'!N1734,'Retirement Calculator'!A:A,0),0),0)</f>
        <v>0</v>
      </c>
      <c r="K1734" s="444">
        <f t="shared" ca="1" si="113"/>
        <v>-3042214.7255641762</v>
      </c>
      <c r="L1734" s="444">
        <f t="shared" ca="1" si="114"/>
        <v>-733173748.86096644</v>
      </c>
      <c r="M1734" s="460">
        <f t="shared" si="116"/>
        <v>0.05</v>
      </c>
      <c r="N1734" s="464">
        <f t="shared" si="117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15"/>
        <v>-733173748.86096644</v>
      </c>
      <c r="J1735" s="444">
        <f t="array" ref="J1735">IFERROR(INDEX('Retirement Calculator'!K:K,MATCH('Lorri 401b'!N1735,'Retirement Calculator'!A:A,0),0),0)</f>
        <v>0</v>
      </c>
      <c r="K1735" s="444">
        <f t="shared" ca="1" si="113"/>
        <v>-3054890.6202540267</v>
      </c>
      <c r="L1735" s="444">
        <f t="shared" ca="1" si="114"/>
        <v>-736228639.48122048</v>
      </c>
      <c r="M1735" s="460">
        <f t="shared" si="116"/>
        <v>0.05</v>
      </c>
      <c r="N1735" s="464">
        <f t="shared" si="117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15"/>
        <v>-736228639.48122048</v>
      </c>
      <c r="J1736" s="444">
        <f t="array" ref="J1736">IFERROR(INDEX('Retirement Calculator'!K:K,MATCH('Lorri 401b'!N1736,'Retirement Calculator'!A:A,0),0),0)</f>
        <v>0</v>
      </c>
      <c r="K1736" s="444">
        <f t="shared" ca="1" si="113"/>
        <v>-3067619.331171752</v>
      </c>
      <c r="L1736" s="444">
        <f t="shared" ca="1" si="114"/>
        <v>-739296258.81239223</v>
      </c>
      <c r="M1736" s="460">
        <f t="shared" si="116"/>
        <v>0.05</v>
      </c>
      <c r="N1736" s="464">
        <f t="shared" si="117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15"/>
        <v>-739296258.81239223</v>
      </c>
      <c r="J1737" s="444">
        <f t="array" ref="J1737">IFERROR(INDEX('Retirement Calculator'!K:K,MATCH('Lorri 401b'!N1737,'Retirement Calculator'!A:A,0),0),0)</f>
        <v>0</v>
      </c>
      <c r="K1737" s="444">
        <f t="shared" ca="1" si="113"/>
        <v>-3080401.0783849675</v>
      </c>
      <c r="L1737" s="444">
        <f t="shared" ca="1" si="114"/>
        <v>-742376659.89077723</v>
      </c>
      <c r="M1737" s="460">
        <f t="shared" si="116"/>
        <v>0.05</v>
      </c>
      <c r="N1737" s="464">
        <f t="shared" si="117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15"/>
        <v>-742376659.89077723</v>
      </c>
      <c r="J1738" s="444">
        <f t="array" ref="J1738">IFERROR(INDEX('Retirement Calculator'!K:K,MATCH('Lorri 401b'!N1738,'Retirement Calculator'!A:A,0),0),0)</f>
        <v>0</v>
      </c>
      <c r="K1738" s="444">
        <f t="shared" ca="1" si="113"/>
        <v>-3093236.0828782385</v>
      </c>
      <c r="L1738" s="444">
        <f t="shared" ca="1" si="114"/>
        <v>-745469895.97365546</v>
      </c>
      <c r="M1738" s="460">
        <f t="shared" si="116"/>
        <v>0.05</v>
      </c>
      <c r="N1738" s="464">
        <f t="shared" si="117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15"/>
        <v>-745469895.97365546</v>
      </c>
      <c r="J1739" s="444">
        <f t="array" ref="J1739">IFERROR(INDEX('Retirement Calculator'!K:K,MATCH('Lorri 401b'!N1739,'Retirement Calculator'!A:A,0),0),0)</f>
        <v>0</v>
      </c>
      <c r="K1739" s="444">
        <f t="shared" ca="1" si="113"/>
        <v>-3106124.5665568979</v>
      </c>
      <c r="L1739" s="444">
        <f t="shared" ca="1" si="114"/>
        <v>-748576020.54021239</v>
      </c>
      <c r="M1739" s="460">
        <f t="shared" si="116"/>
        <v>0.05</v>
      </c>
      <c r="N1739" s="464">
        <f t="shared" si="117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15"/>
        <v>-748576020.54021239</v>
      </c>
      <c r="J1740" s="444">
        <f t="array" ref="J1740">IFERROR(INDEX('Retirement Calculator'!K:K,MATCH('Lorri 401b'!N1740,'Retirement Calculator'!A:A,0),0),0)</f>
        <v>0</v>
      </c>
      <c r="K1740" s="444">
        <f t="shared" ca="1" si="113"/>
        <v>-3119066.7522508851</v>
      </c>
      <c r="L1740" s="444">
        <f t="shared" ca="1" si="114"/>
        <v>-751695087.2924633</v>
      </c>
      <c r="M1740" s="460">
        <f t="shared" si="116"/>
        <v>0.05</v>
      </c>
      <c r="N1740" s="464">
        <f t="shared" si="117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15"/>
        <v>-751695087.2924633</v>
      </c>
      <c r="J1741" s="444">
        <f t="array" ref="J1741">IFERROR(INDEX('Retirement Calculator'!K:K,MATCH('Lorri 401b'!N1741,'Retirement Calculator'!A:A,0),0),0)</f>
        <v>0</v>
      </c>
      <c r="K1741" s="444">
        <f t="shared" ca="1" si="113"/>
        <v>-3132062.8637185972</v>
      </c>
      <c r="L1741" s="444">
        <f t="shared" ca="1" si="114"/>
        <v>-754827150.15618193</v>
      </c>
      <c r="M1741" s="460">
        <f t="shared" si="116"/>
        <v>0.05</v>
      </c>
      <c r="N1741" s="464">
        <f t="shared" si="117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15"/>
        <v>-754827150.15618193</v>
      </c>
      <c r="J1742" s="444">
        <f t="array" ref="J1742">IFERROR(INDEX('Retirement Calculator'!K:K,MATCH('Lorri 401b'!N1742,'Retirement Calculator'!A:A,0),0),0)</f>
        <v>0</v>
      </c>
      <c r="K1742" s="444">
        <f t="shared" ca="1" si="113"/>
        <v>-3145113.1256507579</v>
      </c>
      <c r="L1742" s="444">
        <f t="shared" ca="1" si="114"/>
        <v>-757972263.2818327</v>
      </c>
      <c r="M1742" s="460">
        <f t="shared" si="116"/>
        <v>0.05</v>
      </c>
      <c r="N1742" s="464">
        <f t="shared" si="117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15"/>
        <v>-757972263.2818327</v>
      </c>
      <c r="J1743" s="444">
        <f t="array" ref="J1743">IFERROR(INDEX('Retirement Calculator'!K:K,MATCH('Lorri 401b'!N1743,'Retirement Calculator'!A:A,0),0),0)</f>
        <v>0</v>
      </c>
      <c r="K1743" s="444">
        <f t="shared" ca="1" si="113"/>
        <v>-3158217.763674303</v>
      </c>
      <c r="L1743" s="444">
        <f t="shared" ca="1" si="114"/>
        <v>-761130481.04550695</v>
      </c>
      <c r="M1743" s="460">
        <f t="shared" si="116"/>
        <v>0.05</v>
      </c>
      <c r="N1743" s="464">
        <f t="shared" si="117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15"/>
        <v>-761130481.04550695</v>
      </c>
      <c r="J1744" s="444">
        <f t="array" ref="J1744">IFERROR(INDEX('Retirement Calculator'!K:K,MATCH('Lorri 401b'!N1744,'Retirement Calculator'!A:A,0),0),0)</f>
        <v>0</v>
      </c>
      <c r="K1744" s="444">
        <f t="shared" ca="1" si="113"/>
        <v>-3171377.004356279</v>
      </c>
      <c r="L1744" s="444">
        <f t="shared" ca="1" si="114"/>
        <v>-764301858.04986322</v>
      </c>
      <c r="M1744" s="460">
        <f t="shared" si="116"/>
        <v>0.05</v>
      </c>
      <c r="N1744" s="464">
        <f t="shared" si="117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15"/>
        <v>-764301858.04986322</v>
      </c>
      <c r="J1745" s="444">
        <f t="array" ref="J1745">IFERROR(INDEX('Retirement Calculator'!K:K,MATCH('Lorri 401b'!N1745,'Retirement Calculator'!A:A,0),0),0)</f>
        <v>0</v>
      </c>
      <c r="K1745" s="444">
        <f t="shared" ca="1" si="113"/>
        <v>-3184591.0752077634</v>
      </c>
      <c r="L1745" s="444">
        <f t="shared" ca="1" si="114"/>
        <v>-767486449.12507093</v>
      </c>
      <c r="M1745" s="460">
        <f t="shared" si="116"/>
        <v>0.05</v>
      </c>
      <c r="N1745" s="464">
        <f t="shared" si="117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15"/>
        <v>-767486449.12507093</v>
      </c>
      <c r="J1746" s="444">
        <f t="array" ref="J1746">IFERROR(INDEX('Retirement Calculator'!K:K,MATCH('Lorri 401b'!N1746,'Retirement Calculator'!A:A,0),0),0)</f>
        <v>0</v>
      </c>
      <c r="K1746" s="444">
        <f t="shared" ca="1" si="113"/>
        <v>-3197860.2046877956</v>
      </c>
      <c r="L1746" s="444">
        <f t="shared" ca="1" si="114"/>
        <v>-770684309.32975876</v>
      </c>
      <c r="M1746" s="460">
        <f t="shared" si="116"/>
        <v>0.05</v>
      </c>
      <c r="N1746" s="464">
        <f t="shared" si="117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15"/>
        <v>-770684309.32975876</v>
      </c>
      <c r="J1747" s="444">
        <f t="array" ref="J1747">IFERROR(INDEX('Retirement Calculator'!K:K,MATCH('Lorri 401b'!N1747,'Retirement Calculator'!A:A,0),0),0)</f>
        <v>0</v>
      </c>
      <c r="K1747" s="444">
        <f t="shared" ca="1" si="113"/>
        <v>-3211184.6222073282</v>
      </c>
      <c r="L1747" s="444">
        <f t="shared" ca="1" si="114"/>
        <v>-773895493.95196605</v>
      </c>
      <c r="M1747" s="460">
        <f t="shared" si="116"/>
        <v>0.05</v>
      </c>
      <c r="N1747" s="464">
        <f t="shared" si="117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15"/>
        <v>-773895493.95196605</v>
      </c>
      <c r="J1748" s="444">
        <f t="array" ref="J1748">IFERROR(INDEX('Retirement Calculator'!K:K,MATCH('Lorri 401b'!N1748,'Retirement Calculator'!A:A,0),0),0)</f>
        <v>0</v>
      </c>
      <c r="K1748" s="444">
        <f t="shared" ca="1" si="113"/>
        <v>-3224564.5581331919</v>
      </c>
      <c r="L1748" s="444">
        <f t="shared" ca="1" si="114"/>
        <v>-777120058.51009929</v>
      </c>
      <c r="M1748" s="460">
        <f t="shared" si="116"/>
        <v>0.05</v>
      </c>
      <c r="N1748" s="464">
        <f t="shared" si="117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15"/>
        <v>-777120058.51009929</v>
      </c>
      <c r="J1749" s="444">
        <f t="array" ref="J1749">IFERROR(INDEX('Retirement Calculator'!K:K,MATCH('Lorri 401b'!N1749,'Retirement Calculator'!A:A,0),0),0)</f>
        <v>0</v>
      </c>
      <c r="K1749" s="444">
        <f t="shared" ca="1" si="113"/>
        <v>-3238000.2437920803</v>
      </c>
      <c r="L1749" s="444">
        <f t="shared" ca="1" si="114"/>
        <v>-780358058.75389135</v>
      </c>
      <c r="M1749" s="460">
        <f t="shared" si="116"/>
        <v>0.05</v>
      </c>
      <c r="N1749" s="464">
        <f t="shared" si="117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15"/>
        <v>-780358058.75389135</v>
      </c>
      <c r="J1750" s="444">
        <f t="array" ref="J1750">IFERROR(INDEX('Retirement Calculator'!K:K,MATCH('Lorri 401b'!N1750,'Retirement Calculator'!A:A,0),0),0)</f>
        <v>0</v>
      </c>
      <c r="K1750" s="444">
        <f t="shared" ca="1" si="113"/>
        <v>-3251491.9114745473</v>
      </c>
      <c r="L1750" s="444">
        <f t="shared" ca="1" si="114"/>
        <v>-783609550.66536593</v>
      </c>
      <c r="M1750" s="460">
        <f t="shared" si="116"/>
        <v>0.05</v>
      </c>
      <c r="N1750" s="464">
        <f t="shared" si="117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15"/>
        <v>-783609550.66536593</v>
      </c>
      <c r="J1751" s="444">
        <f t="array" ref="J1751">IFERROR(INDEX('Retirement Calculator'!K:K,MATCH('Lorri 401b'!N1751,'Retirement Calculator'!A:A,0),0),0)</f>
        <v>0</v>
      </c>
      <c r="K1751" s="444">
        <f t="shared" ca="1" si="113"/>
        <v>-3265039.7944390248</v>
      </c>
      <c r="L1751" s="444">
        <f t="shared" ca="1" si="114"/>
        <v>-786874590.45980501</v>
      </c>
      <c r="M1751" s="460">
        <f t="shared" si="116"/>
        <v>0.05</v>
      </c>
      <c r="N1751" s="464">
        <f t="shared" si="117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15"/>
        <v>-786874590.45980501</v>
      </c>
      <c r="J1752" s="444">
        <f t="array" ref="J1752">IFERROR(INDEX('Retirement Calculator'!K:K,MATCH('Lorri 401b'!N1752,'Retirement Calculator'!A:A,0),0),0)</f>
        <v>0</v>
      </c>
      <c r="K1752" s="444">
        <f t="shared" ca="1" si="113"/>
        <v>-3278644.1269158544</v>
      </c>
      <c r="L1752" s="444">
        <f t="shared" ca="1" si="114"/>
        <v>-790153234.58672082</v>
      </c>
      <c r="M1752" s="460">
        <f t="shared" si="116"/>
        <v>0.05</v>
      </c>
      <c r="N1752" s="464">
        <f t="shared" si="117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15"/>
        <v>-790153234.58672082</v>
      </c>
      <c r="J1753" s="444">
        <f t="array" ref="J1753">IFERROR(INDEX('Retirement Calculator'!K:K,MATCH('Lorri 401b'!N1753,'Retirement Calculator'!A:A,0),0),0)</f>
        <v>0</v>
      </c>
      <c r="K1753" s="444">
        <f t="shared" ca="1" si="113"/>
        <v>-3292305.1441113367</v>
      </c>
      <c r="L1753" s="444">
        <f t="shared" ca="1" si="114"/>
        <v>-793445539.73083222</v>
      </c>
      <c r="M1753" s="460">
        <f t="shared" si="116"/>
        <v>0.05</v>
      </c>
      <c r="N1753" s="464">
        <f t="shared" si="117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15"/>
        <v>-793445539.73083222</v>
      </c>
      <c r="J1754" s="444">
        <f t="array" ref="J1754">IFERROR(INDEX('Retirement Calculator'!K:K,MATCH('Lorri 401b'!N1754,'Retirement Calculator'!A:A,0),0),0)</f>
        <v>0</v>
      </c>
      <c r="K1754" s="444">
        <f t="shared" ca="1" si="113"/>
        <v>-3306023.0822118009</v>
      </c>
      <c r="L1754" s="444">
        <f t="shared" ca="1" si="114"/>
        <v>-796751562.81304407</v>
      </c>
      <c r="M1754" s="460">
        <f t="shared" si="116"/>
        <v>0.05</v>
      </c>
      <c r="N1754" s="464">
        <f t="shared" si="117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15"/>
        <v>-796751562.81304407</v>
      </c>
      <c r="J1755" s="444">
        <f t="array" ref="J1755">IFERROR(INDEX('Retirement Calculator'!K:K,MATCH('Lorri 401b'!N1755,'Retirement Calculator'!A:A,0),0),0)</f>
        <v>0</v>
      </c>
      <c r="K1755" s="444">
        <f t="shared" ca="1" si="113"/>
        <v>-3319798.1783876838</v>
      </c>
      <c r="L1755" s="444">
        <f t="shared" ca="1" si="114"/>
        <v>-800071360.99143171</v>
      </c>
      <c r="M1755" s="460">
        <f t="shared" si="116"/>
        <v>0.05</v>
      </c>
      <c r="N1755" s="464">
        <f t="shared" si="117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15"/>
        <v>-800071360.99143171</v>
      </c>
      <c r="J1756" s="444">
        <f t="array" ref="J1756">IFERROR(INDEX('Retirement Calculator'!K:K,MATCH('Lorri 401b'!N1756,'Retirement Calculator'!A:A,0),0),0)</f>
        <v>0</v>
      </c>
      <c r="K1756" s="444">
        <f t="shared" ca="1" si="113"/>
        <v>-3333630.6707976321</v>
      </c>
      <c r="L1756" s="444">
        <f t="shared" ca="1" si="114"/>
        <v>-803404991.6622293</v>
      </c>
      <c r="M1756" s="460">
        <f t="shared" si="116"/>
        <v>0.05</v>
      </c>
      <c r="N1756" s="464">
        <f t="shared" si="117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15"/>
        <v>-803404991.6622293</v>
      </c>
      <c r="J1757" s="444">
        <f t="array" ref="J1757">IFERROR(INDEX('Retirement Calculator'!K:K,MATCH('Lorri 401b'!N1757,'Retirement Calculator'!A:A,0),0),0)</f>
        <v>0</v>
      </c>
      <c r="K1757" s="444">
        <f t="shared" ca="1" si="113"/>
        <v>-3347520.7985926219</v>
      </c>
      <c r="L1757" s="444">
        <f t="shared" ca="1" si="114"/>
        <v>-806752512.46082187</v>
      </c>
      <c r="M1757" s="460">
        <f t="shared" si="116"/>
        <v>0.05</v>
      </c>
      <c r="N1757" s="464">
        <f t="shared" si="117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15"/>
        <v>-806752512.46082187</v>
      </c>
      <c r="J1758" s="444">
        <f t="array" ref="J1758">IFERROR(INDEX('Retirement Calculator'!K:K,MATCH('Lorri 401b'!N1758,'Retirement Calculator'!A:A,0),0),0)</f>
        <v>0</v>
      </c>
      <c r="K1758" s="444">
        <f t="shared" ca="1" si="113"/>
        <v>-3361468.8019200913</v>
      </c>
      <c r="L1758" s="444">
        <f t="shared" ca="1" si="114"/>
        <v>-810113981.26274192</v>
      </c>
      <c r="M1758" s="460">
        <f t="shared" si="116"/>
        <v>0.05</v>
      </c>
      <c r="N1758" s="464">
        <f t="shared" si="117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15"/>
        <v>-810113981.26274192</v>
      </c>
      <c r="J1759" s="444">
        <f t="array" ref="J1759">IFERROR(INDEX('Retirement Calculator'!K:K,MATCH('Lorri 401b'!N1759,'Retirement Calculator'!A:A,0),0),0)</f>
        <v>0</v>
      </c>
      <c r="K1759" s="444">
        <f t="shared" ca="1" si="113"/>
        <v>-3375474.9219280914</v>
      </c>
      <c r="L1759" s="444">
        <f t="shared" ca="1" si="114"/>
        <v>-813489456.18466997</v>
      </c>
      <c r="M1759" s="460">
        <f t="shared" si="116"/>
        <v>0.05</v>
      </c>
      <c r="N1759" s="464">
        <f t="shared" si="117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15"/>
        <v>-813489456.18466997</v>
      </c>
      <c r="J1760" s="444">
        <f t="array" ref="J1760">IFERROR(INDEX('Retirement Calculator'!K:K,MATCH('Lorri 401b'!N1760,'Retirement Calculator'!A:A,0),0),0)</f>
        <v>0</v>
      </c>
      <c r="K1760" s="444">
        <f t="shared" ca="1" si="113"/>
        <v>-3389539.4007694582</v>
      </c>
      <c r="L1760" s="444">
        <f t="shared" ca="1" si="114"/>
        <v>-816878995.58543944</v>
      </c>
      <c r="M1760" s="460">
        <f t="shared" si="116"/>
        <v>0.05</v>
      </c>
      <c r="N1760" s="464">
        <f t="shared" si="117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15"/>
        <v>-816878995.58543944</v>
      </c>
      <c r="J1761" s="444">
        <f t="array" ref="J1761">IFERROR(INDEX('Retirement Calculator'!K:K,MATCH('Lorri 401b'!N1761,'Retirement Calculator'!A:A,0),0),0)</f>
        <v>0</v>
      </c>
      <c r="K1761" s="444">
        <f t="shared" ca="1" si="113"/>
        <v>-3403662.4816059978</v>
      </c>
      <c r="L1761" s="444">
        <f t="shared" ca="1" si="114"/>
        <v>-820282658.06704545</v>
      </c>
      <c r="M1761" s="460">
        <f t="shared" si="116"/>
        <v>0.05</v>
      </c>
      <c r="N1761" s="464">
        <f t="shared" si="117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15"/>
        <v>-820282658.06704545</v>
      </c>
      <c r="J1762" s="444">
        <f t="array" ref="J1762">IFERROR(INDEX('Retirement Calculator'!K:K,MATCH('Lorri 401b'!N1762,'Retirement Calculator'!A:A,0),0),0)</f>
        <v>0</v>
      </c>
      <c r="K1762" s="444">
        <f t="shared" ca="1" si="113"/>
        <v>-3417844.4086126895</v>
      </c>
      <c r="L1762" s="444">
        <f t="shared" ca="1" si="114"/>
        <v>-823700502.47565818</v>
      </c>
      <c r="M1762" s="460">
        <f t="shared" si="116"/>
        <v>0.05</v>
      </c>
      <c r="N1762" s="464">
        <f t="shared" si="117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15"/>
        <v>-823700502.47565818</v>
      </c>
      <c r="J1763" s="444">
        <f t="array" ref="J1763">IFERROR(INDEX('Retirement Calculator'!K:K,MATCH('Lorri 401b'!N1763,'Retirement Calculator'!A:A,0),0),0)</f>
        <v>0</v>
      </c>
      <c r="K1763" s="444">
        <f t="shared" ca="1" si="113"/>
        <v>-3432085.4269819092</v>
      </c>
      <c r="L1763" s="444">
        <f t="shared" ca="1" si="114"/>
        <v>-827132587.9026401</v>
      </c>
      <c r="M1763" s="460">
        <f t="shared" si="116"/>
        <v>0.05</v>
      </c>
      <c r="N1763" s="464">
        <f t="shared" si="117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15"/>
        <v>-827132587.9026401</v>
      </c>
      <c r="J1764" s="444">
        <f t="array" ref="J1764">IFERROR(INDEX('Retirement Calculator'!K:K,MATCH('Lorri 401b'!N1764,'Retirement Calculator'!A:A,0),0),0)</f>
        <v>0</v>
      </c>
      <c r="K1764" s="444">
        <f t="shared" ca="1" si="113"/>
        <v>-3446385.7829276673</v>
      </c>
      <c r="L1764" s="444">
        <f t="shared" ca="1" si="114"/>
        <v>-830578973.68556774</v>
      </c>
      <c r="M1764" s="460">
        <f t="shared" si="116"/>
        <v>0.05</v>
      </c>
      <c r="N1764" s="464">
        <f t="shared" si="117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15"/>
        <v>-830578973.68556774</v>
      </c>
      <c r="J1765" s="444">
        <f t="array" ref="J1765">IFERROR(INDEX('Retirement Calculator'!K:K,MATCH('Lorri 401b'!N1765,'Retirement Calculator'!A:A,0),0),0)</f>
        <v>0</v>
      </c>
      <c r="K1765" s="444">
        <f t="shared" ca="1" si="113"/>
        <v>-3460745.7236898653</v>
      </c>
      <c r="L1765" s="444">
        <f t="shared" ca="1" si="114"/>
        <v>-834039719.40925765</v>
      </c>
      <c r="M1765" s="460">
        <f t="shared" si="116"/>
        <v>0.05</v>
      </c>
      <c r="N1765" s="464">
        <f t="shared" si="117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15"/>
        <v>-834039719.40925765</v>
      </c>
      <c r="J1766" s="444">
        <f t="array" ref="J1766">IFERROR(INDEX('Retirement Calculator'!K:K,MATCH('Lorri 401b'!N1766,'Retirement Calculator'!A:A,0),0),0)</f>
        <v>0</v>
      </c>
      <c r="K1766" s="444">
        <f t="shared" ca="1" si="113"/>
        <v>-3475165.4975385736</v>
      </c>
      <c r="L1766" s="444">
        <f t="shared" ca="1" si="114"/>
        <v>-837514884.90679622</v>
      </c>
      <c r="M1766" s="460">
        <f t="shared" si="116"/>
        <v>0.05</v>
      </c>
      <c r="N1766" s="464">
        <f t="shared" si="117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15"/>
        <v>-837514884.90679622</v>
      </c>
      <c r="J1767" s="444">
        <f t="array" ref="J1767">IFERROR(INDEX('Retirement Calculator'!K:K,MATCH('Lorri 401b'!N1767,'Retirement Calculator'!A:A,0),0),0)</f>
        <v>0</v>
      </c>
      <c r="K1767" s="444">
        <f t="shared" ca="1" si="113"/>
        <v>-3489645.353778318</v>
      </c>
      <c r="L1767" s="444">
        <f t="shared" ca="1" si="114"/>
        <v>-841004530.26057458</v>
      </c>
      <c r="M1767" s="460">
        <f t="shared" si="116"/>
        <v>0.05</v>
      </c>
      <c r="N1767" s="464">
        <f t="shared" si="117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15"/>
        <v>-841004530.26057458</v>
      </c>
      <c r="J1768" s="444">
        <f t="array" ref="J1768">IFERROR(INDEX('Retirement Calculator'!K:K,MATCH('Lorri 401b'!N1768,'Retirement Calculator'!A:A,0),0),0)</f>
        <v>0</v>
      </c>
      <c r="K1768" s="444">
        <f t="shared" ca="1" si="113"/>
        <v>-3504185.542752394</v>
      </c>
      <c r="L1768" s="444">
        <f t="shared" ca="1" si="114"/>
        <v>-844508715.80332696</v>
      </c>
      <c r="M1768" s="460">
        <f t="shared" si="116"/>
        <v>0.05</v>
      </c>
      <c r="N1768" s="464">
        <f t="shared" si="117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15"/>
        <v>-844508715.80332696</v>
      </c>
      <c r="J1769" s="444">
        <f t="array" ref="J1769">IFERROR(INDEX('Retirement Calculator'!K:K,MATCH('Lorri 401b'!N1769,'Retirement Calculator'!A:A,0),0),0)</f>
        <v>0</v>
      </c>
      <c r="K1769" s="444">
        <f t="shared" ca="1" si="113"/>
        <v>-3518786.3158471962</v>
      </c>
      <c r="L1769" s="444">
        <f t="shared" ca="1" si="114"/>
        <v>-848027502.11917412</v>
      </c>
      <c r="M1769" s="460">
        <f t="shared" si="116"/>
        <v>0.05</v>
      </c>
      <c r="N1769" s="464">
        <f t="shared" si="117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15"/>
        <v>-848027502.11917412</v>
      </c>
      <c r="J1770" s="444">
        <f t="array" ref="J1770">IFERROR(INDEX('Retirement Calculator'!K:K,MATCH('Lorri 401b'!N1770,'Retirement Calculator'!A:A,0),0),0)</f>
        <v>0</v>
      </c>
      <c r="K1770" s="444">
        <f t="shared" ca="1" si="113"/>
        <v>-3533447.9254965582</v>
      </c>
      <c r="L1770" s="444">
        <f t="shared" ca="1" si="114"/>
        <v>-851560950.0446707</v>
      </c>
      <c r="M1770" s="460">
        <f t="shared" si="116"/>
        <v>0.05</v>
      </c>
      <c r="N1770" s="464">
        <f t="shared" si="117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15"/>
        <v>-851560950.0446707</v>
      </c>
      <c r="J1771" s="444">
        <f t="array" ref="J1771">IFERROR(INDEX('Retirement Calculator'!K:K,MATCH('Lorri 401b'!N1771,'Retirement Calculator'!A:A,0),0),0)</f>
        <v>0</v>
      </c>
      <c r="K1771" s="444">
        <f t="shared" ca="1" si="113"/>
        <v>-3548170.6251861271</v>
      </c>
      <c r="L1771" s="444">
        <f t="shared" ca="1" si="114"/>
        <v>-855109120.66985679</v>
      </c>
      <c r="M1771" s="460">
        <f t="shared" si="116"/>
        <v>0.05</v>
      </c>
      <c r="N1771" s="464">
        <f t="shared" si="117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15"/>
        <v>-855109120.66985679</v>
      </c>
      <c r="J1772" s="444">
        <f t="array" ref="J1772">IFERROR(INDEX('Retirement Calculator'!K:K,MATCH('Lorri 401b'!N1772,'Retirement Calculator'!A:A,0),0),0)</f>
        <v>0</v>
      </c>
      <c r="K1772" s="444">
        <f t="shared" ca="1" si="113"/>
        <v>-3562954.6694577364</v>
      </c>
      <c r="L1772" s="444">
        <f t="shared" ca="1" si="114"/>
        <v>-858672075.33931458</v>
      </c>
      <c r="M1772" s="460">
        <f t="shared" si="116"/>
        <v>0.05</v>
      </c>
      <c r="N1772" s="464">
        <f t="shared" si="117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15"/>
        <v>-858672075.33931458</v>
      </c>
      <c r="J1773" s="444">
        <f t="array" ref="J1773">IFERROR(INDEX('Retirement Calculator'!K:K,MATCH('Lorri 401b'!N1773,'Retirement Calculator'!A:A,0),0),0)</f>
        <v>0</v>
      </c>
      <c r="K1773" s="444">
        <f t="shared" ca="1" si="113"/>
        <v>-3577800.313913811</v>
      </c>
      <c r="L1773" s="444">
        <f t="shared" ca="1" si="114"/>
        <v>-862249875.6532284</v>
      </c>
      <c r="M1773" s="460">
        <f t="shared" si="116"/>
        <v>0.05</v>
      </c>
      <c r="N1773" s="464">
        <f t="shared" si="117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15"/>
        <v>-862249875.6532284</v>
      </c>
      <c r="J1774" s="444">
        <f t="array" ref="J1774">IFERROR(INDEX('Retirement Calculator'!K:K,MATCH('Lorri 401b'!N1774,'Retirement Calculator'!A:A,0),0),0)</f>
        <v>0</v>
      </c>
      <c r="K1774" s="444">
        <f t="shared" ca="1" si="113"/>
        <v>-3592707.8152217856</v>
      </c>
      <c r="L1774" s="444">
        <f t="shared" ca="1" si="114"/>
        <v>-865842583.46845019</v>
      </c>
      <c r="M1774" s="460">
        <f t="shared" si="116"/>
        <v>0.05</v>
      </c>
      <c r="N1774" s="464">
        <f t="shared" si="117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15"/>
        <v>-865842583.46845019</v>
      </c>
      <c r="J1775" s="444">
        <f t="array" ref="J1775">IFERROR(INDEX('Retirement Calculator'!K:K,MATCH('Lorri 401b'!N1775,'Retirement Calculator'!A:A,0),0),0)</f>
        <v>0</v>
      </c>
      <c r="K1775" s="444">
        <f t="shared" ca="1" si="113"/>
        <v>-3607677.4311185419</v>
      </c>
      <c r="L1775" s="444">
        <f t="shared" ca="1" si="114"/>
        <v>-869450260.89956868</v>
      </c>
      <c r="M1775" s="460">
        <f t="shared" si="116"/>
        <v>0.05</v>
      </c>
      <c r="N1775" s="464">
        <f t="shared" si="117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15"/>
        <v>-869450260.89956868</v>
      </c>
      <c r="J1776" s="444">
        <f t="array" ref="J1776">IFERROR(INDEX('Retirement Calculator'!K:K,MATCH('Lorri 401b'!N1776,'Retirement Calculator'!A:A,0),0),0)</f>
        <v>0</v>
      </c>
      <c r="K1776" s="444">
        <f t="shared" ca="1" si="113"/>
        <v>-3622709.4204148701</v>
      </c>
      <c r="L1776" s="444">
        <f t="shared" ca="1" si="114"/>
        <v>-873072970.3199836</v>
      </c>
      <c r="M1776" s="460">
        <f t="shared" si="116"/>
        <v>0.05</v>
      </c>
      <c r="N1776" s="464">
        <f t="shared" si="117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15"/>
        <v>-873072970.3199836</v>
      </c>
      <c r="J1777" s="444">
        <f t="array" ref="J1777">IFERROR(INDEX('Retirement Calculator'!K:K,MATCH('Lorri 401b'!N1777,'Retirement Calculator'!A:A,0),0),0)</f>
        <v>0</v>
      </c>
      <c r="K1777" s="444">
        <f t="shared" ca="1" si="113"/>
        <v>-3637804.0429999321</v>
      </c>
      <c r="L1777" s="444">
        <f t="shared" ca="1" si="114"/>
        <v>-876710774.36298358</v>
      </c>
      <c r="M1777" s="460">
        <f t="shared" si="116"/>
        <v>0.05</v>
      </c>
      <c r="N1777" s="464">
        <f t="shared" si="117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15"/>
        <v>-876710774.36298358</v>
      </c>
      <c r="J1778" s="444">
        <f t="array" ref="J1778">IFERROR(INDEX('Retirement Calculator'!K:K,MATCH('Lorri 401b'!N1778,'Retirement Calculator'!A:A,0),0),0)</f>
        <v>0</v>
      </c>
      <c r="K1778" s="444">
        <f t="shared" ca="1" si="113"/>
        <v>-3652961.5598457647</v>
      </c>
      <c r="L1778" s="444">
        <f t="shared" ca="1" si="114"/>
        <v>-880363735.92282939</v>
      </c>
      <c r="M1778" s="460">
        <f t="shared" si="116"/>
        <v>0.05</v>
      </c>
      <c r="N1778" s="464">
        <f t="shared" si="117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15"/>
        <v>-880363735.92282939</v>
      </c>
      <c r="J1779" s="444">
        <f t="array" ref="J1779">IFERROR(INDEX('Retirement Calculator'!K:K,MATCH('Lorri 401b'!N1779,'Retirement Calculator'!A:A,0),0),0)</f>
        <v>0</v>
      </c>
      <c r="K1779" s="444">
        <f t="shared" ca="1" si="113"/>
        <v>-3668182.2330117887</v>
      </c>
      <c r="L1779" s="444">
        <f t="shared" ca="1" si="114"/>
        <v>-884031918.15584123</v>
      </c>
      <c r="M1779" s="460">
        <f t="shared" si="116"/>
        <v>0.05</v>
      </c>
      <c r="N1779" s="464">
        <f t="shared" si="117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15"/>
        <v>-884031918.15584123</v>
      </c>
      <c r="J1780" s="444">
        <f t="array" ref="J1780">IFERROR(INDEX('Retirement Calculator'!K:K,MATCH('Lorri 401b'!N1780,'Retirement Calculator'!A:A,0),0),0)</f>
        <v>0</v>
      </c>
      <c r="K1780" s="444">
        <f t="shared" ca="1" si="113"/>
        <v>-3683466.3256493378</v>
      </c>
      <c r="L1780" s="444">
        <f t="shared" ca="1" si="114"/>
        <v>-887715384.48149061</v>
      </c>
      <c r="M1780" s="460">
        <f t="shared" si="116"/>
        <v>0.05</v>
      </c>
      <c r="N1780" s="464">
        <f t="shared" si="117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15"/>
        <v>-887715384.48149061</v>
      </c>
      <c r="J1781" s="444">
        <f t="array" ref="J1781">IFERROR(INDEX('Retirement Calculator'!K:K,MATCH('Lorri 401b'!N1781,'Retirement Calculator'!A:A,0),0),0)</f>
        <v>0</v>
      </c>
      <c r="K1781" s="444">
        <f t="shared" ca="1" si="113"/>
        <v>-3698814.1020062114</v>
      </c>
      <c r="L1781" s="444">
        <f t="shared" ca="1" si="114"/>
        <v>-891414198.58349681</v>
      </c>
      <c r="M1781" s="460">
        <f t="shared" si="116"/>
        <v>0.05</v>
      </c>
      <c r="N1781" s="464">
        <f t="shared" si="117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15"/>
        <v>-891414198.58349681</v>
      </c>
      <c r="J1782" s="444">
        <f t="array" ref="J1782">IFERROR(INDEX('Retirement Calculator'!K:K,MATCH('Lorri 401b'!N1782,'Retirement Calculator'!A:A,0),0),0)</f>
        <v>0</v>
      </c>
      <c r="K1782" s="444">
        <f t="shared" ca="1" si="113"/>
        <v>-3714225.8274312369</v>
      </c>
      <c r="L1782" s="444">
        <f t="shared" ca="1" si="114"/>
        <v>-895128424.41092801</v>
      </c>
      <c r="M1782" s="460">
        <f t="shared" si="116"/>
        <v>0.05</v>
      </c>
      <c r="N1782" s="464">
        <f t="shared" si="117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15"/>
        <v>-895128424.41092801</v>
      </c>
      <c r="J1783" s="444">
        <f t="array" ref="J1783">IFERROR(INDEX('Retirement Calculator'!K:K,MATCH('Lorri 401b'!N1783,'Retirement Calculator'!A:A,0),0),0)</f>
        <v>0</v>
      </c>
      <c r="K1783" s="444">
        <f t="shared" ca="1" si="113"/>
        <v>-3729701.7683788668</v>
      </c>
      <c r="L1783" s="444">
        <f t="shared" ca="1" si="114"/>
        <v>-898858126.17930686</v>
      </c>
      <c r="M1783" s="460">
        <f t="shared" si="116"/>
        <v>0.05</v>
      </c>
      <c r="N1783" s="464">
        <f t="shared" si="117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15"/>
        <v>-898858126.17930686</v>
      </c>
      <c r="J1784" s="444">
        <f t="array" ref="J1784">IFERROR(INDEX('Retirement Calculator'!K:K,MATCH('Lorri 401b'!N1784,'Retirement Calculator'!A:A,0),0),0)</f>
        <v>0</v>
      </c>
      <c r="K1784" s="444">
        <f t="shared" ca="1" si="113"/>
        <v>-3745242.1924137785</v>
      </c>
      <c r="L1784" s="444">
        <f t="shared" ca="1" si="114"/>
        <v>-902603368.37172067</v>
      </c>
      <c r="M1784" s="460">
        <f t="shared" si="116"/>
        <v>0.05</v>
      </c>
      <c r="N1784" s="464">
        <f t="shared" si="117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15"/>
        <v>-902603368.37172067</v>
      </c>
      <c r="J1785" s="444">
        <f t="array" ref="J1785">IFERROR(INDEX('Retirement Calculator'!K:K,MATCH('Lorri 401b'!N1785,'Retirement Calculator'!A:A,0),0),0)</f>
        <v>0</v>
      </c>
      <c r="K1785" s="444">
        <f t="shared" ca="1" si="113"/>
        <v>-3760847.3682155027</v>
      </c>
      <c r="L1785" s="444">
        <f t="shared" ca="1" si="114"/>
        <v>-906364215.73993623</v>
      </c>
      <c r="M1785" s="460">
        <f t="shared" si="116"/>
        <v>0.05</v>
      </c>
      <c r="N1785" s="464">
        <f t="shared" si="117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15"/>
        <v>-906364215.73993623</v>
      </c>
      <c r="J1786" s="444">
        <f t="array" ref="J1786">IFERROR(INDEX('Retirement Calculator'!K:K,MATCH('Lorri 401b'!N1786,'Retirement Calculator'!A:A,0),0),0)</f>
        <v>0</v>
      </c>
      <c r="K1786" s="444">
        <f t="shared" ca="1" si="113"/>
        <v>-3776517.5655830679</v>
      </c>
      <c r="L1786" s="444">
        <f t="shared" ca="1" si="114"/>
        <v>-910140733.30551934</v>
      </c>
      <c r="M1786" s="460">
        <f t="shared" si="116"/>
        <v>0.05</v>
      </c>
      <c r="N1786" s="464">
        <f t="shared" si="117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15"/>
        <v>-910140733.30551934</v>
      </c>
      <c r="J1787" s="444">
        <f t="array" ref="J1787">IFERROR(INDEX('Retirement Calculator'!K:K,MATCH('Lorri 401b'!N1787,'Retirement Calculator'!A:A,0),0),0)</f>
        <v>0</v>
      </c>
      <c r="K1787" s="444">
        <f t="shared" ca="1" si="113"/>
        <v>-3792253.0554396641</v>
      </c>
      <c r="L1787" s="444">
        <f t="shared" ca="1" si="114"/>
        <v>-913932986.36095905</v>
      </c>
      <c r="M1787" s="460">
        <f t="shared" si="116"/>
        <v>0.05</v>
      </c>
      <c r="N1787" s="464">
        <f t="shared" si="117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15"/>
        <v>-913932986.36095905</v>
      </c>
      <c r="J1788" s="444">
        <f t="array" ref="J1788">IFERROR(INDEX('Retirement Calculator'!K:K,MATCH('Lorri 401b'!N1788,'Retirement Calculator'!A:A,0),0),0)</f>
        <v>0</v>
      </c>
      <c r="K1788" s="444">
        <f t="shared" ca="1" si="113"/>
        <v>-3808054.1098373299</v>
      </c>
      <c r="L1788" s="444">
        <f t="shared" ca="1" si="114"/>
        <v>-917741040.47079635</v>
      </c>
      <c r="M1788" s="460">
        <f t="shared" si="116"/>
        <v>0.05</v>
      </c>
      <c r="N1788" s="464">
        <f t="shared" si="117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15"/>
        <v>-917741040.47079635</v>
      </c>
      <c r="J1789" s="444">
        <f t="array" ref="J1789">IFERROR(INDEX('Retirement Calculator'!K:K,MATCH('Lorri 401b'!N1789,'Retirement Calculator'!A:A,0),0),0)</f>
        <v>0</v>
      </c>
      <c r="K1789" s="444">
        <f t="shared" ca="1" si="113"/>
        <v>-3823921.0019616517</v>
      </c>
      <c r="L1789" s="444">
        <f t="shared" ca="1" si="114"/>
        <v>-921564961.47275805</v>
      </c>
      <c r="M1789" s="460">
        <f t="shared" si="116"/>
        <v>0.05</v>
      </c>
      <c r="N1789" s="464">
        <f t="shared" si="117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15"/>
        <v>-921564961.47275805</v>
      </c>
      <c r="J1790" s="444">
        <f t="array" ref="J1790">IFERROR(INDEX('Retirement Calculator'!K:K,MATCH('Lorri 401b'!N1790,'Retirement Calculator'!A:A,0),0),0)</f>
        <v>0</v>
      </c>
      <c r="K1790" s="444">
        <f t="shared" ca="1" si="113"/>
        <v>-3839854.0061364914</v>
      </c>
      <c r="L1790" s="444">
        <f t="shared" ca="1" si="114"/>
        <v>-925404815.47889459</v>
      </c>
      <c r="M1790" s="460">
        <f t="shared" si="116"/>
        <v>0.05</v>
      </c>
      <c r="N1790" s="464">
        <f t="shared" si="117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15"/>
        <v>-925404815.47889459</v>
      </c>
      <c r="J1791" s="444">
        <f t="array" ref="J1791">IFERROR(INDEX('Retirement Calculator'!K:K,MATCH('Lorri 401b'!N1791,'Retirement Calculator'!A:A,0),0),0)</f>
        <v>0</v>
      </c>
      <c r="K1791" s="444">
        <f t="shared" ca="1" si="113"/>
        <v>-3855853.3978287275</v>
      </c>
      <c r="L1791" s="444">
        <f t="shared" ca="1" si="114"/>
        <v>-929260668.87672329</v>
      </c>
      <c r="M1791" s="460">
        <f t="shared" si="116"/>
        <v>0.05</v>
      </c>
      <c r="N1791" s="464">
        <f t="shared" si="117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15"/>
        <v>-929260668.87672329</v>
      </c>
      <c r="J1792" s="444">
        <f t="array" ref="J1792">IFERROR(INDEX('Retirement Calculator'!K:K,MATCH('Lorri 401b'!N1792,'Retirement Calculator'!A:A,0),0),0)</f>
        <v>0</v>
      </c>
      <c r="K1792" s="444">
        <f t="shared" ca="1" si="113"/>
        <v>-3871919.4536530138</v>
      </c>
      <c r="L1792" s="444">
        <f t="shared" ca="1" si="114"/>
        <v>-933132588.33037627</v>
      </c>
      <c r="M1792" s="460">
        <f t="shared" si="116"/>
        <v>0.05</v>
      </c>
      <c r="N1792" s="464">
        <f t="shared" si="117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15"/>
        <v>-933132588.33037627</v>
      </c>
      <c r="J1793" s="444">
        <f t="array" ref="J1793">IFERROR(INDEX('Retirement Calculator'!K:K,MATCH('Lorri 401b'!N1793,'Retirement Calculator'!A:A,0),0),0)</f>
        <v>0</v>
      </c>
      <c r="K1793" s="444">
        <f t="shared" ref="K1793:K2047" ca="1" si="118">IPMT(M1793/12,1,12,-I1793+J1793,,0)</f>
        <v>-3888052.4513765671</v>
      </c>
      <c r="L1793" s="444">
        <f t="shared" ref="L1793:L2047" ca="1" si="119">I1793-J1793+K1793</f>
        <v>-937020640.78175282</v>
      </c>
      <c r="M1793" s="460">
        <f t="shared" si="116"/>
        <v>0.05</v>
      </c>
      <c r="N1793" s="464">
        <f t="shared" si="117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20">L1793</f>
        <v>-937020640.78175282</v>
      </c>
      <c r="J1794" s="444">
        <f t="array" ref="J1794">IFERROR(INDEX('Retirement Calculator'!K:K,MATCH('Lorri 401b'!N1794,'Retirement Calculator'!A:A,0),0),0)</f>
        <v>0</v>
      </c>
      <c r="K1794" s="444">
        <f t="shared" ca="1" si="118"/>
        <v>-3904252.66992397</v>
      </c>
      <c r="L1794" s="444">
        <f t="shared" ca="1" si="119"/>
        <v>-940924893.45167685</v>
      </c>
      <c r="M1794" s="460">
        <f t="shared" ref="M1794:M2048" si="121">M1793</f>
        <v>0.05</v>
      </c>
      <c r="N1794" s="464">
        <f t="shared" ref="N1794:N2048" si="122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20"/>
        <v>-940924893.45167685</v>
      </c>
      <c r="J1795" s="444">
        <f t="array" ref="J1795">IFERROR(INDEX('Retirement Calculator'!K:K,MATCH('Lorri 401b'!N1795,'Retirement Calculator'!A:A,0),0),0)</f>
        <v>0</v>
      </c>
      <c r="K1795" s="444">
        <f t="shared" ca="1" si="118"/>
        <v>-3920520.3893819866</v>
      </c>
      <c r="L1795" s="444">
        <f t="shared" ca="1" si="119"/>
        <v>-944845413.84105885</v>
      </c>
      <c r="M1795" s="460">
        <f t="shared" si="121"/>
        <v>0.05</v>
      </c>
      <c r="N1795" s="464">
        <f t="shared" si="122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20"/>
        <v>-944845413.84105885</v>
      </c>
      <c r="J1796" s="444">
        <f t="array" ref="J1796">IFERROR(INDEX('Retirement Calculator'!K:K,MATCH('Lorri 401b'!N1796,'Retirement Calculator'!A:A,0),0),0)</f>
        <v>0</v>
      </c>
      <c r="K1796" s="444">
        <f t="shared" ca="1" si="118"/>
        <v>-3936855.891004412</v>
      </c>
      <c r="L1796" s="444">
        <f t="shared" ca="1" si="119"/>
        <v>-948782269.73206329</v>
      </c>
      <c r="M1796" s="460">
        <f t="shared" si="121"/>
        <v>0.05</v>
      </c>
      <c r="N1796" s="464">
        <f t="shared" si="122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20"/>
        <v>-948782269.73206329</v>
      </c>
      <c r="J1797" s="444">
        <f t="array" ref="J1797">IFERROR(INDEX('Retirement Calculator'!K:K,MATCH('Lorri 401b'!N1797,'Retirement Calculator'!A:A,0),0),0)</f>
        <v>0</v>
      </c>
      <c r="K1797" s="444">
        <f t="shared" ca="1" si="118"/>
        <v>-3953259.4572169301</v>
      </c>
      <c r="L1797" s="444">
        <f t="shared" ca="1" si="119"/>
        <v>-952735529.18928027</v>
      </c>
      <c r="M1797" s="460">
        <f t="shared" si="121"/>
        <v>0.05</v>
      </c>
      <c r="N1797" s="464">
        <f t="shared" si="122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20"/>
        <v>-952735529.18928027</v>
      </c>
      <c r="J1798" s="444">
        <f t="array" ref="J1798">IFERROR(INDEX('Retirement Calculator'!K:K,MATCH('Lorri 401b'!N1798,'Retirement Calculator'!A:A,0),0),0)</f>
        <v>0</v>
      </c>
      <c r="K1798" s="444">
        <f t="shared" ca="1" si="118"/>
        <v>-3969731.3716220004</v>
      </c>
      <c r="L1798" s="444">
        <f t="shared" ca="1" si="119"/>
        <v>-956705260.56090224</v>
      </c>
      <c r="M1798" s="460">
        <f t="shared" si="121"/>
        <v>0.05</v>
      </c>
      <c r="N1798" s="464">
        <f t="shared" si="122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20"/>
        <v>-956705260.56090224</v>
      </c>
      <c r="J1799" s="444">
        <f t="array" ref="J1799">IFERROR(INDEX('Retirement Calculator'!K:K,MATCH('Lorri 401b'!N1799,'Retirement Calculator'!A:A,0),0),0)</f>
        <v>0</v>
      </c>
      <c r="K1799" s="444">
        <f t="shared" ca="1" si="118"/>
        <v>-3986271.919003759</v>
      </c>
      <c r="L1799" s="444">
        <f t="shared" ca="1" si="119"/>
        <v>-960691532.47990596</v>
      </c>
      <c r="M1799" s="460">
        <f t="shared" si="121"/>
        <v>0.05</v>
      </c>
      <c r="N1799" s="464">
        <f t="shared" si="122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20"/>
        <v>-960691532.47990596</v>
      </c>
      <c r="J1800" s="444">
        <f t="array" ref="J1800">IFERROR(INDEX('Retirement Calculator'!K:K,MATCH('Lorri 401b'!N1800,'Retirement Calculator'!A:A,0),0),0)</f>
        <v>0</v>
      </c>
      <c r="K1800" s="444">
        <f t="shared" ca="1" si="118"/>
        <v>-4002881.385332942</v>
      </c>
      <c r="L1800" s="444">
        <f t="shared" ca="1" si="119"/>
        <v>-964694413.8652389</v>
      </c>
      <c r="M1800" s="460">
        <f t="shared" si="121"/>
        <v>0.05</v>
      </c>
      <c r="N1800" s="464">
        <f t="shared" si="122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20"/>
        <v>-964694413.8652389</v>
      </c>
      <c r="J1801" s="444">
        <f t="array" ref="J1801">IFERROR(INDEX('Retirement Calculator'!K:K,MATCH('Lorri 401b'!N1801,'Retirement Calculator'!A:A,0),0),0)</f>
        <v>0</v>
      </c>
      <c r="K1801" s="444">
        <f t="shared" ca="1" si="118"/>
        <v>-4019560.057771828</v>
      </c>
      <c r="L1801" s="444">
        <f t="shared" ca="1" si="119"/>
        <v>-968713973.92301071</v>
      </c>
      <c r="M1801" s="460">
        <f t="shared" si="121"/>
        <v>0.05</v>
      </c>
      <c r="N1801" s="464">
        <f t="shared" si="122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20"/>
        <v>-968713973.92301071</v>
      </c>
      <c r="J1802" s="444">
        <f t="array" ref="J1802">IFERROR(INDEX('Retirement Calculator'!K:K,MATCH('Lorri 401b'!N1802,'Retirement Calculator'!A:A,0),0),0)</f>
        <v>0</v>
      </c>
      <c r="K1802" s="444">
        <f t="shared" ca="1" si="118"/>
        <v>-4036308.2246792112</v>
      </c>
      <c r="L1802" s="444">
        <f t="shared" ca="1" si="119"/>
        <v>-972750282.14768994</v>
      </c>
      <c r="M1802" s="460">
        <f t="shared" si="121"/>
        <v>0.05</v>
      </c>
      <c r="N1802" s="464">
        <f t="shared" si="122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20"/>
        <v>-972750282.14768994</v>
      </c>
      <c r="J1803" s="444">
        <f t="array" ref="J1803">IFERROR(INDEX('Retirement Calculator'!K:K,MATCH('Lorri 401b'!N1803,'Retirement Calculator'!A:A,0),0),0)</f>
        <v>0</v>
      </c>
      <c r="K1803" s="444">
        <f t="shared" ca="1" si="118"/>
        <v>-4053126.175615374</v>
      </c>
      <c r="L1803" s="444">
        <f t="shared" ca="1" si="119"/>
        <v>-976803408.32330537</v>
      </c>
      <c r="M1803" s="460">
        <f t="shared" si="121"/>
        <v>0.05</v>
      </c>
      <c r="N1803" s="464">
        <f t="shared" si="122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20"/>
        <v>-976803408.32330537</v>
      </c>
      <c r="J1804" s="444">
        <f t="array" ref="J1804">IFERROR(INDEX('Retirement Calculator'!K:K,MATCH('Lorri 401b'!N1804,'Retirement Calculator'!A:A,0),0),0)</f>
        <v>0</v>
      </c>
      <c r="K1804" s="444">
        <f t="shared" ca="1" si="118"/>
        <v>-4070014.2013471057</v>
      </c>
      <c r="L1804" s="444">
        <f t="shared" ca="1" si="119"/>
        <v>-980873422.52465248</v>
      </c>
      <c r="M1804" s="460">
        <f t="shared" si="121"/>
        <v>0.05</v>
      </c>
      <c r="N1804" s="464">
        <f t="shared" si="122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20"/>
        <v>-980873422.52465248</v>
      </c>
      <c r="J1805" s="444">
        <f t="array" ref="J1805">IFERROR(INDEX('Retirement Calculator'!K:K,MATCH('Lorri 401b'!N1805,'Retirement Calculator'!A:A,0),0),0)</f>
        <v>0</v>
      </c>
      <c r="K1805" s="444">
        <f t="shared" ca="1" si="118"/>
        <v>-4086972.5938527193</v>
      </c>
      <c r="L1805" s="444">
        <f t="shared" ca="1" si="119"/>
        <v>-984960395.11850524</v>
      </c>
      <c r="M1805" s="460">
        <f t="shared" si="121"/>
        <v>0.05</v>
      </c>
      <c r="N1805" s="464">
        <f t="shared" si="122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20"/>
        <v>-984960395.11850524</v>
      </c>
      <c r="J1806" s="444">
        <f t="array" ref="J1806">IFERROR(INDEX('Retirement Calculator'!K:K,MATCH('Lorri 401b'!N1806,'Retirement Calculator'!A:A,0),0),0)</f>
        <v>0</v>
      </c>
      <c r="K1806" s="444">
        <f t="shared" ca="1" si="118"/>
        <v>-4104001.6463271058</v>
      </c>
      <c r="L1806" s="444">
        <f t="shared" ca="1" si="119"/>
        <v>-989064396.76483238</v>
      </c>
      <c r="M1806" s="460">
        <f t="shared" si="121"/>
        <v>0.05</v>
      </c>
      <c r="N1806" s="464">
        <f t="shared" si="122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20"/>
        <v>-989064396.76483238</v>
      </c>
      <c r="J1807" s="444">
        <f t="array" ref="J1807">IFERROR(INDEX('Retirement Calculator'!K:K,MATCH('Lorri 401b'!N1807,'Retirement Calculator'!A:A,0),0),0)</f>
        <v>0</v>
      </c>
      <c r="K1807" s="444">
        <f t="shared" ca="1" si="118"/>
        <v>-4121101.6531868014</v>
      </c>
      <c r="L1807" s="444">
        <f t="shared" ca="1" si="119"/>
        <v>-993185498.41801918</v>
      </c>
      <c r="M1807" s="460">
        <f t="shared" si="121"/>
        <v>0.05</v>
      </c>
      <c r="N1807" s="464">
        <f t="shared" si="122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20"/>
        <v>-993185498.41801918</v>
      </c>
      <c r="J1808" s="444">
        <f t="array" ref="J1808">IFERROR(INDEX('Retirement Calculator'!K:K,MATCH('Lorri 401b'!N1808,'Retirement Calculator'!A:A,0),0),0)</f>
        <v>0</v>
      </c>
      <c r="K1808" s="444">
        <f t="shared" ca="1" si="118"/>
        <v>-4138272.9100750796</v>
      </c>
      <c r="L1808" s="444">
        <f t="shared" ca="1" si="119"/>
        <v>-997323771.32809424</v>
      </c>
      <c r="M1808" s="460">
        <f t="shared" si="121"/>
        <v>0.05</v>
      </c>
      <c r="N1808" s="464">
        <f t="shared" si="122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20"/>
        <v>-997323771.32809424</v>
      </c>
      <c r="J1809" s="444">
        <f t="array" ref="J1809">IFERROR(INDEX('Retirement Calculator'!K:K,MATCH('Lorri 401b'!N1809,'Retirement Calculator'!A:A,0),0),0)</f>
        <v>0</v>
      </c>
      <c r="K1809" s="444">
        <f t="shared" ca="1" si="118"/>
        <v>-4155515.7138670599</v>
      </c>
      <c r="L1809" s="444">
        <f t="shared" ca="1" si="119"/>
        <v>-1001479287.0419613</v>
      </c>
      <c r="M1809" s="460">
        <f t="shared" si="121"/>
        <v>0.05</v>
      </c>
      <c r="N1809" s="464">
        <f t="shared" si="122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20"/>
        <v>-1001479287.0419613</v>
      </c>
      <c r="J1810" s="444">
        <f t="array" ref="J1810">IFERROR(INDEX('Retirement Calculator'!K:K,MATCH('Lorri 401b'!N1810,'Retirement Calculator'!A:A,0),0),0)</f>
        <v>0</v>
      </c>
      <c r="K1810" s="444">
        <f t="shared" ca="1" si="118"/>
        <v>-4172830.3626748393</v>
      </c>
      <c r="L1810" s="444">
        <f t="shared" ca="1" si="119"/>
        <v>-1005652117.4046361</v>
      </c>
      <c r="M1810" s="460">
        <f t="shared" si="121"/>
        <v>0.05</v>
      </c>
      <c r="N1810" s="464">
        <f t="shared" si="122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20"/>
        <v>-1005652117.4046361</v>
      </c>
      <c r="J1811" s="444">
        <f t="array" ref="J1811">IFERROR(INDEX('Retirement Calculator'!K:K,MATCH('Lorri 401b'!N1811,'Retirement Calculator'!A:A,0),0),0)</f>
        <v>0</v>
      </c>
      <c r="K1811" s="444">
        <f t="shared" ca="1" si="118"/>
        <v>-4190217.1558526508</v>
      </c>
      <c r="L1811" s="444">
        <f t="shared" ca="1" si="119"/>
        <v>-1009842334.5604888</v>
      </c>
      <c r="M1811" s="460">
        <f t="shared" si="121"/>
        <v>0.05</v>
      </c>
      <c r="N1811" s="464">
        <f t="shared" si="122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20"/>
        <v>-1009842334.5604888</v>
      </c>
      <c r="J1812" s="444">
        <f t="array" ref="J1812">IFERROR(INDEX('Retirement Calculator'!K:K,MATCH('Lorri 401b'!N1812,'Retirement Calculator'!A:A,0),0),0)</f>
        <v>0</v>
      </c>
      <c r="K1812" s="444">
        <f t="shared" ca="1" si="118"/>
        <v>-4207676.3940020371</v>
      </c>
      <c r="L1812" s="444">
        <f t="shared" ca="1" si="119"/>
        <v>-1014050010.9544909</v>
      </c>
      <c r="M1812" s="460">
        <f t="shared" si="121"/>
        <v>0.05</v>
      </c>
      <c r="N1812" s="464">
        <f t="shared" si="122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20"/>
        <v>-1014050010.9544909</v>
      </c>
      <c r="J1813" s="444">
        <f t="array" ref="J1813">IFERROR(INDEX('Retirement Calculator'!K:K,MATCH('Lorri 401b'!N1813,'Retirement Calculator'!A:A,0),0),0)</f>
        <v>0</v>
      </c>
      <c r="K1813" s="444">
        <f t="shared" ca="1" si="118"/>
        <v>-4225208.3789770445</v>
      </c>
      <c r="L1813" s="444">
        <f t="shared" ca="1" si="119"/>
        <v>-1018275219.333468</v>
      </c>
      <c r="M1813" s="460">
        <f t="shared" si="121"/>
        <v>0.05</v>
      </c>
      <c r="N1813" s="464">
        <f t="shared" si="122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20"/>
        <v>-1018275219.333468</v>
      </c>
      <c r="J1814" s="444">
        <f t="array" ref="J1814">IFERROR(INDEX('Retirement Calculator'!K:K,MATCH('Lorri 401b'!N1814,'Retirement Calculator'!A:A,0),0),0)</f>
        <v>0</v>
      </c>
      <c r="K1814" s="444">
        <f t="shared" ca="1" si="118"/>
        <v>-4242813.41388945</v>
      </c>
      <c r="L1814" s="444">
        <f t="shared" ca="1" si="119"/>
        <v>-1022518032.7473574</v>
      </c>
      <c r="M1814" s="460">
        <f t="shared" si="121"/>
        <v>0.05</v>
      </c>
      <c r="N1814" s="464">
        <f t="shared" si="122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20"/>
        <v>-1022518032.7473574</v>
      </c>
      <c r="J1815" s="444">
        <f t="array" ref="J1815">IFERROR(INDEX('Retirement Calculator'!K:K,MATCH('Lorri 401b'!N1815,'Retirement Calculator'!A:A,0),0),0)</f>
        <v>0</v>
      </c>
      <c r="K1815" s="444">
        <f t="shared" ca="1" si="118"/>
        <v>-4260491.8031139895</v>
      </c>
      <c r="L1815" s="444">
        <f t="shared" ca="1" si="119"/>
        <v>-1026778524.5504713</v>
      </c>
      <c r="M1815" s="460">
        <f t="shared" si="121"/>
        <v>0.05</v>
      </c>
      <c r="N1815" s="464">
        <f t="shared" si="122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20"/>
        <v>-1026778524.5504713</v>
      </c>
      <c r="J1816" s="444">
        <f t="array" ref="J1816">IFERROR(INDEX('Retirement Calculator'!K:K,MATCH('Lorri 401b'!N1816,'Retirement Calculator'!A:A,0),0),0)</f>
        <v>0</v>
      </c>
      <c r="K1816" s="444">
        <f t="shared" ca="1" si="118"/>
        <v>-4278243.8522936301</v>
      </c>
      <c r="L1816" s="444">
        <f t="shared" ca="1" si="119"/>
        <v>-1031056768.4027649</v>
      </c>
      <c r="M1816" s="460">
        <f t="shared" si="121"/>
        <v>0.05</v>
      </c>
      <c r="N1816" s="464">
        <f t="shared" si="122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20"/>
        <v>-1031056768.4027649</v>
      </c>
      <c r="J1817" s="444">
        <f t="array" ref="J1817">IFERROR(INDEX('Retirement Calculator'!K:K,MATCH('Lorri 401b'!N1817,'Retirement Calculator'!A:A,0),0),0)</f>
        <v>0</v>
      </c>
      <c r="K1817" s="444">
        <f t="shared" ca="1" si="118"/>
        <v>-4296069.8683448536</v>
      </c>
      <c r="L1817" s="444">
        <f t="shared" ca="1" si="119"/>
        <v>-1035352838.2711098</v>
      </c>
      <c r="M1817" s="460">
        <f t="shared" si="121"/>
        <v>0.05</v>
      </c>
      <c r="N1817" s="464">
        <f t="shared" si="122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20"/>
        <v>-1035352838.2711098</v>
      </c>
      <c r="J1818" s="444">
        <f t="array" ref="J1818">IFERROR(INDEX('Retirement Calculator'!K:K,MATCH('Lorri 401b'!N1818,'Retirement Calculator'!A:A,0),0),0)</f>
        <v>0</v>
      </c>
      <c r="K1818" s="444">
        <f t="shared" ca="1" si="118"/>
        <v>-4313970.1594629576</v>
      </c>
      <c r="L1818" s="444">
        <f t="shared" ca="1" si="119"/>
        <v>-1039666808.4305727</v>
      </c>
      <c r="M1818" s="460">
        <f t="shared" si="121"/>
        <v>0.05</v>
      </c>
      <c r="N1818" s="464">
        <f t="shared" si="122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20"/>
        <v>-1039666808.4305727</v>
      </c>
      <c r="J1819" s="444">
        <f t="array" ref="J1819">IFERROR(INDEX('Retirement Calculator'!K:K,MATCH('Lorri 401b'!N1819,'Retirement Calculator'!A:A,0),0),0)</f>
        <v>0</v>
      </c>
      <c r="K1819" s="444">
        <f t="shared" ca="1" si="118"/>
        <v>-4331945.0351273865</v>
      </c>
      <c r="L1819" s="444">
        <f t="shared" ca="1" si="119"/>
        <v>-1043998753.4657001</v>
      </c>
      <c r="M1819" s="460">
        <f t="shared" si="121"/>
        <v>0.05</v>
      </c>
      <c r="N1819" s="464">
        <f t="shared" si="122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20"/>
        <v>-1043998753.4657001</v>
      </c>
      <c r="J1820" s="444">
        <f t="array" ref="J1820">IFERROR(INDEX('Retirement Calculator'!K:K,MATCH('Lorri 401b'!N1820,'Retirement Calculator'!A:A,0),0),0)</f>
        <v>0</v>
      </c>
      <c r="K1820" s="444">
        <f t="shared" ca="1" si="118"/>
        <v>-4349994.8061070833</v>
      </c>
      <c r="L1820" s="444">
        <f t="shared" ca="1" si="119"/>
        <v>-1048348748.2718072</v>
      </c>
      <c r="M1820" s="460">
        <f t="shared" si="121"/>
        <v>0.05</v>
      </c>
      <c r="N1820" s="464">
        <f t="shared" si="122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20"/>
        <v>-1048348748.2718072</v>
      </c>
      <c r="J1821" s="444">
        <f t="array" ref="J1821">IFERROR(INDEX('Retirement Calculator'!K:K,MATCH('Lorri 401b'!N1821,'Retirement Calculator'!A:A,0),0),0)</f>
        <v>0</v>
      </c>
      <c r="K1821" s="444">
        <f t="shared" ca="1" si="118"/>
        <v>-4368119.7844658634</v>
      </c>
      <c r="L1821" s="444">
        <f t="shared" ca="1" si="119"/>
        <v>-1052716868.0562731</v>
      </c>
      <c r="M1821" s="460">
        <f t="shared" si="121"/>
        <v>0.05</v>
      </c>
      <c r="N1821" s="464">
        <f t="shared" si="122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20"/>
        <v>-1052716868.0562731</v>
      </c>
      <c r="J1822" s="444">
        <f t="array" ref="J1822">IFERROR(INDEX('Retirement Calculator'!K:K,MATCH('Lorri 401b'!N1822,'Retirement Calculator'!A:A,0),0),0)</f>
        <v>0</v>
      </c>
      <c r="K1822" s="444">
        <f t="shared" ca="1" si="118"/>
        <v>-4386320.2835678039</v>
      </c>
      <c r="L1822" s="444">
        <f t="shared" ca="1" si="119"/>
        <v>-1057103188.3398409</v>
      </c>
      <c r="M1822" s="460">
        <f t="shared" si="121"/>
        <v>0.05</v>
      </c>
      <c r="N1822" s="464">
        <f t="shared" si="122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20"/>
        <v>-1057103188.3398409</v>
      </c>
      <c r="J1823" s="444">
        <f t="array" ref="J1823">IFERROR(INDEX('Retirement Calculator'!K:K,MATCH('Lorri 401b'!N1823,'Retirement Calculator'!A:A,0),0),0)</f>
        <v>0</v>
      </c>
      <c r="K1823" s="444">
        <f t="shared" ca="1" si="118"/>
        <v>-4404596.6180826705</v>
      </c>
      <c r="L1823" s="444">
        <f t="shared" ca="1" si="119"/>
        <v>-1061507784.9579235</v>
      </c>
      <c r="M1823" s="460">
        <f t="shared" si="121"/>
        <v>0.05</v>
      </c>
      <c r="N1823" s="464">
        <f t="shared" si="122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20"/>
        <v>-1061507784.9579235</v>
      </c>
      <c r="J1824" s="444">
        <f t="array" ref="J1824">IFERROR(INDEX('Retirement Calculator'!K:K,MATCH('Lorri 401b'!N1824,'Retirement Calculator'!A:A,0),0),0)</f>
        <v>0</v>
      </c>
      <c r="K1824" s="444">
        <f t="shared" ca="1" si="118"/>
        <v>-4422949.1039913483</v>
      </c>
      <c r="L1824" s="444">
        <f t="shared" ca="1" si="119"/>
        <v>-1065930734.0619149</v>
      </c>
      <c r="M1824" s="460">
        <f t="shared" si="121"/>
        <v>0.05</v>
      </c>
      <c r="N1824" s="464">
        <f t="shared" si="122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20"/>
        <v>-1065930734.0619149</v>
      </c>
      <c r="J1825" s="444">
        <f t="array" ref="J1825">IFERROR(INDEX('Retirement Calculator'!K:K,MATCH('Lorri 401b'!N1825,'Retirement Calculator'!A:A,0),0),0)</f>
        <v>0</v>
      </c>
      <c r="K1825" s="444">
        <f t="shared" ca="1" si="118"/>
        <v>-4441378.0585913118</v>
      </c>
      <c r="L1825" s="444">
        <f t="shared" ca="1" si="119"/>
        <v>-1070372112.1205063</v>
      </c>
      <c r="M1825" s="460">
        <f t="shared" si="121"/>
        <v>0.05</v>
      </c>
      <c r="N1825" s="464">
        <f t="shared" si="122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20"/>
        <v>-1070372112.1205063</v>
      </c>
      <c r="J1826" s="444">
        <f t="array" ref="J1826">IFERROR(INDEX('Retirement Calculator'!K:K,MATCH('Lorri 401b'!N1826,'Retirement Calculator'!A:A,0),0),0)</f>
        <v>0</v>
      </c>
      <c r="K1826" s="444">
        <f t="shared" ca="1" si="118"/>
        <v>-4459883.8005021093</v>
      </c>
      <c r="L1826" s="444">
        <f t="shared" ca="1" si="119"/>
        <v>-1074831995.9210083</v>
      </c>
      <c r="M1826" s="460">
        <f t="shared" si="121"/>
        <v>0.05</v>
      </c>
      <c r="N1826" s="464">
        <f t="shared" si="122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20"/>
        <v>-1074831995.9210083</v>
      </c>
      <c r="J1827" s="444">
        <f t="array" ref="J1827">IFERROR(INDEX('Retirement Calculator'!K:K,MATCH('Lorri 401b'!N1827,'Retirement Calculator'!A:A,0),0),0)</f>
        <v>0</v>
      </c>
      <c r="K1827" s="444">
        <f t="shared" ca="1" si="118"/>
        <v>-4478466.6496708682</v>
      </c>
      <c r="L1827" s="444">
        <f t="shared" ca="1" si="119"/>
        <v>-1079310462.5706792</v>
      </c>
      <c r="M1827" s="460">
        <f t="shared" si="121"/>
        <v>0.05</v>
      </c>
      <c r="N1827" s="464">
        <f t="shared" si="122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20"/>
        <v>-1079310462.5706792</v>
      </c>
      <c r="J1828" s="444">
        <f t="array" ref="J1828">IFERROR(INDEX('Retirement Calculator'!K:K,MATCH('Lorri 401b'!N1828,'Retirement Calculator'!A:A,0),0),0)</f>
        <v>0</v>
      </c>
      <c r="K1828" s="444">
        <f t="shared" ca="1" si="118"/>
        <v>-4497126.9273778303</v>
      </c>
      <c r="L1828" s="444">
        <f t="shared" ca="1" si="119"/>
        <v>-1083807589.4980571</v>
      </c>
      <c r="M1828" s="460">
        <f t="shared" si="121"/>
        <v>0.05</v>
      </c>
      <c r="N1828" s="464">
        <f t="shared" si="122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20"/>
        <v>-1083807589.4980571</v>
      </c>
      <c r="J1829" s="444">
        <f t="array" ref="J1829">IFERROR(INDEX('Retirement Calculator'!K:K,MATCH('Lorri 401b'!N1829,'Retirement Calculator'!A:A,0),0),0)</f>
        <v>0</v>
      </c>
      <c r="K1829" s="444">
        <f t="shared" ca="1" si="118"/>
        <v>-4515864.9562419048</v>
      </c>
      <c r="L1829" s="444">
        <f t="shared" ca="1" si="119"/>
        <v>-1088323454.454299</v>
      </c>
      <c r="M1829" s="460">
        <f t="shared" si="121"/>
        <v>0.05</v>
      </c>
      <c r="N1829" s="464">
        <f t="shared" si="122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20"/>
        <v>-1088323454.454299</v>
      </c>
      <c r="J1830" s="444">
        <f t="array" ref="J1830">IFERROR(INDEX('Retirement Calculator'!K:K,MATCH('Lorri 401b'!N1830,'Retirement Calculator'!A:A,0),0),0)</f>
        <v>0</v>
      </c>
      <c r="K1830" s="444">
        <f t="shared" ca="1" si="118"/>
        <v>-4534681.0602262458</v>
      </c>
      <c r="L1830" s="444">
        <f t="shared" ca="1" si="119"/>
        <v>-1092858135.5145252</v>
      </c>
      <c r="M1830" s="460">
        <f t="shared" si="121"/>
        <v>0.05</v>
      </c>
      <c r="N1830" s="464">
        <f t="shared" si="122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20"/>
        <v>-1092858135.5145252</v>
      </c>
      <c r="J1831" s="444">
        <f t="array" ref="J1831">IFERROR(INDEX('Retirement Calculator'!K:K,MATCH('Lorri 401b'!N1831,'Retirement Calculator'!A:A,0),0),0)</f>
        <v>0</v>
      </c>
      <c r="K1831" s="444">
        <f t="shared" ca="1" si="118"/>
        <v>-4553575.5646438552</v>
      </c>
      <c r="L1831" s="444">
        <f t="shared" ca="1" si="119"/>
        <v>-1097411711.079169</v>
      </c>
      <c r="M1831" s="460">
        <f t="shared" si="121"/>
        <v>0.05</v>
      </c>
      <c r="N1831" s="464">
        <f t="shared" si="122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20"/>
        <v>-1097411711.079169</v>
      </c>
      <c r="J1832" s="444">
        <f t="array" ref="J1832">IFERROR(INDEX('Retirement Calculator'!K:K,MATCH('Lorri 401b'!N1832,'Retirement Calculator'!A:A,0),0),0)</f>
        <v>0</v>
      </c>
      <c r="K1832" s="444">
        <f t="shared" ca="1" si="118"/>
        <v>-4572548.7961632041</v>
      </c>
      <c r="L1832" s="444">
        <f t="shared" ca="1" si="119"/>
        <v>-1101984259.8753324</v>
      </c>
      <c r="M1832" s="460">
        <f t="shared" si="121"/>
        <v>0.05</v>
      </c>
      <c r="N1832" s="464">
        <f t="shared" si="122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20"/>
        <v>-1101984259.8753324</v>
      </c>
      <c r="J1833" s="444">
        <f t="array" ref="J1833">IFERROR(INDEX('Retirement Calculator'!K:K,MATCH('Lorri 401b'!N1833,'Retirement Calculator'!A:A,0),0),0)</f>
        <v>0</v>
      </c>
      <c r="K1833" s="444">
        <f t="shared" ca="1" si="118"/>
        <v>-4591601.0828138851</v>
      </c>
      <c r="L1833" s="444">
        <f t="shared" ca="1" si="119"/>
        <v>-1106575860.9581463</v>
      </c>
      <c r="M1833" s="460">
        <f t="shared" si="121"/>
        <v>0.05</v>
      </c>
      <c r="N1833" s="464">
        <f t="shared" si="122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20"/>
        <v>-1106575860.9581463</v>
      </c>
      <c r="J1834" s="444">
        <f t="array" ref="J1834">IFERROR(INDEX('Retirement Calculator'!K:K,MATCH('Lorri 401b'!N1834,'Retirement Calculator'!A:A,0),0),0)</f>
        <v>0</v>
      </c>
      <c r="K1834" s="444">
        <f t="shared" ca="1" si="118"/>
        <v>-4610732.7539922763</v>
      </c>
      <c r="L1834" s="444">
        <f t="shared" ca="1" si="119"/>
        <v>-1111186593.7121387</v>
      </c>
      <c r="M1834" s="460">
        <f t="shared" si="121"/>
        <v>0.05</v>
      </c>
      <c r="N1834" s="464">
        <f t="shared" si="122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20"/>
        <v>-1111186593.7121387</v>
      </c>
      <c r="J1835" s="444">
        <f t="array" ref="J1835">IFERROR(INDEX('Retirement Calculator'!K:K,MATCH('Lorri 401b'!N1835,'Retirement Calculator'!A:A,0),0),0)</f>
        <v>0</v>
      </c>
      <c r="K1835" s="444">
        <f t="shared" ca="1" si="118"/>
        <v>-4629944.1404672442</v>
      </c>
      <c r="L1835" s="444">
        <f t="shared" ca="1" si="119"/>
        <v>-1115816537.8526058</v>
      </c>
      <c r="M1835" s="460">
        <f t="shared" si="121"/>
        <v>0.05</v>
      </c>
      <c r="N1835" s="464">
        <f t="shared" si="122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20"/>
        <v>-1115816537.8526058</v>
      </c>
      <c r="J1836" s="444">
        <f t="array" ref="J1836">IFERROR(INDEX('Retirement Calculator'!K:K,MATCH('Lorri 401b'!N1836,'Retirement Calculator'!A:A,0),0),0)</f>
        <v>0</v>
      </c>
      <c r="K1836" s="444">
        <f t="shared" ca="1" si="118"/>
        <v>-4649235.5743858572</v>
      </c>
      <c r="L1836" s="444">
        <f t="shared" ca="1" si="119"/>
        <v>-1120465773.4269917</v>
      </c>
      <c r="M1836" s="460">
        <f t="shared" si="121"/>
        <v>0.05</v>
      </c>
      <c r="N1836" s="464">
        <f t="shared" si="122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20"/>
        <v>-1120465773.4269917</v>
      </c>
      <c r="J1837" s="444">
        <f t="array" ref="J1837">IFERROR(INDEX('Retirement Calculator'!K:K,MATCH('Lorri 401b'!N1837,'Retirement Calculator'!A:A,0),0),0)</f>
        <v>0</v>
      </c>
      <c r="K1837" s="444">
        <f t="shared" ca="1" si="118"/>
        <v>-4668607.3892791318</v>
      </c>
      <c r="L1837" s="444">
        <f t="shared" ca="1" si="119"/>
        <v>-1125134380.8162708</v>
      </c>
      <c r="M1837" s="460">
        <f t="shared" si="121"/>
        <v>0.05</v>
      </c>
      <c r="N1837" s="464">
        <f t="shared" si="122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20"/>
        <v>-1125134380.8162708</v>
      </c>
      <c r="J1838" s="444">
        <f t="array" ref="J1838">IFERROR(INDEX('Retirement Calculator'!K:K,MATCH('Lorri 401b'!N1838,'Retirement Calculator'!A:A,0),0),0)</f>
        <v>0</v>
      </c>
      <c r="K1838" s="444">
        <f t="shared" ca="1" si="118"/>
        <v>-4688059.9200677946</v>
      </c>
      <c r="L1838" s="444">
        <f t="shared" ca="1" si="119"/>
        <v>-1129822440.7363386</v>
      </c>
      <c r="M1838" s="460">
        <f t="shared" si="121"/>
        <v>0.05</v>
      </c>
      <c r="N1838" s="464">
        <f t="shared" si="122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20"/>
        <v>-1129822440.7363386</v>
      </c>
      <c r="J1839" s="444">
        <f t="array" ref="J1839">IFERROR(INDEX('Retirement Calculator'!K:K,MATCH('Lorri 401b'!N1839,'Retirement Calculator'!A:A,0),0),0)</f>
        <v>0</v>
      </c>
      <c r="K1839" s="444">
        <f t="shared" ca="1" si="118"/>
        <v>-4707593.5030680774</v>
      </c>
      <c r="L1839" s="444">
        <f t="shared" ca="1" si="119"/>
        <v>-1134530034.2394066</v>
      </c>
      <c r="M1839" s="460">
        <f t="shared" si="121"/>
        <v>0.05</v>
      </c>
      <c r="N1839" s="464">
        <f t="shared" si="122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20"/>
        <v>-1134530034.2394066</v>
      </c>
      <c r="J1840" s="444">
        <f t="array" ref="J1840">IFERROR(INDEX('Retirement Calculator'!K:K,MATCH('Lorri 401b'!N1840,'Retirement Calculator'!A:A,0),0),0)</f>
        <v>0</v>
      </c>
      <c r="K1840" s="444">
        <f t="shared" ca="1" si="118"/>
        <v>-4727208.4759975271</v>
      </c>
      <c r="L1840" s="444">
        <f t="shared" ca="1" si="119"/>
        <v>-1139257242.715404</v>
      </c>
      <c r="M1840" s="460">
        <f t="shared" si="121"/>
        <v>0.05</v>
      </c>
      <c r="N1840" s="464">
        <f t="shared" si="122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20"/>
        <v>-1139257242.715404</v>
      </c>
      <c r="J1841" s="444">
        <f t="array" ref="J1841">IFERROR(INDEX('Retirement Calculator'!K:K,MATCH('Lorri 401b'!N1841,'Retirement Calculator'!A:A,0),0),0)</f>
        <v>0</v>
      </c>
      <c r="K1841" s="444">
        <f t="shared" ca="1" si="118"/>
        <v>-4746905.1779808505</v>
      </c>
      <c r="L1841" s="444">
        <f t="shared" ca="1" si="119"/>
        <v>-1144004147.8933849</v>
      </c>
      <c r="M1841" s="460">
        <f t="shared" si="121"/>
        <v>0.05</v>
      </c>
      <c r="N1841" s="464">
        <f t="shared" si="122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20"/>
        <v>-1144004147.8933849</v>
      </c>
      <c r="J1842" s="444">
        <f t="array" ref="J1842">IFERROR(INDEX('Retirement Calculator'!K:K,MATCH('Lorri 401b'!N1842,'Retirement Calculator'!A:A,0),0),0)</f>
        <v>0</v>
      </c>
      <c r="K1842" s="444">
        <f t="shared" ca="1" si="118"/>
        <v>-4766683.9495557705</v>
      </c>
      <c r="L1842" s="444">
        <f t="shared" ca="1" si="119"/>
        <v>-1148770831.8429408</v>
      </c>
      <c r="M1842" s="460">
        <f t="shared" si="121"/>
        <v>0.05</v>
      </c>
      <c r="N1842" s="464">
        <f t="shared" si="122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20"/>
        <v>-1148770831.8429408</v>
      </c>
      <c r="J1843" s="444">
        <f t="array" ref="J1843">IFERROR(INDEX('Retirement Calculator'!K:K,MATCH('Lorri 401b'!N1843,'Retirement Calculator'!A:A,0),0),0)</f>
        <v>0</v>
      </c>
      <c r="K1843" s="444">
        <f t="shared" ca="1" si="118"/>
        <v>-4786545.1326789204</v>
      </c>
      <c r="L1843" s="444">
        <f t="shared" ca="1" si="119"/>
        <v>-1153557376.9756198</v>
      </c>
      <c r="M1843" s="460">
        <f t="shared" si="121"/>
        <v>0.05</v>
      </c>
      <c r="N1843" s="464">
        <f t="shared" si="122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20"/>
        <v>-1153557376.9756198</v>
      </c>
      <c r="J1844" s="444">
        <f t="array" ref="J1844">IFERROR(INDEX('Retirement Calculator'!K:K,MATCH('Lorri 401b'!N1844,'Retirement Calculator'!A:A,0),0),0)</f>
        <v>0</v>
      </c>
      <c r="K1844" s="444">
        <f t="shared" ca="1" si="118"/>
        <v>-4806489.0707317488</v>
      </c>
      <c r="L1844" s="444">
        <f t="shared" ca="1" si="119"/>
        <v>-1158363866.0463514</v>
      </c>
      <c r="M1844" s="460">
        <f t="shared" si="121"/>
        <v>0.05</v>
      </c>
      <c r="N1844" s="464">
        <f t="shared" si="122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20"/>
        <v>-1158363866.0463514</v>
      </c>
      <c r="J1845" s="444">
        <f t="array" ref="J1845">IFERROR(INDEX('Retirement Calculator'!K:K,MATCH('Lorri 401b'!N1845,'Retirement Calculator'!A:A,0),0),0)</f>
        <v>0</v>
      </c>
      <c r="K1845" s="444">
        <f t="shared" ca="1" si="118"/>
        <v>-4826516.1085264646</v>
      </c>
      <c r="L1845" s="444">
        <f t="shared" ca="1" si="119"/>
        <v>-1163190382.1548779</v>
      </c>
      <c r="M1845" s="460">
        <f t="shared" si="121"/>
        <v>0.05</v>
      </c>
      <c r="N1845" s="464">
        <f t="shared" si="122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20"/>
        <v>-1163190382.1548779</v>
      </c>
      <c r="J1846" s="444">
        <f t="array" ref="J1846">IFERROR(INDEX('Retirement Calculator'!K:K,MATCH('Lorri 401b'!N1846,'Retirement Calculator'!A:A,0),0),0)</f>
        <v>0</v>
      </c>
      <c r="K1846" s="444">
        <f t="shared" ca="1" si="118"/>
        <v>-4846626.5923119914</v>
      </c>
      <c r="L1846" s="444">
        <f t="shared" ca="1" si="119"/>
        <v>-1168037008.74719</v>
      </c>
      <c r="M1846" s="460">
        <f t="shared" si="121"/>
        <v>0.05</v>
      </c>
      <c r="N1846" s="464">
        <f t="shared" si="122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20"/>
        <v>-1168037008.74719</v>
      </c>
      <c r="J1847" s="444">
        <f t="array" ref="J1847">IFERROR(INDEX('Retirement Calculator'!K:K,MATCH('Lorri 401b'!N1847,'Retirement Calculator'!A:A,0),0),0)</f>
        <v>0</v>
      </c>
      <c r="K1847" s="444">
        <f t="shared" ca="1" si="118"/>
        <v>-4866820.8697799584</v>
      </c>
      <c r="L1847" s="444">
        <f t="shared" ca="1" si="119"/>
        <v>-1172903829.6169701</v>
      </c>
      <c r="M1847" s="460">
        <f t="shared" si="121"/>
        <v>0.05</v>
      </c>
      <c r="N1847" s="464">
        <f t="shared" si="122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20"/>
        <v>-1172903829.6169701</v>
      </c>
      <c r="J1848" s="444">
        <f t="array" ref="J1848">IFERROR(INDEX('Retirement Calculator'!K:K,MATCH('Lorri 401b'!N1848,'Retirement Calculator'!A:A,0),0),0)</f>
        <v>0</v>
      </c>
      <c r="K1848" s="444">
        <f t="shared" ca="1" si="118"/>
        <v>-4887099.2900707088</v>
      </c>
      <c r="L1848" s="444">
        <f t="shared" ca="1" si="119"/>
        <v>-1177790928.9070408</v>
      </c>
      <c r="M1848" s="460">
        <f t="shared" si="121"/>
        <v>0.05</v>
      </c>
      <c r="N1848" s="464">
        <f t="shared" si="122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20"/>
        <v>-1177790928.9070408</v>
      </c>
      <c r="J1849" s="444">
        <f t="array" ref="J1849">IFERROR(INDEX('Retirement Calculator'!K:K,MATCH('Lorri 401b'!N1849,'Retirement Calculator'!A:A,0),0),0)</f>
        <v>0</v>
      </c>
      <c r="K1849" s="444">
        <f t="shared" ca="1" si="118"/>
        <v>-4907462.203779337</v>
      </c>
      <c r="L1849" s="444">
        <f t="shared" ca="1" si="119"/>
        <v>-1182698391.1108201</v>
      </c>
      <c r="M1849" s="460">
        <f t="shared" si="121"/>
        <v>0.05</v>
      </c>
      <c r="N1849" s="464">
        <f t="shared" si="122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20"/>
        <v>-1182698391.1108201</v>
      </c>
      <c r="J1850" s="444">
        <f t="array" ref="J1850">IFERROR(INDEX('Retirement Calculator'!K:K,MATCH('Lorri 401b'!N1850,'Retirement Calculator'!A:A,0),0),0)</f>
        <v>0</v>
      </c>
      <c r="K1850" s="444">
        <f t="shared" ca="1" si="118"/>
        <v>-4927909.9629617501</v>
      </c>
      <c r="L1850" s="444">
        <f t="shared" ca="1" si="119"/>
        <v>-1187626301.0737817</v>
      </c>
      <c r="M1850" s="460">
        <f t="shared" si="121"/>
        <v>0.05</v>
      </c>
      <c r="N1850" s="464">
        <f t="shared" si="122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20"/>
        <v>-1187626301.0737817</v>
      </c>
      <c r="J1851" s="444">
        <f t="array" ref="J1851">IFERROR(INDEX('Retirement Calculator'!K:K,MATCH('Lorri 401b'!N1851,'Retirement Calculator'!A:A,0),0),0)</f>
        <v>0</v>
      </c>
      <c r="K1851" s="444">
        <f t="shared" ca="1" si="118"/>
        <v>-4948442.9211407574</v>
      </c>
      <c r="L1851" s="444">
        <f t="shared" ca="1" si="119"/>
        <v>-1192574743.9949224</v>
      </c>
      <c r="M1851" s="460">
        <f t="shared" si="121"/>
        <v>0.05</v>
      </c>
      <c r="N1851" s="464">
        <f t="shared" si="122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20"/>
        <v>-1192574743.9949224</v>
      </c>
      <c r="J1852" s="444">
        <f t="array" ref="J1852">IFERROR(INDEX('Retirement Calculator'!K:K,MATCH('Lorri 401b'!N1852,'Retirement Calculator'!A:A,0),0),0)</f>
        <v>0</v>
      </c>
      <c r="K1852" s="444">
        <f t="shared" ca="1" si="118"/>
        <v>-4969061.4333121767</v>
      </c>
      <c r="L1852" s="444">
        <f t="shared" ca="1" si="119"/>
        <v>-1197543805.4282346</v>
      </c>
      <c r="M1852" s="460">
        <f t="shared" si="121"/>
        <v>0.05</v>
      </c>
      <c r="N1852" s="464">
        <f t="shared" si="122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20"/>
        <v>-1197543805.4282346</v>
      </c>
      <c r="J1853" s="444">
        <f t="array" ref="J1853">IFERROR(INDEX('Retirement Calculator'!K:K,MATCH('Lorri 401b'!N1853,'Retirement Calculator'!A:A,0),0),0)</f>
        <v>0</v>
      </c>
      <c r="K1853" s="444">
        <f t="shared" ca="1" si="118"/>
        <v>-4989765.8559509777</v>
      </c>
      <c r="L1853" s="444">
        <f t="shared" ca="1" si="119"/>
        <v>-1202533571.2841856</v>
      </c>
      <c r="M1853" s="460">
        <f t="shared" si="121"/>
        <v>0.05</v>
      </c>
      <c r="N1853" s="464">
        <f t="shared" si="122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20"/>
        <v>-1202533571.2841856</v>
      </c>
      <c r="J1854" s="444">
        <f t="array" ref="J1854">IFERROR(INDEX('Retirement Calculator'!K:K,MATCH('Lorri 401b'!N1854,'Retirement Calculator'!A:A,0),0),0)</f>
        <v>0</v>
      </c>
      <c r="K1854" s="444">
        <f t="shared" ca="1" si="118"/>
        <v>-5010556.5470174402</v>
      </c>
      <c r="L1854" s="444">
        <f t="shared" ca="1" si="119"/>
        <v>-1207544127.831203</v>
      </c>
      <c r="M1854" s="460">
        <f t="shared" si="121"/>
        <v>0.05</v>
      </c>
      <c r="N1854" s="464">
        <f t="shared" si="122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20"/>
        <v>-1207544127.831203</v>
      </c>
      <c r="J1855" s="444">
        <f t="array" ref="J1855">IFERROR(INDEX('Retirement Calculator'!K:K,MATCH('Lorri 401b'!N1855,'Retirement Calculator'!A:A,0),0),0)</f>
        <v>0</v>
      </c>
      <c r="K1855" s="444">
        <f t="shared" ca="1" si="118"/>
        <v>-5031433.8659633454</v>
      </c>
      <c r="L1855" s="444">
        <f t="shared" ca="1" si="119"/>
        <v>-1212575561.6971664</v>
      </c>
      <c r="M1855" s="460">
        <f t="shared" si="121"/>
        <v>0.05</v>
      </c>
      <c r="N1855" s="464">
        <f t="shared" si="122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20"/>
        <v>-1212575561.6971664</v>
      </c>
      <c r="J1856" s="444">
        <f t="array" ref="J1856">IFERROR(INDEX('Retirement Calculator'!K:K,MATCH('Lorri 401b'!N1856,'Retirement Calculator'!A:A,0),0),0)</f>
        <v>0</v>
      </c>
      <c r="K1856" s="444">
        <f t="shared" ca="1" si="118"/>
        <v>-5052398.1737381937</v>
      </c>
      <c r="L1856" s="444">
        <f t="shared" ca="1" si="119"/>
        <v>-1217627959.8709047</v>
      </c>
      <c r="M1856" s="460">
        <f t="shared" si="121"/>
        <v>0.05</v>
      </c>
      <c r="N1856" s="464">
        <f t="shared" si="122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20"/>
        <v>-1217627959.8709047</v>
      </c>
      <c r="J1857" s="444">
        <f t="array" ref="J1857">IFERROR(INDEX('Retirement Calculator'!K:K,MATCH('Lorri 401b'!N1857,'Retirement Calculator'!A:A,0),0),0)</f>
        <v>0</v>
      </c>
      <c r="K1857" s="444">
        <f t="shared" ca="1" si="118"/>
        <v>-5073449.8327954365</v>
      </c>
      <c r="L1857" s="444">
        <f t="shared" ca="1" si="119"/>
        <v>-1222701409.7037001</v>
      </c>
      <c r="M1857" s="460">
        <f t="shared" si="121"/>
        <v>0.05</v>
      </c>
      <c r="N1857" s="464">
        <f t="shared" si="122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20"/>
        <v>-1222701409.7037001</v>
      </c>
      <c r="J1858" s="444">
        <f t="array" ref="J1858">IFERROR(INDEX('Retirement Calculator'!K:K,MATCH('Lorri 401b'!N1858,'Retirement Calculator'!A:A,0),0),0)</f>
        <v>0</v>
      </c>
      <c r="K1858" s="444">
        <f t="shared" ca="1" si="118"/>
        <v>-5094589.2070987504</v>
      </c>
      <c r="L1858" s="444">
        <f t="shared" ca="1" si="119"/>
        <v>-1227795998.9107988</v>
      </c>
      <c r="M1858" s="460">
        <f t="shared" si="121"/>
        <v>0.05</v>
      </c>
      <c r="N1858" s="464">
        <f t="shared" si="122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20"/>
        <v>-1227795998.9107988</v>
      </c>
      <c r="J1859" s="444">
        <f t="array" ref="J1859">IFERROR(INDEX('Retirement Calculator'!K:K,MATCH('Lorri 401b'!N1859,'Retirement Calculator'!A:A,0),0),0)</f>
        <v>0</v>
      </c>
      <c r="K1859" s="444">
        <f t="shared" ca="1" si="118"/>
        <v>-5115816.6621283283</v>
      </c>
      <c r="L1859" s="444">
        <f t="shared" ca="1" si="119"/>
        <v>-1232911815.572927</v>
      </c>
      <c r="M1859" s="460">
        <f t="shared" si="121"/>
        <v>0.05</v>
      </c>
      <c r="N1859" s="464">
        <f t="shared" si="122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20"/>
        <v>-1232911815.572927</v>
      </c>
      <c r="J1860" s="444">
        <f t="array" ref="J1860">IFERROR(INDEX('Retirement Calculator'!K:K,MATCH('Lorri 401b'!N1860,'Retirement Calculator'!A:A,0),0),0)</f>
        <v>0</v>
      </c>
      <c r="K1860" s="444">
        <f t="shared" ca="1" si="118"/>
        <v>-5137132.5648871958</v>
      </c>
      <c r="L1860" s="444">
        <f t="shared" ca="1" si="119"/>
        <v>-1238048948.1378143</v>
      </c>
      <c r="M1860" s="460">
        <f t="shared" si="121"/>
        <v>0.05</v>
      </c>
      <c r="N1860" s="464">
        <f t="shared" si="122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20"/>
        <v>-1238048948.1378143</v>
      </c>
      <c r="J1861" s="444">
        <f t="array" ref="J1861">IFERROR(INDEX('Retirement Calculator'!K:K,MATCH('Lorri 401b'!N1861,'Retirement Calculator'!A:A,0),0),0)</f>
        <v>0</v>
      </c>
      <c r="K1861" s="444">
        <f t="shared" ca="1" si="118"/>
        <v>-5158537.2839075597</v>
      </c>
      <c r="L1861" s="444">
        <f t="shared" ca="1" si="119"/>
        <v>-1243207485.4217219</v>
      </c>
      <c r="M1861" s="460">
        <f t="shared" si="121"/>
        <v>0.05</v>
      </c>
      <c r="N1861" s="464">
        <f t="shared" si="122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20"/>
        <v>-1243207485.4217219</v>
      </c>
      <c r="J1862" s="444">
        <f t="array" ref="J1862">IFERROR(INDEX('Retirement Calculator'!K:K,MATCH('Lorri 401b'!N1862,'Retirement Calculator'!A:A,0),0),0)</f>
        <v>0</v>
      </c>
      <c r="K1862" s="444">
        <f t="shared" ca="1" si="118"/>
        <v>-5180031.1892571747</v>
      </c>
      <c r="L1862" s="444">
        <f t="shared" ca="1" si="119"/>
        <v>-1248387516.6109791</v>
      </c>
      <c r="M1862" s="460">
        <f t="shared" si="121"/>
        <v>0.05</v>
      </c>
      <c r="N1862" s="464">
        <f t="shared" si="122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20"/>
        <v>-1248387516.6109791</v>
      </c>
      <c r="J1863" s="444">
        <f t="array" ref="J1863">IFERROR(INDEX('Retirement Calculator'!K:K,MATCH('Lorri 401b'!N1863,'Retirement Calculator'!A:A,0),0),0)</f>
        <v>0</v>
      </c>
      <c r="K1863" s="444">
        <f t="shared" ca="1" si="118"/>
        <v>-5201614.6525457464</v>
      </c>
      <c r="L1863" s="444">
        <f t="shared" ca="1" si="119"/>
        <v>-1253589131.2635248</v>
      </c>
      <c r="M1863" s="460">
        <f t="shared" si="121"/>
        <v>0.05</v>
      </c>
      <c r="N1863" s="464">
        <f t="shared" si="122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20"/>
        <v>-1253589131.2635248</v>
      </c>
      <c r="J1864" s="444">
        <f t="array" ref="J1864">IFERROR(INDEX('Retirement Calculator'!K:K,MATCH('Lorri 401b'!N1864,'Retirement Calculator'!A:A,0),0),0)</f>
        <v>0</v>
      </c>
      <c r="K1864" s="444">
        <f t="shared" ca="1" si="118"/>
        <v>-5223288.0469313534</v>
      </c>
      <c r="L1864" s="444">
        <f t="shared" ca="1" si="119"/>
        <v>-1258812419.310456</v>
      </c>
      <c r="M1864" s="460">
        <f t="shared" si="121"/>
        <v>0.05</v>
      </c>
      <c r="N1864" s="464">
        <f t="shared" si="122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20"/>
        <v>-1258812419.310456</v>
      </c>
      <c r="J1865" s="444">
        <f t="array" ref="J1865">IFERROR(INDEX('Retirement Calculator'!K:K,MATCH('Lorri 401b'!N1865,'Retirement Calculator'!A:A,0),0),0)</f>
        <v>0</v>
      </c>
      <c r="K1865" s="444">
        <f t="shared" ca="1" si="118"/>
        <v>-5245051.7471268997</v>
      </c>
      <c r="L1865" s="444">
        <f t="shared" ca="1" si="119"/>
        <v>-1264057471.0575829</v>
      </c>
      <c r="M1865" s="460">
        <f t="shared" si="121"/>
        <v>0.05</v>
      </c>
      <c r="N1865" s="464">
        <f t="shared" si="122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20"/>
        <v>-1264057471.0575829</v>
      </c>
      <c r="J1866" s="444">
        <f t="array" ref="J1866">IFERROR(INDEX('Retirement Calculator'!K:K,MATCH('Lorri 401b'!N1866,'Retirement Calculator'!A:A,0),0),0)</f>
        <v>0</v>
      </c>
      <c r="K1866" s="444">
        <f t="shared" ca="1" si="118"/>
        <v>-5266906.1294065956</v>
      </c>
      <c r="L1866" s="444">
        <f t="shared" ca="1" si="119"/>
        <v>-1269324377.1869895</v>
      </c>
      <c r="M1866" s="460">
        <f t="shared" si="121"/>
        <v>0.05</v>
      </c>
      <c r="N1866" s="464">
        <f t="shared" si="122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20"/>
        <v>-1269324377.1869895</v>
      </c>
      <c r="J1867" s="444">
        <f t="array" ref="J1867">IFERROR(INDEX('Retirement Calculator'!K:K,MATCH('Lorri 401b'!N1867,'Retirement Calculator'!A:A,0),0),0)</f>
        <v>0</v>
      </c>
      <c r="K1867" s="444">
        <f t="shared" ca="1" si="118"/>
        <v>-5288851.5716124568</v>
      </c>
      <c r="L1867" s="444">
        <f t="shared" ca="1" si="119"/>
        <v>-1274613228.7586019</v>
      </c>
      <c r="M1867" s="460">
        <f t="shared" si="121"/>
        <v>0.05</v>
      </c>
      <c r="N1867" s="464">
        <f t="shared" si="122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20"/>
        <v>-1274613228.7586019</v>
      </c>
      <c r="J1868" s="444">
        <f t="array" ref="J1868">IFERROR(INDEX('Retirement Calculator'!K:K,MATCH('Lorri 401b'!N1868,'Retirement Calculator'!A:A,0),0),0)</f>
        <v>0</v>
      </c>
      <c r="K1868" s="444">
        <f t="shared" ca="1" si="118"/>
        <v>-5310888.453160841</v>
      </c>
      <c r="L1868" s="444">
        <f t="shared" ca="1" si="119"/>
        <v>-1279924117.2117627</v>
      </c>
      <c r="M1868" s="460">
        <f t="shared" si="121"/>
        <v>0.05</v>
      </c>
      <c r="N1868" s="464">
        <f t="shared" si="122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20"/>
        <v>-1279924117.2117627</v>
      </c>
      <c r="J1869" s="444">
        <f t="array" ref="J1869">IFERROR(INDEX('Retirement Calculator'!K:K,MATCH('Lorri 401b'!N1869,'Retirement Calculator'!A:A,0),0),0)</f>
        <v>0</v>
      </c>
      <c r="K1869" s="444">
        <f t="shared" ca="1" si="118"/>
        <v>-5333017.1550490111</v>
      </c>
      <c r="L1869" s="444">
        <f t="shared" ca="1" si="119"/>
        <v>-1285257134.3668118</v>
      </c>
      <c r="M1869" s="460">
        <f t="shared" si="121"/>
        <v>0.05</v>
      </c>
      <c r="N1869" s="464">
        <f t="shared" si="122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20"/>
        <v>-1285257134.3668118</v>
      </c>
      <c r="J1870" s="444">
        <f t="array" ref="J1870">IFERROR(INDEX('Retirement Calculator'!K:K,MATCH('Lorri 401b'!N1870,'Retirement Calculator'!A:A,0),0),0)</f>
        <v>0</v>
      </c>
      <c r="K1870" s="444">
        <f t="shared" ca="1" si="118"/>
        <v>-5355238.0598617159</v>
      </c>
      <c r="L1870" s="444">
        <f t="shared" ca="1" si="119"/>
        <v>-1290612372.4266734</v>
      </c>
      <c r="M1870" s="460">
        <f t="shared" si="121"/>
        <v>0.05</v>
      </c>
      <c r="N1870" s="464">
        <f t="shared" si="122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20"/>
        <v>-1290612372.4266734</v>
      </c>
      <c r="J1871" s="444">
        <f t="array" ref="J1871">IFERROR(INDEX('Retirement Calculator'!K:K,MATCH('Lorri 401b'!N1871,'Retirement Calculator'!A:A,0),0),0)</f>
        <v>0</v>
      </c>
      <c r="K1871" s="444">
        <f t="shared" ca="1" si="118"/>
        <v>-5377551.5517778061</v>
      </c>
      <c r="L1871" s="444">
        <f t="shared" ca="1" si="119"/>
        <v>-1295989923.9784513</v>
      </c>
      <c r="M1871" s="460">
        <f t="shared" si="121"/>
        <v>0.05</v>
      </c>
      <c r="N1871" s="464">
        <f t="shared" si="122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20"/>
        <v>-1295989923.9784513</v>
      </c>
      <c r="J1872" s="444">
        <f t="array" ref="J1872">IFERROR(INDEX('Retirement Calculator'!K:K,MATCH('Lorri 401b'!N1872,'Retirement Calculator'!A:A,0),0),0)</f>
        <v>0</v>
      </c>
      <c r="K1872" s="444">
        <f t="shared" ca="1" si="118"/>
        <v>-5399958.0165768806</v>
      </c>
      <c r="L1872" s="444">
        <f t="shared" ca="1" si="119"/>
        <v>-1301389881.995028</v>
      </c>
      <c r="M1872" s="460">
        <f t="shared" si="121"/>
        <v>0.05</v>
      </c>
      <c r="N1872" s="464">
        <f t="shared" si="122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20"/>
        <v>-1301389881.995028</v>
      </c>
      <c r="J1873" s="444">
        <f t="array" ref="J1873">IFERROR(INDEX('Retirement Calculator'!K:K,MATCH('Lorri 401b'!N1873,'Retirement Calculator'!A:A,0),0),0)</f>
        <v>0</v>
      </c>
      <c r="K1873" s="444">
        <f t="shared" ca="1" si="118"/>
        <v>-5422457.8416459505</v>
      </c>
      <c r="L1873" s="444">
        <f t="shared" ca="1" si="119"/>
        <v>-1306812339.836674</v>
      </c>
      <c r="M1873" s="460">
        <f t="shared" si="121"/>
        <v>0.05</v>
      </c>
      <c r="N1873" s="464">
        <f t="shared" si="122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20"/>
        <v>-1306812339.836674</v>
      </c>
      <c r="J1874" s="444">
        <f t="array" ref="J1874">IFERROR(INDEX('Retirement Calculator'!K:K,MATCH('Lorri 401b'!N1874,'Retirement Calculator'!A:A,0),0),0)</f>
        <v>0</v>
      </c>
      <c r="K1874" s="444">
        <f t="shared" ca="1" si="118"/>
        <v>-5445051.4159861412</v>
      </c>
      <c r="L1874" s="444">
        <f t="shared" ca="1" si="119"/>
        <v>-1312257391.25266</v>
      </c>
      <c r="M1874" s="460">
        <f t="shared" si="121"/>
        <v>0.05</v>
      </c>
      <c r="N1874" s="464">
        <f t="shared" si="122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20"/>
        <v>-1312257391.25266</v>
      </c>
      <c r="J1875" s="444">
        <f t="array" ref="J1875">IFERROR(INDEX('Retirement Calculator'!K:K,MATCH('Lorri 401b'!N1875,'Retirement Calculator'!A:A,0),0),0)</f>
        <v>0</v>
      </c>
      <c r="K1875" s="444">
        <f t="shared" ca="1" si="118"/>
        <v>-5467739.1302194167</v>
      </c>
      <c r="L1875" s="444">
        <f t="shared" ca="1" si="119"/>
        <v>-1317725130.3828795</v>
      </c>
      <c r="M1875" s="460">
        <f t="shared" si="121"/>
        <v>0.05</v>
      </c>
      <c r="N1875" s="464">
        <f t="shared" si="122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20"/>
        <v>-1317725130.3828795</v>
      </c>
      <c r="J1876" s="444">
        <f t="array" ref="J1876">IFERROR(INDEX('Retirement Calculator'!K:K,MATCH('Lorri 401b'!N1876,'Retirement Calculator'!A:A,0),0),0)</f>
        <v>0</v>
      </c>
      <c r="K1876" s="444">
        <f t="shared" ca="1" si="118"/>
        <v>-5490521.3765953314</v>
      </c>
      <c r="L1876" s="444">
        <f t="shared" ca="1" si="119"/>
        <v>-1323215651.7594748</v>
      </c>
      <c r="M1876" s="460">
        <f t="shared" si="121"/>
        <v>0.05</v>
      </c>
      <c r="N1876" s="464">
        <f t="shared" si="122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20"/>
        <v>-1323215651.7594748</v>
      </c>
      <c r="J1877" s="444">
        <f t="array" ref="J1877">IFERROR(INDEX('Retirement Calculator'!K:K,MATCH('Lorri 401b'!N1877,'Retirement Calculator'!A:A,0),0),0)</f>
        <v>0</v>
      </c>
      <c r="K1877" s="444">
        <f t="shared" ca="1" si="118"/>
        <v>-5513398.548997811</v>
      </c>
      <c r="L1877" s="444">
        <f t="shared" ca="1" si="119"/>
        <v>-1328729050.3084726</v>
      </c>
      <c r="M1877" s="460">
        <f t="shared" si="121"/>
        <v>0.05</v>
      </c>
      <c r="N1877" s="464">
        <f t="shared" si="122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20"/>
        <v>-1328729050.3084726</v>
      </c>
      <c r="J1878" s="444">
        <f t="array" ref="J1878">IFERROR(INDEX('Retirement Calculator'!K:K,MATCH('Lorri 401b'!N1878,'Retirement Calculator'!A:A,0),0),0)</f>
        <v>0</v>
      </c>
      <c r="K1878" s="444">
        <f t="shared" ca="1" si="118"/>
        <v>-5536371.0429519694</v>
      </c>
      <c r="L1878" s="444">
        <f t="shared" ca="1" si="119"/>
        <v>-1334265421.3514247</v>
      </c>
      <c r="M1878" s="460">
        <f t="shared" si="121"/>
        <v>0.05</v>
      </c>
      <c r="N1878" s="464">
        <f t="shared" si="122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20"/>
        <v>-1334265421.3514247</v>
      </c>
      <c r="J1879" s="444">
        <f t="array" ref="J1879">IFERROR(INDEX('Retirement Calculator'!K:K,MATCH('Lorri 401b'!N1879,'Retirement Calculator'!A:A,0),0),0)</f>
        <v>0</v>
      </c>
      <c r="K1879" s="444">
        <f t="shared" ca="1" si="118"/>
        <v>-5559439.2556309365</v>
      </c>
      <c r="L1879" s="444">
        <f t="shared" ca="1" si="119"/>
        <v>-1339824860.6070557</v>
      </c>
      <c r="M1879" s="460">
        <f t="shared" si="121"/>
        <v>0.05</v>
      </c>
      <c r="N1879" s="464">
        <f t="shared" si="122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20"/>
        <v>-1339824860.6070557</v>
      </c>
      <c r="J1880" s="444">
        <f t="array" ref="J1880">IFERROR(INDEX('Retirement Calculator'!K:K,MATCH('Lorri 401b'!N1880,'Retirement Calculator'!A:A,0),0),0)</f>
        <v>0</v>
      </c>
      <c r="K1880" s="444">
        <f t="shared" ca="1" si="118"/>
        <v>-5582603.5858627316</v>
      </c>
      <c r="L1880" s="444">
        <f t="shared" ca="1" si="119"/>
        <v>-1345407464.1929183</v>
      </c>
      <c r="M1880" s="460">
        <f t="shared" si="121"/>
        <v>0.05</v>
      </c>
      <c r="N1880" s="464">
        <f t="shared" si="122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20"/>
        <v>-1345407464.1929183</v>
      </c>
      <c r="J1881" s="444">
        <f t="array" ref="J1881">IFERROR(INDEX('Retirement Calculator'!K:K,MATCH('Lorri 401b'!N1881,'Retirement Calculator'!A:A,0),0),0)</f>
        <v>0</v>
      </c>
      <c r="K1881" s="444">
        <f t="shared" ca="1" si="118"/>
        <v>-5605864.43413716</v>
      </c>
      <c r="L1881" s="444">
        <f t="shared" ca="1" si="119"/>
        <v>-1351013328.6270554</v>
      </c>
      <c r="M1881" s="460">
        <f t="shared" si="121"/>
        <v>0.05</v>
      </c>
      <c r="N1881" s="464">
        <f t="shared" si="122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20"/>
        <v>-1351013328.6270554</v>
      </c>
      <c r="J1882" s="444">
        <f t="array" ref="J1882">IFERROR(INDEX('Retirement Calculator'!K:K,MATCH('Lorri 401b'!N1882,'Retirement Calculator'!A:A,0),0),0)</f>
        <v>0</v>
      </c>
      <c r="K1882" s="444">
        <f t="shared" ca="1" si="118"/>
        <v>-5629222.2026127307</v>
      </c>
      <c r="L1882" s="444">
        <f t="shared" ca="1" si="119"/>
        <v>-1356642550.829668</v>
      </c>
      <c r="M1882" s="460">
        <f t="shared" si="121"/>
        <v>0.05</v>
      </c>
      <c r="N1882" s="464">
        <f t="shared" si="122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20"/>
        <v>-1356642550.829668</v>
      </c>
      <c r="J1883" s="444">
        <f t="array" ref="J1883">IFERROR(INDEX('Retirement Calculator'!K:K,MATCH('Lorri 401b'!N1883,'Retirement Calculator'!A:A,0),0),0)</f>
        <v>0</v>
      </c>
      <c r="K1883" s="444">
        <f t="shared" ca="1" si="118"/>
        <v>-5652677.2951236172</v>
      </c>
      <c r="L1883" s="444">
        <f t="shared" ca="1" si="119"/>
        <v>-1362295228.1247916</v>
      </c>
      <c r="M1883" s="460">
        <f t="shared" si="121"/>
        <v>0.05</v>
      </c>
      <c r="N1883" s="464">
        <f t="shared" si="122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20"/>
        <v>-1362295228.1247916</v>
      </c>
      <c r="J1884" s="444">
        <f t="array" ref="J1884">IFERROR(INDEX('Retirement Calculator'!K:K,MATCH('Lorri 401b'!N1884,'Retirement Calculator'!A:A,0),0),0)</f>
        <v>0</v>
      </c>
      <c r="K1884" s="444">
        <f t="shared" ca="1" si="118"/>
        <v>-5676230.117186632</v>
      </c>
      <c r="L1884" s="444">
        <f t="shared" ca="1" si="119"/>
        <v>-1367971458.2419782</v>
      </c>
      <c r="M1884" s="460">
        <f t="shared" si="121"/>
        <v>0.05</v>
      </c>
      <c r="N1884" s="464">
        <f t="shared" si="122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20"/>
        <v>-1367971458.2419782</v>
      </c>
      <c r="J1885" s="444">
        <f t="array" ref="J1885">IFERROR(INDEX('Retirement Calculator'!K:K,MATCH('Lorri 401b'!N1885,'Retirement Calculator'!A:A,0),0),0)</f>
        <v>0</v>
      </c>
      <c r="K1885" s="444">
        <f t="shared" ca="1" si="118"/>
        <v>-5699881.0760082426</v>
      </c>
      <c r="L1885" s="444">
        <f t="shared" ca="1" si="119"/>
        <v>-1373671339.3179865</v>
      </c>
      <c r="M1885" s="460">
        <f t="shared" si="121"/>
        <v>0.05</v>
      </c>
      <c r="N1885" s="464">
        <f t="shared" si="122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20"/>
        <v>-1373671339.3179865</v>
      </c>
      <c r="J1886" s="444">
        <f t="array" ref="J1886">IFERROR(INDEX('Retirement Calculator'!K:K,MATCH('Lorri 401b'!N1886,'Retirement Calculator'!A:A,0),0),0)</f>
        <v>0</v>
      </c>
      <c r="K1886" s="444">
        <f t="shared" ca="1" si="118"/>
        <v>-5723630.5804916099</v>
      </c>
      <c r="L1886" s="444">
        <f t="shared" ca="1" si="119"/>
        <v>-1379394969.898478</v>
      </c>
      <c r="M1886" s="460">
        <f t="shared" si="121"/>
        <v>0.05</v>
      </c>
      <c r="N1886" s="464">
        <f t="shared" si="122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20"/>
        <v>-1379394969.898478</v>
      </c>
      <c r="J1887" s="444">
        <f t="array" ref="J1887">IFERROR(INDEX('Retirement Calculator'!K:K,MATCH('Lorri 401b'!N1887,'Retirement Calculator'!A:A,0),0),0)</f>
        <v>0</v>
      </c>
      <c r="K1887" s="444">
        <f t="shared" ca="1" si="118"/>
        <v>-5747479.0412436584</v>
      </c>
      <c r="L1887" s="444">
        <f t="shared" ca="1" si="119"/>
        <v>-1385142448.9397216</v>
      </c>
      <c r="M1887" s="460">
        <f t="shared" si="121"/>
        <v>0.05</v>
      </c>
      <c r="N1887" s="464">
        <f t="shared" si="122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20"/>
        <v>-1385142448.9397216</v>
      </c>
      <c r="J1888" s="444">
        <f t="array" ref="J1888">IFERROR(INDEX('Retirement Calculator'!K:K,MATCH('Lorri 401b'!N1888,'Retirement Calculator'!A:A,0),0),0)</f>
        <v>0</v>
      </c>
      <c r="K1888" s="444">
        <f t="shared" ca="1" si="118"/>
        <v>-5771426.8705821736</v>
      </c>
      <c r="L1888" s="444">
        <f t="shared" ca="1" si="119"/>
        <v>-1390913875.8103037</v>
      </c>
      <c r="M1888" s="460">
        <f t="shared" si="121"/>
        <v>0.05</v>
      </c>
      <c r="N1888" s="464">
        <f t="shared" si="122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20"/>
        <v>-1390913875.8103037</v>
      </c>
      <c r="J1889" s="444">
        <f t="array" ref="J1889">IFERROR(INDEX('Retirement Calculator'!K:K,MATCH('Lorri 401b'!N1889,'Retirement Calculator'!A:A,0),0),0)</f>
        <v>0</v>
      </c>
      <c r="K1889" s="444">
        <f t="shared" ca="1" si="118"/>
        <v>-5795474.482542932</v>
      </c>
      <c r="L1889" s="444">
        <f t="shared" ca="1" si="119"/>
        <v>-1396709350.2928467</v>
      </c>
      <c r="M1889" s="460">
        <f t="shared" si="121"/>
        <v>0.05</v>
      </c>
      <c r="N1889" s="464">
        <f t="shared" si="122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20"/>
        <v>-1396709350.2928467</v>
      </c>
      <c r="J1890" s="444">
        <f t="array" ref="J1890">IFERROR(INDEX('Retirement Calculator'!K:K,MATCH('Lorri 401b'!N1890,'Retirement Calculator'!A:A,0),0),0)</f>
        <v>0</v>
      </c>
      <c r="K1890" s="444">
        <f t="shared" ca="1" si="118"/>
        <v>-5819622.2928868607</v>
      </c>
      <c r="L1890" s="444">
        <f t="shared" ca="1" si="119"/>
        <v>-1402528972.5857337</v>
      </c>
      <c r="M1890" s="460">
        <f t="shared" si="121"/>
        <v>0.05</v>
      </c>
      <c r="N1890" s="464">
        <f t="shared" si="122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20"/>
        <v>-1402528972.5857337</v>
      </c>
      <c r="J1891" s="444">
        <f t="array" ref="J1891">IFERROR(INDEX('Retirement Calculator'!K:K,MATCH('Lorri 401b'!N1891,'Retirement Calculator'!A:A,0),0),0)</f>
        <v>0</v>
      </c>
      <c r="K1891" s="444">
        <f t="shared" ca="1" si="118"/>
        <v>-5843870.7191072237</v>
      </c>
      <c r="L1891" s="444">
        <f t="shared" ca="1" si="119"/>
        <v>-1408372843.3048408</v>
      </c>
      <c r="M1891" s="460">
        <f t="shared" si="121"/>
        <v>0.05</v>
      </c>
      <c r="N1891" s="464">
        <f t="shared" si="122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20"/>
        <v>-1408372843.3048408</v>
      </c>
      <c r="J1892" s="444">
        <f t="array" ref="J1892">IFERROR(INDEX('Retirement Calculator'!K:K,MATCH('Lorri 401b'!N1892,'Retirement Calculator'!A:A,0),0),0)</f>
        <v>0</v>
      </c>
      <c r="K1892" s="444">
        <f t="shared" ca="1" si="118"/>
        <v>-5868220.1804368366</v>
      </c>
      <c r="L1892" s="444">
        <f t="shared" ca="1" si="119"/>
        <v>-1414241063.4852777</v>
      </c>
      <c r="M1892" s="460">
        <f t="shared" si="121"/>
        <v>0.05</v>
      </c>
      <c r="N1892" s="464">
        <f t="shared" si="122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20"/>
        <v>-1414241063.4852777</v>
      </c>
      <c r="J1893" s="444">
        <f t="array" ref="J1893">IFERROR(INDEX('Retirement Calculator'!K:K,MATCH('Lorri 401b'!N1893,'Retirement Calculator'!A:A,0),0),0)</f>
        <v>0</v>
      </c>
      <c r="K1893" s="444">
        <f t="shared" ca="1" si="118"/>
        <v>-5892671.0978553239</v>
      </c>
      <c r="L1893" s="444">
        <f t="shared" ca="1" si="119"/>
        <v>-1420133734.583133</v>
      </c>
      <c r="M1893" s="460">
        <f t="shared" si="121"/>
        <v>0.05</v>
      </c>
      <c r="N1893" s="464">
        <f t="shared" si="122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20"/>
        <v>-1420133734.583133</v>
      </c>
      <c r="J1894" s="444">
        <f t="array" ref="J1894">IFERROR(INDEX('Retirement Calculator'!K:K,MATCH('Lorri 401b'!N1894,'Retirement Calculator'!A:A,0),0),0)</f>
        <v>0</v>
      </c>
      <c r="K1894" s="444">
        <f t="shared" ca="1" si="118"/>
        <v>-5917223.8940963876</v>
      </c>
      <c r="L1894" s="444">
        <f t="shared" ca="1" si="119"/>
        <v>-1426050958.4772294</v>
      </c>
      <c r="M1894" s="460">
        <f t="shared" si="121"/>
        <v>0.05</v>
      </c>
      <c r="N1894" s="464">
        <f t="shared" si="122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20"/>
        <v>-1426050958.4772294</v>
      </c>
      <c r="J1895" s="444">
        <f t="array" ref="J1895">IFERROR(INDEX('Retirement Calculator'!K:K,MATCH('Lorri 401b'!N1895,'Retirement Calculator'!A:A,0),0),0)</f>
        <v>0</v>
      </c>
      <c r="K1895" s="444">
        <f t="shared" ca="1" si="118"/>
        <v>-5941878.9936551219</v>
      </c>
      <c r="L1895" s="444">
        <f t="shared" ca="1" si="119"/>
        <v>-1431992837.4708846</v>
      </c>
      <c r="M1895" s="460">
        <f t="shared" si="121"/>
        <v>0.05</v>
      </c>
      <c r="N1895" s="464">
        <f t="shared" si="122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20"/>
        <v>-1431992837.4708846</v>
      </c>
      <c r="J1896" s="444">
        <f t="array" ref="J1896">IFERROR(INDEX('Retirement Calculator'!K:K,MATCH('Lorri 401b'!N1896,'Retirement Calculator'!A:A,0),0),0)</f>
        <v>0</v>
      </c>
      <c r="K1896" s="444">
        <f t="shared" ca="1" si="118"/>
        <v>-5966636.822795352</v>
      </c>
      <c r="L1896" s="444">
        <f t="shared" ca="1" si="119"/>
        <v>-1437959474.29368</v>
      </c>
      <c r="M1896" s="460">
        <f t="shared" si="121"/>
        <v>0.05</v>
      </c>
      <c r="N1896" s="464">
        <f t="shared" si="122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20"/>
        <v>-1437959474.29368</v>
      </c>
      <c r="J1897" s="444">
        <f t="array" ref="J1897">IFERROR(INDEX('Retirement Calculator'!K:K,MATCH('Lorri 401b'!N1897,'Retirement Calculator'!A:A,0),0),0)</f>
        <v>0</v>
      </c>
      <c r="K1897" s="444">
        <f t="shared" ca="1" si="118"/>
        <v>-5991497.8095570002</v>
      </c>
      <c r="L1897" s="444">
        <f t="shared" ca="1" si="119"/>
        <v>-1443950972.1032369</v>
      </c>
      <c r="M1897" s="460">
        <f t="shared" si="121"/>
        <v>0.05</v>
      </c>
      <c r="N1897" s="464">
        <f t="shared" si="122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20"/>
        <v>-1443950972.1032369</v>
      </c>
      <c r="J1898" s="444">
        <f t="array" ref="J1898">IFERROR(INDEX('Retirement Calculator'!K:K,MATCH('Lorri 401b'!N1898,'Retirement Calculator'!A:A,0),0),0)</f>
        <v>0</v>
      </c>
      <c r="K1898" s="444">
        <f t="shared" ca="1" si="118"/>
        <v>-6016462.3837634875</v>
      </c>
      <c r="L1898" s="444">
        <f t="shared" ca="1" si="119"/>
        <v>-1449967434.4870005</v>
      </c>
      <c r="M1898" s="460">
        <f t="shared" si="121"/>
        <v>0.05</v>
      </c>
      <c r="N1898" s="464">
        <f t="shared" si="122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20"/>
        <v>-1449967434.4870005</v>
      </c>
      <c r="J1899" s="444">
        <f t="array" ref="J1899">IFERROR(INDEX('Retirement Calculator'!K:K,MATCH('Lorri 401b'!N1899,'Retirement Calculator'!A:A,0),0),0)</f>
        <v>0</v>
      </c>
      <c r="K1899" s="444">
        <f t="shared" ca="1" si="118"/>
        <v>-6041530.977029169</v>
      </c>
      <c r="L1899" s="444">
        <f t="shared" ca="1" si="119"/>
        <v>-1456008965.4640296</v>
      </c>
      <c r="M1899" s="460">
        <f t="shared" si="121"/>
        <v>0.05</v>
      </c>
      <c r="N1899" s="464">
        <f t="shared" si="122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20"/>
        <v>-1456008965.4640296</v>
      </c>
      <c r="J1900" s="444">
        <f t="array" ref="J1900">IFERROR(INDEX('Retirement Calculator'!K:K,MATCH('Lorri 401b'!N1900,'Retirement Calculator'!A:A,0),0),0)</f>
        <v>0</v>
      </c>
      <c r="K1900" s="444">
        <f t="shared" ca="1" si="118"/>
        <v>-6066704.0227667894</v>
      </c>
      <c r="L1900" s="444">
        <f t="shared" ca="1" si="119"/>
        <v>-1462075669.4867964</v>
      </c>
      <c r="M1900" s="460">
        <f t="shared" si="121"/>
        <v>0.05</v>
      </c>
      <c r="N1900" s="464">
        <f t="shared" si="122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20"/>
        <v>-1462075669.4867964</v>
      </c>
      <c r="J1901" s="444">
        <f t="array" ref="J1901">IFERROR(INDEX('Retirement Calculator'!K:K,MATCH('Lorri 401b'!N1901,'Retirement Calculator'!A:A,0),0),0)</f>
        <v>0</v>
      </c>
      <c r="K1901" s="444">
        <f t="shared" ca="1" si="118"/>
        <v>-6091981.9561949847</v>
      </c>
      <c r="L1901" s="444">
        <f t="shared" ca="1" si="119"/>
        <v>-1468167651.4429913</v>
      </c>
      <c r="M1901" s="460">
        <f t="shared" si="121"/>
        <v>0.05</v>
      </c>
      <c r="N1901" s="464">
        <f t="shared" si="122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20"/>
        <v>-1468167651.4429913</v>
      </c>
      <c r="J1902" s="444">
        <f t="array" ref="J1902">IFERROR(INDEX('Retirement Calculator'!K:K,MATCH('Lorri 401b'!N1902,'Retirement Calculator'!A:A,0),0),0)</f>
        <v>0</v>
      </c>
      <c r="K1902" s="444">
        <f t="shared" ca="1" si="118"/>
        <v>-6117365.214345797</v>
      </c>
      <c r="L1902" s="444">
        <f t="shared" ca="1" si="119"/>
        <v>-1474285016.657337</v>
      </c>
      <c r="M1902" s="460">
        <f t="shared" si="121"/>
        <v>0.05</v>
      </c>
      <c r="N1902" s="464">
        <f t="shared" si="122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20"/>
        <v>-1474285016.657337</v>
      </c>
      <c r="J1903" s="444">
        <f t="array" ref="J1903">IFERROR(INDEX('Retirement Calculator'!K:K,MATCH('Lorri 401b'!N1903,'Retirement Calculator'!A:A,0),0),0)</f>
        <v>0</v>
      </c>
      <c r="K1903" s="444">
        <f t="shared" ca="1" si="118"/>
        <v>-6142854.2360722376</v>
      </c>
      <c r="L1903" s="444">
        <f t="shared" ca="1" si="119"/>
        <v>-1480427870.8934093</v>
      </c>
      <c r="M1903" s="460">
        <f t="shared" si="121"/>
        <v>0.05</v>
      </c>
      <c r="N1903" s="464">
        <f t="shared" si="122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20"/>
        <v>-1480427870.8934093</v>
      </c>
      <c r="J1904" s="444">
        <f t="array" ref="J1904">IFERROR(INDEX('Retirement Calculator'!K:K,MATCH('Lorri 401b'!N1904,'Retirement Calculator'!A:A,0),0),0)</f>
        <v>0</v>
      </c>
      <c r="K1904" s="444">
        <f t="shared" ca="1" si="118"/>
        <v>-6168449.4620558722</v>
      </c>
      <c r="L1904" s="444">
        <f t="shared" ca="1" si="119"/>
        <v>-1486596320.3554652</v>
      </c>
      <c r="M1904" s="460">
        <f t="shared" si="121"/>
        <v>0.05</v>
      </c>
      <c r="N1904" s="464">
        <f t="shared" si="122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20"/>
        <v>-1486596320.3554652</v>
      </c>
      <c r="J1905" s="444">
        <f t="array" ref="J1905">IFERROR(INDEX('Retirement Calculator'!K:K,MATCH('Lorri 401b'!N1905,'Retirement Calculator'!A:A,0),0),0)</f>
        <v>0</v>
      </c>
      <c r="K1905" s="444">
        <f t="shared" ca="1" si="118"/>
        <v>-6194151.3348144386</v>
      </c>
      <c r="L1905" s="444">
        <f t="shared" ca="1" si="119"/>
        <v>-1492790471.6902797</v>
      </c>
      <c r="M1905" s="460">
        <f t="shared" si="121"/>
        <v>0.05</v>
      </c>
      <c r="N1905" s="464">
        <f t="shared" si="122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20"/>
        <v>-1492790471.6902797</v>
      </c>
      <c r="J1906" s="444">
        <f t="array" ref="J1906">IFERROR(INDEX('Retirement Calculator'!K:K,MATCH('Lorri 401b'!N1906,'Retirement Calculator'!A:A,0),0),0)</f>
        <v>0</v>
      </c>
      <c r="K1906" s="444">
        <f t="shared" ca="1" si="118"/>
        <v>-6219960.2987094987</v>
      </c>
      <c r="L1906" s="444">
        <f t="shared" ca="1" si="119"/>
        <v>-1499010431.9889891</v>
      </c>
      <c r="M1906" s="460">
        <f t="shared" si="121"/>
        <v>0.05</v>
      </c>
      <c r="N1906" s="464">
        <f t="shared" si="122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20"/>
        <v>-1499010431.9889891</v>
      </c>
      <c r="J1907" s="444">
        <f t="array" ref="J1907">IFERROR(INDEX('Retirement Calculator'!K:K,MATCH('Lorri 401b'!N1907,'Retirement Calculator'!A:A,0),0),0)</f>
        <v>0</v>
      </c>
      <c r="K1907" s="444">
        <f t="shared" ca="1" si="118"/>
        <v>-6245876.799954121</v>
      </c>
      <c r="L1907" s="444">
        <f t="shared" ca="1" si="119"/>
        <v>-1505256308.7889433</v>
      </c>
      <c r="M1907" s="460">
        <f t="shared" si="121"/>
        <v>0.05</v>
      </c>
      <c r="N1907" s="464">
        <f t="shared" si="122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20"/>
        <v>-1505256308.7889433</v>
      </c>
      <c r="J1908" s="444">
        <f t="array" ref="J1908">IFERROR(INDEX('Retirement Calculator'!K:K,MATCH('Lorri 401b'!N1908,'Retirement Calculator'!A:A,0),0),0)</f>
        <v>0</v>
      </c>
      <c r="K1908" s="444">
        <f t="shared" ca="1" si="118"/>
        <v>-6271901.2866205974</v>
      </c>
      <c r="L1908" s="444">
        <f t="shared" ca="1" si="119"/>
        <v>-1511528210.0755639</v>
      </c>
      <c r="M1908" s="460">
        <f t="shared" si="121"/>
        <v>0.05</v>
      </c>
      <c r="N1908" s="464">
        <f t="shared" si="122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20"/>
        <v>-1511528210.0755639</v>
      </c>
      <c r="J1909" s="444">
        <f t="array" ref="J1909">IFERROR(INDEX('Retirement Calculator'!K:K,MATCH('Lorri 401b'!N1909,'Retirement Calculator'!A:A,0),0),0)</f>
        <v>0</v>
      </c>
      <c r="K1909" s="444">
        <f t="shared" ca="1" si="118"/>
        <v>-6298034.2086481825</v>
      </c>
      <c r="L1909" s="444">
        <f t="shared" ca="1" si="119"/>
        <v>-1517826244.2842121</v>
      </c>
      <c r="M1909" s="460">
        <f t="shared" si="121"/>
        <v>0.05</v>
      </c>
      <c r="N1909" s="464">
        <f t="shared" si="122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20"/>
        <v>-1517826244.2842121</v>
      </c>
      <c r="J1910" s="444">
        <f t="array" ref="J1910">IFERROR(INDEX('Retirement Calculator'!K:K,MATCH('Lorri 401b'!N1910,'Retirement Calculator'!A:A,0),0),0)</f>
        <v>0</v>
      </c>
      <c r="K1910" s="444">
        <f t="shared" ca="1" si="118"/>
        <v>-6324276.0178508833</v>
      </c>
      <c r="L1910" s="444">
        <f t="shared" ca="1" si="119"/>
        <v>-1524150520.302063</v>
      </c>
      <c r="M1910" s="460">
        <f t="shared" si="121"/>
        <v>0.05</v>
      </c>
      <c r="N1910" s="464">
        <f t="shared" si="122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20"/>
        <v>-1524150520.302063</v>
      </c>
      <c r="J1911" s="444">
        <f t="array" ref="J1911">IFERROR(INDEX('Retirement Calculator'!K:K,MATCH('Lorri 401b'!N1911,'Retirement Calculator'!A:A,0),0),0)</f>
        <v>0</v>
      </c>
      <c r="K1911" s="444">
        <f t="shared" ca="1" si="118"/>
        <v>-6350627.1679252628</v>
      </c>
      <c r="L1911" s="444">
        <f t="shared" ca="1" si="119"/>
        <v>-1530501147.4699883</v>
      </c>
      <c r="M1911" s="460">
        <f t="shared" si="121"/>
        <v>0.05</v>
      </c>
      <c r="N1911" s="464">
        <f t="shared" si="122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20"/>
        <v>-1530501147.4699883</v>
      </c>
      <c r="J1912" s="444">
        <f t="array" ref="J1912">IFERROR(INDEX('Retirement Calculator'!K:K,MATCH('Lorri 401b'!N1912,'Retirement Calculator'!A:A,0),0),0)</f>
        <v>0</v>
      </c>
      <c r="K1912" s="444">
        <f t="shared" ca="1" si="118"/>
        <v>-6377088.1144582843</v>
      </c>
      <c r="L1912" s="444">
        <f t="shared" ca="1" si="119"/>
        <v>-1536878235.5844467</v>
      </c>
      <c r="M1912" s="460">
        <f t="shared" si="121"/>
        <v>0.05</v>
      </c>
      <c r="N1912" s="464">
        <f t="shared" si="122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20"/>
        <v>-1536878235.5844467</v>
      </c>
      <c r="J1913" s="444">
        <f t="array" ref="J1913">IFERROR(INDEX('Retirement Calculator'!K:K,MATCH('Lorri 401b'!N1913,'Retirement Calculator'!A:A,0),0),0)</f>
        <v>0</v>
      </c>
      <c r="K1913" s="444">
        <f t="shared" ca="1" si="118"/>
        <v>-6403659.3149351943</v>
      </c>
      <c r="L1913" s="444">
        <f t="shared" ca="1" si="119"/>
        <v>-1543281894.8993819</v>
      </c>
      <c r="M1913" s="460">
        <f t="shared" si="121"/>
        <v>0.05</v>
      </c>
      <c r="N1913" s="464">
        <f t="shared" si="122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20"/>
        <v>-1543281894.8993819</v>
      </c>
      <c r="J1914" s="444">
        <f t="array" ref="J1914">IFERROR(INDEX('Retirement Calculator'!K:K,MATCH('Lorri 401b'!N1914,'Retirement Calculator'!A:A,0),0),0)</f>
        <v>0</v>
      </c>
      <c r="K1914" s="444">
        <f t="shared" ca="1" si="118"/>
        <v>-6430341.2287474247</v>
      </c>
      <c r="L1914" s="444">
        <f t="shared" ca="1" si="119"/>
        <v>-1549712236.1281292</v>
      </c>
      <c r="M1914" s="460">
        <f t="shared" si="121"/>
        <v>0.05</v>
      </c>
      <c r="N1914" s="464">
        <f t="shared" si="122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20"/>
        <v>-1549712236.1281292</v>
      </c>
      <c r="J1915" s="444">
        <f t="array" ref="J1915">IFERROR(INDEX('Retirement Calculator'!K:K,MATCH('Lorri 401b'!N1915,'Retirement Calculator'!A:A,0),0),0)</f>
        <v>0</v>
      </c>
      <c r="K1915" s="444">
        <f t="shared" ca="1" si="118"/>
        <v>-6457134.3172005387</v>
      </c>
      <c r="L1915" s="444">
        <f t="shared" ca="1" si="119"/>
        <v>-1556169370.4453297</v>
      </c>
      <c r="M1915" s="460">
        <f t="shared" si="121"/>
        <v>0.05</v>
      </c>
      <c r="N1915" s="464">
        <f t="shared" si="122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20"/>
        <v>-1556169370.4453297</v>
      </c>
      <c r="J1916" s="444">
        <f t="array" ref="J1916">IFERROR(INDEX('Retirement Calculator'!K:K,MATCH('Lorri 401b'!N1916,'Retirement Calculator'!A:A,0),0),0)</f>
        <v>0</v>
      </c>
      <c r="K1916" s="444">
        <f t="shared" ca="1" si="118"/>
        <v>-6484039.0435222071</v>
      </c>
      <c r="L1916" s="444">
        <f t="shared" ca="1" si="119"/>
        <v>-1562653409.4888518</v>
      </c>
      <c r="M1916" s="460">
        <f t="shared" si="121"/>
        <v>0.05</v>
      </c>
      <c r="N1916" s="464">
        <f t="shared" si="122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20"/>
        <v>-1562653409.4888518</v>
      </c>
      <c r="J1917" s="444">
        <f t="array" ref="J1917">IFERROR(INDEX('Retirement Calculator'!K:K,MATCH('Lorri 401b'!N1917,'Retirement Calculator'!A:A,0),0),0)</f>
        <v>0</v>
      </c>
      <c r="K1917" s="444">
        <f t="shared" ca="1" si="118"/>
        <v>-6511055.8728702161</v>
      </c>
      <c r="L1917" s="444">
        <f t="shared" ca="1" si="119"/>
        <v>-1569164465.361722</v>
      </c>
      <c r="M1917" s="460">
        <f t="shared" si="121"/>
        <v>0.05</v>
      </c>
      <c r="N1917" s="464">
        <f t="shared" si="122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20"/>
        <v>-1569164465.361722</v>
      </c>
      <c r="J1918" s="444">
        <f t="array" ref="J1918">IFERROR(INDEX('Retirement Calculator'!K:K,MATCH('Lorri 401b'!N1918,'Retirement Calculator'!A:A,0),0),0)</f>
        <v>0</v>
      </c>
      <c r="K1918" s="444">
        <f t="shared" ca="1" si="118"/>
        <v>-6538185.2723405082</v>
      </c>
      <c r="L1918" s="444">
        <f t="shared" ca="1" si="119"/>
        <v>-1575702650.6340625</v>
      </c>
      <c r="M1918" s="460">
        <f t="shared" si="121"/>
        <v>0.05</v>
      </c>
      <c r="N1918" s="464">
        <f t="shared" si="122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20"/>
        <v>-1575702650.6340625</v>
      </c>
      <c r="J1919" s="444">
        <f t="array" ref="J1919">IFERROR(INDEX('Retirement Calculator'!K:K,MATCH('Lorri 401b'!N1919,'Retirement Calculator'!A:A,0),0),0)</f>
        <v>0</v>
      </c>
      <c r="K1919" s="444">
        <f t="shared" ca="1" si="118"/>
        <v>-6565427.7109752605</v>
      </c>
      <c r="L1919" s="444">
        <f t="shared" ca="1" si="119"/>
        <v>-1582268078.3450377</v>
      </c>
      <c r="M1919" s="460">
        <f t="shared" si="121"/>
        <v>0.05</v>
      </c>
      <c r="N1919" s="464">
        <f t="shared" si="122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20"/>
        <v>-1582268078.3450377</v>
      </c>
      <c r="J1920" s="444">
        <f t="array" ref="J1920">IFERROR(INDEX('Retirement Calculator'!K:K,MATCH('Lorri 401b'!N1920,'Retirement Calculator'!A:A,0),0),0)</f>
        <v>0</v>
      </c>
      <c r="K1920" s="444">
        <f t="shared" ca="1" si="118"/>
        <v>-6592783.6597709907</v>
      </c>
      <c r="L1920" s="444">
        <f t="shared" ca="1" si="119"/>
        <v>-1588860862.0048087</v>
      </c>
      <c r="M1920" s="460">
        <f t="shared" si="121"/>
        <v>0.05</v>
      </c>
      <c r="N1920" s="464">
        <f t="shared" si="122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20"/>
        <v>-1588860862.0048087</v>
      </c>
      <c r="J1921" s="444">
        <f t="array" ref="J1921">IFERROR(INDEX('Retirement Calculator'!K:K,MATCH('Lorri 401b'!N1921,'Retirement Calculator'!A:A,0),0),0)</f>
        <v>0</v>
      </c>
      <c r="K1921" s="444">
        <f t="shared" ca="1" si="118"/>
        <v>-6620253.5916867023</v>
      </c>
      <c r="L1921" s="444">
        <f t="shared" ca="1" si="119"/>
        <v>-1595481115.5964954</v>
      </c>
      <c r="M1921" s="460">
        <f t="shared" si="121"/>
        <v>0.05</v>
      </c>
      <c r="N1921" s="464">
        <f t="shared" si="122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20"/>
        <v>-1595481115.5964954</v>
      </c>
      <c r="J1922" s="444">
        <f t="array" ref="J1922">IFERROR(INDEX('Retirement Calculator'!K:K,MATCH('Lorri 401b'!N1922,'Retirement Calculator'!A:A,0),0),0)</f>
        <v>0</v>
      </c>
      <c r="K1922" s="444">
        <f t="shared" ca="1" si="118"/>
        <v>-6647837.9816520642</v>
      </c>
      <c r="L1922" s="444">
        <f t="shared" ca="1" si="119"/>
        <v>-1602128953.5781474</v>
      </c>
      <c r="M1922" s="460">
        <f t="shared" si="121"/>
        <v>0.05</v>
      </c>
      <c r="N1922" s="464">
        <f t="shared" si="122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20"/>
        <v>-1602128953.5781474</v>
      </c>
      <c r="J1923" s="444">
        <f t="array" ref="J1923">IFERROR(INDEX('Retirement Calculator'!K:K,MATCH('Lorri 401b'!N1923,'Retirement Calculator'!A:A,0),0),0)</f>
        <v>0</v>
      </c>
      <c r="K1923" s="444">
        <f t="shared" ca="1" si="118"/>
        <v>-6675537.306575614</v>
      </c>
      <c r="L1923" s="444">
        <f t="shared" ca="1" si="119"/>
        <v>-1608804490.8847229</v>
      </c>
      <c r="M1923" s="460">
        <f t="shared" si="121"/>
        <v>0.05</v>
      </c>
      <c r="N1923" s="464">
        <f t="shared" si="122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20"/>
        <v>-1608804490.8847229</v>
      </c>
      <c r="J1924" s="444">
        <f t="array" ref="J1924">IFERROR(INDEX('Retirement Calculator'!K:K,MATCH('Lorri 401b'!N1924,'Retirement Calculator'!A:A,0),0),0)</f>
        <v>0</v>
      </c>
      <c r="K1924" s="444">
        <f t="shared" ca="1" si="118"/>
        <v>-6703352.0453530122</v>
      </c>
      <c r="L1924" s="444">
        <f t="shared" ca="1" si="119"/>
        <v>-1615507842.9300759</v>
      </c>
      <c r="M1924" s="460">
        <f t="shared" si="121"/>
        <v>0.05</v>
      </c>
      <c r="N1924" s="464">
        <f t="shared" si="122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20"/>
        <v>-1615507842.9300759</v>
      </c>
      <c r="J1925" s="444">
        <f t="array" ref="J1925">IFERROR(INDEX('Retirement Calculator'!K:K,MATCH('Lorri 401b'!N1925,'Retirement Calculator'!A:A,0),0),0)</f>
        <v>0</v>
      </c>
      <c r="K1925" s="444">
        <f t="shared" ca="1" si="118"/>
        <v>-6731282.6788753159</v>
      </c>
      <c r="L1925" s="444">
        <f t="shared" ca="1" si="119"/>
        <v>-1622239125.6089511</v>
      </c>
      <c r="M1925" s="460">
        <f t="shared" si="121"/>
        <v>0.05</v>
      </c>
      <c r="N1925" s="464">
        <f t="shared" si="122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20"/>
        <v>-1622239125.6089511</v>
      </c>
      <c r="J1926" s="444">
        <f t="array" ref="J1926">IFERROR(INDEX('Retirement Calculator'!K:K,MATCH('Lorri 401b'!N1926,'Retirement Calculator'!A:A,0),0),0)</f>
        <v>0</v>
      </c>
      <c r="K1926" s="444">
        <f t="shared" ca="1" si="118"/>
        <v>-6759329.6900372962</v>
      </c>
      <c r="L1926" s="444">
        <f t="shared" ca="1" si="119"/>
        <v>-1628998455.2989883</v>
      </c>
      <c r="M1926" s="460">
        <f t="shared" si="121"/>
        <v>0.05</v>
      </c>
      <c r="N1926" s="464">
        <f t="shared" si="122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20"/>
        <v>-1628998455.2989883</v>
      </c>
      <c r="J1927" s="444">
        <f t="array" ref="J1927">IFERROR(INDEX('Retirement Calculator'!K:K,MATCH('Lorri 401b'!N1927,'Retirement Calculator'!A:A,0),0),0)</f>
        <v>0</v>
      </c>
      <c r="K1927" s="444">
        <f t="shared" ca="1" si="118"/>
        <v>-6787493.5637457846</v>
      </c>
      <c r="L1927" s="444">
        <f t="shared" ca="1" si="119"/>
        <v>-1635785948.8627341</v>
      </c>
      <c r="M1927" s="460">
        <f t="shared" si="121"/>
        <v>0.05</v>
      </c>
      <c r="N1927" s="464">
        <f t="shared" si="122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20"/>
        <v>-1635785948.8627341</v>
      </c>
      <c r="J1928" s="444">
        <f t="array" ref="J1928">IFERROR(INDEX('Retirement Calculator'!K:K,MATCH('Lorri 401b'!N1928,'Retirement Calculator'!A:A,0),0),0)</f>
        <v>0</v>
      </c>
      <c r="K1928" s="444">
        <f t="shared" ca="1" si="118"/>
        <v>-6815774.7869280586</v>
      </c>
      <c r="L1928" s="444">
        <f t="shared" ca="1" si="119"/>
        <v>-1642601723.6496623</v>
      </c>
      <c r="M1928" s="460">
        <f t="shared" si="121"/>
        <v>0.05</v>
      </c>
      <c r="N1928" s="464">
        <f t="shared" si="122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20"/>
        <v>-1642601723.6496623</v>
      </c>
      <c r="J1929" s="444">
        <f t="array" ref="J1929">IFERROR(INDEX('Retirement Calculator'!K:K,MATCH('Lorri 401b'!N1929,'Retirement Calculator'!A:A,0),0),0)</f>
        <v>0</v>
      </c>
      <c r="K1929" s="444">
        <f t="shared" ca="1" si="118"/>
        <v>-6844173.8485402595</v>
      </c>
      <c r="L1929" s="444">
        <f t="shared" ca="1" si="119"/>
        <v>-1649445897.4982026</v>
      </c>
      <c r="M1929" s="460">
        <f t="shared" si="121"/>
        <v>0.05</v>
      </c>
      <c r="N1929" s="464">
        <f t="shared" si="122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20"/>
        <v>-1649445897.4982026</v>
      </c>
      <c r="J1930" s="444">
        <f t="array" ref="J1930">IFERROR(INDEX('Retirement Calculator'!K:K,MATCH('Lorri 401b'!N1930,'Retirement Calculator'!A:A,0),0),0)</f>
        <v>0</v>
      </c>
      <c r="K1930" s="444">
        <f t="shared" ca="1" si="118"/>
        <v>-6872691.2395758443</v>
      </c>
      <c r="L1930" s="444">
        <f t="shared" ca="1" si="119"/>
        <v>-1656318588.7377784</v>
      </c>
      <c r="M1930" s="460">
        <f t="shared" si="121"/>
        <v>0.05</v>
      </c>
      <c r="N1930" s="464">
        <f t="shared" si="122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20"/>
        <v>-1656318588.7377784</v>
      </c>
      <c r="J1931" s="444">
        <f t="array" ref="J1931">IFERROR(INDEX('Retirement Calculator'!K:K,MATCH('Lorri 401b'!N1931,'Retirement Calculator'!A:A,0),0),0)</f>
        <v>0</v>
      </c>
      <c r="K1931" s="444">
        <f t="shared" ca="1" si="118"/>
        <v>-6901327.4530740762</v>
      </c>
      <c r="L1931" s="444">
        <f t="shared" ca="1" si="119"/>
        <v>-1663219916.1908524</v>
      </c>
      <c r="M1931" s="460">
        <f t="shared" si="121"/>
        <v>0.05</v>
      </c>
      <c r="N1931" s="464">
        <f t="shared" si="122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20"/>
        <v>-1663219916.1908524</v>
      </c>
      <c r="J1932" s="444">
        <f t="array" ref="J1932">IFERROR(INDEX('Retirement Calculator'!K:K,MATCH('Lorri 401b'!N1932,'Retirement Calculator'!A:A,0),0),0)</f>
        <v>0</v>
      </c>
      <c r="K1932" s="444">
        <f t="shared" ca="1" si="118"/>
        <v>-6930082.9841285516</v>
      </c>
      <c r="L1932" s="444">
        <f t="shared" ca="1" si="119"/>
        <v>-1670149999.1749809</v>
      </c>
      <c r="M1932" s="460">
        <f t="shared" si="121"/>
        <v>0.05</v>
      </c>
      <c r="N1932" s="464">
        <f t="shared" si="122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20"/>
        <v>-1670149999.1749809</v>
      </c>
      <c r="J1933" s="444">
        <f t="array" ref="J1933">IFERROR(INDEX('Retirement Calculator'!K:K,MATCH('Lorri 401b'!N1933,'Retirement Calculator'!A:A,0),0),0)</f>
        <v>0</v>
      </c>
      <c r="K1933" s="444">
        <f t="shared" ca="1" si="118"/>
        <v>-6958958.3298957534</v>
      </c>
      <c r="L1933" s="444">
        <f t="shared" ca="1" si="119"/>
        <v>-1677108957.5048766</v>
      </c>
      <c r="M1933" s="460">
        <f t="shared" si="121"/>
        <v>0.05</v>
      </c>
      <c r="N1933" s="464">
        <f t="shared" si="122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20"/>
        <v>-1677108957.5048766</v>
      </c>
      <c r="J1934" s="444">
        <f t="array" ref="J1934">IFERROR(INDEX('Retirement Calculator'!K:K,MATCH('Lorri 401b'!N1934,'Retirement Calculator'!A:A,0),0),0)</f>
        <v>0</v>
      </c>
      <c r="K1934" s="444">
        <f t="shared" ca="1" si="118"/>
        <v>-6987953.9896036526</v>
      </c>
      <c r="L1934" s="444">
        <f t="shared" ca="1" si="119"/>
        <v>-1684096911.4944804</v>
      </c>
      <c r="M1934" s="460">
        <f t="shared" si="121"/>
        <v>0.05</v>
      </c>
      <c r="N1934" s="464">
        <f t="shared" si="122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20"/>
        <v>-1684096911.4944804</v>
      </c>
      <c r="J1935" s="444">
        <f t="array" ref="J1935">IFERROR(INDEX('Retirement Calculator'!K:K,MATCH('Lorri 401b'!N1935,'Retirement Calculator'!A:A,0),0),0)</f>
        <v>0</v>
      </c>
      <c r="K1935" s="444">
        <f t="shared" ca="1" si="118"/>
        <v>-7017070.4645603336</v>
      </c>
      <c r="L1935" s="444">
        <f t="shared" ca="1" si="119"/>
        <v>-1691113981.9590406</v>
      </c>
      <c r="M1935" s="460">
        <f t="shared" si="121"/>
        <v>0.05</v>
      </c>
      <c r="N1935" s="464">
        <f t="shared" si="122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20"/>
        <v>-1691113981.9590406</v>
      </c>
      <c r="J1936" s="444">
        <f t="array" ref="J1936">IFERROR(INDEX('Retirement Calculator'!K:K,MATCH('Lorri 401b'!N1936,'Retirement Calculator'!A:A,0),0),0)</f>
        <v>0</v>
      </c>
      <c r="K1936" s="444">
        <f t="shared" ca="1" si="118"/>
        <v>-7046308.2581626689</v>
      </c>
      <c r="L1936" s="444">
        <f t="shared" ca="1" si="119"/>
        <v>-1698160290.2172034</v>
      </c>
      <c r="M1936" s="460">
        <f t="shared" si="121"/>
        <v>0.05</v>
      </c>
      <c r="N1936" s="464">
        <f t="shared" si="122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20"/>
        <v>-1698160290.2172034</v>
      </c>
      <c r="J1937" s="444">
        <f t="array" ref="J1937">IFERROR(INDEX('Retirement Calculator'!K:K,MATCH('Lorri 401b'!N1937,'Retirement Calculator'!A:A,0),0),0)</f>
        <v>0</v>
      </c>
      <c r="K1937" s="444">
        <f t="shared" ca="1" si="118"/>
        <v>-7075667.8759050136</v>
      </c>
      <c r="L1937" s="444">
        <f t="shared" ca="1" si="119"/>
        <v>-1705235958.0931084</v>
      </c>
      <c r="M1937" s="460">
        <f t="shared" si="121"/>
        <v>0.05</v>
      </c>
      <c r="N1937" s="464">
        <f t="shared" si="122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20"/>
        <v>-1705235958.0931084</v>
      </c>
      <c r="J1938" s="444">
        <f t="array" ref="J1938">IFERROR(INDEX('Retirement Calculator'!K:K,MATCH('Lorri 401b'!N1938,'Retirement Calculator'!A:A,0),0),0)</f>
        <v>0</v>
      </c>
      <c r="K1938" s="444">
        <f t="shared" ca="1" si="118"/>
        <v>-7105149.8253879519</v>
      </c>
      <c r="L1938" s="444">
        <f t="shared" ca="1" si="119"/>
        <v>-1712341107.9184964</v>
      </c>
      <c r="M1938" s="460">
        <f t="shared" si="121"/>
        <v>0.05</v>
      </c>
      <c r="N1938" s="464">
        <f t="shared" si="122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20"/>
        <v>-1712341107.9184964</v>
      </c>
      <c r="J1939" s="444">
        <f t="array" ref="J1939">IFERROR(INDEX('Retirement Calculator'!K:K,MATCH('Lorri 401b'!N1939,'Retirement Calculator'!A:A,0),0),0)</f>
        <v>0</v>
      </c>
      <c r="K1939" s="444">
        <f t="shared" ca="1" si="118"/>
        <v>-7134754.6163270688</v>
      </c>
      <c r="L1939" s="444">
        <f t="shared" ca="1" si="119"/>
        <v>-1719475862.5348234</v>
      </c>
      <c r="M1939" s="460">
        <f t="shared" si="121"/>
        <v>0.05</v>
      </c>
      <c r="N1939" s="464">
        <f t="shared" si="122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20"/>
        <v>-1719475862.5348234</v>
      </c>
      <c r="J1940" s="444">
        <f t="array" ref="J1940">IFERROR(INDEX('Retirement Calculator'!K:K,MATCH('Lorri 401b'!N1940,'Retirement Calculator'!A:A,0),0),0)</f>
        <v>0</v>
      </c>
      <c r="K1940" s="444">
        <f t="shared" ca="1" si="118"/>
        <v>-7164482.7605617633</v>
      </c>
      <c r="L1940" s="444">
        <f t="shared" ca="1" si="119"/>
        <v>-1726640345.2953851</v>
      </c>
      <c r="M1940" s="460">
        <f t="shared" si="121"/>
        <v>0.05</v>
      </c>
      <c r="N1940" s="464">
        <f t="shared" si="122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20"/>
        <v>-1726640345.2953851</v>
      </c>
      <c r="J1941" s="444">
        <f t="array" ref="J1941">IFERROR(INDEX('Retirement Calculator'!K:K,MATCH('Lorri 401b'!N1941,'Retirement Calculator'!A:A,0),0),0)</f>
        <v>0</v>
      </c>
      <c r="K1941" s="444">
        <f t="shared" ca="1" si="118"/>
        <v>-7194334.7720641047</v>
      </c>
      <c r="L1941" s="444">
        <f t="shared" ca="1" si="119"/>
        <v>-1733834680.0674493</v>
      </c>
      <c r="M1941" s="460">
        <f t="shared" si="121"/>
        <v>0.05</v>
      </c>
      <c r="N1941" s="464">
        <f t="shared" si="122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20"/>
        <v>-1733834680.0674493</v>
      </c>
      <c r="J1942" s="444">
        <f t="array" ref="J1942">IFERROR(INDEX('Retirement Calculator'!K:K,MATCH('Lorri 401b'!N1942,'Retirement Calculator'!A:A,0),0),0)</f>
        <v>0</v>
      </c>
      <c r="K1942" s="444">
        <f t="shared" ca="1" si="118"/>
        <v>-7224311.1669477057</v>
      </c>
      <c r="L1942" s="444">
        <f t="shared" ca="1" si="119"/>
        <v>-1741058991.2343969</v>
      </c>
      <c r="M1942" s="460">
        <f t="shared" si="121"/>
        <v>0.05</v>
      </c>
      <c r="N1942" s="464">
        <f t="shared" si="122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20"/>
        <v>-1741058991.2343969</v>
      </c>
      <c r="J1943" s="444">
        <f t="array" ref="J1943">IFERROR(INDEX('Retirement Calculator'!K:K,MATCH('Lorri 401b'!N1943,'Retirement Calculator'!A:A,0),0),0)</f>
        <v>0</v>
      </c>
      <c r="K1943" s="444">
        <f t="shared" ca="1" si="118"/>
        <v>-7254412.4634766551</v>
      </c>
      <c r="L1943" s="444">
        <f t="shared" ca="1" si="119"/>
        <v>-1748313403.6978736</v>
      </c>
      <c r="M1943" s="460">
        <f t="shared" si="121"/>
        <v>0.05</v>
      </c>
      <c r="N1943" s="464">
        <f t="shared" si="122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20"/>
        <v>-1748313403.6978736</v>
      </c>
      <c r="J1944" s="444">
        <f t="array" ref="J1944">IFERROR(INDEX('Retirement Calculator'!K:K,MATCH('Lorri 401b'!N1944,'Retirement Calculator'!A:A,0),0),0)</f>
        <v>0</v>
      </c>
      <c r="K1944" s="444">
        <f t="shared" ca="1" si="118"/>
        <v>-7284639.1820744732</v>
      </c>
      <c r="L1944" s="444">
        <f t="shared" ca="1" si="119"/>
        <v>-1755598042.8799481</v>
      </c>
      <c r="M1944" s="460">
        <f t="shared" si="121"/>
        <v>0.05</v>
      </c>
      <c r="N1944" s="464">
        <f t="shared" si="122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20"/>
        <v>-1755598042.8799481</v>
      </c>
      <c r="J1945" s="444">
        <f t="array" ref="J1945">IFERROR(INDEX('Retirement Calculator'!K:K,MATCH('Lorri 401b'!N1945,'Retirement Calculator'!A:A,0),0),0)</f>
        <v>0</v>
      </c>
      <c r="K1945" s="444">
        <f t="shared" ca="1" si="118"/>
        <v>-7314991.8453331171</v>
      </c>
      <c r="L1945" s="444">
        <f t="shared" ca="1" si="119"/>
        <v>-1762913034.7252812</v>
      </c>
      <c r="M1945" s="460">
        <f t="shared" si="121"/>
        <v>0.05</v>
      </c>
      <c r="N1945" s="464">
        <f t="shared" si="122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20"/>
        <v>-1762913034.7252812</v>
      </c>
      <c r="J1946" s="444">
        <f t="array" ref="J1946">IFERROR(INDEX('Retirement Calculator'!K:K,MATCH('Lorri 401b'!N1946,'Retirement Calculator'!A:A,0),0),0)</f>
        <v>0</v>
      </c>
      <c r="K1946" s="444">
        <f t="shared" ca="1" si="118"/>
        <v>-7345470.9780220045</v>
      </c>
      <c r="L1946" s="444">
        <f t="shared" ca="1" si="119"/>
        <v>-1770258505.7033033</v>
      </c>
      <c r="M1946" s="460">
        <f t="shared" si="121"/>
        <v>0.05</v>
      </c>
      <c r="N1946" s="464">
        <f t="shared" si="122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20"/>
        <v>-1770258505.7033033</v>
      </c>
      <c r="J1947" s="444">
        <f t="array" ref="J1947">IFERROR(INDEX('Retirement Calculator'!K:K,MATCH('Lorri 401b'!N1947,'Retirement Calculator'!A:A,0),0),0)</f>
        <v>0</v>
      </c>
      <c r="K1947" s="444">
        <f t="shared" ca="1" si="118"/>
        <v>-7376077.1070970967</v>
      </c>
      <c r="L1947" s="444">
        <f t="shared" ca="1" si="119"/>
        <v>-1777634582.8104005</v>
      </c>
      <c r="M1947" s="460">
        <f t="shared" si="121"/>
        <v>0.05</v>
      </c>
      <c r="N1947" s="464">
        <f t="shared" si="122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20"/>
        <v>-1777634582.8104005</v>
      </c>
      <c r="J1948" s="444">
        <f t="array" ref="J1948">IFERROR(INDEX('Retirement Calculator'!K:K,MATCH('Lorri 401b'!N1948,'Retirement Calculator'!A:A,0),0),0)</f>
        <v>0</v>
      </c>
      <c r="K1948" s="444">
        <f t="shared" ca="1" si="118"/>
        <v>-7406810.761710003</v>
      </c>
      <c r="L1948" s="444">
        <f t="shared" ca="1" si="119"/>
        <v>-1785041393.5721104</v>
      </c>
      <c r="M1948" s="460">
        <f t="shared" si="121"/>
        <v>0.05</v>
      </c>
      <c r="N1948" s="464">
        <f t="shared" si="122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20"/>
        <v>-1785041393.5721104</v>
      </c>
      <c r="J1949" s="444">
        <f t="array" ref="J1949">IFERROR(INDEX('Retirement Calculator'!K:K,MATCH('Lorri 401b'!N1949,'Retirement Calculator'!A:A,0),0),0)</f>
        <v>0</v>
      </c>
      <c r="K1949" s="444">
        <f t="shared" ca="1" si="118"/>
        <v>-7437672.4732171269</v>
      </c>
      <c r="L1949" s="444">
        <f t="shared" ca="1" si="119"/>
        <v>-1792479066.0453274</v>
      </c>
      <c r="M1949" s="460">
        <f t="shared" si="121"/>
        <v>0.05</v>
      </c>
      <c r="N1949" s="464">
        <f t="shared" si="122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20"/>
        <v>-1792479066.0453274</v>
      </c>
      <c r="J1950" s="444">
        <f t="array" ref="J1950">IFERROR(INDEX('Retirement Calculator'!K:K,MATCH('Lorri 401b'!N1950,'Retirement Calculator'!A:A,0),0),0)</f>
        <v>0</v>
      </c>
      <c r="K1950" s="444">
        <f t="shared" ca="1" si="118"/>
        <v>-7468662.7751888633</v>
      </c>
      <c r="L1950" s="444">
        <f t="shared" ca="1" si="119"/>
        <v>-1799947728.8205163</v>
      </c>
      <c r="M1950" s="460">
        <f t="shared" si="121"/>
        <v>0.05</v>
      </c>
      <c r="N1950" s="464">
        <f t="shared" si="122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20"/>
        <v>-1799947728.8205163</v>
      </c>
      <c r="J1951" s="444">
        <f t="array" ref="J1951">IFERROR(INDEX('Retirement Calculator'!K:K,MATCH('Lorri 401b'!N1951,'Retirement Calculator'!A:A,0),0),0)</f>
        <v>0</v>
      </c>
      <c r="K1951" s="444">
        <f t="shared" ca="1" si="118"/>
        <v>-7499782.2034188183</v>
      </c>
      <c r="L1951" s="444">
        <f t="shared" ca="1" si="119"/>
        <v>-1807447511.0239351</v>
      </c>
      <c r="M1951" s="460">
        <f t="shared" si="121"/>
        <v>0.05</v>
      </c>
      <c r="N1951" s="464">
        <f t="shared" si="122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20"/>
        <v>-1807447511.0239351</v>
      </c>
      <c r="J1952" s="444">
        <f t="array" ref="J1952">IFERROR(INDEX('Retirement Calculator'!K:K,MATCH('Lorri 401b'!N1952,'Retirement Calculator'!A:A,0),0),0)</f>
        <v>0</v>
      </c>
      <c r="K1952" s="444">
        <f t="shared" ca="1" si="118"/>
        <v>-7531031.2959330641</v>
      </c>
      <c r="L1952" s="444">
        <f t="shared" ca="1" si="119"/>
        <v>-1814978542.3198681</v>
      </c>
      <c r="M1952" s="460">
        <f t="shared" si="121"/>
        <v>0.05</v>
      </c>
      <c r="N1952" s="464">
        <f t="shared" si="122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20"/>
        <v>-1814978542.3198681</v>
      </c>
      <c r="J1953" s="444">
        <f t="array" ref="J1953">IFERROR(INDEX('Retirement Calculator'!K:K,MATCH('Lorri 401b'!N1953,'Retirement Calculator'!A:A,0),0),0)</f>
        <v>0</v>
      </c>
      <c r="K1953" s="444">
        <f t="shared" ca="1" si="118"/>
        <v>-7562410.5929994509</v>
      </c>
      <c r="L1953" s="444">
        <f t="shared" ca="1" si="119"/>
        <v>-1822540952.9128675</v>
      </c>
      <c r="M1953" s="460">
        <f t="shared" si="121"/>
        <v>0.05</v>
      </c>
      <c r="N1953" s="464">
        <f t="shared" si="122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20"/>
        <v>-1822540952.9128675</v>
      </c>
      <c r="J1954" s="444">
        <f t="array" ref="J1954">IFERROR(INDEX('Retirement Calculator'!K:K,MATCH('Lorri 401b'!N1954,'Retirement Calculator'!A:A,0),0),0)</f>
        <v>0</v>
      </c>
      <c r="K1954" s="444">
        <f t="shared" ca="1" si="118"/>
        <v>-7593920.6371369483</v>
      </c>
      <c r="L1954" s="444">
        <f t="shared" ca="1" si="119"/>
        <v>-1830134873.5500045</v>
      </c>
      <c r="M1954" s="460">
        <f t="shared" si="121"/>
        <v>0.05</v>
      </c>
      <c r="N1954" s="464">
        <f t="shared" si="122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20"/>
        <v>-1830134873.5500045</v>
      </c>
      <c r="J1955" s="444">
        <f t="array" ref="J1955">IFERROR(INDEX('Retirement Calculator'!K:K,MATCH('Lorri 401b'!N1955,'Retirement Calculator'!A:A,0),0),0)</f>
        <v>0</v>
      </c>
      <c r="K1955" s="444">
        <f t="shared" ca="1" si="118"/>
        <v>-7625561.9731250182</v>
      </c>
      <c r="L1955" s="444">
        <f t="shared" ca="1" si="119"/>
        <v>-1837760435.5231295</v>
      </c>
      <c r="M1955" s="460">
        <f t="shared" si="121"/>
        <v>0.05</v>
      </c>
      <c r="N1955" s="464">
        <f t="shared" si="122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20"/>
        <v>-1837760435.5231295</v>
      </c>
      <c r="J1956" s="444">
        <f t="array" ref="J1956">IFERROR(INDEX('Retirement Calculator'!K:K,MATCH('Lorri 401b'!N1956,'Retirement Calculator'!A:A,0),0),0)</f>
        <v>0</v>
      </c>
      <c r="K1956" s="444">
        <f t="shared" ca="1" si="118"/>
        <v>-7657335.1480130386</v>
      </c>
      <c r="L1956" s="444">
        <f t="shared" ca="1" si="119"/>
        <v>-1845417770.6711426</v>
      </c>
      <c r="M1956" s="460">
        <f t="shared" si="121"/>
        <v>0.05</v>
      </c>
      <c r="N1956" s="464">
        <f t="shared" si="122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20"/>
        <v>-1845417770.6711426</v>
      </c>
      <c r="J1957" s="444">
        <f t="array" ref="J1957">IFERROR(INDEX('Retirement Calculator'!K:K,MATCH('Lorri 401b'!N1957,'Retirement Calculator'!A:A,0),0),0)</f>
        <v>0</v>
      </c>
      <c r="K1957" s="444">
        <f t="shared" ca="1" si="118"/>
        <v>-7689240.7111297604</v>
      </c>
      <c r="L1957" s="444">
        <f t="shared" ca="1" si="119"/>
        <v>-1853107011.3822722</v>
      </c>
      <c r="M1957" s="460">
        <f t="shared" si="121"/>
        <v>0.05</v>
      </c>
      <c r="N1957" s="464">
        <f t="shared" si="122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20"/>
        <v>-1853107011.3822722</v>
      </c>
      <c r="J1958" s="444">
        <f t="array" ref="J1958">IFERROR(INDEX('Retirement Calculator'!K:K,MATCH('Lorri 401b'!N1958,'Retirement Calculator'!A:A,0),0),0)</f>
        <v>0</v>
      </c>
      <c r="K1958" s="444">
        <f t="shared" ca="1" si="118"/>
        <v>-7721279.2140928013</v>
      </c>
      <c r="L1958" s="444">
        <f t="shared" ca="1" si="119"/>
        <v>-1860828290.596365</v>
      </c>
      <c r="M1958" s="460">
        <f t="shared" si="121"/>
        <v>0.05</v>
      </c>
      <c r="N1958" s="464">
        <f t="shared" si="122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20"/>
        <v>-1860828290.596365</v>
      </c>
      <c r="J1959" s="444">
        <f t="array" ref="J1959">IFERROR(INDEX('Retirement Calculator'!K:K,MATCH('Lorri 401b'!N1959,'Retirement Calculator'!A:A,0),0),0)</f>
        <v>0</v>
      </c>
      <c r="K1959" s="444">
        <f t="shared" ca="1" si="118"/>
        <v>-7753451.2108181873</v>
      </c>
      <c r="L1959" s="444">
        <f t="shared" ca="1" si="119"/>
        <v>-1868581741.8071833</v>
      </c>
      <c r="M1959" s="460">
        <f t="shared" si="121"/>
        <v>0.05</v>
      </c>
      <c r="N1959" s="464">
        <f t="shared" si="122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20"/>
        <v>-1868581741.8071833</v>
      </c>
      <c r="J1960" s="444">
        <f t="array" ref="J1960">IFERROR(INDEX('Retirement Calculator'!K:K,MATCH('Lorri 401b'!N1960,'Retirement Calculator'!A:A,0),0),0)</f>
        <v>0</v>
      </c>
      <c r="K1960" s="444">
        <f t="shared" ca="1" si="118"/>
        <v>-7785757.2575299302</v>
      </c>
      <c r="L1960" s="444">
        <f t="shared" ca="1" si="119"/>
        <v>-1876367499.0647132</v>
      </c>
      <c r="M1960" s="460">
        <f t="shared" si="121"/>
        <v>0.05</v>
      </c>
      <c r="N1960" s="464">
        <f t="shared" si="122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20"/>
        <v>-1876367499.0647132</v>
      </c>
      <c r="J1961" s="444">
        <f t="array" ref="J1961">IFERROR(INDEX('Retirement Calculator'!K:K,MATCH('Lorri 401b'!N1961,'Retirement Calculator'!A:A,0),0),0)</f>
        <v>0</v>
      </c>
      <c r="K1961" s="444">
        <f t="shared" ca="1" si="118"/>
        <v>-7818197.912769638</v>
      </c>
      <c r="L1961" s="444">
        <f t="shared" ca="1" si="119"/>
        <v>-1884185696.9774828</v>
      </c>
      <c r="M1961" s="460">
        <f t="shared" si="121"/>
        <v>0.05</v>
      </c>
      <c r="N1961" s="464">
        <f t="shared" si="122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20"/>
        <v>-1884185696.9774828</v>
      </c>
      <c r="J1962" s="444">
        <f t="array" ref="J1962">IFERROR(INDEX('Retirement Calculator'!K:K,MATCH('Lorri 401b'!N1962,'Retirement Calculator'!A:A,0),0),0)</f>
        <v>0</v>
      </c>
      <c r="K1962" s="444">
        <f t="shared" ca="1" si="118"/>
        <v>-7850773.7374061793</v>
      </c>
      <c r="L1962" s="444">
        <f t="shared" ca="1" si="119"/>
        <v>-1892036470.714889</v>
      </c>
      <c r="M1962" s="460">
        <f t="shared" si="121"/>
        <v>0.05</v>
      </c>
      <c r="N1962" s="464">
        <f t="shared" si="122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20"/>
        <v>-1892036470.714889</v>
      </c>
      <c r="J1963" s="444">
        <f t="array" ref="J1963">IFERROR(INDEX('Retirement Calculator'!K:K,MATCH('Lorri 401b'!N1963,'Retirement Calculator'!A:A,0),0),0)</f>
        <v>0</v>
      </c>
      <c r="K1963" s="444">
        <f t="shared" ca="1" si="118"/>
        <v>-7883485.2946453709</v>
      </c>
      <c r="L1963" s="444">
        <f t="shared" ca="1" si="119"/>
        <v>-1899919956.0095344</v>
      </c>
      <c r="M1963" s="460">
        <f t="shared" si="121"/>
        <v>0.05</v>
      </c>
      <c r="N1963" s="464">
        <f t="shared" si="122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20"/>
        <v>-1899919956.0095344</v>
      </c>
      <c r="J1964" s="444">
        <f t="array" ref="J1964">IFERROR(INDEX('Retirement Calculator'!K:K,MATCH('Lorri 401b'!N1964,'Retirement Calculator'!A:A,0),0),0)</f>
        <v>0</v>
      </c>
      <c r="K1964" s="444">
        <f t="shared" ca="1" si="118"/>
        <v>-7916333.1500397259</v>
      </c>
      <c r="L1964" s="444">
        <f t="shared" ca="1" si="119"/>
        <v>-1907836289.159574</v>
      </c>
      <c r="M1964" s="460">
        <f t="shared" si="121"/>
        <v>0.05</v>
      </c>
      <c r="N1964" s="464">
        <f t="shared" si="122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20"/>
        <v>-1907836289.159574</v>
      </c>
      <c r="J1965" s="444">
        <f t="array" ref="J1965">IFERROR(INDEX('Retirement Calculator'!K:K,MATCH('Lorri 401b'!N1965,'Retirement Calculator'!A:A,0),0),0)</f>
        <v>0</v>
      </c>
      <c r="K1965" s="444">
        <f t="shared" ca="1" si="118"/>
        <v>-7949317.8714982253</v>
      </c>
      <c r="L1965" s="444">
        <f t="shared" ca="1" si="119"/>
        <v>-1915785607.0310721</v>
      </c>
      <c r="M1965" s="460">
        <f t="shared" si="121"/>
        <v>0.05</v>
      </c>
      <c r="N1965" s="464">
        <f t="shared" si="122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20"/>
        <v>-1915785607.0310721</v>
      </c>
      <c r="J1966" s="444">
        <f t="array" ref="J1966">IFERROR(INDEX('Retirement Calculator'!K:K,MATCH('Lorri 401b'!N1966,'Retirement Calculator'!A:A,0),0),0)</f>
        <v>0</v>
      </c>
      <c r="K1966" s="444">
        <f t="shared" ca="1" si="118"/>
        <v>-7982440.0292961337</v>
      </c>
      <c r="L1966" s="444">
        <f t="shared" ca="1" si="119"/>
        <v>-1923768047.0603683</v>
      </c>
      <c r="M1966" s="460">
        <f t="shared" si="121"/>
        <v>0.05</v>
      </c>
      <c r="N1966" s="464">
        <f t="shared" si="122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20"/>
        <v>-1923768047.0603683</v>
      </c>
      <c r="J1967" s="444">
        <f t="array" ref="J1967">IFERROR(INDEX('Retirement Calculator'!K:K,MATCH('Lorri 401b'!N1967,'Retirement Calculator'!A:A,0),0),0)</f>
        <v>0</v>
      </c>
      <c r="K1967" s="444">
        <f t="shared" ca="1" si="118"/>
        <v>-8015700.1960848682</v>
      </c>
      <c r="L1967" s="444">
        <f t="shared" ca="1" si="119"/>
        <v>-1931783747.2564533</v>
      </c>
      <c r="M1967" s="460">
        <f t="shared" si="121"/>
        <v>0.05</v>
      </c>
      <c r="N1967" s="464">
        <f t="shared" si="122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20"/>
        <v>-1931783747.2564533</v>
      </c>
      <c r="J1968" s="444">
        <f t="array" ref="J1968">IFERROR(INDEX('Retirement Calculator'!K:K,MATCH('Lorri 401b'!N1968,'Retirement Calculator'!A:A,0),0),0)</f>
        <v>0</v>
      </c>
      <c r="K1968" s="444">
        <f t="shared" ca="1" si="118"/>
        <v>-8049098.9469018886</v>
      </c>
      <c r="L1968" s="444">
        <f t="shared" ca="1" si="119"/>
        <v>-1939832846.2033551</v>
      </c>
      <c r="M1968" s="460">
        <f t="shared" si="121"/>
        <v>0.05</v>
      </c>
      <c r="N1968" s="464">
        <f t="shared" si="122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20"/>
        <v>-1939832846.2033551</v>
      </c>
      <c r="J1969" s="444">
        <f t="array" ref="J1969">IFERROR(INDEX('Retirement Calculator'!K:K,MATCH('Lorri 401b'!N1969,'Retirement Calculator'!A:A,0),0),0)</f>
        <v>0</v>
      </c>
      <c r="K1969" s="444">
        <f t="shared" ca="1" si="118"/>
        <v>-8082636.8591806469</v>
      </c>
      <c r="L1969" s="444">
        <f t="shared" ca="1" si="119"/>
        <v>-1947915483.0625358</v>
      </c>
      <c r="M1969" s="460">
        <f t="shared" si="121"/>
        <v>0.05</v>
      </c>
      <c r="N1969" s="464">
        <f t="shared" si="122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20"/>
        <v>-1947915483.0625358</v>
      </c>
      <c r="J1970" s="444">
        <f t="array" ref="J1970">IFERROR(INDEX('Retirement Calculator'!K:K,MATCH('Lorri 401b'!N1970,'Retirement Calculator'!A:A,0),0),0)</f>
        <v>0</v>
      </c>
      <c r="K1970" s="444">
        <f t="shared" ca="1" si="118"/>
        <v>-8116314.5127605656</v>
      </c>
      <c r="L1970" s="444">
        <f t="shared" ca="1" si="119"/>
        <v>-1956031797.5752964</v>
      </c>
      <c r="M1970" s="460">
        <f t="shared" si="121"/>
        <v>0.05</v>
      </c>
      <c r="N1970" s="464">
        <f t="shared" si="122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20"/>
        <v>-1956031797.5752964</v>
      </c>
      <c r="J1971" s="444">
        <f t="array" ref="J1971">IFERROR(INDEX('Retirement Calculator'!K:K,MATCH('Lorri 401b'!N1971,'Retirement Calculator'!A:A,0),0),0)</f>
        <v>0</v>
      </c>
      <c r="K1971" s="444">
        <f t="shared" ca="1" si="118"/>
        <v>-8150132.4898970677</v>
      </c>
      <c r="L1971" s="444">
        <f t="shared" ca="1" si="119"/>
        <v>-1964181930.0651934</v>
      </c>
      <c r="M1971" s="460">
        <f t="shared" si="121"/>
        <v>0.05</v>
      </c>
      <c r="N1971" s="464">
        <f t="shared" si="122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20"/>
        <v>-1964181930.0651934</v>
      </c>
      <c r="J1972" s="444">
        <f t="array" ref="J1972">IFERROR(INDEX('Retirement Calculator'!K:K,MATCH('Lorri 401b'!N1972,'Retirement Calculator'!A:A,0),0),0)</f>
        <v>0</v>
      </c>
      <c r="K1972" s="444">
        <f t="shared" ca="1" si="118"/>
        <v>-8184091.3752716389</v>
      </c>
      <c r="L1972" s="444">
        <f t="shared" ca="1" si="119"/>
        <v>-1972366021.440465</v>
      </c>
      <c r="M1972" s="460">
        <f t="shared" si="121"/>
        <v>0.05</v>
      </c>
      <c r="N1972" s="464">
        <f t="shared" si="122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20"/>
        <v>-1972366021.440465</v>
      </c>
      <c r="J1973" s="444">
        <f t="array" ref="J1973">IFERROR(INDEX('Retirement Calculator'!K:K,MATCH('Lorri 401b'!N1973,'Retirement Calculator'!A:A,0),0),0)</f>
        <v>0</v>
      </c>
      <c r="K1973" s="444">
        <f t="shared" ca="1" si="118"/>
        <v>-8218191.7560019372</v>
      </c>
      <c r="L1973" s="444">
        <f t="shared" ca="1" si="119"/>
        <v>-1980584213.1964669</v>
      </c>
      <c r="M1973" s="460">
        <f t="shared" si="121"/>
        <v>0.05</v>
      </c>
      <c r="N1973" s="464">
        <f t="shared" si="122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20"/>
        <v>-1980584213.1964669</v>
      </c>
      <c r="J1974" s="444">
        <f t="array" ref="J1974">IFERROR(INDEX('Retirement Calculator'!K:K,MATCH('Lorri 401b'!N1974,'Retirement Calculator'!A:A,0),0),0)</f>
        <v>0</v>
      </c>
      <c r="K1974" s="444">
        <f t="shared" ca="1" si="118"/>
        <v>-8252434.2216519462</v>
      </c>
      <c r="L1974" s="444">
        <f t="shared" ca="1" si="119"/>
        <v>-1988836647.418119</v>
      </c>
      <c r="M1974" s="460">
        <f t="shared" si="121"/>
        <v>0.05</v>
      </c>
      <c r="N1974" s="464">
        <f t="shared" si="122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20"/>
        <v>-1988836647.418119</v>
      </c>
      <c r="J1975" s="444">
        <f t="array" ref="J1975">IFERROR(INDEX('Retirement Calculator'!K:K,MATCH('Lorri 401b'!N1975,'Retirement Calculator'!A:A,0),0),0)</f>
        <v>0</v>
      </c>
      <c r="K1975" s="444">
        <f t="shared" ca="1" si="118"/>
        <v>-8286819.3642421616</v>
      </c>
      <c r="L1975" s="444">
        <f t="shared" ca="1" si="119"/>
        <v>-1997123466.782361</v>
      </c>
      <c r="M1975" s="460">
        <f t="shared" si="121"/>
        <v>0.05</v>
      </c>
      <c r="N1975" s="464">
        <f t="shared" si="122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20"/>
        <v>-1997123466.782361</v>
      </c>
      <c r="J1976" s="444">
        <f t="array" ref="J1976">IFERROR(INDEX('Retirement Calculator'!K:K,MATCH('Lorri 401b'!N1976,'Retirement Calculator'!A:A,0),0),0)</f>
        <v>0</v>
      </c>
      <c r="K1976" s="444">
        <f t="shared" ca="1" si="118"/>
        <v>-8321347.7782598371</v>
      </c>
      <c r="L1976" s="444">
        <f t="shared" ca="1" si="119"/>
        <v>-2005444814.5606208</v>
      </c>
      <c r="M1976" s="460">
        <f t="shared" si="121"/>
        <v>0.05</v>
      </c>
      <c r="N1976" s="464">
        <f t="shared" si="122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20"/>
        <v>-2005444814.5606208</v>
      </c>
      <c r="J1977" s="444">
        <f t="array" ref="J1977">IFERROR(INDEX('Retirement Calculator'!K:K,MATCH('Lorri 401b'!N1977,'Retirement Calculator'!A:A,0),0),0)</f>
        <v>0</v>
      </c>
      <c r="K1977" s="444">
        <f t="shared" ca="1" si="118"/>
        <v>-8356020.0606692536</v>
      </c>
      <c r="L1977" s="444">
        <f t="shared" ca="1" si="119"/>
        <v>-2013800834.62129</v>
      </c>
      <c r="M1977" s="460">
        <f t="shared" si="121"/>
        <v>0.05</v>
      </c>
      <c r="N1977" s="464">
        <f t="shared" si="122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20"/>
        <v>-2013800834.62129</v>
      </c>
      <c r="J1978" s="444">
        <f t="array" ref="J1978">IFERROR(INDEX('Retirement Calculator'!K:K,MATCH('Lorri 401b'!N1978,'Retirement Calculator'!A:A,0),0),0)</f>
        <v>0</v>
      </c>
      <c r="K1978" s="444">
        <f t="shared" ca="1" si="118"/>
        <v>-8390836.8109220415</v>
      </c>
      <c r="L1978" s="444">
        <f t="shared" ca="1" si="119"/>
        <v>-2022191671.4322121</v>
      </c>
      <c r="M1978" s="460">
        <f t="shared" si="121"/>
        <v>0.05</v>
      </c>
      <c r="N1978" s="464">
        <f t="shared" si="122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20"/>
        <v>-2022191671.4322121</v>
      </c>
      <c r="J1979" s="444">
        <f t="array" ref="J1979">IFERROR(INDEX('Retirement Calculator'!K:K,MATCH('Lorri 401b'!N1979,'Retirement Calculator'!A:A,0),0),0)</f>
        <v>0</v>
      </c>
      <c r="K1979" s="444">
        <f t="shared" ca="1" si="118"/>
        <v>-8425798.63096755</v>
      </c>
      <c r="L1979" s="444">
        <f t="shared" ca="1" si="119"/>
        <v>-2030617470.0631797</v>
      </c>
      <c r="M1979" s="460">
        <f t="shared" si="121"/>
        <v>0.05</v>
      </c>
      <c r="N1979" s="464">
        <f t="shared" si="122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20"/>
        <v>-2030617470.0631797</v>
      </c>
      <c r="J1980" s="444">
        <f t="array" ref="J1980">IFERROR(INDEX('Retirement Calculator'!K:K,MATCH('Lorri 401b'!N1980,'Retirement Calculator'!A:A,0),0),0)</f>
        <v>0</v>
      </c>
      <c r="K1980" s="444">
        <f t="shared" ca="1" si="118"/>
        <v>-8460906.1252632495</v>
      </c>
      <c r="L1980" s="444">
        <f t="shared" ca="1" si="119"/>
        <v>-2039078376.1884429</v>
      </c>
      <c r="M1980" s="460">
        <f t="shared" si="121"/>
        <v>0.05</v>
      </c>
      <c r="N1980" s="464">
        <f t="shared" si="122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20"/>
        <v>-2039078376.1884429</v>
      </c>
      <c r="J1981" s="444">
        <f t="array" ref="J1981">IFERROR(INDEX('Retirement Calculator'!K:K,MATCH('Lorri 401b'!N1981,'Retirement Calculator'!A:A,0),0),0)</f>
        <v>0</v>
      </c>
      <c r="K1981" s="444">
        <f t="shared" ca="1" si="118"/>
        <v>-8496159.9007851779</v>
      </c>
      <c r="L1981" s="444">
        <f t="shared" ca="1" si="119"/>
        <v>-2047574536.0892282</v>
      </c>
      <c r="M1981" s="460">
        <f t="shared" si="121"/>
        <v>0.05</v>
      </c>
      <c r="N1981" s="464">
        <f t="shared" si="122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20"/>
        <v>-2047574536.0892282</v>
      </c>
      <c r="J1982" s="444">
        <f t="array" ref="J1982">IFERROR(INDEX('Retirement Calculator'!K:K,MATCH('Lorri 401b'!N1982,'Retirement Calculator'!A:A,0),0),0)</f>
        <v>0</v>
      </c>
      <c r="K1982" s="444">
        <f t="shared" ca="1" si="118"/>
        <v>-8531560.5670384504</v>
      </c>
      <c r="L1982" s="444">
        <f t="shared" ca="1" si="119"/>
        <v>-2056106096.6562667</v>
      </c>
      <c r="M1982" s="460">
        <f t="shared" si="121"/>
        <v>0.05</v>
      </c>
      <c r="N1982" s="464">
        <f t="shared" si="122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20"/>
        <v>-2056106096.6562667</v>
      </c>
      <c r="J1983" s="444">
        <f t="array" ref="J1983">IFERROR(INDEX('Retirement Calculator'!K:K,MATCH('Lorri 401b'!N1983,'Retirement Calculator'!A:A,0),0),0)</f>
        <v>0</v>
      </c>
      <c r="K1983" s="444">
        <f t="shared" ca="1" si="118"/>
        <v>-8567108.7360677794</v>
      </c>
      <c r="L1983" s="444">
        <f t="shared" ca="1" si="119"/>
        <v>-2064673205.3923345</v>
      </c>
      <c r="M1983" s="460">
        <f t="shared" si="121"/>
        <v>0.05</v>
      </c>
      <c r="N1983" s="464">
        <f t="shared" si="122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20"/>
        <v>-2064673205.3923345</v>
      </c>
      <c r="J1984" s="444">
        <f t="array" ref="J1984">IFERROR(INDEX('Retirement Calculator'!K:K,MATCH('Lorri 401b'!N1984,'Retirement Calculator'!A:A,0),0),0)</f>
        <v>0</v>
      </c>
      <c r="K1984" s="444">
        <f t="shared" ca="1" si="118"/>
        <v>-8602805.0224680603</v>
      </c>
      <c r="L1984" s="444">
        <f t="shared" ca="1" si="119"/>
        <v>-2073276010.4148026</v>
      </c>
      <c r="M1984" s="460">
        <f t="shared" si="121"/>
        <v>0.05</v>
      </c>
      <c r="N1984" s="464">
        <f t="shared" si="122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20"/>
        <v>-2073276010.4148026</v>
      </c>
      <c r="J1985" s="444">
        <f t="array" ref="J1985">IFERROR(INDEX('Retirement Calculator'!K:K,MATCH('Lorri 401b'!N1985,'Retirement Calculator'!A:A,0),0),0)</f>
        <v>0</v>
      </c>
      <c r="K1985" s="444">
        <f t="shared" ca="1" si="118"/>
        <v>-8638650.0433950108</v>
      </c>
      <c r="L1985" s="444">
        <f t="shared" ca="1" si="119"/>
        <v>-2081914660.4581976</v>
      </c>
      <c r="M1985" s="460">
        <f t="shared" si="121"/>
        <v>0.05</v>
      </c>
      <c r="N1985" s="464">
        <f t="shared" si="122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20"/>
        <v>-2081914660.4581976</v>
      </c>
      <c r="J1986" s="444">
        <f t="array" ref="J1986">IFERROR(INDEX('Retirement Calculator'!K:K,MATCH('Lorri 401b'!N1986,'Retirement Calculator'!A:A,0),0),0)</f>
        <v>0</v>
      </c>
      <c r="K1986" s="444">
        <f t="shared" ca="1" si="118"/>
        <v>-8674644.4185758233</v>
      </c>
      <c r="L1986" s="444">
        <f t="shared" ca="1" si="119"/>
        <v>-2090589304.8767734</v>
      </c>
      <c r="M1986" s="460">
        <f t="shared" si="121"/>
        <v>0.05</v>
      </c>
      <c r="N1986" s="464">
        <f t="shared" si="122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20"/>
        <v>-2090589304.8767734</v>
      </c>
      <c r="J1987" s="444">
        <f t="array" ref="J1987">IFERROR(INDEX('Retirement Calculator'!K:K,MATCH('Lorri 401b'!N1987,'Retirement Calculator'!A:A,0),0),0)</f>
        <v>0</v>
      </c>
      <c r="K1987" s="444">
        <f t="shared" ca="1" si="118"/>
        <v>-8710788.7703198884</v>
      </c>
      <c r="L1987" s="444">
        <f t="shared" ca="1" si="119"/>
        <v>-2099300093.6470933</v>
      </c>
      <c r="M1987" s="460">
        <f t="shared" si="121"/>
        <v>0.05</v>
      </c>
      <c r="N1987" s="464">
        <f t="shared" si="122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20"/>
        <v>-2099300093.6470933</v>
      </c>
      <c r="J1988" s="444">
        <f t="array" ref="J1988">IFERROR(INDEX('Retirement Calculator'!K:K,MATCH('Lorri 401b'!N1988,'Retirement Calculator'!A:A,0),0),0)</f>
        <v>0</v>
      </c>
      <c r="K1988" s="444">
        <f t="shared" ca="1" si="118"/>
        <v>-8747083.7235295549</v>
      </c>
      <c r="L1988" s="444">
        <f t="shared" ca="1" si="119"/>
        <v>-2108047177.3706229</v>
      </c>
      <c r="M1988" s="460">
        <f t="shared" si="121"/>
        <v>0.05</v>
      </c>
      <c r="N1988" s="464">
        <f t="shared" si="122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20"/>
        <v>-2108047177.3706229</v>
      </c>
      <c r="J1989" s="444">
        <f t="array" ref="J1989">IFERROR(INDEX('Retirement Calculator'!K:K,MATCH('Lorri 401b'!N1989,'Retirement Calculator'!A:A,0),0),0)</f>
        <v>0</v>
      </c>
      <c r="K1989" s="444">
        <f t="shared" ca="1" si="118"/>
        <v>-8783529.9057109281</v>
      </c>
      <c r="L1989" s="444">
        <f t="shared" ca="1" si="119"/>
        <v>-2116830707.2763338</v>
      </c>
      <c r="M1989" s="460">
        <f t="shared" si="121"/>
        <v>0.05</v>
      </c>
      <c r="N1989" s="464">
        <f t="shared" si="122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20"/>
        <v>-2116830707.2763338</v>
      </c>
      <c r="J1990" s="444">
        <f t="array" ref="J1990">IFERROR(INDEX('Retirement Calculator'!K:K,MATCH('Lorri 401b'!N1990,'Retirement Calculator'!A:A,0),0),0)</f>
        <v>0</v>
      </c>
      <c r="K1990" s="444">
        <f t="shared" ca="1" si="118"/>
        <v>-8820127.9469847232</v>
      </c>
      <c r="L1990" s="444">
        <f t="shared" ca="1" si="119"/>
        <v>-2125650835.2233186</v>
      </c>
      <c r="M1990" s="460">
        <f t="shared" si="121"/>
        <v>0.05</v>
      </c>
      <c r="N1990" s="464">
        <f t="shared" si="122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20"/>
        <v>-2125650835.2233186</v>
      </c>
      <c r="J1991" s="444">
        <f t="array" ref="J1991">IFERROR(INDEX('Retirement Calculator'!K:K,MATCH('Lorri 401b'!N1991,'Retirement Calculator'!A:A,0),0),0)</f>
        <v>0</v>
      </c>
      <c r="K1991" s="444">
        <f t="shared" ca="1" si="118"/>
        <v>-8856878.4800971597</v>
      </c>
      <c r="L1991" s="444">
        <f t="shared" ca="1" si="119"/>
        <v>-2134507713.7034156</v>
      </c>
      <c r="M1991" s="460">
        <f t="shared" si="121"/>
        <v>0.05</v>
      </c>
      <c r="N1991" s="464">
        <f t="shared" si="122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20"/>
        <v>-2134507713.7034156</v>
      </c>
      <c r="J1992" s="444">
        <f t="array" ref="J1992">IFERROR(INDEX('Retirement Calculator'!K:K,MATCH('Lorri 401b'!N1992,'Retirement Calculator'!A:A,0),0),0)</f>
        <v>0</v>
      </c>
      <c r="K1992" s="444">
        <f t="shared" ca="1" si="118"/>
        <v>-8893782.1404308993</v>
      </c>
      <c r="L1992" s="444">
        <f t="shared" ca="1" si="119"/>
        <v>-2143401495.8438466</v>
      </c>
      <c r="M1992" s="460">
        <f t="shared" si="121"/>
        <v>0.05</v>
      </c>
      <c r="N1992" s="464">
        <f t="shared" si="122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20"/>
        <v>-2143401495.8438466</v>
      </c>
      <c r="J1993" s="444">
        <f t="array" ref="J1993">IFERROR(INDEX('Retirement Calculator'!K:K,MATCH('Lorri 401b'!N1993,'Retirement Calculator'!A:A,0),0),0)</f>
        <v>0</v>
      </c>
      <c r="K1993" s="444">
        <f t="shared" ca="1" si="118"/>
        <v>-8930839.5660160277</v>
      </c>
      <c r="L1993" s="444">
        <f t="shared" ca="1" si="119"/>
        <v>-2152332335.4098625</v>
      </c>
      <c r="M1993" s="460">
        <f t="shared" si="121"/>
        <v>0.05</v>
      </c>
      <c r="N1993" s="464">
        <f t="shared" si="122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20"/>
        <v>-2152332335.4098625</v>
      </c>
      <c r="J1994" s="444">
        <f t="array" ref="J1994">IFERROR(INDEX('Retirement Calculator'!K:K,MATCH('Lorri 401b'!N1994,'Retirement Calculator'!A:A,0),0),0)</f>
        <v>0</v>
      </c>
      <c r="K1994" s="444">
        <f t="shared" ca="1" si="118"/>
        <v>-8968051.3975410946</v>
      </c>
      <c r="L1994" s="444">
        <f t="shared" ca="1" si="119"/>
        <v>-2161300386.8074036</v>
      </c>
      <c r="M1994" s="460">
        <f t="shared" si="121"/>
        <v>0.05</v>
      </c>
      <c r="N1994" s="464">
        <f t="shared" si="122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20"/>
        <v>-2161300386.8074036</v>
      </c>
      <c r="J1995" s="444">
        <f t="array" ref="J1995">IFERROR(INDEX('Retirement Calculator'!K:K,MATCH('Lorri 401b'!N1995,'Retirement Calculator'!A:A,0),0),0)</f>
        <v>0</v>
      </c>
      <c r="K1995" s="444">
        <f t="shared" ca="1" si="118"/>
        <v>-9005418.2783641815</v>
      </c>
      <c r="L1995" s="444">
        <f t="shared" ca="1" si="119"/>
        <v>-2170305805.0857677</v>
      </c>
      <c r="M1995" s="460">
        <f t="shared" si="121"/>
        <v>0.05</v>
      </c>
      <c r="N1995" s="464">
        <f t="shared" si="122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20"/>
        <v>-2170305805.0857677</v>
      </c>
      <c r="J1996" s="444">
        <f t="array" ref="J1996">IFERROR(INDEX('Retirement Calculator'!K:K,MATCH('Lorri 401b'!N1996,'Retirement Calculator'!A:A,0),0),0)</f>
        <v>0</v>
      </c>
      <c r="K1996" s="444">
        <f t="shared" ca="1" si="118"/>
        <v>-9042940.8545240313</v>
      </c>
      <c r="L1996" s="444">
        <f t="shared" ca="1" si="119"/>
        <v>-2179348745.9402919</v>
      </c>
      <c r="M1996" s="460">
        <f t="shared" si="121"/>
        <v>0.05</v>
      </c>
      <c r="N1996" s="464">
        <f t="shared" si="122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20"/>
        <v>-2179348745.9402919</v>
      </c>
      <c r="J1997" s="444">
        <f t="array" ref="J1997">IFERROR(INDEX('Retirement Calculator'!K:K,MATCH('Lorri 401b'!N1997,'Retirement Calculator'!A:A,0),0),0)</f>
        <v>0</v>
      </c>
      <c r="K1997" s="444">
        <f t="shared" ca="1" si="118"/>
        <v>-9080619.7747512162</v>
      </c>
      <c r="L1997" s="444">
        <f t="shared" ca="1" si="119"/>
        <v>-2188429365.7150431</v>
      </c>
      <c r="M1997" s="460">
        <f t="shared" si="121"/>
        <v>0.05</v>
      </c>
      <c r="N1997" s="464">
        <f t="shared" si="122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20"/>
        <v>-2188429365.7150431</v>
      </c>
      <c r="J1998" s="444">
        <f t="array" ref="J1998">IFERROR(INDEX('Retirement Calculator'!K:K,MATCH('Lorri 401b'!N1998,'Retirement Calculator'!A:A,0),0),0)</f>
        <v>0</v>
      </c>
      <c r="K1998" s="444">
        <f t="shared" ca="1" si="118"/>
        <v>-9118455.6904793456</v>
      </c>
      <c r="L1998" s="444">
        <f t="shared" ca="1" si="119"/>
        <v>-2197547821.4055223</v>
      </c>
      <c r="M1998" s="460">
        <f t="shared" si="121"/>
        <v>0.05</v>
      </c>
      <c r="N1998" s="464">
        <f t="shared" si="122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20"/>
        <v>-2197547821.4055223</v>
      </c>
      <c r="J1999" s="444">
        <f t="array" ref="J1999">IFERROR(INDEX('Retirement Calculator'!K:K,MATCH('Lorri 401b'!N1999,'Retirement Calculator'!A:A,0),0),0)</f>
        <v>0</v>
      </c>
      <c r="K1999" s="444">
        <f t="shared" ca="1" si="118"/>
        <v>-9156449.2558563426</v>
      </c>
      <c r="L1999" s="444">
        <f t="shared" ca="1" si="119"/>
        <v>-2206704270.6613789</v>
      </c>
      <c r="M1999" s="460">
        <f t="shared" si="121"/>
        <v>0.05</v>
      </c>
      <c r="N1999" s="464">
        <f t="shared" si="122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20"/>
        <v>-2206704270.6613789</v>
      </c>
      <c r="J2000" s="444">
        <f t="array" ref="J2000">IFERROR(INDEX('Retirement Calculator'!K:K,MATCH('Lorri 401b'!N2000,'Retirement Calculator'!A:A,0),0),0)</f>
        <v>0</v>
      </c>
      <c r="K2000" s="444">
        <f t="shared" ca="1" si="118"/>
        <v>-9194601.1277557444</v>
      </c>
      <c r="L2000" s="444">
        <f t="shared" ca="1" si="119"/>
        <v>-2215898871.7891345</v>
      </c>
      <c r="M2000" s="460">
        <f t="shared" si="121"/>
        <v>0.05</v>
      </c>
      <c r="N2000" s="464">
        <f t="shared" si="122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20"/>
        <v>-2215898871.7891345</v>
      </c>
      <c r="J2001" s="444">
        <f t="array" ref="J2001">IFERROR(INDEX('Retirement Calculator'!K:K,MATCH('Lorri 401b'!N2001,'Retirement Calculator'!A:A,0),0),0)</f>
        <v>0</v>
      </c>
      <c r="K2001" s="444">
        <f t="shared" ca="1" si="118"/>
        <v>-9232911.9657880608</v>
      </c>
      <c r="L2001" s="444">
        <f t="shared" ca="1" si="119"/>
        <v>-2225131783.7549224</v>
      </c>
      <c r="M2001" s="460">
        <f t="shared" si="121"/>
        <v>0.05</v>
      </c>
      <c r="N2001" s="464">
        <f t="shared" si="122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20"/>
        <v>-2225131783.7549224</v>
      </c>
      <c r="J2002" s="444">
        <f t="array" ref="J2002">IFERROR(INDEX('Retirement Calculator'!K:K,MATCH('Lorri 401b'!N2002,'Retirement Calculator'!A:A,0),0),0)</f>
        <v>0</v>
      </c>
      <c r="K2002" s="444">
        <f t="shared" ca="1" si="118"/>
        <v>-9271382.4323121756</v>
      </c>
      <c r="L2002" s="444">
        <f t="shared" ca="1" si="119"/>
        <v>-2234403166.1872344</v>
      </c>
      <c r="M2002" s="460">
        <f t="shared" si="121"/>
        <v>0.05</v>
      </c>
      <c r="N2002" s="464">
        <f t="shared" si="122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20"/>
        <v>-2234403166.1872344</v>
      </c>
      <c r="J2003" s="444">
        <f t="array" ref="J2003">IFERROR(INDEX('Retirement Calculator'!K:K,MATCH('Lorri 401b'!N2003,'Retirement Calculator'!A:A,0),0),0)</f>
        <v>0</v>
      </c>
      <c r="K2003" s="444">
        <f t="shared" ca="1" si="118"/>
        <v>-9310013.1924468093</v>
      </c>
      <c r="L2003" s="444">
        <f t="shared" ca="1" si="119"/>
        <v>-2243713179.3796811</v>
      </c>
      <c r="M2003" s="460">
        <f t="shared" si="121"/>
        <v>0.05</v>
      </c>
      <c r="N2003" s="464">
        <f t="shared" si="122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20"/>
        <v>-2243713179.3796811</v>
      </c>
      <c r="J2004" s="444">
        <f t="array" ref="J2004">IFERROR(INDEX('Retirement Calculator'!K:K,MATCH('Lorri 401b'!N2004,'Retirement Calculator'!A:A,0),0),0)</f>
        <v>0</v>
      </c>
      <c r="K2004" s="444">
        <f t="shared" ca="1" si="118"/>
        <v>-9348804.9140820038</v>
      </c>
      <c r="L2004" s="444">
        <f t="shared" ca="1" si="119"/>
        <v>-2253061984.2937632</v>
      </c>
      <c r="M2004" s="460">
        <f t="shared" si="121"/>
        <v>0.05</v>
      </c>
      <c r="N2004" s="464">
        <f t="shared" si="122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20"/>
        <v>-2253061984.2937632</v>
      </c>
      <c r="J2005" s="444">
        <f t="array" ref="J2005">IFERROR(INDEX('Retirement Calculator'!K:K,MATCH('Lorri 401b'!N2005,'Retirement Calculator'!A:A,0),0),0)</f>
        <v>0</v>
      </c>
      <c r="K2005" s="444">
        <f t="shared" ca="1" si="118"/>
        <v>-9387758.2678906806</v>
      </c>
      <c r="L2005" s="444">
        <f t="shared" ca="1" si="119"/>
        <v>-2262449742.5616536</v>
      </c>
      <c r="M2005" s="460">
        <f t="shared" si="121"/>
        <v>0.05</v>
      </c>
      <c r="N2005" s="464">
        <f t="shared" si="122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20"/>
        <v>-2262449742.5616536</v>
      </c>
      <c r="J2006" s="444">
        <f t="array" ref="J2006">IFERROR(INDEX('Retirement Calculator'!K:K,MATCH('Lorri 401b'!N2006,'Retirement Calculator'!A:A,0),0),0)</f>
        <v>0</v>
      </c>
      <c r="K2006" s="444">
        <f t="shared" ca="1" si="118"/>
        <v>-9426873.9273402225</v>
      </c>
      <c r="L2006" s="444">
        <f t="shared" ca="1" si="119"/>
        <v>-2271876616.4889936</v>
      </c>
      <c r="M2006" s="460">
        <f t="shared" si="121"/>
        <v>0.05</v>
      </c>
      <c r="N2006" s="464">
        <f t="shared" si="122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20"/>
        <v>-2271876616.4889936</v>
      </c>
      <c r="J2007" s="444">
        <f t="array" ref="J2007">IFERROR(INDEX('Retirement Calculator'!K:K,MATCH('Lorri 401b'!N2007,'Retirement Calculator'!A:A,0),0),0)</f>
        <v>0</v>
      </c>
      <c r="K2007" s="444">
        <f t="shared" ca="1" si="118"/>
        <v>-9466152.5687041394</v>
      </c>
      <c r="L2007" s="444">
        <f t="shared" ca="1" si="119"/>
        <v>-2281342769.0576978</v>
      </c>
      <c r="M2007" s="460">
        <f t="shared" si="121"/>
        <v>0.05</v>
      </c>
      <c r="N2007" s="464">
        <f t="shared" si="122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20"/>
        <v>-2281342769.0576978</v>
      </c>
      <c r="J2008" s="444">
        <f t="array" ref="J2008">IFERROR(INDEX('Retirement Calculator'!K:K,MATCH('Lorri 401b'!N2008,'Retirement Calculator'!A:A,0),0),0)</f>
        <v>0</v>
      </c>
      <c r="K2008" s="444">
        <f t="shared" ca="1" si="118"/>
        <v>-9505594.8710737415</v>
      </c>
      <c r="L2008" s="444">
        <f t="shared" ca="1" si="119"/>
        <v>-2290848363.9287715</v>
      </c>
      <c r="M2008" s="460">
        <f t="shared" si="121"/>
        <v>0.05</v>
      </c>
      <c r="N2008" s="464">
        <f t="shared" si="122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20"/>
        <v>-2290848363.9287715</v>
      </c>
      <c r="J2009" s="444">
        <f t="array" ref="J2009">IFERROR(INDEX('Retirement Calculator'!K:K,MATCH('Lorri 401b'!N2009,'Retirement Calculator'!A:A,0),0),0)</f>
        <v>0</v>
      </c>
      <c r="K2009" s="444">
        <f t="shared" ca="1" si="118"/>
        <v>-9545201.5163698811</v>
      </c>
      <c r="L2009" s="444">
        <f t="shared" ca="1" si="119"/>
        <v>-2300393565.4451413</v>
      </c>
      <c r="M2009" s="460">
        <f t="shared" si="121"/>
        <v>0.05</v>
      </c>
      <c r="N2009" s="464">
        <f t="shared" si="122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20"/>
        <v>-2300393565.4451413</v>
      </c>
      <c r="J2010" s="444">
        <f t="array" ref="J2010">IFERROR(INDEX('Retirement Calculator'!K:K,MATCH('Lorri 401b'!N2010,'Retirement Calculator'!A:A,0),0),0)</f>
        <v>0</v>
      </c>
      <c r="K2010" s="444">
        <f t="shared" ca="1" si="118"/>
        <v>-9584973.189354755</v>
      </c>
      <c r="L2010" s="444">
        <f t="shared" ca="1" si="119"/>
        <v>-2309978538.6344962</v>
      </c>
      <c r="M2010" s="460">
        <f t="shared" si="121"/>
        <v>0.05</v>
      </c>
      <c r="N2010" s="464">
        <f t="shared" si="122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20"/>
        <v>-2309978538.6344962</v>
      </c>
      <c r="J2011" s="444">
        <f t="array" ref="J2011">IFERROR(INDEX('Retirement Calculator'!K:K,MATCH('Lorri 401b'!N2011,'Retirement Calculator'!A:A,0),0),0)</f>
        <v>0</v>
      </c>
      <c r="K2011" s="444">
        <f t="shared" ca="1" si="118"/>
        <v>-9624910.5776437335</v>
      </c>
      <c r="L2011" s="444">
        <f t="shared" ca="1" si="119"/>
        <v>-2319603449.2121401</v>
      </c>
      <c r="M2011" s="460">
        <f t="shared" si="121"/>
        <v>0.05</v>
      </c>
      <c r="N2011" s="464">
        <f t="shared" si="122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20"/>
        <v>-2319603449.2121401</v>
      </c>
      <c r="J2012" s="444">
        <f t="array" ref="J2012">IFERROR(INDEX('Retirement Calculator'!K:K,MATCH('Lorri 401b'!N2012,'Retirement Calculator'!A:A,0),0),0)</f>
        <v>0</v>
      </c>
      <c r="K2012" s="444">
        <f t="shared" ca="1" si="118"/>
        <v>-9665014.37171725</v>
      </c>
      <c r="L2012" s="444">
        <f t="shared" ca="1" si="119"/>
        <v>-2329268463.5838575</v>
      </c>
      <c r="M2012" s="460">
        <f t="shared" si="121"/>
        <v>0.05</v>
      </c>
      <c r="N2012" s="464">
        <f t="shared" si="122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20"/>
        <v>-2329268463.5838575</v>
      </c>
      <c r="J2013" s="444">
        <f t="array" ref="J2013">IFERROR(INDEX('Retirement Calculator'!K:K,MATCH('Lorri 401b'!N2013,'Retirement Calculator'!A:A,0),0),0)</f>
        <v>0</v>
      </c>
      <c r="K2013" s="444">
        <f t="shared" ca="1" si="118"/>
        <v>-9705285.2649327405</v>
      </c>
      <c r="L2013" s="444">
        <f t="shared" ca="1" si="119"/>
        <v>-2338973748.8487902</v>
      </c>
      <c r="M2013" s="460">
        <f t="shared" si="121"/>
        <v>0.05</v>
      </c>
      <c r="N2013" s="464">
        <f t="shared" si="122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20"/>
        <v>-2338973748.8487902</v>
      </c>
      <c r="J2014" s="444">
        <f t="array" ref="J2014">IFERROR(INDEX('Retirement Calculator'!K:K,MATCH('Lorri 401b'!N2014,'Retirement Calculator'!A:A,0),0),0)</f>
        <v>0</v>
      </c>
      <c r="K2014" s="444">
        <f t="shared" ca="1" si="118"/>
        <v>-9745723.953536626</v>
      </c>
      <c r="L2014" s="444">
        <f t="shared" ca="1" si="119"/>
        <v>-2348719472.8023267</v>
      </c>
      <c r="M2014" s="460">
        <f t="shared" si="121"/>
        <v>0.05</v>
      </c>
      <c r="N2014" s="464">
        <f t="shared" si="122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20"/>
        <v>-2348719472.8023267</v>
      </c>
      <c r="J2015" s="444">
        <f t="array" ref="J2015">IFERROR(INDEX('Retirement Calculator'!K:K,MATCH('Lorri 401b'!N2015,'Retirement Calculator'!A:A,0),0),0)</f>
        <v>0</v>
      </c>
      <c r="K2015" s="444">
        <f t="shared" ca="1" si="118"/>
        <v>-9786331.1366763618</v>
      </c>
      <c r="L2015" s="444">
        <f t="shared" ca="1" si="119"/>
        <v>-2358505803.939003</v>
      </c>
      <c r="M2015" s="460">
        <f t="shared" si="121"/>
        <v>0.05</v>
      </c>
      <c r="N2015" s="464">
        <f t="shared" si="122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20"/>
        <v>-2358505803.939003</v>
      </c>
      <c r="J2016" s="444">
        <f t="array" ref="J2016">IFERROR(INDEX('Retirement Calculator'!K:K,MATCH('Lorri 401b'!N2016,'Retirement Calculator'!A:A,0),0),0)</f>
        <v>0</v>
      </c>
      <c r="K2016" s="444">
        <f t="shared" ca="1" si="118"/>
        <v>-9827107.5164125115</v>
      </c>
      <c r="L2016" s="444">
        <f t="shared" ca="1" si="119"/>
        <v>-2368332911.4554157</v>
      </c>
      <c r="M2016" s="460">
        <f t="shared" si="121"/>
        <v>0.05</v>
      </c>
      <c r="N2016" s="464">
        <f t="shared" si="122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20"/>
        <v>-2368332911.4554157</v>
      </c>
      <c r="J2017" s="444">
        <f t="array" ref="J2017">IFERROR(INDEX('Retirement Calculator'!K:K,MATCH('Lorri 401b'!N2017,'Retirement Calculator'!A:A,0),0),0)</f>
        <v>0</v>
      </c>
      <c r="K2017" s="444">
        <f t="shared" ca="1" si="118"/>
        <v>-9868053.7977308985</v>
      </c>
      <c r="L2017" s="444">
        <f t="shared" ca="1" si="119"/>
        <v>-2378200965.2531466</v>
      </c>
      <c r="M2017" s="460">
        <f t="shared" si="121"/>
        <v>0.05</v>
      </c>
      <c r="N2017" s="464">
        <f t="shared" si="122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20"/>
        <v>-2378200965.2531466</v>
      </c>
      <c r="J2018" s="444">
        <f t="array" ref="J2018">IFERROR(INDEX('Retirement Calculator'!K:K,MATCH('Lorri 401b'!N2018,'Retirement Calculator'!A:A,0),0),0)</f>
        <v>0</v>
      </c>
      <c r="K2018" s="444">
        <f t="shared" ca="1" si="118"/>
        <v>-9909170.6885547768</v>
      </c>
      <c r="L2018" s="444">
        <f t="shared" ca="1" si="119"/>
        <v>-2388110135.9417014</v>
      </c>
      <c r="M2018" s="460">
        <f t="shared" si="121"/>
        <v>0.05</v>
      </c>
      <c r="N2018" s="464">
        <f t="shared" si="122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20"/>
        <v>-2388110135.9417014</v>
      </c>
      <c r="J2019" s="444">
        <f t="array" ref="J2019">IFERROR(INDEX('Retirement Calculator'!K:K,MATCH('Lorri 401b'!N2019,'Retirement Calculator'!A:A,0),0),0)</f>
        <v>0</v>
      </c>
      <c r="K2019" s="444">
        <f t="shared" ca="1" si="118"/>
        <v>-9950458.8997570891</v>
      </c>
      <c r="L2019" s="444">
        <f t="shared" ca="1" si="119"/>
        <v>-2398060594.8414583</v>
      </c>
      <c r="M2019" s="460">
        <f t="shared" si="121"/>
        <v>0.05</v>
      </c>
      <c r="N2019" s="464">
        <f t="shared" si="122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20"/>
        <v>-2398060594.8414583</v>
      </c>
      <c r="J2020" s="444">
        <f t="array" ref="J2020">IFERROR(INDEX('Retirement Calculator'!K:K,MATCH('Lorri 401b'!N2020,'Retirement Calculator'!A:A,0),0),0)</f>
        <v>0</v>
      </c>
      <c r="K2020" s="444">
        <f t="shared" ca="1" si="118"/>
        <v>-9991919.1451727431</v>
      </c>
      <c r="L2020" s="444">
        <f t="shared" ca="1" si="119"/>
        <v>-2408052513.9866309</v>
      </c>
      <c r="M2020" s="460">
        <f t="shared" si="121"/>
        <v>0.05</v>
      </c>
      <c r="N2020" s="464">
        <f t="shared" si="122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20"/>
        <v>-2408052513.9866309</v>
      </c>
      <c r="J2021" s="444">
        <f t="array" ref="J2021">IFERROR(INDEX('Retirement Calculator'!K:K,MATCH('Lorri 401b'!N2021,'Retirement Calculator'!A:A,0),0),0)</f>
        <v>0</v>
      </c>
      <c r="K2021" s="444">
        <f t="shared" ca="1" si="118"/>
        <v>-10033552.141610961</v>
      </c>
      <c r="L2021" s="444">
        <f t="shared" ca="1" si="119"/>
        <v>-2418086066.128242</v>
      </c>
      <c r="M2021" s="460">
        <f t="shared" si="121"/>
        <v>0.05</v>
      </c>
      <c r="N2021" s="464">
        <f t="shared" si="122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20"/>
        <v>-2418086066.128242</v>
      </c>
      <c r="J2022" s="444">
        <f t="array" ref="J2022">IFERROR(INDEX('Retirement Calculator'!K:K,MATCH('Lorri 401b'!N2022,'Retirement Calculator'!A:A,0),0),0)</f>
        <v>0</v>
      </c>
      <c r="K2022" s="444">
        <f t="shared" ca="1" si="118"/>
        <v>-10075358.608867675</v>
      </c>
      <c r="L2022" s="444">
        <f t="shared" ca="1" si="119"/>
        <v>-2428161424.7371097</v>
      </c>
      <c r="M2022" s="460">
        <f t="shared" si="121"/>
        <v>0.05</v>
      </c>
      <c r="N2022" s="464">
        <f t="shared" si="122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20"/>
        <v>-2428161424.7371097</v>
      </c>
      <c r="J2023" s="444">
        <f t="array" ref="J2023">IFERROR(INDEX('Retirement Calculator'!K:K,MATCH('Lorri 401b'!N2023,'Retirement Calculator'!A:A,0),0),0)</f>
        <v>0</v>
      </c>
      <c r="K2023" s="444">
        <f t="shared" ca="1" si="118"/>
        <v>-10117339.269737957</v>
      </c>
      <c r="L2023" s="444">
        <f t="shared" ca="1" si="119"/>
        <v>-2438278764.0068474</v>
      </c>
      <c r="M2023" s="460">
        <f t="shared" si="121"/>
        <v>0.05</v>
      </c>
      <c r="N2023" s="464">
        <f t="shared" si="122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20"/>
        <v>-2438278764.0068474</v>
      </c>
      <c r="J2024" s="444">
        <f t="array" ref="J2024">IFERROR(INDEX('Retirement Calculator'!K:K,MATCH('Lorri 401b'!N2024,'Retirement Calculator'!A:A,0),0),0)</f>
        <v>0</v>
      </c>
      <c r="K2024" s="444">
        <f t="shared" ca="1" si="118"/>
        <v>-10159494.85002853</v>
      </c>
      <c r="L2024" s="444">
        <f t="shared" ca="1" si="119"/>
        <v>-2448438258.8568759</v>
      </c>
      <c r="M2024" s="460">
        <f t="shared" si="121"/>
        <v>0.05</v>
      </c>
      <c r="N2024" s="464">
        <f t="shared" si="122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20"/>
        <v>-2448438258.8568759</v>
      </c>
      <c r="J2025" s="444">
        <f t="array" ref="J2025">IFERROR(INDEX('Retirement Calculator'!K:K,MATCH('Lorri 401b'!N2025,'Retirement Calculator'!A:A,0),0),0)</f>
        <v>0</v>
      </c>
      <c r="K2025" s="444">
        <f t="shared" ca="1" si="118"/>
        <v>-10201826.078570316</v>
      </c>
      <c r="L2025" s="444">
        <f t="shared" ca="1" si="119"/>
        <v>-2458640084.9354463</v>
      </c>
      <c r="M2025" s="460">
        <f t="shared" si="121"/>
        <v>0.05</v>
      </c>
      <c r="N2025" s="464">
        <f t="shared" si="122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20"/>
        <v>-2458640084.9354463</v>
      </c>
      <c r="J2026" s="444">
        <f t="array" ref="J2026">IFERROR(INDEX('Retirement Calculator'!K:K,MATCH('Lorri 401b'!N2026,'Retirement Calculator'!A:A,0),0),0)</f>
        <v>0</v>
      </c>
      <c r="K2026" s="444">
        <f t="shared" ca="1" si="118"/>
        <v>-10244333.687231027</v>
      </c>
      <c r="L2026" s="444">
        <f t="shared" ca="1" si="119"/>
        <v>-2468884418.6226773</v>
      </c>
      <c r="M2026" s="460">
        <f t="shared" si="121"/>
        <v>0.05</v>
      </c>
      <c r="N2026" s="464">
        <f t="shared" si="122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20"/>
        <v>-2468884418.6226773</v>
      </c>
      <c r="J2027" s="444">
        <f t="array" ref="J2027">IFERROR(INDEX('Retirement Calculator'!K:K,MATCH('Lorri 401b'!N2027,'Retirement Calculator'!A:A,0),0),0)</f>
        <v>0</v>
      </c>
      <c r="K2027" s="444">
        <f t="shared" ca="1" si="118"/>
        <v>-10287018.410927823</v>
      </c>
      <c r="L2027" s="444">
        <f t="shared" ca="1" si="119"/>
        <v>-2479171437.0336051</v>
      </c>
      <c r="M2027" s="460">
        <f t="shared" si="121"/>
        <v>0.05</v>
      </c>
      <c r="N2027" s="464">
        <f t="shared" si="122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20"/>
        <v>-2479171437.0336051</v>
      </c>
      <c r="J2028" s="444">
        <f t="array" ref="J2028">IFERROR(INDEX('Retirement Calculator'!K:K,MATCH('Lorri 401b'!N2028,'Retirement Calculator'!A:A,0),0),0)</f>
        <v>0</v>
      </c>
      <c r="K2028" s="444">
        <f t="shared" ca="1" si="118"/>
        <v>-10329880.987640021</v>
      </c>
      <c r="L2028" s="444">
        <f t="shared" ca="1" si="119"/>
        <v>-2489501318.021245</v>
      </c>
      <c r="M2028" s="460">
        <f t="shared" si="121"/>
        <v>0.05</v>
      </c>
      <c r="N2028" s="464">
        <f t="shared" si="122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20"/>
        <v>-2489501318.021245</v>
      </c>
      <c r="J2029" s="444">
        <f t="array" ref="J2029">IFERROR(INDEX('Retirement Calculator'!K:K,MATCH('Lorri 401b'!N2029,'Retirement Calculator'!A:A,0),0),0)</f>
        <v>0</v>
      </c>
      <c r="K2029" s="444">
        <f t="shared" ca="1" si="118"/>
        <v>-10372922.158421854</v>
      </c>
      <c r="L2029" s="444">
        <f t="shared" ca="1" si="119"/>
        <v>-2499874240.179667</v>
      </c>
      <c r="M2029" s="460">
        <f t="shared" si="121"/>
        <v>0.05</v>
      </c>
      <c r="N2029" s="464">
        <f t="shared" si="122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20"/>
        <v>-2499874240.179667</v>
      </c>
      <c r="J2030" s="444">
        <f t="array" ref="J2030">IFERROR(INDEX('Retirement Calculator'!K:K,MATCH('Lorri 401b'!N2030,'Retirement Calculator'!A:A,0),0),0)</f>
        <v>0</v>
      </c>
      <c r="K2030" s="444">
        <f t="shared" ca="1" si="118"/>
        <v>-10416142.66741528</v>
      </c>
      <c r="L2030" s="444">
        <f t="shared" ca="1" si="119"/>
        <v>-2510290382.8470821</v>
      </c>
      <c r="M2030" s="460">
        <f t="shared" si="121"/>
        <v>0.05</v>
      </c>
      <c r="N2030" s="464">
        <f t="shared" si="122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20"/>
        <v>-2510290382.8470821</v>
      </c>
      <c r="J2031" s="444">
        <f t="array" ref="J2031">IFERROR(INDEX('Retirement Calculator'!K:K,MATCH('Lorri 401b'!N2031,'Retirement Calculator'!A:A,0),0),0)</f>
        <v>0</v>
      </c>
      <c r="K2031" s="444">
        <f t="shared" ca="1" si="118"/>
        <v>-10459543.261862842</v>
      </c>
      <c r="L2031" s="444">
        <f t="shared" ca="1" si="119"/>
        <v>-2520749926.1089449</v>
      </c>
      <c r="M2031" s="460">
        <f t="shared" si="121"/>
        <v>0.05</v>
      </c>
      <c r="N2031" s="464">
        <f t="shared" si="122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20"/>
        <v>-2520749926.1089449</v>
      </c>
      <c r="J2032" s="444">
        <f t="array" ref="J2032">IFERROR(INDEX('Retirement Calculator'!K:K,MATCH('Lorri 401b'!N2032,'Retirement Calculator'!A:A,0),0),0)</f>
        <v>0</v>
      </c>
      <c r="K2032" s="444">
        <f t="shared" ca="1" si="118"/>
        <v>-10503124.692120604</v>
      </c>
      <c r="L2032" s="444">
        <f t="shared" ca="1" si="119"/>
        <v>-2531253050.8010654</v>
      </c>
      <c r="M2032" s="460">
        <f t="shared" si="121"/>
        <v>0.05</v>
      </c>
      <c r="N2032" s="464">
        <f t="shared" si="122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20"/>
        <v>-2531253050.8010654</v>
      </c>
      <c r="J2033" s="444">
        <f t="array" ref="J2033">IFERROR(INDEX('Retirement Calculator'!K:K,MATCH('Lorri 401b'!N2033,'Retirement Calculator'!A:A,0),0),0)</f>
        <v>0</v>
      </c>
      <c r="K2033" s="444">
        <f t="shared" ca="1" si="118"/>
        <v>-10546887.711671107</v>
      </c>
      <c r="L2033" s="444">
        <f t="shared" ca="1" si="119"/>
        <v>-2541799938.5127363</v>
      </c>
      <c r="M2033" s="460">
        <f t="shared" si="121"/>
        <v>0.05</v>
      </c>
      <c r="N2033" s="464">
        <f t="shared" si="122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20"/>
        <v>-2541799938.5127363</v>
      </c>
      <c r="J2034" s="444">
        <f t="array" ref="J2034">IFERROR(INDEX('Retirement Calculator'!K:K,MATCH('Lorri 401b'!N2034,'Retirement Calculator'!A:A,0),0),0)</f>
        <v>0</v>
      </c>
      <c r="K2034" s="444">
        <f t="shared" ca="1" si="118"/>
        <v>-10590833.077136401</v>
      </c>
      <c r="L2034" s="444">
        <f t="shared" ca="1" si="119"/>
        <v>-2552390771.5898728</v>
      </c>
      <c r="M2034" s="460">
        <f t="shared" si="121"/>
        <v>0.05</v>
      </c>
      <c r="N2034" s="464">
        <f t="shared" si="122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20"/>
        <v>-2552390771.5898728</v>
      </c>
      <c r="J2035" s="444">
        <f t="array" ref="J2035">IFERROR(INDEX('Retirement Calculator'!K:K,MATCH('Lorri 401b'!N2035,'Retirement Calculator'!A:A,0),0),0)</f>
        <v>0</v>
      </c>
      <c r="K2035" s="444">
        <f t="shared" ca="1" si="118"/>
        <v>-10634961.548291137</v>
      </c>
      <c r="L2035" s="444">
        <f t="shared" ca="1" si="119"/>
        <v>-2563025733.138164</v>
      </c>
      <c r="M2035" s="460">
        <f t="shared" si="121"/>
        <v>0.05</v>
      </c>
      <c r="N2035" s="464">
        <f t="shared" si="122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20"/>
        <v>-2563025733.138164</v>
      </c>
      <c r="J2036" s="444">
        <f t="array" ref="J2036">IFERROR(INDEX('Retirement Calculator'!K:K,MATCH('Lorri 401b'!N2036,'Retirement Calculator'!A:A,0),0),0)</f>
        <v>0</v>
      </c>
      <c r="K2036" s="444">
        <f t="shared" ca="1" si="118"/>
        <v>-10679273.888075683</v>
      </c>
      <c r="L2036" s="444">
        <f t="shared" ca="1" si="119"/>
        <v>-2573705007.0262399</v>
      </c>
      <c r="M2036" s="460">
        <f t="shared" si="121"/>
        <v>0.05</v>
      </c>
      <c r="N2036" s="464">
        <f t="shared" si="122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20"/>
        <v>-2573705007.0262399</v>
      </c>
      <c r="J2037" s="444">
        <f t="array" ref="J2037">IFERROR(INDEX('Retirement Calculator'!K:K,MATCH('Lorri 401b'!N2037,'Retirement Calculator'!A:A,0),0),0)</f>
        <v>0</v>
      </c>
      <c r="K2037" s="444">
        <f t="shared" ca="1" si="118"/>
        <v>-10723770.862609332</v>
      </c>
      <c r="L2037" s="444">
        <f t="shared" ca="1" si="119"/>
        <v>-2584428777.8888493</v>
      </c>
      <c r="M2037" s="460">
        <f t="shared" si="121"/>
        <v>0.05</v>
      </c>
      <c r="N2037" s="464">
        <f t="shared" si="122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20"/>
        <v>-2584428777.8888493</v>
      </c>
      <c r="J2038" s="444">
        <f t="array" ref="J2038">IFERROR(INDEX('Retirement Calculator'!K:K,MATCH('Lorri 401b'!N2038,'Retirement Calculator'!A:A,0),0),0)</f>
        <v>0</v>
      </c>
      <c r="K2038" s="444">
        <f t="shared" ca="1" si="118"/>
        <v>-10768453.241203539</v>
      </c>
      <c r="L2038" s="444">
        <f t="shared" ca="1" si="119"/>
        <v>-2595197231.1300526</v>
      </c>
      <c r="M2038" s="460">
        <f t="shared" si="121"/>
        <v>0.05</v>
      </c>
      <c r="N2038" s="464">
        <f t="shared" si="122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20"/>
        <v>-2595197231.1300526</v>
      </c>
      <c r="J2039" s="444">
        <f t="array" ref="J2039">IFERROR(INDEX('Retirement Calculator'!K:K,MATCH('Lorri 401b'!N2039,'Retirement Calculator'!A:A,0),0),0)</f>
        <v>0</v>
      </c>
      <c r="K2039" s="444">
        <f t="shared" ca="1" si="118"/>
        <v>-10813321.796375219</v>
      </c>
      <c r="L2039" s="444">
        <f t="shared" ca="1" si="119"/>
        <v>-2606010552.9264278</v>
      </c>
      <c r="M2039" s="460">
        <f t="shared" si="121"/>
        <v>0.05</v>
      </c>
      <c r="N2039" s="464">
        <f t="shared" si="122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20"/>
        <v>-2606010552.9264278</v>
      </c>
      <c r="J2040" s="444">
        <f t="array" ref="J2040">IFERROR(INDEX('Retirement Calculator'!K:K,MATCH('Lorri 401b'!N2040,'Retirement Calculator'!A:A,0),0),0)</f>
        <v>0</v>
      </c>
      <c r="K2040" s="444">
        <f t="shared" ca="1" si="118"/>
        <v>-10858377.303860117</v>
      </c>
      <c r="L2040" s="444">
        <f t="shared" ca="1" si="119"/>
        <v>-2616868930.230288</v>
      </c>
      <c r="M2040" s="460">
        <f t="shared" si="121"/>
        <v>0.05</v>
      </c>
      <c r="N2040" s="464">
        <f t="shared" si="122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20"/>
        <v>-2616868930.230288</v>
      </c>
      <c r="J2041" s="444">
        <f t="array" ref="J2041">IFERROR(INDEX('Retirement Calculator'!K:K,MATCH('Lorri 401b'!N2041,'Retirement Calculator'!A:A,0),0),0)</f>
        <v>0</v>
      </c>
      <c r="K2041" s="444">
        <f t="shared" ca="1" si="118"/>
        <v>-10903620.5426262</v>
      </c>
      <c r="L2041" s="444">
        <f t="shared" ca="1" si="119"/>
        <v>-2627772550.7729144</v>
      </c>
      <c r="M2041" s="460">
        <f t="shared" si="121"/>
        <v>0.05</v>
      </c>
      <c r="N2041" s="464">
        <f t="shared" si="122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20"/>
        <v>-2627772550.7729144</v>
      </c>
      <c r="J2042" s="444">
        <f t="array" ref="J2042">IFERROR(INDEX('Retirement Calculator'!K:K,MATCH('Lorri 401b'!N2042,'Retirement Calculator'!A:A,0),0),0)</f>
        <v>0</v>
      </c>
      <c r="K2042" s="444">
        <f t="shared" ca="1" si="118"/>
        <v>-10949052.294887144</v>
      </c>
      <c r="L2042" s="444">
        <f t="shared" ca="1" si="119"/>
        <v>-2638721603.0678015</v>
      </c>
      <c r="M2042" s="460">
        <f t="shared" si="121"/>
        <v>0.05</v>
      </c>
      <c r="N2042" s="464">
        <f t="shared" si="122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20"/>
        <v>-2638721603.0678015</v>
      </c>
      <c r="J2043" s="444">
        <f t="array" ref="J2043">IFERROR(INDEX('Retirement Calculator'!K:K,MATCH('Lorri 401b'!N2043,'Retirement Calculator'!A:A,0),0),0)</f>
        <v>0</v>
      </c>
      <c r="K2043" s="444">
        <f t="shared" ca="1" si="118"/>
        <v>-10994673.346115839</v>
      </c>
      <c r="L2043" s="444">
        <f t="shared" ca="1" si="119"/>
        <v>-2649716276.4139175</v>
      </c>
      <c r="M2043" s="460">
        <f t="shared" si="121"/>
        <v>0.05</v>
      </c>
      <c r="N2043" s="464">
        <f t="shared" si="122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20"/>
        <v>-2649716276.4139175</v>
      </c>
      <c r="J2044" s="444">
        <f t="array" ref="J2044">IFERROR(INDEX('Retirement Calculator'!K:K,MATCH('Lorri 401b'!N2044,'Retirement Calculator'!A:A,0),0),0)</f>
        <v>0</v>
      </c>
      <c r="K2044" s="444">
        <f t="shared" ca="1" si="118"/>
        <v>-11040484.485057989</v>
      </c>
      <c r="L2044" s="444">
        <f t="shared" ca="1" si="119"/>
        <v>-2660756760.8989754</v>
      </c>
      <c r="M2044" s="460">
        <f t="shared" si="121"/>
        <v>0.05</v>
      </c>
      <c r="N2044" s="464">
        <f t="shared" si="122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20"/>
        <v>-2660756760.8989754</v>
      </c>
      <c r="J2045" s="444">
        <f t="array" ref="J2045">IFERROR(INDEX('Retirement Calculator'!K:K,MATCH('Lorri 401b'!N2045,'Retirement Calculator'!A:A,0),0),0)</f>
        <v>0</v>
      </c>
      <c r="K2045" s="444">
        <f t="shared" ca="1" si="118"/>
        <v>-11086486.503745731</v>
      </c>
      <c r="L2045" s="444">
        <f t="shared" ca="1" si="119"/>
        <v>-2671843247.4027209</v>
      </c>
      <c r="M2045" s="460">
        <f t="shared" si="121"/>
        <v>0.05</v>
      </c>
      <c r="N2045" s="464">
        <f t="shared" si="122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20"/>
        <v>-2671843247.4027209</v>
      </c>
      <c r="J2046" s="444">
        <f t="array" ref="J2046">IFERROR(INDEX('Retirement Calculator'!K:K,MATCH('Lorri 401b'!N2046,'Retirement Calculator'!A:A,0),0),0)</f>
        <v>0</v>
      </c>
      <c r="K2046" s="444">
        <f t="shared" ca="1" si="118"/>
        <v>-11132680.197511338</v>
      </c>
      <c r="L2046" s="444">
        <f t="shared" ca="1" si="119"/>
        <v>-2682975927.6002321</v>
      </c>
      <c r="M2046" s="460">
        <f t="shared" si="121"/>
        <v>0.05</v>
      </c>
      <c r="N2046" s="464">
        <f t="shared" si="122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20"/>
        <v>-2682975927.6002321</v>
      </c>
      <c r="J2047" s="444">
        <f t="array" ref="J2047">IFERROR(INDEX('Retirement Calculator'!K:K,MATCH('Lorri 401b'!N2047,'Retirement Calculator'!A:A,0),0),0)</f>
        <v>0</v>
      </c>
      <c r="K2047" s="444">
        <f t="shared" ca="1" si="118"/>
        <v>-11179066.365000967</v>
      </c>
      <c r="L2047" s="444">
        <f t="shared" ca="1" si="119"/>
        <v>-2694154993.9652333</v>
      </c>
      <c r="M2047" s="460">
        <f t="shared" si="121"/>
        <v>0.05</v>
      </c>
      <c r="N2047" s="464">
        <f t="shared" si="122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20"/>
        <v>-2694154993.9652333</v>
      </c>
      <c r="J2048" s="444">
        <f t="array" ref="J2048">IFERROR(INDEX('Retirement Calculator'!K:K,MATCH('Lorri 401b'!N2048,'Retirement Calculator'!A:A,0),0),0)</f>
        <v>0</v>
      </c>
      <c r="K2048" s="444">
        <f t="shared" ref="K2048:K2302" ca="1" si="123">IPMT(M2048/12,1,12,-I2048+J2048,,0)</f>
        <v>-11225645.808188472</v>
      </c>
      <c r="L2048" s="444">
        <f t="shared" ref="L2048:L2302" ca="1" si="124">I2048-J2048+K2048</f>
        <v>-2705380639.7734218</v>
      </c>
      <c r="M2048" s="460">
        <f t="shared" si="121"/>
        <v>0.05</v>
      </c>
      <c r="N2048" s="464">
        <f t="shared" si="122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25">L2048</f>
        <v>-2705380639.7734218</v>
      </c>
      <c r="J2049" s="444">
        <f t="array" ref="J2049">IFERROR(INDEX('Retirement Calculator'!K:K,MATCH('Lorri 401b'!N2049,'Retirement Calculator'!A:A,0),0),0)</f>
        <v>0</v>
      </c>
      <c r="K2049" s="444">
        <f t="shared" ca="1" si="123"/>
        <v>-11272419.332389258</v>
      </c>
      <c r="L2049" s="444">
        <f t="shared" ca="1" si="124"/>
        <v>-2716653059.1058111</v>
      </c>
      <c r="M2049" s="460">
        <f t="shared" ref="M2049:M2303" si="126">M2048</f>
        <v>0.05</v>
      </c>
      <c r="N2049" s="464">
        <f t="shared" ref="N2049:N2303" si="127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25"/>
        <v>-2716653059.1058111</v>
      </c>
      <c r="J2050" s="444">
        <f t="array" ref="J2050">IFERROR(INDEX('Retirement Calculator'!K:K,MATCH('Lorri 401b'!N2050,'Retirement Calculator'!A:A,0),0),0)</f>
        <v>0</v>
      </c>
      <c r="K2050" s="444">
        <f t="shared" ca="1" si="123"/>
        <v>-11319387.746274212</v>
      </c>
      <c r="L2050" s="444">
        <f t="shared" ca="1" si="124"/>
        <v>-2727972446.8520851</v>
      </c>
      <c r="M2050" s="460">
        <f t="shared" si="126"/>
        <v>0.05</v>
      </c>
      <c r="N2050" s="464">
        <f t="shared" si="127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25"/>
        <v>-2727972446.8520851</v>
      </c>
      <c r="J2051" s="444">
        <f t="array" ref="J2051">IFERROR(INDEX('Retirement Calculator'!K:K,MATCH('Lorri 401b'!N2051,'Retirement Calculator'!A:A,0),0),0)</f>
        <v>0</v>
      </c>
      <c r="K2051" s="444">
        <f t="shared" ca="1" si="123"/>
        <v>-11366551.861883689</v>
      </c>
      <c r="L2051" s="444">
        <f t="shared" ca="1" si="124"/>
        <v>-2739338998.7139688</v>
      </c>
      <c r="M2051" s="460">
        <f t="shared" si="126"/>
        <v>0.05</v>
      </c>
      <c r="N2051" s="464">
        <f t="shared" si="127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25"/>
        <v>-2739338998.7139688</v>
      </c>
      <c r="J2052" s="444">
        <f t="array" ref="J2052">IFERROR(INDEX('Retirement Calculator'!K:K,MATCH('Lorri 401b'!N2052,'Retirement Calculator'!A:A,0),0),0)</f>
        <v>0</v>
      </c>
      <c r="K2052" s="444">
        <f t="shared" ca="1" si="123"/>
        <v>-11413912.494641537</v>
      </c>
      <c r="L2052" s="444">
        <f t="shared" ca="1" si="124"/>
        <v>-2750752911.2086101</v>
      </c>
      <c r="M2052" s="460">
        <f t="shared" si="126"/>
        <v>0.05</v>
      </c>
      <c r="N2052" s="464">
        <f t="shared" si="127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25"/>
        <v>-2750752911.2086101</v>
      </c>
      <c r="J2053" s="444">
        <f t="array" ref="J2053">IFERROR(INDEX('Retirement Calculator'!K:K,MATCH('Lorri 401b'!N2053,'Retirement Calculator'!A:A,0),0),0)</f>
        <v>0</v>
      </c>
      <c r="K2053" s="444">
        <f t="shared" ca="1" si="123"/>
        <v>-11461470.463369209</v>
      </c>
      <c r="L2053" s="444">
        <f t="shared" ca="1" si="124"/>
        <v>-2762214381.6719794</v>
      </c>
      <c r="M2053" s="460">
        <f t="shared" si="126"/>
        <v>0.05</v>
      </c>
      <c r="N2053" s="464">
        <f t="shared" si="127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25"/>
        <v>-2762214381.6719794</v>
      </c>
      <c r="J2054" s="444">
        <f t="array" ref="J2054">IFERROR(INDEX('Retirement Calculator'!K:K,MATCH('Lorri 401b'!N2054,'Retirement Calculator'!A:A,0),0),0)</f>
        <v>0</v>
      </c>
      <c r="K2054" s="444">
        <f t="shared" ca="1" si="123"/>
        <v>-11509226.590299914</v>
      </c>
      <c r="L2054" s="444">
        <f t="shared" ca="1" si="124"/>
        <v>-2773723608.2622795</v>
      </c>
      <c r="M2054" s="460">
        <f t="shared" si="126"/>
        <v>0.05</v>
      </c>
      <c r="N2054" s="464">
        <f t="shared" si="127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25"/>
        <v>-2773723608.2622795</v>
      </c>
      <c r="J2055" s="444">
        <f t="array" ref="J2055">IFERROR(INDEX('Retirement Calculator'!K:K,MATCH('Lorri 401b'!N2055,'Retirement Calculator'!A:A,0),0),0)</f>
        <v>0</v>
      </c>
      <c r="K2055" s="444">
        <f t="shared" ca="1" si="123"/>
        <v>-11557181.701092832</v>
      </c>
      <c r="L2055" s="444">
        <f t="shared" ca="1" si="124"/>
        <v>-2785280789.9633722</v>
      </c>
      <c r="M2055" s="460">
        <f t="shared" si="126"/>
        <v>0.05</v>
      </c>
      <c r="N2055" s="464">
        <f t="shared" si="127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25"/>
        <v>-2785280789.9633722</v>
      </c>
      <c r="J2056" s="444">
        <f t="array" ref="J2056">IFERROR(INDEX('Retirement Calculator'!K:K,MATCH('Lorri 401b'!N2056,'Retirement Calculator'!A:A,0),0),0)</f>
        <v>0</v>
      </c>
      <c r="K2056" s="444">
        <f t="shared" ca="1" si="123"/>
        <v>-11605336.624847384</v>
      </c>
      <c r="L2056" s="444">
        <f t="shared" ca="1" si="124"/>
        <v>-2796886126.5882196</v>
      </c>
      <c r="M2056" s="460">
        <f t="shared" si="126"/>
        <v>0.05</v>
      </c>
      <c r="N2056" s="464">
        <f t="shared" si="127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25"/>
        <v>-2796886126.5882196</v>
      </c>
      <c r="J2057" s="444">
        <f t="array" ref="J2057">IFERROR(INDEX('Retirement Calculator'!K:K,MATCH('Lorri 401b'!N2057,'Retirement Calculator'!A:A,0),0),0)</f>
        <v>0</v>
      </c>
      <c r="K2057" s="444">
        <f t="shared" ca="1" si="123"/>
        <v>-11653692.194117581</v>
      </c>
      <c r="L2057" s="444">
        <f t="shared" ca="1" si="124"/>
        <v>-2808539818.7823372</v>
      </c>
      <c r="M2057" s="460">
        <f t="shared" si="126"/>
        <v>0.05</v>
      </c>
      <c r="N2057" s="464">
        <f t="shared" si="127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25"/>
        <v>-2808539818.7823372</v>
      </c>
      <c r="J2058" s="444">
        <f t="array" ref="J2058">IFERROR(INDEX('Retirement Calculator'!K:K,MATCH('Lorri 401b'!N2058,'Retirement Calculator'!A:A,0),0),0)</f>
        <v>0</v>
      </c>
      <c r="K2058" s="444">
        <f t="shared" ca="1" si="123"/>
        <v>-11702249.244926404</v>
      </c>
      <c r="L2058" s="444">
        <f t="shared" ca="1" si="124"/>
        <v>-2820242068.0272636</v>
      </c>
      <c r="M2058" s="460">
        <f t="shared" si="126"/>
        <v>0.05</v>
      </c>
      <c r="N2058" s="464">
        <f t="shared" si="127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25"/>
        <v>-2820242068.0272636</v>
      </c>
      <c r="J2059" s="444">
        <f t="array" ref="J2059">IFERROR(INDEX('Retirement Calculator'!K:K,MATCH('Lorri 401b'!N2059,'Retirement Calculator'!A:A,0),0),0)</f>
        <v>0</v>
      </c>
      <c r="K2059" s="444">
        <f t="shared" ca="1" si="123"/>
        <v>-11751008.616780264</v>
      </c>
      <c r="L2059" s="444">
        <f t="shared" ca="1" si="124"/>
        <v>-2831993076.6440439</v>
      </c>
      <c r="M2059" s="460">
        <f t="shared" si="126"/>
        <v>0.05</v>
      </c>
      <c r="N2059" s="464">
        <f t="shared" si="127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25"/>
        <v>-2831993076.6440439</v>
      </c>
      <c r="J2060" s="444">
        <f t="array" ref="J2060">IFERROR(INDEX('Retirement Calculator'!K:K,MATCH('Lorri 401b'!N2060,'Retirement Calculator'!A:A,0),0),0)</f>
        <v>0</v>
      </c>
      <c r="K2060" s="444">
        <f t="shared" ca="1" si="123"/>
        <v>-11799971.152683517</v>
      </c>
      <c r="L2060" s="444">
        <f t="shared" ca="1" si="124"/>
        <v>-2843793047.7967277</v>
      </c>
      <c r="M2060" s="460">
        <f t="shared" si="126"/>
        <v>0.05</v>
      </c>
      <c r="N2060" s="464">
        <f t="shared" si="127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25"/>
        <v>-2843793047.7967277</v>
      </c>
      <c r="J2061" s="444">
        <f t="array" ref="J2061">IFERROR(INDEX('Retirement Calculator'!K:K,MATCH('Lorri 401b'!N2061,'Retirement Calculator'!A:A,0),0),0)</f>
        <v>0</v>
      </c>
      <c r="K2061" s="444">
        <f t="shared" ca="1" si="123"/>
        <v>-11849137.699153032</v>
      </c>
      <c r="L2061" s="444">
        <f t="shared" ca="1" si="124"/>
        <v>-2855642185.4958806</v>
      </c>
      <c r="M2061" s="460">
        <f t="shared" si="126"/>
        <v>0.05</v>
      </c>
      <c r="N2061" s="464">
        <f t="shared" si="127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25"/>
        <v>-2855642185.4958806</v>
      </c>
      <c r="J2062" s="444">
        <f t="array" ref="J2062">IFERROR(INDEX('Retirement Calculator'!K:K,MATCH('Lorri 401b'!N2062,'Retirement Calculator'!A:A,0),0),0)</f>
        <v>0</v>
      </c>
      <c r="K2062" s="444">
        <f t="shared" ca="1" si="123"/>
        <v>-11898509.106232835</v>
      </c>
      <c r="L2062" s="444">
        <f t="shared" ca="1" si="124"/>
        <v>-2867540694.6021132</v>
      </c>
      <c r="M2062" s="460">
        <f t="shared" si="126"/>
        <v>0.05</v>
      </c>
      <c r="N2062" s="464">
        <f t="shared" si="127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25"/>
        <v>-2867540694.6021132</v>
      </c>
      <c r="J2063" s="444">
        <f t="array" ref="J2063">IFERROR(INDEX('Retirement Calculator'!K:K,MATCH('Lorri 401b'!N2063,'Retirement Calculator'!A:A,0),0),0)</f>
        <v>0</v>
      </c>
      <c r="K2063" s="444">
        <f t="shared" ca="1" si="123"/>
        <v>-11948086.227508806</v>
      </c>
      <c r="L2063" s="444">
        <f t="shared" ca="1" si="124"/>
        <v>-2879488780.8296223</v>
      </c>
      <c r="M2063" s="460">
        <f t="shared" si="126"/>
        <v>0.05</v>
      </c>
      <c r="N2063" s="464">
        <f t="shared" si="127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25"/>
        <v>-2879488780.8296223</v>
      </c>
      <c r="J2064" s="444">
        <f t="array" ref="J2064">IFERROR(INDEX('Retirement Calculator'!K:K,MATCH('Lorri 401b'!N2064,'Retirement Calculator'!A:A,0),0),0)</f>
        <v>0</v>
      </c>
      <c r="K2064" s="444">
        <f t="shared" ca="1" si="123"/>
        <v>-11997869.920123426</v>
      </c>
      <c r="L2064" s="444">
        <f t="shared" ca="1" si="124"/>
        <v>-2891486650.7497458</v>
      </c>
      <c r="M2064" s="460">
        <f t="shared" si="126"/>
        <v>0.05</v>
      </c>
      <c r="N2064" s="464">
        <f t="shared" si="127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25"/>
        <v>-2891486650.7497458</v>
      </c>
      <c r="J2065" s="444">
        <f t="array" ref="J2065">IFERROR(INDEX('Retirement Calculator'!K:K,MATCH('Lorri 401b'!N2065,'Retirement Calculator'!A:A,0),0),0)</f>
        <v>0</v>
      </c>
      <c r="K2065" s="444">
        <f t="shared" ca="1" si="123"/>
        <v>-12047861.044790607</v>
      </c>
      <c r="L2065" s="444">
        <f t="shared" ca="1" si="124"/>
        <v>-2903534511.7945366</v>
      </c>
      <c r="M2065" s="460">
        <f t="shared" si="126"/>
        <v>0.05</v>
      </c>
      <c r="N2065" s="464">
        <f t="shared" si="127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25"/>
        <v>-2903534511.7945366</v>
      </c>
      <c r="J2066" s="444">
        <f t="array" ref="J2066">IFERROR(INDEX('Retirement Calculator'!K:K,MATCH('Lorri 401b'!N2066,'Retirement Calculator'!A:A,0),0),0)</f>
        <v>0</v>
      </c>
      <c r="K2066" s="444">
        <f t="shared" ca="1" si="123"/>
        <v>-12098060.465810569</v>
      </c>
      <c r="L2066" s="444">
        <f t="shared" ca="1" si="124"/>
        <v>-2915632572.2603474</v>
      </c>
      <c r="M2066" s="460">
        <f t="shared" si="126"/>
        <v>0.05</v>
      </c>
      <c r="N2066" s="464">
        <f t="shared" si="127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25"/>
        <v>-2915632572.2603474</v>
      </c>
      <c r="J2067" s="444">
        <f t="array" ref="J2067">IFERROR(INDEX('Retirement Calculator'!K:K,MATCH('Lorri 401b'!N2067,'Retirement Calculator'!A:A,0),0),0)</f>
        <v>0</v>
      </c>
      <c r="K2067" s="444">
        <f t="shared" ca="1" si="123"/>
        <v>-12148469.051084781</v>
      </c>
      <c r="L2067" s="444">
        <f t="shared" ca="1" si="124"/>
        <v>-2927781041.3114324</v>
      </c>
      <c r="M2067" s="460">
        <f t="shared" si="126"/>
        <v>0.05</v>
      </c>
      <c r="N2067" s="464">
        <f t="shared" si="127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25"/>
        <v>-2927781041.3114324</v>
      </c>
      <c r="J2068" s="444">
        <f t="array" ref="J2068">IFERROR(INDEX('Retirement Calculator'!K:K,MATCH('Lorri 401b'!N2068,'Retirement Calculator'!A:A,0),0),0)</f>
        <v>0</v>
      </c>
      <c r="K2068" s="444">
        <f t="shared" ca="1" si="123"/>
        <v>-12199087.672130968</v>
      </c>
      <c r="L2068" s="444">
        <f t="shared" ca="1" si="124"/>
        <v>-2939980128.9835634</v>
      </c>
      <c r="M2068" s="460">
        <f t="shared" si="126"/>
        <v>0.05</v>
      </c>
      <c r="N2068" s="464">
        <f t="shared" si="127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25"/>
        <v>-2939980128.9835634</v>
      </c>
      <c r="J2069" s="444">
        <f t="array" ref="J2069">IFERROR(INDEX('Retirement Calculator'!K:K,MATCH('Lorri 401b'!N2069,'Retirement Calculator'!A:A,0),0),0)</f>
        <v>0</v>
      </c>
      <c r="K2069" s="444">
        <f t="shared" ca="1" si="123"/>
        <v>-12249917.20409818</v>
      </c>
      <c r="L2069" s="444">
        <f t="shared" ca="1" si="124"/>
        <v>-2952230046.1876616</v>
      </c>
      <c r="M2069" s="460">
        <f t="shared" si="126"/>
        <v>0.05</v>
      </c>
      <c r="N2069" s="464">
        <f t="shared" si="127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25"/>
        <v>-2952230046.1876616</v>
      </c>
      <c r="J2070" s="444">
        <f t="array" ref="J2070">IFERROR(INDEX('Retirement Calculator'!K:K,MATCH('Lorri 401b'!N2070,'Retirement Calculator'!A:A,0),0),0)</f>
        <v>0</v>
      </c>
      <c r="K2070" s="444">
        <f t="shared" ca="1" si="123"/>
        <v>-12300958.525781924</v>
      </c>
      <c r="L2070" s="444">
        <f t="shared" ca="1" si="124"/>
        <v>-2964531004.7134438</v>
      </c>
      <c r="M2070" s="460">
        <f t="shared" si="126"/>
        <v>0.05</v>
      </c>
      <c r="N2070" s="464">
        <f t="shared" si="127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25"/>
        <v>-2964531004.7134438</v>
      </c>
      <c r="J2071" s="444">
        <f t="array" ref="J2071">IFERROR(INDEX('Retirement Calculator'!K:K,MATCH('Lorri 401b'!N2071,'Retirement Calculator'!A:A,0),0),0)</f>
        <v>0</v>
      </c>
      <c r="K2071" s="444">
        <f t="shared" ca="1" si="123"/>
        <v>-12352212.519639349</v>
      </c>
      <c r="L2071" s="444">
        <f t="shared" ca="1" si="124"/>
        <v>-2976883217.2330832</v>
      </c>
      <c r="M2071" s="460">
        <f t="shared" si="126"/>
        <v>0.05</v>
      </c>
      <c r="N2071" s="464">
        <f t="shared" si="127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25"/>
        <v>-2976883217.2330832</v>
      </c>
      <c r="J2072" s="444">
        <f t="array" ref="J2072">IFERROR(INDEX('Retirement Calculator'!K:K,MATCH('Lorri 401b'!N2072,'Retirement Calculator'!A:A,0),0),0)</f>
        <v>0</v>
      </c>
      <c r="K2072" s="444">
        <f t="shared" ca="1" si="123"/>
        <v>-12403680.071804514</v>
      </c>
      <c r="L2072" s="444">
        <f t="shared" ca="1" si="124"/>
        <v>-2989286897.3048878</v>
      </c>
      <c r="M2072" s="460">
        <f t="shared" si="126"/>
        <v>0.05</v>
      </c>
      <c r="N2072" s="464">
        <f t="shared" si="127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25"/>
        <v>-2989286897.3048878</v>
      </c>
      <c r="J2073" s="444">
        <f t="array" ref="J2073">IFERROR(INDEX('Retirement Calculator'!K:K,MATCH('Lorri 401b'!N2073,'Retirement Calculator'!A:A,0),0),0)</f>
        <v>0</v>
      </c>
      <c r="K2073" s="444">
        <f t="shared" ca="1" si="123"/>
        <v>-12455362.0721037</v>
      </c>
      <c r="L2073" s="444">
        <f t="shared" ca="1" si="124"/>
        <v>-3001742259.3769913</v>
      </c>
      <c r="M2073" s="460">
        <f t="shared" si="126"/>
        <v>0.05</v>
      </c>
      <c r="N2073" s="464">
        <f t="shared" si="127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25"/>
        <v>-3001742259.3769913</v>
      </c>
      <c r="J2074" s="444">
        <f t="array" ref="J2074">IFERROR(INDEX('Retirement Calculator'!K:K,MATCH('Lorri 401b'!N2074,'Retirement Calculator'!A:A,0),0),0)</f>
        <v>0</v>
      </c>
      <c r="K2074" s="444">
        <f t="shared" ca="1" si="123"/>
        <v>-12507259.414070796</v>
      </c>
      <c r="L2074" s="444">
        <f t="shared" ca="1" si="124"/>
        <v>-3014249518.7910619</v>
      </c>
      <c r="M2074" s="460">
        <f t="shared" si="126"/>
        <v>0.05</v>
      </c>
      <c r="N2074" s="464">
        <f t="shared" si="127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25"/>
        <v>-3014249518.7910619</v>
      </c>
      <c r="J2075" s="444">
        <f t="array" ref="J2075">IFERROR(INDEX('Retirement Calculator'!K:K,MATCH('Lorri 401b'!N2075,'Retirement Calculator'!A:A,0),0),0)</f>
        <v>0</v>
      </c>
      <c r="K2075" s="444">
        <f t="shared" ca="1" si="123"/>
        <v>-12559372.994962757</v>
      </c>
      <c r="L2075" s="444">
        <f t="shared" ca="1" si="124"/>
        <v>-3026808891.7860246</v>
      </c>
      <c r="M2075" s="460">
        <f t="shared" si="126"/>
        <v>0.05</v>
      </c>
      <c r="N2075" s="464">
        <f t="shared" si="127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25"/>
        <v>-3026808891.7860246</v>
      </c>
      <c r="J2076" s="444">
        <f t="array" ref="J2076">IFERROR(INDEX('Retirement Calculator'!K:K,MATCH('Lorri 401b'!N2076,'Retirement Calculator'!A:A,0),0),0)</f>
        <v>0</v>
      </c>
      <c r="K2076" s="444">
        <f t="shared" ca="1" si="123"/>
        <v>-12611703.715775102</v>
      </c>
      <c r="L2076" s="444">
        <f t="shared" ca="1" si="124"/>
        <v>-3039420595.5017996</v>
      </c>
      <c r="M2076" s="460">
        <f t="shared" si="126"/>
        <v>0.05</v>
      </c>
      <c r="N2076" s="464">
        <f t="shared" si="127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25"/>
        <v>-3039420595.5017996</v>
      </c>
      <c r="J2077" s="444">
        <f t="array" ref="J2077">IFERROR(INDEX('Retirement Calculator'!K:K,MATCH('Lorri 401b'!N2077,'Retirement Calculator'!A:A,0),0),0)</f>
        <v>0</v>
      </c>
      <c r="K2077" s="444">
        <f t="shared" ca="1" si="123"/>
        <v>-12664252.481257498</v>
      </c>
      <c r="L2077" s="444">
        <f t="shared" ca="1" si="124"/>
        <v>-3052084847.983057</v>
      </c>
      <c r="M2077" s="460">
        <f t="shared" si="126"/>
        <v>0.05</v>
      </c>
      <c r="N2077" s="464">
        <f t="shared" si="127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25"/>
        <v>-3052084847.983057</v>
      </c>
      <c r="J2078" s="444">
        <f t="array" ref="J2078">IFERROR(INDEX('Retirement Calculator'!K:K,MATCH('Lorri 401b'!N2078,'Retirement Calculator'!A:A,0),0),0)</f>
        <v>0</v>
      </c>
      <c r="K2078" s="444">
        <f t="shared" ca="1" si="123"/>
        <v>-12717020.199929405</v>
      </c>
      <c r="L2078" s="444">
        <f t="shared" ca="1" si="124"/>
        <v>-3064801868.1829863</v>
      </c>
      <c r="M2078" s="460">
        <f t="shared" si="126"/>
        <v>0.05</v>
      </c>
      <c r="N2078" s="464">
        <f t="shared" si="127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25"/>
        <v>-3064801868.1829863</v>
      </c>
      <c r="J2079" s="444">
        <f t="array" ref="J2079">IFERROR(INDEX('Retirement Calculator'!K:K,MATCH('Lorri 401b'!N2079,'Retirement Calculator'!A:A,0),0),0)</f>
        <v>0</v>
      </c>
      <c r="K2079" s="444">
        <f t="shared" ca="1" si="123"/>
        <v>-12770007.784095775</v>
      </c>
      <c r="L2079" s="444">
        <f t="shared" ca="1" si="124"/>
        <v>-3077571875.967082</v>
      </c>
      <c r="M2079" s="460">
        <f t="shared" si="126"/>
        <v>0.05</v>
      </c>
      <c r="N2079" s="464">
        <f t="shared" si="127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25"/>
        <v>-3077571875.967082</v>
      </c>
      <c r="J2080" s="444">
        <f t="array" ref="J2080">IFERROR(INDEX('Retirement Calculator'!K:K,MATCH('Lorri 401b'!N2080,'Retirement Calculator'!A:A,0),0),0)</f>
        <v>0</v>
      </c>
      <c r="K2080" s="444">
        <f t="shared" ca="1" si="123"/>
        <v>-12823216.149862841</v>
      </c>
      <c r="L2080" s="444">
        <f t="shared" ca="1" si="124"/>
        <v>-3090395092.1169448</v>
      </c>
      <c r="M2080" s="460">
        <f t="shared" si="126"/>
        <v>0.05</v>
      </c>
      <c r="N2080" s="464">
        <f t="shared" si="127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25"/>
        <v>-3090395092.1169448</v>
      </c>
      <c r="J2081" s="444">
        <f t="array" ref="J2081">IFERROR(INDEX('Retirement Calculator'!K:K,MATCH('Lorri 401b'!N2081,'Retirement Calculator'!A:A,0),0),0)</f>
        <v>0</v>
      </c>
      <c r="K2081" s="444">
        <f t="shared" ca="1" si="123"/>
        <v>-12876646.217153937</v>
      </c>
      <c r="L2081" s="444">
        <f t="shared" ca="1" si="124"/>
        <v>-3103271738.3340988</v>
      </c>
      <c r="M2081" s="460">
        <f t="shared" si="126"/>
        <v>0.05</v>
      </c>
      <c r="N2081" s="464">
        <f t="shared" si="127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25"/>
        <v>-3103271738.3340988</v>
      </c>
      <c r="J2082" s="444">
        <f t="array" ref="J2082">IFERROR(INDEX('Retirement Calculator'!K:K,MATCH('Lorri 401b'!N2082,'Retirement Calculator'!A:A,0),0),0)</f>
        <v>0</v>
      </c>
      <c r="K2082" s="444">
        <f t="shared" ca="1" si="123"/>
        <v>-12930298.909725411</v>
      </c>
      <c r="L2082" s="444">
        <f t="shared" ca="1" si="124"/>
        <v>-3116202037.243824</v>
      </c>
      <c r="M2082" s="460">
        <f t="shared" si="126"/>
        <v>0.05</v>
      </c>
      <c r="N2082" s="464">
        <f t="shared" si="127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25"/>
        <v>-3116202037.243824</v>
      </c>
      <c r="J2083" s="444">
        <f t="array" ref="J2083">IFERROR(INDEX('Retirement Calculator'!K:K,MATCH('Lorri 401b'!N2083,'Retirement Calculator'!A:A,0),0),0)</f>
        <v>0</v>
      </c>
      <c r="K2083" s="444">
        <f t="shared" ca="1" si="123"/>
        <v>-12984175.1551826</v>
      </c>
      <c r="L2083" s="444">
        <f t="shared" ca="1" si="124"/>
        <v>-3129186212.3990068</v>
      </c>
      <c r="M2083" s="460">
        <f t="shared" si="126"/>
        <v>0.05</v>
      </c>
      <c r="N2083" s="464">
        <f t="shared" si="127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25"/>
        <v>-3129186212.3990068</v>
      </c>
      <c r="J2084" s="444">
        <f t="array" ref="J2084">IFERROR(INDEX('Retirement Calculator'!K:K,MATCH('Lorri 401b'!N2084,'Retirement Calculator'!A:A,0),0),0)</f>
        <v>0</v>
      </c>
      <c r="K2084" s="444">
        <f t="shared" ca="1" si="123"/>
        <v>-13038275.884995861</v>
      </c>
      <c r="L2084" s="444">
        <f t="shared" ca="1" si="124"/>
        <v>-3142224488.2840028</v>
      </c>
      <c r="M2084" s="460">
        <f t="shared" si="126"/>
        <v>0.05</v>
      </c>
      <c r="N2084" s="464">
        <f t="shared" si="127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25"/>
        <v>-3142224488.2840028</v>
      </c>
      <c r="J2085" s="444">
        <f t="array" ref="J2085">IFERROR(INDEX('Retirement Calculator'!K:K,MATCH('Lorri 401b'!N2085,'Retirement Calculator'!A:A,0),0),0)</f>
        <v>0</v>
      </c>
      <c r="K2085" s="444">
        <f t="shared" ca="1" si="123"/>
        <v>-13092602.034516677</v>
      </c>
      <c r="L2085" s="444">
        <f t="shared" ca="1" si="124"/>
        <v>-3155317090.3185196</v>
      </c>
      <c r="M2085" s="460">
        <f t="shared" si="126"/>
        <v>0.05</v>
      </c>
      <c r="N2085" s="464">
        <f t="shared" si="127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25"/>
        <v>-3155317090.3185196</v>
      </c>
      <c r="J2086" s="444">
        <f t="array" ref="J2086">IFERROR(INDEX('Retirement Calculator'!K:K,MATCH('Lorri 401b'!N2086,'Retirement Calculator'!A:A,0),0),0)</f>
        <v>0</v>
      </c>
      <c r="K2086" s="444">
        <f t="shared" ca="1" si="123"/>
        <v>-13147154.542993832</v>
      </c>
      <c r="L2086" s="444">
        <f t="shared" ca="1" si="124"/>
        <v>-3168464244.8615136</v>
      </c>
      <c r="M2086" s="460">
        <f t="shared" si="126"/>
        <v>0.05</v>
      </c>
      <c r="N2086" s="464">
        <f t="shared" si="127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25"/>
        <v>-3168464244.8615136</v>
      </c>
      <c r="J2087" s="444">
        <f t="array" ref="J2087">IFERROR(INDEX('Retirement Calculator'!K:K,MATCH('Lorri 401b'!N2087,'Retirement Calculator'!A:A,0),0),0)</f>
        <v>0</v>
      </c>
      <c r="K2087" s="444">
        <f t="shared" ca="1" si="123"/>
        <v>-13201934.353589639</v>
      </c>
      <c r="L2087" s="444">
        <f t="shared" ca="1" si="124"/>
        <v>-3181666179.2151031</v>
      </c>
      <c r="M2087" s="460">
        <f t="shared" si="126"/>
        <v>0.05</v>
      </c>
      <c r="N2087" s="464">
        <f t="shared" si="127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25"/>
        <v>-3181666179.2151031</v>
      </c>
      <c r="J2088" s="444">
        <f t="array" ref="J2088">IFERROR(INDEX('Retirement Calculator'!K:K,MATCH('Lorri 401b'!N2088,'Retirement Calculator'!A:A,0),0),0)</f>
        <v>0</v>
      </c>
      <c r="K2088" s="444">
        <f t="shared" ca="1" si="123"/>
        <v>-13256942.413396263</v>
      </c>
      <c r="L2088" s="444">
        <f t="shared" ca="1" si="124"/>
        <v>-3194923121.6284995</v>
      </c>
      <c r="M2088" s="460">
        <f t="shared" si="126"/>
        <v>0.05</v>
      </c>
      <c r="N2088" s="464">
        <f t="shared" si="127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25"/>
        <v>-3194923121.6284995</v>
      </c>
      <c r="J2089" s="444">
        <f t="array" ref="J2089">IFERROR(INDEX('Retirement Calculator'!K:K,MATCH('Lorri 401b'!N2089,'Retirement Calculator'!A:A,0),0),0)</f>
        <v>0</v>
      </c>
      <c r="K2089" s="444">
        <f t="shared" ca="1" si="123"/>
        <v>-13312179.673452081</v>
      </c>
      <c r="L2089" s="444">
        <f t="shared" ca="1" si="124"/>
        <v>-3208235301.3019514</v>
      </c>
      <c r="M2089" s="460">
        <f t="shared" si="126"/>
        <v>0.05</v>
      </c>
      <c r="N2089" s="464">
        <f t="shared" si="127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25"/>
        <v>-3208235301.3019514</v>
      </c>
      <c r="J2090" s="444">
        <f t="array" ref="J2090">IFERROR(INDEX('Retirement Calculator'!K:K,MATCH('Lorri 401b'!N2090,'Retirement Calculator'!A:A,0),0),0)</f>
        <v>0</v>
      </c>
      <c r="K2090" s="444">
        <f t="shared" ca="1" si="123"/>
        <v>-13367647.088758131</v>
      </c>
      <c r="L2090" s="444">
        <f t="shared" ca="1" si="124"/>
        <v>-3221602948.3907094</v>
      </c>
      <c r="M2090" s="460">
        <f t="shared" si="126"/>
        <v>0.05</v>
      </c>
      <c r="N2090" s="464">
        <f t="shared" si="127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25"/>
        <v>-3221602948.3907094</v>
      </c>
      <c r="J2091" s="444">
        <f t="array" ref="J2091">IFERROR(INDEX('Retirement Calculator'!K:K,MATCH('Lorri 401b'!N2091,'Retirement Calculator'!A:A,0),0),0)</f>
        <v>0</v>
      </c>
      <c r="K2091" s="444">
        <f t="shared" ca="1" si="123"/>
        <v>-13423345.618294623</v>
      </c>
      <c r="L2091" s="444">
        <f t="shared" ca="1" si="124"/>
        <v>-3235026294.0090041</v>
      </c>
      <c r="M2091" s="460">
        <f t="shared" si="126"/>
        <v>0.05</v>
      </c>
      <c r="N2091" s="464">
        <f t="shared" si="127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25"/>
        <v>-3235026294.0090041</v>
      </c>
      <c r="J2092" s="444">
        <f t="array" ref="J2092">IFERROR(INDEX('Retirement Calculator'!K:K,MATCH('Lorri 401b'!N2092,'Retirement Calculator'!A:A,0),0),0)</f>
        <v>0</v>
      </c>
      <c r="K2092" s="444">
        <f t="shared" ca="1" si="123"/>
        <v>-13479276.225037517</v>
      </c>
      <c r="L2092" s="444">
        <f t="shared" ca="1" si="124"/>
        <v>-3248505570.2340417</v>
      </c>
      <c r="M2092" s="460">
        <f t="shared" si="126"/>
        <v>0.05</v>
      </c>
      <c r="N2092" s="464">
        <f t="shared" si="127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25"/>
        <v>-3248505570.2340417</v>
      </c>
      <c r="J2093" s="444">
        <f t="array" ref="J2093">IFERROR(INDEX('Retirement Calculator'!K:K,MATCH('Lorri 401b'!N2093,'Retirement Calculator'!A:A,0),0),0)</f>
        <v>0</v>
      </c>
      <c r="K2093" s="444">
        <f t="shared" ca="1" si="123"/>
        <v>-13535439.875975173</v>
      </c>
      <c r="L2093" s="444">
        <f t="shared" ca="1" si="124"/>
        <v>-3262041010.1100168</v>
      </c>
      <c r="M2093" s="460">
        <f t="shared" si="126"/>
        <v>0.05</v>
      </c>
      <c r="N2093" s="464">
        <f t="shared" si="127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25"/>
        <v>-3262041010.1100168</v>
      </c>
      <c r="J2094" s="444">
        <f t="array" ref="J2094">IFERROR(INDEX('Retirement Calculator'!K:K,MATCH('Lorri 401b'!N2094,'Retirement Calculator'!A:A,0),0),0)</f>
        <v>0</v>
      </c>
      <c r="K2094" s="444">
        <f t="shared" ca="1" si="123"/>
        <v>-13591837.54212507</v>
      </c>
      <c r="L2094" s="444">
        <f t="shared" ca="1" si="124"/>
        <v>-3275632847.652142</v>
      </c>
      <c r="M2094" s="460">
        <f t="shared" si="126"/>
        <v>0.05</v>
      </c>
      <c r="N2094" s="464">
        <f t="shared" si="127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25"/>
        <v>-3275632847.652142</v>
      </c>
      <c r="J2095" s="444">
        <f t="array" ref="J2095">IFERROR(INDEX('Retirement Calculator'!K:K,MATCH('Lorri 401b'!N2095,'Retirement Calculator'!A:A,0),0),0)</f>
        <v>0</v>
      </c>
      <c r="K2095" s="444">
        <f t="shared" ca="1" si="123"/>
        <v>-13648470.198550591</v>
      </c>
      <c r="L2095" s="444">
        <f t="shared" ca="1" si="124"/>
        <v>-3289281317.8506927</v>
      </c>
      <c r="M2095" s="460">
        <f t="shared" si="126"/>
        <v>0.05</v>
      </c>
      <c r="N2095" s="464">
        <f t="shared" si="127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25"/>
        <v>-3289281317.8506927</v>
      </c>
      <c r="J2096" s="444">
        <f t="array" ref="J2096">IFERROR(INDEX('Retirement Calculator'!K:K,MATCH('Lorri 401b'!N2096,'Retirement Calculator'!A:A,0),0),0)</f>
        <v>0</v>
      </c>
      <c r="K2096" s="444">
        <f t="shared" ca="1" si="123"/>
        <v>-13705338.824377887</v>
      </c>
      <c r="L2096" s="444">
        <f t="shared" ca="1" si="124"/>
        <v>-3302986656.6750708</v>
      </c>
      <c r="M2096" s="460">
        <f t="shared" si="126"/>
        <v>0.05</v>
      </c>
      <c r="N2096" s="464">
        <f t="shared" si="127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25"/>
        <v>-3302986656.6750708</v>
      </c>
      <c r="J2097" s="444">
        <f t="array" ref="J2097">IFERROR(INDEX('Retirement Calculator'!K:K,MATCH('Lorri 401b'!N2097,'Retirement Calculator'!A:A,0),0),0)</f>
        <v>0</v>
      </c>
      <c r="K2097" s="444">
        <f t="shared" ca="1" si="123"/>
        <v>-13762444.402812794</v>
      </c>
      <c r="L2097" s="444">
        <f t="shared" ca="1" si="124"/>
        <v>-3316749101.0778837</v>
      </c>
      <c r="M2097" s="460">
        <f t="shared" si="126"/>
        <v>0.05</v>
      </c>
      <c r="N2097" s="464">
        <f t="shared" si="127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25"/>
        <v>-3316749101.0778837</v>
      </c>
      <c r="J2098" s="444">
        <f t="array" ref="J2098">IFERROR(INDEX('Retirement Calculator'!K:K,MATCH('Lorri 401b'!N2098,'Retirement Calculator'!A:A,0),0),0)</f>
        <v>0</v>
      </c>
      <c r="K2098" s="444">
        <f t="shared" ca="1" si="123"/>
        <v>-13819787.921157848</v>
      </c>
      <c r="L2098" s="444">
        <f t="shared" ca="1" si="124"/>
        <v>-3330568888.9990416</v>
      </c>
      <c r="M2098" s="460">
        <f t="shared" si="126"/>
        <v>0.05</v>
      </c>
      <c r="N2098" s="464">
        <f t="shared" si="127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25"/>
        <v>-3330568888.9990416</v>
      </c>
      <c r="J2099" s="444">
        <f t="array" ref="J2099">IFERROR(INDEX('Retirement Calculator'!K:K,MATCH('Lorri 401b'!N2099,'Retirement Calculator'!A:A,0),0),0)</f>
        <v>0</v>
      </c>
      <c r="K2099" s="444">
        <f t="shared" ca="1" si="123"/>
        <v>-13877370.37082934</v>
      </c>
      <c r="L2099" s="444">
        <f t="shared" ca="1" si="124"/>
        <v>-3344446259.3698707</v>
      </c>
      <c r="M2099" s="460">
        <f t="shared" si="126"/>
        <v>0.05</v>
      </c>
      <c r="N2099" s="464">
        <f t="shared" si="127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25"/>
        <v>-3344446259.3698707</v>
      </c>
      <c r="J2100" s="444">
        <f t="array" ref="J2100">IFERROR(INDEX('Retirement Calculator'!K:K,MATCH('Lorri 401b'!N2100,'Retirement Calculator'!A:A,0),0),0)</f>
        <v>0</v>
      </c>
      <c r="K2100" s="444">
        <f t="shared" ca="1" si="123"/>
        <v>-13935192.74737446</v>
      </c>
      <c r="L2100" s="444">
        <f t="shared" ca="1" si="124"/>
        <v>-3358381452.1172452</v>
      </c>
      <c r="M2100" s="460">
        <f t="shared" si="126"/>
        <v>0.05</v>
      </c>
      <c r="N2100" s="464">
        <f t="shared" si="127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25"/>
        <v>-3358381452.1172452</v>
      </c>
      <c r="J2101" s="444">
        <f t="array" ref="J2101">IFERROR(INDEX('Retirement Calculator'!K:K,MATCH('Lorri 401b'!N2101,'Retirement Calculator'!A:A,0),0),0)</f>
        <v>0</v>
      </c>
      <c r="K2101" s="444">
        <f t="shared" ca="1" si="123"/>
        <v>-13993256.050488519</v>
      </c>
      <c r="L2101" s="444">
        <f t="shared" ca="1" si="124"/>
        <v>-3372374708.1677337</v>
      </c>
      <c r="M2101" s="460">
        <f t="shared" si="126"/>
        <v>0.05</v>
      </c>
      <c r="N2101" s="464">
        <f t="shared" si="127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25"/>
        <v>-3372374708.1677337</v>
      </c>
      <c r="J2102" s="444">
        <f t="array" ref="J2102">IFERROR(INDEX('Retirement Calculator'!K:K,MATCH('Lorri 401b'!N2102,'Retirement Calculator'!A:A,0),0),0)</f>
        <v>0</v>
      </c>
      <c r="K2102" s="444">
        <f t="shared" ca="1" si="123"/>
        <v>-14051561.284032224</v>
      </c>
      <c r="L2102" s="444">
        <f t="shared" ca="1" si="124"/>
        <v>-3386426269.451766</v>
      </c>
      <c r="M2102" s="460">
        <f t="shared" si="126"/>
        <v>0.05</v>
      </c>
      <c r="N2102" s="464">
        <f t="shared" si="127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25"/>
        <v>-3386426269.451766</v>
      </c>
      <c r="J2103" s="444">
        <f t="array" ref="J2103">IFERROR(INDEX('Retirement Calculator'!K:K,MATCH('Lorri 401b'!N2103,'Retirement Calculator'!A:A,0),0),0)</f>
        <v>0</v>
      </c>
      <c r="K2103" s="444">
        <f t="shared" ca="1" si="123"/>
        <v>-14110109.456049025</v>
      </c>
      <c r="L2103" s="444">
        <f t="shared" ca="1" si="124"/>
        <v>-3400536378.907815</v>
      </c>
      <c r="M2103" s="460">
        <f t="shared" si="126"/>
        <v>0.05</v>
      </c>
      <c r="N2103" s="464">
        <f t="shared" si="127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25"/>
        <v>-3400536378.907815</v>
      </c>
      <c r="J2104" s="444">
        <f t="array" ref="J2104">IFERROR(INDEX('Retirement Calculator'!K:K,MATCH('Lorri 401b'!N2104,'Retirement Calculator'!A:A,0),0),0)</f>
        <v>0</v>
      </c>
      <c r="K2104" s="444">
        <f t="shared" ca="1" si="123"/>
        <v>-14168901.578782562</v>
      </c>
      <c r="L2104" s="444">
        <f t="shared" ca="1" si="124"/>
        <v>-3414705280.4865975</v>
      </c>
      <c r="M2104" s="460">
        <f t="shared" si="126"/>
        <v>0.05</v>
      </c>
      <c r="N2104" s="464">
        <f t="shared" si="127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25"/>
        <v>-3414705280.4865975</v>
      </c>
      <c r="J2105" s="444">
        <f t="array" ref="J2105">IFERROR(INDEX('Retirement Calculator'!K:K,MATCH('Lorri 401b'!N2105,'Retirement Calculator'!A:A,0),0),0)</f>
        <v>0</v>
      </c>
      <c r="K2105" s="444">
        <f t="shared" ca="1" si="123"/>
        <v>-14227938.668694155</v>
      </c>
      <c r="L2105" s="444">
        <f t="shared" ca="1" si="124"/>
        <v>-3428933219.1552916</v>
      </c>
      <c r="M2105" s="460">
        <f t="shared" si="126"/>
        <v>0.05</v>
      </c>
      <c r="N2105" s="464">
        <f t="shared" si="127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25"/>
        <v>-3428933219.1552916</v>
      </c>
      <c r="J2106" s="444">
        <f t="array" ref="J2106">IFERROR(INDEX('Retirement Calculator'!K:K,MATCH('Lorri 401b'!N2106,'Retirement Calculator'!A:A,0),0),0)</f>
        <v>0</v>
      </c>
      <c r="K2106" s="444">
        <f t="shared" ca="1" si="123"/>
        <v>-14287221.746480379</v>
      </c>
      <c r="L2106" s="444">
        <f t="shared" ca="1" si="124"/>
        <v>-3443220440.901772</v>
      </c>
      <c r="M2106" s="460">
        <f t="shared" si="126"/>
        <v>0.05</v>
      </c>
      <c r="N2106" s="464">
        <f t="shared" si="127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25"/>
        <v>-3443220440.901772</v>
      </c>
      <c r="J2107" s="444">
        <f t="array" ref="J2107">IFERROR(INDEX('Retirement Calculator'!K:K,MATCH('Lorri 401b'!N2107,'Retirement Calculator'!A:A,0),0),0)</f>
        <v>0</v>
      </c>
      <c r="K2107" s="444">
        <f t="shared" ca="1" si="123"/>
        <v>-14346751.837090716</v>
      </c>
      <c r="L2107" s="444">
        <f t="shared" ca="1" si="124"/>
        <v>-3457567192.7388625</v>
      </c>
      <c r="M2107" s="460">
        <f t="shared" si="126"/>
        <v>0.05</v>
      </c>
      <c r="N2107" s="464">
        <f t="shared" si="127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25"/>
        <v>-3457567192.7388625</v>
      </c>
      <c r="J2108" s="444">
        <f t="array" ref="J2108">IFERROR(INDEX('Retirement Calculator'!K:K,MATCH('Lorri 401b'!N2108,'Retirement Calculator'!A:A,0),0),0)</f>
        <v>0</v>
      </c>
      <c r="K2108" s="444">
        <f t="shared" ca="1" si="123"/>
        <v>-14406529.96974526</v>
      </c>
      <c r="L2108" s="444">
        <f t="shared" ca="1" si="124"/>
        <v>-3471973722.7086077</v>
      </c>
      <c r="M2108" s="460">
        <f t="shared" si="126"/>
        <v>0.05</v>
      </c>
      <c r="N2108" s="464">
        <f t="shared" si="127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25"/>
        <v>-3471973722.7086077</v>
      </c>
      <c r="J2109" s="444">
        <f t="array" ref="J2109">IFERROR(INDEX('Retirement Calculator'!K:K,MATCH('Lorri 401b'!N2109,'Retirement Calculator'!A:A,0),0),0)</f>
        <v>0</v>
      </c>
      <c r="K2109" s="444">
        <f t="shared" ca="1" si="123"/>
        <v>-14466557.177952532</v>
      </c>
      <c r="L2109" s="444">
        <f t="shared" ca="1" si="124"/>
        <v>-3486440279.8865604</v>
      </c>
      <c r="M2109" s="460">
        <f t="shared" si="126"/>
        <v>0.05</v>
      </c>
      <c r="N2109" s="464">
        <f t="shared" si="127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25"/>
        <v>-3486440279.8865604</v>
      </c>
      <c r="J2110" s="444">
        <f t="array" ref="J2110">IFERROR(INDEX('Retirement Calculator'!K:K,MATCH('Lorri 401b'!N2110,'Retirement Calculator'!A:A,0),0),0)</f>
        <v>0</v>
      </c>
      <c r="K2110" s="444">
        <f t="shared" ca="1" si="123"/>
        <v>-14526834.499527335</v>
      </c>
      <c r="L2110" s="444">
        <f t="shared" ca="1" si="124"/>
        <v>-3500967114.3860879</v>
      </c>
      <c r="M2110" s="460">
        <f t="shared" si="126"/>
        <v>0.05</v>
      </c>
      <c r="N2110" s="464">
        <f t="shared" si="127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25"/>
        <v>-3500967114.3860879</v>
      </c>
      <c r="J2111" s="444">
        <f t="array" ref="J2111">IFERROR(INDEX('Retirement Calculator'!K:K,MATCH('Lorri 401b'!N2111,'Retirement Calculator'!A:A,0),0),0)</f>
        <v>0</v>
      </c>
      <c r="K2111" s="444">
        <f t="shared" ca="1" si="123"/>
        <v>-14587362.976608697</v>
      </c>
      <c r="L2111" s="444">
        <f t="shared" ca="1" si="124"/>
        <v>-3515554477.3626966</v>
      </c>
      <c r="M2111" s="460">
        <f t="shared" si="126"/>
        <v>0.05</v>
      </c>
      <c r="N2111" s="464">
        <f t="shared" si="127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25"/>
        <v>-3515554477.3626966</v>
      </c>
      <c r="J2112" s="444">
        <f t="array" ref="J2112">IFERROR(INDEX('Retirement Calculator'!K:K,MATCH('Lorri 401b'!N2112,'Retirement Calculator'!A:A,0),0),0)</f>
        <v>0</v>
      </c>
      <c r="K2112" s="444">
        <f t="shared" ca="1" si="123"/>
        <v>-14648143.655677902</v>
      </c>
      <c r="L2112" s="444">
        <f t="shared" ca="1" si="124"/>
        <v>-3530202621.0183744</v>
      </c>
      <c r="M2112" s="460">
        <f t="shared" si="126"/>
        <v>0.05</v>
      </c>
      <c r="N2112" s="464">
        <f t="shared" si="127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25"/>
        <v>-3530202621.0183744</v>
      </c>
      <c r="J2113" s="444">
        <f t="array" ref="J2113">IFERROR(INDEX('Retirement Calculator'!K:K,MATCH('Lorri 401b'!N2113,'Retirement Calculator'!A:A,0),0),0)</f>
        <v>0</v>
      </c>
      <c r="K2113" s="444">
        <f t="shared" ca="1" si="123"/>
        <v>-14709177.587576559</v>
      </c>
      <c r="L2113" s="444">
        <f t="shared" ca="1" si="124"/>
        <v>-3544911798.6059508</v>
      </c>
      <c r="M2113" s="460">
        <f t="shared" si="126"/>
        <v>0.05</v>
      </c>
      <c r="N2113" s="464">
        <f t="shared" si="127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25"/>
        <v>-3544911798.6059508</v>
      </c>
      <c r="J2114" s="444">
        <f t="array" ref="J2114">IFERROR(INDEX('Retirement Calculator'!K:K,MATCH('Lorri 401b'!N2114,'Retirement Calculator'!A:A,0),0),0)</f>
        <v>0</v>
      </c>
      <c r="K2114" s="444">
        <f t="shared" ca="1" si="123"/>
        <v>-14770465.827524796</v>
      </c>
      <c r="L2114" s="444">
        <f t="shared" ca="1" si="124"/>
        <v>-3559682264.4334755</v>
      </c>
      <c r="M2114" s="460">
        <f t="shared" si="126"/>
        <v>0.05</v>
      </c>
      <c r="N2114" s="464">
        <f t="shared" si="127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25"/>
        <v>-3559682264.4334755</v>
      </c>
      <c r="J2115" s="444">
        <f t="array" ref="J2115">IFERROR(INDEX('Retirement Calculator'!K:K,MATCH('Lorri 401b'!N2115,'Retirement Calculator'!A:A,0),0),0)</f>
        <v>0</v>
      </c>
      <c r="K2115" s="444">
        <f t="shared" ca="1" si="123"/>
        <v>-14832009.435139481</v>
      </c>
      <c r="L2115" s="444">
        <f t="shared" ca="1" si="124"/>
        <v>-3574514273.8686152</v>
      </c>
      <c r="M2115" s="460">
        <f t="shared" si="126"/>
        <v>0.05</v>
      </c>
      <c r="N2115" s="464">
        <f t="shared" si="127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25"/>
        <v>-3574514273.8686152</v>
      </c>
      <c r="J2116" s="444">
        <f t="array" ref="J2116">IFERROR(INDEX('Retirement Calculator'!K:K,MATCH('Lorri 401b'!N2116,'Retirement Calculator'!A:A,0),0),0)</f>
        <v>0</v>
      </c>
      <c r="K2116" s="444">
        <f t="shared" ca="1" si="123"/>
        <v>-14893809.474452563</v>
      </c>
      <c r="L2116" s="444">
        <f t="shared" ca="1" si="124"/>
        <v>-3589408083.3430676</v>
      </c>
      <c r="M2116" s="460">
        <f t="shared" si="126"/>
        <v>0.05</v>
      </c>
      <c r="N2116" s="464">
        <f t="shared" si="127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25"/>
        <v>-3589408083.3430676</v>
      </c>
      <c r="J2117" s="444">
        <f t="array" ref="J2117">IFERROR(INDEX('Retirement Calculator'!K:K,MATCH('Lorri 401b'!N2117,'Retirement Calculator'!A:A,0),0),0)</f>
        <v>0</v>
      </c>
      <c r="K2117" s="444">
        <f t="shared" ca="1" si="123"/>
        <v>-14955867.013929449</v>
      </c>
      <c r="L2117" s="444">
        <f t="shared" ca="1" si="124"/>
        <v>-3604363950.356997</v>
      </c>
      <c r="M2117" s="460">
        <f t="shared" si="126"/>
        <v>0.05</v>
      </c>
      <c r="N2117" s="464">
        <f t="shared" si="127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25"/>
        <v>-3604363950.356997</v>
      </c>
      <c r="J2118" s="444">
        <f t="array" ref="J2118">IFERROR(INDEX('Retirement Calculator'!K:K,MATCH('Lorri 401b'!N2118,'Retirement Calculator'!A:A,0),0),0)</f>
        <v>0</v>
      </c>
      <c r="K2118" s="444">
        <f t="shared" ca="1" si="123"/>
        <v>-15018183.126487488</v>
      </c>
      <c r="L2118" s="444">
        <f t="shared" ca="1" si="124"/>
        <v>-3619382133.4834843</v>
      </c>
      <c r="M2118" s="460">
        <f t="shared" si="126"/>
        <v>0.05</v>
      </c>
      <c r="N2118" s="464">
        <f t="shared" si="127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25"/>
        <v>-3619382133.4834843</v>
      </c>
      <c r="J2119" s="444">
        <f t="array" ref="J2119">IFERROR(INDEX('Retirement Calculator'!K:K,MATCH('Lorri 401b'!N2119,'Retirement Calculator'!A:A,0),0),0)</f>
        <v>0</v>
      </c>
      <c r="K2119" s="444">
        <f t="shared" ca="1" si="123"/>
        <v>-15080758.889514517</v>
      </c>
      <c r="L2119" s="444">
        <f t="shared" ca="1" si="124"/>
        <v>-3634462892.3729987</v>
      </c>
      <c r="M2119" s="460">
        <f t="shared" si="126"/>
        <v>0.05</v>
      </c>
      <c r="N2119" s="464">
        <f t="shared" si="127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25"/>
        <v>-3634462892.3729987</v>
      </c>
      <c r="J2120" s="444">
        <f t="array" ref="J2120">IFERROR(INDEX('Retirement Calculator'!K:K,MATCH('Lorri 401b'!N2120,'Retirement Calculator'!A:A,0),0),0)</f>
        <v>0</v>
      </c>
      <c r="K2120" s="444">
        <f t="shared" ca="1" si="123"/>
        <v>-15143595.384887494</v>
      </c>
      <c r="L2120" s="444">
        <f t="shared" ca="1" si="124"/>
        <v>-3649606487.7578864</v>
      </c>
      <c r="M2120" s="460">
        <f t="shared" si="126"/>
        <v>0.05</v>
      </c>
      <c r="N2120" s="464">
        <f t="shared" si="127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25"/>
        <v>-3649606487.7578864</v>
      </c>
      <c r="J2121" s="444">
        <f t="array" ref="J2121">IFERROR(INDEX('Retirement Calculator'!K:K,MATCH('Lorri 401b'!N2121,'Retirement Calculator'!A:A,0),0),0)</f>
        <v>0</v>
      </c>
      <c r="K2121" s="444">
        <f t="shared" ca="1" si="123"/>
        <v>-15206693.698991193</v>
      </c>
      <c r="L2121" s="444">
        <f t="shared" ca="1" si="124"/>
        <v>-3664813181.4568777</v>
      </c>
      <c r="M2121" s="460">
        <f t="shared" si="126"/>
        <v>0.05</v>
      </c>
      <c r="N2121" s="464">
        <f t="shared" si="127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25"/>
        <v>-3664813181.4568777</v>
      </c>
      <c r="J2122" s="444">
        <f t="array" ref="J2122">IFERROR(INDEX('Retirement Calculator'!K:K,MATCH('Lorri 401b'!N2122,'Retirement Calculator'!A:A,0),0),0)</f>
        <v>0</v>
      </c>
      <c r="K2122" s="444">
        <f t="shared" ca="1" si="123"/>
        <v>-15270054.922736989</v>
      </c>
      <c r="L2122" s="444">
        <f t="shared" ca="1" si="124"/>
        <v>-3680083236.3796148</v>
      </c>
      <c r="M2122" s="460">
        <f t="shared" si="126"/>
        <v>0.05</v>
      </c>
      <c r="N2122" s="464">
        <f t="shared" si="127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25"/>
        <v>-3680083236.3796148</v>
      </c>
      <c r="J2123" s="444">
        <f t="array" ref="J2123">IFERROR(INDEX('Retirement Calculator'!K:K,MATCH('Lorri 401b'!N2123,'Retirement Calculator'!A:A,0),0),0)</f>
        <v>0</v>
      </c>
      <c r="K2123" s="444">
        <f t="shared" ca="1" si="123"/>
        <v>-15333680.151581731</v>
      </c>
      <c r="L2123" s="444">
        <f t="shared" ca="1" si="124"/>
        <v>-3695416916.5311966</v>
      </c>
      <c r="M2123" s="460">
        <f t="shared" si="126"/>
        <v>0.05</v>
      </c>
      <c r="N2123" s="464">
        <f t="shared" si="127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25"/>
        <v>-3695416916.5311966</v>
      </c>
      <c r="J2124" s="444">
        <f t="array" ref="J2124">IFERROR(INDEX('Retirement Calculator'!K:K,MATCH('Lorri 401b'!N2124,'Retirement Calculator'!A:A,0),0),0)</f>
        <v>0</v>
      </c>
      <c r="K2124" s="444">
        <f t="shared" ca="1" si="123"/>
        <v>-15397570.485546654</v>
      </c>
      <c r="L2124" s="444">
        <f t="shared" ca="1" si="124"/>
        <v>-3710814487.0167432</v>
      </c>
      <c r="M2124" s="460">
        <f t="shared" si="126"/>
        <v>0.05</v>
      </c>
      <c r="N2124" s="464">
        <f t="shared" si="127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25"/>
        <v>-3710814487.0167432</v>
      </c>
      <c r="J2125" s="444">
        <f t="array" ref="J2125">IFERROR(INDEX('Retirement Calculator'!K:K,MATCH('Lorri 401b'!N2125,'Retirement Calculator'!A:A,0),0),0)</f>
        <v>0</v>
      </c>
      <c r="K2125" s="444">
        <f t="shared" ca="1" si="123"/>
        <v>-15461727.029236432</v>
      </c>
      <c r="L2125" s="444">
        <f t="shared" ca="1" si="124"/>
        <v>-3726276214.0459795</v>
      </c>
      <c r="M2125" s="460">
        <f t="shared" si="126"/>
        <v>0.05</v>
      </c>
      <c r="N2125" s="464">
        <f t="shared" si="127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25"/>
        <v>-3726276214.0459795</v>
      </c>
      <c r="J2126" s="444">
        <f t="array" ref="J2126">IFERROR(INDEX('Retirement Calculator'!K:K,MATCH('Lorri 401b'!N2126,'Retirement Calculator'!A:A,0),0),0)</f>
        <v>0</v>
      </c>
      <c r="K2126" s="444">
        <f t="shared" ca="1" si="123"/>
        <v>-15526150.891858248</v>
      </c>
      <c r="L2126" s="444">
        <f t="shared" ca="1" si="124"/>
        <v>-3741802364.9378376</v>
      </c>
      <c r="M2126" s="460">
        <f t="shared" si="126"/>
        <v>0.05</v>
      </c>
      <c r="N2126" s="464">
        <f t="shared" si="127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25"/>
        <v>-3741802364.9378376</v>
      </c>
      <c r="J2127" s="444">
        <f t="array" ref="J2127">IFERROR(INDEX('Retirement Calculator'!K:K,MATCH('Lorri 401b'!N2127,'Retirement Calculator'!A:A,0),0),0)</f>
        <v>0</v>
      </c>
      <c r="K2127" s="444">
        <f t="shared" ca="1" si="123"/>
        <v>-15590843.18724099</v>
      </c>
      <c r="L2127" s="444">
        <f t="shared" ca="1" si="124"/>
        <v>-3757393208.1250787</v>
      </c>
      <c r="M2127" s="460">
        <f t="shared" si="126"/>
        <v>0.05</v>
      </c>
      <c r="N2127" s="464">
        <f t="shared" si="127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25"/>
        <v>-3757393208.1250787</v>
      </c>
      <c r="J2128" s="444">
        <f t="array" ref="J2128">IFERROR(INDEX('Retirement Calculator'!K:K,MATCH('Lorri 401b'!N2128,'Retirement Calculator'!A:A,0),0),0)</f>
        <v>0</v>
      </c>
      <c r="K2128" s="444">
        <f t="shared" ca="1" si="123"/>
        <v>-15655805.033854494</v>
      </c>
      <c r="L2128" s="444">
        <f t="shared" ca="1" si="124"/>
        <v>-3773049013.1589332</v>
      </c>
      <c r="M2128" s="460">
        <f t="shared" si="126"/>
        <v>0.05</v>
      </c>
      <c r="N2128" s="464">
        <f t="shared" si="127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25"/>
        <v>-3773049013.1589332</v>
      </c>
      <c r="J2129" s="444">
        <f t="array" ref="J2129">IFERROR(INDEX('Retirement Calculator'!K:K,MATCH('Lorri 401b'!N2129,'Retirement Calculator'!A:A,0),0),0)</f>
        <v>0</v>
      </c>
      <c r="K2129" s="444">
        <f t="shared" ca="1" si="123"/>
        <v>-15721037.55482889</v>
      </c>
      <c r="L2129" s="444">
        <f t="shared" ca="1" si="124"/>
        <v>-3788770050.7137623</v>
      </c>
      <c r="M2129" s="460">
        <f t="shared" si="126"/>
        <v>0.05</v>
      </c>
      <c r="N2129" s="464">
        <f t="shared" si="127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25"/>
        <v>-3788770050.7137623</v>
      </c>
      <c r="J2130" s="444">
        <f t="array" ref="J2130">IFERROR(INDEX('Retirement Calculator'!K:K,MATCH('Lorri 401b'!N2130,'Retirement Calculator'!A:A,0),0),0)</f>
        <v>0</v>
      </c>
      <c r="K2130" s="444">
        <f t="shared" ca="1" si="123"/>
        <v>-15786541.877974011</v>
      </c>
      <c r="L2130" s="444">
        <f t="shared" ca="1" si="124"/>
        <v>-3804556592.5917363</v>
      </c>
      <c r="M2130" s="460">
        <f t="shared" si="126"/>
        <v>0.05</v>
      </c>
      <c r="N2130" s="464">
        <f t="shared" si="127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25"/>
        <v>-3804556592.5917363</v>
      </c>
      <c r="J2131" s="444">
        <f t="array" ref="J2131">IFERROR(INDEX('Retirement Calculator'!K:K,MATCH('Lorri 401b'!N2131,'Retirement Calculator'!A:A,0),0),0)</f>
        <v>0</v>
      </c>
      <c r="K2131" s="444">
        <f t="shared" ca="1" si="123"/>
        <v>-15852319.135798899</v>
      </c>
      <c r="L2131" s="444">
        <f t="shared" ca="1" si="124"/>
        <v>-3820408911.7275352</v>
      </c>
      <c r="M2131" s="460">
        <f t="shared" si="126"/>
        <v>0.05</v>
      </c>
      <c r="N2131" s="464">
        <f t="shared" si="127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25"/>
        <v>-3820408911.7275352</v>
      </c>
      <c r="J2132" s="444">
        <f t="array" ref="J2132">IFERROR(INDEX('Retirement Calculator'!K:K,MATCH('Lorri 401b'!N2132,'Retirement Calculator'!A:A,0),0),0)</f>
        <v>0</v>
      </c>
      <c r="K2132" s="444">
        <f t="shared" ca="1" si="123"/>
        <v>-15918370.465531396</v>
      </c>
      <c r="L2132" s="444">
        <f t="shared" ca="1" si="124"/>
        <v>-3836327282.1930666</v>
      </c>
      <c r="M2132" s="460">
        <f t="shared" si="126"/>
        <v>0.05</v>
      </c>
      <c r="N2132" s="464">
        <f t="shared" si="127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25"/>
        <v>-3836327282.1930666</v>
      </c>
      <c r="J2133" s="444">
        <f t="array" ref="J2133">IFERROR(INDEX('Retirement Calculator'!K:K,MATCH('Lorri 401b'!N2133,'Retirement Calculator'!A:A,0),0),0)</f>
        <v>0</v>
      </c>
      <c r="K2133" s="444">
        <f t="shared" ca="1" si="123"/>
        <v>-15984697.009137778</v>
      </c>
      <c r="L2133" s="444">
        <f t="shared" ca="1" si="124"/>
        <v>-3852311979.2022042</v>
      </c>
      <c r="M2133" s="460">
        <f t="shared" si="126"/>
        <v>0.05</v>
      </c>
      <c r="N2133" s="464">
        <f t="shared" si="127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25"/>
        <v>-3852311979.2022042</v>
      </c>
      <c r="J2134" s="444">
        <f t="array" ref="J2134">IFERROR(INDEX('Retirement Calculator'!K:K,MATCH('Lorri 401b'!N2134,'Retirement Calculator'!A:A,0),0),0)</f>
        <v>0</v>
      </c>
      <c r="K2134" s="444">
        <f t="shared" ca="1" si="123"/>
        <v>-16051299.913342517</v>
      </c>
      <c r="L2134" s="444">
        <f t="shared" ca="1" si="124"/>
        <v>-3868363279.1155467</v>
      </c>
      <c r="M2134" s="460">
        <f t="shared" si="126"/>
        <v>0.05</v>
      </c>
      <c r="N2134" s="464">
        <f t="shared" si="127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25"/>
        <v>-3868363279.1155467</v>
      </c>
      <c r="J2135" s="444">
        <f t="array" ref="J2135">IFERROR(INDEX('Retirement Calculator'!K:K,MATCH('Lorri 401b'!N2135,'Retirement Calculator'!A:A,0),0),0)</f>
        <v>0</v>
      </c>
      <c r="K2135" s="444">
        <f t="shared" ca="1" si="123"/>
        <v>-16118180.329648111</v>
      </c>
      <c r="L2135" s="444">
        <f t="shared" ca="1" si="124"/>
        <v>-3884481459.4451947</v>
      </c>
      <c r="M2135" s="460">
        <f t="shared" si="126"/>
        <v>0.05</v>
      </c>
      <c r="N2135" s="464">
        <f t="shared" si="127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25"/>
        <v>-3884481459.4451947</v>
      </c>
      <c r="J2136" s="444">
        <f t="array" ref="J2136">IFERROR(INDEX('Retirement Calculator'!K:K,MATCH('Lorri 401b'!N2136,'Retirement Calculator'!A:A,0),0),0)</f>
        <v>0</v>
      </c>
      <c r="K2136" s="444">
        <f t="shared" ca="1" si="123"/>
        <v>-16185339.414354976</v>
      </c>
      <c r="L2136" s="444">
        <f t="shared" ca="1" si="124"/>
        <v>-3900666798.8595495</v>
      </c>
      <c r="M2136" s="460">
        <f t="shared" si="126"/>
        <v>0.05</v>
      </c>
      <c r="N2136" s="464">
        <f t="shared" si="127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25"/>
        <v>-3900666798.8595495</v>
      </c>
      <c r="J2137" s="444">
        <f t="array" ref="J2137">IFERROR(INDEX('Retirement Calculator'!K:K,MATCH('Lorri 401b'!N2137,'Retirement Calculator'!A:A,0),0),0)</f>
        <v>0</v>
      </c>
      <c r="K2137" s="444">
        <f t="shared" ca="1" si="123"/>
        <v>-16252778.328581458</v>
      </c>
      <c r="L2137" s="444">
        <f t="shared" ca="1" si="124"/>
        <v>-3916919577.1881309</v>
      </c>
      <c r="M2137" s="460">
        <f t="shared" si="126"/>
        <v>0.05</v>
      </c>
      <c r="N2137" s="464">
        <f t="shared" si="127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25"/>
        <v>-3916919577.1881309</v>
      </c>
      <c r="J2138" s="444">
        <f t="array" ref="J2138">IFERROR(INDEX('Retirement Calculator'!K:K,MATCH('Lorri 401b'!N2138,'Retirement Calculator'!A:A,0),0),0)</f>
        <v>0</v>
      </c>
      <c r="K2138" s="444">
        <f t="shared" ca="1" si="123"/>
        <v>-16320498.23828388</v>
      </c>
      <c r="L2138" s="444">
        <f t="shared" ca="1" si="124"/>
        <v>-3933240075.426415</v>
      </c>
      <c r="M2138" s="460">
        <f t="shared" si="126"/>
        <v>0.05</v>
      </c>
      <c r="N2138" s="464">
        <f t="shared" si="127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25"/>
        <v>-3933240075.426415</v>
      </c>
      <c r="J2139" s="444">
        <f t="array" ref="J2139">IFERROR(INDEX('Retirement Calculator'!K:K,MATCH('Lorri 401b'!N2139,'Retirement Calculator'!A:A,0),0),0)</f>
        <v>0</v>
      </c>
      <c r="K2139" s="444">
        <f t="shared" ca="1" si="123"/>
        <v>-16388500.314276729</v>
      </c>
      <c r="L2139" s="444">
        <f t="shared" ca="1" si="124"/>
        <v>-3949628575.7406917</v>
      </c>
      <c r="M2139" s="460">
        <f t="shared" si="126"/>
        <v>0.05</v>
      </c>
      <c r="N2139" s="464">
        <f t="shared" si="127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25"/>
        <v>-3949628575.7406917</v>
      </c>
      <c r="J2140" s="444">
        <f t="array" ref="J2140">IFERROR(INDEX('Retirement Calculator'!K:K,MATCH('Lorri 401b'!N2140,'Retirement Calculator'!A:A,0),0),0)</f>
        <v>0</v>
      </c>
      <c r="K2140" s="444">
        <f t="shared" ca="1" si="123"/>
        <v>-16456785.732252881</v>
      </c>
      <c r="L2140" s="444">
        <f t="shared" ca="1" si="124"/>
        <v>-3966085361.4729447</v>
      </c>
      <c r="M2140" s="460">
        <f t="shared" si="126"/>
        <v>0.05</v>
      </c>
      <c r="N2140" s="464">
        <f t="shared" si="127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25"/>
        <v>-3966085361.4729447</v>
      </c>
      <c r="J2141" s="444">
        <f t="array" ref="J2141">IFERROR(INDEX('Retirement Calculator'!K:K,MATCH('Lorri 401b'!N2141,'Retirement Calculator'!A:A,0),0),0)</f>
        <v>0</v>
      </c>
      <c r="K2141" s="444">
        <f t="shared" ca="1" si="123"/>
        <v>-16525355.672803938</v>
      </c>
      <c r="L2141" s="444">
        <f t="shared" ca="1" si="124"/>
        <v>-3982610717.1457486</v>
      </c>
      <c r="M2141" s="460">
        <f t="shared" si="126"/>
        <v>0.05</v>
      </c>
      <c r="N2141" s="464">
        <f t="shared" si="127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25"/>
        <v>-3982610717.1457486</v>
      </c>
      <c r="J2142" s="444">
        <f t="array" ref="J2142">IFERROR(INDEX('Retirement Calculator'!K:K,MATCH('Lorri 401b'!N2142,'Retirement Calculator'!A:A,0),0),0)</f>
        <v>0</v>
      </c>
      <c r="K2142" s="444">
        <f t="shared" ca="1" si="123"/>
        <v>-16594211.321440618</v>
      </c>
      <c r="L2142" s="444">
        <f t="shared" ca="1" si="124"/>
        <v>-3999204928.4671893</v>
      </c>
      <c r="M2142" s="460">
        <f t="shared" si="126"/>
        <v>0.05</v>
      </c>
      <c r="N2142" s="464">
        <f t="shared" si="127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25"/>
        <v>-3999204928.4671893</v>
      </c>
      <c r="J2143" s="444">
        <f t="array" ref="J2143">IFERROR(INDEX('Retirement Calculator'!K:K,MATCH('Lorri 401b'!N2143,'Retirement Calculator'!A:A,0),0),0)</f>
        <v>0</v>
      </c>
      <c r="K2143" s="444">
        <f t="shared" ca="1" si="123"/>
        <v>-16663353.868613288</v>
      </c>
      <c r="L2143" s="444">
        <f t="shared" ca="1" si="124"/>
        <v>-4015868282.3358026</v>
      </c>
      <c r="M2143" s="460">
        <f t="shared" si="126"/>
        <v>0.05</v>
      </c>
      <c r="N2143" s="464">
        <f t="shared" si="127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25"/>
        <v>-4015868282.3358026</v>
      </c>
      <c r="J2144" s="444">
        <f t="array" ref="J2144">IFERROR(INDEX('Retirement Calculator'!K:K,MATCH('Lorri 401b'!N2144,'Retirement Calculator'!A:A,0),0),0)</f>
        <v>0</v>
      </c>
      <c r="K2144" s="444">
        <f t="shared" ca="1" si="123"/>
        <v>-16732784.509732513</v>
      </c>
      <c r="L2144" s="444">
        <f t="shared" ca="1" si="124"/>
        <v>-4032601066.8455353</v>
      </c>
      <c r="M2144" s="460">
        <f t="shared" si="126"/>
        <v>0.05</v>
      </c>
      <c r="N2144" s="464">
        <f t="shared" si="127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25"/>
        <v>-4032601066.8455353</v>
      </c>
      <c r="J2145" s="444">
        <f t="array" ref="J2145">IFERROR(INDEX('Retirement Calculator'!K:K,MATCH('Lorri 401b'!N2145,'Retirement Calculator'!A:A,0),0),0)</f>
        <v>0</v>
      </c>
      <c r="K2145" s="444">
        <f t="shared" ca="1" si="123"/>
        <v>-16802504.445189729</v>
      </c>
      <c r="L2145" s="444">
        <f t="shared" ca="1" si="124"/>
        <v>-4049403571.2907252</v>
      </c>
      <c r="M2145" s="460">
        <f t="shared" si="126"/>
        <v>0.05</v>
      </c>
      <c r="N2145" s="464">
        <f t="shared" si="127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25"/>
        <v>-4049403571.2907252</v>
      </c>
      <c r="J2146" s="444">
        <f t="array" ref="J2146">IFERROR(INDEX('Retirement Calculator'!K:K,MATCH('Lorri 401b'!N2146,'Retirement Calculator'!A:A,0),0),0)</f>
        <v>0</v>
      </c>
      <c r="K2146" s="444">
        <f t="shared" ca="1" si="123"/>
        <v>-16872514.880378023</v>
      </c>
      <c r="L2146" s="444">
        <f t="shared" ca="1" si="124"/>
        <v>-4066276086.1711035</v>
      </c>
      <c r="M2146" s="460">
        <f t="shared" si="126"/>
        <v>0.05</v>
      </c>
      <c r="N2146" s="464">
        <f t="shared" si="127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25"/>
        <v>-4066276086.1711035</v>
      </c>
      <c r="J2147" s="444">
        <f t="array" ref="J2147">IFERROR(INDEX('Retirement Calculator'!K:K,MATCH('Lorri 401b'!N2147,'Retirement Calculator'!A:A,0),0),0)</f>
        <v>0</v>
      </c>
      <c r="K2147" s="444">
        <f t="shared" ca="1" si="123"/>
        <v>-16942817.02571293</v>
      </c>
      <c r="L2147" s="444">
        <f t="shared" ca="1" si="124"/>
        <v>-4083218903.1968164</v>
      </c>
      <c r="M2147" s="460">
        <f t="shared" si="126"/>
        <v>0.05</v>
      </c>
      <c r="N2147" s="464">
        <f t="shared" si="127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25"/>
        <v>-4083218903.1968164</v>
      </c>
      <c r="J2148" s="444">
        <f t="array" ref="J2148">IFERROR(INDEX('Retirement Calculator'!K:K,MATCH('Lorri 401b'!N2148,'Retirement Calculator'!A:A,0),0),0)</f>
        <v>0</v>
      </c>
      <c r="K2148" s="444">
        <f t="shared" ca="1" si="123"/>
        <v>-17013412.096653402</v>
      </c>
      <c r="L2148" s="444">
        <f t="shared" ca="1" si="124"/>
        <v>-4100232315.2934699</v>
      </c>
      <c r="M2148" s="460">
        <f t="shared" si="126"/>
        <v>0.05</v>
      </c>
      <c r="N2148" s="464">
        <f t="shared" si="127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25"/>
        <v>-4100232315.2934699</v>
      </c>
      <c r="J2149" s="444">
        <f t="array" ref="J2149">IFERROR(INDEX('Retirement Calculator'!K:K,MATCH('Lorri 401b'!N2149,'Retirement Calculator'!A:A,0),0),0)</f>
        <v>0</v>
      </c>
      <c r="K2149" s="444">
        <f t="shared" ca="1" si="123"/>
        <v>-17084301.313722789</v>
      </c>
      <c r="L2149" s="444">
        <f t="shared" ca="1" si="124"/>
        <v>-4117316616.6071925</v>
      </c>
      <c r="M2149" s="460">
        <f t="shared" si="126"/>
        <v>0.05</v>
      </c>
      <c r="N2149" s="464">
        <f t="shared" si="127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25"/>
        <v>-4117316616.6071925</v>
      </c>
      <c r="J2150" s="444">
        <f t="array" ref="J2150">IFERROR(INDEX('Retirement Calculator'!K:K,MATCH('Lorri 401b'!N2150,'Retirement Calculator'!A:A,0),0),0)</f>
        <v>0</v>
      </c>
      <c r="K2150" s="444">
        <f t="shared" ca="1" si="123"/>
        <v>-17155485.90252997</v>
      </c>
      <c r="L2150" s="444">
        <f t="shared" ca="1" si="124"/>
        <v>-4134472102.5097227</v>
      </c>
      <c r="M2150" s="460">
        <f t="shared" si="126"/>
        <v>0.05</v>
      </c>
      <c r="N2150" s="464">
        <f t="shared" si="127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25"/>
        <v>-4134472102.5097227</v>
      </c>
      <c r="J2151" s="444">
        <f t="array" ref="J2151">IFERROR(INDEX('Retirement Calculator'!K:K,MATCH('Lorri 401b'!N2151,'Retirement Calculator'!A:A,0),0),0)</f>
        <v>0</v>
      </c>
      <c r="K2151" s="444">
        <f t="shared" ca="1" si="123"/>
        <v>-17226967.093790513</v>
      </c>
      <c r="L2151" s="444">
        <f t="shared" ca="1" si="124"/>
        <v>-4151699069.6035132</v>
      </c>
      <c r="M2151" s="460">
        <f t="shared" si="126"/>
        <v>0.05</v>
      </c>
      <c r="N2151" s="464">
        <f t="shared" si="127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25"/>
        <v>-4151699069.6035132</v>
      </c>
      <c r="J2152" s="444">
        <f t="array" ref="J2152">IFERROR(INDEX('Retirement Calculator'!K:K,MATCH('Lorri 401b'!N2152,'Retirement Calculator'!A:A,0),0),0)</f>
        <v>0</v>
      </c>
      <c r="K2152" s="444">
        <f t="shared" ca="1" si="123"/>
        <v>-17298746.123347972</v>
      </c>
      <c r="L2152" s="444">
        <f t="shared" ca="1" si="124"/>
        <v>-4168997815.726861</v>
      </c>
      <c r="M2152" s="460">
        <f t="shared" si="126"/>
        <v>0.05</v>
      </c>
      <c r="N2152" s="464">
        <f t="shared" si="127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25"/>
        <v>-4168997815.726861</v>
      </c>
      <c r="J2153" s="444">
        <f t="array" ref="J2153">IFERROR(INDEX('Retirement Calculator'!K:K,MATCH('Lorri 401b'!N2153,'Retirement Calculator'!A:A,0),0),0)</f>
        <v>0</v>
      </c>
      <c r="K2153" s="444">
        <f t="shared" ca="1" si="123"/>
        <v>-17370824.232195254</v>
      </c>
      <c r="L2153" s="444">
        <f t="shared" ca="1" si="124"/>
        <v>-4186368639.9590564</v>
      </c>
      <c r="M2153" s="460">
        <f t="shared" si="126"/>
        <v>0.05</v>
      </c>
      <c r="N2153" s="464">
        <f t="shared" si="127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25"/>
        <v>-4186368639.9590564</v>
      </c>
      <c r="J2154" s="444">
        <f t="array" ref="J2154">IFERROR(INDEX('Retirement Calculator'!K:K,MATCH('Lorri 401b'!N2154,'Retirement Calculator'!A:A,0),0),0)</f>
        <v>0</v>
      </c>
      <c r="K2154" s="444">
        <f t="shared" ca="1" si="123"/>
        <v>-17443202.666496068</v>
      </c>
      <c r="L2154" s="444">
        <f t="shared" ca="1" si="124"/>
        <v>-4203811842.6255527</v>
      </c>
      <c r="M2154" s="460">
        <f t="shared" si="126"/>
        <v>0.05</v>
      </c>
      <c r="N2154" s="464">
        <f t="shared" si="127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25"/>
        <v>-4203811842.6255527</v>
      </c>
      <c r="J2155" s="444">
        <f t="array" ref="J2155">IFERROR(INDEX('Retirement Calculator'!K:K,MATCH('Lorri 401b'!N2155,'Retirement Calculator'!A:A,0),0),0)</f>
        <v>0</v>
      </c>
      <c r="K2155" s="444">
        <f t="shared" ca="1" si="123"/>
        <v>-17515882.677606467</v>
      </c>
      <c r="L2155" s="444">
        <f t="shared" ca="1" si="124"/>
        <v>-4221327725.3031592</v>
      </c>
      <c r="M2155" s="460">
        <f t="shared" si="126"/>
        <v>0.05</v>
      </c>
      <c r="N2155" s="464">
        <f t="shared" si="127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25"/>
        <v>-4221327725.3031592</v>
      </c>
      <c r="J2156" s="444">
        <f t="array" ref="J2156">IFERROR(INDEX('Retirement Calculator'!K:K,MATCH('Lorri 401b'!N2156,'Retirement Calculator'!A:A,0),0),0)</f>
        <v>0</v>
      </c>
      <c r="K2156" s="444">
        <f t="shared" ca="1" si="123"/>
        <v>-17588865.522096496</v>
      </c>
      <c r="L2156" s="444">
        <f t="shared" ca="1" si="124"/>
        <v>-4238916590.8252559</v>
      </c>
      <c r="M2156" s="460">
        <f t="shared" si="126"/>
        <v>0.05</v>
      </c>
      <c r="N2156" s="464">
        <f t="shared" si="127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25"/>
        <v>-4238916590.8252559</v>
      </c>
      <c r="J2157" s="444">
        <f t="array" ref="J2157">IFERROR(INDEX('Retirement Calculator'!K:K,MATCH('Lorri 401b'!N2157,'Retirement Calculator'!A:A,0),0),0)</f>
        <v>0</v>
      </c>
      <c r="K2157" s="444">
        <f t="shared" ca="1" si="123"/>
        <v>-17662152.461771898</v>
      </c>
      <c r="L2157" s="444">
        <f t="shared" ca="1" si="124"/>
        <v>-4256578743.2870278</v>
      </c>
      <c r="M2157" s="460">
        <f t="shared" si="126"/>
        <v>0.05</v>
      </c>
      <c r="N2157" s="464">
        <f t="shared" si="127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25"/>
        <v>-4256578743.2870278</v>
      </c>
      <c r="J2158" s="444">
        <f t="array" ref="J2158">IFERROR(INDEX('Retirement Calculator'!K:K,MATCH('Lorri 401b'!N2158,'Retirement Calculator'!A:A,0),0),0)</f>
        <v>0</v>
      </c>
      <c r="K2158" s="444">
        <f t="shared" ca="1" si="123"/>
        <v>-17735744.763695948</v>
      </c>
      <c r="L2158" s="444">
        <f t="shared" ca="1" si="124"/>
        <v>-4274314488.0507236</v>
      </c>
      <c r="M2158" s="460">
        <f t="shared" si="126"/>
        <v>0.05</v>
      </c>
      <c r="N2158" s="464">
        <f t="shared" si="127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25"/>
        <v>-4274314488.0507236</v>
      </c>
      <c r="J2159" s="444">
        <f t="array" ref="J2159">IFERROR(INDEX('Retirement Calculator'!K:K,MATCH('Lorri 401b'!N2159,'Retirement Calculator'!A:A,0),0),0)</f>
        <v>0</v>
      </c>
      <c r="K2159" s="444">
        <f t="shared" ca="1" si="123"/>
        <v>-17809643.700211346</v>
      </c>
      <c r="L2159" s="444">
        <f t="shared" ca="1" si="124"/>
        <v>-4292124131.7509351</v>
      </c>
      <c r="M2159" s="460">
        <f t="shared" si="126"/>
        <v>0.05</v>
      </c>
      <c r="N2159" s="464">
        <f t="shared" si="127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25"/>
        <v>-4292124131.7509351</v>
      </c>
      <c r="J2160" s="444">
        <f t="array" ref="J2160">IFERROR(INDEX('Retirement Calculator'!K:K,MATCH('Lorri 401b'!N2160,'Retirement Calculator'!A:A,0),0),0)</f>
        <v>0</v>
      </c>
      <c r="K2160" s="444">
        <f t="shared" ca="1" si="123"/>
        <v>-17883850.548962228</v>
      </c>
      <c r="L2160" s="444">
        <f t="shared" ca="1" si="124"/>
        <v>-4310007982.2998972</v>
      </c>
      <c r="M2160" s="460">
        <f t="shared" si="126"/>
        <v>0.05</v>
      </c>
      <c r="N2160" s="464">
        <f t="shared" si="127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25"/>
        <v>-4310007982.2998972</v>
      </c>
      <c r="J2161" s="444">
        <f t="array" ref="J2161">IFERROR(INDEX('Retirement Calculator'!K:K,MATCH('Lorri 401b'!N2161,'Retirement Calculator'!A:A,0),0),0)</f>
        <v>0</v>
      </c>
      <c r="K2161" s="444">
        <f t="shared" ca="1" si="123"/>
        <v>-17958366.592916239</v>
      </c>
      <c r="L2161" s="444">
        <f t="shared" ca="1" si="124"/>
        <v>-4327966348.8928137</v>
      </c>
      <c r="M2161" s="460">
        <f t="shared" si="126"/>
        <v>0.05</v>
      </c>
      <c r="N2161" s="464">
        <f t="shared" si="127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25"/>
        <v>-4327966348.8928137</v>
      </c>
      <c r="J2162" s="444">
        <f t="array" ref="J2162">IFERROR(INDEX('Retirement Calculator'!K:K,MATCH('Lorri 401b'!N2162,'Retirement Calculator'!A:A,0),0),0)</f>
        <v>0</v>
      </c>
      <c r="K2162" s="444">
        <f t="shared" ca="1" si="123"/>
        <v>-18033193.120386723</v>
      </c>
      <c r="L2162" s="444">
        <f t="shared" ca="1" si="124"/>
        <v>-4345999542.0132008</v>
      </c>
      <c r="M2162" s="460">
        <f t="shared" si="126"/>
        <v>0.05</v>
      </c>
      <c r="N2162" s="464">
        <f t="shared" si="127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25"/>
        <v>-4345999542.0132008</v>
      </c>
      <c r="J2163" s="444">
        <f t="array" ref="J2163">IFERROR(INDEX('Retirement Calculator'!K:K,MATCH('Lorri 401b'!N2163,'Retirement Calculator'!A:A,0),0),0)</f>
        <v>0</v>
      </c>
      <c r="K2163" s="444">
        <f t="shared" ca="1" si="123"/>
        <v>-18108331.425055005</v>
      </c>
      <c r="L2163" s="444">
        <f t="shared" ca="1" si="124"/>
        <v>-4364107873.4382553</v>
      </c>
      <c r="M2163" s="460">
        <f t="shared" si="126"/>
        <v>0.05</v>
      </c>
      <c r="N2163" s="464">
        <f t="shared" si="127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25"/>
        <v>-4364107873.4382553</v>
      </c>
      <c r="J2164" s="444">
        <f t="array" ref="J2164">IFERROR(INDEX('Retirement Calculator'!K:K,MATCH('Lorri 401b'!N2164,'Retirement Calculator'!A:A,0),0),0)</f>
        <v>0</v>
      </c>
      <c r="K2164" s="444">
        <f t="shared" ca="1" si="123"/>
        <v>-18183782.80599273</v>
      </c>
      <c r="L2164" s="444">
        <f t="shared" ca="1" si="124"/>
        <v>-4382291656.2442484</v>
      </c>
      <c r="M2164" s="460">
        <f t="shared" si="126"/>
        <v>0.05</v>
      </c>
      <c r="N2164" s="464">
        <f t="shared" si="127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25"/>
        <v>-4382291656.2442484</v>
      </c>
      <c r="J2165" s="444">
        <f t="array" ref="J2165">IFERROR(INDEX('Retirement Calculator'!K:K,MATCH('Lorri 401b'!N2165,'Retirement Calculator'!A:A,0),0),0)</f>
        <v>0</v>
      </c>
      <c r="K2165" s="444">
        <f t="shared" ca="1" si="123"/>
        <v>-18259548.567684367</v>
      </c>
      <c r="L2165" s="444">
        <f t="shared" ca="1" si="124"/>
        <v>-4400551204.8119326</v>
      </c>
      <c r="M2165" s="460">
        <f t="shared" si="126"/>
        <v>0.05</v>
      </c>
      <c r="N2165" s="464">
        <f t="shared" si="127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25"/>
        <v>-4400551204.8119326</v>
      </c>
      <c r="J2166" s="444">
        <f t="array" ref="J2166">IFERROR(INDEX('Retirement Calculator'!K:K,MATCH('Lorri 401b'!N2166,'Retirement Calculator'!A:A,0),0),0)</f>
        <v>0</v>
      </c>
      <c r="K2166" s="444">
        <f t="shared" ca="1" si="123"/>
        <v>-18335630.020049717</v>
      </c>
      <c r="L2166" s="444">
        <f t="shared" ca="1" si="124"/>
        <v>-4418886834.8319826</v>
      </c>
      <c r="M2166" s="460">
        <f t="shared" si="126"/>
        <v>0.05</v>
      </c>
      <c r="N2166" s="464">
        <f t="shared" si="127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25"/>
        <v>-4418886834.8319826</v>
      </c>
      <c r="J2167" s="444">
        <f t="array" ref="J2167">IFERROR(INDEX('Retirement Calculator'!K:K,MATCH('Lorri 401b'!N2167,'Retirement Calculator'!A:A,0),0),0)</f>
        <v>0</v>
      </c>
      <c r="K2167" s="444">
        <f t="shared" ca="1" si="123"/>
        <v>-18412028.478466593</v>
      </c>
      <c r="L2167" s="444">
        <f t="shared" ca="1" si="124"/>
        <v>-4437298863.3104496</v>
      </c>
      <c r="M2167" s="460">
        <f t="shared" si="126"/>
        <v>0.05</v>
      </c>
      <c r="N2167" s="464">
        <f t="shared" si="127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25"/>
        <v>-4437298863.3104496</v>
      </c>
      <c r="J2168" s="444">
        <f t="array" ref="J2168">IFERROR(INDEX('Retirement Calculator'!K:K,MATCH('Lorri 401b'!N2168,'Retirement Calculator'!A:A,0),0),0)</f>
        <v>0</v>
      </c>
      <c r="K2168" s="444">
        <f t="shared" ca="1" si="123"/>
        <v>-18488745.263793539</v>
      </c>
      <c r="L2168" s="444">
        <f t="shared" ca="1" si="124"/>
        <v>-4455787608.5742435</v>
      </c>
      <c r="M2168" s="460">
        <f t="shared" si="126"/>
        <v>0.05</v>
      </c>
      <c r="N2168" s="464">
        <f t="shared" si="127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25"/>
        <v>-4455787608.5742435</v>
      </c>
      <c r="J2169" s="444">
        <f t="array" ref="J2169">IFERROR(INDEX('Retirement Calculator'!K:K,MATCH('Lorri 401b'!N2169,'Retirement Calculator'!A:A,0),0),0)</f>
        <v>0</v>
      </c>
      <c r="K2169" s="444">
        <f t="shared" ca="1" si="123"/>
        <v>-18565781.702392682</v>
      </c>
      <c r="L2169" s="444">
        <f t="shared" ca="1" si="124"/>
        <v>-4474353390.2766361</v>
      </c>
      <c r="M2169" s="460">
        <f t="shared" si="126"/>
        <v>0.05</v>
      </c>
      <c r="N2169" s="464">
        <f t="shared" si="127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25"/>
        <v>-4474353390.2766361</v>
      </c>
      <c r="J2170" s="444">
        <f t="array" ref="J2170">IFERROR(INDEX('Retirement Calculator'!K:K,MATCH('Lorri 401b'!N2170,'Retirement Calculator'!A:A,0),0),0)</f>
        <v>0</v>
      </c>
      <c r="K2170" s="444">
        <f t="shared" ca="1" si="123"/>
        <v>-18643139.12615265</v>
      </c>
      <c r="L2170" s="444">
        <f t="shared" ca="1" si="124"/>
        <v>-4492996529.4027891</v>
      </c>
      <c r="M2170" s="460">
        <f t="shared" si="126"/>
        <v>0.05</v>
      </c>
      <c r="N2170" s="464">
        <f t="shared" si="127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25"/>
        <v>-4492996529.4027891</v>
      </c>
      <c r="J2171" s="444">
        <f t="array" ref="J2171">IFERROR(INDEX('Retirement Calculator'!K:K,MATCH('Lorri 401b'!N2171,'Retirement Calculator'!A:A,0),0),0)</f>
        <v>0</v>
      </c>
      <c r="K2171" s="444">
        <f t="shared" ca="1" si="123"/>
        <v>-18720818.872511622</v>
      </c>
      <c r="L2171" s="444">
        <f t="shared" ca="1" si="124"/>
        <v>-4511717348.275301</v>
      </c>
      <c r="M2171" s="460">
        <f t="shared" si="126"/>
        <v>0.05</v>
      </c>
      <c r="N2171" s="464">
        <f t="shared" si="127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25"/>
        <v>-4511717348.275301</v>
      </c>
      <c r="J2172" s="444">
        <f t="array" ref="J2172">IFERROR(INDEX('Retirement Calculator'!K:K,MATCH('Lorri 401b'!N2172,'Retirement Calculator'!A:A,0),0),0)</f>
        <v>0</v>
      </c>
      <c r="K2172" s="444">
        <f t="shared" ca="1" si="123"/>
        <v>-18798822.284480419</v>
      </c>
      <c r="L2172" s="444">
        <f t="shared" ca="1" si="124"/>
        <v>-4530516170.5597811</v>
      </c>
      <c r="M2172" s="460">
        <f t="shared" si="126"/>
        <v>0.05</v>
      </c>
      <c r="N2172" s="464">
        <f t="shared" si="127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25"/>
        <v>-4530516170.5597811</v>
      </c>
      <c r="J2173" s="444">
        <f t="array" ref="J2173">IFERROR(INDEX('Retirement Calculator'!K:K,MATCH('Lorri 401b'!N2173,'Retirement Calculator'!A:A,0),0),0)</f>
        <v>0</v>
      </c>
      <c r="K2173" s="444">
        <f t="shared" ca="1" si="123"/>
        <v>-18877150.710665755</v>
      </c>
      <c r="L2173" s="444">
        <f t="shared" ca="1" si="124"/>
        <v>-4549393321.2704468</v>
      </c>
      <c r="M2173" s="460">
        <f t="shared" si="126"/>
        <v>0.05</v>
      </c>
      <c r="N2173" s="464">
        <f t="shared" si="127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25"/>
        <v>-4549393321.2704468</v>
      </c>
      <c r="J2174" s="444">
        <f t="array" ref="J2174">IFERROR(INDEX('Retirement Calculator'!K:K,MATCH('Lorri 401b'!N2174,'Retirement Calculator'!A:A,0),0),0)</f>
        <v>0</v>
      </c>
      <c r="K2174" s="444">
        <f t="shared" ca="1" si="123"/>
        <v>-18955805.505293529</v>
      </c>
      <c r="L2174" s="444">
        <f t="shared" ca="1" si="124"/>
        <v>-4568349126.7757406</v>
      </c>
      <c r="M2174" s="460">
        <f t="shared" si="126"/>
        <v>0.05</v>
      </c>
      <c r="N2174" s="464">
        <f t="shared" si="127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25"/>
        <v>-4568349126.7757406</v>
      </c>
      <c r="J2175" s="444">
        <f t="array" ref="J2175">IFERROR(INDEX('Retirement Calculator'!K:K,MATCH('Lorri 401b'!N2175,'Retirement Calculator'!A:A,0),0),0)</f>
        <v>0</v>
      </c>
      <c r="K2175" s="444">
        <f t="shared" ca="1" si="123"/>
        <v>-19034788.028232254</v>
      </c>
      <c r="L2175" s="444">
        <f t="shared" ca="1" si="124"/>
        <v>-4587383914.8039732</v>
      </c>
      <c r="M2175" s="460">
        <f t="shared" si="126"/>
        <v>0.05</v>
      </c>
      <c r="N2175" s="464">
        <f t="shared" si="127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25"/>
        <v>-4587383914.8039732</v>
      </c>
      <c r="J2176" s="444">
        <f t="array" ref="J2176">IFERROR(INDEX('Retirement Calculator'!K:K,MATCH('Lorri 401b'!N2176,'Retirement Calculator'!A:A,0),0),0)</f>
        <v>0</v>
      </c>
      <c r="K2176" s="444">
        <f t="shared" ca="1" si="123"/>
        <v>-19114099.645016555</v>
      </c>
      <c r="L2176" s="444">
        <f t="shared" ca="1" si="124"/>
        <v>-4606498014.4489899</v>
      </c>
      <c r="M2176" s="460">
        <f t="shared" si="126"/>
        <v>0.05</v>
      </c>
      <c r="N2176" s="464">
        <f t="shared" si="127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25"/>
        <v>-4606498014.4489899</v>
      </c>
      <c r="J2177" s="444">
        <f t="array" ref="J2177">IFERROR(INDEX('Retirement Calculator'!K:K,MATCH('Lorri 401b'!N2177,'Retirement Calculator'!A:A,0),0),0)</f>
        <v>0</v>
      </c>
      <c r="K2177" s="444">
        <f t="shared" ca="1" si="123"/>
        <v>-19193741.72687079</v>
      </c>
      <c r="L2177" s="444">
        <f t="shared" ca="1" si="124"/>
        <v>-4625691756.1758604</v>
      </c>
      <c r="M2177" s="460">
        <f t="shared" si="126"/>
        <v>0.05</v>
      </c>
      <c r="N2177" s="464">
        <f t="shared" si="127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25"/>
        <v>-4625691756.1758604</v>
      </c>
      <c r="J2178" s="444">
        <f t="array" ref="J2178">IFERROR(INDEX('Retirement Calculator'!K:K,MATCH('Lorri 401b'!N2178,'Retirement Calculator'!A:A,0),0),0)</f>
        <v>0</v>
      </c>
      <c r="K2178" s="444">
        <f t="shared" ca="1" si="123"/>
        <v>-19273715.650732752</v>
      </c>
      <c r="L2178" s="444">
        <f t="shared" ca="1" si="124"/>
        <v>-4644965471.8265934</v>
      </c>
      <c r="M2178" s="460">
        <f t="shared" si="126"/>
        <v>0.05</v>
      </c>
      <c r="N2178" s="464">
        <f t="shared" si="127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25"/>
        <v>-4644965471.8265934</v>
      </c>
      <c r="J2179" s="444">
        <f t="array" ref="J2179">IFERROR(INDEX('Retirement Calculator'!K:K,MATCH('Lorri 401b'!N2179,'Retirement Calculator'!A:A,0),0),0)</f>
        <v>0</v>
      </c>
      <c r="K2179" s="444">
        <f t="shared" ca="1" si="123"/>
        <v>-19354022.799277473</v>
      </c>
      <c r="L2179" s="444">
        <f t="shared" ca="1" si="124"/>
        <v>-4664319494.6258707</v>
      </c>
      <c r="M2179" s="460">
        <f t="shared" si="126"/>
        <v>0.05</v>
      </c>
      <c r="N2179" s="464">
        <f t="shared" si="127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25"/>
        <v>-4664319494.6258707</v>
      </c>
      <c r="J2180" s="444">
        <f t="array" ref="J2180">IFERROR(INDEX('Retirement Calculator'!K:K,MATCH('Lorri 401b'!N2180,'Retirement Calculator'!A:A,0),0),0)</f>
        <v>0</v>
      </c>
      <c r="K2180" s="444">
        <f t="shared" ca="1" si="123"/>
        <v>-19434664.560941126</v>
      </c>
      <c r="L2180" s="444">
        <f t="shared" ca="1" si="124"/>
        <v>-4683754159.1868114</v>
      </c>
      <c r="M2180" s="460">
        <f t="shared" si="126"/>
        <v>0.05</v>
      </c>
      <c r="N2180" s="464">
        <f t="shared" si="127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25"/>
        <v>-4683754159.1868114</v>
      </c>
      <c r="J2181" s="444">
        <f t="array" ref="J2181">IFERROR(INDEX('Retirement Calculator'!K:K,MATCH('Lorri 401b'!N2181,'Retirement Calculator'!A:A,0),0),0)</f>
        <v>0</v>
      </c>
      <c r="K2181" s="444">
        <f t="shared" ca="1" si="123"/>
        <v>-19515642.329945046</v>
      </c>
      <c r="L2181" s="444">
        <f t="shared" ca="1" si="124"/>
        <v>-4703269801.5167561</v>
      </c>
      <c r="M2181" s="460">
        <f t="shared" si="126"/>
        <v>0.05</v>
      </c>
      <c r="N2181" s="464">
        <f t="shared" si="127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25"/>
        <v>-4703269801.5167561</v>
      </c>
      <c r="J2182" s="444">
        <f t="array" ref="J2182">IFERROR(INDEX('Retirement Calculator'!K:K,MATCH('Lorri 401b'!N2182,'Retirement Calculator'!A:A,0),0),0)</f>
        <v>0</v>
      </c>
      <c r="K2182" s="444">
        <f t="shared" ca="1" si="123"/>
        <v>-19596957.506319817</v>
      </c>
      <c r="L2182" s="444">
        <f t="shared" ca="1" si="124"/>
        <v>-4722866759.0230761</v>
      </c>
      <c r="M2182" s="460">
        <f t="shared" si="126"/>
        <v>0.05</v>
      </c>
      <c r="N2182" s="464">
        <f t="shared" si="127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25"/>
        <v>-4722866759.0230761</v>
      </c>
      <c r="J2183" s="444">
        <f t="array" ref="J2183">IFERROR(INDEX('Retirement Calculator'!K:K,MATCH('Lorri 401b'!N2183,'Retirement Calculator'!A:A,0),0),0)</f>
        <v>0</v>
      </c>
      <c r="K2183" s="444">
        <f t="shared" ca="1" si="123"/>
        <v>-19678611.495929483</v>
      </c>
      <c r="L2183" s="444">
        <f t="shared" ca="1" si="124"/>
        <v>-4742545370.5190058</v>
      </c>
      <c r="M2183" s="460">
        <f t="shared" si="126"/>
        <v>0.05</v>
      </c>
      <c r="N2183" s="464">
        <f t="shared" si="127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25"/>
        <v>-4742545370.5190058</v>
      </c>
      <c r="J2184" s="444">
        <f t="array" ref="J2184">IFERROR(INDEX('Retirement Calculator'!K:K,MATCH('Lorri 401b'!N2184,'Retirement Calculator'!A:A,0),0),0)</f>
        <v>0</v>
      </c>
      <c r="K2184" s="444">
        <f t="shared" ca="1" si="123"/>
        <v>-19760605.710495856</v>
      </c>
      <c r="L2184" s="444">
        <f t="shared" ca="1" si="124"/>
        <v>-4762305976.2295017</v>
      </c>
      <c r="M2184" s="460">
        <f t="shared" si="126"/>
        <v>0.05</v>
      </c>
      <c r="N2184" s="464">
        <f t="shared" si="127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25"/>
        <v>-4762305976.2295017</v>
      </c>
      <c r="J2185" s="444">
        <f t="array" ref="J2185">IFERROR(INDEX('Retirement Calculator'!K:K,MATCH('Lorri 401b'!N2185,'Retirement Calculator'!A:A,0),0),0)</f>
        <v>0</v>
      </c>
      <c r="K2185" s="444">
        <f t="shared" ca="1" si="123"/>
        <v>-19842941.567622922</v>
      </c>
      <c r="L2185" s="444">
        <f t="shared" ca="1" si="124"/>
        <v>-4782148917.7971249</v>
      </c>
      <c r="M2185" s="460">
        <f t="shared" si="126"/>
        <v>0.05</v>
      </c>
      <c r="N2185" s="464">
        <f t="shared" si="127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25"/>
        <v>-4782148917.7971249</v>
      </c>
      <c r="J2186" s="444">
        <f t="array" ref="J2186">IFERROR(INDEX('Retirement Calculator'!K:K,MATCH('Lorri 401b'!N2186,'Retirement Calculator'!A:A,0),0),0)</f>
        <v>0</v>
      </c>
      <c r="K2186" s="444">
        <f t="shared" ca="1" si="123"/>
        <v>-19925620.490821354</v>
      </c>
      <c r="L2186" s="444">
        <f t="shared" ca="1" si="124"/>
        <v>-4802074538.2879457</v>
      </c>
      <c r="M2186" s="460">
        <f t="shared" si="126"/>
        <v>0.05</v>
      </c>
      <c r="N2186" s="464">
        <f t="shared" si="127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25"/>
        <v>-4802074538.2879457</v>
      </c>
      <c r="J2187" s="444">
        <f t="array" ref="J2187">IFERROR(INDEX('Retirement Calculator'!K:K,MATCH('Lorri 401b'!N2187,'Retirement Calculator'!A:A,0),0),0)</f>
        <v>0</v>
      </c>
      <c r="K2187" s="444">
        <f t="shared" ca="1" si="123"/>
        <v>-20008643.909533106</v>
      </c>
      <c r="L2187" s="444">
        <f t="shared" ca="1" si="124"/>
        <v>-4822083182.1974792</v>
      </c>
      <c r="M2187" s="460">
        <f t="shared" si="126"/>
        <v>0.05</v>
      </c>
      <c r="N2187" s="464">
        <f t="shared" si="127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25"/>
        <v>-4822083182.1974792</v>
      </c>
      <c r="J2188" s="444">
        <f t="array" ref="J2188">IFERROR(INDEX('Retirement Calculator'!K:K,MATCH('Lorri 401b'!N2188,'Retirement Calculator'!A:A,0),0),0)</f>
        <v>0</v>
      </c>
      <c r="K2188" s="444">
        <f t="shared" ca="1" si="123"/>
        <v>-20092013.259156164</v>
      </c>
      <c r="L2188" s="444">
        <f t="shared" ca="1" si="124"/>
        <v>-4842175195.4566355</v>
      </c>
      <c r="M2188" s="460">
        <f t="shared" si="126"/>
        <v>0.05</v>
      </c>
      <c r="N2188" s="464">
        <f t="shared" si="127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25"/>
        <v>-4842175195.4566355</v>
      </c>
      <c r="J2189" s="444">
        <f t="array" ref="J2189">IFERROR(INDEX('Retirement Calculator'!K:K,MATCH('Lorri 401b'!N2189,'Retirement Calculator'!A:A,0),0),0)</f>
        <v>0</v>
      </c>
      <c r="K2189" s="444">
        <f t="shared" ca="1" si="123"/>
        <v>-20175729.981069315</v>
      </c>
      <c r="L2189" s="444">
        <f t="shared" ca="1" si="124"/>
        <v>-4862350925.437705</v>
      </c>
      <c r="M2189" s="460">
        <f t="shared" si="126"/>
        <v>0.05</v>
      </c>
      <c r="N2189" s="464">
        <f t="shared" si="127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25"/>
        <v>-4862350925.437705</v>
      </c>
      <c r="J2190" s="444">
        <f t="array" ref="J2190">IFERROR(INDEX('Retirement Calculator'!K:K,MATCH('Lorri 401b'!N2190,'Retirement Calculator'!A:A,0),0),0)</f>
        <v>0</v>
      </c>
      <c r="K2190" s="444">
        <f t="shared" ca="1" si="123"/>
        <v>-20259795.522657104</v>
      </c>
      <c r="L2190" s="444">
        <f t="shared" ca="1" si="124"/>
        <v>-4882610720.9603624</v>
      </c>
      <c r="M2190" s="460">
        <f t="shared" si="126"/>
        <v>0.05</v>
      </c>
      <c r="N2190" s="464">
        <f t="shared" si="127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25"/>
        <v>-4882610720.9603624</v>
      </c>
      <c r="J2191" s="444">
        <f t="array" ref="J2191">IFERROR(INDEX('Retirement Calculator'!K:K,MATCH('Lorri 401b'!N2191,'Retirement Calculator'!A:A,0),0),0)</f>
        <v>0</v>
      </c>
      <c r="K2191" s="444">
        <f t="shared" ca="1" si="123"/>
        <v>-20344211.337334841</v>
      </c>
      <c r="L2191" s="444">
        <f t="shared" ca="1" si="124"/>
        <v>-4902954932.2976971</v>
      </c>
      <c r="M2191" s="460">
        <f t="shared" si="126"/>
        <v>0.05</v>
      </c>
      <c r="N2191" s="464">
        <f t="shared" si="127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25"/>
        <v>-4902954932.2976971</v>
      </c>
      <c r="J2192" s="444">
        <f t="array" ref="J2192">IFERROR(INDEX('Retirement Calculator'!K:K,MATCH('Lorri 401b'!N2192,'Retirement Calculator'!A:A,0),0),0)</f>
        <v>0</v>
      </c>
      <c r="K2192" s="444">
        <f t="shared" ca="1" si="123"/>
        <v>-20428978.884573739</v>
      </c>
      <c r="L2192" s="444">
        <f t="shared" ca="1" si="124"/>
        <v>-4923383911.182271</v>
      </c>
      <c r="M2192" s="460">
        <f t="shared" si="126"/>
        <v>0.05</v>
      </c>
      <c r="N2192" s="464">
        <f t="shared" si="127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25"/>
        <v>-4923383911.182271</v>
      </c>
      <c r="J2193" s="444">
        <f t="array" ref="J2193">IFERROR(INDEX('Retirement Calculator'!K:K,MATCH('Lorri 401b'!N2193,'Retirement Calculator'!A:A,0),0),0)</f>
        <v>0</v>
      </c>
      <c r="K2193" s="444">
        <f t="shared" ca="1" si="123"/>
        <v>-20514099.62992613</v>
      </c>
      <c r="L2193" s="444">
        <f t="shared" ca="1" si="124"/>
        <v>-4943898010.8121967</v>
      </c>
      <c r="M2193" s="460">
        <f t="shared" si="126"/>
        <v>0.05</v>
      </c>
      <c r="N2193" s="464">
        <f t="shared" si="127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25"/>
        <v>-4943898010.8121967</v>
      </c>
      <c r="J2194" s="444">
        <f t="array" ref="J2194">IFERROR(INDEX('Retirement Calculator'!K:K,MATCH('Lorri 401b'!N2194,'Retirement Calculator'!A:A,0),0),0)</f>
        <v>0</v>
      </c>
      <c r="K2194" s="444">
        <f t="shared" ca="1" si="123"/>
        <v>-20599575.045050818</v>
      </c>
      <c r="L2194" s="444">
        <f t="shared" ca="1" si="124"/>
        <v>-4964497585.8572474</v>
      </c>
      <c r="M2194" s="460">
        <f t="shared" si="126"/>
        <v>0.05</v>
      </c>
      <c r="N2194" s="464">
        <f t="shared" si="127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25"/>
        <v>-4964497585.8572474</v>
      </c>
      <c r="J2195" s="444">
        <f t="array" ref="J2195">IFERROR(INDEX('Retirement Calculator'!K:K,MATCH('Lorri 401b'!N2195,'Retirement Calculator'!A:A,0),0),0)</f>
        <v>0</v>
      </c>
      <c r="K2195" s="444">
        <f t="shared" ca="1" si="123"/>
        <v>-20685406.607738532</v>
      </c>
      <c r="L2195" s="444">
        <f t="shared" ca="1" si="124"/>
        <v>-4985182992.4649858</v>
      </c>
      <c r="M2195" s="460">
        <f t="shared" si="126"/>
        <v>0.05</v>
      </c>
      <c r="N2195" s="464">
        <f t="shared" si="127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25"/>
        <v>-4985182992.4649858</v>
      </c>
      <c r="J2196" s="444">
        <f t="array" ref="J2196">IFERROR(INDEX('Retirement Calculator'!K:K,MATCH('Lorri 401b'!N2196,'Retirement Calculator'!A:A,0),0),0)</f>
        <v>0</v>
      </c>
      <c r="K2196" s="444">
        <f t="shared" ca="1" si="123"/>
        <v>-20771595.801937442</v>
      </c>
      <c r="L2196" s="444">
        <f t="shared" ca="1" si="124"/>
        <v>-5005954588.266923</v>
      </c>
      <c r="M2196" s="460">
        <f t="shared" si="126"/>
        <v>0.05</v>
      </c>
      <c r="N2196" s="464">
        <f t="shared" si="127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25"/>
        <v>-5005954588.266923</v>
      </c>
      <c r="J2197" s="444">
        <f t="array" ref="J2197">IFERROR(INDEX('Retirement Calculator'!K:K,MATCH('Lorri 401b'!N2197,'Retirement Calculator'!A:A,0),0),0)</f>
        <v>0</v>
      </c>
      <c r="K2197" s="444">
        <f t="shared" ca="1" si="123"/>
        <v>-20858144.117778845</v>
      </c>
      <c r="L2197" s="444">
        <f t="shared" ca="1" si="124"/>
        <v>-5026812732.3847017</v>
      </c>
      <c r="M2197" s="460">
        <f t="shared" si="126"/>
        <v>0.05</v>
      </c>
      <c r="N2197" s="464">
        <f t="shared" si="127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25"/>
        <v>-5026812732.3847017</v>
      </c>
      <c r="J2198" s="444">
        <f t="array" ref="J2198">IFERROR(INDEX('Retirement Calculator'!K:K,MATCH('Lorri 401b'!N2198,'Retirement Calculator'!A:A,0),0),0)</f>
        <v>0</v>
      </c>
      <c r="K2198" s="444">
        <f t="shared" ca="1" si="123"/>
        <v>-20945053.051602922</v>
      </c>
      <c r="L2198" s="444">
        <f t="shared" ca="1" si="124"/>
        <v>-5047757785.436305</v>
      </c>
      <c r="M2198" s="460">
        <f t="shared" si="126"/>
        <v>0.05</v>
      </c>
      <c r="N2198" s="464">
        <f t="shared" si="127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25"/>
        <v>-5047757785.436305</v>
      </c>
      <c r="J2199" s="444">
        <f t="array" ref="J2199">IFERROR(INDEX('Retirement Calculator'!K:K,MATCH('Lorri 401b'!N2199,'Retirement Calculator'!A:A,0),0),0)</f>
        <v>0</v>
      </c>
      <c r="K2199" s="444">
        <f t="shared" ca="1" si="123"/>
        <v>-21032324.105984606</v>
      </c>
      <c r="L2199" s="444">
        <f t="shared" ca="1" si="124"/>
        <v>-5068790109.5422897</v>
      </c>
      <c r="M2199" s="460">
        <f t="shared" si="126"/>
        <v>0.05</v>
      </c>
      <c r="N2199" s="464">
        <f t="shared" si="127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25"/>
        <v>-5068790109.5422897</v>
      </c>
      <c r="J2200" s="444">
        <f t="array" ref="J2200">IFERROR(INDEX('Retirement Calculator'!K:K,MATCH('Lorri 401b'!N2200,'Retirement Calculator'!A:A,0),0),0)</f>
        <v>0</v>
      </c>
      <c r="K2200" s="444">
        <f t="shared" ca="1" si="123"/>
        <v>-21119958.789759539</v>
      </c>
      <c r="L2200" s="444">
        <f t="shared" ca="1" si="124"/>
        <v>-5089910068.3320494</v>
      </c>
      <c r="M2200" s="460">
        <f t="shared" si="126"/>
        <v>0.05</v>
      </c>
      <c r="N2200" s="464">
        <f t="shared" si="127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25"/>
        <v>-5089910068.3320494</v>
      </c>
      <c r="J2201" s="444">
        <f t="array" ref="J2201">IFERROR(INDEX('Retirement Calculator'!K:K,MATCH('Lorri 401b'!N2201,'Retirement Calculator'!A:A,0),0),0)</f>
        <v>0</v>
      </c>
      <c r="K2201" s="444">
        <f t="shared" ca="1" si="123"/>
        <v>-21207958.618050206</v>
      </c>
      <c r="L2201" s="444">
        <f t="shared" ca="1" si="124"/>
        <v>-5111118026.9500999</v>
      </c>
      <c r="M2201" s="460">
        <f t="shared" si="126"/>
        <v>0.05</v>
      </c>
      <c r="N2201" s="464">
        <f t="shared" si="127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25"/>
        <v>-5111118026.9500999</v>
      </c>
      <c r="J2202" s="444">
        <f t="array" ref="J2202">IFERROR(INDEX('Retirement Calculator'!K:K,MATCH('Lorri 401b'!N2202,'Retirement Calculator'!A:A,0),0),0)</f>
        <v>0</v>
      </c>
      <c r="K2202" s="444">
        <f t="shared" ca="1" si="123"/>
        <v>-21296325.112292081</v>
      </c>
      <c r="L2202" s="444">
        <f t="shared" ca="1" si="124"/>
        <v>-5132414352.0623922</v>
      </c>
      <c r="M2202" s="460">
        <f t="shared" si="126"/>
        <v>0.05</v>
      </c>
      <c r="N2202" s="464">
        <f t="shared" si="127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25"/>
        <v>-5132414352.0623922</v>
      </c>
      <c r="J2203" s="444">
        <f t="array" ref="J2203">IFERROR(INDEX('Retirement Calculator'!K:K,MATCH('Lorri 401b'!N2203,'Retirement Calculator'!A:A,0),0),0)</f>
        <v>0</v>
      </c>
      <c r="K2203" s="444">
        <f t="shared" ca="1" si="123"/>
        <v>-21385059.800259966</v>
      </c>
      <c r="L2203" s="444">
        <f t="shared" ca="1" si="124"/>
        <v>-5153799411.8626518</v>
      </c>
      <c r="M2203" s="460">
        <f t="shared" si="126"/>
        <v>0.05</v>
      </c>
      <c r="N2203" s="464">
        <f t="shared" si="127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25"/>
        <v>-5153799411.8626518</v>
      </c>
      <c r="J2204" s="444">
        <f t="array" ref="J2204">IFERROR(INDEX('Retirement Calculator'!K:K,MATCH('Lorri 401b'!N2204,'Retirement Calculator'!A:A,0),0),0)</f>
        <v>0</v>
      </c>
      <c r="K2204" s="444">
        <f t="shared" ca="1" si="123"/>
        <v>-21474164.216094382</v>
      </c>
      <c r="L2204" s="444">
        <f t="shared" ca="1" si="124"/>
        <v>-5175273576.0787458</v>
      </c>
      <c r="M2204" s="460">
        <f t="shared" si="126"/>
        <v>0.05</v>
      </c>
      <c r="N2204" s="464">
        <f t="shared" si="127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25"/>
        <v>-5175273576.0787458</v>
      </c>
      <c r="J2205" s="444">
        <f t="array" ref="J2205">IFERROR(INDEX('Retirement Calculator'!K:K,MATCH('Lorri 401b'!N2205,'Retirement Calculator'!A:A,0),0),0)</f>
        <v>0</v>
      </c>
      <c r="K2205" s="444">
        <f t="shared" ca="1" si="123"/>
        <v>-21563639.900328107</v>
      </c>
      <c r="L2205" s="444">
        <f t="shared" ca="1" si="124"/>
        <v>-5196837215.9790735</v>
      </c>
      <c r="M2205" s="460">
        <f t="shared" si="126"/>
        <v>0.05</v>
      </c>
      <c r="N2205" s="464">
        <f t="shared" si="127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25"/>
        <v>-5196837215.9790735</v>
      </c>
      <c r="J2206" s="444">
        <f t="array" ref="J2206">IFERROR(INDEX('Retirement Calculator'!K:K,MATCH('Lorri 401b'!N2206,'Retirement Calculator'!A:A,0),0),0)</f>
        <v>0</v>
      </c>
      <c r="K2206" s="444">
        <f t="shared" ca="1" si="123"/>
        <v>-21653488.399912804</v>
      </c>
      <c r="L2206" s="444">
        <f t="shared" ca="1" si="124"/>
        <v>-5218490704.3789864</v>
      </c>
      <c r="M2206" s="460">
        <f t="shared" si="126"/>
        <v>0.05</v>
      </c>
      <c r="N2206" s="464">
        <f t="shared" si="127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25"/>
        <v>-5218490704.3789864</v>
      </c>
      <c r="J2207" s="444">
        <f t="array" ref="J2207">IFERROR(INDEX('Retirement Calculator'!K:K,MATCH('Lorri 401b'!N2207,'Retirement Calculator'!A:A,0),0),0)</f>
        <v>0</v>
      </c>
      <c r="K2207" s="444">
        <f t="shared" ca="1" si="123"/>
        <v>-21743711.268245775</v>
      </c>
      <c r="L2207" s="444">
        <f t="shared" ca="1" si="124"/>
        <v>-5240234415.6472321</v>
      </c>
      <c r="M2207" s="460">
        <f t="shared" si="126"/>
        <v>0.05</v>
      </c>
      <c r="N2207" s="464">
        <f t="shared" si="127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25"/>
        <v>-5240234415.6472321</v>
      </c>
      <c r="J2208" s="444">
        <f t="array" ref="J2208">IFERROR(INDEX('Retirement Calculator'!K:K,MATCH('Lorri 401b'!N2208,'Retirement Calculator'!A:A,0),0),0)</f>
        <v>0</v>
      </c>
      <c r="K2208" s="444">
        <f t="shared" ca="1" si="123"/>
        <v>-21834310.065196801</v>
      </c>
      <c r="L2208" s="444">
        <f t="shared" ca="1" si="124"/>
        <v>-5262068725.712429</v>
      </c>
      <c r="M2208" s="460">
        <f t="shared" si="126"/>
        <v>0.05</v>
      </c>
      <c r="N2208" s="464">
        <f t="shared" si="127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25"/>
        <v>-5262068725.712429</v>
      </c>
      <c r="J2209" s="444">
        <f t="array" ref="J2209">IFERROR(INDEX('Retirement Calculator'!K:K,MATCH('Lorri 401b'!N2209,'Retirement Calculator'!A:A,0),0),0)</f>
        <v>0</v>
      </c>
      <c r="K2209" s="444">
        <f t="shared" ca="1" si="123"/>
        <v>-21925286.357135121</v>
      </c>
      <c r="L2209" s="444">
        <f t="shared" ca="1" si="124"/>
        <v>-5283994012.0695639</v>
      </c>
      <c r="M2209" s="460">
        <f t="shared" si="126"/>
        <v>0.05</v>
      </c>
      <c r="N2209" s="464">
        <f t="shared" si="127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25"/>
        <v>-5283994012.0695639</v>
      </c>
      <c r="J2210" s="444">
        <f t="array" ref="J2210">IFERROR(INDEX('Retirement Calculator'!K:K,MATCH('Lorri 401b'!N2210,'Retirement Calculator'!A:A,0),0),0)</f>
        <v>0</v>
      </c>
      <c r="K2210" s="444">
        <f t="shared" ca="1" si="123"/>
        <v>-22016641.716956515</v>
      </c>
      <c r="L2210" s="444">
        <f t="shared" ca="1" si="124"/>
        <v>-5306010653.78652</v>
      </c>
      <c r="M2210" s="460">
        <f t="shared" si="126"/>
        <v>0.05</v>
      </c>
      <c r="N2210" s="464">
        <f t="shared" si="127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25"/>
        <v>-5306010653.78652</v>
      </c>
      <c r="J2211" s="444">
        <f t="array" ref="J2211">IFERROR(INDEX('Retirement Calculator'!K:K,MATCH('Lorri 401b'!N2211,'Retirement Calculator'!A:A,0),0),0)</f>
        <v>0</v>
      </c>
      <c r="K2211" s="444">
        <f t="shared" ca="1" si="123"/>
        <v>-22108377.724110499</v>
      </c>
      <c r="L2211" s="444">
        <f t="shared" ca="1" si="124"/>
        <v>-5328119031.5106306</v>
      </c>
      <c r="M2211" s="460">
        <f t="shared" si="126"/>
        <v>0.05</v>
      </c>
      <c r="N2211" s="464">
        <f t="shared" si="127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25"/>
        <v>-5328119031.5106306</v>
      </c>
      <c r="J2212" s="444">
        <f t="array" ref="J2212">IFERROR(INDEX('Retirement Calculator'!K:K,MATCH('Lorri 401b'!N2212,'Retirement Calculator'!A:A,0),0),0)</f>
        <v>0</v>
      </c>
      <c r="K2212" s="444">
        <f t="shared" ca="1" si="123"/>
        <v>-22200495.964627627</v>
      </c>
      <c r="L2212" s="444">
        <f t="shared" ca="1" si="124"/>
        <v>-5350319527.4752579</v>
      </c>
      <c r="M2212" s="460">
        <f t="shared" si="126"/>
        <v>0.05</v>
      </c>
      <c r="N2212" s="464">
        <f t="shared" si="127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25"/>
        <v>-5350319527.4752579</v>
      </c>
      <c r="J2213" s="444">
        <f t="array" ref="J2213">IFERROR(INDEX('Retirement Calculator'!K:K,MATCH('Lorri 401b'!N2213,'Retirement Calculator'!A:A,0),0),0)</f>
        <v>0</v>
      </c>
      <c r="K2213" s="444">
        <f t="shared" ca="1" si="123"/>
        <v>-22292998.031146906</v>
      </c>
      <c r="L2213" s="444">
        <f t="shared" ca="1" si="124"/>
        <v>-5372612525.5064049</v>
      </c>
      <c r="M2213" s="460">
        <f t="shared" si="126"/>
        <v>0.05</v>
      </c>
      <c r="N2213" s="464">
        <f t="shared" si="127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25"/>
        <v>-5372612525.5064049</v>
      </c>
      <c r="J2214" s="444">
        <f t="array" ref="J2214">IFERROR(INDEX('Retirement Calculator'!K:K,MATCH('Lorri 401b'!N2214,'Retirement Calculator'!A:A,0),0),0)</f>
        <v>0</v>
      </c>
      <c r="K2214" s="444">
        <f t="shared" ca="1" si="123"/>
        <v>-22385885.522943355</v>
      </c>
      <c r="L2214" s="444">
        <f t="shared" ca="1" si="124"/>
        <v>-5394998411.0293484</v>
      </c>
      <c r="M2214" s="460">
        <f t="shared" si="126"/>
        <v>0.05</v>
      </c>
      <c r="N2214" s="464">
        <f t="shared" si="127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25"/>
        <v>-5394998411.0293484</v>
      </c>
      <c r="J2215" s="444">
        <f t="array" ref="J2215">IFERROR(INDEX('Retirement Calculator'!K:K,MATCH('Lorri 401b'!N2215,'Retirement Calculator'!A:A,0),0),0)</f>
        <v>0</v>
      </c>
      <c r="K2215" s="444">
        <f t="shared" ca="1" si="123"/>
        <v>-22479160.045955617</v>
      </c>
      <c r="L2215" s="444">
        <f t="shared" ca="1" si="124"/>
        <v>-5417477571.075304</v>
      </c>
      <c r="M2215" s="460">
        <f t="shared" si="126"/>
        <v>0.05</v>
      </c>
      <c r="N2215" s="464">
        <f t="shared" si="127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25"/>
        <v>-5417477571.075304</v>
      </c>
      <c r="J2216" s="444">
        <f t="array" ref="J2216">IFERROR(INDEX('Retirement Calculator'!K:K,MATCH('Lorri 401b'!N2216,'Retirement Calculator'!A:A,0),0),0)</f>
        <v>0</v>
      </c>
      <c r="K2216" s="444">
        <f t="shared" ca="1" si="123"/>
        <v>-22572823.212813765</v>
      </c>
      <c r="L2216" s="444">
        <f t="shared" ca="1" si="124"/>
        <v>-5440050394.2881174</v>
      </c>
      <c r="M2216" s="460">
        <f t="shared" si="126"/>
        <v>0.05</v>
      </c>
      <c r="N2216" s="464">
        <f t="shared" si="127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25"/>
        <v>-5440050394.2881174</v>
      </c>
      <c r="J2217" s="444">
        <f t="array" ref="J2217">IFERROR(INDEX('Retirement Calculator'!K:K,MATCH('Lorri 401b'!N2217,'Retirement Calculator'!A:A,0),0),0)</f>
        <v>0</v>
      </c>
      <c r="K2217" s="444">
        <f t="shared" ca="1" si="123"/>
        <v>-22666876.642867155</v>
      </c>
      <c r="L2217" s="444">
        <f t="shared" ca="1" si="124"/>
        <v>-5462717270.9309845</v>
      </c>
      <c r="M2217" s="460">
        <f t="shared" si="126"/>
        <v>0.05</v>
      </c>
      <c r="N2217" s="464">
        <f t="shared" si="127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25"/>
        <v>-5462717270.9309845</v>
      </c>
      <c r="J2218" s="444">
        <f t="array" ref="J2218">IFERROR(INDEX('Retirement Calculator'!K:K,MATCH('Lorri 401b'!N2218,'Retirement Calculator'!A:A,0),0),0)</f>
        <v>0</v>
      </c>
      <c r="K2218" s="444">
        <f t="shared" ca="1" si="123"/>
        <v>-22761321.962212436</v>
      </c>
      <c r="L2218" s="444">
        <f t="shared" ca="1" si="124"/>
        <v>-5485478592.8931971</v>
      </c>
      <c r="M2218" s="460">
        <f t="shared" si="126"/>
        <v>0.05</v>
      </c>
      <c r="N2218" s="464">
        <f t="shared" si="127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25"/>
        <v>-5485478592.8931971</v>
      </c>
      <c r="J2219" s="444">
        <f t="array" ref="J2219">IFERROR(INDEX('Retirement Calculator'!K:K,MATCH('Lorri 401b'!N2219,'Retirement Calculator'!A:A,0),0),0)</f>
        <v>0</v>
      </c>
      <c r="K2219" s="444">
        <f t="shared" ca="1" si="123"/>
        <v>-22856160.803721655</v>
      </c>
      <c r="L2219" s="444">
        <f t="shared" ca="1" si="124"/>
        <v>-5508334753.6969185</v>
      </c>
      <c r="M2219" s="460">
        <f t="shared" si="126"/>
        <v>0.05</v>
      </c>
      <c r="N2219" s="464">
        <f t="shared" si="127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25"/>
        <v>-5508334753.6969185</v>
      </c>
      <c r="J2220" s="444">
        <f t="array" ref="J2220">IFERROR(INDEX('Retirement Calculator'!K:K,MATCH('Lorri 401b'!N2220,'Retirement Calculator'!A:A,0),0),0)</f>
        <v>0</v>
      </c>
      <c r="K2220" s="444">
        <f t="shared" ca="1" si="123"/>
        <v>-22951394.807070494</v>
      </c>
      <c r="L2220" s="444">
        <f t="shared" ca="1" si="124"/>
        <v>-5531286148.5039892</v>
      </c>
      <c r="M2220" s="460">
        <f t="shared" si="126"/>
        <v>0.05</v>
      </c>
      <c r="N2220" s="464">
        <f t="shared" si="127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25"/>
        <v>-5531286148.5039892</v>
      </c>
      <c r="J2221" s="444">
        <f t="array" ref="J2221">IFERROR(INDEX('Retirement Calculator'!K:K,MATCH('Lorri 401b'!N2221,'Retirement Calculator'!A:A,0),0),0)</f>
        <v>0</v>
      </c>
      <c r="K2221" s="444">
        <f t="shared" ca="1" si="123"/>
        <v>-23047025.618766621</v>
      </c>
      <c r="L2221" s="444">
        <f t="shared" ca="1" si="124"/>
        <v>-5554333174.122756</v>
      </c>
      <c r="M2221" s="460">
        <f t="shared" si="126"/>
        <v>0.05</v>
      </c>
      <c r="N2221" s="464">
        <f t="shared" si="127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25"/>
        <v>-5554333174.122756</v>
      </c>
      <c r="J2222" s="444">
        <f t="array" ref="J2222">IFERROR(INDEX('Retirement Calculator'!K:K,MATCH('Lorri 401b'!N2222,'Retirement Calculator'!A:A,0),0),0)</f>
        <v>0</v>
      </c>
      <c r="K2222" s="444">
        <f t="shared" ca="1" si="123"/>
        <v>-23143054.892178148</v>
      </c>
      <c r="L2222" s="444">
        <f t="shared" ca="1" si="124"/>
        <v>-5577476229.0149345</v>
      </c>
      <c r="M2222" s="460">
        <f t="shared" si="126"/>
        <v>0.05</v>
      </c>
      <c r="N2222" s="464">
        <f t="shared" si="127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25"/>
        <v>-5577476229.0149345</v>
      </c>
      <c r="J2223" s="444">
        <f t="array" ref="J2223">IFERROR(INDEX('Retirement Calculator'!K:K,MATCH('Lorri 401b'!N2223,'Retirement Calculator'!A:A,0),0),0)</f>
        <v>0</v>
      </c>
      <c r="K2223" s="444">
        <f t="shared" ca="1" si="123"/>
        <v>-23239484.287562229</v>
      </c>
      <c r="L2223" s="444">
        <f t="shared" ca="1" si="124"/>
        <v>-5600715713.3024969</v>
      </c>
      <c r="M2223" s="460">
        <f t="shared" si="126"/>
        <v>0.05</v>
      </c>
      <c r="N2223" s="464">
        <f t="shared" si="127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25"/>
        <v>-5600715713.3024969</v>
      </c>
      <c r="J2224" s="444">
        <f t="array" ref="J2224">IFERROR(INDEX('Retirement Calculator'!K:K,MATCH('Lorri 401b'!N2224,'Retirement Calculator'!A:A,0),0),0)</f>
        <v>0</v>
      </c>
      <c r="K2224" s="444">
        <f t="shared" ca="1" si="123"/>
        <v>-23336315.472093739</v>
      </c>
      <c r="L2224" s="444">
        <f t="shared" ca="1" si="124"/>
        <v>-5624052028.7745905</v>
      </c>
      <c r="M2224" s="460">
        <f t="shared" si="126"/>
        <v>0.05</v>
      </c>
      <c r="N2224" s="464">
        <f t="shared" si="127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25"/>
        <v>-5624052028.7745905</v>
      </c>
      <c r="J2225" s="444">
        <f t="array" ref="J2225">IFERROR(INDEX('Retirement Calculator'!K:K,MATCH('Lorri 401b'!N2225,'Retirement Calculator'!A:A,0),0),0)</f>
        <v>0</v>
      </c>
      <c r="K2225" s="444">
        <f t="shared" ca="1" si="123"/>
        <v>-23433550.119894128</v>
      </c>
      <c r="L2225" s="444">
        <f t="shared" ca="1" si="124"/>
        <v>-5647485578.8944845</v>
      </c>
      <c r="M2225" s="460">
        <f t="shared" si="126"/>
        <v>0.05</v>
      </c>
      <c r="N2225" s="464">
        <f t="shared" si="127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25"/>
        <v>-5647485578.8944845</v>
      </c>
      <c r="J2226" s="444">
        <f t="array" ref="J2226">IFERROR(INDEX('Retirement Calculator'!K:K,MATCH('Lorri 401b'!N2226,'Retirement Calculator'!A:A,0),0),0)</f>
        <v>0</v>
      </c>
      <c r="K2226" s="444">
        <f t="shared" ca="1" si="123"/>
        <v>-23531189.91206035</v>
      </c>
      <c r="L2226" s="444">
        <f t="shared" ca="1" si="124"/>
        <v>-5671016768.8065453</v>
      </c>
      <c r="M2226" s="460">
        <f t="shared" si="126"/>
        <v>0.05</v>
      </c>
      <c r="N2226" s="464">
        <f t="shared" si="127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25"/>
        <v>-5671016768.8065453</v>
      </c>
      <c r="J2227" s="444">
        <f t="array" ref="J2227">IFERROR(INDEX('Retirement Calculator'!K:K,MATCH('Lorri 401b'!N2227,'Retirement Calculator'!A:A,0),0),0)</f>
        <v>0</v>
      </c>
      <c r="K2227" s="444">
        <f t="shared" ca="1" si="123"/>
        <v>-23629236.536693938</v>
      </c>
      <c r="L2227" s="444">
        <f t="shared" ca="1" si="124"/>
        <v>-5694646005.3432388</v>
      </c>
      <c r="M2227" s="460">
        <f t="shared" si="126"/>
        <v>0.05</v>
      </c>
      <c r="N2227" s="464">
        <f t="shared" si="127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25"/>
        <v>-5694646005.3432388</v>
      </c>
      <c r="J2228" s="444">
        <f t="array" ref="J2228">IFERROR(INDEX('Retirement Calculator'!K:K,MATCH('Lorri 401b'!N2228,'Retirement Calculator'!A:A,0),0),0)</f>
        <v>0</v>
      </c>
      <c r="K2228" s="444">
        <f t="shared" ca="1" si="123"/>
        <v>-23727691.688930161</v>
      </c>
      <c r="L2228" s="444">
        <f t="shared" ca="1" si="124"/>
        <v>-5718373697.0321693</v>
      </c>
      <c r="M2228" s="460">
        <f t="shared" si="126"/>
        <v>0.05</v>
      </c>
      <c r="N2228" s="464">
        <f t="shared" si="127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25"/>
        <v>-5718373697.0321693</v>
      </c>
      <c r="J2229" s="444">
        <f t="array" ref="J2229">IFERROR(INDEX('Retirement Calculator'!K:K,MATCH('Lorri 401b'!N2229,'Retirement Calculator'!A:A,0),0),0)</f>
        <v>0</v>
      </c>
      <c r="K2229" s="444">
        <f t="shared" ca="1" si="123"/>
        <v>-23826557.070967373</v>
      </c>
      <c r="L2229" s="444">
        <f t="shared" ca="1" si="124"/>
        <v>-5742200254.103137</v>
      </c>
      <c r="M2229" s="460">
        <f t="shared" si="126"/>
        <v>0.05</v>
      </c>
      <c r="N2229" s="464">
        <f t="shared" si="127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25"/>
        <v>-5742200254.103137</v>
      </c>
      <c r="J2230" s="444">
        <f t="array" ref="J2230">IFERROR(INDEX('Retirement Calculator'!K:K,MATCH('Lorri 401b'!N2230,'Retirement Calculator'!A:A,0),0),0)</f>
        <v>0</v>
      </c>
      <c r="K2230" s="444">
        <f t="shared" ca="1" si="123"/>
        <v>-23925834.392096404</v>
      </c>
      <c r="L2230" s="444">
        <f t="shared" ca="1" si="124"/>
        <v>-5766126088.4952335</v>
      </c>
      <c r="M2230" s="460">
        <f t="shared" si="126"/>
        <v>0.05</v>
      </c>
      <c r="N2230" s="464">
        <f t="shared" si="127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25"/>
        <v>-5766126088.4952335</v>
      </c>
      <c r="J2231" s="444">
        <f t="array" ref="J2231">IFERROR(INDEX('Retirement Calculator'!K:K,MATCH('Lorri 401b'!N2231,'Retirement Calculator'!A:A,0),0),0)</f>
        <v>0</v>
      </c>
      <c r="K2231" s="444">
        <f t="shared" ca="1" si="123"/>
        <v>-24025525.368730139</v>
      </c>
      <c r="L2231" s="444">
        <f t="shared" ca="1" si="124"/>
        <v>-5790151613.8639641</v>
      </c>
      <c r="M2231" s="460">
        <f t="shared" si="126"/>
        <v>0.05</v>
      </c>
      <c r="N2231" s="464">
        <f t="shared" si="127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25"/>
        <v>-5790151613.8639641</v>
      </c>
      <c r="J2232" s="444">
        <f t="array" ref="J2232">IFERROR(INDEX('Retirement Calculator'!K:K,MATCH('Lorri 401b'!N2232,'Retirement Calculator'!A:A,0),0),0)</f>
        <v>0</v>
      </c>
      <c r="K2232" s="444">
        <f t="shared" ca="1" si="123"/>
        <v>-24125631.724433184</v>
      </c>
      <c r="L2232" s="444">
        <f t="shared" ca="1" si="124"/>
        <v>-5814277245.588397</v>
      </c>
      <c r="M2232" s="460">
        <f t="shared" si="126"/>
        <v>0.05</v>
      </c>
      <c r="N2232" s="464">
        <f t="shared" si="127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25"/>
        <v>-5814277245.588397</v>
      </c>
      <c r="J2233" s="444">
        <f t="array" ref="J2233">IFERROR(INDEX('Retirement Calculator'!K:K,MATCH('Lorri 401b'!N2233,'Retirement Calculator'!A:A,0),0),0)</f>
        <v>0</v>
      </c>
      <c r="K2233" s="444">
        <f t="shared" ca="1" si="123"/>
        <v>-24226155.189951655</v>
      </c>
      <c r="L2233" s="444">
        <f t="shared" ca="1" si="124"/>
        <v>-5838503400.7783489</v>
      </c>
      <c r="M2233" s="460">
        <f t="shared" si="126"/>
        <v>0.05</v>
      </c>
      <c r="N2233" s="464">
        <f t="shared" si="127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25"/>
        <v>-5838503400.7783489</v>
      </c>
      <c r="J2234" s="444">
        <f t="array" ref="J2234">IFERROR(INDEX('Retirement Calculator'!K:K,MATCH('Lorri 401b'!N2234,'Retirement Calculator'!A:A,0),0),0)</f>
        <v>0</v>
      </c>
      <c r="K2234" s="444">
        <f t="shared" ca="1" si="123"/>
        <v>-24327097.503243119</v>
      </c>
      <c r="L2234" s="444">
        <f t="shared" ca="1" si="124"/>
        <v>-5862830498.2815924</v>
      </c>
      <c r="M2234" s="460">
        <f t="shared" si="126"/>
        <v>0.05</v>
      </c>
      <c r="N2234" s="464">
        <f t="shared" si="127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25"/>
        <v>-5862830498.2815924</v>
      </c>
      <c r="J2235" s="444">
        <f t="array" ref="J2235">IFERROR(INDEX('Retirement Calculator'!K:K,MATCH('Lorri 401b'!N2235,'Retirement Calculator'!A:A,0),0),0)</f>
        <v>0</v>
      </c>
      <c r="K2235" s="444">
        <f t="shared" ca="1" si="123"/>
        <v>-24428460.409506634</v>
      </c>
      <c r="L2235" s="444">
        <f t="shared" ca="1" si="124"/>
        <v>-5887258958.6910992</v>
      </c>
      <c r="M2235" s="460">
        <f t="shared" si="126"/>
        <v>0.05</v>
      </c>
      <c r="N2235" s="464">
        <f t="shared" si="127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25"/>
        <v>-5887258958.6910992</v>
      </c>
      <c r="J2236" s="444">
        <f t="array" ref="J2236">IFERROR(INDEX('Retirement Calculator'!K:K,MATCH('Lorri 401b'!N2236,'Retirement Calculator'!A:A,0),0),0)</f>
        <v>0</v>
      </c>
      <c r="K2236" s="444">
        <f t="shared" ca="1" si="123"/>
        <v>-24530245.661212914</v>
      </c>
      <c r="L2236" s="444">
        <f t="shared" ca="1" si="124"/>
        <v>-5911789204.3523121</v>
      </c>
      <c r="M2236" s="460">
        <f t="shared" si="126"/>
        <v>0.05</v>
      </c>
      <c r="N2236" s="464">
        <f t="shared" si="127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25"/>
        <v>-5911789204.3523121</v>
      </c>
      <c r="J2237" s="444">
        <f t="array" ref="J2237">IFERROR(INDEX('Retirement Calculator'!K:K,MATCH('Lorri 401b'!N2237,'Retirement Calculator'!A:A,0),0),0)</f>
        <v>0</v>
      </c>
      <c r="K2237" s="444">
        <f t="shared" ca="1" si="123"/>
        <v>-24632455.018134635</v>
      </c>
      <c r="L2237" s="444">
        <f t="shared" ca="1" si="124"/>
        <v>-5936421659.3704472</v>
      </c>
      <c r="M2237" s="460">
        <f t="shared" si="126"/>
        <v>0.05</v>
      </c>
      <c r="N2237" s="464">
        <f t="shared" si="127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25"/>
        <v>-5936421659.3704472</v>
      </c>
      <c r="J2238" s="444">
        <f t="array" ref="J2238">IFERROR(INDEX('Retirement Calculator'!K:K,MATCH('Lorri 401b'!N2238,'Retirement Calculator'!A:A,0),0),0)</f>
        <v>0</v>
      </c>
      <c r="K2238" s="444">
        <f t="shared" ca="1" si="123"/>
        <v>-24735090.247376863</v>
      </c>
      <c r="L2238" s="444">
        <f t="shared" ca="1" si="124"/>
        <v>-5961156749.6178236</v>
      </c>
      <c r="M2238" s="460">
        <f t="shared" si="126"/>
        <v>0.05</v>
      </c>
      <c r="N2238" s="464">
        <f t="shared" si="127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25"/>
        <v>-5961156749.6178236</v>
      </c>
      <c r="J2239" s="444">
        <f t="array" ref="J2239">IFERROR(INDEX('Retirement Calculator'!K:K,MATCH('Lorri 401b'!N2239,'Retirement Calculator'!A:A,0),0),0)</f>
        <v>0</v>
      </c>
      <c r="K2239" s="444">
        <f t="shared" ca="1" si="123"/>
        <v>-24838153.123407599</v>
      </c>
      <c r="L2239" s="444">
        <f t="shared" ca="1" si="124"/>
        <v>-5985994902.741231</v>
      </c>
      <c r="M2239" s="460">
        <f t="shared" si="126"/>
        <v>0.05</v>
      </c>
      <c r="N2239" s="464">
        <f t="shared" si="127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25"/>
        <v>-5985994902.741231</v>
      </c>
      <c r="J2240" s="444">
        <f t="array" ref="J2240">IFERROR(INDEX('Retirement Calculator'!K:K,MATCH('Lorri 401b'!N2240,'Retirement Calculator'!A:A,0),0),0)</f>
        <v>0</v>
      </c>
      <c r="K2240" s="444">
        <f t="shared" ca="1" si="123"/>
        <v>-24941645.428088464</v>
      </c>
      <c r="L2240" s="444">
        <f t="shared" ca="1" si="124"/>
        <v>-6010936548.1693192</v>
      </c>
      <c r="M2240" s="460">
        <f t="shared" si="126"/>
        <v>0.05</v>
      </c>
      <c r="N2240" s="464">
        <f t="shared" si="127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25"/>
        <v>-6010936548.1693192</v>
      </c>
      <c r="J2241" s="444">
        <f t="array" ref="J2241">IFERROR(INDEX('Retirement Calculator'!K:K,MATCH('Lorri 401b'!N2241,'Retirement Calculator'!A:A,0),0),0)</f>
        <v>0</v>
      </c>
      <c r="K2241" s="444">
        <f t="shared" ca="1" si="123"/>
        <v>-25045568.950705495</v>
      </c>
      <c r="L2241" s="444">
        <f t="shared" ca="1" si="124"/>
        <v>-6035982117.1200247</v>
      </c>
      <c r="M2241" s="460">
        <f t="shared" si="126"/>
        <v>0.05</v>
      </c>
      <c r="N2241" s="464">
        <f t="shared" si="127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25"/>
        <v>-6035982117.1200247</v>
      </c>
      <c r="J2242" s="444">
        <f t="array" ref="J2242">IFERROR(INDEX('Retirement Calculator'!K:K,MATCH('Lorri 401b'!N2242,'Retirement Calculator'!A:A,0),0),0)</f>
        <v>0</v>
      </c>
      <c r="K2242" s="444">
        <f t="shared" ca="1" si="123"/>
        <v>-25149925.488000102</v>
      </c>
      <c r="L2242" s="444">
        <f t="shared" ca="1" si="124"/>
        <v>-6061132042.6080246</v>
      </c>
      <c r="M2242" s="460">
        <f t="shared" si="126"/>
        <v>0.05</v>
      </c>
      <c r="N2242" s="464">
        <f t="shared" si="127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25"/>
        <v>-6061132042.6080246</v>
      </c>
      <c r="J2243" s="444">
        <f t="array" ref="J2243">IFERROR(INDEX('Retirement Calculator'!K:K,MATCH('Lorri 401b'!N2243,'Retirement Calculator'!A:A,0),0),0)</f>
        <v>0</v>
      </c>
      <c r="K2243" s="444">
        <f t="shared" ca="1" si="123"/>
        <v>-25254716.844200101</v>
      </c>
      <c r="L2243" s="444">
        <f t="shared" ca="1" si="124"/>
        <v>-6086386759.4522247</v>
      </c>
      <c r="M2243" s="460">
        <f t="shared" si="126"/>
        <v>0.05</v>
      </c>
      <c r="N2243" s="464">
        <f t="shared" si="127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25"/>
        <v>-6086386759.4522247</v>
      </c>
      <c r="J2244" s="444">
        <f t="array" ref="J2244">IFERROR(INDEX('Retirement Calculator'!K:K,MATCH('Lorri 401b'!N2244,'Retirement Calculator'!A:A,0),0),0)</f>
        <v>0</v>
      </c>
      <c r="K2244" s="444">
        <f t="shared" ca="1" si="123"/>
        <v>-25359944.831050936</v>
      </c>
      <c r="L2244" s="444">
        <f t="shared" ca="1" si="124"/>
        <v>-6111746704.2832756</v>
      </c>
      <c r="M2244" s="460">
        <f t="shared" si="126"/>
        <v>0.05</v>
      </c>
      <c r="N2244" s="464">
        <f t="shared" si="127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25"/>
        <v>-6111746704.2832756</v>
      </c>
      <c r="J2245" s="444">
        <f t="array" ref="J2245">IFERROR(INDEX('Retirement Calculator'!K:K,MATCH('Lorri 401b'!N2245,'Retirement Calculator'!A:A,0),0),0)</f>
        <v>0</v>
      </c>
      <c r="K2245" s="444">
        <f t="shared" ca="1" si="123"/>
        <v>-25465611.267846983</v>
      </c>
      <c r="L2245" s="444">
        <f t="shared" ca="1" si="124"/>
        <v>-6137212315.5511227</v>
      </c>
      <c r="M2245" s="460">
        <f t="shared" si="126"/>
        <v>0.05</v>
      </c>
      <c r="N2245" s="464">
        <f t="shared" si="127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25"/>
        <v>-6137212315.5511227</v>
      </c>
      <c r="J2246" s="444">
        <f t="array" ref="J2246">IFERROR(INDEX('Retirement Calculator'!K:K,MATCH('Lorri 401b'!N2246,'Retirement Calculator'!A:A,0),0),0)</f>
        <v>0</v>
      </c>
      <c r="K2246" s="444">
        <f t="shared" ca="1" si="123"/>
        <v>-25571717.981463011</v>
      </c>
      <c r="L2246" s="444">
        <f t="shared" ca="1" si="124"/>
        <v>-6162784033.5325861</v>
      </c>
      <c r="M2246" s="460">
        <f t="shared" si="126"/>
        <v>0.05</v>
      </c>
      <c r="N2246" s="464">
        <f t="shared" si="127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25"/>
        <v>-6162784033.5325861</v>
      </c>
      <c r="J2247" s="444">
        <f t="array" ref="J2247">IFERROR(INDEX('Retirement Calculator'!K:K,MATCH('Lorri 401b'!N2247,'Retirement Calculator'!A:A,0),0),0)</f>
        <v>0</v>
      </c>
      <c r="K2247" s="444">
        <f t="shared" ca="1" si="123"/>
        <v>-25678266.806385774</v>
      </c>
      <c r="L2247" s="444">
        <f t="shared" ca="1" si="124"/>
        <v>-6188462300.3389721</v>
      </c>
      <c r="M2247" s="460">
        <f t="shared" si="126"/>
        <v>0.05</v>
      </c>
      <c r="N2247" s="464">
        <f t="shared" si="127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25"/>
        <v>-6188462300.3389721</v>
      </c>
      <c r="J2248" s="444">
        <f t="array" ref="J2248">IFERROR(INDEX('Retirement Calculator'!K:K,MATCH('Lorri 401b'!N2248,'Retirement Calculator'!A:A,0),0),0)</f>
        <v>0</v>
      </c>
      <c r="K2248" s="444">
        <f t="shared" ca="1" si="123"/>
        <v>-25785259.584745716</v>
      </c>
      <c r="L2248" s="444">
        <f t="shared" ca="1" si="124"/>
        <v>-6214247559.9237175</v>
      </c>
      <c r="M2248" s="460">
        <f t="shared" si="126"/>
        <v>0.05</v>
      </c>
      <c r="N2248" s="464">
        <f t="shared" si="127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25"/>
        <v>-6214247559.9237175</v>
      </c>
      <c r="J2249" s="444">
        <f t="array" ref="J2249">IFERROR(INDEX('Retirement Calculator'!K:K,MATCH('Lorri 401b'!N2249,'Retirement Calculator'!A:A,0),0),0)</f>
        <v>0</v>
      </c>
      <c r="K2249" s="444">
        <f t="shared" ca="1" si="123"/>
        <v>-25892698.166348822</v>
      </c>
      <c r="L2249" s="444">
        <f t="shared" ca="1" si="124"/>
        <v>-6240140258.090066</v>
      </c>
      <c r="M2249" s="460">
        <f t="shared" si="126"/>
        <v>0.05</v>
      </c>
      <c r="N2249" s="464">
        <f t="shared" si="127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25"/>
        <v>-6240140258.090066</v>
      </c>
      <c r="J2250" s="444">
        <f t="array" ref="J2250">IFERROR(INDEX('Retirement Calculator'!K:K,MATCH('Lorri 401b'!N2250,'Retirement Calculator'!A:A,0),0),0)</f>
        <v>0</v>
      </c>
      <c r="K2250" s="444">
        <f t="shared" ca="1" si="123"/>
        <v>-26000584.40870861</v>
      </c>
      <c r="L2250" s="444">
        <f t="shared" ca="1" si="124"/>
        <v>-6266140842.4987745</v>
      </c>
      <c r="M2250" s="460">
        <f t="shared" si="126"/>
        <v>0.05</v>
      </c>
      <c r="N2250" s="464">
        <f t="shared" si="127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25"/>
        <v>-6266140842.4987745</v>
      </c>
      <c r="J2251" s="444">
        <f t="array" ref="J2251">IFERROR(INDEX('Retirement Calculator'!K:K,MATCH('Lorri 401b'!N2251,'Retirement Calculator'!A:A,0),0),0)</f>
        <v>0</v>
      </c>
      <c r="K2251" s="444">
        <f t="shared" ca="1" si="123"/>
        <v>-26108920.177078228</v>
      </c>
      <c r="L2251" s="444">
        <f t="shared" ca="1" si="124"/>
        <v>-6292249762.6758528</v>
      </c>
      <c r="M2251" s="460">
        <f t="shared" si="126"/>
        <v>0.05</v>
      </c>
      <c r="N2251" s="464">
        <f t="shared" si="127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25"/>
        <v>-6292249762.6758528</v>
      </c>
      <c r="J2252" s="444">
        <f t="array" ref="J2252">IFERROR(INDEX('Retirement Calculator'!K:K,MATCH('Lorri 401b'!N2252,'Retirement Calculator'!A:A,0),0),0)</f>
        <v>0</v>
      </c>
      <c r="K2252" s="444">
        <f t="shared" ca="1" si="123"/>
        <v>-26217707.34448272</v>
      </c>
      <c r="L2252" s="444">
        <f t="shared" ca="1" si="124"/>
        <v>-6318467470.0203352</v>
      </c>
      <c r="M2252" s="460">
        <f t="shared" si="126"/>
        <v>0.05</v>
      </c>
      <c r="N2252" s="464">
        <f t="shared" si="127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25"/>
        <v>-6318467470.0203352</v>
      </c>
      <c r="J2253" s="444">
        <f t="array" ref="J2253">IFERROR(INDEX('Retirement Calculator'!K:K,MATCH('Lorri 401b'!N2253,'Retirement Calculator'!A:A,0),0),0)</f>
        <v>0</v>
      </c>
      <c r="K2253" s="444">
        <f t="shared" ca="1" si="123"/>
        <v>-26326947.791751396</v>
      </c>
      <c r="L2253" s="444">
        <f t="shared" ca="1" si="124"/>
        <v>-6344794417.8120871</v>
      </c>
      <c r="M2253" s="460">
        <f t="shared" si="126"/>
        <v>0.05</v>
      </c>
      <c r="N2253" s="464">
        <f t="shared" si="127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25"/>
        <v>-6344794417.8120871</v>
      </c>
      <c r="J2254" s="444">
        <f t="array" ref="J2254">IFERROR(INDEX('Retirement Calculator'!K:K,MATCH('Lorri 401b'!N2254,'Retirement Calculator'!A:A,0),0),0)</f>
        <v>0</v>
      </c>
      <c r="K2254" s="444">
        <f t="shared" ca="1" si="123"/>
        <v>-26436643.407550361</v>
      </c>
      <c r="L2254" s="444">
        <f t="shared" ca="1" si="124"/>
        <v>-6371231061.2196379</v>
      </c>
      <c r="M2254" s="460">
        <f t="shared" si="126"/>
        <v>0.05</v>
      </c>
      <c r="N2254" s="464">
        <f t="shared" si="127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25"/>
        <v>-6371231061.2196379</v>
      </c>
      <c r="J2255" s="444">
        <f t="array" ref="J2255">IFERROR(INDEX('Retirement Calculator'!K:K,MATCH('Lorri 401b'!N2255,'Retirement Calculator'!A:A,0),0),0)</f>
        <v>0</v>
      </c>
      <c r="K2255" s="444">
        <f t="shared" ca="1" si="123"/>
        <v>-26546796.088415157</v>
      </c>
      <c r="L2255" s="444">
        <f t="shared" ca="1" si="124"/>
        <v>-6397777857.308053</v>
      </c>
      <c r="M2255" s="460">
        <f t="shared" si="126"/>
        <v>0.05</v>
      </c>
      <c r="N2255" s="464">
        <f t="shared" si="127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25"/>
        <v>-6397777857.308053</v>
      </c>
      <c r="J2256" s="444">
        <f t="array" ref="J2256">IFERROR(INDEX('Retirement Calculator'!K:K,MATCH('Lorri 401b'!N2256,'Retirement Calculator'!A:A,0),0),0)</f>
        <v>0</v>
      </c>
      <c r="K2256" s="444">
        <f t="shared" ca="1" si="123"/>
        <v>-26657407.738783553</v>
      </c>
      <c r="L2256" s="444">
        <f t="shared" ca="1" si="124"/>
        <v>-6424435265.0468369</v>
      </c>
      <c r="M2256" s="460">
        <f t="shared" si="126"/>
        <v>0.05</v>
      </c>
      <c r="N2256" s="464">
        <f t="shared" si="127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25"/>
        <v>-6424435265.0468369</v>
      </c>
      <c r="J2257" s="444">
        <f t="array" ref="J2257">IFERROR(INDEX('Retirement Calculator'!K:K,MATCH('Lorri 401b'!N2257,'Retirement Calculator'!A:A,0),0),0)</f>
        <v>0</v>
      </c>
      <c r="K2257" s="444">
        <f t="shared" ca="1" si="123"/>
        <v>-26768480.271028485</v>
      </c>
      <c r="L2257" s="444">
        <f t="shared" ca="1" si="124"/>
        <v>-6451203745.3178654</v>
      </c>
      <c r="M2257" s="460">
        <f t="shared" si="126"/>
        <v>0.05</v>
      </c>
      <c r="N2257" s="464">
        <f t="shared" si="127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25"/>
        <v>-6451203745.3178654</v>
      </c>
      <c r="J2258" s="444">
        <f t="array" ref="J2258">IFERROR(INDEX('Retirement Calculator'!K:K,MATCH('Lorri 401b'!N2258,'Retirement Calculator'!A:A,0),0),0)</f>
        <v>0</v>
      </c>
      <c r="K2258" s="444">
        <f t="shared" ca="1" si="123"/>
        <v>-26880015.605491105</v>
      </c>
      <c r="L2258" s="444">
        <f t="shared" ca="1" si="124"/>
        <v>-6478083760.9233561</v>
      </c>
      <c r="M2258" s="460">
        <f t="shared" si="126"/>
        <v>0.05</v>
      </c>
      <c r="N2258" s="464">
        <f t="shared" si="127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25"/>
        <v>-6478083760.9233561</v>
      </c>
      <c r="J2259" s="444">
        <f t="array" ref="J2259">IFERROR(INDEX('Retirement Calculator'!K:K,MATCH('Lorri 401b'!N2259,'Retirement Calculator'!A:A,0),0),0)</f>
        <v>0</v>
      </c>
      <c r="K2259" s="444">
        <f t="shared" ca="1" si="123"/>
        <v>-26992015.670513984</v>
      </c>
      <c r="L2259" s="444">
        <f t="shared" ca="1" si="124"/>
        <v>-6505075776.5938702</v>
      </c>
      <c r="M2259" s="460">
        <f t="shared" si="126"/>
        <v>0.05</v>
      </c>
      <c r="N2259" s="464">
        <f t="shared" si="127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25"/>
        <v>-6505075776.5938702</v>
      </c>
      <c r="J2260" s="444">
        <f t="array" ref="J2260">IFERROR(INDEX('Retirement Calculator'!K:K,MATCH('Lorri 401b'!N2260,'Retirement Calculator'!A:A,0),0),0)</f>
        <v>0</v>
      </c>
      <c r="K2260" s="444">
        <f t="shared" ca="1" si="123"/>
        <v>-27104482.402474459</v>
      </c>
      <c r="L2260" s="444">
        <f t="shared" ca="1" si="124"/>
        <v>-6532180258.9963446</v>
      </c>
      <c r="M2260" s="460">
        <f t="shared" si="126"/>
        <v>0.05</v>
      </c>
      <c r="N2260" s="464">
        <f t="shared" si="127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25"/>
        <v>-6532180258.9963446</v>
      </c>
      <c r="J2261" s="444">
        <f t="array" ref="J2261">IFERROR(INDEX('Retirement Calculator'!K:K,MATCH('Lorri 401b'!N2261,'Retirement Calculator'!A:A,0),0),0)</f>
        <v>0</v>
      </c>
      <c r="K2261" s="444">
        <f t="shared" ca="1" si="123"/>
        <v>-27217417.745818101</v>
      </c>
      <c r="L2261" s="444">
        <f t="shared" ca="1" si="124"/>
        <v>-6559397676.7421627</v>
      </c>
      <c r="M2261" s="460">
        <f t="shared" si="126"/>
        <v>0.05</v>
      </c>
      <c r="N2261" s="464">
        <f t="shared" si="127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25"/>
        <v>-6559397676.7421627</v>
      </c>
      <c r="J2262" s="444">
        <f t="array" ref="J2262">IFERROR(INDEX('Retirement Calculator'!K:K,MATCH('Lorri 401b'!N2262,'Retirement Calculator'!A:A,0),0),0)</f>
        <v>0</v>
      </c>
      <c r="K2262" s="444">
        <f t="shared" ca="1" si="123"/>
        <v>-27330823.653092343</v>
      </c>
      <c r="L2262" s="444">
        <f t="shared" ca="1" si="124"/>
        <v>-6586728500.3952551</v>
      </c>
      <c r="M2262" s="460">
        <f t="shared" si="126"/>
        <v>0.05</v>
      </c>
      <c r="N2262" s="464">
        <f t="shared" si="127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25"/>
        <v>-6586728500.3952551</v>
      </c>
      <c r="J2263" s="444">
        <f t="array" ref="J2263">IFERROR(INDEX('Retirement Calculator'!K:K,MATCH('Lorri 401b'!N2263,'Retirement Calculator'!A:A,0),0),0)</f>
        <v>0</v>
      </c>
      <c r="K2263" s="444">
        <f t="shared" ca="1" si="123"/>
        <v>-27444702.084980231</v>
      </c>
      <c r="L2263" s="444">
        <f t="shared" ca="1" si="124"/>
        <v>-6614173202.4802351</v>
      </c>
      <c r="M2263" s="460">
        <f t="shared" si="126"/>
        <v>0.05</v>
      </c>
      <c r="N2263" s="464">
        <f t="shared" si="127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25"/>
        <v>-6614173202.4802351</v>
      </c>
      <c r="J2264" s="444">
        <f t="array" ref="J2264">IFERROR(INDEX('Retirement Calculator'!K:K,MATCH('Lorri 401b'!N2264,'Retirement Calculator'!A:A,0),0),0)</f>
        <v>0</v>
      </c>
      <c r="K2264" s="444">
        <f t="shared" ca="1" si="123"/>
        <v>-27559055.010334313</v>
      </c>
      <c r="L2264" s="444">
        <f t="shared" ca="1" si="124"/>
        <v>-6641732257.4905691</v>
      </c>
      <c r="M2264" s="460">
        <f t="shared" si="126"/>
        <v>0.05</v>
      </c>
      <c r="N2264" s="464">
        <f t="shared" si="127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25"/>
        <v>-6641732257.4905691</v>
      </c>
      <c r="J2265" s="444">
        <f t="array" ref="J2265">IFERROR(INDEX('Retirement Calculator'!K:K,MATCH('Lorri 401b'!N2265,'Retirement Calculator'!A:A,0),0),0)</f>
        <v>0</v>
      </c>
      <c r="K2265" s="444">
        <f t="shared" ca="1" si="123"/>
        <v>-27673884.406210706</v>
      </c>
      <c r="L2265" s="444">
        <f t="shared" ca="1" si="124"/>
        <v>-6669406141.89678</v>
      </c>
      <c r="M2265" s="460">
        <f t="shared" si="126"/>
        <v>0.05</v>
      </c>
      <c r="N2265" s="464">
        <f t="shared" si="127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25"/>
        <v>-6669406141.89678</v>
      </c>
      <c r="J2266" s="444">
        <f t="array" ref="J2266">IFERROR(INDEX('Retirement Calculator'!K:K,MATCH('Lorri 401b'!N2266,'Retirement Calculator'!A:A,0),0),0)</f>
        <v>0</v>
      </c>
      <c r="K2266" s="444">
        <f t="shared" ca="1" si="123"/>
        <v>-27789192.257903248</v>
      </c>
      <c r="L2266" s="444">
        <f t="shared" ca="1" si="124"/>
        <v>-6697195334.1546831</v>
      </c>
      <c r="M2266" s="460">
        <f t="shared" si="126"/>
        <v>0.05</v>
      </c>
      <c r="N2266" s="464">
        <f t="shared" si="127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25"/>
        <v>-6697195334.1546831</v>
      </c>
      <c r="J2267" s="444">
        <f t="array" ref="J2267">IFERROR(INDEX('Retirement Calculator'!K:K,MATCH('Lorri 401b'!N2267,'Retirement Calculator'!A:A,0),0),0)</f>
        <v>0</v>
      </c>
      <c r="K2267" s="444">
        <f t="shared" ca="1" si="123"/>
        <v>-27904980.55897785</v>
      </c>
      <c r="L2267" s="444">
        <f t="shared" ca="1" si="124"/>
        <v>-6725100314.7136612</v>
      </c>
      <c r="M2267" s="460">
        <f t="shared" si="126"/>
        <v>0.05</v>
      </c>
      <c r="N2267" s="464">
        <f t="shared" si="127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25"/>
        <v>-6725100314.7136612</v>
      </c>
      <c r="J2268" s="444">
        <f t="array" ref="J2268">IFERROR(INDEX('Retirement Calculator'!K:K,MATCH('Lorri 401b'!N2268,'Retirement Calculator'!A:A,0),0),0)</f>
        <v>0</v>
      </c>
      <c r="K2268" s="444">
        <f t="shared" ca="1" si="123"/>
        <v>-28021251.31130692</v>
      </c>
      <c r="L2268" s="444">
        <f t="shared" ca="1" si="124"/>
        <v>-6753121566.0249681</v>
      </c>
      <c r="M2268" s="460">
        <f t="shared" si="126"/>
        <v>0.05</v>
      </c>
      <c r="N2268" s="464">
        <f t="shared" si="127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25"/>
        <v>-6753121566.0249681</v>
      </c>
      <c r="J2269" s="444">
        <f t="array" ref="J2269">IFERROR(INDEX('Retirement Calculator'!K:K,MATCH('Lorri 401b'!N2269,'Retirement Calculator'!A:A,0),0),0)</f>
        <v>0</v>
      </c>
      <c r="K2269" s="444">
        <f t="shared" ca="1" si="123"/>
        <v>-28138006.525104035</v>
      </c>
      <c r="L2269" s="444">
        <f t="shared" ca="1" si="124"/>
        <v>-6781259572.5500717</v>
      </c>
      <c r="M2269" s="460">
        <f t="shared" si="126"/>
        <v>0.05</v>
      </c>
      <c r="N2269" s="464">
        <f t="shared" si="127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25"/>
        <v>-6781259572.5500717</v>
      </c>
      <c r="J2270" s="444">
        <f t="array" ref="J2270">IFERROR(INDEX('Retirement Calculator'!K:K,MATCH('Lorri 401b'!N2270,'Retirement Calculator'!A:A,0),0),0)</f>
        <v>0</v>
      </c>
      <c r="K2270" s="444">
        <f t="shared" ca="1" si="123"/>
        <v>-28255248.218958627</v>
      </c>
      <c r="L2270" s="444">
        <f t="shared" ca="1" si="124"/>
        <v>-6809514820.7690306</v>
      </c>
      <c r="M2270" s="460">
        <f t="shared" si="126"/>
        <v>0.05</v>
      </c>
      <c r="N2270" s="464">
        <f t="shared" si="127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25"/>
        <v>-6809514820.7690306</v>
      </c>
      <c r="J2271" s="444">
        <f t="array" ref="J2271">IFERROR(INDEX('Retirement Calculator'!K:K,MATCH('Lorri 401b'!N2271,'Retirement Calculator'!A:A,0),0),0)</f>
        <v>0</v>
      </c>
      <c r="K2271" s="444">
        <f t="shared" ca="1" si="123"/>
        <v>-28372978.419870958</v>
      </c>
      <c r="L2271" s="444">
        <f t="shared" ca="1" si="124"/>
        <v>-6837887799.1889019</v>
      </c>
      <c r="M2271" s="460">
        <f t="shared" si="126"/>
        <v>0.05</v>
      </c>
      <c r="N2271" s="464">
        <f t="shared" si="127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25"/>
        <v>-6837887799.1889019</v>
      </c>
      <c r="J2272" s="444">
        <f t="array" ref="J2272">IFERROR(INDEX('Retirement Calculator'!K:K,MATCH('Lorri 401b'!N2272,'Retirement Calculator'!A:A,0),0),0)</f>
        <v>0</v>
      </c>
      <c r="K2272" s="444">
        <f t="shared" ca="1" si="123"/>
        <v>-28491199.163287092</v>
      </c>
      <c r="L2272" s="444">
        <f t="shared" ca="1" si="124"/>
        <v>-6866378998.3521891</v>
      </c>
      <c r="M2272" s="460">
        <f t="shared" si="126"/>
        <v>0.05</v>
      </c>
      <c r="N2272" s="464">
        <f t="shared" si="127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25"/>
        <v>-6866378998.3521891</v>
      </c>
      <c r="J2273" s="444">
        <f t="array" ref="J2273">IFERROR(INDEX('Retirement Calculator'!K:K,MATCH('Lorri 401b'!N2273,'Retirement Calculator'!A:A,0),0),0)</f>
        <v>0</v>
      </c>
      <c r="K2273" s="444">
        <f t="shared" ca="1" si="123"/>
        <v>-28609912.493134122</v>
      </c>
      <c r="L2273" s="444">
        <f t="shared" ca="1" si="124"/>
        <v>-6894988910.8453236</v>
      </c>
      <c r="M2273" s="460">
        <f t="shared" si="126"/>
        <v>0.05</v>
      </c>
      <c r="N2273" s="464">
        <f t="shared" si="127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25"/>
        <v>-6894988910.8453236</v>
      </c>
      <c r="J2274" s="444">
        <f t="array" ref="J2274">IFERROR(INDEX('Retirement Calculator'!K:K,MATCH('Lorri 401b'!N2274,'Retirement Calculator'!A:A,0),0),0)</f>
        <v>0</v>
      </c>
      <c r="K2274" s="444">
        <f t="shared" ca="1" si="123"/>
        <v>-28729120.461855516</v>
      </c>
      <c r="L2274" s="444">
        <f t="shared" ca="1" si="124"/>
        <v>-6923718031.3071795</v>
      </c>
      <c r="M2274" s="460">
        <f t="shared" si="126"/>
        <v>0.05</v>
      </c>
      <c r="N2274" s="464">
        <f t="shared" si="127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25"/>
        <v>-6923718031.3071795</v>
      </c>
      <c r="J2275" s="444">
        <f t="array" ref="J2275">IFERROR(INDEX('Retirement Calculator'!K:K,MATCH('Lorri 401b'!N2275,'Retirement Calculator'!A:A,0),0),0)</f>
        <v>0</v>
      </c>
      <c r="K2275" s="444">
        <f t="shared" ca="1" si="123"/>
        <v>-28848825.130446579</v>
      </c>
      <c r="L2275" s="444">
        <f t="shared" ca="1" si="124"/>
        <v>-6952566856.4376259</v>
      </c>
      <c r="M2275" s="460">
        <f t="shared" si="126"/>
        <v>0.05</v>
      </c>
      <c r="N2275" s="464">
        <f t="shared" si="127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25"/>
        <v>-6952566856.4376259</v>
      </c>
      <c r="J2276" s="444">
        <f t="array" ref="J2276">IFERROR(INDEX('Retirement Calculator'!K:K,MATCH('Lorri 401b'!N2276,'Retirement Calculator'!A:A,0),0),0)</f>
        <v>0</v>
      </c>
      <c r="K2276" s="444">
        <f t="shared" ca="1" si="123"/>
        <v>-28969028.568490107</v>
      </c>
      <c r="L2276" s="444">
        <f t="shared" ca="1" si="124"/>
        <v>-6981535885.0061159</v>
      </c>
      <c r="M2276" s="460">
        <f t="shared" si="126"/>
        <v>0.05</v>
      </c>
      <c r="N2276" s="464">
        <f t="shared" si="127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25"/>
        <v>-6981535885.0061159</v>
      </c>
      <c r="J2277" s="444">
        <f t="array" ref="J2277">IFERROR(INDEX('Retirement Calculator'!K:K,MATCH('Lorri 401b'!N2277,'Retirement Calculator'!A:A,0),0),0)</f>
        <v>0</v>
      </c>
      <c r="K2277" s="444">
        <f t="shared" ca="1" si="123"/>
        <v>-29089732.854192153</v>
      </c>
      <c r="L2277" s="444">
        <f t="shared" ca="1" si="124"/>
        <v>-7010625617.8603077</v>
      </c>
      <c r="M2277" s="460">
        <f t="shared" si="126"/>
        <v>0.05</v>
      </c>
      <c r="N2277" s="464">
        <f t="shared" si="127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25"/>
        <v>-7010625617.8603077</v>
      </c>
      <c r="J2278" s="444">
        <f t="array" ref="J2278">IFERROR(INDEX('Retirement Calculator'!K:K,MATCH('Lorri 401b'!N2278,'Retirement Calculator'!A:A,0),0),0)</f>
        <v>0</v>
      </c>
      <c r="K2278" s="444">
        <f t="shared" ca="1" si="123"/>
        <v>-29210940.074417949</v>
      </c>
      <c r="L2278" s="444">
        <f t="shared" ca="1" si="124"/>
        <v>-7039836557.9347258</v>
      </c>
      <c r="M2278" s="460">
        <f t="shared" si="126"/>
        <v>0.05</v>
      </c>
      <c r="N2278" s="464">
        <f t="shared" si="127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25"/>
        <v>-7039836557.9347258</v>
      </c>
      <c r="J2279" s="444">
        <f t="array" ref="J2279">IFERROR(INDEX('Retirement Calculator'!K:K,MATCH('Lorri 401b'!N2279,'Retirement Calculator'!A:A,0),0),0)</f>
        <v>0</v>
      </c>
      <c r="K2279" s="444">
        <f t="shared" ca="1" si="123"/>
        <v>-29332652.324728023</v>
      </c>
      <c r="L2279" s="444">
        <f t="shared" ca="1" si="124"/>
        <v>-7069169210.2594538</v>
      </c>
      <c r="M2279" s="460">
        <f t="shared" si="126"/>
        <v>0.05</v>
      </c>
      <c r="N2279" s="464">
        <f t="shared" si="127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25"/>
        <v>-7069169210.2594538</v>
      </c>
      <c r="J2280" s="444">
        <f t="array" ref="J2280">IFERROR(INDEX('Retirement Calculator'!K:K,MATCH('Lorri 401b'!N2280,'Retirement Calculator'!A:A,0),0),0)</f>
        <v>0</v>
      </c>
      <c r="K2280" s="444">
        <f t="shared" ca="1" si="123"/>
        <v>-29454871.709414389</v>
      </c>
      <c r="L2280" s="444">
        <f t="shared" ca="1" si="124"/>
        <v>-7098624081.9688683</v>
      </c>
      <c r="M2280" s="460">
        <f t="shared" si="126"/>
        <v>0.05</v>
      </c>
      <c r="N2280" s="464">
        <f t="shared" si="127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25"/>
        <v>-7098624081.9688683</v>
      </c>
      <c r="J2281" s="444">
        <f t="array" ref="J2281">IFERROR(INDEX('Retirement Calculator'!K:K,MATCH('Lorri 401b'!N2281,'Retirement Calculator'!A:A,0),0),0)</f>
        <v>0</v>
      </c>
      <c r="K2281" s="444">
        <f t="shared" ca="1" si="123"/>
        <v>-29577600.34153695</v>
      </c>
      <c r="L2281" s="444">
        <f t="shared" ca="1" si="124"/>
        <v>-7128201682.3104048</v>
      </c>
      <c r="M2281" s="460">
        <f t="shared" si="126"/>
        <v>0.05</v>
      </c>
      <c r="N2281" s="464">
        <f t="shared" si="127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25"/>
        <v>-7128201682.3104048</v>
      </c>
      <c r="J2282" s="444">
        <f t="array" ref="J2282">IFERROR(INDEX('Retirement Calculator'!K:K,MATCH('Lorri 401b'!N2282,'Retirement Calculator'!A:A,0),0),0)</f>
        <v>0</v>
      </c>
      <c r="K2282" s="444">
        <f t="shared" ca="1" si="123"/>
        <v>-29700840.342960019</v>
      </c>
      <c r="L2282" s="444">
        <f t="shared" ca="1" si="124"/>
        <v>-7157902522.6533651</v>
      </c>
      <c r="M2282" s="460">
        <f t="shared" si="126"/>
        <v>0.05</v>
      </c>
      <c r="N2282" s="464">
        <f t="shared" si="127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25"/>
        <v>-7157902522.6533651</v>
      </c>
      <c r="J2283" s="444">
        <f t="array" ref="J2283">IFERROR(INDEX('Retirement Calculator'!K:K,MATCH('Lorri 401b'!N2283,'Retirement Calculator'!A:A,0),0),0)</f>
        <v>0</v>
      </c>
      <c r="K2283" s="444">
        <f t="shared" ca="1" si="123"/>
        <v>-29824593.844389018</v>
      </c>
      <c r="L2283" s="444">
        <f t="shared" ca="1" si="124"/>
        <v>-7187727116.4977541</v>
      </c>
      <c r="M2283" s="460">
        <f t="shared" si="126"/>
        <v>0.05</v>
      </c>
      <c r="N2283" s="464">
        <f t="shared" si="127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25"/>
        <v>-7187727116.4977541</v>
      </c>
      <c r="J2284" s="444">
        <f t="array" ref="J2284">IFERROR(INDEX('Retirement Calculator'!K:K,MATCH('Lorri 401b'!N2284,'Retirement Calculator'!A:A,0),0),0)</f>
        <v>0</v>
      </c>
      <c r="K2284" s="444">
        <f t="shared" ca="1" si="123"/>
        <v>-29948862.985407308</v>
      </c>
      <c r="L2284" s="444">
        <f t="shared" ca="1" si="124"/>
        <v>-7217675979.483161</v>
      </c>
      <c r="M2284" s="460">
        <f t="shared" si="126"/>
        <v>0.05</v>
      </c>
      <c r="N2284" s="464">
        <f t="shared" si="127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25"/>
        <v>-7217675979.483161</v>
      </c>
      <c r="J2285" s="444">
        <f t="array" ref="J2285">IFERROR(INDEX('Retirement Calculator'!K:K,MATCH('Lorri 401b'!N2285,'Retirement Calculator'!A:A,0),0),0)</f>
        <v>0</v>
      </c>
      <c r="K2285" s="444">
        <f t="shared" ca="1" si="123"/>
        <v>-30073649.914513171</v>
      </c>
      <c r="L2285" s="444">
        <f t="shared" ca="1" si="124"/>
        <v>-7247749629.3976746</v>
      </c>
      <c r="M2285" s="460">
        <f t="shared" si="126"/>
        <v>0.05</v>
      </c>
      <c r="N2285" s="464">
        <f t="shared" si="127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25"/>
        <v>-7247749629.3976746</v>
      </c>
      <c r="J2286" s="444">
        <f t="array" ref="J2286">IFERROR(INDEX('Retirement Calculator'!K:K,MATCH('Lorri 401b'!N2286,'Retirement Calculator'!A:A,0),0),0)</f>
        <v>0</v>
      </c>
      <c r="K2286" s="444">
        <f t="shared" ca="1" si="123"/>
        <v>-30198956.789156977</v>
      </c>
      <c r="L2286" s="444">
        <f t="shared" ca="1" si="124"/>
        <v>-7277948586.1868315</v>
      </c>
      <c r="M2286" s="460">
        <f t="shared" si="126"/>
        <v>0.05</v>
      </c>
      <c r="N2286" s="464">
        <f t="shared" si="127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25"/>
        <v>-7277948586.1868315</v>
      </c>
      <c r="J2287" s="444">
        <f t="array" ref="J2287">IFERROR(INDEX('Retirement Calculator'!K:K,MATCH('Lorri 401b'!N2287,'Retirement Calculator'!A:A,0),0),0)</f>
        <v>0</v>
      </c>
      <c r="K2287" s="444">
        <f t="shared" ca="1" si="123"/>
        <v>-30324785.775778465</v>
      </c>
      <c r="L2287" s="444">
        <f t="shared" ca="1" si="124"/>
        <v>-7308273371.9626102</v>
      </c>
      <c r="M2287" s="460">
        <f t="shared" si="126"/>
        <v>0.05</v>
      </c>
      <c r="N2287" s="464">
        <f t="shared" si="127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25"/>
        <v>-7308273371.9626102</v>
      </c>
      <c r="J2288" s="444">
        <f t="array" ref="J2288">IFERROR(INDEX('Retirement Calculator'!K:K,MATCH('Lorri 401b'!N2288,'Retirement Calculator'!A:A,0),0),0)</f>
        <v>0</v>
      </c>
      <c r="K2288" s="444">
        <f t="shared" ca="1" si="123"/>
        <v>-30451139.049844213</v>
      </c>
      <c r="L2288" s="444">
        <f t="shared" ca="1" si="124"/>
        <v>-7338724511.012454</v>
      </c>
      <c r="M2288" s="460">
        <f t="shared" si="126"/>
        <v>0.05</v>
      </c>
      <c r="N2288" s="464">
        <f t="shared" si="127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25"/>
        <v>-7338724511.012454</v>
      </c>
      <c r="J2289" s="444">
        <f t="array" ref="J2289">IFERROR(INDEX('Retirement Calculator'!K:K,MATCH('Lorri 401b'!N2289,'Retirement Calculator'!A:A,0),0),0)</f>
        <v>0</v>
      </c>
      <c r="K2289" s="444">
        <f t="shared" ca="1" si="123"/>
        <v>-30578018.795885224</v>
      </c>
      <c r="L2289" s="444">
        <f t="shared" ca="1" si="124"/>
        <v>-7369302529.8083391</v>
      </c>
      <c r="M2289" s="460">
        <f t="shared" si="126"/>
        <v>0.05</v>
      </c>
      <c r="N2289" s="464">
        <f t="shared" si="127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25"/>
        <v>-7369302529.8083391</v>
      </c>
      <c r="J2290" s="444">
        <f t="array" ref="J2290">IFERROR(INDEX('Retirement Calculator'!K:K,MATCH('Lorri 401b'!N2290,'Retirement Calculator'!A:A,0),0),0)</f>
        <v>0</v>
      </c>
      <c r="K2290" s="444">
        <f t="shared" ca="1" si="123"/>
        <v>-30705427.207534749</v>
      </c>
      <c r="L2290" s="444">
        <f t="shared" ca="1" si="124"/>
        <v>-7400007957.0158739</v>
      </c>
      <c r="M2290" s="460">
        <f t="shared" si="126"/>
        <v>0.05</v>
      </c>
      <c r="N2290" s="464">
        <f t="shared" si="127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25"/>
        <v>-7400007957.0158739</v>
      </c>
      <c r="J2291" s="444">
        <f t="array" ref="J2291">IFERROR(INDEX('Retirement Calculator'!K:K,MATCH('Lorri 401b'!N2291,'Retirement Calculator'!A:A,0),0),0)</f>
        <v>0</v>
      </c>
      <c r="K2291" s="444">
        <f t="shared" ca="1" si="123"/>
        <v>-30833366.48756614</v>
      </c>
      <c r="L2291" s="444">
        <f t="shared" ca="1" si="124"/>
        <v>-7430841323.5034399</v>
      </c>
      <c r="M2291" s="460">
        <f t="shared" si="126"/>
        <v>0.05</v>
      </c>
      <c r="N2291" s="464">
        <f t="shared" si="127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25"/>
        <v>-7430841323.5034399</v>
      </c>
      <c r="J2292" s="444">
        <f t="array" ref="J2292">IFERROR(INDEX('Retirement Calculator'!K:K,MATCH('Lorri 401b'!N2292,'Retirement Calculator'!A:A,0),0),0)</f>
        <v>0</v>
      </c>
      <c r="K2292" s="444">
        <f t="shared" ca="1" si="123"/>
        <v>-30961838.847931001</v>
      </c>
      <c r="L2292" s="444">
        <f t="shared" ca="1" si="124"/>
        <v>-7461803162.3513708</v>
      </c>
      <c r="M2292" s="460">
        <f t="shared" si="126"/>
        <v>0.05</v>
      </c>
      <c r="N2292" s="464">
        <f t="shared" si="127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25"/>
        <v>-7461803162.3513708</v>
      </c>
      <c r="J2293" s="444">
        <f t="array" ref="J2293">IFERROR(INDEX('Retirement Calculator'!K:K,MATCH('Lorri 401b'!N2293,'Retirement Calculator'!A:A,0),0),0)</f>
        <v>0</v>
      </c>
      <c r="K2293" s="444">
        <f t="shared" ca="1" si="123"/>
        <v>-31090846.509797376</v>
      </c>
      <c r="L2293" s="444">
        <f t="shared" ca="1" si="124"/>
        <v>-7492894008.8611679</v>
      </c>
      <c r="M2293" s="460">
        <f t="shared" si="126"/>
        <v>0.05</v>
      </c>
      <c r="N2293" s="464">
        <f t="shared" si="127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25"/>
        <v>-7492894008.8611679</v>
      </c>
      <c r="J2294" s="444">
        <f t="array" ref="J2294">IFERROR(INDEX('Retirement Calculator'!K:K,MATCH('Lorri 401b'!N2294,'Retirement Calculator'!A:A,0),0),0)</f>
        <v>0</v>
      </c>
      <c r="K2294" s="444">
        <f t="shared" ca="1" si="123"/>
        <v>-31220391.703588203</v>
      </c>
      <c r="L2294" s="444">
        <f t="shared" ca="1" si="124"/>
        <v>-7524114400.5647564</v>
      </c>
      <c r="M2294" s="460">
        <f t="shared" si="126"/>
        <v>0.05</v>
      </c>
      <c r="N2294" s="464">
        <f t="shared" si="127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25"/>
        <v>-7524114400.5647564</v>
      </c>
      <c r="J2295" s="444">
        <f t="array" ref="J2295">IFERROR(INDEX('Retirement Calculator'!K:K,MATCH('Lorri 401b'!N2295,'Retirement Calculator'!A:A,0),0),0)</f>
        <v>0</v>
      </c>
      <c r="K2295" s="444">
        <f t="shared" ca="1" si="123"/>
        <v>-31350476.669019818</v>
      </c>
      <c r="L2295" s="444">
        <f t="shared" ca="1" si="124"/>
        <v>-7555464877.2337761</v>
      </c>
      <c r="M2295" s="460">
        <f t="shared" si="126"/>
        <v>0.05</v>
      </c>
      <c r="N2295" s="464">
        <f t="shared" si="127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25"/>
        <v>-7555464877.2337761</v>
      </c>
      <c r="J2296" s="444">
        <f t="array" ref="J2296">IFERROR(INDEX('Retirement Calculator'!K:K,MATCH('Lorri 401b'!N2296,'Retirement Calculator'!A:A,0),0),0)</f>
        <v>0</v>
      </c>
      <c r="K2296" s="444">
        <f t="shared" ca="1" si="123"/>
        <v>-31481103.655140731</v>
      </c>
      <c r="L2296" s="444">
        <f t="shared" ca="1" si="124"/>
        <v>-7586945980.888917</v>
      </c>
      <c r="M2296" s="460">
        <f t="shared" si="126"/>
        <v>0.05</v>
      </c>
      <c r="N2296" s="464">
        <f t="shared" si="127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25"/>
        <v>-7586945980.888917</v>
      </c>
      <c r="J2297" s="444">
        <f t="array" ref="J2297">IFERROR(INDEX('Retirement Calculator'!K:K,MATCH('Lorri 401b'!N2297,'Retirement Calculator'!A:A,0),0),0)</f>
        <v>0</v>
      </c>
      <c r="K2297" s="444">
        <f t="shared" ca="1" si="123"/>
        <v>-31612274.920370486</v>
      </c>
      <c r="L2297" s="444">
        <f t="shared" ca="1" si="124"/>
        <v>-7618558255.8092871</v>
      </c>
      <c r="M2297" s="460">
        <f t="shared" si="126"/>
        <v>0.05</v>
      </c>
      <c r="N2297" s="464">
        <f t="shared" si="127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25"/>
        <v>-7618558255.8092871</v>
      </c>
      <c r="J2298" s="444">
        <f t="array" ref="J2298">IFERROR(INDEX('Retirement Calculator'!K:K,MATCH('Lorri 401b'!N2298,'Retirement Calculator'!A:A,0),0),0)</f>
        <v>0</v>
      </c>
      <c r="K2298" s="444">
        <f t="shared" ca="1" si="123"/>
        <v>-31743992.732538693</v>
      </c>
      <c r="L2298" s="444">
        <f t="shared" ca="1" si="124"/>
        <v>-7650302248.5418253</v>
      </c>
      <c r="M2298" s="460">
        <f t="shared" si="126"/>
        <v>0.05</v>
      </c>
      <c r="N2298" s="464">
        <f t="shared" si="127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25"/>
        <v>-7650302248.5418253</v>
      </c>
      <c r="J2299" s="444">
        <f t="array" ref="J2299">IFERROR(INDEX('Retirement Calculator'!K:K,MATCH('Lorri 401b'!N2299,'Retirement Calculator'!A:A,0),0),0)</f>
        <v>0</v>
      </c>
      <c r="K2299" s="444">
        <f t="shared" ca="1" si="123"/>
        <v>-31876259.368924271</v>
      </c>
      <c r="L2299" s="444">
        <f t="shared" ca="1" si="124"/>
        <v>-7682178507.9107494</v>
      </c>
      <c r="M2299" s="460">
        <f t="shared" si="126"/>
        <v>0.05</v>
      </c>
      <c r="N2299" s="464">
        <f t="shared" si="127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25"/>
        <v>-7682178507.9107494</v>
      </c>
      <c r="J2300" s="444">
        <f t="array" ref="J2300">IFERROR(INDEX('Retirement Calculator'!K:K,MATCH('Lorri 401b'!N2300,'Retirement Calculator'!A:A,0),0),0)</f>
        <v>0</v>
      </c>
      <c r="K2300" s="444">
        <f t="shared" ca="1" si="123"/>
        <v>-32009077.11629479</v>
      </c>
      <c r="L2300" s="444">
        <f t="shared" ca="1" si="124"/>
        <v>-7714187585.0270443</v>
      </c>
      <c r="M2300" s="460">
        <f t="shared" si="126"/>
        <v>0.05</v>
      </c>
      <c r="N2300" s="464">
        <f t="shared" si="127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25"/>
        <v>-7714187585.0270443</v>
      </c>
      <c r="J2301" s="444">
        <f t="array" ref="J2301">IFERROR(INDEX('Retirement Calculator'!K:K,MATCH('Lorri 401b'!N2301,'Retirement Calculator'!A:A,0),0),0)</f>
        <v>0</v>
      </c>
      <c r="K2301" s="444">
        <f t="shared" ca="1" si="123"/>
        <v>-32142448.270946018</v>
      </c>
      <c r="L2301" s="444">
        <f t="shared" ca="1" si="124"/>
        <v>-7746330033.2979898</v>
      </c>
      <c r="M2301" s="460">
        <f t="shared" si="126"/>
        <v>0.05</v>
      </c>
      <c r="N2301" s="464">
        <f t="shared" si="127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25"/>
        <v>-7746330033.2979898</v>
      </c>
      <c r="J2302" s="444">
        <f t="array" ref="J2302">IFERROR(INDEX('Retirement Calculator'!K:K,MATCH('Lorri 401b'!N2302,'Retirement Calculator'!A:A,0),0),0)</f>
        <v>0</v>
      </c>
      <c r="K2302" s="444">
        <f t="shared" ca="1" si="123"/>
        <v>-32276375.138741624</v>
      </c>
      <c r="L2302" s="444">
        <f t="shared" ca="1" si="124"/>
        <v>-7778606408.4367313</v>
      </c>
      <c r="M2302" s="460">
        <f t="shared" si="126"/>
        <v>0.05</v>
      </c>
      <c r="N2302" s="464">
        <f t="shared" si="127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25"/>
        <v>-7778606408.4367313</v>
      </c>
      <c r="J2303" s="444">
        <f t="array" ref="J2303">IFERROR(INDEX('Retirement Calculator'!K:K,MATCH('Lorri 401b'!N2303,'Retirement Calculator'!A:A,0),0),0)</f>
        <v>0</v>
      </c>
      <c r="K2303" s="444">
        <f t="shared" ref="K2303:K2557" ca="1" si="128">IPMT(M2303/12,1,12,-I2303+J2303,,0)</f>
        <v>-32410860.035153046</v>
      </c>
      <c r="L2303" s="444">
        <f t="shared" ref="L2303:L2557" ca="1" si="129">I2303-J2303+K2303</f>
        <v>-7811017268.4718847</v>
      </c>
      <c r="M2303" s="460">
        <f t="shared" si="126"/>
        <v>0.05</v>
      </c>
      <c r="N2303" s="464">
        <f t="shared" si="127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30">L2303</f>
        <v>-7811017268.4718847</v>
      </c>
      <c r="J2304" s="444">
        <f t="array" ref="J2304">IFERROR(INDEX('Retirement Calculator'!K:K,MATCH('Lorri 401b'!N2304,'Retirement Calculator'!A:A,0),0),0)</f>
        <v>0</v>
      </c>
      <c r="K2304" s="444">
        <f t="shared" ca="1" si="128"/>
        <v>-32545905.285299513</v>
      </c>
      <c r="L2304" s="444">
        <f t="shared" ca="1" si="129"/>
        <v>-7843563173.757184</v>
      </c>
      <c r="M2304" s="460">
        <f t="shared" ref="M2304:M2558" si="131">M2303</f>
        <v>0.05</v>
      </c>
      <c r="N2304" s="464">
        <f t="shared" ref="N2304:N2558" si="132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30"/>
        <v>-7843563173.757184</v>
      </c>
      <c r="J2305" s="444">
        <f t="array" ref="J2305">IFERROR(INDEX('Retirement Calculator'!K:K,MATCH('Lorri 401b'!N2305,'Retirement Calculator'!A:A,0),0),0)</f>
        <v>0</v>
      </c>
      <c r="K2305" s="444">
        <f t="shared" ca="1" si="128"/>
        <v>-32681513.223988265</v>
      </c>
      <c r="L2305" s="444">
        <f t="shared" ca="1" si="129"/>
        <v>-7876244686.9811726</v>
      </c>
      <c r="M2305" s="460">
        <f t="shared" si="131"/>
        <v>0.05</v>
      </c>
      <c r="N2305" s="464">
        <f t="shared" si="132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30"/>
        <v>-7876244686.9811726</v>
      </c>
      <c r="J2306" s="444">
        <f t="array" ref="J2306">IFERROR(INDEX('Retirement Calculator'!K:K,MATCH('Lorri 401b'!N2306,'Retirement Calculator'!A:A,0),0),0)</f>
        <v>0</v>
      </c>
      <c r="K2306" s="444">
        <f t="shared" ca="1" si="128"/>
        <v>-32817686.195754886</v>
      </c>
      <c r="L2306" s="444">
        <f t="shared" ca="1" si="129"/>
        <v>-7909062373.1769276</v>
      </c>
      <c r="M2306" s="460">
        <f t="shared" si="131"/>
        <v>0.05</v>
      </c>
      <c r="N2306" s="464">
        <f t="shared" si="132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30"/>
        <v>-7909062373.1769276</v>
      </c>
      <c r="J2307" s="444">
        <f t="array" ref="J2307">IFERROR(INDEX('Retirement Calculator'!K:K,MATCH('Lorri 401b'!N2307,'Retirement Calculator'!A:A,0),0),0)</f>
        <v>0</v>
      </c>
      <c r="K2307" s="444">
        <f t="shared" ca="1" si="128"/>
        <v>-32954426.554903865</v>
      </c>
      <c r="L2307" s="444">
        <f t="shared" ca="1" si="129"/>
        <v>-7942016799.7318316</v>
      </c>
      <c r="M2307" s="460">
        <f t="shared" si="131"/>
        <v>0.05</v>
      </c>
      <c r="N2307" s="464">
        <f t="shared" si="132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30"/>
        <v>-7942016799.7318316</v>
      </c>
      <c r="J2308" s="444">
        <f t="array" ref="J2308">IFERROR(INDEX('Retirement Calculator'!K:K,MATCH('Lorri 401b'!N2308,'Retirement Calculator'!A:A,0),0),0)</f>
        <v>0</v>
      </c>
      <c r="K2308" s="444">
        <f t="shared" ca="1" si="128"/>
        <v>-33091736.665549297</v>
      </c>
      <c r="L2308" s="444">
        <f t="shared" ca="1" si="129"/>
        <v>-7975108536.3973808</v>
      </c>
      <c r="M2308" s="460">
        <f t="shared" si="131"/>
        <v>0.05</v>
      </c>
      <c r="N2308" s="464">
        <f t="shared" si="132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30"/>
        <v>-7975108536.3973808</v>
      </c>
      <c r="J2309" s="444">
        <f t="array" ref="J2309">IFERROR(INDEX('Retirement Calculator'!K:K,MATCH('Lorri 401b'!N2309,'Retirement Calculator'!A:A,0),0),0)</f>
        <v>0</v>
      </c>
      <c r="K2309" s="444">
        <f t="shared" ca="1" si="128"/>
        <v>-33229618.901655752</v>
      </c>
      <c r="L2309" s="444">
        <f t="shared" ca="1" si="129"/>
        <v>-8008338155.299037</v>
      </c>
      <c r="M2309" s="460">
        <f t="shared" si="131"/>
        <v>0.05</v>
      </c>
      <c r="N2309" s="464">
        <f t="shared" si="132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30"/>
        <v>-8008338155.299037</v>
      </c>
      <c r="J2310" s="444">
        <f t="array" ref="J2310">IFERROR(INDEX('Retirement Calculator'!K:K,MATCH('Lorri 401b'!N2310,'Retirement Calculator'!A:A,0),0),0)</f>
        <v>0</v>
      </c>
      <c r="K2310" s="444">
        <f t="shared" ca="1" si="128"/>
        <v>-33368075.647079319</v>
      </c>
      <c r="L2310" s="444">
        <f t="shared" ca="1" si="129"/>
        <v>-8041706230.9461164</v>
      </c>
      <c r="M2310" s="460">
        <f t="shared" si="131"/>
        <v>0.05</v>
      </c>
      <c r="N2310" s="464">
        <f t="shared" si="132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30"/>
        <v>-8041706230.9461164</v>
      </c>
      <c r="J2311" s="444">
        <f t="array" ref="J2311">IFERROR(INDEX('Retirement Calculator'!K:K,MATCH('Lorri 401b'!N2311,'Retirement Calculator'!A:A,0),0),0)</f>
        <v>0</v>
      </c>
      <c r="K2311" s="444">
        <f t="shared" ca="1" si="128"/>
        <v>-33507109.295608815</v>
      </c>
      <c r="L2311" s="444">
        <f t="shared" ca="1" si="129"/>
        <v>-8075213340.241725</v>
      </c>
      <c r="M2311" s="460">
        <f t="shared" si="131"/>
        <v>0.05</v>
      </c>
      <c r="N2311" s="464">
        <f t="shared" si="132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30"/>
        <v>-8075213340.241725</v>
      </c>
      <c r="J2312" s="444">
        <f t="array" ref="J2312">IFERROR(INDEX('Retirement Calculator'!K:K,MATCH('Lorri 401b'!N2312,'Retirement Calculator'!A:A,0),0),0)</f>
        <v>0</v>
      </c>
      <c r="K2312" s="444">
        <f t="shared" ca="1" si="128"/>
        <v>-33646722.251007184</v>
      </c>
      <c r="L2312" s="444">
        <f t="shared" ca="1" si="129"/>
        <v>-8108860062.492732</v>
      </c>
      <c r="M2312" s="460">
        <f t="shared" si="131"/>
        <v>0.05</v>
      </c>
      <c r="N2312" s="464">
        <f t="shared" si="132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30"/>
        <v>-8108860062.492732</v>
      </c>
      <c r="J2313" s="444">
        <f t="array" ref="J2313">IFERROR(INDEX('Retirement Calculator'!K:K,MATCH('Lorri 401b'!N2313,'Retirement Calculator'!A:A,0),0),0)</f>
        <v>0</v>
      </c>
      <c r="K2313" s="444">
        <f t="shared" ca="1" si="128"/>
        <v>-33786916.927053049</v>
      </c>
      <c r="L2313" s="444">
        <f t="shared" ca="1" si="129"/>
        <v>-8142646979.4197855</v>
      </c>
      <c r="M2313" s="460">
        <f t="shared" si="131"/>
        <v>0.05</v>
      </c>
      <c r="N2313" s="464">
        <f t="shared" si="132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30"/>
        <v>-8142646979.4197855</v>
      </c>
      <c r="J2314" s="444">
        <f t="array" ref="J2314">IFERROR(INDEX('Retirement Calculator'!K:K,MATCH('Lorri 401b'!N2314,'Retirement Calculator'!A:A,0),0),0)</f>
        <v>0</v>
      </c>
      <c r="K2314" s="444">
        <f t="shared" ca="1" si="128"/>
        <v>-33927695.747582436</v>
      </c>
      <c r="L2314" s="444">
        <f t="shared" ca="1" si="129"/>
        <v>-8176574675.1673679</v>
      </c>
      <c r="M2314" s="460">
        <f t="shared" si="131"/>
        <v>0.05</v>
      </c>
      <c r="N2314" s="464">
        <f t="shared" si="132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30"/>
        <v>-8176574675.1673679</v>
      </c>
      <c r="J2315" s="444">
        <f t="array" ref="J2315">IFERROR(INDEX('Retirement Calculator'!K:K,MATCH('Lorri 401b'!N2315,'Retirement Calculator'!A:A,0),0),0)</f>
        <v>0</v>
      </c>
      <c r="K2315" s="444">
        <f t="shared" ca="1" si="128"/>
        <v>-34069061.146530703</v>
      </c>
      <c r="L2315" s="444">
        <f t="shared" ca="1" si="129"/>
        <v>-8210643736.313899</v>
      </c>
      <c r="M2315" s="460">
        <f t="shared" si="131"/>
        <v>0.05</v>
      </c>
      <c r="N2315" s="464">
        <f t="shared" si="132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30"/>
        <v>-8210643736.313899</v>
      </c>
      <c r="J2316" s="444">
        <f t="array" ref="J2316">IFERROR(INDEX('Retirement Calculator'!K:K,MATCH('Lorri 401b'!N2316,'Retirement Calculator'!A:A,0),0),0)</f>
        <v>0</v>
      </c>
      <c r="K2316" s="444">
        <f t="shared" ca="1" si="128"/>
        <v>-34211015.567974582</v>
      </c>
      <c r="L2316" s="444">
        <f t="shared" ca="1" si="129"/>
        <v>-8244854751.8818741</v>
      </c>
      <c r="M2316" s="460">
        <f t="shared" si="131"/>
        <v>0.05</v>
      </c>
      <c r="N2316" s="464">
        <f t="shared" si="132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30"/>
        <v>-8244854751.8818741</v>
      </c>
      <c r="J2317" s="444">
        <f t="array" ref="J2317">IFERROR(INDEX('Retirement Calculator'!K:K,MATCH('Lorri 401b'!N2317,'Retirement Calculator'!A:A,0),0),0)</f>
        <v>0</v>
      </c>
      <c r="K2317" s="444">
        <f t="shared" ca="1" si="128"/>
        <v>-34353561.466174476</v>
      </c>
      <c r="L2317" s="444">
        <f t="shared" ca="1" si="129"/>
        <v>-8279208313.3480482</v>
      </c>
      <c r="M2317" s="460">
        <f t="shared" si="131"/>
        <v>0.05</v>
      </c>
      <c r="N2317" s="464">
        <f t="shared" si="132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30"/>
        <v>-8279208313.3480482</v>
      </c>
      <c r="J2318" s="444">
        <f t="array" ref="J2318">IFERROR(INDEX('Retirement Calculator'!K:K,MATCH('Lorri 401b'!N2318,'Retirement Calculator'!A:A,0),0),0)</f>
        <v>0</v>
      </c>
      <c r="K2318" s="444">
        <f t="shared" ca="1" si="128"/>
        <v>-34496701.305616871</v>
      </c>
      <c r="L2318" s="444">
        <f t="shared" ca="1" si="129"/>
        <v>-8313705014.6536655</v>
      </c>
      <c r="M2318" s="460">
        <f t="shared" si="131"/>
        <v>0.05</v>
      </c>
      <c r="N2318" s="464">
        <f t="shared" si="132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30"/>
        <v>-8313705014.6536655</v>
      </c>
      <c r="J2319" s="444">
        <f t="array" ref="J2319">IFERROR(INDEX('Retirement Calculator'!K:K,MATCH('Lorri 401b'!N2319,'Retirement Calculator'!A:A,0),0),0)</f>
        <v>0</v>
      </c>
      <c r="K2319" s="444">
        <f t="shared" ca="1" si="128"/>
        <v>-34640437.561056942</v>
      </c>
      <c r="L2319" s="444">
        <f t="shared" ca="1" si="129"/>
        <v>-8348345452.2147226</v>
      </c>
      <c r="M2319" s="460">
        <f t="shared" si="131"/>
        <v>0.05</v>
      </c>
      <c r="N2319" s="464">
        <f t="shared" si="132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30"/>
        <v>-8348345452.2147226</v>
      </c>
      <c r="J2320" s="444">
        <f t="array" ref="J2320">IFERROR(INDEX('Retirement Calculator'!K:K,MATCH('Lorri 401b'!N2320,'Retirement Calculator'!A:A,0),0),0)</f>
        <v>0</v>
      </c>
      <c r="K2320" s="444">
        <f t="shared" ca="1" si="128"/>
        <v>-34784772.717561342</v>
      </c>
      <c r="L2320" s="444">
        <f t="shared" ca="1" si="129"/>
        <v>-8383130224.9322844</v>
      </c>
      <c r="M2320" s="460">
        <f t="shared" si="131"/>
        <v>0.05</v>
      </c>
      <c r="N2320" s="464">
        <f t="shared" si="132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30"/>
        <v>-8383130224.9322844</v>
      </c>
      <c r="J2321" s="444">
        <f t="array" ref="J2321">IFERROR(INDEX('Retirement Calculator'!K:K,MATCH('Lorri 401b'!N2321,'Retirement Calculator'!A:A,0),0),0)</f>
        <v>0</v>
      </c>
      <c r="K2321" s="444">
        <f t="shared" ca="1" si="128"/>
        <v>-34929709.270551182</v>
      </c>
      <c r="L2321" s="444">
        <f t="shared" ca="1" si="129"/>
        <v>-8418059934.2028351</v>
      </c>
      <c r="M2321" s="460">
        <f t="shared" si="131"/>
        <v>0.05</v>
      </c>
      <c r="N2321" s="464">
        <f t="shared" si="132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30"/>
        <v>-8418059934.2028351</v>
      </c>
      <c r="J2322" s="444">
        <f t="array" ref="J2322">IFERROR(INDEX('Retirement Calculator'!K:K,MATCH('Lorri 401b'!N2322,'Retirement Calculator'!A:A,0),0),0)</f>
        <v>0</v>
      </c>
      <c r="K2322" s="444">
        <f t="shared" ca="1" si="128"/>
        <v>-35075249.725845151</v>
      </c>
      <c r="L2322" s="444">
        <f t="shared" ca="1" si="129"/>
        <v>-8453135183.9286804</v>
      </c>
      <c r="M2322" s="460">
        <f t="shared" si="131"/>
        <v>0.05</v>
      </c>
      <c r="N2322" s="464">
        <f t="shared" si="132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30"/>
        <v>-8453135183.9286804</v>
      </c>
      <c r="J2323" s="444">
        <f t="array" ref="J2323">IFERROR(INDEX('Retirement Calculator'!K:K,MATCH('Lorri 401b'!N2323,'Retirement Calculator'!A:A,0),0),0)</f>
        <v>0</v>
      </c>
      <c r="K2323" s="444">
        <f t="shared" ca="1" si="128"/>
        <v>-35221396.599702835</v>
      </c>
      <c r="L2323" s="444">
        <f t="shared" ca="1" si="129"/>
        <v>-8488356580.5283833</v>
      </c>
      <c r="M2323" s="460">
        <f t="shared" si="131"/>
        <v>0.05</v>
      </c>
      <c r="N2323" s="464">
        <f t="shared" si="132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30"/>
        <v>-8488356580.5283833</v>
      </c>
      <c r="J2324" s="444">
        <f t="array" ref="J2324">IFERROR(INDEX('Retirement Calculator'!K:K,MATCH('Lorri 401b'!N2324,'Retirement Calculator'!A:A,0),0),0)</f>
        <v>0</v>
      </c>
      <c r="K2324" s="444">
        <f t="shared" ca="1" si="128"/>
        <v>-35368152.418868266</v>
      </c>
      <c r="L2324" s="444">
        <f t="shared" ca="1" si="129"/>
        <v>-8523724732.9472513</v>
      </c>
      <c r="M2324" s="460">
        <f t="shared" si="131"/>
        <v>0.05</v>
      </c>
      <c r="N2324" s="464">
        <f t="shared" si="132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30"/>
        <v>-8523724732.9472513</v>
      </c>
      <c r="J2325" s="444">
        <f t="array" ref="J2325">IFERROR(INDEX('Retirement Calculator'!K:K,MATCH('Lorri 401b'!N2325,'Retirement Calculator'!A:A,0),0),0)</f>
        <v>0</v>
      </c>
      <c r="K2325" s="444">
        <f t="shared" ca="1" si="128"/>
        <v>-35515519.720613547</v>
      </c>
      <c r="L2325" s="444">
        <f t="shared" ca="1" si="129"/>
        <v>-8559240252.6678648</v>
      </c>
      <c r="M2325" s="460">
        <f t="shared" si="131"/>
        <v>0.05</v>
      </c>
      <c r="N2325" s="464">
        <f t="shared" si="132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30"/>
        <v>-8559240252.6678648</v>
      </c>
      <c r="J2326" s="444">
        <f t="array" ref="J2326">IFERROR(INDEX('Retirement Calculator'!K:K,MATCH('Lorri 401b'!N2326,'Retirement Calculator'!A:A,0),0),0)</f>
        <v>0</v>
      </c>
      <c r="K2326" s="444">
        <f t="shared" ca="1" si="128"/>
        <v>-35663501.052782767</v>
      </c>
      <c r="L2326" s="444">
        <f t="shared" ca="1" si="129"/>
        <v>-8594903753.7206478</v>
      </c>
      <c r="M2326" s="460">
        <f t="shared" si="131"/>
        <v>0.05</v>
      </c>
      <c r="N2326" s="464">
        <f t="shared" si="132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30"/>
        <v>-8594903753.7206478</v>
      </c>
      <c r="J2327" s="444">
        <f t="array" ref="J2327">IFERROR(INDEX('Retirement Calculator'!K:K,MATCH('Lorri 401b'!N2327,'Retirement Calculator'!A:A,0),0),0)</f>
        <v>0</v>
      </c>
      <c r="K2327" s="444">
        <f t="shared" ca="1" si="128"/>
        <v>-35812098.973836035</v>
      </c>
      <c r="L2327" s="444">
        <f t="shared" ca="1" si="129"/>
        <v>-8630715852.6944847</v>
      </c>
      <c r="M2327" s="460">
        <f t="shared" si="131"/>
        <v>0.05</v>
      </c>
      <c r="N2327" s="464">
        <f t="shared" si="132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30"/>
        <v>-8630715852.6944847</v>
      </c>
      <c r="J2328" s="444">
        <f t="array" ref="J2328">IFERROR(INDEX('Retirement Calculator'!K:K,MATCH('Lorri 401b'!N2328,'Retirement Calculator'!A:A,0),0),0)</f>
        <v>0</v>
      </c>
      <c r="K2328" s="444">
        <f t="shared" ca="1" si="128"/>
        <v>-35961316.052893683</v>
      </c>
      <c r="L2328" s="444">
        <f t="shared" ca="1" si="129"/>
        <v>-8666677168.7473793</v>
      </c>
      <c r="M2328" s="460">
        <f t="shared" si="131"/>
        <v>0.05</v>
      </c>
      <c r="N2328" s="464">
        <f t="shared" si="132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30"/>
        <v>-8666677168.7473793</v>
      </c>
      <c r="J2329" s="444">
        <f t="array" ref="J2329">IFERROR(INDEX('Retirement Calculator'!K:K,MATCH('Lorri 401b'!N2329,'Retirement Calculator'!A:A,0),0),0)</f>
        <v>0</v>
      </c>
      <c r="K2329" s="444">
        <f t="shared" ca="1" si="128"/>
        <v>-36111154.869780749</v>
      </c>
      <c r="L2329" s="444">
        <f t="shared" ca="1" si="129"/>
        <v>-8702788323.6171608</v>
      </c>
      <c r="M2329" s="460">
        <f t="shared" si="131"/>
        <v>0.05</v>
      </c>
      <c r="N2329" s="464">
        <f t="shared" si="132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30"/>
        <v>-8702788323.6171608</v>
      </c>
      <c r="J2330" s="444">
        <f t="array" ref="J2330">IFERROR(INDEX('Retirement Calculator'!K:K,MATCH('Lorri 401b'!N2330,'Retirement Calculator'!A:A,0),0),0)</f>
        <v>0</v>
      </c>
      <c r="K2330" s="444">
        <f t="shared" ca="1" si="128"/>
        <v>-36261618.015071504</v>
      </c>
      <c r="L2330" s="444">
        <f t="shared" ca="1" si="129"/>
        <v>-8739049941.6322327</v>
      </c>
      <c r="M2330" s="460">
        <f t="shared" si="131"/>
        <v>0.05</v>
      </c>
      <c r="N2330" s="464">
        <f t="shared" si="132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30"/>
        <v>-8739049941.6322327</v>
      </c>
      <c r="J2331" s="444">
        <f t="array" ref="J2331">IFERROR(INDEX('Retirement Calculator'!K:K,MATCH('Lorri 401b'!N2331,'Retirement Calculator'!A:A,0),0),0)</f>
        <v>0</v>
      </c>
      <c r="K2331" s="444">
        <f t="shared" ca="1" si="128"/>
        <v>-36412708.0901343</v>
      </c>
      <c r="L2331" s="444">
        <f t="shared" ca="1" si="129"/>
        <v>-8775462649.7223663</v>
      </c>
      <c r="M2331" s="460">
        <f t="shared" si="131"/>
        <v>0.05</v>
      </c>
      <c r="N2331" s="464">
        <f t="shared" si="132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30"/>
        <v>-8775462649.7223663</v>
      </c>
      <c r="J2332" s="444">
        <f t="array" ref="J2332">IFERROR(INDEX('Retirement Calculator'!K:K,MATCH('Lorri 401b'!N2332,'Retirement Calculator'!A:A,0),0),0)</f>
        <v>0</v>
      </c>
      <c r="K2332" s="444">
        <f t="shared" ca="1" si="128"/>
        <v>-36564427.707176529</v>
      </c>
      <c r="L2332" s="444">
        <f t="shared" ca="1" si="129"/>
        <v>-8812027077.4295425</v>
      </c>
      <c r="M2332" s="460">
        <f t="shared" si="131"/>
        <v>0.05</v>
      </c>
      <c r="N2332" s="464">
        <f t="shared" si="132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30"/>
        <v>-8812027077.4295425</v>
      </c>
      <c r="J2333" s="444">
        <f t="array" ref="J2333">IFERROR(INDEX('Retirement Calculator'!K:K,MATCH('Lorri 401b'!N2333,'Retirement Calculator'!A:A,0),0),0)</f>
        <v>0</v>
      </c>
      <c r="K2333" s="444">
        <f t="shared" ca="1" si="128"/>
        <v>-36716779.489289761</v>
      </c>
      <c r="L2333" s="444">
        <f t="shared" ca="1" si="129"/>
        <v>-8848743856.9188328</v>
      </c>
      <c r="M2333" s="460">
        <f t="shared" si="131"/>
        <v>0.05</v>
      </c>
      <c r="N2333" s="464">
        <f t="shared" si="132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30"/>
        <v>-8848743856.9188328</v>
      </c>
      <c r="J2334" s="444">
        <f t="array" ref="J2334">IFERROR(INDEX('Retirement Calculator'!K:K,MATCH('Lorri 401b'!N2334,'Retirement Calculator'!A:A,0),0),0)</f>
        <v>0</v>
      </c>
      <c r="K2334" s="444">
        <f t="shared" ca="1" si="128"/>
        <v>-36869766.070495136</v>
      </c>
      <c r="L2334" s="444">
        <f t="shared" ca="1" si="129"/>
        <v>-8885613622.9893284</v>
      </c>
      <c r="M2334" s="460">
        <f t="shared" si="131"/>
        <v>0.05</v>
      </c>
      <c r="N2334" s="464">
        <f t="shared" si="132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30"/>
        <v>-8885613622.9893284</v>
      </c>
      <c r="J2335" s="444">
        <f t="array" ref="J2335">IFERROR(INDEX('Retirement Calculator'!K:K,MATCH('Lorri 401b'!N2335,'Retirement Calculator'!A:A,0),0),0)</f>
        <v>0</v>
      </c>
      <c r="K2335" s="444">
        <f t="shared" ca="1" si="128"/>
        <v>-37023390.095788866</v>
      </c>
      <c r="L2335" s="444">
        <f t="shared" ca="1" si="129"/>
        <v>-8922637013.0851173</v>
      </c>
      <c r="M2335" s="460">
        <f t="shared" si="131"/>
        <v>0.05</v>
      </c>
      <c r="N2335" s="464">
        <f t="shared" si="132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30"/>
        <v>-8922637013.0851173</v>
      </c>
      <c r="J2336" s="444">
        <f t="array" ref="J2336">IFERROR(INDEX('Retirement Calculator'!K:K,MATCH('Lorri 401b'!N2336,'Retirement Calculator'!A:A,0),0),0)</f>
        <v>0</v>
      </c>
      <c r="K2336" s="444">
        <f t="shared" ca="1" si="128"/>
        <v>-37177654.221187986</v>
      </c>
      <c r="L2336" s="444">
        <f t="shared" ca="1" si="129"/>
        <v>-8959814667.3063049</v>
      </c>
      <c r="M2336" s="460">
        <f t="shared" si="131"/>
        <v>0.05</v>
      </c>
      <c r="N2336" s="464">
        <f t="shared" si="132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30"/>
        <v>-8959814667.3063049</v>
      </c>
      <c r="J2337" s="444">
        <f t="array" ref="J2337">IFERROR(INDEX('Retirement Calculator'!K:K,MATCH('Lorri 401b'!N2337,'Retirement Calculator'!A:A,0),0),0)</f>
        <v>0</v>
      </c>
      <c r="K2337" s="444">
        <f t="shared" ca="1" si="128"/>
        <v>-37332561.113776267</v>
      </c>
      <c r="L2337" s="444">
        <f t="shared" ca="1" si="129"/>
        <v>-8997147228.4200821</v>
      </c>
      <c r="M2337" s="460">
        <f t="shared" si="131"/>
        <v>0.05</v>
      </c>
      <c r="N2337" s="464">
        <f t="shared" si="132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30"/>
        <v>-8997147228.4200821</v>
      </c>
      <c r="J2338" s="444">
        <f t="array" ref="J2338">IFERROR(INDEX('Retirement Calculator'!K:K,MATCH('Lorri 401b'!N2338,'Retirement Calculator'!A:A,0),0),0)</f>
        <v>0</v>
      </c>
      <c r="K2338" s="444">
        <f t="shared" ca="1" si="128"/>
        <v>-37488113.451750338</v>
      </c>
      <c r="L2338" s="444">
        <f t="shared" ca="1" si="129"/>
        <v>-9034635341.8718319</v>
      </c>
      <c r="M2338" s="460">
        <f t="shared" si="131"/>
        <v>0.05</v>
      </c>
      <c r="N2338" s="464">
        <f t="shared" si="132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30"/>
        <v>-9034635341.8718319</v>
      </c>
      <c r="J2339" s="444">
        <f t="array" ref="J2339">IFERROR(INDEX('Retirement Calculator'!K:K,MATCH('Lorri 401b'!N2339,'Retirement Calculator'!A:A,0),0),0)</f>
        <v>0</v>
      </c>
      <c r="K2339" s="444">
        <f t="shared" ca="1" si="128"/>
        <v>-37644313.924465969</v>
      </c>
      <c r="L2339" s="444">
        <f t="shared" ca="1" si="129"/>
        <v>-9072279655.7962971</v>
      </c>
      <c r="M2339" s="460">
        <f t="shared" si="131"/>
        <v>0.05</v>
      </c>
      <c r="N2339" s="464">
        <f t="shared" si="132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30"/>
        <v>-9072279655.7962971</v>
      </c>
      <c r="J2340" s="444">
        <f t="array" ref="J2340">IFERROR(INDEX('Retirement Calculator'!K:K,MATCH('Lorri 401b'!N2340,'Retirement Calculator'!A:A,0),0),0)</f>
        <v>0</v>
      </c>
      <c r="K2340" s="444">
        <f t="shared" ca="1" si="128"/>
        <v>-37801165.232484572</v>
      </c>
      <c r="L2340" s="444">
        <f t="shared" ca="1" si="129"/>
        <v>-9110080821.0287819</v>
      </c>
      <c r="M2340" s="460">
        <f t="shared" si="131"/>
        <v>0.05</v>
      </c>
      <c r="N2340" s="464">
        <f t="shared" si="132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30"/>
        <v>-9110080821.0287819</v>
      </c>
      <c r="J2341" s="444">
        <f t="array" ref="J2341">IFERROR(INDEX('Retirement Calculator'!K:K,MATCH('Lorri 401b'!N2341,'Retirement Calculator'!A:A,0),0),0)</f>
        <v>0</v>
      </c>
      <c r="K2341" s="444">
        <f t="shared" ca="1" si="128"/>
        <v>-37958670.087619923</v>
      </c>
      <c r="L2341" s="444">
        <f t="shared" ca="1" si="129"/>
        <v>-9148039491.1164017</v>
      </c>
      <c r="M2341" s="460">
        <f t="shared" si="131"/>
        <v>0.05</v>
      </c>
      <c r="N2341" s="464">
        <f t="shared" si="132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30"/>
        <v>-9148039491.1164017</v>
      </c>
      <c r="J2342" s="444">
        <f t="array" ref="J2342">IFERROR(INDEX('Retirement Calculator'!K:K,MATCH('Lorri 401b'!N2342,'Retirement Calculator'!A:A,0),0),0)</f>
        <v>0</v>
      </c>
      <c r="K2342" s="444">
        <f t="shared" ca="1" si="128"/>
        <v>-38116831.212985009</v>
      </c>
      <c r="L2342" s="444">
        <f t="shared" ca="1" si="129"/>
        <v>-9186156322.3293858</v>
      </c>
      <c r="M2342" s="460">
        <f t="shared" si="131"/>
        <v>0.05</v>
      </c>
      <c r="N2342" s="464">
        <f t="shared" si="132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30"/>
        <v>-9186156322.3293858</v>
      </c>
      <c r="J2343" s="444">
        <f t="array" ref="J2343">IFERROR(INDEX('Retirement Calculator'!K:K,MATCH('Lorri 401b'!N2343,'Retirement Calculator'!A:A,0),0),0)</f>
        <v>0</v>
      </c>
      <c r="K2343" s="444">
        <f t="shared" ca="1" si="128"/>
        <v>-38275651.34303911</v>
      </c>
      <c r="L2343" s="444">
        <f t="shared" ca="1" si="129"/>
        <v>-9224431973.6724243</v>
      </c>
      <c r="M2343" s="460">
        <f t="shared" si="131"/>
        <v>0.05</v>
      </c>
      <c r="N2343" s="464">
        <f t="shared" si="132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30"/>
        <v>-9224431973.6724243</v>
      </c>
      <c r="J2344" s="444">
        <f t="array" ref="J2344">IFERROR(INDEX('Retirement Calculator'!K:K,MATCH('Lorri 401b'!N2344,'Retirement Calculator'!A:A,0),0),0)</f>
        <v>0</v>
      </c>
      <c r="K2344" s="444">
        <f t="shared" ca="1" si="128"/>
        <v>-38435133.2236351</v>
      </c>
      <c r="L2344" s="444">
        <f t="shared" ca="1" si="129"/>
        <v>-9262867106.896059</v>
      </c>
      <c r="M2344" s="460">
        <f t="shared" si="131"/>
        <v>0.05</v>
      </c>
      <c r="N2344" s="464">
        <f t="shared" si="132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30"/>
        <v>-9262867106.896059</v>
      </c>
      <c r="J2345" s="444">
        <f t="array" ref="J2345">IFERROR(INDEX('Retirement Calculator'!K:K,MATCH('Lorri 401b'!N2345,'Retirement Calculator'!A:A,0),0),0)</f>
        <v>0</v>
      </c>
      <c r="K2345" s="444">
        <f t="shared" ca="1" si="128"/>
        <v>-38595279.61206691</v>
      </c>
      <c r="L2345" s="444">
        <f t="shared" ca="1" si="129"/>
        <v>-9301462386.5081253</v>
      </c>
      <c r="M2345" s="460">
        <f t="shared" si="131"/>
        <v>0.05</v>
      </c>
      <c r="N2345" s="464">
        <f t="shared" si="132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30"/>
        <v>-9301462386.5081253</v>
      </c>
      <c r="J2346" s="444">
        <f t="array" ref="J2346">IFERROR(INDEX('Retirement Calculator'!K:K,MATCH('Lorri 401b'!N2346,'Retirement Calculator'!A:A,0),0),0)</f>
        <v>0</v>
      </c>
      <c r="K2346" s="444">
        <f t="shared" ca="1" si="128"/>
        <v>-38756093.277117185</v>
      </c>
      <c r="L2346" s="444">
        <f t="shared" ca="1" si="129"/>
        <v>-9340218479.7852421</v>
      </c>
      <c r="M2346" s="460">
        <f t="shared" si="131"/>
        <v>0.05</v>
      </c>
      <c r="N2346" s="464">
        <f t="shared" si="132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30"/>
        <v>-9340218479.7852421</v>
      </c>
      <c r="J2347" s="444">
        <f t="array" ref="J2347">IFERROR(INDEX('Retirement Calculator'!K:K,MATCH('Lorri 401b'!N2347,'Retirement Calculator'!A:A,0),0),0)</f>
        <v>0</v>
      </c>
      <c r="K2347" s="444">
        <f t="shared" ca="1" si="128"/>
        <v>-38917576.999105178</v>
      </c>
      <c r="L2347" s="444">
        <f t="shared" ca="1" si="129"/>
        <v>-9379136056.7843475</v>
      </c>
      <c r="M2347" s="460">
        <f t="shared" si="131"/>
        <v>0.05</v>
      </c>
      <c r="N2347" s="464">
        <f t="shared" si="132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30"/>
        <v>-9379136056.7843475</v>
      </c>
      <c r="J2348" s="444">
        <f t="array" ref="J2348">IFERROR(INDEX('Retirement Calculator'!K:K,MATCH('Lorri 401b'!N2348,'Retirement Calculator'!A:A,0),0),0)</f>
        <v>0</v>
      </c>
      <c r="K2348" s="444">
        <f t="shared" ca="1" si="128"/>
        <v>-39079733.569934778</v>
      </c>
      <c r="L2348" s="444">
        <f t="shared" ca="1" si="129"/>
        <v>-9418215790.3542824</v>
      </c>
      <c r="M2348" s="460">
        <f t="shared" si="131"/>
        <v>0.05</v>
      </c>
      <c r="N2348" s="464">
        <f t="shared" si="132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30"/>
        <v>-9418215790.3542824</v>
      </c>
      <c r="J2349" s="444">
        <f t="array" ref="J2349">IFERROR(INDEX('Retirement Calculator'!K:K,MATCH('Lorri 401b'!N2349,'Retirement Calculator'!A:A,0),0),0)</f>
        <v>0</v>
      </c>
      <c r="K2349" s="444">
        <f t="shared" ca="1" si="128"/>
        <v>-39242565.79314284</v>
      </c>
      <c r="L2349" s="444">
        <f t="shared" ca="1" si="129"/>
        <v>-9457458356.1474247</v>
      </c>
      <c r="M2349" s="460">
        <f t="shared" si="131"/>
        <v>0.05</v>
      </c>
      <c r="N2349" s="464">
        <f t="shared" si="132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30"/>
        <v>-9457458356.1474247</v>
      </c>
      <c r="J2350" s="444">
        <f t="array" ref="J2350">IFERROR(INDEX('Retirement Calculator'!K:K,MATCH('Lorri 401b'!N2350,'Retirement Calculator'!A:A,0),0),0)</f>
        <v>0</v>
      </c>
      <c r="K2350" s="444">
        <f t="shared" ca="1" si="128"/>
        <v>-39406076.483947605</v>
      </c>
      <c r="L2350" s="444">
        <f t="shared" ca="1" si="129"/>
        <v>-9496864432.6313725</v>
      </c>
      <c r="M2350" s="460">
        <f t="shared" si="131"/>
        <v>0.05</v>
      </c>
      <c r="N2350" s="464">
        <f t="shared" si="132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30"/>
        <v>-9496864432.6313725</v>
      </c>
      <c r="J2351" s="444">
        <f t="array" ref="J2351">IFERROR(INDEX('Retirement Calculator'!K:K,MATCH('Lorri 401b'!N2351,'Retirement Calculator'!A:A,0),0),0)</f>
        <v>0</v>
      </c>
      <c r="K2351" s="444">
        <f t="shared" ca="1" si="128"/>
        <v>-39570268.469297387</v>
      </c>
      <c r="L2351" s="444">
        <f t="shared" ca="1" si="129"/>
        <v>-9536434701.1006699</v>
      </c>
      <c r="M2351" s="460">
        <f t="shared" si="131"/>
        <v>0.05</v>
      </c>
      <c r="N2351" s="464">
        <f t="shared" si="132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30"/>
        <v>-9536434701.1006699</v>
      </c>
      <c r="J2352" s="444">
        <f t="array" ref="J2352">IFERROR(INDEX('Retirement Calculator'!K:K,MATCH('Lorri 401b'!N2352,'Retirement Calculator'!A:A,0),0),0)</f>
        <v>0</v>
      </c>
      <c r="K2352" s="444">
        <f t="shared" ca="1" si="128"/>
        <v>-39735144.587919459</v>
      </c>
      <c r="L2352" s="444">
        <f t="shared" ca="1" si="129"/>
        <v>-9576169845.6885891</v>
      </c>
      <c r="M2352" s="460">
        <f t="shared" si="131"/>
        <v>0.05</v>
      </c>
      <c r="N2352" s="464">
        <f t="shared" si="132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30"/>
        <v>-9576169845.6885891</v>
      </c>
      <c r="J2353" s="444">
        <f t="array" ref="J2353">IFERROR(INDEX('Retirement Calculator'!K:K,MATCH('Lorri 401b'!N2353,'Retirement Calculator'!A:A,0),0),0)</f>
        <v>0</v>
      </c>
      <c r="K2353" s="444">
        <f t="shared" ca="1" si="128"/>
        <v>-39900707.690369122</v>
      </c>
      <c r="L2353" s="444">
        <f t="shared" ca="1" si="129"/>
        <v>-9616070553.3789577</v>
      </c>
      <c r="M2353" s="460">
        <f t="shared" si="131"/>
        <v>0.05</v>
      </c>
      <c r="N2353" s="464">
        <f t="shared" si="132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30"/>
        <v>-9616070553.3789577</v>
      </c>
      <c r="J2354" s="444">
        <f t="array" ref="J2354">IFERROR(INDEX('Retirement Calculator'!K:K,MATCH('Lorri 401b'!N2354,'Retirement Calculator'!A:A,0),0),0)</f>
        <v>0</v>
      </c>
      <c r="K2354" s="444">
        <f t="shared" ca="1" si="128"/>
        <v>-40066960.63907899</v>
      </c>
      <c r="L2354" s="444">
        <f t="shared" ca="1" si="129"/>
        <v>-9656137514.0180359</v>
      </c>
      <c r="M2354" s="460">
        <f t="shared" si="131"/>
        <v>0.05</v>
      </c>
      <c r="N2354" s="464">
        <f t="shared" si="132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30"/>
        <v>-9656137514.0180359</v>
      </c>
      <c r="J2355" s="444">
        <f t="array" ref="J2355">IFERROR(INDEX('Retirement Calculator'!K:K,MATCH('Lorri 401b'!N2355,'Retirement Calculator'!A:A,0),0),0)</f>
        <v>0</v>
      </c>
      <c r="K2355" s="444">
        <f t="shared" ca="1" si="128"/>
        <v>-40233906.308408484</v>
      </c>
      <c r="L2355" s="444">
        <f t="shared" ca="1" si="129"/>
        <v>-9696371420.3264446</v>
      </c>
      <c r="M2355" s="460">
        <f t="shared" si="131"/>
        <v>0.05</v>
      </c>
      <c r="N2355" s="464">
        <f t="shared" si="132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30"/>
        <v>-9696371420.3264446</v>
      </c>
      <c r="J2356" s="444">
        <f t="array" ref="J2356">IFERROR(INDEX('Retirement Calculator'!K:K,MATCH('Lorri 401b'!N2356,'Retirement Calculator'!A:A,0),0),0)</f>
        <v>0</v>
      </c>
      <c r="K2356" s="444">
        <f t="shared" ca="1" si="128"/>
        <v>-40401547.584693521</v>
      </c>
      <c r="L2356" s="444">
        <f t="shared" ca="1" si="129"/>
        <v>-9736772967.9111385</v>
      </c>
      <c r="M2356" s="460">
        <f t="shared" si="131"/>
        <v>0.05</v>
      </c>
      <c r="N2356" s="464">
        <f t="shared" si="132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30"/>
        <v>-9736772967.9111385</v>
      </c>
      <c r="J2357" s="444">
        <f t="array" ref="J2357">IFERROR(INDEX('Retirement Calculator'!K:K,MATCH('Lorri 401b'!N2357,'Retirement Calculator'!A:A,0),0),0)</f>
        <v>0</v>
      </c>
      <c r="K2357" s="444">
        <f t="shared" ca="1" si="128"/>
        <v>-40569887.366296411</v>
      </c>
      <c r="L2357" s="444">
        <f t="shared" ca="1" si="129"/>
        <v>-9777342855.2774353</v>
      </c>
      <c r="M2357" s="460">
        <f t="shared" si="131"/>
        <v>0.05</v>
      </c>
      <c r="N2357" s="464">
        <f t="shared" si="132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30"/>
        <v>-9777342855.2774353</v>
      </c>
      <c r="J2358" s="444">
        <f t="array" ref="J2358">IFERROR(INDEX('Retirement Calculator'!K:K,MATCH('Lorri 401b'!N2358,'Retirement Calculator'!A:A,0),0),0)</f>
        <v>0</v>
      </c>
      <c r="K2358" s="444">
        <f t="shared" ca="1" si="128"/>
        <v>-40738928.56365598</v>
      </c>
      <c r="L2358" s="444">
        <f t="shared" ca="1" si="129"/>
        <v>-9818081783.8410912</v>
      </c>
      <c r="M2358" s="460">
        <f t="shared" si="131"/>
        <v>0.05</v>
      </c>
      <c r="N2358" s="464">
        <f t="shared" si="132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30"/>
        <v>-9818081783.8410912</v>
      </c>
      <c r="J2359" s="444">
        <f t="array" ref="J2359">IFERROR(INDEX('Retirement Calculator'!K:K,MATCH('Lorri 401b'!N2359,'Retirement Calculator'!A:A,0),0),0)</f>
        <v>0</v>
      </c>
      <c r="K2359" s="444">
        <f t="shared" ca="1" si="128"/>
        <v>-40908674.099337876</v>
      </c>
      <c r="L2359" s="444">
        <f t="shared" ca="1" si="129"/>
        <v>-9858990457.9404297</v>
      </c>
      <c r="M2359" s="460">
        <f t="shared" si="131"/>
        <v>0.05</v>
      </c>
      <c r="N2359" s="464">
        <f t="shared" si="132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30"/>
        <v>-9858990457.9404297</v>
      </c>
      <c r="J2360" s="444">
        <f t="array" ref="J2360">IFERROR(INDEX('Retirement Calculator'!K:K,MATCH('Lorri 401b'!N2360,'Retirement Calculator'!A:A,0),0),0)</f>
        <v>0</v>
      </c>
      <c r="K2360" s="444">
        <f t="shared" ca="1" si="128"/>
        <v>-41079126.908085123</v>
      </c>
      <c r="L2360" s="444">
        <f t="shared" ca="1" si="129"/>
        <v>-9900069584.8485146</v>
      </c>
      <c r="M2360" s="460">
        <f t="shared" si="131"/>
        <v>0.05</v>
      </c>
      <c r="N2360" s="464">
        <f t="shared" si="132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30"/>
        <v>-9900069584.8485146</v>
      </c>
      <c r="J2361" s="444">
        <f t="array" ref="J2361">IFERROR(INDEX('Retirement Calculator'!K:K,MATCH('Lorri 401b'!N2361,'Retirement Calculator'!A:A,0),0),0)</f>
        <v>0</v>
      </c>
      <c r="K2361" s="444">
        <f t="shared" ca="1" si="128"/>
        <v>-41250289.936868809</v>
      </c>
      <c r="L2361" s="444">
        <f t="shared" ca="1" si="129"/>
        <v>-9941319874.7853832</v>
      </c>
      <c r="M2361" s="460">
        <f t="shared" si="131"/>
        <v>0.05</v>
      </c>
      <c r="N2361" s="464">
        <f t="shared" si="132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30"/>
        <v>-9941319874.7853832</v>
      </c>
      <c r="J2362" s="444">
        <f t="array" ref="J2362">IFERROR(INDEX('Retirement Calculator'!K:K,MATCH('Lorri 401b'!N2362,'Retirement Calculator'!A:A,0),0),0)</f>
        <v>0</v>
      </c>
      <c r="K2362" s="444">
        <f t="shared" ca="1" si="128"/>
        <v>-41422166.144939095</v>
      </c>
      <c r="L2362" s="444">
        <f t="shared" ca="1" si="129"/>
        <v>-9982742040.9303226</v>
      </c>
      <c r="M2362" s="460">
        <f t="shared" si="131"/>
        <v>0.05</v>
      </c>
      <c r="N2362" s="464">
        <f t="shared" si="132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30"/>
        <v>-9982742040.9303226</v>
      </c>
      <c r="J2363" s="444">
        <f t="array" ref="J2363">IFERROR(INDEX('Retirement Calculator'!K:K,MATCH('Lorri 401b'!N2363,'Retirement Calculator'!A:A,0),0),0)</f>
        <v>0</v>
      </c>
      <c r="K2363" s="444">
        <f t="shared" ca="1" si="128"/>
        <v>-41594758.503876343</v>
      </c>
      <c r="L2363" s="444">
        <f t="shared" ca="1" si="129"/>
        <v>-10024336799.434198</v>
      </c>
      <c r="M2363" s="460">
        <f t="shared" si="131"/>
        <v>0.05</v>
      </c>
      <c r="N2363" s="464">
        <f t="shared" si="132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30"/>
        <v>-10024336799.434198</v>
      </c>
      <c r="J2364" s="444">
        <f t="array" ref="J2364">IFERROR(INDEX('Retirement Calculator'!K:K,MATCH('Lorri 401b'!N2364,'Retirement Calculator'!A:A,0),0),0)</f>
        <v>0</v>
      </c>
      <c r="K2364" s="444">
        <f t="shared" ca="1" si="128"/>
        <v>-41768069.997642495</v>
      </c>
      <c r="L2364" s="444">
        <f t="shared" ca="1" si="129"/>
        <v>-10066104869.431841</v>
      </c>
      <c r="M2364" s="460">
        <f t="shared" si="131"/>
        <v>0.05</v>
      </c>
      <c r="N2364" s="464">
        <f t="shared" si="132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30"/>
        <v>-10066104869.431841</v>
      </c>
      <c r="J2365" s="444">
        <f t="array" ref="J2365">IFERROR(INDEX('Retirement Calculator'!K:K,MATCH('Lorri 401b'!N2365,'Retirement Calculator'!A:A,0),0),0)</f>
        <v>0</v>
      </c>
      <c r="K2365" s="444">
        <f t="shared" ca="1" si="128"/>
        <v>-41942103.622632667</v>
      </c>
      <c r="L2365" s="444">
        <f t="shared" ca="1" si="129"/>
        <v>-10108046973.054474</v>
      </c>
      <c r="M2365" s="460">
        <f t="shared" si="131"/>
        <v>0.05</v>
      </c>
      <c r="N2365" s="464">
        <f t="shared" si="132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30"/>
        <v>-10108046973.054474</v>
      </c>
      <c r="J2366" s="444">
        <f t="array" ref="J2366">IFERROR(INDEX('Retirement Calculator'!K:K,MATCH('Lorri 401b'!N2366,'Retirement Calculator'!A:A,0),0),0)</f>
        <v>0</v>
      </c>
      <c r="K2366" s="444">
        <f t="shared" ca="1" si="128"/>
        <v>-42116862.387726977</v>
      </c>
      <c r="L2366" s="444">
        <f t="shared" ca="1" si="129"/>
        <v>-10150163835.442202</v>
      </c>
      <c r="M2366" s="460">
        <f t="shared" si="131"/>
        <v>0.05</v>
      </c>
      <c r="N2366" s="464">
        <f t="shared" si="132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30"/>
        <v>-10150163835.442202</v>
      </c>
      <c r="J2367" s="444">
        <f t="array" ref="J2367">IFERROR(INDEX('Retirement Calculator'!K:K,MATCH('Lorri 401b'!N2367,'Retirement Calculator'!A:A,0),0),0)</f>
        <v>0</v>
      </c>
      <c r="K2367" s="444">
        <f t="shared" ca="1" si="128"/>
        <v>-42292349.314342506</v>
      </c>
      <c r="L2367" s="444">
        <f t="shared" ca="1" si="129"/>
        <v>-10192456184.756544</v>
      </c>
      <c r="M2367" s="460">
        <f t="shared" si="131"/>
        <v>0.05</v>
      </c>
      <c r="N2367" s="464">
        <f t="shared" si="132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30"/>
        <v>-10192456184.756544</v>
      </c>
      <c r="J2368" s="444">
        <f t="array" ref="J2368">IFERROR(INDEX('Retirement Calculator'!K:K,MATCH('Lorri 401b'!N2368,'Retirement Calculator'!A:A,0),0),0)</f>
        <v>0</v>
      </c>
      <c r="K2368" s="444">
        <f t="shared" ca="1" si="128"/>
        <v>-42468567.436485603</v>
      </c>
      <c r="L2368" s="444">
        <f t="shared" ca="1" si="129"/>
        <v>-10234924752.193029</v>
      </c>
      <c r="M2368" s="460">
        <f t="shared" si="131"/>
        <v>0.05</v>
      </c>
      <c r="N2368" s="464">
        <f t="shared" si="132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30"/>
        <v>-10234924752.193029</v>
      </c>
      <c r="J2369" s="444">
        <f t="array" ref="J2369">IFERROR(INDEX('Retirement Calculator'!K:K,MATCH('Lorri 401b'!N2369,'Retirement Calculator'!A:A,0),0),0)</f>
        <v>0</v>
      </c>
      <c r="K2369" s="444">
        <f t="shared" ca="1" si="128"/>
        <v>-42645519.800804287</v>
      </c>
      <c r="L2369" s="444">
        <f t="shared" ca="1" si="129"/>
        <v>-10277570271.993834</v>
      </c>
      <c r="M2369" s="460">
        <f t="shared" si="131"/>
        <v>0.05</v>
      </c>
      <c r="N2369" s="464">
        <f t="shared" si="132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30"/>
        <v>-10277570271.993834</v>
      </c>
      <c r="J2370" s="444">
        <f t="array" ref="J2370">IFERROR(INDEX('Retirement Calculator'!K:K,MATCH('Lorri 401b'!N2370,'Retirement Calculator'!A:A,0),0),0)</f>
        <v>0</v>
      </c>
      <c r="K2370" s="444">
        <f t="shared" ca="1" si="128"/>
        <v>-42823209.466640972</v>
      </c>
      <c r="L2370" s="444">
        <f t="shared" ca="1" si="129"/>
        <v>-10320393481.460474</v>
      </c>
      <c r="M2370" s="460">
        <f t="shared" si="131"/>
        <v>0.05</v>
      </c>
      <c r="N2370" s="464">
        <f t="shared" si="132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30"/>
        <v>-10320393481.460474</v>
      </c>
      <c r="J2371" s="444">
        <f t="array" ref="J2371">IFERROR(INDEX('Retirement Calculator'!K:K,MATCH('Lorri 401b'!N2371,'Retirement Calculator'!A:A,0),0),0)</f>
        <v>0</v>
      </c>
      <c r="K2371" s="444">
        <f t="shared" ca="1" si="128"/>
        <v>-43001639.506085306</v>
      </c>
      <c r="L2371" s="444">
        <f t="shared" ca="1" si="129"/>
        <v>-10363395120.966558</v>
      </c>
      <c r="M2371" s="460">
        <f t="shared" si="131"/>
        <v>0.05</v>
      </c>
      <c r="N2371" s="464">
        <f t="shared" si="132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30"/>
        <v>-10363395120.966558</v>
      </c>
      <c r="J2372" s="444">
        <f t="array" ref="J2372">IFERROR(INDEX('Retirement Calculator'!K:K,MATCH('Lorri 401b'!N2372,'Retirement Calculator'!A:A,0),0),0)</f>
        <v>0</v>
      </c>
      <c r="K2372" s="444">
        <f t="shared" ca="1" si="128"/>
        <v>-43180813.004027329</v>
      </c>
      <c r="L2372" s="444">
        <f t="shared" ca="1" si="129"/>
        <v>-10406575933.970585</v>
      </c>
      <c r="M2372" s="460">
        <f t="shared" si="131"/>
        <v>0.05</v>
      </c>
      <c r="N2372" s="464">
        <f t="shared" si="132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30"/>
        <v>-10406575933.970585</v>
      </c>
      <c r="J2373" s="444">
        <f t="array" ref="J2373">IFERROR(INDEX('Retirement Calculator'!K:K,MATCH('Lorri 401b'!N2373,'Retirement Calculator'!A:A,0),0),0)</f>
        <v>0</v>
      </c>
      <c r="K2373" s="444">
        <f t="shared" ca="1" si="128"/>
        <v>-43360733.058210768</v>
      </c>
      <c r="L2373" s="444">
        <f t="shared" ca="1" si="129"/>
        <v>-10449936667.028795</v>
      </c>
      <c r="M2373" s="460">
        <f t="shared" si="131"/>
        <v>0.05</v>
      </c>
      <c r="N2373" s="464">
        <f t="shared" si="132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30"/>
        <v>-10449936667.028795</v>
      </c>
      <c r="J2374" s="444">
        <f t="array" ref="J2374">IFERROR(INDEX('Retirement Calculator'!K:K,MATCH('Lorri 401b'!N2374,'Retirement Calculator'!A:A,0),0),0)</f>
        <v>0</v>
      </c>
      <c r="K2374" s="444">
        <f t="shared" ca="1" si="128"/>
        <v>-43541402.779286645</v>
      </c>
      <c r="L2374" s="444">
        <f t="shared" ca="1" si="129"/>
        <v>-10493478069.808083</v>
      </c>
      <c r="M2374" s="460">
        <f t="shared" si="131"/>
        <v>0.05</v>
      </c>
      <c r="N2374" s="464">
        <f t="shared" si="132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30"/>
        <v>-10493478069.808083</v>
      </c>
      <c r="J2375" s="444">
        <f t="array" ref="J2375">IFERROR(INDEX('Retirement Calculator'!K:K,MATCH('Lorri 401b'!N2375,'Retirement Calculator'!A:A,0),0),0)</f>
        <v>0</v>
      </c>
      <c r="K2375" s="444">
        <f t="shared" ca="1" si="128"/>
        <v>-43722825.290867008</v>
      </c>
      <c r="L2375" s="444">
        <f t="shared" ca="1" si="129"/>
        <v>-10537200895.098949</v>
      </c>
      <c r="M2375" s="460">
        <f t="shared" si="131"/>
        <v>0.05</v>
      </c>
      <c r="N2375" s="464">
        <f t="shared" si="132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30"/>
        <v>-10537200895.098949</v>
      </c>
      <c r="J2376" s="444">
        <f t="array" ref="J2376">IFERROR(INDEX('Retirement Calculator'!K:K,MATCH('Lorri 401b'!N2376,'Retirement Calculator'!A:A,0),0),0)</f>
        <v>0</v>
      </c>
      <c r="K2376" s="444">
        <f t="shared" ca="1" si="128"/>
        <v>-43905003.729578957</v>
      </c>
      <c r="L2376" s="444">
        <f t="shared" ca="1" si="129"/>
        <v>-10581105898.828527</v>
      </c>
      <c r="M2376" s="460">
        <f t="shared" si="131"/>
        <v>0.05</v>
      </c>
      <c r="N2376" s="464">
        <f t="shared" si="132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30"/>
        <v>-10581105898.828527</v>
      </c>
      <c r="J2377" s="444">
        <f t="array" ref="J2377">IFERROR(INDEX('Retirement Calculator'!K:K,MATCH('Lorri 401b'!N2377,'Retirement Calculator'!A:A,0),0),0)</f>
        <v>0</v>
      </c>
      <c r="K2377" s="444">
        <f t="shared" ca="1" si="128"/>
        <v>-44087941.245118864</v>
      </c>
      <c r="L2377" s="444">
        <f t="shared" ca="1" si="129"/>
        <v>-10625193840.073647</v>
      </c>
      <c r="M2377" s="460">
        <f t="shared" si="131"/>
        <v>0.05</v>
      </c>
      <c r="N2377" s="464">
        <f t="shared" si="132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30"/>
        <v>-10625193840.073647</v>
      </c>
      <c r="J2378" s="444">
        <f t="array" ref="J2378">IFERROR(INDEX('Retirement Calculator'!K:K,MATCH('Lorri 401b'!N2378,'Retirement Calculator'!A:A,0),0),0)</f>
        <v>0</v>
      </c>
      <c r="K2378" s="444">
        <f t="shared" ca="1" si="128"/>
        <v>-44271641.00030686</v>
      </c>
      <c r="L2378" s="444">
        <f t="shared" ca="1" si="129"/>
        <v>-10669465481.073954</v>
      </c>
      <c r="M2378" s="460">
        <f t="shared" si="131"/>
        <v>0.05</v>
      </c>
      <c r="N2378" s="464">
        <f t="shared" si="132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30"/>
        <v>-10669465481.073954</v>
      </c>
      <c r="J2379" s="444">
        <f t="array" ref="J2379">IFERROR(INDEX('Retirement Calculator'!K:K,MATCH('Lorri 401b'!N2379,'Retirement Calculator'!A:A,0),0),0)</f>
        <v>0</v>
      </c>
      <c r="K2379" s="444">
        <f t="shared" ca="1" si="128"/>
        <v>-44456106.171141475</v>
      </c>
      <c r="L2379" s="444">
        <f t="shared" ca="1" si="129"/>
        <v>-10713921587.245094</v>
      </c>
      <c r="M2379" s="460">
        <f t="shared" si="131"/>
        <v>0.05</v>
      </c>
      <c r="N2379" s="464">
        <f t="shared" si="132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30"/>
        <v>-10713921587.245094</v>
      </c>
      <c r="J2380" s="444">
        <f t="array" ref="J2380">IFERROR(INDEX('Retirement Calculator'!K:K,MATCH('Lorri 401b'!N2380,'Retirement Calculator'!A:A,0),0),0)</f>
        <v>0</v>
      </c>
      <c r="K2380" s="444">
        <f t="shared" ca="1" si="128"/>
        <v>-44641339.946854562</v>
      </c>
      <c r="L2380" s="444">
        <f t="shared" ca="1" si="129"/>
        <v>-10758562927.191948</v>
      </c>
      <c r="M2380" s="460">
        <f t="shared" si="131"/>
        <v>0.05</v>
      </c>
      <c r="N2380" s="464">
        <f t="shared" si="132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30"/>
        <v>-10758562927.191948</v>
      </c>
      <c r="J2381" s="444">
        <f t="array" ref="J2381">IFERROR(INDEX('Retirement Calculator'!K:K,MATCH('Lorri 401b'!N2381,'Retirement Calculator'!A:A,0),0),0)</f>
        <v>0</v>
      </c>
      <c r="K2381" s="444">
        <f t="shared" ca="1" si="128"/>
        <v>-44827345.529966451</v>
      </c>
      <c r="L2381" s="444">
        <f t="shared" ca="1" si="129"/>
        <v>-10803390272.721914</v>
      </c>
      <c r="M2381" s="460">
        <f t="shared" si="131"/>
        <v>0.05</v>
      </c>
      <c r="N2381" s="464">
        <f t="shared" si="132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30"/>
        <v>-10803390272.721914</v>
      </c>
      <c r="J2382" s="444">
        <f t="array" ref="J2382">IFERROR(INDEX('Retirement Calculator'!K:K,MATCH('Lorri 401b'!N2382,'Retirement Calculator'!A:A,0),0),0)</f>
        <v>0</v>
      </c>
      <c r="K2382" s="444">
        <f t="shared" ca="1" si="128"/>
        <v>-45014126.136341311</v>
      </c>
      <c r="L2382" s="444">
        <f t="shared" ca="1" si="129"/>
        <v>-10848404398.858255</v>
      </c>
      <c r="M2382" s="460">
        <f t="shared" si="131"/>
        <v>0.05</v>
      </c>
      <c r="N2382" s="464">
        <f t="shared" si="132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30"/>
        <v>-10848404398.858255</v>
      </c>
      <c r="J2383" s="444">
        <f t="array" ref="J2383">IFERROR(INDEX('Retirement Calculator'!K:K,MATCH('Lorri 401b'!N2383,'Retirement Calculator'!A:A,0),0),0)</f>
        <v>0</v>
      </c>
      <c r="K2383" s="444">
        <f t="shared" ca="1" si="128"/>
        <v>-45201684.99524273</v>
      </c>
      <c r="L2383" s="444">
        <f t="shared" ca="1" si="129"/>
        <v>-10893606083.853498</v>
      </c>
      <c r="M2383" s="460">
        <f t="shared" si="131"/>
        <v>0.05</v>
      </c>
      <c r="N2383" s="464">
        <f t="shared" si="132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30"/>
        <v>-10893606083.853498</v>
      </c>
      <c r="J2384" s="444">
        <f t="array" ref="J2384">IFERROR(INDEX('Retirement Calculator'!K:K,MATCH('Lorri 401b'!N2384,'Retirement Calculator'!A:A,0),0),0)</f>
        <v>0</v>
      </c>
      <c r="K2384" s="444">
        <f t="shared" ca="1" si="128"/>
        <v>-45390025.349389575</v>
      </c>
      <c r="L2384" s="444">
        <f t="shared" ca="1" si="129"/>
        <v>-10938996109.202888</v>
      </c>
      <c r="M2384" s="460">
        <f t="shared" si="131"/>
        <v>0.05</v>
      </c>
      <c r="N2384" s="464">
        <f t="shared" si="132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30"/>
        <v>-10938996109.202888</v>
      </c>
      <c r="J2385" s="444">
        <f t="array" ref="J2385">IFERROR(INDEX('Retirement Calculator'!K:K,MATCH('Lorri 401b'!N2385,'Retirement Calculator'!A:A,0),0),0)</f>
        <v>0</v>
      </c>
      <c r="K2385" s="444">
        <f t="shared" ca="1" si="128"/>
        <v>-45579150.455012038</v>
      </c>
      <c r="L2385" s="444">
        <f t="shared" ca="1" si="129"/>
        <v>-10984575259.6579</v>
      </c>
      <c r="M2385" s="460">
        <f t="shared" si="131"/>
        <v>0.05</v>
      </c>
      <c r="N2385" s="464">
        <f t="shared" si="132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30"/>
        <v>-10984575259.6579</v>
      </c>
      <c r="J2386" s="444">
        <f t="array" ref="J2386">IFERROR(INDEX('Retirement Calculator'!K:K,MATCH('Lorri 401b'!N2386,'Retirement Calculator'!A:A,0),0),0)</f>
        <v>0</v>
      </c>
      <c r="K2386" s="444">
        <f t="shared" ca="1" si="128"/>
        <v>-45769063.581907913</v>
      </c>
      <c r="L2386" s="444">
        <f t="shared" ca="1" si="129"/>
        <v>-11030344323.239807</v>
      </c>
      <c r="M2386" s="460">
        <f t="shared" si="131"/>
        <v>0.05</v>
      </c>
      <c r="N2386" s="464">
        <f t="shared" si="132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30"/>
        <v>-11030344323.239807</v>
      </c>
      <c r="J2387" s="444">
        <f t="array" ref="J2387">IFERROR(INDEX('Retirement Calculator'!K:K,MATCH('Lorri 401b'!N2387,'Retirement Calculator'!A:A,0),0),0)</f>
        <v>0</v>
      </c>
      <c r="K2387" s="444">
        <f t="shared" ca="1" si="128"/>
        <v>-45959768.013499193</v>
      </c>
      <c r="L2387" s="444">
        <f t="shared" ca="1" si="129"/>
        <v>-11076304091.253305</v>
      </c>
      <c r="M2387" s="460">
        <f t="shared" si="131"/>
        <v>0.05</v>
      </c>
      <c r="N2387" s="464">
        <f t="shared" si="132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30"/>
        <v>-11076304091.253305</v>
      </c>
      <c r="J2388" s="444">
        <f t="array" ref="J2388">IFERROR(INDEX('Retirement Calculator'!K:K,MATCH('Lorri 401b'!N2388,'Retirement Calculator'!A:A,0),0),0)</f>
        <v>0</v>
      </c>
      <c r="K2388" s="444">
        <f t="shared" ca="1" si="128"/>
        <v>-46151267.046888769</v>
      </c>
      <c r="L2388" s="444">
        <f t="shared" ca="1" si="129"/>
        <v>-11122455358.300194</v>
      </c>
      <c r="M2388" s="460">
        <f t="shared" si="131"/>
        <v>0.05</v>
      </c>
      <c r="N2388" s="464">
        <f t="shared" si="132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30"/>
        <v>-11122455358.300194</v>
      </c>
      <c r="J2389" s="444">
        <f t="array" ref="J2389">IFERROR(INDEX('Retirement Calculator'!K:K,MATCH('Lorri 401b'!N2389,'Retirement Calculator'!A:A,0),0),0)</f>
        <v>0</v>
      </c>
      <c r="K2389" s="444">
        <f t="shared" ca="1" si="128"/>
        <v>-46343563.992917471</v>
      </c>
      <c r="L2389" s="444">
        <f t="shared" ca="1" si="129"/>
        <v>-11168798922.293112</v>
      </c>
      <c r="M2389" s="460">
        <f t="shared" si="131"/>
        <v>0.05</v>
      </c>
      <c r="N2389" s="464">
        <f t="shared" si="132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30"/>
        <v>-11168798922.293112</v>
      </c>
      <c r="J2390" s="444">
        <f t="array" ref="J2390">IFERROR(INDEX('Retirement Calculator'!K:K,MATCH('Lorri 401b'!N2390,'Retirement Calculator'!A:A,0),0),0)</f>
        <v>0</v>
      </c>
      <c r="K2390" s="444">
        <f t="shared" ca="1" si="128"/>
        <v>-46536662.176221296</v>
      </c>
      <c r="L2390" s="444">
        <f t="shared" ca="1" si="129"/>
        <v>-11215335584.469334</v>
      </c>
      <c r="M2390" s="460">
        <f t="shared" si="131"/>
        <v>0.05</v>
      </c>
      <c r="N2390" s="464">
        <f t="shared" si="132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30"/>
        <v>-11215335584.469334</v>
      </c>
      <c r="J2391" s="444">
        <f t="array" ref="J2391">IFERROR(INDEX('Retirement Calculator'!K:K,MATCH('Lorri 401b'!N2391,'Retirement Calculator'!A:A,0),0),0)</f>
        <v>0</v>
      </c>
      <c r="K2391" s="444">
        <f t="shared" ca="1" si="128"/>
        <v>-46730564.935288891</v>
      </c>
      <c r="L2391" s="444">
        <f t="shared" ca="1" si="129"/>
        <v>-11262066149.404623</v>
      </c>
      <c r="M2391" s="460">
        <f t="shared" si="131"/>
        <v>0.05</v>
      </c>
      <c r="N2391" s="464">
        <f t="shared" si="132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30"/>
        <v>-11262066149.404623</v>
      </c>
      <c r="J2392" s="444">
        <f t="array" ref="J2392">IFERROR(INDEX('Retirement Calculator'!K:K,MATCH('Lorri 401b'!N2392,'Retirement Calculator'!A:A,0),0),0)</f>
        <v>0</v>
      </c>
      <c r="K2392" s="444">
        <f t="shared" ca="1" si="128"/>
        <v>-46925275.622519262</v>
      </c>
      <c r="L2392" s="444">
        <f t="shared" ca="1" si="129"/>
        <v>-11308991425.027142</v>
      </c>
      <c r="M2392" s="460">
        <f t="shared" si="131"/>
        <v>0.05</v>
      </c>
      <c r="N2392" s="464">
        <f t="shared" si="132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30"/>
        <v>-11308991425.027142</v>
      </c>
      <c r="J2393" s="444">
        <f t="array" ref="J2393">IFERROR(INDEX('Retirement Calculator'!K:K,MATCH('Lorri 401b'!N2393,'Retirement Calculator'!A:A,0),0),0)</f>
        <v>0</v>
      </c>
      <c r="K2393" s="444">
        <f t="shared" ca="1" si="128"/>
        <v>-47120797.604279757</v>
      </c>
      <c r="L2393" s="444">
        <f t="shared" ca="1" si="129"/>
        <v>-11356112222.631422</v>
      </c>
      <c r="M2393" s="460">
        <f t="shared" si="131"/>
        <v>0.05</v>
      </c>
      <c r="N2393" s="464">
        <f t="shared" si="132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30"/>
        <v>-11356112222.631422</v>
      </c>
      <c r="J2394" s="444">
        <f t="array" ref="J2394">IFERROR(INDEX('Retirement Calculator'!K:K,MATCH('Lorri 401b'!N2394,'Retirement Calculator'!A:A,0),0),0)</f>
        <v>0</v>
      </c>
      <c r="K2394" s="444">
        <f t="shared" ca="1" si="128"/>
        <v>-47317134.26096426</v>
      </c>
      <c r="L2394" s="444">
        <f t="shared" ca="1" si="129"/>
        <v>-11403429356.892385</v>
      </c>
      <c r="M2394" s="460">
        <f t="shared" si="131"/>
        <v>0.05</v>
      </c>
      <c r="N2394" s="464">
        <f t="shared" si="132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30"/>
        <v>-11403429356.892385</v>
      </c>
      <c r="J2395" s="444">
        <f t="array" ref="J2395">IFERROR(INDEX('Retirement Calculator'!K:K,MATCH('Lorri 401b'!N2395,'Retirement Calculator'!A:A,0),0),0)</f>
        <v>0</v>
      </c>
      <c r="K2395" s="444">
        <f t="shared" ca="1" si="128"/>
        <v>-47514288.987051606</v>
      </c>
      <c r="L2395" s="444">
        <f t="shared" ca="1" si="129"/>
        <v>-11450943645.879436</v>
      </c>
      <c r="M2395" s="460">
        <f t="shared" si="131"/>
        <v>0.05</v>
      </c>
      <c r="N2395" s="464">
        <f t="shared" si="132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30"/>
        <v>-11450943645.879436</v>
      </c>
      <c r="J2396" s="444">
        <f t="array" ref="J2396">IFERROR(INDEX('Retirement Calculator'!K:K,MATCH('Lorri 401b'!N2396,'Retirement Calculator'!A:A,0),0),0)</f>
        <v>0</v>
      </c>
      <c r="K2396" s="444">
        <f t="shared" ca="1" si="128"/>
        <v>-47712265.191164315</v>
      </c>
      <c r="L2396" s="444">
        <f t="shared" ca="1" si="129"/>
        <v>-11498655911.070601</v>
      </c>
      <c r="M2396" s="460">
        <f t="shared" si="131"/>
        <v>0.05</v>
      </c>
      <c r="N2396" s="464">
        <f t="shared" si="132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30"/>
        <v>-11498655911.070601</v>
      </c>
      <c r="J2397" s="444">
        <f t="array" ref="J2397">IFERROR(INDEX('Retirement Calculator'!K:K,MATCH('Lorri 401b'!N2397,'Retirement Calculator'!A:A,0),0),0)</f>
        <v>0</v>
      </c>
      <c r="K2397" s="444">
        <f t="shared" ca="1" si="128"/>
        <v>-47911066.296127498</v>
      </c>
      <c r="L2397" s="444">
        <f t="shared" ca="1" si="129"/>
        <v>-11546566977.366728</v>
      </c>
      <c r="M2397" s="460">
        <f t="shared" si="131"/>
        <v>0.05</v>
      </c>
      <c r="N2397" s="464">
        <f t="shared" si="132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30"/>
        <v>-11546566977.366728</v>
      </c>
      <c r="J2398" s="444">
        <f t="array" ref="J2398">IFERROR(INDEX('Retirement Calculator'!K:K,MATCH('Lorri 401b'!N2398,'Retirement Calculator'!A:A,0),0),0)</f>
        <v>0</v>
      </c>
      <c r="K2398" s="444">
        <f t="shared" ca="1" si="128"/>
        <v>-48110695.739028029</v>
      </c>
      <c r="L2398" s="444">
        <f t="shared" ca="1" si="129"/>
        <v>-11594677673.105757</v>
      </c>
      <c r="M2398" s="460">
        <f t="shared" si="131"/>
        <v>0.05</v>
      </c>
      <c r="N2398" s="464">
        <f t="shared" si="132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30"/>
        <v>-11594677673.105757</v>
      </c>
      <c r="J2399" s="444">
        <f t="array" ref="J2399">IFERROR(INDEX('Retirement Calculator'!K:K,MATCH('Lorri 401b'!N2399,'Retirement Calculator'!A:A,0),0),0)</f>
        <v>0</v>
      </c>
      <c r="K2399" s="444">
        <f t="shared" ca="1" si="128"/>
        <v>-48311156.971273988</v>
      </c>
      <c r="L2399" s="444">
        <f t="shared" ca="1" si="129"/>
        <v>-11642988830.07703</v>
      </c>
      <c r="M2399" s="460">
        <f t="shared" si="131"/>
        <v>0.05</v>
      </c>
      <c r="N2399" s="464">
        <f t="shared" si="132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30"/>
        <v>-11642988830.07703</v>
      </c>
      <c r="J2400" s="444">
        <f t="array" ref="J2400">IFERROR(INDEX('Retirement Calculator'!K:K,MATCH('Lorri 401b'!N2400,'Retirement Calculator'!A:A,0),0),0)</f>
        <v>0</v>
      </c>
      <c r="K2400" s="444">
        <f t="shared" ca="1" si="128"/>
        <v>-48512453.458654292</v>
      </c>
      <c r="L2400" s="444">
        <f t="shared" ca="1" si="129"/>
        <v>-11691501283.535685</v>
      </c>
      <c r="M2400" s="460">
        <f t="shared" si="131"/>
        <v>0.05</v>
      </c>
      <c r="N2400" s="464">
        <f t="shared" si="132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30"/>
        <v>-11691501283.535685</v>
      </c>
      <c r="J2401" s="444">
        <f t="array" ref="J2401">IFERROR(INDEX('Retirement Calculator'!K:K,MATCH('Lorri 401b'!N2401,'Retirement Calculator'!A:A,0),0),0)</f>
        <v>0</v>
      </c>
      <c r="K2401" s="444">
        <f t="shared" ca="1" si="128"/>
        <v>-48714588.681398682</v>
      </c>
      <c r="L2401" s="444">
        <f t="shared" ca="1" si="129"/>
        <v>-11740215872.217083</v>
      </c>
      <c r="M2401" s="460">
        <f t="shared" si="131"/>
        <v>0.05</v>
      </c>
      <c r="N2401" s="464">
        <f t="shared" si="132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30"/>
        <v>-11740215872.217083</v>
      </c>
      <c r="J2402" s="444">
        <f t="array" ref="J2402">IFERROR(INDEX('Retirement Calculator'!K:K,MATCH('Lorri 401b'!N2402,'Retirement Calculator'!A:A,0),0),0)</f>
        <v>0</v>
      </c>
      <c r="K2402" s="444">
        <f t="shared" ca="1" si="128"/>
        <v>-48917566.134237848</v>
      </c>
      <c r="L2402" s="444">
        <f t="shared" ca="1" si="129"/>
        <v>-11789133438.35132</v>
      </c>
      <c r="M2402" s="460">
        <f t="shared" si="131"/>
        <v>0.05</v>
      </c>
      <c r="N2402" s="464">
        <f t="shared" si="132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30"/>
        <v>-11789133438.35132</v>
      </c>
      <c r="J2403" s="444">
        <f t="array" ref="J2403">IFERROR(INDEX('Retirement Calculator'!K:K,MATCH('Lorri 401b'!N2403,'Retirement Calculator'!A:A,0),0),0)</f>
        <v>0</v>
      </c>
      <c r="K2403" s="444">
        <f t="shared" ca="1" si="128"/>
        <v>-49121389.326463833</v>
      </c>
      <c r="L2403" s="444">
        <f t="shared" ca="1" si="129"/>
        <v>-11838254827.677784</v>
      </c>
      <c r="M2403" s="460">
        <f t="shared" si="131"/>
        <v>0.05</v>
      </c>
      <c r="N2403" s="464">
        <f t="shared" si="132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30"/>
        <v>-11838254827.677784</v>
      </c>
      <c r="J2404" s="444">
        <f t="array" ref="J2404">IFERROR(INDEX('Retirement Calculator'!K:K,MATCH('Lorri 401b'!N2404,'Retirement Calculator'!A:A,0),0),0)</f>
        <v>0</v>
      </c>
      <c r="K2404" s="444">
        <f t="shared" ca="1" si="128"/>
        <v>-49326061.781990767</v>
      </c>
      <c r="L2404" s="444">
        <f t="shared" ca="1" si="129"/>
        <v>-11887580889.459774</v>
      </c>
      <c r="M2404" s="460">
        <f t="shared" si="131"/>
        <v>0.05</v>
      </c>
      <c r="N2404" s="464">
        <f t="shared" si="132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30"/>
        <v>-11887580889.459774</v>
      </c>
      <c r="J2405" s="444">
        <f t="array" ref="J2405">IFERROR(INDEX('Retirement Calculator'!K:K,MATCH('Lorri 401b'!N2405,'Retirement Calculator'!A:A,0),0),0)</f>
        <v>0</v>
      </c>
      <c r="K2405" s="444">
        <f t="shared" ca="1" si="128"/>
        <v>-49531587.039415725</v>
      </c>
      <c r="L2405" s="444">
        <f t="shared" ca="1" si="129"/>
        <v>-11937112476.499189</v>
      </c>
      <c r="M2405" s="460">
        <f t="shared" si="131"/>
        <v>0.05</v>
      </c>
      <c r="N2405" s="464">
        <f t="shared" si="132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30"/>
        <v>-11937112476.499189</v>
      </c>
      <c r="J2406" s="444">
        <f t="array" ref="J2406">IFERROR(INDEX('Retirement Calculator'!K:K,MATCH('Lorri 401b'!N2406,'Retirement Calculator'!A:A,0),0),0)</f>
        <v>0</v>
      </c>
      <c r="K2406" s="444">
        <f t="shared" ca="1" si="128"/>
        <v>-49737968.652079955</v>
      </c>
      <c r="L2406" s="444">
        <f t="shared" ca="1" si="129"/>
        <v>-11986850445.15127</v>
      </c>
      <c r="M2406" s="460">
        <f t="shared" si="131"/>
        <v>0.05</v>
      </c>
      <c r="N2406" s="464">
        <f t="shared" si="132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30"/>
        <v>-11986850445.15127</v>
      </c>
      <c r="J2407" s="444">
        <f t="array" ref="J2407">IFERROR(INDEX('Retirement Calculator'!K:K,MATCH('Lorri 401b'!N2407,'Retirement Calculator'!A:A,0),0),0)</f>
        <v>0</v>
      </c>
      <c r="K2407" s="444">
        <f t="shared" ca="1" si="128"/>
        <v>-49945210.188130289</v>
      </c>
      <c r="L2407" s="444">
        <f t="shared" ca="1" si="129"/>
        <v>-12036795655.339399</v>
      </c>
      <c r="M2407" s="460">
        <f t="shared" si="131"/>
        <v>0.05</v>
      </c>
      <c r="N2407" s="464">
        <f t="shared" si="132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30"/>
        <v>-12036795655.339399</v>
      </c>
      <c r="J2408" s="444">
        <f t="array" ref="J2408">IFERROR(INDEX('Retirement Calculator'!K:K,MATCH('Lorri 401b'!N2408,'Retirement Calculator'!A:A,0),0),0)</f>
        <v>0</v>
      </c>
      <c r="K2408" s="444">
        <f t="shared" ca="1" si="128"/>
        <v>-50153315.230580829</v>
      </c>
      <c r="L2408" s="444">
        <f t="shared" ca="1" si="129"/>
        <v>-12086948970.569981</v>
      </c>
      <c r="M2408" s="460">
        <f t="shared" si="131"/>
        <v>0.05</v>
      </c>
      <c r="N2408" s="464">
        <f t="shared" si="132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30"/>
        <v>-12086948970.569981</v>
      </c>
      <c r="J2409" s="444">
        <f t="array" ref="J2409">IFERROR(INDEX('Retirement Calculator'!K:K,MATCH('Lorri 401b'!N2409,'Retirement Calculator'!A:A,0),0),0)</f>
        <v>0</v>
      </c>
      <c r="K2409" s="444">
        <f t="shared" ca="1" si="128"/>
        <v>-50362287.377374917</v>
      </c>
      <c r="L2409" s="444">
        <f t="shared" ca="1" si="129"/>
        <v>-12137311257.947355</v>
      </c>
      <c r="M2409" s="460">
        <f t="shared" si="131"/>
        <v>0.05</v>
      </c>
      <c r="N2409" s="464">
        <f t="shared" si="132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30"/>
        <v>-12137311257.947355</v>
      </c>
      <c r="J2410" s="444">
        <f t="array" ref="J2410">IFERROR(INDEX('Retirement Calculator'!K:K,MATCH('Lorri 401b'!N2410,'Retirement Calculator'!A:A,0),0),0)</f>
        <v>0</v>
      </c>
      <c r="K2410" s="444">
        <f t="shared" ca="1" si="128"/>
        <v>-50572130.241447315</v>
      </c>
      <c r="L2410" s="444">
        <f t="shared" ca="1" si="129"/>
        <v>-12187883388.188803</v>
      </c>
      <c r="M2410" s="460">
        <f t="shared" si="131"/>
        <v>0.05</v>
      </c>
      <c r="N2410" s="464">
        <f t="shared" si="132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30"/>
        <v>-12187883388.188803</v>
      </c>
      <c r="J2411" s="444">
        <f t="array" ref="J2411">IFERROR(INDEX('Retirement Calculator'!K:K,MATCH('Lorri 401b'!N2411,'Retirement Calculator'!A:A,0),0),0)</f>
        <v>0</v>
      </c>
      <c r="K2411" s="444">
        <f t="shared" ca="1" si="128"/>
        <v>-50782847.45078668</v>
      </c>
      <c r="L2411" s="444">
        <f t="shared" ca="1" si="129"/>
        <v>-12238666235.639589</v>
      </c>
      <c r="M2411" s="460">
        <f t="shared" si="131"/>
        <v>0.05</v>
      </c>
      <c r="N2411" s="464">
        <f t="shared" si="132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30"/>
        <v>-12238666235.639589</v>
      </c>
      <c r="J2412" s="444">
        <f t="array" ref="J2412">IFERROR(INDEX('Retirement Calculator'!K:K,MATCH('Lorri 401b'!N2412,'Retirement Calculator'!A:A,0),0),0)</f>
        <v>0</v>
      </c>
      <c r="K2412" s="444">
        <f t="shared" ca="1" si="128"/>
        <v>-50994442.648498289</v>
      </c>
      <c r="L2412" s="444">
        <f t="shared" ca="1" si="129"/>
        <v>-12289660678.288088</v>
      </c>
      <c r="M2412" s="460">
        <f t="shared" si="131"/>
        <v>0.05</v>
      </c>
      <c r="N2412" s="464">
        <f t="shared" si="132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30"/>
        <v>-12289660678.288088</v>
      </c>
      <c r="J2413" s="444">
        <f t="array" ref="J2413">IFERROR(INDEX('Retirement Calculator'!K:K,MATCH('Lorri 401b'!N2413,'Retirement Calculator'!A:A,0),0),0)</f>
        <v>0</v>
      </c>
      <c r="K2413" s="444">
        <f t="shared" ca="1" si="128"/>
        <v>-51206919.49286703</v>
      </c>
      <c r="L2413" s="444">
        <f t="shared" ca="1" si="129"/>
        <v>-12340867597.780954</v>
      </c>
      <c r="M2413" s="460">
        <f t="shared" si="131"/>
        <v>0.05</v>
      </c>
      <c r="N2413" s="464">
        <f t="shared" si="132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30"/>
        <v>-12340867597.780954</v>
      </c>
      <c r="J2414" s="444">
        <f t="array" ref="J2414">IFERROR(INDEX('Retirement Calculator'!K:K,MATCH('Lorri 401b'!N2414,'Retirement Calculator'!A:A,0),0),0)</f>
        <v>0</v>
      </c>
      <c r="K2414" s="444">
        <f t="shared" ca="1" si="128"/>
        <v>-51420281.657420643</v>
      </c>
      <c r="L2414" s="444">
        <f t="shared" ca="1" si="129"/>
        <v>-12392287879.438375</v>
      </c>
      <c r="M2414" s="460">
        <f t="shared" si="131"/>
        <v>0.05</v>
      </c>
      <c r="N2414" s="464">
        <f t="shared" si="132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30"/>
        <v>-12392287879.438375</v>
      </c>
      <c r="J2415" s="444">
        <f t="array" ref="J2415">IFERROR(INDEX('Retirement Calculator'!K:K,MATCH('Lorri 401b'!N2415,'Retirement Calculator'!A:A,0),0),0)</f>
        <v>0</v>
      </c>
      <c r="K2415" s="444">
        <f t="shared" ca="1" si="128"/>
        <v>-51634532.830993228</v>
      </c>
      <c r="L2415" s="444">
        <f t="shared" ca="1" si="129"/>
        <v>-12443922412.269369</v>
      </c>
      <c r="M2415" s="460">
        <f t="shared" si="131"/>
        <v>0.05</v>
      </c>
      <c r="N2415" s="464">
        <f t="shared" si="132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30"/>
        <v>-12443922412.269369</v>
      </c>
      <c r="J2416" s="444">
        <f t="array" ref="J2416">IFERROR(INDEX('Retirement Calculator'!K:K,MATCH('Lorri 401b'!N2416,'Retirement Calculator'!A:A,0),0),0)</f>
        <v>0</v>
      </c>
      <c r="K2416" s="444">
        <f t="shared" ca="1" si="128"/>
        <v>-51849676.717789039</v>
      </c>
      <c r="L2416" s="444">
        <f t="shared" ca="1" si="129"/>
        <v>-12495772088.987158</v>
      </c>
      <c r="M2416" s="460">
        <f t="shared" si="131"/>
        <v>0.05</v>
      </c>
      <c r="N2416" s="464">
        <f t="shared" si="132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30"/>
        <v>-12495772088.987158</v>
      </c>
      <c r="J2417" s="444">
        <f t="array" ref="J2417">IFERROR(INDEX('Retirement Calculator'!K:K,MATCH('Lorri 401b'!N2417,'Retirement Calculator'!A:A,0),0),0)</f>
        <v>0</v>
      </c>
      <c r="K2417" s="444">
        <f t="shared" ca="1" si="128"/>
        <v>-52065717.037446491</v>
      </c>
      <c r="L2417" s="444">
        <f t="shared" ca="1" si="129"/>
        <v>-12547837806.024605</v>
      </c>
      <c r="M2417" s="460">
        <f t="shared" si="131"/>
        <v>0.05</v>
      </c>
      <c r="N2417" s="464">
        <f t="shared" si="132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30"/>
        <v>-12547837806.024605</v>
      </c>
      <c r="J2418" s="444">
        <f t="array" ref="J2418">IFERROR(INDEX('Retirement Calculator'!K:K,MATCH('Lorri 401b'!N2418,'Retirement Calculator'!A:A,0),0),0)</f>
        <v>0</v>
      </c>
      <c r="K2418" s="444">
        <f t="shared" ca="1" si="128"/>
        <v>-52282657.525102518</v>
      </c>
      <c r="L2418" s="444">
        <f t="shared" ca="1" si="129"/>
        <v>-12600120463.549707</v>
      </c>
      <c r="M2418" s="460">
        <f t="shared" si="131"/>
        <v>0.05</v>
      </c>
      <c r="N2418" s="464">
        <f t="shared" si="132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30"/>
        <v>-12600120463.549707</v>
      </c>
      <c r="J2419" s="444">
        <f t="array" ref="J2419">IFERROR(INDEX('Retirement Calculator'!K:K,MATCH('Lorri 401b'!N2419,'Retirement Calculator'!A:A,0),0),0)</f>
        <v>0</v>
      </c>
      <c r="K2419" s="444">
        <f t="shared" ca="1" si="128"/>
        <v>-52500501.931457117</v>
      </c>
      <c r="L2419" s="444">
        <f t="shared" ca="1" si="129"/>
        <v>-12652620965.481165</v>
      </c>
      <c r="M2419" s="460">
        <f t="shared" si="131"/>
        <v>0.05</v>
      </c>
      <c r="N2419" s="464">
        <f t="shared" si="132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30"/>
        <v>-12652620965.481165</v>
      </c>
      <c r="J2420" s="444">
        <f t="array" ref="J2420">IFERROR(INDEX('Retirement Calculator'!K:K,MATCH('Lorri 401b'!N2420,'Retirement Calculator'!A:A,0),0),0)</f>
        <v>0</v>
      </c>
      <c r="K2420" s="444">
        <f t="shared" ca="1" si="128"/>
        <v>-52719254.02283819</v>
      </c>
      <c r="L2420" s="444">
        <f t="shared" ca="1" si="129"/>
        <v>-12705340219.504004</v>
      </c>
      <c r="M2420" s="460">
        <f t="shared" si="131"/>
        <v>0.05</v>
      </c>
      <c r="N2420" s="464">
        <f t="shared" si="132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30"/>
        <v>-12705340219.504004</v>
      </c>
      <c r="J2421" s="444">
        <f t="array" ref="J2421">IFERROR(INDEX('Retirement Calculator'!K:K,MATCH('Lorri 401b'!N2421,'Retirement Calculator'!A:A,0),0),0)</f>
        <v>0</v>
      </c>
      <c r="K2421" s="444">
        <f t="shared" ca="1" si="128"/>
        <v>-52938917.581266679</v>
      </c>
      <c r="L2421" s="444">
        <f t="shared" ca="1" si="129"/>
        <v>-12758279137.08527</v>
      </c>
      <c r="M2421" s="460">
        <f t="shared" si="131"/>
        <v>0.05</v>
      </c>
      <c r="N2421" s="464">
        <f t="shared" si="132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30"/>
        <v>-12758279137.08527</v>
      </c>
      <c r="J2422" s="444">
        <f t="array" ref="J2422">IFERROR(INDEX('Retirement Calculator'!K:K,MATCH('Lorri 401b'!N2422,'Retirement Calculator'!A:A,0),0),0)</f>
        <v>0</v>
      </c>
      <c r="K2422" s="444">
        <f t="shared" ca="1" si="128"/>
        <v>-53159496.404521957</v>
      </c>
      <c r="L2422" s="444">
        <f t="shared" ca="1" si="129"/>
        <v>-12811438633.489792</v>
      </c>
      <c r="M2422" s="460">
        <f t="shared" si="131"/>
        <v>0.05</v>
      </c>
      <c r="N2422" s="464">
        <f t="shared" si="132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30"/>
        <v>-12811438633.489792</v>
      </c>
      <c r="J2423" s="444">
        <f t="array" ref="J2423">IFERROR(INDEX('Retirement Calculator'!K:K,MATCH('Lorri 401b'!N2423,'Retirement Calculator'!A:A,0),0),0)</f>
        <v>0</v>
      </c>
      <c r="K2423" s="444">
        <f t="shared" ca="1" si="128"/>
        <v>-53380994.306207463</v>
      </c>
      <c r="L2423" s="444">
        <f t="shared" ca="1" si="129"/>
        <v>-12864819627.796</v>
      </c>
      <c r="M2423" s="460">
        <f t="shared" si="131"/>
        <v>0.05</v>
      </c>
      <c r="N2423" s="464">
        <f t="shared" si="132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30"/>
        <v>-12864819627.796</v>
      </c>
      <c r="J2424" s="444">
        <f t="array" ref="J2424">IFERROR(INDEX('Retirement Calculator'!K:K,MATCH('Lorri 401b'!N2424,'Retirement Calculator'!A:A,0),0),0)</f>
        <v>0</v>
      </c>
      <c r="K2424" s="444">
        <f t="shared" ca="1" si="128"/>
        <v>-53603415.115816668</v>
      </c>
      <c r="L2424" s="444">
        <f t="shared" ca="1" si="129"/>
        <v>-12918423042.911816</v>
      </c>
      <c r="M2424" s="460">
        <f t="shared" si="131"/>
        <v>0.05</v>
      </c>
      <c r="N2424" s="464">
        <f t="shared" si="132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30"/>
        <v>-12918423042.911816</v>
      </c>
      <c r="J2425" s="444">
        <f t="array" ref="J2425">IFERROR(INDEX('Retirement Calculator'!K:K,MATCH('Lorri 401b'!N2425,'Retirement Calculator'!A:A,0),0),0)</f>
        <v>0</v>
      </c>
      <c r="K2425" s="444">
        <f t="shared" ca="1" si="128"/>
        <v>-53826762.678799234</v>
      </c>
      <c r="L2425" s="444">
        <f t="shared" ca="1" si="129"/>
        <v>-12972249805.590614</v>
      </c>
      <c r="M2425" s="460">
        <f t="shared" si="131"/>
        <v>0.05</v>
      </c>
      <c r="N2425" s="464">
        <f t="shared" si="132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30"/>
        <v>-12972249805.590614</v>
      </c>
      <c r="J2426" s="444">
        <f t="array" ref="J2426">IFERROR(INDEX('Retirement Calculator'!K:K,MATCH('Lorri 401b'!N2426,'Retirement Calculator'!A:A,0),0),0)</f>
        <v>0</v>
      </c>
      <c r="K2426" s="444">
        <f t="shared" ca="1" si="128"/>
        <v>-54051040.856627561</v>
      </c>
      <c r="L2426" s="444">
        <f t="shared" ca="1" si="129"/>
        <v>-13026300846.447243</v>
      </c>
      <c r="M2426" s="460">
        <f t="shared" si="131"/>
        <v>0.05</v>
      </c>
      <c r="N2426" s="464">
        <f t="shared" si="132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30"/>
        <v>-13026300846.447243</v>
      </c>
      <c r="J2427" s="444">
        <f t="array" ref="J2427">IFERROR(INDEX('Retirement Calculator'!K:K,MATCH('Lorri 401b'!N2427,'Retirement Calculator'!A:A,0),0),0)</f>
        <v>0</v>
      </c>
      <c r="K2427" s="444">
        <f t="shared" ca="1" si="128"/>
        <v>-54276253.526863508</v>
      </c>
      <c r="L2427" s="444">
        <f t="shared" ca="1" si="129"/>
        <v>-13080577099.974106</v>
      </c>
      <c r="M2427" s="460">
        <f t="shared" si="131"/>
        <v>0.05</v>
      </c>
      <c r="N2427" s="464">
        <f t="shared" si="132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30"/>
        <v>-13080577099.974106</v>
      </c>
      <c r="J2428" s="444">
        <f t="array" ref="J2428">IFERROR(INDEX('Retirement Calculator'!K:K,MATCH('Lorri 401b'!N2428,'Retirement Calculator'!A:A,0),0),0)</f>
        <v>0</v>
      </c>
      <c r="K2428" s="444">
        <f t="shared" ca="1" si="128"/>
        <v>-54502404.583225437</v>
      </c>
      <c r="L2428" s="444">
        <f t="shared" ca="1" si="129"/>
        <v>-13135079504.557331</v>
      </c>
      <c r="M2428" s="460">
        <f t="shared" si="131"/>
        <v>0.05</v>
      </c>
      <c r="N2428" s="464">
        <f t="shared" si="132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30"/>
        <v>-13135079504.557331</v>
      </c>
      <c r="J2429" s="444">
        <f t="array" ref="J2429">IFERROR(INDEX('Retirement Calculator'!K:K,MATCH('Lorri 401b'!N2429,'Retirement Calculator'!A:A,0),0),0)</f>
        <v>0</v>
      </c>
      <c r="K2429" s="444">
        <f t="shared" ca="1" si="128"/>
        <v>-54729497.935655542</v>
      </c>
      <c r="L2429" s="444">
        <f t="shared" ca="1" si="129"/>
        <v>-13189809002.492987</v>
      </c>
      <c r="M2429" s="460">
        <f t="shared" si="131"/>
        <v>0.05</v>
      </c>
      <c r="N2429" s="464">
        <f t="shared" si="132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30"/>
        <v>-13189809002.492987</v>
      </c>
      <c r="J2430" s="444">
        <f t="array" ref="J2430">IFERROR(INDEX('Retirement Calculator'!K:K,MATCH('Lorri 401b'!N2430,'Retirement Calculator'!A:A,0),0),0)</f>
        <v>0</v>
      </c>
      <c r="K2430" s="444">
        <f t="shared" ca="1" si="128"/>
        <v>-54957537.510387443</v>
      </c>
      <c r="L2430" s="444">
        <f t="shared" ca="1" si="129"/>
        <v>-13244766540.003374</v>
      </c>
      <c r="M2430" s="460">
        <f t="shared" si="131"/>
        <v>0.05</v>
      </c>
      <c r="N2430" s="464">
        <f t="shared" si="132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30"/>
        <v>-13244766540.003374</v>
      </c>
      <c r="J2431" s="444">
        <f t="array" ref="J2431">IFERROR(INDEX('Retirement Calculator'!K:K,MATCH('Lorri 401b'!N2431,'Retirement Calculator'!A:A,0),0),0)</f>
        <v>0</v>
      </c>
      <c r="K2431" s="444">
        <f t="shared" ca="1" si="128"/>
        <v>-55186527.250014059</v>
      </c>
      <c r="L2431" s="444">
        <f t="shared" ca="1" si="129"/>
        <v>-13299953067.253387</v>
      </c>
      <c r="M2431" s="460">
        <f t="shared" si="131"/>
        <v>0.05</v>
      </c>
      <c r="N2431" s="464">
        <f t="shared" si="132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30"/>
        <v>-13299953067.253387</v>
      </c>
      <c r="J2432" s="444">
        <f t="array" ref="J2432">IFERROR(INDEX('Retirement Calculator'!K:K,MATCH('Lorri 401b'!N2432,'Retirement Calculator'!A:A,0),0),0)</f>
        <v>0</v>
      </c>
      <c r="K2432" s="444">
        <f t="shared" ca="1" si="128"/>
        <v>-55416471.113555782</v>
      </c>
      <c r="L2432" s="444">
        <f t="shared" ca="1" si="129"/>
        <v>-13355369538.366943</v>
      </c>
      <c r="M2432" s="460">
        <f t="shared" si="131"/>
        <v>0.05</v>
      </c>
      <c r="N2432" s="464">
        <f t="shared" si="132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30"/>
        <v>-13355369538.366943</v>
      </c>
      <c r="J2433" s="444">
        <f t="array" ref="J2433">IFERROR(INDEX('Retirement Calculator'!K:K,MATCH('Lorri 401b'!N2433,'Retirement Calculator'!A:A,0),0),0)</f>
        <v>0</v>
      </c>
      <c r="K2433" s="444">
        <f t="shared" ca="1" si="128"/>
        <v>-55647373.076528929</v>
      </c>
      <c r="L2433" s="444">
        <f t="shared" ca="1" si="129"/>
        <v>-13411016911.443472</v>
      </c>
      <c r="M2433" s="460">
        <f t="shared" si="131"/>
        <v>0.05</v>
      </c>
      <c r="N2433" s="464">
        <f t="shared" si="132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30"/>
        <v>-13411016911.443472</v>
      </c>
      <c r="J2434" s="444">
        <f t="array" ref="J2434">IFERROR(INDEX('Retirement Calculator'!K:K,MATCH('Lorri 401b'!N2434,'Retirement Calculator'!A:A,0),0),0)</f>
        <v>0</v>
      </c>
      <c r="K2434" s="444">
        <f t="shared" ca="1" si="128"/>
        <v>-55879237.131014474</v>
      </c>
      <c r="L2434" s="444">
        <f t="shared" ca="1" si="129"/>
        <v>-13466896148.574486</v>
      </c>
      <c r="M2434" s="460">
        <f t="shared" si="131"/>
        <v>0.05</v>
      </c>
      <c r="N2434" s="464">
        <f t="shared" si="132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30"/>
        <v>-13466896148.574486</v>
      </c>
      <c r="J2435" s="444">
        <f t="array" ref="J2435">IFERROR(INDEX('Retirement Calculator'!K:K,MATCH('Lorri 401b'!N2435,'Retirement Calculator'!A:A,0),0),0)</f>
        <v>0</v>
      </c>
      <c r="K2435" s="444">
        <f t="shared" ca="1" si="128"/>
        <v>-56112067.285727024</v>
      </c>
      <c r="L2435" s="444">
        <f t="shared" ca="1" si="129"/>
        <v>-13523008215.860212</v>
      </c>
      <c r="M2435" s="460">
        <f t="shared" si="131"/>
        <v>0.05</v>
      </c>
      <c r="N2435" s="464">
        <f t="shared" si="132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30"/>
        <v>-13523008215.860212</v>
      </c>
      <c r="J2436" s="444">
        <f t="array" ref="J2436">IFERROR(INDEX('Retirement Calculator'!K:K,MATCH('Lorri 401b'!N2436,'Retirement Calculator'!A:A,0),0),0)</f>
        <v>0</v>
      </c>
      <c r="K2436" s="444">
        <f t="shared" ca="1" si="128"/>
        <v>-56345867.566084214</v>
      </c>
      <c r="L2436" s="444">
        <f t="shared" ca="1" si="129"/>
        <v>-13579354083.426296</v>
      </c>
      <c r="M2436" s="460">
        <f t="shared" si="131"/>
        <v>0.05</v>
      </c>
      <c r="N2436" s="464">
        <f t="shared" si="132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30"/>
        <v>-13579354083.426296</v>
      </c>
      <c r="J2437" s="444">
        <f t="array" ref="J2437">IFERROR(INDEX('Retirement Calculator'!K:K,MATCH('Lorri 401b'!N2437,'Retirement Calculator'!A:A,0),0),0)</f>
        <v>0</v>
      </c>
      <c r="K2437" s="444">
        <f t="shared" ca="1" si="128"/>
        <v>-56580642.014276244</v>
      </c>
      <c r="L2437" s="444">
        <f t="shared" ca="1" si="129"/>
        <v>-13635934725.440573</v>
      </c>
      <c r="M2437" s="460">
        <f t="shared" si="131"/>
        <v>0.05</v>
      </c>
      <c r="N2437" s="464">
        <f t="shared" si="132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30"/>
        <v>-13635934725.440573</v>
      </c>
      <c r="J2438" s="444">
        <f t="array" ref="J2438">IFERROR(INDEX('Retirement Calculator'!K:K,MATCH('Lorri 401b'!N2438,'Retirement Calculator'!A:A,0),0),0)</f>
        <v>0</v>
      </c>
      <c r="K2438" s="444">
        <f t="shared" ca="1" si="128"/>
        <v>-56816394.689335719</v>
      </c>
      <c r="L2438" s="444">
        <f t="shared" ca="1" si="129"/>
        <v>-13692751120.129908</v>
      </c>
      <c r="M2438" s="460">
        <f t="shared" si="131"/>
        <v>0.05</v>
      </c>
      <c r="N2438" s="464">
        <f t="shared" si="132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30"/>
        <v>-13692751120.129908</v>
      </c>
      <c r="J2439" s="444">
        <f t="array" ref="J2439">IFERROR(INDEX('Retirement Calculator'!K:K,MATCH('Lorri 401b'!N2439,'Retirement Calculator'!A:A,0),0),0)</f>
        <v>0</v>
      </c>
      <c r="K2439" s="444">
        <f t="shared" ca="1" si="128"/>
        <v>-57053129.667207956</v>
      </c>
      <c r="L2439" s="444">
        <f t="shared" ca="1" si="129"/>
        <v>-13749804249.797115</v>
      </c>
      <c r="M2439" s="460">
        <f t="shared" si="131"/>
        <v>0.05</v>
      </c>
      <c r="N2439" s="464">
        <f t="shared" si="132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30"/>
        <v>-13749804249.797115</v>
      </c>
      <c r="J2440" s="444">
        <f t="array" ref="J2440">IFERROR(INDEX('Retirement Calculator'!K:K,MATCH('Lorri 401b'!N2440,'Retirement Calculator'!A:A,0),0),0)</f>
        <v>0</v>
      </c>
      <c r="K2440" s="444">
        <f t="shared" ca="1" si="128"/>
        <v>-57290851.040821314</v>
      </c>
      <c r="L2440" s="444">
        <f t="shared" ca="1" si="129"/>
        <v>-13807095100.837936</v>
      </c>
      <c r="M2440" s="460">
        <f t="shared" si="131"/>
        <v>0.05</v>
      </c>
      <c r="N2440" s="464">
        <f t="shared" si="132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30"/>
        <v>-13807095100.837936</v>
      </c>
      <c r="J2441" s="444">
        <f t="array" ref="J2441">IFERROR(INDEX('Retirement Calculator'!K:K,MATCH('Lorri 401b'!N2441,'Retirement Calculator'!A:A,0),0),0)</f>
        <v>0</v>
      </c>
      <c r="K2441" s="444">
        <f t="shared" ca="1" si="128"/>
        <v>-57529562.920158066</v>
      </c>
      <c r="L2441" s="444">
        <f t="shared" ca="1" si="129"/>
        <v>-13864624663.758095</v>
      </c>
      <c r="M2441" s="460">
        <f t="shared" si="131"/>
        <v>0.05</v>
      </c>
      <c r="N2441" s="464">
        <f t="shared" si="132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30"/>
        <v>-13864624663.758095</v>
      </c>
      <c r="J2442" s="444">
        <f t="array" ref="J2442">IFERROR(INDEX('Retirement Calculator'!K:K,MATCH('Lorri 401b'!N2442,'Retirement Calculator'!A:A,0),0),0)</f>
        <v>0</v>
      </c>
      <c r="K2442" s="444">
        <f t="shared" ca="1" si="128"/>
        <v>-57769269.432325393</v>
      </c>
      <c r="L2442" s="444">
        <f t="shared" ca="1" si="129"/>
        <v>-13922393933.19042</v>
      </c>
      <c r="M2442" s="460">
        <f t="shared" si="131"/>
        <v>0.05</v>
      </c>
      <c r="N2442" s="464">
        <f t="shared" si="132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30"/>
        <v>-13922393933.19042</v>
      </c>
      <c r="J2443" s="444">
        <f t="array" ref="J2443">IFERROR(INDEX('Retirement Calculator'!K:K,MATCH('Lorri 401b'!N2443,'Retirement Calculator'!A:A,0),0),0)</f>
        <v>0</v>
      </c>
      <c r="K2443" s="444">
        <f t="shared" ca="1" si="128"/>
        <v>-58009974.721626751</v>
      </c>
      <c r="L2443" s="444">
        <f t="shared" ca="1" si="129"/>
        <v>-13980403907.912046</v>
      </c>
      <c r="M2443" s="460">
        <f t="shared" si="131"/>
        <v>0.05</v>
      </c>
      <c r="N2443" s="464">
        <f t="shared" si="132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30"/>
        <v>-13980403907.912046</v>
      </c>
      <c r="J2444" s="444">
        <f t="array" ref="J2444">IFERROR(INDEX('Retirement Calculator'!K:K,MATCH('Lorri 401b'!N2444,'Retirement Calculator'!A:A,0),0),0)</f>
        <v>0</v>
      </c>
      <c r="K2444" s="444">
        <f t="shared" ca="1" si="128"/>
        <v>-58251682.949633524</v>
      </c>
      <c r="L2444" s="444">
        <f t="shared" ca="1" si="129"/>
        <v>-14038655590.861679</v>
      </c>
      <c r="M2444" s="460">
        <f t="shared" si="131"/>
        <v>0.05</v>
      </c>
      <c r="N2444" s="464">
        <f t="shared" si="132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30"/>
        <v>-14038655590.861679</v>
      </c>
      <c r="J2445" s="444">
        <f t="array" ref="J2445">IFERROR(INDEX('Retirement Calculator'!K:K,MATCH('Lorri 401b'!N2445,'Retirement Calculator'!A:A,0),0),0)</f>
        <v>0</v>
      </c>
      <c r="K2445" s="444">
        <f t="shared" ca="1" si="128"/>
        <v>-58494398.295256995</v>
      </c>
      <c r="L2445" s="444">
        <f t="shared" ca="1" si="129"/>
        <v>-14097149989.156937</v>
      </c>
      <c r="M2445" s="460">
        <f t="shared" si="131"/>
        <v>0.05</v>
      </c>
      <c r="N2445" s="464">
        <f t="shared" si="132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30"/>
        <v>-14097149989.156937</v>
      </c>
      <c r="J2446" s="444">
        <f t="array" ref="J2446">IFERROR(INDEX('Retirement Calculator'!K:K,MATCH('Lorri 401b'!N2446,'Retirement Calculator'!A:A,0),0),0)</f>
        <v>0</v>
      </c>
      <c r="K2446" s="444">
        <f t="shared" ca="1" si="128"/>
        <v>-58738124.954820566</v>
      </c>
      <c r="L2446" s="444">
        <f t="shared" ca="1" si="129"/>
        <v>-14155888114.111757</v>
      </c>
      <c r="M2446" s="460">
        <f t="shared" si="131"/>
        <v>0.05</v>
      </c>
      <c r="N2446" s="464">
        <f t="shared" si="132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30"/>
        <v>-14155888114.111757</v>
      </c>
      <c r="J2447" s="444">
        <f t="array" ref="J2447">IFERROR(INDEX('Retirement Calculator'!K:K,MATCH('Lorri 401b'!N2447,'Retirement Calculator'!A:A,0),0),0)</f>
        <v>0</v>
      </c>
      <c r="K2447" s="444">
        <f t="shared" ca="1" si="128"/>
        <v>-58982867.142132327</v>
      </c>
      <c r="L2447" s="444">
        <f t="shared" ca="1" si="129"/>
        <v>-14214870981.253889</v>
      </c>
      <c r="M2447" s="460">
        <f t="shared" si="131"/>
        <v>0.05</v>
      </c>
      <c r="N2447" s="464">
        <f t="shared" si="132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30"/>
        <v>-14214870981.253889</v>
      </c>
      <c r="J2448" s="444">
        <f t="array" ref="J2448">IFERROR(INDEX('Retirement Calculator'!K:K,MATCH('Lorri 401b'!N2448,'Retirement Calculator'!A:A,0),0),0)</f>
        <v>0</v>
      </c>
      <c r="K2448" s="444">
        <f t="shared" ca="1" si="128"/>
        <v>-59228629.088557869</v>
      </c>
      <c r="L2448" s="444">
        <f t="shared" ca="1" si="129"/>
        <v>-14274099610.342447</v>
      </c>
      <c r="M2448" s="460">
        <f t="shared" si="131"/>
        <v>0.05</v>
      </c>
      <c r="N2448" s="464">
        <f t="shared" si="132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30"/>
        <v>-14274099610.342447</v>
      </c>
      <c r="J2449" s="444">
        <f t="array" ref="J2449">IFERROR(INDEX('Retirement Calculator'!K:K,MATCH('Lorri 401b'!N2449,'Retirement Calculator'!A:A,0),0),0)</f>
        <v>0</v>
      </c>
      <c r="K2449" s="444">
        <f t="shared" ca="1" si="128"/>
        <v>-59475415.043093532</v>
      </c>
      <c r="L2449" s="444">
        <f t="shared" ca="1" si="129"/>
        <v>-14333575025.38554</v>
      </c>
      <c r="M2449" s="460">
        <f t="shared" si="131"/>
        <v>0.05</v>
      </c>
      <c r="N2449" s="464">
        <f t="shared" si="132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30"/>
        <v>-14333575025.38554</v>
      </c>
      <c r="J2450" s="444">
        <f t="array" ref="J2450">IFERROR(INDEX('Retirement Calculator'!K:K,MATCH('Lorri 401b'!N2450,'Retirement Calculator'!A:A,0),0),0)</f>
        <v>0</v>
      </c>
      <c r="K2450" s="444">
        <f t="shared" ca="1" si="128"/>
        <v>-59723229.272439748</v>
      </c>
      <c r="L2450" s="444">
        <f t="shared" ca="1" si="129"/>
        <v>-14393298254.65798</v>
      </c>
      <c r="M2450" s="460">
        <f t="shared" si="131"/>
        <v>0.05</v>
      </c>
      <c r="N2450" s="464">
        <f t="shared" si="132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30"/>
        <v>-14393298254.65798</v>
      </c>
      <c r="J2451" s="444">
        <f t="array" ref="J2451">IFERROR(INDEX('Retirement Calculator'!K:K,MATCH('Lorri 401b'!N2451,'Retirement Calculator'!A:A,0),0),0)</f>
        <v>0</v>
      </c>
      <c r="K2451" s="444">
        <f t="shared" ca="1" si="128"/>
        <v>-59972076.061074905</v>
      </c>
      <c r="L2451" s="444">
        <f t="shared" ca="1" si="129"/>
        <v>-14453270330.719055</v>
      </c>
      <c r="M2451" s="460">
        <f t="shared" si="131"/>
        <v>0.05</v>
      </c>
      <c r="N2451" s="464">
        <f t="shared" si="132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30"/>
        <v>-14453270330.719055</v>
      </c>
      <c r="J2452" s="444">
        <f t="array" ref="J2452">IFERROR(INDEX('Retirement Calculator'!K:K,MATCH('Lorri 401b'!N2452,'Retirement Calculator'!A:A,0),0),0)</f>
        <v>0</v>
      </c>
      <c r="K2452" s="444">
        <f t="shared" ca="1" si="128"/>
        <v>-60221959.711329401</v>
      </c>
      <c r="L2452" s="444">
        <f t="shared" ca="1" si="129"/>
        <v>-14513492290.430384</v>
      </c>
      <c r="M2452" s="460">
        <f t="shared" si="131"/>
        <v>0.05</v>
      </c>
      <c r="N2452" s="464">
        <f t="shared" si="132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30"/>
        <v>-14513492290.430384</v>
      </c>
      <c r="J2453" s="444">
        <f t="array" ref="J2453">IFERROR(INDEX('Retirement Calculator'!K:K,MATCH('Lorri 401b'!N2453,'Retirement Calculator'!A:A,0),0),0)</f>
        <v>0</v>
      </c>
      <c r="K2453" s="444">
        <f t="shared" ca="1" si="128"/>
        <v>-60472884.54345993</v>
      </c>
      <c r="L2453" s="444">
        <f t="shared" ca="1" si="129"/>
        <v>-14573965174.973845</v>
      </c>
      <c r="M2453" s="460">
        <f t="shared" si="131"/>
        <v>0.05</v>
      </c>
      <c r="N2453" s="464">
        <f t="shared" si="132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30"/>
        <v>-14573965174.973845</v>
      </c>
      <c r="J2454" s="444">
        <f t="array" ref="J2454">IFERROR(INDEX('Retirement Calculator'!K:K,MATCH('Lorri 401b'!N2454,'Retirement Calculator'!A:A,0),0),0)</f>
        <v>0</v>
      </c>
      <c r="K2454" s="444">
        <f t="shared" ca="1" si="128"/>
        <v>-60724854.895724341</v>
      </c>
      <c r="L2454" s="444">
        <f t="shared" ca="1" si="129"/>
        <v>-14634690029.86957</v>
      </c>
      <c r="M2454" s="460">
        <f t="shared" si="131"/>
        <v>0.05</v>
      </c>
      <c r="N2454" s="464">
        <f t="shared" si="132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30"/>
        <v>-14634690029.86957</v>
      </c>
      <c r="J2455" s="444">
        <f t="array" ref="J2455">IFERROR(INDEX('Retirement Calculator'!K:K,MATCH('Lorri 401b'!N2455,'Retirement Calculator'!A:A,0),0),0)</f>
        <v>0</v>
      </c>
      <c r="K2455" s="444">
        <f t="shared" ca="1" si="128"/>
        <v>-60977875.12445654</v>
      </c>
      <c r="L2455" s="444">
        <f t="shared" ca="1" si="129"/>
        <v>-14695667904.994026</v>
      </c>
      <c r="M2455" s="460">
        <f t="shared" si="131"/>
        <v>0.05</v>
      </c>
      <c r="N2455" s="464">
        <f t="shared" si="132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30"/>
        <v>-14695667904.994026</v>
      </c>
      <c r="J2456" s="444">
        <f t="array" ref="J2456">IFERROR(INDEX('Retirement Calculator'!K:K,MATCH('Lorri 401b'!N2456,'Retirement Calculator'!A:A,0),0),0)</f>
        <v>0</v>
      </c>
      <c r="K2456" s="444">
        <f t="shared" ca="1" si="128"/>
        <v>-61231949.604141772</v>
      </c>
      <c r="L2456" s="444">
        <f t="shared" ca="1" si="129"/>
        <v>-14756899854.598167</v>
      </c>
      <c r="M2456" s="460">
        <f t="shared" si="131"/>
        <v>0.05</v>
      </c>
      <c r="N2456" s="464">
        <f t="shared" si="132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30"/>
        <v>-14756899854.598167</v>
      </c>
      <c r="J2457" s="444">
        <f t="array" ref="J2457">IFERROR(INDEX('Retirement Calculator'!K:K,MATCH('Lorri 401b'!N2457,'Retirement Calculator'!A:A,0),0),0)</f>
        <v>0</v>
      </c>
      <c r="K2457" s="444">
        <f t="shared" ca="1" si="128"/>
        <v>-61487082.727492362</v>
      </c>
      <c r="L2457" s="444">
        <f t="shared" ca="1" si="129"/>
        <v>-14818386937.325661</v>
      </c>
      <c r="M2457" s="460">
        <f t="shared" si="131"/>
        <v>0.05</v>
      </c>
      <c r="N2457" s="464">
        <f t="shared" si="132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30"/>
        <v>-14818386937.325661</v>
      </c>
      <c r="J2458" s="444">
        <f t="array" ref="J2458">IFERROR(INDEX('Retirement Calculator'!K:K,MATCH('Lorri 401b'!N2458,'Retirement Calculator'!A:A,0),0),0)</f>
        <v>0</v>
      </c>
      <c r="K2458" s="444">
        <f t="shared" ca="1" si="128"/>
        <v>-61743278.905523583</v>
      </c>
      <c r="L2458" s="444">
        <f t="shared" ca="1" si="129"/>
        <v>-14880130216.231184</v>
      </c>
      <c r="M2458" s="460">
        <f t="shared" si="131"/>
        <v>0.05</v>
      </c>
      <c r="N2458" s="464">
        <f t="shared" si="132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30"/>
        <v>-14880130216.231184</v>
      </c>
      <c r="J2459" s="444">
        <f t="array" ref="J2459">IFERROR(INDEX('Retirement Calculator'!K:K,MATCH('Lorri 401b'!N2459,'Retirement Calculator'!A:A,0),0),0)</f>
        <v>0</v>
      </c>
      <c r="K2459" s="444">
        <f t="shared" ca="1" si="128"/>
        <v>-62000542.567629926</v>
      </c>
      <c r="L2459" s="444">
        <f t="shared" ca="1" si="129"/>
        <v>-14942130758.798815</v>
      </c>
      <c r="M2459" s="460">
        <f t="shared" si="131"/>
        <v>0.05</v>
      </c>
      <c r="N2459" s="464">
        <f t="shared" si="132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30"/>
        <v>-14942130758.798815</v>
      </c>
      <c r="J2460" s="444">
        <f t="array" ref="J2460">IFERROR(INDEX('Retirement Calculator'!K:K,MATCH('Lorri 401b'!N2460,'Retirement Calculator'!A:A,0),0),0)</f>
        <v>0</v>
      </c>
      <c r="K2460" s="444">
        <f t="shared" ca="1" si="128"/>
        <v>-62258878.161661737</v>
      </c>
      <c r="L2460" s="444">
        <f t="shared" ca="1" si="129"/>
        <v>-15004389636.960476</v>
      </c>
      <c r="M2460" s="460">
        <f t="shared" si="131"/>
        <v>0.05</v>
      </c>
      <c r="N2460" s="464">
        <f t="shared" si="132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30"/>
        <v>-15004389636.960476</v>
      </c>
      <c r="J2461" s="444">
        <f t="array" ref="J2461">IFERROR(INDEX('Retirement Calculator'!K:K,MATCH('Lorri 401b'!N2461,'Retirement Calculator'!A:A,0),0),0)</f>
        <v>0</v>
      </c>
      <c r="K2461" s="444">
        <f t="shared" ca="1" si="128"/>
        <v>-62518290.154001988</v>
      </c>
      <c r="L2461" s="444">
        <f t="shared" ca="1" si="129"/>
        <v>-15066907927.114477</v>
      </c>
      <c r="M2461" s="460">
        <f t="shared" si="131"/>
        <v>0.05</v>
      </c>
      <c r="N2461" s="464">
        <f t="shared" si="132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30"/>
        <v>-15066907927.114477</v>
      </c>
      <c r="J2462" s="444">
        <f t="array" ref="J2462">IFERROR(INDEX('Retirement Calculator'!K:K,MATCH('Lorri 401b'!N2462,'Retirement Calculator'!A:A,0),0),0)</f>
        <v>0</v>
      </c>
      <c r="K2462" s="444">
        <f t="shared" ca="1" si="128"/>
        <v>-62778783.029643662</v>
      </c>
      <c r="L2462" s="444">
        <f t="shared" ca="1" si="129"/>
        <v>-15129686710.144121</v>
      </c>
      <c r="M2462" s="460">
        <f t="shared" si="131"/>
        <v>0.05</v>
      </c>
      <c r="N2462" s="464">
        <f t="shared" si="132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30"/>
        <v>-15129686710.144121</v>
      </c>
      <c r="J2463" s="444">
        <f t="array" ref="J2463">IFERROR(INDEX('Retirement Calculator'!K:K,MATCH('Lorri 401b'!N2463,'Retirement Calculator'!A:A,0),0),0)</f>
        <v>0</v>
      </c>
      <c r="K2463" s="444">
        <f t="shared" ca="1" si="128"/>
        <v>-63040361.292267174</v>
      </c>
      <c r="L2463" s="444">
        <f t="shared" ca="1" si="129"/>
        <v>-15192727071.436388</v>
      </c>
      <c r="M2463" s="460">
        <f t="shared" si="131"/>
        <v>0.05</v>
      </c>
      <c r="N2463" s="464">
        <f t="shared" si="132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30"/>
        <v>-15192727071.436388</v>
      </c>
      <c r="J2464" s="444">
        <f t="array" ref="J2464">IFERROR(INDEX('Retirement Calculator'!K:K,MATCH('Lorri 401b'!N2464,'Retirement Calculator'!A:A,0),0),0)</f>
        <v>0</v>
      </c>
      <c r="K2464" s="444">
        <f t="shared" ca="1" si="128"/>
        <v>-63303029.464318275</v>
      </c>
      <c r="L2464" s="444">
        <f t="shared" ca="1" si="129"/>
        <v>-15256030100.900707</v>
      </c>
      <c r="M2464" s="460">
        <f t="shared" si="131"/>
        <v>0.05</v>
      </c>
      <c r="N2464" s="464">
        <f t="shared" si="132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30"/>
        <v>-15256030100.900707</v>
      </c>
      <c r="J2465" s="444">
        <f t="array" ref="J2465">IFERROR(INDEX('Retirement Calculator'!K:K,MATCH('Lorri 401b'!N2465,'Retirement Calculator'!A:A,0),0),0)</f>
        <v>0</v>
      </c>
      <c r="K2465" s="444">
        <f t="shared" ca="1" si="128"/>
        <v>-63566792.087086283</v>
      </c>
      <c r="L2465" s="444">
        <f t="shared" ca="1" si="129"/>
        <v>-15319596892.987793</v>
      </c>
      <c r="M2465" s="460">
        <f t="shared" si="131"/>
        <v>0.05</v>
      </c>
      <c r="N2465" s="464">
        <f t="shared" si="132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30"/>
        <v>-15319596892.987793</v>
      </c>
      <c r="J2466" s="444">
        <f t="array" ref="J2466">IFERROR(INDEX('Retirement Calculator'!K:K,MATCH('Lorri 401b'!N2466,'Retirement Calculator'!A:A,0),0),0)</f>
        <v>0</v>
      </c>
      <c r="K2466" s="444">
        <f t="shared" ca="1" si="128"/>
        <v>-63831653.720782481</v>
      </c>
      <c r="L2466" s="444">
        <f t="shared" ca="1" si="129"/>
        <v>-15383428546.708576</v>
      </c>
      <c r="M2466" s="460">
        <f t="shared" si="131"/>
        <v>0.05</v>
      </c>
      <c r="N2466" s="464">
        <f t="shared" si="132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30"/>
        <v>-15383428546.708576</v>
      </c>
      <c r="J2467" s="444">
        <f t="array" ref="J2467">IFERROR(INDEX('Retirement Calculator'!K:K,MATCH('Lorri 401b'!N2467,'Retirement Calculator'!A:A,0),0),0)</f>
        <v>0</v>
      </c>
      <c r="K2467" s="444">
        <f t="shared" ca="1" si="128"/>
        <v>-64097618.944619074</v>
      </c>
      <c r="L2467" s="444">
        <f t="shared" ca="1" si="129"/>
        <v>-15447526165.653194</v>
      </c>
      <c r="M2467" s="460">
        <f t="shared" si="131"/>
        <v>0.05</v>
      </c>
      <c r="N2467" s="464">
        <f t="shared" si="132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30"/>
        <v>-15447526165.653194</v>
      </c>
      <c r="J2468" s="444">
        <f t="array" ref="J2468">IFERROR(INDEX('Retirement Calculator'!K:K,MATCH('Lorri 401b'!N2468,'Retirement Calculator'!A:A,0),0),0)</f>
        <v>0</v>
      </c>
      <c r="K2468" s="444">
        <f t="shared" ca="1" si="128"/>
        <v>-64364692.356888309</v>
      </c>
      <c r="L2468" s="444">
        <f t="shared" ca="1" si="129"/>
        <v>-15511890858.010082</v>
      </c>
      <c r="M2468" s="460">
        <f t="shared" si="131"/>
        <v>0.05</v>
      </c>
      <c r="N2468" s="464">
        <f t="shared" si="132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30"/>
        <v>-15511890858.010082</v>
      </c>
      <c r="J2469" s="444">
        <f t="array" ref="J2469">IFERROR(INDEX('Retirement Calculator'!K:K,MATCH('Lorri 401b'!N2469,'Retirement Calculator'!A:A,0),0),0)</f>
        <v>0</v>
      </c>
      <c r="K2469" s="444">
        <f t="shared" ca="1" si="128"/>
        <v>-64632878.575042009</v>
      </c>
      <c r="L2469" s="444">
        <f t="shared" ca="1" si="129"/>
        <v>-15576523736.585125</v>
      </c>
      <c r="M2469" s="460">
        <f t="shared" si="131"/>
        <v>0.05</v>
      </c>
      <c r="N2469" s="464">
        <f t="shared" si="132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30"/>
        <v>-15576523736.585125</v>
      </c>
      <c r="J2470" s="444">
        <f t="array" ref="J2470">IFERROR(INDEX('Retirement Calculator'!K:K,MATCH('Lorri 401b'!N2470,'Retirement Calculator'!A:A,0),0),0)</f>
        <v>0</v>
      </c>
      <c r="K2470" s="444">
        <f t="shared" ca="1" si="128"/>
        <v>-64902182.235771343</v>
      </c>
      <c r="L2470" s="444">
        <f t="shared" ca="1" si="129"/>
        <v>-15641425918.820896</v>
      </c>
      <c r="M2470" s="460">
        <f t="shared" si="131"/>
        <v>0.05</v>
      </c>
      <c r="N2470" s="464">
        <f t="shared" si="132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30"/>
        <v>-15641425918.820896</v>
      </c>
      <c r="J2471" s="444">
        <f t="array" ref="J2471">IFERROR(INDEX('Retirement Calculator'!K:K,MATCH('Lorri 401b'!N2471,'Retirement Calculator'!A:A,0),0),0)</f>
        <v>0</v>
      </c>
      <c r="K2471" s="444">
        <f t="shared" ca="1" si="128"/>
        <v>-65172607.995087065</v>
      </c>
      <c r="L2471" s="444">
        <f t="shared" ca="1" si="129"/>
        <v>-15706598526.815983</v>
      </c>
      <c r="M2471" s="460">
        <f t="shared" si="131"/>
        <v>0.05</v>
      </c>
      <c r="N2471" s="464">
        <f t="shared" si="132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30"/>
        <v>-15706598526.815983</v>
      </c>
      <c r="J2472" s="444">
        <f t="array" ref="J2472">IFERROR(INDEX('Retirement Calculator'!K:K,MATCH('Lorri 401b'!N2472,'Retirement Calculator'!A:A,0),0),0)</f>
        <v>0</v>
      </c>
      <c r="K2472" s="444">
        <f t="shared" ca="1" si="128"/>
        <v>-65444160.528399922</v>
      </c>
      <c r="L2472" s="444">
        <f t="shared" ca="1" si="129"/>
        <v>-15772042687.344383</v>
      </c>
      <c r="M2472" s="460">
        <f t="shared" si="131"/>
        <v>0.05</v>
      </c>
      <c r="N2472" s="464">
        <f t="shared" si="132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30"/>
        <v>-15772042687.344383</v>
      </c>
      <c r="J2473" s="444">
        <f t="array" ref="J2473">IFERROR(INDEX('Retirement Calculator'!K:K,MATCH('Lorri 401b'!N2473,'Retirement Calculator'!A:A,0),0),0)</f>
        <v>0</v>
      </c>
      <c r="K2473" s="444">
        <f t="shared" ca="1" si="128"/>
        <v>-65716844.530601598</v>
      </c>
      <c r="L2473" s="444">
        <f t="shared" ca="1" si="129"/>
        <v>-15837759531.874985</v>
      </c>
      <c r="M2473" s="460">
        <f t="shared" si="131"/>
        <v>0.05</v>
      </c>
      <c r="N2473" s="464">
        <f t="shared" si="132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30"/>
        <v>-15837759531.874985</v>
      </c>
      <c r="J2474" s="444">
        <f t="array" ref="J2474">IFERROR(INDEX('Retirement Calculator'!K:K,MATCH('Lorri 401b'!N2474,'Retirement Calculator'!A:A,0),0),0)</f>
        <v>0</v>
      </c>
      <c r="K2474" s="444">
        <f t="shared" ca="1" si="128"/>
        <v>-65990664.716145776</v>
      </c>
      <c r="L2474" s="444">
        <f t="shared" ca="1" si="129"/>
        <v>-15903750196.591131</v>
      </c>
      <c r="M2474" s="460">
        <f t="shared" si="131"/>
        <v>0.05</v>
      </c>
      <c r="N2474" s="464">
        <f t="shared" si="132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30"/>
        <v>-15903750196.591131</v>
      </c>
      <c r="J2475" s="444">
        <f t="array" ref="J2475">IFERROR(INDEX('Retirement Calculator'!K:K,MATCH('Lorri 401b'!N2475,'Retirement Calculator'!A:A,0),0),0)</f>
        <v>0</v>
      </c>
      <c r="K2475" s="444">
        <f t="shared" ca="1" si="128"/>
        <v>-66265625.819129705</v>
      </c>
      <c r="L2475" s="444">
        <f t="shared" ca="1" si="129"/>
        <v>-15970015822.410261</v>
      </c>
      <c r="M2475" s="460">
        <f t="shared" si="131"/>
        <v>0.05</v>
      </c>
      <c r="N2475" s="464">
        <f t="shared" si="132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30"/>
        <v>-15970015822.410261</v>
      </c>
      <c r="J2476" s="444">
        <f t="array" ref="J2476">IFERROR(INDEX('Retirement Calculator'!K:K,MATCH('Lorri 401b'!N2476,'Retirement Calculator'!A:A,0),0),0)</f>
        <v>0</v>
      </c>
      <c r="K2476" s="444">
        <f t="shared" ca="1" si="128"/>
        <v>-66541732.593376093</v>
      </c>
      <c r="L2476" s="444">
        <f t="shared" ca="1" si="129"/>
        <v>-16036557555.003637</v>
      </c>
      <c r="M2476" s="460">
        <f t="shared" si="131"/>
        <v>0.05</v>
      </c>
      <c r="N2476" s="464">
        <f t="shared" si="132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30"/>
        <v>-16036557555.003637</v>
      </c>
      <c r="J2477" s="444">
        <f t="array" ref="J2477">IFERROR(INDEX('Retirement Calculator'!K:K,MATCH('Lorri 401b'!N2477,'Retirement Calculator'!A:A,0),0),0)</f>
        <v>0</v>
      </c>
      <c r="K2477" s="444">
        <f t="shared" ca="1" si="128"/>
        <v>-66818989.812515162</v>
      </c>
      <c r="L2477" s="444">
        <f t="shared" ca="1" si="129"/>
        <v>-16103376544.816153</v>
      </c>
      <c r="M2477" s="460">
        <f t="shared" si="131"/>
        <v>0.05</v>
      </c>
      <c r="N2477" s="464">
        <f t="shared" si="132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30"/>
        <v>-16103376544.816153</v>
      </c>
      <c r="J2478" s="444">
        <f t="array" ref="J2478">IFERROR(INDEX('Retirement Calculator'!K:K,MATCH('Lorri 401b'!N2478,'Retirement Calculator'!A:A,0),0),0)</f>
        <v>0</v>
      </c>
      <c r="K2478" s="444">
        <f t="shared" ca="1" si="128"/>
        <v>-67097402.270067304</v>
      </c>
      <c r="L2478" s="444">
        <f t="shared" ca="1" si="129"/>
        <v>-16170473947.08622</v>
      </c>
      <c r="M2478" s="460">
        <f t="shared" si="131"/>
        <v>0.05</v>
      </c>
      <c r="N2478" s="464">
        <f t="shared" si="132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30"/>
        <v>-16170473947.08622</v>
      </c>
      <c r="J2479" s="444">
        <f t="array" ref="J2479">IFERROR(INDEX('Retirement Calculator'!K:K,MATCH('Lorri 401b'!N2479,'Retirement Calculator'!A:A,0),0),0)</f>
        <v>0</v>
      </c>
      <c r="K2479" s="444">
        <f t="shared" ca="1" si="128"/>
        <v>-67376974.779525921</v>
      </c>
      <c r="L2479" s="444">
        <f t="shared" ca="1" si="129"/>
        <v>-16237850921.865746</v>
      </c>
      <c r="M2479" s="460">
        <f t="shared" si="131"/>
        <v>0.05</v>
      </c>
      <c r="N2479" s="464">
        <f t="shared" si="132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30"/>
        <v>-16237850921.865746</v>
      </c>
      <c r="J2480" s="444">
        <f t="array" ref="J2480">IFERROR(INDEX('Retirement Calculator'!K:K,MATCH('Lorri 401b'!N2480,'Retirement Calculator'!A:A,0),0),0)</f>
        <v>0</v>
      </c>
      <c r="K2480" s="444">
        <f t="shared" ca="1" si="128"/>
        <v>-67657712.174440607</v>
      </c>
      <c r="L2480" s="444">
        <f t="shared" ca="1" si="129"/>
        <v>-16305508634.040186</v>
      </c>
      <c r="M2480" s="460">
        <f t="shared" si="131"/>
        <v>0.05</v>
      </c>
      <c r="N2480" s="464">
        <f t="shared" si="132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30"/>
        <v>-16305508634.040186</v>
      </c>
      <c r="J2481" s="444">
        <f t="array" ref="J2481">IFERROR(INDEX('Retirement Calculator'!K:K,MATCH('Lorri 401b'!N2481,'Retirement Calculator'!A:A,0),0),0)</f>
        <v>0</v>
      </c>
      <c r="K2481" s="444">
        <f t="shared" ca="1" si="128"/>
        <v>-67939619.308500767</v>
      </c>
      <c r="L2481" s="444">
        <f t="shared" ca="1" si="129"/>
        <v>-16373448253.348686</v>
      </c>
      <c r="M2481" s="460">
        <f t="shared" si="131"/>
        <v>0.05</v>
      </c>
      <c r="N2481" s="464">
        <f t="shared" si="132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30"/>
        <v>-16373448253.348686</v>
      </c>
      <c r="J2482" s="444">
        <f t="array" ref="J2482">IFERROR(INDEX('Retirement Calculator'!K:K,MATCH('Lorri 401b'!N2482,'Retirement Calculator'!A:A,0),0),0)</f>
        <v>0</v>
      </c>
      <c r="K2482" s="444">
        <f t="shared" ca="1" si="128"/>
        <v>-68222701.055619523</v>
      </c>
      <c r="L2482" s="444">
        <f t="shared" ca="1" si="129"/>
        <v>-16441670954.404306</v>
      </c>
      <c r="M2482" s="460">
        <f t="shared" si="131"/>
        <v>0.05</v>
      </c>
      <c r="N2482" s="464">
        <f t="shared" si="132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30"/>
        <v>-16441670954.404306</v>
      </c>
      <c r="J2483" s="444">
        <f t="array" ref="J2483">IFERROR(INDEX('Retirement Calculator'!K:K,MATCH('Lorri 401b'!N2483,'Retirement Calculator'!A:A,0),0),0)</f>
        <v>0</v>
      </c>
      <c r="K2483" s="444">
        <f t="shared" ca="1" si="128"/>
        <v>-68506962.310017928</v>
      </c>
      <c r="L2483" s="444">
        <f t="shared" ca="1" si="129"/>
        <v>-16510177916.714325</v>
      </c>
      <c r="M2483" s="460">
        <f t="shared" si="131"/>
        <v>0.05</v>
      </c>
      <c r="N2483" s="464">
        <f t="shared" si="132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30"/>
        <v>-16510177916.714325</v>
      </c>
      <c r="J2484" s="444">
        <f t="array" ref="J2484">IFERROR(INDEX('Retirement Calculator'!K:K,MATCH('Lorri 401b'!N2484,'Retirement Calculator'!A:A,0),0),0)</f>
        <v>0</v>
      </c>
      <c r="K2484" s="444">
        <f t="shared" ca="1" si="128"/>
        <v>-68792407.986309677</v>
      </c>
      <c r="L2484" s="444">
        <f t="shared" ca="1" si="129"/>
        <v>-16578970324.700634</v>
      </c>
      <c r="M2484" s="460">
        <f t="shared" si="131"/>
        <v>0.05</v>
      </c>
      <c r="N2484" s="464">
        <f t="shared" si="132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30"/>
        <v>-16578970324.700634</v>
      </c>
      <c r="J2485" s="444">
        <f t="array" ref="J2485">IFERROR(INDEX('Retirement Calculator'!K:K,MATCH('Lorri 401b'!N2485,'Retirement Calculator'!A:A,0),0),0)</f>
        <v>0</v>
      </c>
      <c r="K2485" s="444">
        <f t="shared" ca="1" si="128"/>
        <v>-69079043.019585967</v>
      </c>
      <c r="L2485" s="444">
        <f t="shared" ca="1" si="129"/>
        <v>-16648049367.720221</v>
      </c>
      <c r="M2485" s="460">
        <f t="shared" si="131"/>
        <v>0.05</v>
      </c>
      <c r="N2485" s="464">
        <f t="shared" si="132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30"/>
        <v>-16648049367.720221</v>
      </c>
      <c r="J2486" s="444">
        <f t="array" ref="J2486">IFERROR(INDEX('Retirement Calculator'!K:K,MATCH('Lorri 401b'!N2486,'Retirement Calculator'!A:A,0),0),0)</f>
        <v>0</v>
      </c>
      <c r="K2486" s="444">
        <f t="shared" ca="1" si="128"/>
        <v>-69366872.365500912</v>
      </c>
      <c r="L2486" s="444">
        <f t="shared" ca="1" si="129"/>
        <v>-16717416240.085722</v>
      </c>
      <c r="M2486" s="460">
        <f t="shared" si="131"/>
        <v>0.05</v>
      </c>
      <c r="N2486" s="464">
        <f t="shared" si="132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30"/>
        <v>-16717416240.085722</v>
      </c>
      <c r="J2487" s="444">
        <f t="array" ref="J2487">IFERROR(INDEX('Retirement Calculator'!K:K,MATCH('Lorri 401b'!N2487,'Retirement Calculator'!A:A,0),0),0)</f>
        <v>0</v>
      </c>
      <c r="K2487" s="444">
        <f t="shared" ca="1" si="128"/>
        <v>-69655901.000357166</v>
      </c>
      <c r="L2487" s="444">
        <f t="shared" ca="1" si="129"/>
        <v>-16787072141.086079</v>
      </c>
      <c r="M2487" s="460">
        <f t="shared" si="131"/>
        <v>0.05</v>
      </c>
      <c r="N2487" s="464">
        <f t="shared" si="132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30"/>
        <v>-16787072141.086079</v>
      </c>
      <c r="J2488" s="444">
        <f t="array" ref="J2488">IFERROR(INDEX('Retirement Calculator'!K:K,MATCH('Lorri 401b'!N2488,'Retirement Calculator'!A:A,0),0),0)</f>
        <v>0</v>
      </c>
      <c r="K2488" s="444">
        <f t="shared" ca="1" si="128"/>
        <v>-69946133.92119199</v>
      </c>
      <c r="L2488" s="444">
        <f t="shared" ca="1" si="129"/>
        <v>-16857018275.007271</v>
      </c>
      <c r="M2488" s="460">
        <f t="shared" si="131"/>
        <v>0.05</v>
      </c>
      <c r="N2488" s="464">
        <f t="shared" si="132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30"/>
        <v>-16857018275.007271</v>
      </c>
      <c r="J2489" s="444">
        <f t="array" ref="J2489">IFERROR(INDEX('Retirement Calculator'!K:K,MATCH('Lorri 401b'!N2489,'Retirement Calculator'!A:A,0),0),0)</f>
        <v>0</v>
      </c>
      <c r="K2489" s="444">
        <f t="shared" ca="1" si="128"/>
        <v>-70237576.145863622</v>
      </c>
      <c r="L2489" s="444">
        <f t="shared" ca="1" si="129"/>
        <v>-16927255851.153135</v>
      </c>
      <c r="M2489" s="460">
        <f t="shared" si="131"/>
        <v>0.05</v>
      </c>
      <c r="N2489" s="464">
        <f t="shared" si="132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30"/>
        <v>-16927255851.153135</v>
      </c>
      <c r="J2490" s="444">
        <f t="array" ref="J2490">IFERROR(INDEX('Retirement Calculator'!K:K,MATCH('Lorri 401b'!N2490,'Retirement Calculator'!A:A,0),0),0)</f>
        <v>0</v>
      </c>
      <c r="K2490" s="444">
        <f t="shared" ca="1" si="128"/>
        <v>-70530232.713138059</v>
      </c>
      <c r="L2490" s="444">
        <f t="shared" ca="1" si="129"/>
        <v>-16997786083.866274</v>
      </c>
      <c r="M2490" s="460">
        <f t="shared" si="131"/>
        <v>0.05</v>
      </c>
      <c r="N2490" s="464">
        <f t="shared" si="132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30"/>
        <v>-16997786083.866274</v>
      </c>
      <c r="J2491" s="444">
        <f t="array" ref="J2491">IFERROR(INDEX('Retirement Calculator'!K:K,MATCH('Lorri 401b'!N2491,'Retirement Calculator'!A:A,0),0),0)</f>
        <v>0</v>
      </c>
      <c r="K2491" s="444">
        <f t="shared" ca="1" si="128"/>
        <v>-70824108.682776138</v>
      </c>
      <c r="L2491" s="444">
        <f t="shared" ca="1" si="129"/>
        <v>-17068610192.549049</v>
      </c>
      <c r="M2491" s="460">
        <f t="shared" si="131"/>
        <v>0.05</v>
      </c>
      <c r="N2491" s="464">
        <f t="shared" si="132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30"/>
        <v>-17068610192.549049</v>
      </c>
      <c r="J2492" s="444">
        <f t="array" ref="J2492">IFERROR(INDEX('Retirement Calculator'!K:K,MATCH('Lorri 401b'!N2492,'Retirement Calculator'!A:A,0),0),0)</f>
        <v>0</v>
      </c>
      <c r="K2492" s="444">
        <f t="shared" ca="1" si="128"/>
        <v>-71119209.135621041</v>
      </c>
      <c r="L2492" s="444">
        <f t="shared" ca="1" si="129"/>
        <v>-17139729401.684669</v>
      </c>
      <c r="M2492" s="460">
        <f t="shared" si="131"/>
        <v>0.05</v>
      </c>
      <c r="N2492" s="464">
        <f t="shared" si="132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30"/>
        <v>-17139729401.684669</v>
      </c>
      <c r="J2493" s="444">
        <f t="array" ref="J2493">IFERROR(INDEX('Retirement Calculator'!K:K,MATCH('Lorri 401b'!N2493,'Retirement Calculator'!A:A,0),0),0)</f>
        <v>0</v>
      </c>
      <c r="K2493" s="444">
        <f t="shared" ca="1" si="128"/>
        <v>-71415539.173686117</v>
      </c>
      <c r="L2493" s="444">
        <f t="shared" ca="1" si="129"/>
        <v>-17211144940.858356</v>
      </c>
      <c r="M2493" s="460">
        <f t="shared" si="131"/>
        <v>0.05</v>
      </c>
      <c r="N2493" s="464">
        <f t="shared" si="132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30"/>
        <v>-17211144940.858356</v>
      </c>
      <c r="J2494" s="444">
        <f t="array" ref="J2494">IFERROR(INDEX('Retirement Calculator'!K:K,MATCH('Lorri 401b'!N2494,'Retirement Calculator'!A:A,0),0),0)</f>
        <v>0</v>
      </c>
      <c r="K2494" s="444">
        <f t="shared" ca="1" si="128"/>
        <v>-71713103.920243144</v>
      </c>
      <c r="L2494" s="444">
        <f t="shared" ca="1" si="129"/>
        <v>-17282858044.778599</v>
      </c>
      <c r="M2494" s="460">
        <f t="shared" si="131"/>
        <v>0.05</v>
      </c>
      <c r="N2494" s="464">
        <f t="shared" si="132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30"/>
        <v>-17282858044.778599</v>
      </c>
      <c r="J2495" s="444">
        <f t="array" ref="J2495">IFERROR(INDEX('Retirement Calculator'!K:K,MATCH('Lorri 401b'!N2495,'Retirement Calculator'!A:A,0),0),0)</f>
        <v>0</v>
      </c>
      <c r="K2495" s="444">
        <f t="shared" ca="1" si="128"/>
        <v>-72011908.519910827</v>
      </c>
      <c r="L2495" s="444">
        <f t="shared" ca="1" si="129"/>
        <v>-17354869953.298512</v>
      </c>
      <c r="M2495" s="460">
        <f t="shared" si="131"/>
        <v>0.05</v>
      </c>
      <c r="N2495" s="464">
        <f t="shared" si="132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30"/>
        <v>-17354869953.298512</v>
      </c>
      <c r="J2496" s="444">
        <f t="array" ref="J2496">IFERROR(INDEX('Retirement Calculator'!K:K,MATCH('Lorri 401b'!N2496,'Retirement Calculator'!A:A,0),0),0)</f>
        <v>0</v>
      </c>
      <c r="K2496" s="444">
        <f t="shared" ca="1" si="128"/>
        <v>-72311958.138743803</v>
      </c>
      <c r="L2496" s="444">
        <f t="shared" ca="1" si="129"/>
        <v>-17427181911.437256</v>
      </c>
      <c r="M2496" s="460">
        <f t="shared" si="131"/>
        <v>0.05</v>
      </c>
      <c r="N2496" s="464">
        <f t="shared" si="132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30"/>
        <v>-17427181911.437256</v>
      </c>
      <c r="J2497" s="444">
        <f t="array" ref="J2497">IFERROR(INDEX('Retirement Calculator'!K:K,MATCH('Lorri 401b'!N2497,'Retirement Calculator'!A:A,0),0),0)</f>
        <v>0</v>
      </c>
      <c r="K2497" s="444">
        <f t="shared" ca="1" si="128"/>
        <v>-72613257.964321896</v>
      </c>
      <c r="L2497" s="444">
        <f t="shared" ca="1" si="129"/>
        <v>-17499795169.401577</v>
      </c>
      <c r="M2497" s="460">
        <f t="shared" si="131"/>
        <v>0.05</v>
      </c>
      <c r="N2497" s="464">
        <f t="shared" si="132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30"/>
        <v>-17499795169.401577</v>
      </c>
      <c r="J2498" s="444">
        <f t="array" ref="J2498">IFERROR(INDEX('Retirement Calculator'!K:K,MATCH('Lorri 401b'!N2498,'Retirement Calculator'!A:A,0),0),0)</f>
        <v>0</v>
      </c>
      <c r="K2498" s="444">
        <f t="shared" ca="1" si="128"/>
        <v>-72915813.205839902</v>
      </c>
      <c r="L2498" s="444">
        <f t="shared" ca="1" si="129"/>
        <v>-17572710982.607418</v>
      </c>
      <c r="M2498" s="460">
        <f t="shared" si="131"/>
        <v>0.05</v>
      </c>
      <c r="N2498" s="464">
        <f t="shared" si="132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30"/>
        <v>-17572710982.607418</v>
      </c>
      <c r="J2499" s="444">
        <f t="array" ref="J2499">IFERROR(INDEX('Retirement Calculator'!K:K,MATCH('Lorri 401b'!N2499,'Retirement Calculator'!A:A,0),0),0)</f>
        <v>0</v>
      </c>
      <c r="K2499" s="444">
        <f t="shared" ca="1" si="128"/>
        <v>-73219629.094197571</v>
      </c>
      <c r="L2499" s="444">
        <f t="shared" ca="1" si="129"/>
        <v>-17645930611.701614</v>
      </c>
      <c r="M2499" s="460">
        <f t="shared" si="131"/>
        <v>0.05</v>
      </c>
      <c r="N2499" s="464">
        <f t="shared" si="132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30"/>
        <v>-17645930611.701614</v>
      </c>
      <c r="J2500" s="444">
        <f t="array" ref="J2500">IFERROR(INDEX('Retirement Calculator'!K:K,MATCH('Lorri 401b'!N2500,'Retirement Calculator'!A:A,0),0),0)</f>
        <v>0</v>
      </c>
      <c r="K2500" s="444">
        <f t="shared" ca="1" si="128"/>
        <v>-73524710.882090062</v>
      </c>
      <c r="L2500" s="444">
        <f t="shared" ca="1" si="129"/>
        <v>-17719455322.583706</v>
      </c>
      <c r="M2500" s="460">
        <f t="shared" si="131"/>
        <v>0.05</v>
      </c>
      <c r="N2500" s="464">
        <f t="shared" si="132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30"/>
        <v>-17719455322.583706</v>
      </c>
      <c r="J2501" s="444">
        <f t="array" ref="J2501">IFERROR(INDEX('Retirement Calculator'!K:K,MATCH('Lorri 401b'!N2501,'Retirement Calculator'!A:A,0),0),0)</f>
        <v>0</v>
      </c>
      <c r="K2501" s="444">
        <f t="shared" ca="1" si="128"/>
        <v>-73831063.844098777</v>
      </c>
      <c r="L2501" s="444">
        <f t="shared" ca="1" si="129"/>
        <v>-17793286386.427803</v>
      </c>
      <c r="M2501" s="460">
        <f t="shared" si="131"/>
        <v>0.05</v>
      </c>
      <c r="N2501" s="464">
        <f t="shared" si="132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30"/>
        <v>-17793286386.427803</v>
      </c>
      <c r="J2502" s="444">
        <f t="array" ref="J2502">IFERROR(INDEX('Retirement Calculator'!K:K,MATCH('Lorri 401b'!N2502,'Retirement Calculator'!A:A,0),0),0)</f>
        <v>0</v>
      </c>
      <c r="K2502" s="444">
        <f t="shared" ca="1" si="128"/>
        <v>-74138693.276782513</v>
      </c>
      <c r="L2502" s="444">
        <f t="shared" ca="1" si="129"/>
        <v>-17867425079.704586</v>
      </c>
      <c r="M2502" s="460">
        <f t="shared" si="131"/>
        <v>0.05</v>
      </c>
      <c r="N2502" s="464">
        <f t="shared" si="132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30"/>
        <v>-17867425079.704586</v>
      </c>
      <c r="J2503" s="444">
        <f t="array" ref="J2503">IFERROR(INDEX('Retirement Calculator'!K:K,MATCH('Lorri 401b'!N2503,'Retirement Calculator'!A:A,0),0),0)</f>
        <v>0</v>
      </c>
      <c r="K2503" s="444">
        <f t="shared" ca="1" si="128"/>
        <v>-74447604.498769104</v>
      </c>
      <c r="L2503" s="444">
        <f t="shared" ca="1" si="129"/>
        <v>-17941872684.203354</v>
      </c>
      <c r="M2503" s="460">
        <f t="shared" si="131"/>
        <v>0.05</v>
      </c>
      <c r="N2503" s="464">
        <f t="shared" si="132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30"/>
        <v>-17941872684.203354</v>
      </c>
      <c r="J2504" s="444">
        <f t="array" ref="J2504">IFERROR(INDEX('Retirement Calculator'!K:K,MATCH('Lorri 401b'!N2504,'Retirement Calculator'!A:A,0),0),0)</f>
        <v>0</v>
      </c>
      <c r="K2504" s="444">
        <f t="shared" ca="1" si="128"/>
        <v>-74757802.850847304</v>
      </c>
      <c r="L2504" s="444">
        <f t="shared" ca="1" si="129"/>
        <v>-18016630487.054203</v>
      </c>
      <c r="M2504" s="460">
        <f t="shared" si="131"/>
        <v>0.05</v>
      </c>
      <c r="N2504" s="464">
        <f t="shared" si="132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30"/>
        <v>-18016630487.054203</v>
      </c>
      <c r="J2505" s="444">
        <f t="array" ref="J2505">IFERROR(INDEX('Retirement Calculator'!K:K,MATCH('Lorri 401b'!N2505,'Retirement Calculator'!A:A,0),0),0)</f>
        <v>0</v>
      </c>
      <c r="K2505" s="444">
        <f t="shared" ca="1" si="128"/>
        <v>-75069293.696059182</v>
      </c>
      <c r="L2505" s="444">
        <f t="shared" ca="1" si="129"/>
        <v>-18091699780.750263</v>
      </c>
      <c r="M2505" s="460">
        <f t="shared" si="131"/>
        <v>0.05</v>
      </c>
      <c r="N2505" s="464">
        <f t="shared" si="132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30"/>
        <v>-18091699780.750263</v>
      </c>
      <c r="J2506" s="444">
        <f t="array" ref="J2506">IFERROR(INDEX('Retirement Calculator'!K:K,MATCH('Lorri 401b'!N2506,'Retirement Calculator'!A:A,0),0),0)</f>
        <v>0</v>
      </c>
      <c r="K2506" s="444">
        <f t="shared" ca="1" si="128"/>
        <v>-75382082.419792756</v>
      </c>
      <c r="L2506" s="444">
        <f t="shared" ca="1" si="129"/>
        <v>-18167081863.170055</v>
      </c>
      <c r="M2506" s="460">
        <f t="shared" si="131"/>
        <v>0.05</v>
      </c>
      <c r="N2506" s="464">
        <f t="shared" si="132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30"/>
        <v>-18167081863.170055</v>
      </c>
      <c r="J2507" s="444">
        <f t="array" ref="J2507">IFERROR(INDEX('Retirement Calculator'!K:K,MATCH('Lorri 401b'!N2507,'Retirement Calculator'!A:A,0),0),0)</f>
        <v>0</v>
      </c>
      <c r="K2507" s="444">
        <f t="shared" ca="1" si="128"/>
        <v>-75696174.429875225</v>
      </c>
      <c r="L2507" s="444">
        <f t="shared" ca="1" si="129"/>
        <v>-18242778037.59993</v>
      </c>
      <c r="M2507" s="460">
        <f t="shared" si="131"/>
        <v>0.05</v>
      </c>
      <c r="N2507" s="464">
        <f t="shared" si="132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30"/>
        <v>-18242778037.59993</v>
      </c>
      <c r="J2508" s="444">
        <f t="array" ref="J2508">IFERROR(INDEX('Retirement Calculator'!K:K,MATCH('Lorri 401b'!N2508,'Retirement Calculator'!A:A,0),0),0)</f>
        <v>0</v>
      </c>
      <c r="K2508" s="444">
        <f t="shared" ca="1" si="128"/>
        <v>-76011575.156666368</v>
      </c>
      <c r="L2508" s="444">
        <f t="shared" ca="1" si="129"/>
        <v>-18318789612.756596</v>
      </c>
      <c r="M2508" s="460">
        <f t="shared" si="131"/>
        <v>0.05</v>
      </c>
      <c r="N2508" s="464">
        <f t="shared" si="132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30"/>
        <v>-18318789612.756596</v>
      </c>
      <c r="J2509" s="444">
        <f t="array" ref="J2509">IFERROR(INDEX('Retirement Calculator'!K:K,MATCH('Lorri 401b'!N2509,'Retirement Calculator'!A:A,0),0),0)</f>
        <v>0</v>
      </c>
      <c r="K2509" s="444">
        <f t="shared" ca="1" si="128"/>
        <v>-76328290.053152487</v>
      </c>
      <c r="L2509" s="444">
        <f t="shared" ca="1" si="129"/>
        <v>-18395117902.80975</v>
      </c>
      <c r="M2509" s="460">
        <f t="shared" si="131"/>
        <v>0.05</v>
      </c>
      <c r="N2509" s="464">
        <f t="shared" si="132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30"/>
        <v>-18395117902.80975</v>
      </c>
      <c r="J2510" s="444">
        <f t="array" ref="J2510">IFERROR(INDEX('Retirement Calculator'!K:K,MATCH('Lorri 401b'!N2510,'Retirement Calculator'!A:A,0),0),0)</f>
        <v>0</v>
      </c>
      <c r="K2510" s="444">
        <f t="shared" ca="1" si="128"/>
        <v>-76646324.595040619</v>
      </c>
      <c r="L2510" s="444">
        <f t="shared" ca="1" si="129"/>
        <v>-18471764227.404789</v>
      </c>
      <c r="M2510" s="460">
        <f t="shared" si="131"/>
        <v>0.05</v>
      </c>
      <c r="N2510" s="464">
        <f t="shared" si="132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30"/>
        <v>-18471764227.404789</v>
      </c>
      <c r="J2511" s="444">
        <f t="array" ref="J2511">IFERROR(INDEX('Retirement Calculator'!K:K,MATCH('Lorri 401b'!N2511,'Retirement Calculator'!A:A,0),0),0)</f>
        <v>0</v>
      </c>
      <c r="K2511" s="444">
        <f t="shared" ca="1" si="128"/>
        <v>-76965684.280853286</v>
      </c>
      <c r="L2511" s="444">
        <f t="shared" ca="1" si="129"/>
        <v>-18548729911.685642</v>
      </c>
      <c r="M2511" s="460">
        <f t="shared" si="131"/>
        <v>0.05</v>
      </c>
      <c r="N2511" s="464">
        <f t="shared" si="132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30"/>
        <v>-18548729911.685642</v>
      </c>
      <c r="J2512" s="444">
        <f t="array" ref="J2512">IFERROR(INDEX('Retirement Calculator'!K:K,MATCH('Lorri 401b'!N2512,'Retirement Calculator'!A:A,0),0),0)</f>
        <v>0</v>
      </c>
      <c r="K2512" s="444">
        <f t="shared" ca="1" si="128"/>
        <v>-77286374.632023513</v>
      </c>
      <c r="L2512" s="444">
        <f t="shared" ca="1" si="129"/>
        <v>-18626016286.317665</v>
      </c>
      <c r="M2512" s="460">
        <f t="shared" si="131"/>
        <v>0.05</v>
      </c>
      <c r="N2512" s="464">
        <f t="shared" si="132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30"/>
        <v>-18626016286.317665</v>
      </c>
      <c r="J2513" s="444">
        <f t="array" ref="J2513">IFERROR(INDEX('Retirement Calculator'!K:K,MATCH('Lorri 401b'!N2513,'Retirement Calculator'!A:A,0),0),0)</f>
        <v>0</v>
      </c>
      <c r="K2513" s="444">
        <f t="shared" ca="1" si="128"/>
        <v>-77608401.192990273</v>
      </c>
      <c r="L2513" s="444">
        <f t="shared" ca="1" si="129"/>
        <v>-18703624687.510654</v>
      </c>
      <c r="M2513" s="460">
        <f t="shared" si="131"/>
        <v>0.05</v>
      </c>
      <c r="N2513" s="464">
        <f t="shared" si="132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30"/>
        <v>-18703624687.510654</v>
      </c>
      <c r="J2514" s="444">
        <f t="array" ref="J2514">IFERROR(INDEX('Retirement Calculator'!K:K,MATCH('Lorri 401b'!N2514,'Retirement Calculator'!A:A,0),0),0)</f>
        <v>0</v>
      </c>
      <c r="K2514" s="444">
        <f t="shared" ca="1" si="128"/>
        <v>-77931769.531294391</v>
      </c>
      <c r="L2514" s="444">
        <f t="shared" ca="1" si="129"/>
        <v>-18781556457.04195</v>
      </c>
      <c r="M2514" s="460">
        <f t="shared" si="131"/>
        <v>0.05</v>
      </c>
      <c r="N2514" s="464">
        <f t="shared" si="132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30"/>
        <v>-18781556457.04195</v>
      </c>
      <c r="J2515" s="444">
        <f t="array" ref="J2515">IFERROR(INDEX('Retirement Calculator'!K:K,MATCH('Lorri 401b'!N2515,'Retirement Calculator'!A:A,0),0),0)</f>
        <v>0</v>
      </c>
      <c r="K2515" s="444">
        <f t="shared" ca="1" si="128"/>
        <v>-78256485.237674788</v>
      </c>
      <c r="L2515" s="444">
        <f t="shared" ca="1" si="129"/>
        <v>-18859812942.279625</v>
      </c>
      <c r="M2515" s="460">
        <f t="shared" si="131"/>
        <v>0.05</v>
      </c>
      <c r="N2515" s="464">
        <f t="shared" si="132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30"/>
        <v>-18859812942.279625</v>
      </c>
      <c r="J2516" s="444">
        <f t="array" ref="J2516">IFERROR(INDEX('Retirement Calculator'!K:K,MATCH('Lorri 401b'!N2516,'Retirement Calculator'!A:A,0),0),0)</f>
        <v>0</v>
      </c>
      <c r="K2516" s="444">
        <f t="shared" ca="1" si="128"/>
        <v>-78582553.926165104</v>
      </c>
      <c r="L2516" s="444">
        <f t="shared" ca="1" si="129"/>
        <v>-18938395496.205791</v>
      </c>
      <c r="M2516" s="460">
        <f t="shared" si="131"/>
        <v>0.05</v>
      </c>
      <c r="N2516" s="464">
        <f t="shared" si="132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30"/>
        <v>-18938395496.205791</v>
      </c>
      <c r="J2517" s="444">
        <f t="array" ref="J2517">IFERROR(INDEX('Retirement Calculator'!K:K,MATCH('Lorri 401b'!N2517,'Retirement Calculator'!A:A,0),0),0)</f>
        <v>0</v>
      </c>
      <c r="K2517" s="444">
        <f t="shared" ca="1" si="128"/>
        <v>-78909981.234190792</v>
      </c>
      <c r="L2517" s="444">
        <f t="shared" ca="1" si="129"/>
        <v>-19017305477.439983</v>
      </c>
      <c r="M2517" s="460">
        <f t="shared" si="131"/>
        <v>0.05</v>
      </c>
      <c r="N2517" s="464">
        <f t="shared" si="132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30"/>
        <v>-19017305477.439983</v>
      </c>
      <c r="J2518" s="444">
        <f t="array" ref="J2518">IFERROR(INDEX('Retirement Calculator'!K:K,MATCH('Lorri 401b'!N2518,'Retirement Calculator'!A:A,0),0),0)</f>
        <v>0</v>
      </c>
      <c r="K2518" s="444">
        <f t="shared" ca="1" si="128"/>
        <v>-79238772.8226666</v>
      </c>
      <c r="L2518" s="444">
        <f t="shared" ca="1" si="129"/>
        <v>-19096544250.26265</v>
      </c>
      <c r="M2518" s="460">
        <f t="shared" si="131"/>
        <v>0.05</v>
      </c>
      <c r="N2518" s="464">
        <f t="shared" si="132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30"/>
        <v>-19096544250.26265</v>
      </c>
      <c r="J2519" s="444">
        <f t="array" ref="J2519">IFERROR(INDEX('Retirement Calculator'!K:K,MATCH('Lorri 401b'!N2519,'Retirement Calculator'!A:A,0),0),0)</f>
        <v>0</v>
      </c>
      <c r="K2519" s="444">
        <f t="shared" ca="1" si="128"/>
        <v>-79568934.376094371</v>
      </c>
      <c r="L2519" s="444">
        <f t="shared" ca="1" si="129"/>
        <v>-19176113184.638744</v>
      </c>
      <c r="M2519" s="460">
        <f t="shared" si="131"/>
        <v>0.05</v>
      </c>
      <c r="N2519" s="464">
        <f t="shared" si="132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30"/>
        <v>-19176113184.638744</v>
      </c>
      <c r="J2520" s="444">
        <f t="array" ref="J2520">IFERROR(INDEX('Retirement Calculator'!K:K,MATCH('Lorri 401b'!N2520,'Retirement Calculator'!A:A,0),0),0)</f>
        <v>0</v>
      </c>
      <c r="K2520" s="444">
        <f t="shared" ca="1" si="128"/>
        <v>-79900471.602661431</v>
      </c>
      <c r="L2520" s="444">
        <f t="shared" ca="1" si="129"/>
        <v>-19256013656.241405</v>
      </c>
      <c r="M2520" s="460">
        <f t="shared" si="131"/>
        <v>0.05</v>
      </c>
      <c r="N2520" s="464">
        <f t="shared" si="132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30"/>
        <v>-19256013656.241405</v>
      </c>
      <c r="J2521" s="444">
        <f t="array" ref="J2521">IFERROR(INDEX('Retirement Calculator'!K:K,MATCH('Lorri 401b'!N2521,'Retirement Calculator'!A:A,0),0),0)</f>
        <v>0</v>
      </c>
      <c r="K2521" s="444">
        <f t="shared" ca="1" si="128"/>
        <v>-80233390.234339193</v>
      </c>
      <c r="L2521" s="444">
        <f t="shared" ca="1" si="129"/>
        <v>-19336247046.475746</v>
      </c>
      <c r="M2521" s="460">
        <f t="shared" si="131"/>
        <v>0.05</v>
      </c>
      <c r="N2521" s="464">
        <f t="shared" si="132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30"/>
        <v>-19336247046.475746</v>
      </c>
      <c r="J2522" s="444">
        <f t="array" ref="J2522">IFERROR(INDEX('Retirement Calculator'!K:K,MATCH('Lorri 401b'!N2522,'Retirement Calculator'!A:A,0),0),0)</f>
        <v>0</v>
      </c>
      <c r="K2522" s="444">
        <f t="shared" ca="1" si="128"/>
        <v>-80567696.026982278</v>
      </c>
      <c r="L2522" s="444">
        <f t="shared" ca="1" si="129"/>
        <v>-19416814742.502728</v>
      </c>
      <c r="M2522" s="460">
        <f t="shared" si="131"/>
        <v>0.05</v>
      </c>
      <c r="N2522" s="464">
        <f t="shared" si="132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30"/>
        <v>-19416814742.502728</v>
      </c>
      <c r="J2523" s="444">
        <f t="array" ref="J2523">IFERROR(INDEX('Retirement Calculator'!K:K,MATCH('Lorri 401b'!N2523,'Retirement Calculator'!A:A,0),0),0)</f>
        <v>0</v>
      </c>
      <c r="K2523" s="444">
        <f t="shared" ca="1" si="128"/>
        <v>-80903394.760428026</v>
      </c>
      <c r="L2523" s="444">
        <f t="shared" ca="1" si="129"/>
        <v>-19497718137.263157</v>
      </c>
      <c r="M2523" s="460">
        <f t="shared" si="131"/>
        <v>0.05</v>
      </c>
      <c r="N2523" s="464">
        <f t="shared" si="132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30"/>
        <v>-19497718137.263157</v>
      </c>
      <c r="J2524" s="444">
        <f t="array" ref="J2524">IFERROR(INDEX('Retirement Calculator'!K:K,MATCH('Lorri 401b'!N2524,'Retirement Calculator'!A:A,0),0),0)</f>
        <v>0</v>
      </c>
      <c r="K2524" s="444">
        <f t="shared" ca="1" si="128"/>
        <v>-81240492.238596484</v>
      </c>
      <c r="L2524" s="444">
        <f t="shared" ca="1" si="129"/>
        <v>-19578958629.501755</v>
      </c>
      <c r="M2524" s="460">
        <f t="shared" si="131"/>
        <v>0.05</v>
      </c>
      <c r="N2524" s="464">
        <f t="shared" si="132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30"/>
        <v>-19578958629.501755</v>
      </c>
      <c r="J2525" s="444">
        <f t="array" ref="J2525">IFERROR(INDEX('Retirement Calculator'!K:K,MATCH('Lorri 401b'!N2525,'Retirement Calculator'!A:A,0),0),0)</f>
        <v>0</v>
      </c>
      <c r="K2525" s="444">
        <f t="shared" ca="1" si="128"/>
        <v>-81578994.289590642</v>
      </c>
      <c r="L2525" s="444">
        <f t="shared" ca="1" si="129"/>
        <v>-19660537623.791344</v>
      </c>
      <c r="M2525" s="460">
        <f t="shared" si="131"/>
        <v>0.05</v>
      </c>
      <c r="N2525" s="464">
        <f t="shared" si="132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30"/>
        <v>-19660537623.791344</v>
      </c>
      <c r="J2526" s="444">
        <f t="array" ref="J2526">IFERROR(INDEX('Retirement Calculator'!K:K,MATCH('Lorri 401b'!N2526,'Retirement Calculator'!A:A,0),0),0)</f>
        <v>0</v>
      </c>
      <c r="K2526" s="444">
        <f t="shared" ca="1" si="128"/>
        <v>-81918906.765797257</v>
      </c>
      <c r="L2526" s="444">
        <f t="shared" ca="1" si="129"/>
        <v>-19742456530.55714</v>
      </c>
      <c r="M2526" s="460">
        <f t="shared" si="131"/>
        <v>0.05</v>
      </c>
      <c r="N2526" s="464">
        <f t="shared" si="132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30"/>
        <v>-19742456530.55714</v>
      </c>
      <c r="J2527" s="444">
        <f t="array" ref="J2527">IFERROR(INDEX('Retirement Calculator'!K:K,MATCH('Lorri 401b'!N2527,'Retirement Calculator'!A:A,0),0),0)</f>
        <v>0</v>
      </c>
      <c r="K2527" s="444">
        <f t="shared" ca="1" si="128"/>
        <v>-82260235.543988079</v>
      </c>
      <c r="L2527" s="444">
        <f t="shared" ca="1" si="129"/>
        <v>-19824716766.101128</v>
      </c>
      <c r="M2527" s="460">
        <f t="shared" si="131"/>
        <v>0.05</v>
      </c>
      <c r="N2527" s="464">
        <f t="shared" si="132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30"/>
        <v>-19824716766.101128</v>
      </c>
      <c r="J2528" s="444">
        <f t="array" ref="J2528">IFERROR(INDEX('Retirement Calculator'!K:K,MATCH('Lorri 401b'!N2528,'Retirement Calculator'!A:A,0),0),0)</f>
        <v>0</v>
      </c>
      <c r="K2528" s="444">
        <f t="shared" ca="1" si="128"/>
        <v>-82602986.525421366</v>
      </c>
      <c r="L2528" s="444">
        <f t="shared" ca="1" si="129"/>
        <v>-19907319752.626549</v>
      </c>
      <c r="M2528" s="460">
        <f t="shared" si="131"/>
        <v>0.05</v>
      </c>
      <c r="N2528" s="464">
        <f t="shared" si="132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30"/>
        <v>-19907319752.626549</v>
      </c>
      <c r="J2529" s="444">
        <f t="array" ref="J2529">IFERROR(INDEX('Retirement Calculator'!K:K,MATCH('Lorri 401b'!N2529,'Retirement Calculator'!A:A,0),0),0)</f>
        <v>0</v>
      </c>
      <c r="K2529" s="444">
        <f t="shared" ca="1" si="128"/>
        <v>-82947165.635943949</v>
      </c>
      <c r="L2529" s="444">
        <f t="shared" ca="1" si="129"/>
        <v>-19990266918.262493</v>
      </c>
      <c r="M2529" s="460">
        <f t="shared" si="131"/>
        <v>0.05</v>
      </c>
      <c r="N2529" s="464">
        <f t="shared" si="132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30"/>
        <v>-19990266918.262493</v>
      </c>
      <c r="J2530" s="444">
        <f t="array" ref="J2530">IFERROR(INDEX('Retirement Calculator'!K:K,MATCH('Lorri 401b'!N2530,'Retirement Calculator'!A:A,0),0),0)</f>
        <v>0</v>
      </c>
      <c r="K2530" s="444">
        <f t="shared" ca="1" si="128"/>
        <v>-83292778.826093718</v>
      </c>
      <c r="L2530" s="444">
        <f t="shared" ca="1" si="129"/>
        <v>-20073559697.088589</v>
      </c>
      <c r="M2530" s="460">
        <f t="shared" si="131"/>
        <v>0.05</v>
      </c>
      <c r="N2530" s="464">
        <f t="shared" si="132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30"/>
        <v>-20073559697.088589</v>
      </c>
      <c r="J2531" s="444">
        <f t="array" ref="J2531">IFERROR(INDEX('Retirement Calculator'!K:K,MATCH('Lorri 401b'!N2531,'Retirement Calculator'!A:A,0),0),0)</f>
        <v>0</v>
      </c>
      <c r="K2531" s="444">
        <f t="shared" ca="1" si="128"/>
        <v>-83639832.071202457</v>
      </c>
      <c r="L2531" s="444">
        <f t="shared" ca="1" si="129"/>
        <v>-20157199529.15979</v>
      </c>
      <c r="M2531" s="460">
        <f t="shared" si="131"/>
        <v>0.05</v>
      </c>
      <c r="N2531" s="464">
        <f t="shared" si="132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30"/>
        <v>-20157199529.15979</v>
      </c>
      <c r="J2532" s="444">
        <f t="array" ref="J2532">IFERROR(INDEX('Retirement Calculator'!K:K,MATCH('Lorri 401b'!N2532,'Retirement Calculator'!A:A,0),0),0)</f>
        <v>0</v>
      </c>
      <c r="K2532" s="444">
        <f t="shared" ca="1" si="128"/>
        <v>-83988331.371499121</v>
      </c>
      <c r="L2532" s="444">
        <f t="shared" ca="1" si="129"/>
        <v>-20241187860.531288</v>
      </c>
      <c r="M2532" s="460">
        <f t="shared" si="131"/>
        <v>0.05</v>
      </c>
      <c r="N2532" s="464">
        <f t="shared" si="132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30"/>
        <v>-20241187860.531288</v>
      </c>
      <c r="J2533" s="444">
        <f t="array" ref="J2533">IFERROR(INDEX('Retirement Calculator'!K:K,MATCH('Lorri 401b'!N2533,'Retirement Calculator'!A:A,0),0),0)</f>
        <v>0</v>
      </c>
      <c r="K2533" s="444">
        <f t="shared" ca="1" si="128"/>
        <v>-84338282.752213702</v>
      </c>
      <c r="L2533" s="444">
        <f t="shared" ca="1" si="129"/>
        <v>-20325526143.283501</v>
      </c>
      <c r="M2533" s="460">
        <f t="shared" si="131"/>
        <v>0.05</v>
      </c>
      <c r="N2533" s="464">
        <f t="shared" si="132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30"/>
        <v>-20325526143.283501</v>
      </c>
      <c r="J2534" s="444">
        <f t="array" ref="J2534">IFERROR(INDEX('Retirement Calculator'!K:K,MATCH('Lorri 401b'!N2534,'Retirement Calculator'!A:A,0),0),0)</f>
        <v>0</v>
      </c>
      <c r="K2534" s="444">
        <f t="shared" ca="1" si="128"/>
        <v>-84689692.263681248</v>
      </c>
      <c r="L2534" s="444">
        <f t="shared" ca="1" si="129"/>
        <v>-20410215835.54718</v>
      </c>
      <c r="M2534" s="460">
        <f t="shared" si="131"/>
        <v>0.05</v>
      </c>
      <c r="N2534" s="464">
        <f t="shared" si="132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30"/>
        <v>-20410215835.54718</v>
      </c>
      <c r="J2535" s="444">
        <f t="array" ref="J2535">IFERROR(INDEX('Retirement Calculator'!K:K,MATCH('Lorri 401b'!N2535,'Retirement Calculator'!A:A,0),0),0)</f>
        <v>0</v>
      </c>
      <c r="K2535" s="444">
        <f t="shared" ca="1" si="128"/>
        <v>-85042565.981446579</v>
      </c>
      <c r="L2535" s="444">
        <f t="shared" ca="1" si="129"/>
        <v>-20495258401.528625</v>
      </c>
      <c r="M2535" s="460">
        <f t="shared" si="131"/>
        <v>0.05</v>
      </c>
      <c r="N2535" s="464">
        <f t="shared" si="132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30"/>
        <v>-20495258401.528625</v>
      </c>
      <c r="J2536" s="444">
        <f t="array" ref="J2536">IFERROR(INDEX('Retirement Calculator'!K:K,MATCH('Lorri 401b'!N2536,'Retirement Calculator'!A:A,0),0),0)</f>
        <v>0</v>
      </c>
      <c r="K2536" s="444">
        <f t="shared" ca="1" si="128"/>
        <v>-85396910.006369278</v>
      </c>
      <c r="L2536" s="444">
        <f t="shared" ca="1" si="129"/>
        <v>-20580655311.534996</v>
      </c>
      <c r="M2536" s="460">
        <f t="shared" si="131"/>
        <v>0.05</v>
      </c>
      <c r="N2536" s="464">
        <f t="shared" si="132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30"/>
        <v>-20580655311.534996</v>
      </c>
      <c r="J2537" s="444">
        <f t="array" ref="J2537">IFERROR(INDEX('Retirement Calculator'!K:K,MATCH('Lorri 401b'!N2537,'Retirement Calculator'!A:A,0),0),0)</f>
        <v>0</v>
      </c>
      <c r="K2537" s="444">
        <f t="shared" ca="1" si="128"/>
        <v>-85752730.464729145</v>
      </c>
      <c r="L2537" s="444">
        <f t="shared" ca="1" si="129"/>
        <v>-20666408041.999725</v>
      </c>
      <c r="M2537" s="460">
        <f t="shared" si="131"/>
        <v>0.05</v>
      </c>
      <c r="N2537" s="464">
        <f t="shared" si="132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30"/>
        <v>-20666408041.999725</v>
      </c>
      <c r="J2538" s="444">
        <f t="array" ref="J2538">IFERROR(INDEX('Retirement Calculator'!K:K,MATCH('Lorri 401b'!N2538,'Retirement Calculator'!A:A,0),0),0)</f>
        <v>0</v>
      </c>
      <c r="K2538" s="444">
        <f t="shared" ca="1" si="128"/>
        <v>-86110033.508332193</v>
      </c>
      <c r="L2538" s="444">
        <f t="shared" ca="1" si="129"/>
        <v>-20752518075.508057</v>
      </c>
      <c r="M2538" s="460">
        <f t="shared" si="131"/>
        <v>0.05</v>
      </c>
      <c r="N2538" s="464">
        <f t="shared" si="132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30"/>
        <v>-20752518075.508057</v>
      </c>
      <c r="J2539" s="444">
        <f t="array" ref="J2539">IFERROR(INDEX('Retirement Calculator'!K:K,MATCH('Lorri 401b'!N2539,'Retirement Calculator'!A:A,0),0),0)</f>
        <v>0</v>
      </c>
      <c r="K2539" s="444">
        <f t="shared" ca="1" si="128"/>
        <v>-86468825.314616904</v>
      </c>
      <c r="L2539" s="444">
        <f t="shared" ca="1" si="129"/>
        <v>-20838986900.822674</v>
      </c>
      <c r="M2539" s="460">
        <f t="shared" si="131"/>
        <v>0.05</v>
      </c>
      <c r="N2539" s="464">
        <f t="shared" si="132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30"/>
        <v>-20838986900.822674</v>
      </c>
      <c r="J2540" s="444">
        <f t="array" ref="J2540">IFERROR(INDEX('Retirement Calculator'!K:K,MATCH('Lorri 401b'!N2540,'Retirement Calculator'!A:A,0),0),0)</f>
        <v>0</v>
      </c>
      <c r="K2540" s="444">
        <f t="shared" ca="1" si="128"/>
        <v>-86829112.086761147</v>
      </c>
      <c r="L2540" s="444">
        <f t="shared" ca="1" si="129"/>
        <v>-20925816012.909435</v>
      </c>
      <c r="M2540" s="460">
        <f t="shared" si="131"/>
        <v>0.05</v>
      </c>
      <c r="N2540" s="464">
        <f t="shared" si="132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30"/>
        <v>-20925816012.909435</v>
      </c>
      <c r="J2541" s="444">
        <f t="array" ref="J2541">IFERROR(INDEX('Retirement Calculator'!K:K,MATCH('Lorri 401b'!N2541,'Retirement Calculator'!A:A,0),0),0)</f>
        <v>0</v>
      </c>
      <c r="K2541" s="444">
        <f t="shared" ca="1" si="128"/>
        <v>-87190900.053789318</v>
      </c>
      <c r="L2541" s="444">
        <f t="shared" ca="1" si="129"/>
        <v>-21013006912.963226</v>
      </c>
      <c r="M2541" s="460">
        <f t="shared" si="131"/>
        <v>0.05</v>
      </c>
      <c r="N2541" s="464">
        <f t="shared" si="132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30"/>
        <v>-21013006912.963226</v>
      </c>
      <c r="J2542" s="444">
        <f t="array" ref="J2542">IFERROR(INDEX('Retirement Calculator'!K:K,MATCH('Lorri 401b'!N2542,'Retirement Calculator'!A:A,0),0),0)</f>
        <v>0</v>
      </c>
      <c r="K2542" s="444">
        <f t="shared" ca="1" si="128"/>
        <v>-87554195.470680103</v>
      </c>
      <c r="L2542" s="444">
        <f t="shared" ca="1" si="129"/>
        <v>-21100561108.433907</v>
      </c>
      <c r="M2542" s="460">
        <f t="shared" si="131"/>
        <v>0.05</v>
      </c>
      <c r="N2542" s="464">
        <f t="shared" si="132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30"/>
        <v>-21100561108.433907</v>
      </c>
      <c r="J2543" s="444">
        <f t="array" ref="J2543">IFERROR(INDEX('Retirement Calculator'!K:K,MATCH('Lorri 401b'!N2543,'Retirement Calculator'!A:A,0),0),0)</f>
        <v>0</v>
      </c>
      <c r="K2543" s="444">
        <f t="shared" ca="1" si="128"/>
        <v>-87919004.618474603</v>
      </c>
      <c r="L2543" s="444">
        <f t="shared" ca="1" si="129"/>
        <v>-21188480113.05238</v>
      </c>
      <c r="M2543" s="460">
        <f t="shared" si="131"/>
        <v>0.05</v>
      </c>
      <c r="N2543" s="464">
        <f t="shared" si="132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30"/>
        <v>-21188480113.05238</v>
      </c>
      <c r="J2544" s="444">
        <f t="array" ref="J2544">IFERROR(INDEX('Retirement Calculator'!K:K,MATCH('Lorri 401b'!N2544,'Retirement Calculator'!A:A,0),0),0)</f>
        <v>0</v>
      </c>
      <c r="K2544" s="444">
        <f t="shared" ca="1" si="128"/>
        <v>-88285333.804384917</v>
      </c>
      <c r="L2544" s="444">
        <f t="shared" ca="1" si="129"/>
        <v>-21276765446.856766</v>
      </c>
      <c r="M2544" s="460">
        <f t="shared" si="131"/>
        <v>0.05</v>
      </c>
      <c r="N2544" s="464">
        <f t="shared" si="132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30"/>
        <v>-21276765446.856766</v>
      </c>
      <c r="J2545" s="444">
        <f t="array" ref="J2545">IFERROR(INDEX('Retirement Calculator'!K:K,MATCH('Lorri 401b'!N2545,'Retirement Calculator'!A:A,0),0),0)</f>
        <v>0</v>
      </c>
      <c r="K2545" s="444">
        <f t="shared" ca="1" si="128"/>
        <v>-88653189.361903191</v>
      </c>
      <c r="L2545" s="444">
        <f t="shared" ca="1" si="129"/>
        <v>-21365418636.21867</v>
      </c>
      <c r="M2545" s="460">
        <f t="shared" si="131"/>
        <v>0.05</v>
      </c>
      <c r="N2545" s="464">
        <f t="shared" si="132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30"/>
        <v>-21365418636.21867</v>
      </c>
      <c r="J2546" s="444">
        <f t="array" ref="J2546">IFERROR(INDEX('Retirement Calculator'!K:K,MATCH('Lorri 401b'!N2546,'Retirement Calculator'!A:A,0),0),0)</f>
        <v>0</v>
      </c>
      <c r="K2546" s="444">
        <f t="shared" ca="1" si="128"/>
        <v>-89022577.650911123</v>
      </c>
      <c r="L2546" s="444">
        <f t="shared" ca="1" si="129"/>
        <v>-21454441213.869579</v>
      </c>
      <c r="M2546" s="460">
        <f t="shared" si="131"/>
        <v>0.05</v>
      </c>
      <c r="N2546" s="464">
        <f t="shared" si="132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30"/>
        <v>-21454441213.869579</v>
      </c>
      <c r="J2547" s="444">
        <f t="array" ref="J2547">IFERROR(INDEX('Retirement Calculator'!K:K,MATCH('Lorri 401b'!N2547,'Retirement Calculator'!A:A,0),0),0)</f>
        <v>0</v>
      </c>
      <c r="K2547" s="444">
        <f t="shared" ca="1" si="128"/>
        <v>-89393505.057789907</v>
      </c>
      <c r="L2547" s="444">
        <f t="shared" ca="1" si="129"/>
        <v>-21543834718.927368</v>
      </c>
      <c r="M2547" s="460">
        <f t="shared" si="131"/>
        <v>0.05</v>
      </c>
      <c r="N2547" s="464">
        <f t="shared" si="132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30"/>
        <v>-21543834718.927368</v>
      </c>
      <c r="J2548" s="444">
        <f t="array" ref="J2548">IFERROR(INDEX('Retirement Calculator'!K:K,MATCH('Lorri 401b'!N2548,'Retirement Calculator'!A:A,0),0),0)</f>
        <v>0</v>
      </c>
      <c r="K2548" s="444">
        <f t="shared" ca="1" si="128"/>
        <v>-89765977.995530695</v>
      </c>
      <c r="L2548" s="444">
        <f t="shared" ca="1" si="129"/>
        <v>-21633600696.922897</v>
      </c>
      <c r="M2548" s="460">
        <f t="shared" si="131"/>
        <v>0.05</v>
      </c>
      <c r="N2548" s="464">
        <f t="shared" si="132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30"/>
        <v>-21633600696.922897</v>
      </c>
      <c r="J2549" s="444">
        <f t="array" ref="J2549">IFERROR(INDEX('Retirement Calculator'!K:K,MATCH('Lorri 401b'!N2549,'Retirement Calculator'!A:A,0),0),0)</f>
        <v>0</v>
      </c>
      <c r="K2549" s="444">
        <f t="shared" ca="1" si="128"/>
        <v>-90140002.9038454</v>
      </c>
      <c r="L2549" s="444">
        <f t="shared" ca="1" si="129"/>
        <v>-21723740699.826744</v>
      </c>
      <c r="M2549" s="460">
        <f t="shared" si="131"/>
        <v>0.05</v>
      </c>
      <c r="N2549" s="464">
        <f t="shared" si="132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30"/>
        <v>-21723740699.826744</v>
      </c>
      <c r="J2550" s="444">
        <f t="array" ref="J2550">IFERROR(INDEX('Retirement Calculator'!K:K,MATCH('Lorri 401b'!N2550,'Retirement Calculator'!A:A,0),0),0)</f>
        <v>0</v>
      </c>
      <c r="K2550" s="444">
        <f t="shared" ca="1" si="128"/>
        <v>-90515586.249278098</v>
      </c>
      <c r="L2550" s="444">
        <f t="shared" ca="1" si="129"/>
        <v>-21814256286.076023</v>
      </c>
      <c r="M2550" s="460">
        <f t="shared" si="131"/>
        <v>0.05</v>
      </c>
      <c r="N2550" s="464">
        <f t="shared" si="132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30"/>
        <v>-21814256286.076023</v>
      </c>
      <c r="J2551" s="444">
        <f t="array" ref="J2551">IFERROR(INDEX('Retirement Calculator'!K:K,MATCH('Lorri 401b'!N2551,'Retirement Calculator'!A:A,0),0),0)</f>
        <v>0</v>
      </c>
      <c r="K2551" s="444">
        <f t="shared" ca="1" si="128"/>
        <v>-90892734.52531676</v>
      </c>
      <c r="L2551" s="444">
        <f t="shared" ca="1" si="129"/>
        <v>-21905149020.601341</v>
      </c>
      <c r="M2551" s="460">
        <f t="shared" si="131"/>
        <v>0.05</v>
      </c>
      <c r="N2551" s="464">
        <f t="shared" si="132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30"/>
        <v>-21905149020.601341</v>
      </c>
      <c r="J2552" s="444">
        <f t="array" ref="J2552">IFERROR(INDEX('Retirement Calculator'!K:K,MATCH('Lorri 401b'!N2552,'Retirement Calculator'!A:A,0),0),0)</f>
        <v>0</v>
      </c>
      <c r="K2552" s="444">
        <f t="shared" ca="1" si="128"/>
        <v>-91271454.252505586</v>
      </c>
      <c r="L2552" s="444">
        <f t="shared" ca="1" si="129"/>
        <v>-21996420474.853848</v>
      </c>
      <c r="M2552" s="460">
        <f t="shared" si="131"/>
        <v>0.05</v>
      </c>
      <c r="N2552" s="464">
        <f t="shared" si="132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30"/>
        <v>-21996420474.853848</v>
      </c>
      <c r="J2553" s="444">
        <f t="array" ref="J2553">IFERROR(INDEX('Retirement Calculator'!K:K,MATCH('Lorri 401b'!N2553,'Retirement Calculator'!A:A,0),0),0)</f>
        <v>0</v>
      </c>
      <c r="K2553" s="444">
        <f t="shared" ca="1" si="128"/>
        <v>-91651751.978557691</v>
      </c>
      <c r="L2553" s="444">
        <f t="shared" ca="1" si="129"/>
        <v>-22088072226.832405</v>
      </c>
      <c r="M2553" s="460">
        <f t="shared" si="131"/>
        <v>0.05</v>
      </c>
      <c r="N2553" s="464">
        <f t="shared" si="132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30"/>
        <v>-22088072226.832405</v>
      </c>
      <c r="J2554" s="444">
        <f t="array" ref="J2554">IFERROR(INDEX('Retirement Calculator'!K:K,MATCH('Lorri 401b'!N2554,'Retirement Calculator'!A:A,0),0),0)</f>
        <v>0</v>
      </c>
      <c r="K2554" s="444">
        <f t="shared" ca="1" si="128"/>
        <v>-92033634.278468356</v>
      </c>
      <c r="L2554" s="444">
        <f t="shared" ca="1" si="129"/>
        <v>-22180105861.110874</v>
      </c>
      <c r="M2554" s="460">
        <f t="shared" si="131"/>
        <v>0.05</v>
      </c>
      <c r="N2554" s="464">
        <f t="shared" si="132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30"/>
        <v>-22180105861.110874</v>
      </c>
      <c r="J2555" s="444">
        <f t="array" ref="J2555">IFERROR(INDEX('Retirement Calculator'!K:K,MATCH('Lorri 401b'!N2555,'Retirement Calculator'!A:A,0),0),0)</f>
        <v>0</v>
      </c>
      <c r="K2555" s="444">
        <f t="shared" ca="1" si="128"/>
        <v>-92417107.754628643</v>
      </c>
      <c r="L2555" s="444">
        <f t="shared" ca="1" si="129"/>
        <v>-22272522968.865501</v>
      </c>
      <c r="M2555" s="460">
        <f t="shared" si="131"/>
        <v>0.05</v>
      </c>
      <c r="N2555" s="464">
        <f t="shared" si="132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30"/>
        <v>-22272522968.865501</v>
      </c>
      <c r="J2556" s="444">
        <f t="array" ref="J2556">IFERROR(INDEX('Retirement Calculator'!K:K,MATCH('Lorri 401b'!N2556,'Retirement Calculator'!A:A,0),0),0)</f>
        <v>0</v>
      </c>
      <c r="K2556" s="444">
        <f t="shared" ca="1" si="128"/>
        <v>-92802179.036939591</v>
      </c>
      <c r="L2556" s="444">
        <f t="shared" ca="1" si="129"/>
        <v>-22365325147.902439</v>
      </c>
      <c r="M2556" s="460">
        <f t="shared" si="131"/>
        <v>0.05</v>
      </c>
      <c r="N2556" s="464">
        <f t="shared" si="132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30"/>
        <v>-22365325147.902439</v>
      </c>
      <c r="J2557" s="444">
        <f t="array" ref="J2557">IFERROR(INDEX('Retirement Calculator'!K:K,MATCH('Lorri 401b'!N2557,'Retirement Calculator'!A:A,0),0),0)</f>
        <v>0</v>
      </c>
      <c r="K2557" s="444">
        <f t="shared" ca="1" si="128"/>
        <v>-93188854.782926828</v>
      </c>
      <c r="L2557" s="444">
        <f t="shared" ca="1" si="129"/>
        <v>-22458514002.685368</v>
      </c>
      <c r="M2557" s="460">
        <f t="shared" si="131"/>
        <v>0.05</v>
      </c>
      <c r="N2557" s="464">
        <f t="shared" si="132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30"/>
        <v>-22458514002.685368</v>
      </c>
      <c r="J2558" s="444">
        <f t="array" ref="J2558">IFERROR(INDEX('Retirement Calculator'!K:K,MATCH('Lorri 401b'!N2558,'Retirement Calculator'!A:A,0),0),0)</f>
        <v>0</v>
      </c>
      <c r="K2558" s="444">
        <f t="shared" ref="K2558:K2812" ca="1" si="133">IPMT(M2558/12,1,12,-I2558+J2558,,0)</f>
        <v>-93577141.6778557</v>
      </c>
      <c r="L2558" s="444">
        <f t="shared" ref="L2558:L2812" ca="1" si="134">I2558-J2558+K2558</f>
        <v>-22552091144.363224</v>
      </c>
      <c r="M2558" s="460">
        <f t="shared" si="131"/>
        <v>0.05</v>
      </c>
      <c r="N2558" s="464">
        <f t="shared" si="132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35">L2558</f>
        <v>-22552091144.363224</v>
      </c>
      <c r="J2559" s="444">
        <f t="array" ref="J2559">IFERROR(INDEX('Retirement Calculator'!K:K,MATCH('Lorri 401b'!N2559,'Retirement Calculator'!A:A,0),0),0)</f>
        <v>0</v>
      </c>
      <c r="K2559" s="444">
        <f t="shared" ca="1" si="133"/>
        <v>-93967046.434846759</v>
      </c>
      <c r="L2559" s="444">
        <f t="shared" ca="1" si="134"/>
        <v>-22646058190.798069</v>
      </c>
      <c r="M2559" s="460">
        <f t="shared" ref="M2559:M2813" si="136">M2558</f>
        <v>0.05</v>
      </c>
      <c r="N2559" s="464">
        <f t="shared" ref="N2559:N2813" si="137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35"/>
        <v>-22646058190.798069</v>
      </c>
      <c r="J2560" s="444">
        <f t="array" ref="J2560">IFERROR(INDEX('Retirement Calculator'!K:K,MATCH('Lorri 401b'!N2560,'Retirement Calculator'!A:A,0),0),0)</f>
        <v>0</v>
      </c>
      <c r="K2560" s="444">
        <f t="shared" ca="1" si="133"/>
        <v>-94358575.794991955</v>
      </c>
      <c r="L2560" s="444">
        <f t="shared" ca="1" si="134"/>
        <v>-22740416766.59306</v>
      </c>
      <c r="M2560" s="460">
        <f t="shared" si="136"/>
        <v>0.05</v>
      </c>
      <c r="N2560" s="464">
        <f t="shared" si="137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35"/>
        <v>-22740416766.59306</v>
      </c>
      <c r="J2561" s="444">
        <f t="array" ref="J2561">IFERROR(INDEX('Retirement Calculator'!K:K,MATCH('Lorri 401b'!N2561,'Retirement Calculator'!A:A,0),0),0)</f>
        <v>0</v>
      </c>
      <c r="K2561" s="444">
        <f t="shared" ca="1" si="133"/>
        <v>-94751736.52747108</v>
      </c>
      <c r="L2561" s="444">
        <f t="shared" ca="1" si="134"/>
        <v>-22835168503.120529</v>
      </c>
      <c r="M2561" s="460">
        <f t="shared" si="136"/>
        <v>0.05</v>
      </c>
      <c r="N2561" s="464">
        <f t="shared" si="137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35"/>
        <v>-22835168503.120529</v>
      </c>
      <c r="J2562" s="444">
        <f t="array" ref="J2562">IFERROR(INDEX('Retirement Calculator'!K:K,MATCH('Lorri 401b'!N2562,'Retirement Calculator'!A:A,0),0),0)</f>
        <v>0</v>
      </c>
      <c r="K2562" s="444">
        <f t="shared" ca="1" si="133"/>
        <v>-95146535.429668874</v>
      </c>
      <c r="L2562" s="444">
        <f t="shared" ca="1" si="134"/>
        <v>-22930315038.550198</v>
      </c>
      <c r="M2562" s="460">
        <f t="shared" si="136"/>
        <v>0.05</v>
      </c>
      <c r="N2562" s="464">
        <f t="shared" si="137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35"/>
        <v>-22930315038.550198</v>
      </c>
      <c r="J2563" s="444">
        <f t="array" ref="J2563">IFERROR(INDEX('Retirement Calculator'!K:K,MATCH('Lorri 401b'!N2563,'Retirement Calculator'!A:A,0),0),0)</f>
        <v>0</v>
      </c>
      <c r="K2563" s="444">
        <f t="shared" ca="1" si="133"/>
        <v>-95542979.327292487</v>
      </c>
      <c r="L2563" s="444">
        <f t="shared" ca="1" si="134"/>
        <v>-23025858017.877491</v>
      </c>
      <c r="M2563" s="460">
        <f t="shared" si="136"/>
        <v>0.05</v>
      </c>
      <c r="N2563" s="464">
        <f t="shared" si="137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35"/>
        <v>-23025858017.877491</v>
      </c>
      <c r="J2564" s="444">
        <f t="array" ref="J2564">IFERROR(INDEX('Retirement Calculator'!K:K,MATCH('Lorri 401b'!N2564,'Retirement Calculator'!A:A,0),0),0)</f>
        <v>0</v>
      </c>
      <c r="K2564" s="444">
        <f t="shared" ca="1" si="133"/>
        <v>-95941075.074489549</v>
      </c>
      <c r="L2564" s="444">
        <f t="shared" ca="1" si="134"/>
        <v>-23121799092.951981</v>
      </c>
      <c r="M2564" s="460">
        <f t="shared" si="136"/>
        <v>0.05</v>
      </c>
      <c r="N2564" s="464">
        <f t="shared" si="137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35"/>
        <v>-23121799092.951981</v>
      </c>
      <c r="J2565" s="444">
        <f t="array" ref="J2565">IFERROR(INDEX('Retirement Calculator'!K:K,MATCH('Lorri 401b'!N2565,'Retirement Calculator'!A:A,0),0),0)</f>
        <v>0</v>
      </c>
      <c r="K2565" s="444">
        <f t="shared" ca="1" si="133"/>
        <v>-96340829.553966582</v>
      </c>
      <c r="L2565" s="444">
        <f t="shared" ca="1" si="134"/>
        <v>-23218139922.505947</v>
      </c>
      <c r="M2565" s="460">
        <f t="shared" si="136"/>
        <v>0.05</v>
      </c>
      <c r="N2565" s="464">
        <f t="shared" si="137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35"/>
        <v>-23218139922.505947</v>
      </c>
      <c r="J2566" s="444">
        <f t="array" ref="J2566">IFERROR(INDEX('Retirement Calculator'!K:K,MATCH('Lorri 401b'!N2566,'Retirement Calculator'!A:A,0),0),0)</f>
        <v>0</v>
      </c>
      <c r="K2566" s="444">
        <f t="shared" ca="1" si="133"/>
        <v>-96742249.677108109</v>
      </c>
      <c r="L2566" s="444">
        <f t="shared" ca="1" si="134"/>
        <v>-23314882172.183056</v>
      </c>
      <c r="M2566" s="460">
        <f t="shared" si="136"/>
        <v>0.05</v>
      </c>
      <c r="N2566" s="464">
        <f t="shared" si="137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35"/>
        <v>-23314882172.183056</v>
      </c>
      <c r="J2567" s="444">
        <f t="array" ref="J2567">IFERROR(INDEX('Retirement Calculator'!K:K,MATCH('Lorri 401b'!N2567,'Retirement Calculator'!A:A,0),0),0)</f>
        <v>0</v>
      </c>
      <c r="K2567" s="444">
        <f t="shared" ca="1" si="133"/>
        <v>-97145342.384096071</v>
      </c>
      <c r="L2567" s="444">
        <f t="shared" ca="1" si="134"/>
        <v>-23412027514.56715</v>
      </c>
      <c r="M2567" s="460">
        <f t="shared" si="136"/>
        <v>0.05</v>
      </c>
      <c r="N2567" s="464">
        <f t="shared" si="137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35"/>
        <v>-23412027514.56715</v>
      </c>
      <c r="J2568" s="444">
        <f t="array" ref="J2568">IFERROR(INDEX('Retirement Calculator'!K:K,MATCH('Lorri 401b'!N2568,'Retirement Calculator'!A:A,0),0),0)</f>
        <v>0</v>
      </c>
      <c r="K2568" s="444">
        <f t="shared" ca="1" si="133"/>
        <v>-97550114.644029796</v>
      </c>
      <c r="L2568" s="444">
        <f t="shared" ca="1" si="134"/>
        <v>-23509577629.211182</v>
      </c>
      <c r="M2568" s="460">
        <f t="shared" si="136"/>
        <v>0.05</v>
      </c>
      <c r="N2568" s="464">
        <f t="shared" si="137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35"/>
        <v>-23509577629.211182</v>
      </c>
      <c r="J2569" s="444">
        <f t="array" ref="J2569">IFERROR(INDEX('Retirement Calculator'!K:K,MATCH('Lorri 401b'!N2569,'Retirement Calculator'!A:A,0),0),0)</f>
        <v>0</v>
      </c>
      <c r="K2569" s="444">
        <f t="shared" ca="1" si="133"/>
        <v>-97956573.455046594</v>
      </c>
      <c r="L2569" s="444">
        <f t="shared" ca="1" si="134"/>
        <v>-23607534202.666229</v>
      </c>
      <c r="M2569" s="460">
        <f t="shared" si="136"/>
        <v>0.05</v>
      </c>
      <c r="N2569" s="464">
        <f t="shared" si="137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35"/>
        <v>-23607534202.666229</v>
      </c>
      <c r="J2570" s="444">
        <f t="array" ref="J2570">IFERROR(INDEX('Retirement Calculator'!K:K,MATCH('Lorri 401b'!N2570,'Retirement Calculator'!A:A,0),0),0)</f>
        <v>0</v>
      </c>
      <c r="K2570" s="444">
        <f t="shared" ca="1" si="133"/>
        <v>-98364725.844442621</v>
      </c>
      <c r="L2570" s="444">
        <f t="shared" ca="1" si="134"/>
        <v>-23705898928.510674</v>
      </c>
      <c r="M2570" s="460">
        <f t="shared" si="136"/>
        <v>0.05</v>
      </c>
      <c r="N2570" s="464">
        <f t="shared" si="137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35"/>
        <v>-23705898928.510674</v>
      </c>
      <c r="J2571" s="444">
        <f t="array" ref="J2571">IFERROR(INDEX('Retirement Calculator'!K:K,MATCH('Lorri 401b'!N2571,'Retirement Calculator'!A:A,0),0),0)</f>
        <v>0</v>
      </c>
      <c r="K2571" s="444">
        <f t="shared" ca="1" si="133"/>
        <v>-98774578.868794471</v>
      </c>
      <c r="L2571" s="444">
        <f t="shared" ca="1" si="134"/>
        <v>-23804673507.379467</v>
      </c>
      <c r="M2571" s="460">
        <f t="shared" si="136"/>
        <v>0.05</v>
      </c>
      <c r="N2571" s="464">
        <f t="shared" si="137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35"/>
        <v>-23804673507.379467</v>
      </c>
      <c r="J2572" s="444">
        <f t="array" ref="J2572">IFERROR(INDEX('Retirement Calculator'!K:K,MATCH('Lorri 401b'!N2572,'Retirement Calculator'!A:A,0),0),0)</f>
        <v>0</v>
      </c>
      <c r="K2572" s="444">
        <f t="shared" ca="1" si="133"/>
        <v>-99186139.614081115</v>
      </c>
      <c r="L2572" s="444">
        <f t="shared" ca="1" si="134"/>
        <v>-23903859646.993549</v>
      </c>
      <c r="M2572" s="460">
        <f t="shared" si="136"/>
        <v>0.05</v>
      </c>
      <c r="N2572" s="464">
        <f t="shared" si="137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35"/>
        <v>-23903859646.993549</v>
      </c>
      <c r="J2573" s="444">
        <f t="array" ref="J2573">IFERROR(INDEX('Retirement Calculator'!K:K,MATCH('Lorri 401b'!N2573,'Retirement Calculator'!A:A,0),0),0)</f>
        <v>0</v>
      </c>
      <c r="K2573" s="444">
        <f t="shared" ca="1" si="133"/>
        <v>-99599415.195806459</v>
      </c>
      <c r="L2573" s="444">
        <f t="shared" ca="1" si="134"/>
        <v>-24003459062.189354</v>
      </c>
      <c r="M2573" s="460">
        <f t="shared" si="136"/>
        <v>0.05</v>
      </c>
      <c r="N2573" s="464">
        <f t="shared" si="137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35"/>
        <v>-24003459062.189354</v>
      </c>
      <c r="J2574" s="444">
        <f t="array" ref="J2574">IFERROR(INDEX('Retirement Calculator'!K:K,MATCH('Lorri 401b'!N2574,'Retirement Calculator'!A:A,0),0),0)</f>
        <v>0</v>
      </c>
      <c r="K2574" s="444">
        <f t="shared" ca="1" si="133"/>
        <v>-100014412.75912231</v>
      </c>
      <c r="L2574" s="444">
        <f t="shared" ca="1" si="134"/>
        <v>-24103473474.948475</v>
      </c>
      <c r="M2574" s="460">
        <f t="shared" si="136"/>
        <v>0.05</v>
      </c>
      <c r="N2574" s="464">
        <f t="shared" si="137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35"/>
        <v>-24103473474.948475</v>
      </c>
      <c r="J2575" s="444">
        <f t="array" ref="J2575">IFERROR(INDEX('Retirement Calculator'!K:K,MATCH('Lorri 401b'!N2575,'Retirement Calculator'!A:A,0),0),0)</f>
        <v>0</v>
      </c>
      <c r="K2575" s="444">
        <f t="shared" ca="1" si="133"/>
        <v>-100431139.47895198</v>
      </c>
      <c r="L2575" s="444">
        <f t="shared" ca="1" si="134"/>
        <v>-24203904614.427425</v>
      </c>
      <c r="M2575" s="460">
        <f t="shared" si="136"/>
        <v>0.05</v>
      </c>
      <c r="N2575" s="464">
        <f t="shared" si="137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35"/>
        <v>-24203904614.427425</v>
      </c>
      <c r="J2576" s="444">
        <f t="array" ref="J2576">IFERROR(INDEX('Retirement Calculator'!K:K,MATCH('Lorri 401b'!N2576,'Retirement Calculator'!A:A,0),0),0)</f>
        <v>0</v>
      </c>
      <c r="K2576" s="444">
        <f t="shared" ca="1" si="133"/>
        <v>-100849602.56011426</v>
      </c>
      <c r="L2576" s="444">
        <f t="shared" ca="1" si="134"/>
        <v>-24304754216.987541</v>
      </c>
      <c r="M2576" s="460">
        <f t="shared" si="136"/>
        <v>0.05</v>
      </c>
      <c r="N2576" s="464">
        <f t="shared" si="137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35"/>
        <v>-24304754216.987541</v>
      </c>
      <c r="J2577" s="444">
        <f t="array" ref="J2577">IFERROR(INDEX('Retirement Calculator'!K:K,MATCH('Lorri 401b'!N2577,'Retirement Calculator'!A:A,0),0),0)</f>
        <v>0</v>
      </c>
      <c r="K2577" s="444">
        <f t="shared" ca="1" si="133"/>
        <v>-101269809.23744808</v>
      </c>
      <c r="L2577" s="444">
        <f t="shared" ca="1" si="134"/>
        <v>-24406024026.224991</v>
      </c>
      <c r="M2577" s="460">
        <f t="shared" si="136"/>
        <v>0.05</v>
      </c>
      <c r="N2577" s="464">
        <f t="shared" si="137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35"/>
        <v>-24406024026.224991</v>
      </c>
      <c r="J2578" s="444">
        <f t="array" ref="J2578">IFERROR(INDEX('Retirement Calculator'!K:K,MATCH('Lorri 401b'!N2578,'Retirement Calculator'!A:A,0),0),0)</f>
        <v>0</v>
      </c>
      <c r="K2578" s="444">
        <f t="shared" ca="1" si="133"/>
        <v>-101691766.77593747</v>
      </c>
      <c r="L2578" s="444">
        <f t="shared" ca="1" si="134"/>
        <v>-24507715793.000927</v>
      </c>
      <c r="M2578" s="460">
        <f t="shared" si="136"/>
        <v>0.05</v>
      </c>
      <c r="N2578" s="464">
        <f t="shared" si="137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35"/>
        <v>-24507715793.000927</v>
      </c>
      <c r="J2579" s="444">
        <f t="array" ref="J2579">IFERROR(INDEX('Retirement Calculator'!K:K,MATCH('Lorri 401b'!N2579,'Retirement Calculator'!A:A,0),0),0)</f>
        <v>0</v>
      </c>
      <c r="K2579" s="444">
        <f t="shared" ca="1" si="133"/>
        <v>-102115482.47083719</v>
      </c>
      <c r="L2579" s="444">
        <f t="shared" ca="1" si="134"/>
        <v>-24609831275.471764</v>
      </c>
      <c r="M2579" s="460">
        <f t="shared" si="136"/>
        <v>0.05</v>
      </c>
      <c r="N2579" s="464">
        <f t="shared" si="137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35"/>
        <v>-24609831275.471764</v>
      </c>
      <c r="J2580" s="444">
        <f t="array" ref="J2580">IFERROR(INDEX('Retirement Calculator'!K:K,MATCH('Lorri 401b'!N2580,'Retirement Calculator'!A:A,0),0),0)</f>
        <v>0</v>
      </c>
      <c r="K2580" s="444">
        <f t="shared" ca="1" si="133"/>
        <v>-102540963.64779902</v>
      </c>
      <c r="L2580" s="444">
        <f t="shared" ca="1" si="134"/>
        <v>-24712372239.119564</v>
      </c>
      <c r="M2580" s="460">
        <f t="shared" si="136"/>
        <v>0.05</v>
      </c>
      <c r="N2580" s="464">
        <f t="shared" si="137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35"/>
        <v>-24712372239.119564</v>
      </c>
      <c r="J2581" s="444">
        <f t="array" ref="J2581">IFERROR(INDEX('Retirement Calculator'!K:K,MATCH('Lorri 401b'!N2581,'Retirement Calculator'!A:A,0),0),0)</f>
        <v>0</v>
      </c>
      <c r="K2581" s="444">
        <f t="shared" ca="1" si="133"/>
        <v>-102968217.66299818</v>
      </c>
      <c r="L2581" s="444">
        <f t="shared" ca="1" si="134"/>
        <v>-24815340456.782562</v>
      </c>
      <c r="M2581" s="460">
        <f t="shared" si="136"/>
        <v>0.05</v>
      </c>
      <c r="N2581" s="464">
        <f t="shared" si="137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35"/>
        <v>-24815340456.782562</v>
      </c>
      <c r="J2582" s="444">
        <f t="array" ref="J2582">IFERROR(INDEX('Retirement Calculator'!K:K,MATCH('Lorri 401b'!N2582,'Retirement Calculator'!A:A,0),0),0)</f>
        <v>0</v>
      </c>
      <c r="K2582" s="444">
        <f t="shared" ca="1" si="133"/>
        <v>-103397251.90326068</v>
      </c>
      <c r="L2582" s="444">
        <f t="shared" ca="1" si="134"/>
        <v>-24918737708.685822</v>
      </c>
      <c r="M2582" s="460">
        <f t="shared" si="136"/>
        <v>0.05</v>
      </c>
      <c r="N2582" s="464">
        <f t="shared" si="137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35"/>
        <v>-24918737708.685822</v>
      </c>
      <c r="J2583" s="444">
        <f t="array" ref="J2583">IFERROR(INDEX('Retirement Calculator'!K:K,MATCH('Lorri 401b'!N2583,'Retirement Calculator'!A:A,0),0),0)</f>
        <v>0</v>
      </c>
      <c r="K2583" s="444">
        <f t="shared" ca="1" si="133"/>
        <v>-103828073.78619093</v>
      </c>
      <c r="L2583" s="444">
        <f t="shared" ca="1" si="134"/>
        <v>-25022565782.472012</v>
      </c>
      <c r="M2583" s="460">
        <f t="shared" si="136"/>
        <v>0.05</v>
      </c>
      <c r="N2583" s="464">
        <f t="shared" si="137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35"/>
        <v>-25022565782.472012</v>
      </c>
      <c r="J2584" s="444">
        <f t="array" ref="J2584">IFERROR(INDEX('Retirement Calculator'!K:K,MATCH('Lorri 401b'!N2584,'Retirement Calculator'!A:A,0),0),0)</f>
        <v>0</v>
      </c>
      <c r="K2584" s="444">
        <f t="shared" ca="1" si="133"/>
        <v>-104260690.76030004</v>
      </c>
      <c r="L2584" s="444">
        <f t="shared" ca="1" si="134"/>
        <v>-25126826473.232311</v>
      </c>
      <c r="M2584" s="460">
        <f t="shared" si="136"/>
        <v>0.05</v>
      </c>
      <c r="N2584" s="464">
        <f t="shared" si="137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35"/>
        <v>-25126826473.232311</v>
      </c>
      <c r="J2585" s="444">
        <f t="array" ref="J2585">IFERROR(INDEX('Retirement Calculator'!K:K,MATCH('Lorri 401b'!N2585,'Retirement Calculator'!A:A,0),0),0)</f>
        <v>0</v>
      </c>
      <c r="K2585" s="444">
        <f t="shared" ca="1" si="133"/>
        <v>-104695110.30513462</v>
      </c>
      <c r="L2585" s="444">
        <f t="shared" ca="1" si="134"/>
        <v>-25231521583.537445</v>
      </c>
      <c r="M2585" s="460">
        <f t="shared" si="136"/>
        <v>0.05</v>
      </c>
      <c r="N2585" s="464">
        <f t="shared" si="137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35"/>
        <v>-25231521583.537445</v>
      </c>
      <c r="J2586" s="444">
        <f t="array" ref="J2586">IFERROR(INDEX('Retirement Calculator'!K:K,MATCH('Lorri 401b'!N2586,'Retirement Calculator'!A:A,0),0),0)</f>
        <v>0</v>
      </c>
      <c r="K2586" s="444">
        <f t="shared" ca="1" si="133"/>
        <v>-105131339.93140602</v>
      </c>
      <c r="L2586" s="444">
        <f t="shared" ca="1" si="134"/>
        <v>-25336652923.468849</v>
      </c>
      <c r="M2586" s="460">
        <f t="shared" si="136"/>
        <v>0.05</v>
      </c>
      <c r="N2586" s="464">
        <f t="shared" si="137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35"/>
        <v>-25336652923.468849</v>
      </c>
      <c r="J2587" s="444">
        <f t="array" ref="J2587">IFERROR(INDEX('Retirement Calculator'!K:K,MATCH('Lorri 401b'!N2587,'Retirement Calculator'!A:A,0),0),0)</f>
        <v>0</v>
      </c>
      <c r="K2587" s="444">
        <f t="shared" ca="1" si="133"/>
        <v>-105569387.1811202</v>
      </c>
      <c r="L2587" s="444">
        <f t="shared" ca="1" si="134"/>
        <v>-25442222310.649971</v>
      </c>
      <c r="M2587" s="460">
        <f t="shared" si="136"/>
        <v>0.05</v>
      </c>
      <c r="N2587" s="464">
        <f t="shared" si="137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35"/>
        <v>-25442222310.649971</v>
      </c>
      <c r="J2588" s="444">
        <f t="array" ref="J2588">IFERROR(INDEX('Retirement Calculator'!K:K,MATCH('Lorri 401b'!N2588,'Retirement Calculator'!A:A,0),0),0)</f>
        <v>0</v>
      </c>
      <c r="K2588" s="444">
        <f t="shared" ca="1" si="133"/>
        <v>-106009259.62770821</v>
      </c>
      <c r="L2588" s="444">
        <f t="shared" ca="1" si="134"/>
        <v>-25548231570.277679</v>
      </c>
      <c r="M2588" s="460">
        <f t="shared" si="136"/>
        <v>0.05</v>
      </c>
      <c r="N2588" s="464">
        <f t="shared" si="137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35"/>
        <v>-25548231570.277679</v>
      </c>
      <c r="J2589" s="444">
        <f t="array" ref="J2589">IFERROR(INDEX('Retirement Calculator'!K:K,MATCH('Lorri 401b'!N2589,'Retirement Calculator'!A:A,0),0),0)</f>
        <v>0</v>
      </c>
      <c r="K2589" s="444">
        <f t="shared" ca="1" si="133"/>
        <v>-106450964.876157</v>
      </c>
      <c r="L2589" s="444">
        <f t="shared" ca="1" si="134"/>
        <v>-25654682535.153835</v>
      </c>
      <c r="M2589" s="460">
        <f t="shared" si="136"/>
        <v>0.05</v>
      </c>
      <c r="N2589" s="464">
        <f t="shared" si="137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35"/>
        <v>-25654682535.153835</v>
      </c>
      <c r="J2590" s="444">
        <f t="array" ref="J2590">IFERROR(INDEX('Retirement Calculator'!K:K,MATCH('Lorri 401b'!N2590,'Retirement Calculator'!A:A,0),0),0)</f>
        <v>0</v>
      </c>
      <c r="K2590" s="444">
        <f t="shared" ca="1" si="133"/>
        <v>-106894510.56314097</v>
      </c>
      <c r="L2590" s="444">
        <f t="shared" ca="1" si="134"/>
        <v>-25761577045.716976</v>
      </c>
      <c r="M2590" s="460">
        <f t="shared" si="136"/>
        <v>0.05</v>
      </c>
      <c r="N2590" s="464">
        <f t="shared" si="137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35"/>
        <v>-25761577045.716976</v>
      </c>
      <c r="J2591" s="444">
        <f t="array" ref="J2591">IFERROR(INDEX('Retirement Calculator'!K:K,MATCH('Lorri 401b'!N2591,'Retirement Calculator'!A:A,0),0),0)</f>
        <v>0</v>
      </c>
      <c r="K2591" s="444">
        <f t="shared" ca="1" si="133"/>
        <v>-107339904.35715407</v>
      </c>
      <c r="L2591" s="444">
        <f t="shared" ca="1" si="134"/>
        <v>-25868916950.074131</v>
      </c>
      <c r="M2591" s="460">
        <f t="shared" si="136"/>
        <v>0.05</v>
      </c>
      <c r="N2591" s="464">
        <f t="shared" si="137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35"/>
        <v>-25868916950.074131</v>
      </c>
      <c r="J2592" s="444">
        <f t="array" ref="J2592">IFERROR(INDEX('Retirement Calculator'!K:K,MATCH('Lorri 401b'!N2592,'Retirement Calculator'!A:A,0),0),0)</f>
        <v>0</v>
      </c>
      <c r="K2592" s="444">
        <f t="shared" ca="1" si="133"/>
        <v>-107787153.95864221</v>
      </c>
      <c r="L2592" s="444">
        <f t="shared" ca="1" si="134"/>
        <v>-25976704104.032772</v>
      </c>
      <c r="M2592" s="460">
        <f t="shared" si="136"/>
        <v>0.05</v>
      </c>
      <c r="N2592" s="464">
        <f t="shared" si="137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35"/>
        <v>-25976704104.032772</v>
      </c>
      <c r="J2593" s="444">
        <f t="array" ref="J2593">IFERROR(INDEX('Retirement Calculator'!K:K,MATCH('Lorri 401b'!N2593,'Retirement Calculator'!A:A,0),0),0)</f>
        <v>0</v>
      </c>
      <c r="K2593" s="444">
        <f t="shared" ca="1" si="133"/>
        <v>-108236267.10013655</v>
      </c>
      <c r="L2593" s="444">
        <f t="shared" ca="1" si="134"/>
        <v>-26084940371.132908</v>
      </c>
      <c r="M2593" s="460">
        <f t="shared" si="136"/>
        <v>0.05</v>
      </c>
      <c r="N2593" s="464">
        <f t="shared" si="137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35"/>
        <v>-26084940371.132908</v>
      </c>
      <c r="J2594" s="444">
        <f t="array" ref="J2594">IFERROR(INDEX('Retirement Calculator'!K:K,MATCH('Lorri 401b'!N2594,'Retirement Calculator'!A:A,0),0),0)</f>
        <v>0</v>
      </c>
      <c r="K2594" s="444">
        <f t="shared" ca="1" si="133"/>
        <v>-108687251.54638712</v>
      </c>
      <c r="L2594" s="444">
        <f t="shared" ca="1" si="134"/>
        <v>-26193627622.679295</v>
      </c>
      <c r="M2594" s="460">
        <f t="shared" si="136"/>
        <v>0.05</v>
      </c>
      <c r="N2594" s="464">
        <f t="shared" si="137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35"/>
        <v>-26193627622.679295</v>
      </c>
      <c r="J2595" s="444">
        <f t="array" ref="J2595">IFERROR(INDEX('Retirement Calculator'!K:K,MATCH('Lorri 401b'!N2595,'Retirement Calculator'!A:A,0),0),0)</f>
        <v>0</v>
      </c>
      <c r="K2595" s="444">
        <f t="shared" ca="1" si="133"/>
        <v>-109140115.09449705</v>
      </c>
      <c r="L2595" s="444">
        <f t="shared" ca="1" si="134"/>
        <v>-26302767737.773792</v>
      </c>
      <c r="M2595" s="460">
        <f t="shared" si="136"/>
        <v>0.05</v>
      </c>
      <c r="N2595" s="464">
        <f t="shared" si="137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35"/>
        <v>-26302767737.773792</v>
      </c>
      <c r="J2596" s="444">
        <f t="array" ref="J2596">IFERROR(INDEX('Retirement Calculator'!K:K,MATCH('Lorri 401b'!N2596,'Retirement Calculator'!A:A,0),0),0)</f>
        <v>0</v>
      </c>
      <c r="K2596" s="444">
        <f t="shared" ca="1" si="133"/>
        <v>-109594865.57405746</v>
      </c>
      <c r="L2596" s="444">
        <f t="shared" ca="1" si="134"/>
        <v>-26412362603.347851</v>
      </c>
      <c r="M2596" s="460">
        <f t="shared" si="136"/>
        <v>0.05</v>
      </c>
      <c r="N2596" s="464">
        <f t="shared" si="137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35"/>
        <v>-26412362603.347851</v>
      </c>
      <c r="J2597" s="444">
        <f t="array" ref="J2597">IFERROR(INDEX('Retirement Calculator'!K:K,MATCH('Lorri 401b'!N2597,'Retirement Calculator'!A:A,0),0),0)</f>
        <v>0</v>
      </c>
      <c r="K2597" s="444">
        <f t="shared" ca="1" si="133"/>
        <v>-110051510.84728271</v>
      </c>
      <c r="L2597" s="444">
        <f t="shared" ca="1" si="134"/>
        <v>-26522414114.195133</v>
      </c>
      <c r="M2597" s="460">
        <f t="shared" si="136"/>
        <v>0.05</v>
      </c>
      <c r="N2597" s="464">
        <f t="shared" si="137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35"/>
        <v>-26522414114.195133</v>
      </c>
      <c r="J2598" s="444">
        <f t="array" ref="J2598">IFERROR(INDEX('Retirement Calculator'!K:K,MATCH('Lorri 401b'!N2598,'Retirement Calculator'!A:A,0),0),0)</f>
        <v>0</v>
      </c>
      <c r="K2598" s="444">
        <f t="shared" ca="1" si="133"/>
        <v>-110510058.80914639</v>
      </c>
      <c r="L2598" s="444">
        <f t="shared" ca="1" si="134"/>
        <v>-26632924173.00428</v>
      </c>
      <c r="M2598" s="460">
        <f t="shared" si="136"/>
        <v>0.05</v>
      </c>
      <c r="N2598" s="464">
        <f t="shared" si="137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35"/>
        <v>-26632924173.00428</v>
      </c>
      <c r="J2599" s="444">
        <f t="array" ref="J2599">IFERROR(INDEX('Retirement Calculator'!K:K,MATCH('Lorri 401b'!N2599,'Retirement Calculator'!A:A,0),0),0)</f>
        <v>0</v>
      </c>
      <c r="K2599" s="444">
        <f t="shared" ca="1" si="133"/>
        <v>-110970517.38751782</v>
      </c>
      <c r="L2599" s="444">
        <f t="shared" ca="1" si="134"/>
        <v>-26743894690.391796</v>
      </c>
      <c r="M2599" s="460">
        <f t="shared" si="136"/>
        <v>0.05</v>
      </c>
      <c r="N2599" s="464">
        <f t="shared" si="137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35"/>
        <v>-26743894690.391796</v>
      </c>
      <c r="J2600" s="444">
        <f t="array" ref="J2600">IFERROR(INDEX('Retirement Calculator'!K:K,MATCH('Lorri 401b'!N2600,'Retirement Calculator'!A:A,0),0),0)</f>
        <v>0</v>
      </c>
      <c r="K2600" s="444">
        <f t="shared" ca="1" si="133"/>
        <v>-111432894.54329915</v>
      </c>
      <c r="L2600" s="444">
        <f t="shared" ca="1" si="134"/>
        <v>-26855327584.935097</v>
      </c>
      <c r="M2600" s="460">
        <f t="shared" si="136"/>
        <v>0.05</v>
      </c>
      <c r="N2600" s="464">
        <f t="shared" si="137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35"/>
        <v>-26855327584.935097</v>
      </c>
      <c r="J2601" s="444">
        <f t="array" ref="J2601">IFERROR(INDEX('Retirement Calculator'!K:K,MATCH('Lorri 401b'!N2601,'Retirement Calculator'!A:A,0),0),0)</f>
        <v>0</v>
      </c>
      <c r="K2601" s="444">
        <f t="shared" ca="1" si="133"/>
        <v>-111897198.27056289</v>
      </c>
      <c r="L2601" s="444">
        <f t="shared" ca="1" si="134"/>
        <v>-26967224783.205658</v>
      </c>
      <c r="M2601" s="460">
        <f t="shared" si="136"/>
        <v>0.05</v>
      </c>
      <c r="N2601" s="464">
        <f t="shared" si="137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35"/>
        <v>-26967224783.205658</v>
      </c>
      <c r="J2602" s="444">
        <f t="array" ref="J2602">IFERROR(INDEX('Retirement Calculator'!K:K,MATCH('Lorri 401b'!N2602,'Retirement Calculator'!A:A,0),0),0)</f>
        <v>0</v>
      </c>
      <c r="K2602" s="444">
        <f t="shared" ca="1" si="133"/>
        <v>-112363436.59669024</v>
      </c>
      <c r="L2602" s="444">
        <f t="shared" ca="1" si="134"/>
        <v>-27079588219.802349</v>
      </c>
      <c r="M2602" s="460">
        <f t="shared" si="136"/>
        <v>0.05</v>
      </c>
      <c r="N2602" s="464">
        <f t="shared" si="137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35"/>
        <v>-27079588219.802349</v>
      </c>
      <c r="J2603" s="444">
        <f t="array" ref="J2603">IFERROR(INDEX('Retirement Calculator'!K:K,MATCH('Lorri 401b'!N2603,'Retirement Calculator'!A:A,0),0),0)</f>
        <v>0</v>
      </c>
      <c r="K2603" s="444">
        <f t="shared" ca="1" si="133"/>
        <v>-112831617.58250979</v>
      </c>
      <c r="L2603" s="444">
        <f t="shared" ca="1" si="134"/>
        <v>-27192419837.384857</v>
      </c>
      <c r="M2603" s="460">
        <f t="shared" si="136"/>
        <v>0.05</v>
      </c>
      <c r="N2603" s="464">
        <f t="shared" si="137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35"/>
        <v>-27192419837.384857</v>
      </c>
      <c r="J2604" s="444">
        <f t="array" ref="J2604">IFERROR(INDEX('Retirement Calculator'!K:K,MATCH('Lorri 401b'!N2604,'Retirement Calculator'!A:A,0),0),0)</f>
        <v>0</v>
      </c>
      <c r="K2604" s="444">
        <f t="shared" ca="1" si="133"/>
        <v>-113301749.32243691</v>
      </c>
      <c r="L2604" s="444">
        <f t="shared" ca="1" si="134"/>
        <v>-27305721586.707294</v>
      </c>
      <c r="M2604" s="460">
        <f t="shared" si="136"/>
        <v>0.05</v>
      </c>
      <c r="N2604" s="464">
        <f t="shared" si="137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35"/>
        <v>-27305721586.707294</v>
      </c>
      <c r="J2605" s="444">
        <f t="array" ref="J2605">IFERROR(INDEX('Retirement Calculator'!K:K,MATCH('Lorri 401b'!N2605,'Retirement Calculator'!A:A,0),0),0)</f>
        <v>0</v>
      </c>
      <c r="K2605" s="444">
        <f t="shared" ca="1" si="133"/>
        <v>-113773839.94461371</v>
      </c>
      <c r="L2605" s="444">
        <f t="shared" ca="1" si="134"/>
        <v>-27419495426.651909</v>
      </c>
      <c r="M2605" s="460">
        <f t="shared" si="136"/>
        <v>0.05</v>
      </c>
      <c r="N2605" s="464">
        <f t="shared" si="137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35"/>
        <v>-27419495426.651909</v>
      </c>
      <c r="J2606" s="444">
        <f t="array" ref="J2606">IFERROR(INDEX('Retirement Calculator'!K:K,MATCH('Lorri 401b'!N2606,'Retirement Calculator'!A:A,0),0),0)</f>
        <v>0</v>
      </c>
      <c r="K2606" s="444">
        <f t="shared" ca="1" si="133"/>
        <v>-114247897.61104962</v>
      </c>
      <c r="L2606" s="444">
        <f t="shared" ca="1" si="134"/>
        <v>-27533743324.262959</v>
      </c>
      <c r="M2606" s="460">
        <f t="shared" si="136"/>
        <v>0.05</v>
      </c>
      <c r="N2606" s="464">
        <f t="shared" si="137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35"/>
        <v>-27533743324.262959</v>
      </c>
      <c r="J2607" s="444">
        <f t="array" ref="J2607">IFERROR(INDEX('Retirement Calculator'!K:K,MATCH('Lorri 401b'!N2607,'Retirement Calculator'!A:A,0),0),0)</f>
        <v>0</v>
      </c>
      <c r="K2607" s="444">
        <f t="shared" ca="1" si="133"/>
        <v>-114723930.5177623</v>
      </c>
      <c r="L2607" s="444">
        <f t="shared" ca="1" si="134"/>
        <v>-27648467254.78072</v>
      </c>
      <c r="M2607" s="460">
        <f t="shared" si="136"/>
        <v>0.05</v>
      </c>
      <c r="N2607" s="464">
        <f t="shared" si="137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35"/>
        <v>-27648467254.78072</v>
      </c>
      <c r="J2608" s="444">
        <f t="array" ref="J2608">IFERROR(INDEX('Retirement Calculator'!K:K,MATCH('Lorri 401b'!N2608,'Retirement Calculator'!A:A,0),0),0)</f>
        <v>0</v>
      </c>
      <c r="K2608" s="444">
        <f t="shared" ca="1" si="133"/>
        <v>-115201946.89491966</v>
      </c>
      <c r="L2608" s="444">
        <f t="shared" ca="1" si="134"/>
        <v>-27763669201.67564</v>
      </c>
      <c r="M2608" s="460">
        <f t="shared" si="136"/>
        <v>0.05</v>
      </c>
      <c r="N2608" s="464">
        <f t="shared" si="137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35"/>
        <v>-27763669201.67564</v>
      </c>
      <c r="J2609" s="444">
        <f t="array" ref="J2609">IFERROR(INDEX('Retirement Calculator'!K:K,MATCH('Lorri 401b'!N2609,'Retirement Calculator'!A:A,0),0),0)</f>
        <v>0</v>
      </c>
      <c r="K2609" s="444">
        <f t="shared" ca="1" si="133"/>
        <v>-115681955.00698183</v>
      </c>
      <c r="L2609" s="444">
        <f t="shared" ca="1" si="134"/>
        <v>-27879351156.682621</v>
      </c>
      <c r="M2609" s="460">
        <f t="shared" si="136"/>
        <v>0.05</v>
      </c>
      <c r="N2609" s="464">
        <f t="shared" si="137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35"/>
        <v>-27879351156.682621</v>
      </c>
      <c r="J2610" s="444">
        <f t="array" ref="J2610">IFERROR(INDEX('Retirement Calculator'!K:K,MATCH('Lorri 401b'!N2610,'Retirement Calculator'!A:A,0),0),0)</f>
        <v>0</v>
      </c>
      <c r="K2610" s="444">
        <f t="shared" ca="1" si="133"/>
        <v>-116163963.15284425</v>
      </c>
      <c r="L2610" s="444">
        <f t="shared" ca="1" si="134"/>
        <v>-27995515119.835464</v>
      </c>
      <c r="M2610" s="460">
        <f t="shared" si="136"/>
        <v>0.05</v>
      </c>
      <c r="N2610" s="464">
        <f t="shared" si="137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35"/>
        <v>-27995515119.835464</v>
      </c>
      <c r="J2611" s="444">
        <f t="array" ref="J2611">IFERROR(INDEX('Retirement Calculator'!K:K,MATCH('Lorri 401b'!N2611,'Retirement Calculator'!A:A,0),0),0)</f>
        <v>0</v>
      </c>
      <c r="K2611" s="444">
        <f t="shared" ca="1" si="133"/>
        <v>-116647979.66598108</v>
      </c>
      <c r="L2611" s="444">
        <f t="shared" ca="1" si="134"/>
        <v>-28112163099.501446</v>
      </c>
      <c r="M2611" s="460">
        <f t="shared" si="136"/>
        <v>0.05</v>
      </c>
      <c r="N2611" s="464">
        <f t="shared" si="137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35"/>
        <v>-28112163099.501446</v>
      </c>
      <c r="J2612" s="444">
        <f t="array" ref="J2612">IFERROR(INDEX('Retirement Calculator'!K:K,MATCH('Lorri 401b'!N2612,'Retirement Calculator'!A:A,0),0),0)</f>
        <v>0</v>
      </c>
      <c r="K2612" s="444">
        <f t="shared" ca="1" si="133"/>
        <v>-117134012.91458936</v>
      </c>
      <c r="L2612" s="444">
        <f t="shared" ca="1" si="134"/>
        <v>-28229297112.416035</v>
      </c>
      <c r="M2612" s="460">
        <f t="shared" si="136"/>
        <v>0.05</v>
      </c>
      <c r="N2612" s="464">
        <f t="shared" si="137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35"/>
        <v>-28229297112.416035</v>
      </c>
      <c r="J2613" s="444">
        <f t="array" ref="J2613">IFERROR(INDEX('Retirement Calculator'!K:K,MATCH('Lorri 401b'!N2613,'Retirement Calculator'!A:A,0),0),0)</f>
        <v>0</v>
      </c>
      <c r="K2613" s="444">
        <f t="shared" ca="1" si="133"/>
        <v>-117622071.30173348</v>
      </c>
      <c r="L2613" s="444">
        <f t="shared" ca="1" si="134"/>
        <v>-28346919183.71777</v>
      </c>
      <c r="M2613" s="460">
        <f t="shared" si="136"/>
        <v>0.05</v>
      </c>
      <c r="N2613" s="464">
        <f t="shared" si="137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35"/>
        <v>-28346919183.71777</v>
      </c>
      <c r="J2614" s="444">
        <f t="array" ref="J2614">IFERROR(INDEX('Retirement Calculator'!K:K,MATCH('Lorri 401b'!N2614,'Retirement Calculator'!A:A,0),0),0)</f>
        <v>0</v>
      </c>
      <c r="K2614" s="444">
        <f t="shared" ca="1" si="133"/>
        <v>-118112163.26549071</v>
      </c>
      <c r="L2614" s="444">
        <f t="shared" ca="1" si="134"/>
        <v>-28465031346.983261</v>
      </c>
      <c r="M2614" s="460">
        <f t="shared" si="136"/>
        <v>0.05</v>
      </c>
      <c r="N2614" s="464">
        <f t="shared" si="137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35"/>
        <v>-28465031346.983261</v>
      </c>
      <c r="J2615" s="444">
        <f t="array" ref="J2615">IFERROR(INDEX('Retirement Calculator'!K:K,MATCH('Lorri 401b'!N2615,'Retirement Calculator'!A:A,0),0),0)</f>
        <v>0</v>
      </c>
      <c r="K2615" s="444">
        <f t="shared" ca="1" si="133"/>
        <v>-118604297.27909692</v>
      </c>
      <c r="L2615" s="444">
        <f t="shared" ca="1" si="134"/>
        <v>-28583635644.26236</v>
      </c>
      <c r="M2615" s="460">
        <f t="shared" si="136"/>
        <v>0.05</v>
      </c>
      <c r="N2615" s="464">
        <f t="shared" si="137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35"/>
        <v>-28583635644.26236</v>
      </c>
      <c r="J2616" s="444">
        <f t="array" ref="J2616">IFERROR(INDEX('Retirement Calculator'!K:K,MATCH('Lorri 401b'!N2616,'Retirement Calculator'!A:A,0),0),0)</f>
        <v>0</v>
      </c>
      <c r="K2616" s="444">
        <f t="shared" ca="1" si="133"/>
        <v>-119098481.85109316</v>
      </c>
      <c r="L2616" s="444">
        <f t="shared" ca="1" si="134"/>
        <v>-28702734126.113453</v>
      </c>
      <c r="M2616" s="460">
        <f t="shared" si="136"/>
        <v>0.05</v>
      </c>
      <c r="N2616" s="464">
        <f t="shared" si="137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35"/>
        <v>-28702734126.113453</v>
      </c>
      <c r="J2617" s="444">
        <f t="array" ref="J2617">IFERROR(INDEX('Retirement Calculator'!K:K,MATCH('Lorri 401b'!N2617,'Retirement Calculator'!A:A,0),0),0)</f>
        <v>0</v>
      </c>
      <c r="K2617" s="444">
        <f t="shared" ca="1" si="133"/>
        <v>-119594725.52547272</v>
      </c>
      <c r="L2617" s="444">
        <f t="shared" ca="1" si="134"/>
        <v>-28822328851.638927</v>
      </c>
      <c r="M2617" s="460">
        <f t="shared" si="136"/>
        <v>0.05</v>
      </c>
      <c r="N2617" s="464">
        <f t="shared" si="137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35"/>
        <v>-28822328851.638927</v>
      </c>
      <c r="J2618" s="444">
        <f t="array" ref="J2618">IFERROR(INDEX('Retirement Calculator'!K:K,MATCH('Lorri 401b'!N2618,'Retirement Calculator'!A:A,0),0),0)</f>
        <v>0</v>
      </c>
      <c r="K2618" s="444">
        <f t="shared" ca="1" si="133"/>
        <v>-120093036.88182887</v>
      </c>
      <c r="L2618" s="444">
        <f t="shared" ca="1" si="134"/>
        <v>-28942421888.520756</v>
      </c>
      <c r="M2618" s="460">
        <f t="shared" si="136"/>
        <v>0.05</v>
      </c>
      <c r="N2618" s="464">
        <f t="shared" si="137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35"/>
        <v>-28942421888.520756</v>
      </c>
      <c r="J2619" s="444">
        <f t="array" ref="J2619">IFERROR(INDEX('Retirement Calculator'!K:K,MATCH('Lorri 401b'!N2619,'Retirement Calculator'!A:A,0),0),0)</f>
        <v>0</v>
      </c>
      <c r="K2619" s="444">
        <f t="shared" ca="1" si="133"/>
        <v>-120593424.53550315</v>
      </c>
      <c r="L2619" s="444">
        <f t="shared" ca="1" si="134"/>
        <v>-29063015313.056259</v>
      </c>
      <c r="M2619" s="460">
        <f t="shared" si="136"/>
        <v>0.05</v>
      </c>
      <c r="N2619" s="464">
        <f t="shared" si="137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35"/>
        <v>-29063015313.056259</v>
      </c>
      <c r="J2620" s="444">
        <f t="array" ref="J2620">IFERROR(INDEX('Retirement Calculator'!K:K,MATCH('Lorri 401b'!N2620,'Retirement Calculator'!A:A,0),0),0)</f>
        <v>0</v>
      </c>
      <c r="K2620" s="444">
        <f t="shared" ca="1" si="133"/>
        <v>-121095897.13773441</v>
      </c>
      <c r="L2620" s="444">
        <f t="shared" ca="1" si="134"/>
        <v>-29184111210.193993</v>
      </c>
      <c r="M2620" s="460">
        <f t="shared" si="136"/>
        <v>0.05</v>
      </c>
      <c r="N2620" s="464">
        <f t="shared" si="137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35"/>
        <v>-29184111210.193993</v>
      </c>
      <c r="J2621" s="444">
        <f t="array" ref="J2621">IFERROR(INDEX('Retirement Calculator'!K:K,MATCH('Lorri 401b'!N2621,'Retirement Calculator'!A:A,0),0),0)</f>
        <v>0</v>
      </c>
      <c r="K2621" s="444">
        <f t="shared" ca="1" si="133"/>
        <v>-121600463.3758083</v>
      </c>
      <c r="L2621" s="444">
        <f t="shared" ca="1" si="134"/>
        <v>-29305711673.569801</v>
      </c>
      <c r="M2621" s="460">
        <f t="shared" si="136"/>
        <v>0.05</v>
      </c>
      <c r="N2621" s="464">
        <f t="shared" si="137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35"/>
        <v>-29305711673.569801</v>
      </c>
      <c r="J2622" s="444">
        <f t="array" ref="J2622">IFERROR(INDEX('Retirement Calculator'!K:K,MATCH('Lorri 401b'!N2622,'Retirement Calculator'!A:A,0),0),0)</f>
        <v>0</v>
      </c>
      <c r="K2622" s="444">
        <f t="shared" ca="1" si="133"/>
        <v>-122107131.97320749</v>
      </c>
      <c r="L2622" s="444">
        <f t="shared" ca="1" si="134"/>
        <v>-29427818805.543011</v>
      </c>
      <c r="M2622" s="460">
        <f t="shared" si="136"/>
        <v>0.05</v>
      </c>
      <c r="N2622" s="464">
        <f t="shared" si="137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35"/>
        <v>-29427818805.543011</v>
      </c>
      <c r="J2623" s="444">
        <f t="array" ref="J2623">IFERROR(INDEX('Retirement Calculator'!K:K,MATCH('Lorri 401b'!N2623,'Retirement Calculator'!A:A,0),0),0)</f>
        <v>0</v>
      </c>
      <c r="K2623" s="444">
        <f t="shared" ca="1" si="133"/>
        <v>-122615911.68976255</v>
      </c>
      <c r="L2623" s="444">
        <f t="shared" ca="1" si="134"/>
        <v>-29550434717.232773</v>
      </c>
      <c r="M2623" s="460">
        <f t="shared" si="136"/>
        <v>0.05</v>
      </c>
      <c r="N2623" s="464">
        <f t="shared" si="137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35"/>
        <v>-29550434717.232773</v>
      </c>
      <c r="J2624" s="444">
        <f t="array" ref="J2624">IFERROR(INDEX('Retirement Calculator'!K:K,MATCH('Lorri 401b'!N2624,'Retirement Calculator'!A:A,0),0),0)</f>
        <v>0</v>
      </c>
      <c r="K2624" s="444">
        <f t="shared" ca="1" si="133"/>
        <v>-123126811.32180323</v>
      </c>
      <c r="L2624" s="444">
        <f t="shared" ca="1" si="134"/>
        <v>-29673561528.554577</v>
      </c>
      <c r="M2624" s="460">
        <f t="shared" si="136"/>
        <v>0.05</v>
      </c>
      <c r="N2624" s="464">
        <f t="shared" si="137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35"/>
        <v>-29673561528.554577</v>
      </c>
      <c r="J2625" s="444">
        <f t="array" ref="J2625">IFERROR(INDEX('Retirement Calculator'!K:K,MATCH('Lorri 401b'!N2625,'Retirement Calculator'!A:A,0),0),0)</f>
        <v>0</v>
      </c>
      <c r="K2625" s="444">
        <f t="shared" ca="1" si="133"/>
        <v>-123639839.70231074</v>
      </c>
      <c r="L2625" s="444">
        <f t="shared" ca="1" si="134"/>
        <v>-29797201368.256889</v>
      </c>
      <c r="M2625" s="460">
        <f t="shared" si="136"/>
        <v>0.05</v>
      </c>
      <c r="N2625" s="464">
        <f t="shared" si="137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35"/>
        <v>-29797201368.256889</v>
      </c>
      <c r="J2626" s="444">
        <f t="array" ref="J2626">IFERROR(INDEX('Retirement Calculator'!K:K,MATCH('Lorri 401b'!N2626,'Retirement Calculator'!A:A,0),0),0)</f>
        <v>0</v>
      </c>
      <c r="K2626" s="444">
        <f t="shared" ca="1" si="133"/>
        <v>-124155005.70107037</v>
      </c>
      <c r="L2626" s="444">
        <f t="shared" ca="1" si="134"/>
        <v>-29921356373.957958</v>
      </c>
      <c r="M2626" s="460">
        <f t="shared" si="136"/>
        <v>0.05</v>
      </c>
      <c r="N2626" s="464">
        <f t="shared" si="137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35"/>
        <v>-29921356373.957958</v>
      </c>
      <c r="J2627" s="444">
        <f t="array" ref="J2627">IFERROR(INDEX('Retirement Calculator'!K:K,MATCH('Lorri 401b'!N2627,'Retirement Calculator'!A:A,0),0),0)</f>
        <v>0</v>
      </c>
      <c r="K2627" s="444">
        <f t="shared" ca="1" si="133"/>
        <v>-124672318.22482485</v>
      </c>
      <c r="L2627" s="444">
        <f t="shared" ca="1" si="134"/>
        <v>-30046028692.182781</v>
      </c>
      <c r="M2627" s="460">
        <f t="shared" si="136"/>
        <v>0.05</v>
      </c>
      <c r="N2627" s="464">
        <f t="shared" si="137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35"/>
        <v>-30046028692.182781</v>
      </c>
      <c r="J2628" s="444">
        <f t="array" ref="J2628">IFERROR(INDEX('Retirement Calculator'!K:K,MATCH('Lorri 401b'!N2628,'Retirement Calculator'!A:A,0),0),0)</f>
        <v>0</v>
      </c>
      <c r="K2628" s="444">
        <f t="shared" ca="1" si="133"/>
        <v>-125191786.21742825</v>
      </c>
      <c r="L2628" s="444">
        <f t="shared" ca="1" si="134"/>
        <v>-30171220478.400211</v>
      </c>
      <c r="M2628" s="460">
        <f t="shared" si="136"/>
        <v>0.05</v>
      </c>
      <c r="N2628" s="464">
        <f t="shared" si="137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35"/>
        <v>-30171220478.400211</v>
      </c>
      <c r="J2629" s="444">
        <f t="array" ref="J2629">IFERROR(INDEX('Retirement Calculator'!K:K,MATCH('Lorri 401b'!N2629,'Retirement Calculator'!A:A,0),0),0)</f>
        <v>0</v>
      </c>
      <c r="K2629" s="444">
        <f t="shared" ca="1" si="133"/>
        <v>-125713418.66000086</v>
      </c>
      <c r="L2629" s="444">
        <f t="shared" ca="1" si="134"/>
        <v>-30296933897.060211</v>
      </c>
      <c r="M2629" s="460">
        <f t="shared" si="136"/>
        <v>0.05</v>
      </c>
      <c r="N2629" s="464">
        <f t="shared" si="137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35"/>
        <v>-30296933897.060211</v>
      </c>
      <c r="J2630" s="444">
        <f t="array" ref="J2630">IFERROR(INDEX('Retirement Calculator'!K:K,MATCH('Lorri 401b'!N2630,'Retirement Calculator'!A:A,0),0),0)</f>
        <v>0</v>
      </c>
      <c r="K2630" s="444">
        <f t="shared" ca="1" si="133"/>
        <v>-126237224.57108422</v>
      </c>
      <c r="L2630" s="444">
        <f t="shared" ca="1" si="134"/>
        <v>-30423171121.631294</v>
      </c>
      <c r="M2630" s="460">
        <f t="shared" si="136"/>
        <v>0.05</v>
      </c>
      <c r="N2630" s="464">
        <f t="shared" si="137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35"/>
        <v>-30423171121.631294</v>
      </c>
      <c r="J2631" s="444">
        <f t="array" ref="J2631">IFERROR(INDEX('Retirement Calculator'!K:K,MATCH('Lorri 401b'!N2631,'Retirement Calculator'!A:A,0),0),0)</f>
        <v>0</v>
      </c>
      <c r="K2631" s="444">
        <f t="shared" ca="1" si="133"/>
        <v>-126763213.00679708</v>
      </c>
      <c r="L2631" s="444">
        <f t="shared" ca="1" si="134"/>
        <v>-30549934334.638092</v>
      </c>
      <c r="M2631" s="460">
        <f t="shared" si="136"/>
        <v>0.05</v>
      </c>
      <c r="N2631" s="464">
        <f t="shared" si="137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35"/>
        <v>-30549934334.638092</v>
      </c>
      <c r="J2632" s="444">
        <f t="array" ref="J2632">IFERROR(INDEX('Retirement Calculator'!K:K,MATCH('Lorri 401b'!N2632,'Retirement Calculator'!A:A,0),0),0)</f>
        <v>0</v>
      </c>
      <c r="K2632" s="444">
        <f t="shared" ca="1" si="133"/>
        <v>-127291393.06099205</v>
      </c>
      <c r="L2632" s="444">
        <f t="shared" ca="1" si="134"/>
        <v>-30677225727.699085</v>
      </c>
      <c r="M2632" s="460">
        <f t="shared" si="136"/>
        <v>0.05</v>
      </c>
      <c r="N2632" s="464">
        <f t="shared" si="137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35"/>
        <v>-30677225727.699085</v>
      </c>
      <c r="J2633" s="444">
        <f t="array" ref="J2633">IFERROR(INDEX('Retirement Calculator'!K:K,MATCH('Lorri 401b'!N2633,'Retirement Calculator'!A:A,0),0),0)</f>
        <v>0</v>
      </c>
      <c r="K2633" s="444">
        <f t="shared" ca="1" si="133"/>
        <v>-127821773.86541285</v>
      </c>
      <c r="L2633" s="444">
        <f t="shared" ca="1" si="134"/>
        <v>-30805047501.564499</v>
      </c>
      <c r="M2633" s="460">
        <f t="shared" si="136"/>
        <v>0.05</v>
      </c>
      <c r="N2633" s="464">
        <f t="shared" si="137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35"/>
        <v>-30805047501.564499</v>
      </c>
      <c r="J2634" s="444">
        <f t="array" ref="J2634">IFERROR(INDEX('Retirement Calculator'!K:K,MATCH('Lorri 401b'!N2634,'Retirement Calculator'!A:A,0),0),0)</f>
        <v>0</v>
      </c>
      <c r="K2634" s="444">
        <f t="shared" ca="1" si="133"/>
        <v>-128354364.58985206</v>
      </c>
      <c r="L2634" s="444">
        <f t="shared" ca="1" si="134"/>
        <v>-30933401866.15435</v>
      </c>
      <c r="M2634" s="460">
        <f t="shared" si="136"/>
        <v>0.05</v>
      </c>
      <c r="N2634" s="464">
        <f t="shared" si="137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35"/>
        <v>-30933401866.15435</v>
      </c>
      <c r="J2635" s="444">
        <f t="array" ref="J2635">IFERROR(INDEX('Retirement Calculator'!K:K,MATCH('Lorri 401b'!N2635,'Retirement Calculator'!A:A,0),0),0)</f>
        <v>0</v>
      </c>
      <c r="K2635" s="444">
        <f t="shared" ca="1" si="133"/>
        <v>-128889174.44230978</v>
      </c>
      <c r="L2635" s="444">
        <f t="shared" ca="1" si="134"/>
        <v>-31062291040.596661</v>
      </c>
      <c r="M2635" s="460">
        <f t="shared" si="136"/>
        <v>0.05</v>
      </c>
      <c r="N2635" s="464">
        <f t="shared" si="137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35"/>
        <v>-31062291040.596661</v>
      </c>
      <c r="J2636" s="444">
        <f t="array" ref="J2636">IFERROR(INDEX('Retirement Calculator'!K:K,MATCH('Lorri 401b'!N2636,'Retirement Calculator'!A:A,0),0),0)</f>
        <v>0</v>
      </c>
      <c r="K2636" s="444">
        <f t="shared" ca="1" si="133"/>
        <v>-129426212.66915275</v>
      </c>
      <c r="L2636" s="444">
        <f t="shared" ca="1" si="134"/>
        <v>-31191717253.265812</v>
      </c>
      <c r="M2636" s="460">
        <f t="shared" si="136"/>
        <v>0.05</v>
      </c>
      <c r="N2636" s="464">
        <f t="shared" si="137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35"/>
        <v>-31191717253.265812</v>
      </c>
      <c r="J2637" s="444">
        <f t="array" ref="J2637">IFERROR(INDEX('Retirement Calculator'!K:K,MATCH('Lorri 401b'!N2637,'Retirement Calculator'!A:A,0),0),0)</f>
        <v>0</v>
      </c>
      <c r="K2637" s="444">
        <f t="shared" ca="1" si="133"/>
        <v>-129965488.55527422</v>
      </c>
      <c r="L2637" s="444">
        <f t="shared" ca="1" si="134"/>
        <v>-31321682741.821087</v>
      </c>
      <c r="M2637" s="460">
        <f t="shared" si="136"/>
        <v>0.05</v>
      </c>
      <c r="N2637" s="464">
        <f t="shared" si="137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35"/>
        <v>-31321682741.821087</v>
      </c>
      <c r="J2638" s="444">
        <f t="array" ref="J2638">IFERROR(INDEX('Retirement Calculator'!K:K,MATCH('Lorri 401b'!N2638,'Retirement Calculator'!A:A,0),0),0)</f>
        <v>0</v>
      </c>
      <c r="K2638" s="444">
        <f t="shared" ca="1" si="133"/>
        <v>-130507011.42425452</v>
      </c>
      <c r="L2638" s="444">
        <f t="shared" ca="1" si="134"/>
        <v>-31452189753.245342</v>
      </c>
      <c r="M2638" s="460">
        <f t="shared" si="136"/>
        <v>0.05</v>
      </c>
      <c r="N2638" s="464">
        <f t="shared" si="137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35"/>
        <v>-31452189753.245342</v>
      </c>
      <c r="J2639" s="444">
        <f t="array" ref="J2639">IFERROR(INDEX('Retirement Calculator'!K:K,MATCH('Lorri 401b'!N2639,'Retirement Calculator'!A:A,0),0),0)</f>
        <v>0</v>
      </c>
      <c r="K2639" s="444">
        <f t="shared" ca="1" si="133"/>
        <v>-131050790.63852227</v>
      </c>
      <c r="L2639" s="444">
        <f t="shared" ca="1" si="134"/>
        <v>-31583240543.883865</v>
      </c>
      <c r="M2639" s="460">
        <f t="shared" si="136"/>
        <v>0.05</v>
      </c>
      <c r="N2639" s="464">
        <f t="shared" si="137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35"/>
        <v>-31583240543.883865</v>
      </c>
      <c r="J2640" s="444">
        <f t="array" ref="J2640">IFERROR(INDEX('Retirement Calculator'!K:K,MATCH('Lorri 401b'!N2640,'Retirement Calculator'!A:A,0),0),0)</f>
        <v>0</v>
      </c>
      <c r="K2640" s="444">
        <f t="shared" ca="1" si="133"/>
        <v>-131596835.59951611</v>
      </c>
      <c r="L2640" s="444">
        <f t="shared" ca="1" si="134"/>
        <v>-31714837379.483383</v>
      </c>
      <c r="M2640" s="460">
        <f t="shared" si="136"/>
        <v>0.05</v>
      </c>
      <c r="N2640" s="464">
        <f t="shared" si="137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35"/>
        <v>-31714837379.483383</v>
      </c>
      <c r="J2641" s="444">
        <f t="array" ref="J2641">IFERROR(INDEX('Retirement Calculator'!K:K,MATCH('Lorri 401b'!N2641,'Retirement Calculator'!A:A,0),0),0)</f>
        <v>0</v>
      </c>
      <c r="K2641" s="444">
        <f t="shared" ca="1" si="133"/>
        <v>-132145155.74784742</v>
      </c>
      <c r="L2641" s="444">
        <f t="shared" ca="1" si="134"/>
        <v>-31846982535.231232</v>
      </c>
      <c r="M2641" s="460">
        <f t="shared" si="136"/>
        <v>0.05</v>
      </c>
      <c r="N2641" s="464">
        <f t="shared" si="137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35"/>
        <v>-31846982535.231232</v>
      </c>
      <c r="J2642" s="444">
        <f t="array" ref="J2642">IFERROR(INDEX('Retirement Calculator'!K:K,MATCH('Lorri 401b'!N2642,'Retirement Calculator'!A:A,0),0),0)</f>
        <v>0</v>
      </c>
      <c r="K2642" s="444">
        <f t="shared" ca="1" si="133"/>
        <v>-132695760.56346346</v>
      </c>
      <c r="L2642" s="444">
        <f t="shared" ca="1" si="134"/>
        <v>-31979678295.794697</v>
      </c>
      <c r="M2642" s="460">
        <f t="shared" si="136"/>
        <v>0.05</v>
      </c>
      <c r="N2642" s="464">
        <f t="shared" si="137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35"/>
        <v>-31979678295.794697</v>
      </c>
      <c r="J2643" s="444">
        <f t="array" ref="J2643">IFERROR(INDEX('Retirement Calculator'!K:K,MATCH('Lorri 401b'!N2643,'Retirement Calculator'!A:A,0),0),0)</f>
        <v>0</v>
      </c>
      <c r="K2643" s="444">
        <f t="shared" ca="1" si="133"/>
        <v>-133248659.56581123</v>
      </c>
      <c r="L2643" s="444">
        <f t="shared" ca="1" si="134"/>
        <v>-32112926955.360508</v>
      </c>
      <c r="M2643" s="460">
        <f t="shared" si="136"/>
        <v>0.05</v>
      </c>
      <c r="N2643" s="464">
        <f t="shared" si="137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35"/>
        <v>-32112926955.360508</v>
      </c>
      <c r="J2644" s="444">
        <f t="array" ref="J2644">IFERROR(INDEX('Retirement Calculator'!K:K,MATCH('Lorri 401b'!N2644,'Retirement Calculator'!A:A,0),0),0)</f>
        <v>0</v>
      </c>
      <c r="K2644" s="444">
        <f t="shared" ca="1" si="133"/>
        <v>-133803862.31400213</v>
      </c>
      <c r="L2644" s="444">
        <f t="shared" ca="1" si="134"/>
        <v>-32246730817.674511</v>
      </c>
      <c r="M2644" s="460">
        <f t="shared" si="136"/>
        <v>0.05</v>
      </c>
      <c r="N2644" s="464">
        <f t="shared" si="137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35"/>
        <v>-32246730817.674511</v>
      </c>
      <c r="J2645" s="444">
        <f t="array" ref="J2645">IFERROR(INDEX('Retirement Calculator'!K:K,MATCH('Lorri 401b'!N2645,'Retirement Calculator'!A:A,0),0),0)</f>
        <v>0</v>
      </c>
      <c r="K2645" s="444">
        <f t="shared" ca="1" si="133"/>
        <v>-134361378.40697712</v>
      </c>
      <c r="L2645" s="444">
        <f t="shared" ca="1" si="134"/>
        <v>-32381092196.08149</v>
      </c>
      <c r="M2645" s="460">
        <f t="shared" si="136"/>
        <v>0.05</v>
      </c>
      <c r="N2645" s="464">
        <f t="shared" si="137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35"/>
        <v>-32381092196.08149</v>
      </c>
      <c r="J2646" s="444">
        <f t="array" ref="J2646">IFERROR(INDEX('Retirement Calculator'!K:K,MATCH('Lorri 401b'!N2646,'Retirement Calculator'!A:A,0),0),0)</f>
        <v>0</v>
      </c>
      <c r="K2646" s="444">
        <f t="shared" ca="1" si="133"/>
        <v>-134921217.48367286</v>
      </c>
      <c r="L2646" s="444">
        <f t="shared" ca="1" si="134"/>
        <v>-32516013413.565163</v>
      </c>
      <c r="M2646" s="460">
        <f t="shared" si="136"/>
        <v>0.05</v>
      </c>
      <c r="N2646" s="464">
        <f t="shared" si="137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35"/>
        <v>-32516013413.565163</v>
      </c>
      <c r="J2647" s="444">
        <f t="array" ref="J2647">IFERROR(INDEX('Retirement Calculator'!K:K,MATCH('Lorri 401b'!N2647,'Retirement Calculator'!A:A,0),0),0)</f>
        <v>0</v>
      </c>
      <c r="K2647" s="444">
        <f t="shared" ca="1" si="133"/>
        <v>-135483389.22318819</v>
      </c>
      <c r="L2647" s="444">
        <f t="shared" ca="1" si="134"/>
        <v>-32651496802.788349</v>
      </c>
      <c r="M2647" s="460">
        <f t="shared" si="136"/>
        <v>0.05</v>
      </c>
      <c r="N2647" s="464">
        <f t="shared" si="137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35"/>
        <v>-32651496802.788349</v>
      </c>
      <c r="J2648" s="444">
        <f t="array" ref="J2648">IFERROR(INDEX('Retirement Calculator'!K:K,MATCH('Lorri 401b'!N2648,'Retirement Calculator'!A:A,0),0),0)</f>
        <v>0</v>
      </c>
      <c r="K2648" s="444">
        <f t="shared" ca="1" si="133"/>
        <v>-136047903.34495145</v>
      </c>
      <c r="L2648" s="444">
        <f t="shared" ca="1" si="134"/>
        <v>-32787544706.133301</v>
      </c>
      <c r="M2648" s="460">
        <f t="shared" si="136"/>
        <v>0.05</v>
      </c>
      <c r="N2648" s="464">
        <f t="shared" si="137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35"/>
        <v>-32787544706.133301</v>
      </c>
      <c r="J2649" s="444">
        <f t="array" ref="J2649">IFERROR(INDEX('Retirement Calculator'!K:K,MATCH('Lorri 401b'!N2649,'Retirement Calculator'!A:A,0),0),0)</f>
        <v>0</v>
      </c>
      <c r="K2649" s="444">
        <f t="shared" ca="1" si="133"/>
        <v>-136614769.60888875</v>
      </c>
      <c r="L2649" s="444">
        <f t="shared" ca="1" si="134"/>
        <v>-32924159475.742191</v>
      </c>
      <c r="M2649" s="460">
        <f t="shared" si="136"/>
        <v>0.05</v>
      </c>
      <c r="N2649" s="464">
        <f t="shared" si="137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35"/>
        <v>-32924159475.742191</v>
      </c>
      <c r="J2650" s="444">
        <f t="array" ref="J2650">IFERROR(INDEX('Retirement Calculator'!K:K,MATCH('Lorri 401b'!N2650,'Retirement Calculator'!A:A,0),0),0)</f>
        <v>0</v>
      </c>
      <c r="K2650" s="444">
        <f t="shared" ca="1" si="133"/>
        <v>-137183997.81559244</v>
      </c>
      <c r="L2650" s="444">
        <f t="shared" ca="1" si="134"/>
        <v>-33061343473.557785</v>
      </c>
      <c r="M2650" s="460">
        <f t="shared" si="136"/>
        <v>0.05</v>
      </c>
      <c r="N2650" s="464">
        <f t="shared" si="137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35"/>
        <v>-33061343473.557785</v>
      </c>
      <c r="J2651" s="444">
        <f t="array" ref="J2651">IFERROR(INDEX('Retirement Calculator'!K:K,MATCH('Lorri 401b'!N2651,'Retirement Calculator'!A:A,0),0),0)</f>
        <v>0</v>
      </c>
      <c r="K2651" s="444">
        <f t="shared" ca="1" si="133"/>
        <v>-137755597.80649075</v>
      </c>
      <c r="L2651" s="444">
        <f t="shared" ca="1" si="134"/>
        <v>-33199099071.364277</v>
      </c>
      <c r="M2651" s="460">
        <f t="shared" si="136"/>
        <v>0.05</v>
      </c>
      <c r="N2651" s="464">
        <f t="shared" si="137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35"/>
        <v>-33199099071.364277</v>
      </c>
      <c r="J2652" s="444">
        <f t="array" ref="J2652">IFERROR(INDEX('Retirement Calculator'!K:K,MATCH('Lorri 401b'!N2652,'Retirement Calculator'!A:A,0),0),0)</f>
        <v>0</v>
      </c>
      <c r="K2652" s="444">
        <f t="shared" ca="1" si="133"/>
        <v>-138329579.46401781</v>
      </c>
      <c r="L2652" s="444">
        <f t="shared" ca="1" si="134"/>
        <v>-33337428650.828293</v>
      </c>
      <c r="M2652" s="460">
        <f t="shared" si="136"/>
        <v>0.05</v>
      </c>
      <c r="N2652" s="464">
        <f t="shared" si="137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35"/>
        <v>-33337428650.828293</v>
      </c>
      <c r="J2653" s="444">
        <f t="array" ref="J2653">IFERROR(INDEX('Retirement Calculator'!K:K,MATCH('Lorri 401b'!N2653,'Retirement Calculator'!A:A,0),0),0)</f>
        <v>0</v>
      </c>
      <c r="K2653" s="444">
        <f t="shared" ca="1" si="133"/>
        <v>-138905952.71178454</v>
      </c>
      <c r="L2653" s="444">
        <f t="shared" ca="1" si="134"/>
        <v>-33476334603.540077</v>
      </c>
      <c r="M2653" s="460">
        <f t="shared" si="136"/>
        <v>0.05</v>
      </c>
      <c r="N2653" s="464">
        <f t="shared" si="137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35"/>
        <v>-33476334603.540077</v>
      </c>
      <c r="J2654" s="444">
        <f t="array" ref="J2654">IFERROR(INDEX('Retirement Calculator'!K:K,MATCH('Lorri 401b'!N2654,'Retirement Calculator'!A:A,0),0),0)</f>
        <v>0</v>
      </c>
      <c r="K2654" s="444">
        <f t="shared" ca="1" si="133"/>
        <v>-139484727.51475033</v>
      </c>
      <c r="L2654" s="444">
        <f t="shared" ca="1" si="134"/>
        <v>-33615819331.054829</v>
      </c>
      <c r="M2654" s="460">
        <f t="shared" si="136"/>
        <v>0.05</v>
      </c>
      <c r="N2654" s="464">
        <f t="shared" si="137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35"/>
        <v>-33615819331.054829</v>
      </c>
      <c r="J2655" s="444">
        <f t="array" ref="J2655">IFERROR(INDEX('Retirement Calculator'!K:K,MATCH('Lorri 401b'!N2655,'Retirement Calculator'!A:A,0),0),0)</f>
        <v>0</v>
      </c>
      <c r="K2655" s="444">
        <f t="shared" ca="1" si="133"/>
        <v>-140065913.87939513</v>
      </c>
      <c r="L2655" s="444">
        <f t="shared" ca="1" si="134"/>
        <v>-33755885244.934223</v>
      </c>
      <c r="M2655" s="460">
        <f t="shared" si="136"/>
        <v>0.05</v>
      </c>
      <c r="N2655" s="464">
        <f t="shared" si="137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35"/>
        <v>-33755885244.934223</v>
      </c>
      <c r="J2656" s="444">
        <f t="array" ref="J2656">IFERROR(INDEX('Retirement Calculator'!K:K,MATCH('Lorri 401b'!N2656,'Retirement Calculator'!A:A,0),0),0)</f>
        <v>0</v>
      </c>
      <c r="K2656" s="444">
        <f t="shared" ca="1" si="133"/>
        <v>-140649521.85389256</v>
      </c>
      <c r="L2656" s="444">
        <f t="shared" ca="1" si="134"/>
        <v>-33896534766.788116</v>
      </c>
      <c r="M2656" s="460">
        <f t="shared" si="136"/>
        <v>0.05</v>
      </c>
      <c r="N2656" s="464">
        <f t="shared" si="137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35"/>
        <v>-33896534766.788116</v>
      </c>
      <c r="J2657" s="444">
        <f t="array" ref="J2657">IFERROR(INDEX('Retirement Calculator'!K:K,MATCH('Lorri 401b'!N2657,'Retirement Calculator'!A:A,0),0),0)</f>
        <v>0</v>
      </c>
      <c r="K2657" s="444">
        <f t="shared" ca="1" si="133"/>
        <v>-141235561.5282838</v>
      </c>
      <c r="L2657" s="444">
        <f t="shared" ca="1" si="134"/>
        <v>-34037770328.316399</v>
      </c>
      <c r="M2657" s="460">
        <f t="shared" si="136"/>
        <v>0.05</v>
      </c>
      <c r="N2657" s="464">
        <f t="shared" si="137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35"/>
        <v>-34037770328.316399</v>
      </c>
      <c r="J2658" s="444">
        <f t="array" ref="J2658">IFERROR(INDEX('Retirement Calculator'!K:K,MATCH('Lorri 401b'!N2658,'Retirement Calculator'!A:A,0),0),0)</f>
        <v>0</v>
      </c>
      <c r="K2658" s="444">
        <f t="shared" ca="1" si="133"/>
        <v>-141824043.03465167</v>
      </c>
      <c r="L2658" s="444">
        <f t="shared" ca="1" si="134"/>
        <v>-34179594371.351051</v>
      </c>
      <c r="M2658" s="460">
        <f t="shared" si="136"/>
        <v>0.05</v>
      </c>
      <c r="N2658" s="464">
        <f t="shared" si="137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35"/>
        <v>-34179594371.351051</v>
      </c>
      <c r="J2659" s="444">
        <f t="array" ref="J2659">IFERROR(INDEX('Retirement Calculator'!K:K,MATCH('Lorri 401b'!N2659,'Retirement Calculator'!A:A,0),0),0)</f>
        <v>0</v>
      </c>
      <c r="K2659" s="444">
        <f t="shared" ca="1" si="133"/>
        <v>-142414976.54729605</v>
      </c>
      <c r="L2659" s="444">
        <f t="shared" ca="1" si="134"/>
        <v>-34322009347.898346</v>
      </c>
      <c r="M2659" s="460">
        <f t="shared" si="136"/>
        <v>0.05</v>
      </c>
      <c r="N2659" s="464">
        <f t="shared" si="137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35"/>
        <v>-34322009347.898346</v>
      </c>
      <c r="J2660" s="444">
        <f t="array" ref="J2660">IFERROR(INDEX('Retirement Calculator'!K:K,MATCH('Lorri 401b'!N2660,'Retirement Calculator'!A:A,0),0),0)</f>
        <v>0</v>
      </c>
      <c r="K2660" s="444">
        <f t="shared" ca="1" si="133"/>
        <v>-143008372.28290978</v>
      </c>
      <c r="L2660" s="444">
        <f t="shared" ca="1" si="134"/>
        <v>-34465017720.181259</v>
      </c>
      <c r="M2660" s="460">
        <f t="shared" si="136"/>
        <v>0.05</v>
      </c>
      <c r="N2660" s="464">
        <f t="shared" si="137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35"/>
        <v>-34465017720.181259</v>
      </c>
      <c r="J2661" s="444">
        <f t="array" ref="J2661">IFERROR(INDEX('Retirement Calculator'!K:K,MATCH('Lorri 401b'!N2661,'Retirement Calculator'!A:A,0),0),0)</f>
        <v>0</v>
      </c>
      <c r="K2661" s="444">
        <f t="shared" ca="1" si="133"/>
        <v>-143604240.50075525</v>
      </c>
      <c r="L2661" s="444">
        <f t="shared" ca="1" si="134"/>
        <v>-34608621960.682014</v>
      </c>
      <c r="M2661" s="460">
        <f t="shared" si="136"/>
        <v>0.05</v>
      </c>
      <c r="N2661" s="464">
        <f t="shared" si="137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35"/>
        <v>-34608621960.682014</v>
      </c>
      <c r="J2662" s="444">
        <f t="array" ref="J2662">IFERROR(INDEX('Retirement Calculator'!K:K,MATCH('Lorri 401b'!N2662,'Retirement Calculator'!A:A,0),0),0)</f>
        <v>0</v>
      </c>
      <c r="K2662" s="444">
        <f t="shared" ca="1" si="133"/>
        <v>-144202591.50284171</v>
      </c>
      <c r="L2662" s="444">
        <f t="shared" ca="1" si="134"/>
        <v>-34752824552.184853</v>
      </c>
      <c r="M2662" s="460">
        <f t="shared" si="136"/>
        <v>0.05</v>
      </c>
      <c r="N2662" s="464">
        <f t="shared" si="137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35"/>
        <v>-34752824552.184853</v>
      </c>
      <c r="J2663" s="444">
        <f t="array" ref="J2663">IFERROR(INDEX('Retirement Calculator'!K:K,MATCH('Lorri 401b'!N2663,'Retirement Calculator'!A:A,0),0),0)</f>
        <v>0</v>
      </c>
      <c r="K2663" s="444">
        <f t="shared" ca="1" si="133"/>
        <v>-144803435.63410354</v>
      </c>
      <c r="L2663" s="444">
        <f t="shared" ca="1" si="134"/>
        <v>-34897627987.818954</v>
      </c>
      <c r="M2663" s="460">
        <f t="shared" si="136"/>
        <v>0.05</v>
      </c>
      <c r="N2663" s="464">
        <f t="shared" si="137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35"/>
        <v>-34897627987.818954</v>
      </c>
      <c r="J2664" s="444">
        <f t="array" ref="J2664">IFERROR(INDEX('Retirement Calculator'!K:K,MATCH('Lorri 401b'!N2664,'Retirement Calculator'!A:A,0),0),0)</f>
        <v>0</v>
      </c>
      <c r="K2664" s="444">
        <f t="shared" ca="1" si="133"/>
        <v>-145406783.28257897</v>
      </c>
      <c r="L2664" s="444">
        <f t="shared" ca="1" si="134"/>
        <v>-35043034771.101532</v>
      </c>
      <c r="M2664" s="460">
        <f t="shared" si="136"/>
        <v>0.05</v>
      </c>
      <c r="N2664" s="464">
        <f t="shared" si="137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35"/>
        <v>-35043034771.101532</v>
      </c>
      <c r="J2665" s="444">
        <f t="array" ref="J2665">IFERROR(INDEX('Retirement Calculator'!K:K,MATCH('Lorri 401b'!N2665,'Retirement Calculator'!A:A,0),0),0)</f>
        <v>0</v>
      </c>
      <c r="K2665" s="444">
        <f t="shared" ca="1" si="133"/>
        <v>-146012644.87958971</v>
      </c>
      <c r="L2665" s="444">
        <f t="shared" ca="1" si="134"/>
        <v>-35189047415.981125</v>
      </c>
      <c r="M2665" s="460">
        <f t="shared" si="136"/>
        <v>0.05</v>
      </c>
      <c r="N2665" s="464">
        <f t="shared" si="137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35"/>
        <v>-35189047415.981125</v>
      </c>
      <c r="J2666" s="444">
        <f t="array" ref="J2666">IFERROR(INDEX('Retirement Calculator'!K:K,MATCH('Lorri 401b'!N2666,'Retirement Calculator'!A:A,0),0),0)</f>
        <v>0</v>
      </c>
      <c r="K2666" s="444">
        <f t="shared" ca="1" si="133"/>
        <v>-146621030.89992136</v>
      </c>
      <c r="L2666" s="444">
        <f t="shared" ca="1" si="134"/>
        <v>-35335668446.881042</v>
      </c>
      <c r="M2666" s="460">
        <f t="shared" si="136"/>
        <v>0.05</v>
      </c>
      <c r="N2666" s="464">
        <f t="shared" si="137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35"/>
        <v>-35335668446.881042</v>
      </c>
      <c r="J2667" s="444">
        <f t="array" ref="J2667">IFERROR(INDEX('Retirement Calculator'!K:K,MATCH('Lorri 401b'!N2667,'Retirement Calculator'!A:A,0),0),0)</f>
        <v>0</v>
      </c>
      <c r="K2667" s="444">
        <f t="shared" ca="1" si="133"/>
        <v>-147231951.86200434</v>
      </c>
      <c r="L2667" s="444">
        <f t="shared" ca="1" si="134"/>
        <v>-35482900398.74305</v>
      </c>
      <c r="M2667" s="460">
        <f t="shared" si="136"/>
        <v>0.05</v>
      </c>
      <c r="N2667" s="464">
        <f t="shared" si="137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35"/>
        <v>-35482900398.74305</v>
      </c>
      <c r="J2668" s="444">
        <f t="array" ref="J2668">IFERROR(INDEX('Retirement Calculator'!K:K,MATCH('Lorri 401b'!N2668,'Retirement Calculator'!A:A,0),0),0)</f>
        <v>0</v>
      </c>
      <c r="K2668" s="444">
        <f t="shared" ca="1" si="133"/>
        <v>-147845418.32809603</v>
      </c>
      <c r="L2668" s="444">
        <f t="shared" ca="1" si="134"/>
        <v>-35630745817.071144</v>
      </c>
      <c r="M2668" s="460">
        <f t="shared" si="136"/>
        <v>0.05</v>
      </c>
      <c r="N2668" s="464">
        <f t="shared" si="137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35"/>
        <v>-35630745817.071144</v>
      </c>
      <c r="J2669" s="444">
        <f t="array" ref="J2669">IFERROR(INDEX('Retirement Calculator'!K:K,MATCH('Lorri 401b'!N2669,'Retirement Calculator'!A:A,0),0),0)</f>
        <v>0</v>
      </c>
      <c r="K2669" s="444">
        <f t="shared" ca="1" si="133"/>
        <v>-148461440.90446311</v>
      </c>
      <c r="L2669" s="444">
        <f t="shared" ca="1" si="134"/>
        <v>-35779207257.975609</v>
      </c>
      <c r="M2669" s="460">
        <f t="shared" si="136"/>
        <v>0.05</v>
      </c>
      <c r="N2669" s="464">
        <f t="shared" si="137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35"/>
        <v>-35779207257.975609</v>
      </c>
      <c r="J2670" s="444">
        <f t="array" ref="J2670">IFERROR(INDEX('Retirement Calculator'!K:K,MATCH('Lorri 401b'!N2670,'Retirement Calculator'!A:A,0),0),0)</f>
        <v>0</v>
      </c>
      <c r="K2670" s="444">
        <f t="shared" ca="1" si="133"/>
        <v>-149080030.24156505</v>
      </c>
      <c r="L2670" s="444">
        <f t="shared" ca="1" si="134"/>
        <v>-35928287288.217171</v>
      </c>
      <c r="M2670" s="460">
        <f t="shared" si="136"/>
        <v>0.05</v>
      </c>
      <c r="N2670" s="464">
        <f t="shared" si="137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35"/>
        <v>-35928287288.217171</v>
      </c>
      <c r="J2671" s="444">
        <f t="array" ref="J2671">IFERROR(INDEX('Retirement Calculator'!K:K,MATCH('Lorri 401b'!N2671,'Retirement Calculator'!A:A,0),0),0)</f>
        <v>0</v>
      </c>
      <c r="K2671" s="444">
        <f t="shared" ca="1" si="133"/>
        <v>-149701197.03423822</v>
      </c>
      <c r="L2671" s="444">
        <f t="shared" ca="1" si="134"/>
        <v>-36077988485.251411</v>
      </c>
      <c r="M2671" s="460">
        <f t="shared" si="136"/>
        <v>0.05</v>
      </c>
      <c r="N2671" s="464">
        <f t="shared" si="137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35"/>
        <v>-36077988485.251411</v>
      </c>
      <c r="J2672" s="444">
        <f t="array" ref="J2672">IFERROR(INDEX('Retirement Calculator'!K:K,MATCH('Lorri 401b'!N2672,'Retirement Calculator'!A:A,0),0),0)</f>
        <v>0</v>
      </c>
      <c r="K2672" s="444">
        <f t="shared" ca="1" si="133"/>
        <v>-150324952.02188087</v>
      </c>
      <c r="L2672" s="444">
        <f t="shared" ca="1" si="134"/>
        <v>-36228313437.273293</v>
      </c>
      <c r="M2672" s="460">
        <f t="shared" si="136"/>
        <v>0.05</v>
      </c>
      <c r="N2672" s="464">
        <f t="shared" si="137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35"/>
        <v>-36228313437.273293</v>
      </c>
      <c r="J2673" s="444">
        <f t="array" ref="J2673">IFERROR(INDEX('Retirement Calculator'!K:K,MATCH('Lorri 401b'!N2673,'Retirement Calculator'!A:A,0),0),0)</f>
        <v>0</v>
      </c>
      <c r="K2673" s="444">
        <f t="shared" ca="1" si="133"/>
        <v>-150951305.98863873</v>
      </c>
      <c r="L2673" s="444">
        <f t="shared" ca="1" si="134"/>
        <v>-36379264743.261932</v>
      </c>
      <c r="M2673" s="460">
        <f t="shared" si="136"/>
        <v>0.05</v>
      </c>
      <c r="N2673" s="464">
        <f t="shared" si="137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35"/>
        <v>-36379264743.261932</v>
      </c>
      <c r="J2674" s="444">
        <f t="array" ref="J2674">IFERROR(INDEX('Retirement Calculator'!K:K,MATCH('Lorri 401b'!N2674,'Retirement Calculator'!A:A,0),0),0)</f>
        <v>0</v>
      </c>
      <c r="K2674" s="444">
        <f t="shared" ca="1" si="133"/>
        <v>-151580269.76359138</v>
      </c>
      <c r="L2674" s="444">
        <f t="shared" ca="1" si="134"/>
        <v>-36530845013.02552</v>
      </c>
      <c r="M2674" s="460">
        <f t="shared" si="136"/>
        <v>0.05</v>
      </c>
      <c r="N2674" s="464">
        <f t="shared" si="137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35"/>
        <v>-36530845013.02552</v>
      </c>
      <c r="J2675" s="444">
        <f t="array" ref="J2675">IFERROR(INDEX('Retirement Calculator'!K:K,MATCH('Lorri 401b'!N2675,'Retirement Calculator'!A:A,0),0),0)</f>
        <v>0</v>
      </c>
      <c r="K2675" s="444">
        <f t="shared" ca="1" si="133"/>
        <v>-152211854.22093967</v>
      </c>
      <c r="L2675" s="444">
        <f t="shared" ca="1" si="134"/>
        <v>-36683056867.24646</v>
      </c>
      <c r="M2675" s="460">
        <f t="shared" si="136"/>
        <v>0.05</v>
      </c>
      <c r="N2675" s="464">
        <f t="shared" si="137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35"/>
        <v>-36683056867.24646</v>
      </c>
      <c r="J2676" s="444">
        <f t="array" ref="J2676">IFERROR(INDEX('Retirement Calculator'!K:K,MATCH('Lorri 401b'!N2676,'Retirement Calculator'!A:A,0),0),0)</f>
        <v>0</v>
      </c>
      <c r="K2676" s="444">
        <f t="shared" ca="1" si="133"/>
        <v>-152846070.28019357</v>
      </c>
      <c r="L2676" s="444">
        <f t="shared" ca="1" si="134"/>
        <v>-36835902937.526657</v>
      </c>
      <c r="M2676" s="460">
        <f t="shared" si="136"/>
        <v>0.05</v>
      </c>
      <c r="N2676" s="464">
        <f t="shared" si="137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35"/>
        <v>-36835902937.526657</v>
      </c>
      <c r="J2677" s="444">
        <f t="array" ref="J2677">IFERROR(INDEX('Retirement Calculator'!K:K,MATCH('Lorri 401b'!N2677,'Retirement Calculator'!A:A,0),0),0)</f>
        <v>0</v>
      </c>
      <c r="K2677" s="444">
        <f t="shared" ca="1" si="133"/>
        <v>-153482928.90636107</v>
      </c>
      <c r="L2677" s="444">
        <f t="shared" ca="1" si="134"/>
        <v>-36989385866.433022</v>
      </c>
      <c r="M2677" s="460">
        <f t="shared" si="136"/>
        <v>0.05</v>
      </c>
      <c r="N2677" s="464">
        <f t="shared" si="137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35"/>
        <v>-36989385866.433022</v>
      </c>
      <c r="J2678" s="444">
        <f t="array" ref="J2678">IFERROR(INDEX('Retirement Calculator'!K:K,MATCH('Lorri 401b'!N2678,'Retirement Calculator'!A:A,0),0),0)</f>
        <v>0</v>
      </c>
      <c r="K2678" s="444">
        <f t="shared" ca="1" si="133"/>
        <v>-154122441.11013758</v>
      </c>
      <c r="L2678" s="444">
        <f t="shared" ca="1" si="134"/>
        <v>-37143508307.543159</v>
      </c>
      <c r="M2678" s="460">
        <f t="shared" si="136"/>
        <v>0.05</v>
      </c>
      <c r="N2678" s="464">
        <f t="shared" si="137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35"/>
        <v>-37143508307.543159</v>
      </c>
      <c r="J2679" s="444">
        <f t="array" ref="J2679">IFERROR(INDEX('Retirement Calculator'!K:K,MATCH('Lorri 401b'!N2679,'Retirement Calculator'!A:A,0),0),0)</f>
        <v>0</v>
      </c>
      <c r="K2679" s="444">
        <f t="shared" ca="1" si="133"/>
        <v>-154764617.94809648</v>
      </c>
      <c r="L2679" s="444">
        <f t="shared" ca="1" si="134"/>
        <v>-37298272925.491257</v>
      </c>
      <c r="M2679" s="460">
        <f t="shared" si="136"/>
        <v>0.05</v>
      </c>
      <c r="N2679" s="464">
        <f t="shared" si="137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35"/>
        <v>-37298272925.491257</v>
      </c>
      <c r="J2680" s="444">
        <f t="array" ref="J2680">IFERROR(INDEX('Retirement Calculator'!K:K,MATCH('Lorri 401b'!N2680,'Retirement Calculator'!A:A,0),0),0)</f>
        <v>0</v>
      </c>
      <c r="K2680" s="444">
        <f t="shared" ca="1" si="133"/>
        <v>-155409470.52288023</v>
      </c>
      <c r="L2680" s="444">
        <f t="shared" ca="1" si="134"/>
        <v>-37453682396.014137</v>
      </c>
      <c r="M2680" s="460">
        <f t="shared" si="136"/>
        <v>0.05</v>
      </c>
      <c r="N2680" s="464">
        <f t="shared" si="137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35"/>
        <v>-37453682396.014137</v>
      </c>
      <c r="J2681" s="444">
        <f t="array" ref="J2681">IFERROR(INDEX('Retirement Calculator'!K:K,MATCH('Lorri 401b'!N2681,'Retirement Calculator'!A:A,0),0),0)</f>
        <v>0</v>
      </c>
      <c r="K2681" s="444">
        <f t="shared" ca="1" si="133"/>
        <v>-156057009.98339224</v>
      </c>
      <c r="L2681" s="444">
        <f t="shared" ca="1" si="134"/>
        <v>-37609739405.997528</v>
      </c>
      <c r="M2681" s="460">
        <f t="shared" si="136"/>
        <v>0.05</v>
      </c>
      <c r="N2681" s="464">
        <f t="shared" si="137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35"/>
        <v>-37609739405.997528</v>
      </c>
      <c r="J2682" s="444">
        <f t="array" ref="J2682">IFERROR(INDEX('Retirement Calculator'!K:K,MATCH('Lorri 401b'!N2682,'Retirement Calculator'!A:A,0),0),0)</f>
        <v>0</v>
      </c>
      <c r="K2682" s="444">
        <f t="shared" ca="1" si="133"/>
        <v>-156707247.52498969</v>
      </c>
      <c r="L2682" s="444">
        <f t="shared" ca="1" si="134"/>
        <v>-37766446653.522514</v>
      </c>
      <c r="M2682" s="460">
        <f t="shared" si="136"/>
        <v>0.05</v>
      </c>
      <c r="N2682" s="464">
        <f t="shared" si="137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35"/>
        <v>-37766446653.522514</v>
      </c>
      <c r="J2683" s="444">
        <f t="array" ref="J2683">IFERROR(INDEX('Retirement Calculator'!K:K,MATCH('Lorri 401b'!N2683,'Retirement Calculator'!A:A,0),0),0)</f>
        <v>0</v>
      </c>
      <c r="K2683" s="444">
        <f t="shared" ca="1" si="133"/>
        <v>-157360194.38967714</v>
      </c>
      <c r="L2683" s="444">
        <f t="shared" ca="1" si="134"/>
        <v>-37923806847.912193</v>
      </c>
      <c r="M2683" s="460">
        <f t="shared" si="136"/>
        <v>0.05</v>
      </c>
      <c r="N2683" s="464">
        <f t="shared" si="137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35"/>
        <v>-37923806847.912193</v>
      </c>
      <c r="J2684" s="444">
        <f t="array" ref="J2684">IFERROR(INDEX('Retirement Calculator'!K:K,MATCH('Lorri 401b'!N2684,'Retirement Calculator'!A:A,0),0),0)</f>
        <v>0</v>
      </c>
      <c r="K2684" s="444">
        <f t="shared" ca="1" si="133"/>
        <v>-158015861.86630079</v>
      </c>
      <c r="L2684" s="444">
        <f t="shared" ca="1" si="134"/>
        <v>-38081822709.778496</v>
      </c>
      <c r="M2684" s="460">
        <f t="shared" si="136"/>
        <v>0.05</v>
      </c>
      <c r="N2684" s="464">
        <f t="shared" si="137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35"/>
        <v>-38081822709.778496</v>
      </c>
      <c r="J2685" s="444">
        <f t="array" ref="J2685">IFERROR(INDEX('Retirement Calculator'!K:K,MATCH('Lorri 401b'!N2685,'Retirement Calculator'!A:A,0),0),0)</f>
        <v>0</v>
      </c>
      <c r="K2685" s="444">
        <f t="shared" ca="1" si="133"/>
        <v>-158674261.29074374</v>
      </c>
      <c r="L2685" s="444">
        <f t="shared" ca="1" si="134"/>
        <v>-38240496971.069237</v>
      </c>
      <c r="M2685" s="460">
        <f t="shared" si="136"/>
        <v>0.05</v>
      </c>
      <c r="N2685" s="464">
        <f t="shared" si="137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35"/>
        <v>-38240496971.069237</v>
      </c>
      <c r="J2686" s="444">
        <f t="array" ref="J2686">IFERROR(INDEX('Retirement Calculator'!K:K,MATCH('Lorri 401b'!N2686,'Retirement Calculator'!A:A,0),0),0)</f>
        <v>0</v>
      </c>
      <c r="K2686" s="444">
        <f t="shared" ca="1" si="133"/>
        <v>-159335404.04612181</v>
      </c>
      <c r="L2686" s="444">
        <f t="shared" ca="1" si="134"/>
        <v>-38399832375.115356</v>
      </c>
      <c r="M2686" s="460">
        <f t="shared" si="136"/>
        <v>0.05</v>
      </c>
      <c r="N2686" s="464">
        <f t="shared" si="137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35"/>
        <v>-38399832375.115356</v>
      </c>
      <c r="J2687" s="444">
        <f t="array" ref="J2687">IFERROR(INDEX('Retirement Calculator'!K:K,MATCH('Lorri 401b'!N2687,'Retirement Calculator'!A:A,0),0),0)</f>
        <v>0</v>
      </c>
      <c r="K2687" s="444">
        <f t="shared" ca="1" si="133"/>
        <v>-159999301.56298065</v>
      </c>
      <c r="L2687" s="444">
        <f t="shared" ca="1" si="134"/>
        <v>-38559831676.678337</v>
      </c>
      <c r="M2687" s="460">
        <f t="shared" si="136"/>
        <v>0.05</v>
      </c>
      <c r="N2687" s="464">
        <f t="shared" si="137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35"/>
        <v>-38559831676.678337</v>
      </c>
      <c r="J2688" s="444">
        <f t="array" ref="J2688">IFERROR(INDEX('Retirement Calculator'!K:K,MATCH('Lorri 401b'!N2688,'Retirement Calculator'!A:A,0),0),0)</f>
        <v>0</v>
      </c>
      <c r="K2688" s="444">
        <f t="shared" ca="1" si="133"/>
        <v>-160665965.31949306</v>
      </c>
      <c r="L2688" s="444">
        <f t="shared" ca="1" si="134"/>
        <v>-38720497641.997833</v>
      </c>
      <c r="M2688" s="460">
        <f t="shared" si="136"/>
        <v>0.05</v>
      </c>
      <c r="N2688" s="464">
        <f t="shared" si="137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35"/>
        <v>-38720497641.997833</v>
      </c>
      <c r="J2689" s="444">
        <f t="array" ref="J2689">IFERROR(INDEX('Retirement Calculator'!K:K,MATCH('Lorri 401b'!N2689,'Retirement Calculator'!A:A,0),0),0)</f>
        <v>0</v>
      </c>
      <c r="K2689" s="444">
        <f t="shared" ca="1" si="133"/>
        <v>-161335406.84165764</v>
      </c>
      <c r="L2689" s="444">
        <f t="shared" ca="1" si="134"/>
        <v>-38881833048.839493</v>
      </c>
      <c r="M2689" s="460">
        <f t="shared" si="136"/>
        <v>0.05</v>
      </c>
      <c r="N2689" s="464">
        <f t="shared" si="137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35"/>
        <v>-38881833048.839493</v>
      </c>
      <c r="J2690" s="444">
        <f t="array" ref="J2690">IFERROR(INDEX('Retirement Calculator'!K:K,MATCH('Lorri 401b'!N2690,'Retirement Calculator'!A:A,0),0),0)</f>
        <v>0</v>
      </c>
      <c r="K2690" s="444">
        <f t="shared" ca="1" si="133"/>
        <v>-162007637.70349789</v>
      </c>
      <c r="L2690" s="444">
        <f t="shared" ca="1" si="134"/>
        <v>-39043840686.542992</v>
      </c>
      <c r="M2690" s="460">
        <f t="shared" si="136"/>
        <v>0.05</v>
      </c>
      <c r="N2690" s="464">
        <f t="shared" si="137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35"/>
        <v>-39043840686.542992</v>
      </c>
      <c r="J2691" s="444">
        <f t="array" ref="J2691">IFERROR(INDEX('Retirement Calculator'!K:K,MATCH('Lorri 401b'!N2691,'Retirement Calculator'!A:A,0),0),0)</f>
        <v>0</v>
      </c>
      <c r="K2691" s="444">
        <f t="shared" ca="1" si="133"/>
        <v>-162682669.52726245</v>
      </c>
      <c r="L2691" s="444">
        <f t="shared" ca="1" si="134"/>
        <v>-39206523356.070251</v>
      </c>
      <c r="M2691" s="460">
        <f t="shared" si="136"/>
        <v>0.05</v>
      </c>
      <c r="N2691" s="464">
        <f t="shared" si="137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35"/>
        <v>-39206523356.070251</v>
      </c>
      <c r="J2692" s="444">
        <f t="array" ref="J2692">IFERROR(INDEX('Retirement Calculator'!K:K,MATCH('Lorri 401b'!N2692,'Retirement Calculator'!A:A,0),0),0)</f>
        <v>0</v>
      </c>
      <c r="K2692" s="444">
        <f t="shared" ca="1" si="133"/>
        <v>-163360513.98362604</v>
      </c>
      <c r="L2692" s="444">
        <f t="shared" ca="1" si="134"/>
        <v>-39369883870.053879</v>
      </c>
      <c r="M2692" s="460">
        <f t="shared" si="136"/>
        <v>0.05</v>
      </c>
      <c r="N2692" s="464">
        <f t="shared" si="137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35"/>
        <v>-39369883870.053879</v>
      </c>
      <c r="J2693" s="444">
        <f t="array" ref="J2693">IFERROR(INDEX('Retirement Calculator'!K:K,MATCH('Lorri 401b'!N2693,'Retirement Calculator'!A:A,0),0),0)</f>
        <v>0</v>
      </c>
      <c r="K2693" s="444">
        <f t="shared" ca="1" si="133"/>
        <v>-164041182.79189116</v>
      </c>
      <c r="L2693" s="444">
        <f t="shared" ca="1" si="134"/>
        <v>-39533925052.845772</v>
      </c>
      <c r="M2693" s="460">
        <f t="shared" si="136"/>
        <v>0.05</v>
      </c>
      <c r="N2693" s="464">
        <f t="shared" si="137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35"/>
        <v>-39533925052.845772</v>
      </c>
      <c r="J2694" s="444">
        <f t="array" ref="J2694">IFERROR(INDEX('Retirement Calculator'!K:K,MATCH('Lorri 401b'!N2694,'Retirement Calculator'!A:A,0),0),0)</f>
        <v>0</v>
      </c>
      <c r="K2694" s="444">
        <f t="shared" ca="1" si="133"/>
        <v>-164724687.7201907</v>
      </c>
      <c r="L2694" s="444">
        <f t="shared" ca="1" si="134"/>
        <v>-39698649740.565964</v>
      </c>
      <c r="M2694" s="460">
        <f t="shared" si="136"/>
        <v>0.05</v>
      </c>
      <c r="N2694" s="464">
        <f t="shared" si="137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35"/>
        <v>-39698649740.565964</v>
      </c>
      <c r="J2695" s="444">
        <f t="array" ref="J2695">IFERROR(INDEX('Retirement Calculator'!K:K,MATCH('Lorri 401b'!N2695,'Retirement Calculator'!A:A,0),0),0)</f>
        <v>0</v>
      </c>
      <c r="K2695" s="444">
        <f t="shared" ca="1" si="133"/>
        <v>-165411040.58569151</v>
      </c>
      <c r="L2695" s="444">
        <f t="shared" ca="1" si="134"/>
        <v>-39864060781.151657</v>
      </c>
      <c r="M2695" s="460">
        <f t="shared" si="136"/>
        <v>0.05</v>
      </c>
      <c r="N2695" s="464">
        <f t="shared" si="137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35"/>
        <v>-39864060781.151657</v>
      </c>
      <c r="J2696" s="444">
        <f t="array" ref="J2696">IFERROR(INDEX('Retirement Calculator'!K:K,MATCH('Lorri 401b'!N2696,'Retirement Calculator'!A:A,0),0),0)</f>
        <v>0</v>
      </c>
      <c r="K2696" s="444">
        <f t="shared" ca="1" si="133"/>
        <v>-166100253.25479856</v>
      </c>
      <c r="L2696" s="444">
        <f t="shared" ca="1" si="134"/>
        <v>-40030161034.406456</v>
      </c>
      <c r="M2696" s="460">
        <f t="shared" si="136"/>
        <v>0.05</v>
      </c>
      <c r="N2696" s="464">
        <f t="shared" si="137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35"/>
        <v>-40030161034.406456</v>
      </c>
      <c r="J2697" s="444">
        <f t="array" ref="J2697">IFERROR(INDEX('Retirement Calculator'!K:K,MATCH('Lorri 401b'!N2697,'Retirement Calculator'!A:A,0),0),0)</f>
        <v>0</v>
      </c>
      <c r="K2697" s="444">
        <f t="shared" ca="1" si="133"/>
        <v>-166792337.64336023</v>
      </c>
      <c r="L2697" s="444">
        <f t="shared" ca="1" si="134"/>
        <v>-40196953372.04982</v>
      </c>
      <c r="M2697" s="460">
        <f t="shared" si="136"/>
        <v>0.05</v>
      </c>
      <c r="N2697" s="464">
        <f t="shared" si="137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35"/>
        <v>-40196953372.04982</v>
      </c>
      <c r="J2698" s="444">
        <f t="array" ref="J2698">IFERROR(INDEX('Retirement Calculator'!K:K,MATCH('Lorri 401b'!N2698,'Retirement Calculator'!A:A,0),0),0)</f>
        <v>0</v>
      </c>
      <c r="K2698" s="444">
        <f t="shared" ca="1" si="133"/>
        <v>-167487305.71687424</v>
      </c>
      <c r="L2698" s="444">
        <f t="shared" ca="1" si="134"/>
        <v>-40364440677.766693</v>
      </c>
      <c r="M2698" s="460">
        <f t="shared" si="136"/>
        <v>0.05</v>
      </c>
      <c r="N2698" s="464">
        <f t="shared" si="137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35"/>
        <v>-40364440677.766693</v>
      </c>
      <c r="J2699" s="444">
        <f t="array" ref="J2699">IFERROR(INDEX('Retirement Calculator'!K:K,MATCH('Lorri 401b'!N2699,'Retirement Calculator'!A:A,0),0),0)</f>
        <v>0</v>
      </c>
      <c r="K2699" s="444">
        <f t="shared" ca="1" si="133"/>
        <v>-168185169.49069455</v>
      </c>
      <c r="L2699" s="444">
        <f t="shared" ca="1" si="134"/>
        <v>-40532625847.257385</v>
      </c>
      <c r="M2699" s="460">
        <f t="shared" si="136"/>
        <v>0.05</v>
      </c>
      <c r="N2699" s="464">
        <f t="shared" si="137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35"/>
        <v>-40532625847.257385</v>
      </c>
      <c r="J2700" s="444">
        <f t="array" ref="J2700">IFERROR(INDEX('Retirement Calculator'!K:K,MATCH('Lorri 401b'!N2700,'Retirement Calculator'!A:A,0),0),0)</f>
        <v>0</v>
      </c>
      <c r="K2700" s="444">
        <f t="shared" ca="1" si="133"/>
        <v>-168885941.03023911</v>
      </c>
      <c r="L2700" s="444">
        <f t="shared" ca="1" si="134"/>
        <v>-40701511788.287628</v>
      </c>
      <c r="M2700" s="460">
        <f t="shared" si="136"/>
        <v>0.05</v>
      </c>
      <c r="N2700" s="464">
        <f t="shared" si="137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35"/>
        <v>-40701511788.287628</v>
      </c>
      <c r="J2701" s="444">
        <f t="array" ref="J2701">IFERROR(INDEX('Retirement Calculator'!K:K,MATCH('Lorri 401b'!N2701,'Retirement Calculator'!A:A,0),0),0)</f>
        <v>0</v>
      </c>
      <c r="K2701" s="444">
        <f t="shared" ca="1" si="133"/>
        <v>-169589632.45119846</v>
      </c>
      <c r="L2701" s="444">
        <f t="shared" ca="1" si="134"/>
        <v>-40871101420.738823</v>
      </c>
      <c r="M2701" s="460">
        <f t="shared" si="136"/>
        <v>0.05</v>
      </c>
      <c r="N2701" s="464">
        <f t="shared" si="137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35"/>
        <v>-40871101420.738823</v>
      </c>
      <c r="J2702" s="444">
        <f t="array" ref="J2702">IFERROR(INDEX('Retirement Calculator'!K:K,MATCH('Lorri 401b'!N2702,'Retirement Calculator'!A:A,0),0),0)</f>
        <v>0</v>
      </c>
      <c r="K2702" s="444">
        <f t="shared" ca="1" si="133"/>
        <v>-170296255.91974509</v>
      </c>
      <c r="L2702" s="444">
        <f t="shared" ca="1" si="134"/>
        <v>-41041397676.658569</v>
      </c>
      <c r="M2702" s="460">
        <f t="shared" si="136"/>
        <v>0.05</v>
      </c>
      <c r="N2702" s="464">
        <f t="shared" si="137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35"/>
        <v>-41041397676.658569</v>
      </c>
      <c r="J2703" s="444">
        <f t="array" ref="J2703">IFERROR(INDEX('Retirement Calculator'!K:K,MATCH('Lorri 401b'!N2703,'Retirement Calculator'!A:A,0),0),0)</f>
        <v>0</v>
      </c>
      <c r="K2703" s="444">
        <f t="shared" ca="1" si="133"/>
        <v>-171005823.65274402</v>
      </c>
      <c r="L2703" s="444">
        <f t="shared" ca="1" si="134"/>
        <v>-41212403500.31131</v>
      </c>
      <c r="M2703" s="460">
        <f t="shared" si="136"/>
        <v>0.05</v>
      </c>
      <c r="N2703" s="464">
        <f t="shared" si="137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35"/>
        <v>-41212403500.31131</v>
      </c>
      <c r="J2704" s="444">
        <f t="array" ref="J2704">IFERROR(INDEX('Retirement Calculator'!K:K,MATCH('Lorri 401b'!N2704,'Retirement Calculator'!A:A,0),0),0)</f>
        <v>0</v>
      </c>
      <c r="K2704" s="444">
        <f t="shared" ca="1" si="133"/>
        <v>-171718347.9179638</v>
      </c>
      <c r="L2704" s="444">
        <f t="shared" ca="1" si="134"/>
        <v>-41384121848.229271</v>
      </c>
      <c r="M2704" s="460">
        <f t="shared" si="136"/>
        <v>0.05</v>
      </c>
      <c r="N2704" s="464">
        <f t="shared" si="137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35"/>
        <v>-41384121848.229271</v>
      </c>
      <c r="J2705" s="444">
        <f t="array" ref="J2705">IFERROR(INDEX('Retirement Calculator'!K:K,MATCH('Lorri 401b'!N2705,'Retirement Calculator'!A:A,0),0),0)</f>
        <v>0</v>
      </c>
      <c r="K2705" s="444">
        <f t="shared" ca="1" si="133"/>
        <v>-172433841.03428861</v>
      </c>
      <c r="L2705" s="444">
        <f t="shared" ca="1" si="134"/>
        <v>-41556555689.263557</v>
      </c>
      <c r="M2705" s="460">
        <f t="shared" si="136"/>
        <v>0.05</v>
      </c>
      <c r="N2705" s="464">
        <f t="shared" si="137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35"/>
        <v>-41556555689.263557</v>
      </c>
      <c r="J2706" s="444">
        <f t="array" ref="J2706">IFERROR(INDEX('Retirement Calculator'!K:K,MATCH('Lorri 401b'!N2706,'Retirement Calculator'!A:A,0),0),0)</f>
        <v>0</v>
      </c>
      <c r="K2706" s="444">
        <f t="shared" ca="1" si="133"/>
        <v>-173152315.37193149</v>
      </c>
      <c r="L2706" s="444">
        <f t="shared" ca="1" si="134"/>
        <v>-41729708004.63549</v>
      </c>
      <c r="M2706" s="460">
        <f t="shared" si="136"/>
        <v>0.05</v>
      </c>
      <c r="N2706" s="464">
        <f t="shared" si="137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35"/>
        <v>-41729708004.63549</v>
      </c>
      <c r="J2707" s="444">
        <f t="array" ref="J2707">IFERROR(INDEX('Retirement Calculator'!K:K,MATCH('Lorri 401b'!N2707,'Retirement Calculator'!A:A,0),0),0)</f>
        <v>0</v>
      </c>
      <c r="K2707" s="444">
        <f t="shared" ca="1" si="133"/>
        <v>-173873783.35264787</v>
      </c>
      <c r="L2707" s="444">
        <f t="shared" ca="1" si="134"/>
        <v>-41903581787.988136</v>
      </c>
      <c r="M2707" s="460">
        <f t="shared" si="136"/>
        <v>0.05</v>
      </c>
      <c r="N2707" s="464">
        <f t="shared" si="137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35"/>
        <v>-41903581787.988136</v>
      </c>
      <c r="J2708" s="444">
        <f t="array" ref="J2708">IFERROR(INDEX('Retirement Calculator'!K:K,MATCH('Lorri 401b'!N2708,'Retirement Calculator'!A:A,0),0),0)</f>
        <v>0</v>
      </c>
      <c r="K2708" s="444">
        <f t="shared" ca="1" si="133"/>
        <v>-174598257.44995058</v>
      </c>
      <c r="L2708" s="444">
        <f t="shared" ca="1" si="134"/>
        <v>-42078180045.438087</v>
      </c>
      <c r="M2708" s="460">
        <f t="shared" si="136"/>
        <v>0.05</v>
      </c>
      <c r="N2708" s="464">
        <f t="shared" si="137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35"/>
        <v>-42078180045.438087</v>
      </c>
      <c r="J2709" s="444">
        <f t="array" ref="J2709">IFERROR(INDEX('Retirement Calculator'!K:K,MATCH('Lorri 401b'!N2709,'Retirement Calculator'!A:A,0),0),0)</f>
        <v>0</v>
      </c>
      <c r="K2709" s="444">
        <f t="shared" ca="1" si="133"/>
        <v>-175325750.18932536</v>
      </c>
      <c r="L2709" s="444">
        <f t="shared" ca="1" si="134"/>
        <v>-42253505795.627411</v>
      </c>
      <c r="M2709" s="460">
        <f t="shared" si="136"/>
        <v>0.05</v>
      </c>
      <c r="N2709" s="464">
        <f t="shared" si="137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35"/>
        <v>-42253505795.627411</v>
      </c>
      <c r="J2710" s="444">
        <f t="array" ref="J2710">IFERROR(INDEX('Retirement Calculator'!K:K,MATCH('Lorri 401b'!N2710,'Retirement Calculator'!A:A,0),0),0)</f>
        <v>0</v>
      </c>
      <c r="K2710" s="444">
        <f t="shared" ca="1" si="133"/>
        <v>-176056274.14844754</v>
      </c>
      <c r="L2710" s="444">
        <f t="shared" ca="1" si="134"/>
        <v>-42429562069.775856</v>
      </c>
      <c r="M2710" s="460">
        <f t="shared" si="136"/>
        <v>0.05</v>
      </c>
      <c r="N2710" s="464">
        <f t="shared" si="137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35"/>
        <v>-42429562069.775856</v>
      </c>
      <c r="J2711" s="444">
        <f t="array" ref="J2711">IFERROR(INDEX('Retirement Calculator'!K:K,MATCH('Lorri 401b'!N2711,'Retirement Calculator'!A:A,0),0),0)</f>
        <v>0</v>
      </c>
      <c r="K2711" s="444">
        <f t="shared" ca="1" si="133"/>
        <v>-176789841.9573994</v>
      </c>
      <c r="L2711" s="444">
        <f t="shared" ca="1" si="134"/>
        <v>-42606351911.733253</v>
      </c>
      <c r="M2711" s="460">
        <f t="shared" si="136"/>
        <v>0.05</v>
      </c>
      <c r="N2711" s="464">
        <f t="shared" si="137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35"/>
        <v>-42606351911.733253</v>
      </c>
      <c r="J2712" s="444">
        <f t="array" ref="J2712">IFERROR(INDEX('Retirement Calculator'!K:K,MATCH('Lorri 401b'!N2712,'Retirement Calculator'!A:A,0),0),0)</f>
        <v>0</v>
      </c>
      <c r="K2712" s="444">
        <f t="shared" ca="1" si="133"/>
        <v>-177526466.29888856</v>
      </c>
      <c r="L2712" s="444">
        <f t="shared" ca="1" si="134"/>
        <v>-42783878378.032143</v>
      </c>
      <c r="M2712" s="460">
        <f t="shared" si="136"/>
        <v>0.05</v>
      </c>
      <c r="N2712" s="464">
        <f t="shared" si="137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35"/>
        <v>-42783878378.032143</v>
      </c>
      <c r="J2713" s="444">
        <f t="array" ref="J2713">IFERROR(INDEX('Retirement Calculator'!K:K,MATCH('Lorri 401b'!N2713,'Retirement Calculator'!A:A,0),0),0)</f>
        <v>0</v>
      </c>
      <c r="K2713" s="444">
        <f t="shared" ca="1" si="133"/>
        <v>-178266159.90846726</v>
      </c>
      <c r="L2713" s="444">
        <f t="shared" ca="1" si="134"/>
        <v>-42962144537.940613</v>
      </c>
      <c r="M2713" s="460">
        <f t="shared" si="136"/>
        <v>0.05</v>
      </c>
      <c r="N2713" s="464">
        <f t="shared" si="137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35"/>
        <v>-42962144537.940613</v>
      </c>
      <c r="J2714" s="444">
        <f t="array" ref="J2714">IFERROR(INDEX('Retirement Calculator'!K:K,MATCH('Lorri 401b'!N2714,'Retirement Calculator'!A:A,0),0),0)</f>
        <v>0</v>
      </c>
      <c r="K2714" s="444">
        <f t="shared" ca="1" si="133"/>
        <v>-179008935.57475254</v>
      </c>
      <c r="L2714" s="444">
        <f t="shared" ca="1" si="134"/>
        <v>-43141153473.515366</v>
      </c>
      <c r="M2714" s="460">
        <f t="shared" si="136"/>
        <v>0.05</v>
      </c>
      <c r="N2714" s="464">
        <f t="shared" si="137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35"/>
        <v>-43141153473.515366</v>
      </c>
      <c r="J2715" s="444">
        <f t="array" ref="J2715">IFERROR(INDEX('Retirement Calculator'!K:K,MATCH('Lorri 401b'!N2715,'Retirement Calculator'!A:A,0),0),0)</f>
        <v>0</v>
      </c>
      <c r="K2715" s="444">
        <f t="shared" ca="1" si="133"/>
        <v>-179754806.13964736</v>
      </c>
      <c r="L2715" s="444">
        <f t="shared" ca="1" si="134"/>
        <v>-43320908279.655014</v>
      </c>
      <c r="M2715" s="460">
        <f t="shared" si="136"/>
        <v>0.05</v>
      </c>
      <c r="N2715" s="464">
        <f t="shared" si="137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35"/>
        <v>-43320908279.655014</v>
      </c>
      <c r="J2716" s="444">
        <f t="array" ref="J2716">IFERROR(INDEX('Retirement Calculator'!K:K,MATCH('Lorri 401b'!N2716,'Retirement Calculator'!A:A,0),0),0)</f>
        <v>0</v>
      </c>
      <c r="K2716" s="444">
        <f t="shared" ca="1" si="133"/>
        <v>-180503784.49856254</v>
      </c>
      <c r="L2716" s="444">
        <f t="shared" ca="1" si="134"/>
        <v>-43501412064.15358</v>
      </c>
      <c r="M2716" s="460">
        <f t="shared" si="136"/>
        <v>0.05</v>
      </c>
      <c r="N2716" s="464">
        <f t="shared" si="137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35"/>
        <v>-43501412064.15358</v>
      </c>
      <c r="J2717" s="444">
        <f t="array" ref="J2717">IFERROR(INDEX('Retirement Calculator'!K:K,MATCH('Lorri 401b'!N2717,'Retirement Calculator'!A:A,0),0),0)</f>
        <v>0</v>
      </c>
      <c r="K2717" s="444">
        <f t="shared" ca="1" si="133"/>
        <v>-181255883.60063991</v>
      </c>
      <c r="L2717" s="444">
        <f t="shared" ca="1" si="134"/>
        <v>-43682667947.754219</v>
      </c>
      <c r="M2717" s="460">
        <f t="shared" si="136"/>
        <v>0.05</v>
      </c>
      <c r="N2717" s="464">
        <f t="shared" si="137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35"/>
        <v>-43682667947.754219</v>
      </c>
      <c r="J2718" s="444">
        <f t="array" ref="J2718">IFERROR(INDEX('Retirement Calculator'!K:K,MATCH('Lorri 401b'!N2718,'Retirement Calculator'!A:A,0),0),0)</f>
        <v>0</v>
      </c>
      <c r="K2718" s="444">
        <f t="shared" ca="1" si="133"/>
        <v>-182011116.44897592</v>
      </c>
      <c r="L2718" s="444">
        <f t="shared" ca="1" si="134"/>
        <v>-43864679064.203194</v>
      </c>
      <c r="M2718" s="460">
        <f t="shared" si="136"/>
        <v>0.05</v>
      </c>
      <c r="N2718" s="464">
        <f t="shared" si="137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35"/>
        <v>-43864679064.203194</v>
      </c>
      <c r="J2719" s="444">
        <f t="array" ref="J2719">IFERROR(INDEX('Retirement Calculator'!K:K,MATCH('Lorri 401b'!N2719,'Retirement Calculator'!A:A,0),0),0)</f>
        <v>0</v>
      </c>
      <c r="K2719" s="444">
        <f t="shared" ca="1" si="133"/>
        <v>-182769496.10084665</v>
      </c>
      <c r="L2719" s="444">
        <f t="shared" ca="1" si="134"/>
        <v>-44047448560.304039</v>
      </c>
      <c r="M2719" s="460">
        <f t="shared" si="136"/>
        <v>0.05</v>
      </c>
      <c r="N2719" s="464">
        <f t="shared" si="137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35"/>
        <v>-44047448560.304039</v>
      </c>
      <c r="J2720" s="444">
        <f t="array" ref="J2720">IFERROR(INDEX('Retirement Calculator'!K:K,MATCH('Lorri 401b'!N2720,'Retirement Calculator'!A:A,0),0),0)</f>
        <v>0</v>
      </c>
      <c r="K2720" s="444">
        <f t="shared" ca="1" si="133"/>
        <v>-183531035.66793349</v>
      </c>
      <c r="L2720" s="444">
        <f t="shared" ca="1" si="134"/>
        <v>-44230979595.97197</v>
      </c>
      <c r="M2720" s="460">
        <f t="shared" si="136"/>
        <v>0.05</v>
      </c>
      <c r="N2720" s="464">
        <f t="shared" si="137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35"/>
        <v>-44230979595.97197</v>
      </c>
      <c r="J2721" s="444">
        <f t="array" ref="J2721">IFERROR(INDEX('Retirement Calculator'!K:K,MATCH('Lorri 401b'!N2721,'Retirement Calculator'!A:A,0),0),0)</f>
        <v>0</v>
      </c>
      <c r="K2721" s="444">
        <f t="shared" ca="1" si="133"/>
        <v>-184295748.31654987</v>
      </c>
      <c r="L2721" s="444">
        <f t="shared" ca="1" si="134"/>
        <v>-44415275344.288521</v>
      </c>
      <c r="M2721" s="460">
        <f t="shared" si="136"/>
        <v>0.05</v>
      </c>
      <c r="N2721" s="464">
        <f t="shared" si="137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35"/>
        <v>-44415275344.288521</v>
      </c>
      <c r="J2722" s="444">
        <f t="array" ref="J2722">IFERROR(INDEX('Retirement Calculator'!K:K,MATCH('Lorri 401b'!N2722,'Retirement Calculator'!A:A,0),0),0)</f>
        <v>0</v>
      </c>
      <c r="K2722" s="444">
        <f t="shared" ca="1" si="133"/>
        <v>-185063647.26786885</v>
      </c>
      <c r="L2722" s="444">
        <f t="shared" ca="1" si="134"/>
        <v>-44600338991.556389</v>
      </c>
      <c r="M2722" s="460">
        <f t="shared" si="136"/>
        <v>0.05</v>
      </c>
      <c r="N2722" s="464">
        <f t="shared" si="137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35"/>
        <v>-44600338991.556389</v>
      </c>
      <c r="J2723" s="444">
        <f t="array" ref="J2723">IFERROR(INDEX('Retirement Calculator'!K:K,MATCH('Lorri 401b'!N2723,'Retirement Calculator'!A:A,0),0),0)</f>
        <v>0</v>
      </c>
      <c r="K2723" s="444">
        <f t="shared" ca="1" si="133"/>
        <v>-185834745.79815161</v>
      </c>
      <c r="L2723" s="444">
        <f t="shared" ca="1" si="134"/>
        <v>-44786173737.354538</v>
      </c>
      <c r="M2723" s="460">
        <f t="shared" si="136"/>
        <v>0.05</v>
      </c>
      <c r="N2723" s="464">
        <f t="shared" si="137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35"/>
        <v>-44786173737.354538</v>
      </c>
      <c r="J2724" s="444">
        <f t="array" ref="J2724">IFERROR(INDEX('Retirement Calculator'!K:K,MATCH('Lorri 401b'!N2724,'Retirement Calculator'!A:A,0),0),0)</f>
        <v>0</v>
      </c>
      <c r="K2724" s="444">
        <f t="shared" ca="1" si="133"/>
        <v>-186609057.23897725</v>
      </c>
      <c r="L2724" s="444">
        <f t="shared" ca="1" si="134"/>
        <v>-44972782794.593513</v>
      </c>
      <c r="M2724" s="460">
        <f t="shared" si="136"/>
        <v>0.05</v>
      </c>
      <c r="N2724" s="464">
        <f t="shared" si="137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35"/>
        <v>-44972782794.593513</v>
      </c>
      <c r="J2725" s="444">
        <f t="array" ref="J2725">IFERROR(INDEX('Retirement Calculator'!K:K,MATCH('Lorri 401b'!N2725,'Retirement Calculator'!A:A,0),0),0)</f>
        <v>0</v>
      </c>
      <c r="K2725" s="444">
        <f t="shared" ca="1" si="133"/>
        <v>-187386594.97747296</v>
      </c>
      <c r="L2725" s="444">
        <f t="shared" ca="1" si="134"/>
        <v>-45160169389.570984</v>
      </c>
      <c r="M2725" s="460">
        <f t="shared" si="136"/>
        <v>0.05</v>
      </c>
      <c r="N2725" s="464">
        <f t="shared" si="137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35"/>
        <v>-45160169389.570984</v>
      </c>
      <c r="J2726" s="444">
        <f t="array" ref="J2726">IFERROR(INDEX('Retirement Calculator'!K:K,MATCH('Lorri 401b'!N2726,'Retirement Calculator'!A:A,0),0),0)</f>
        <v>0</v>
      </c>
      <c r="K2726" s="444">
        <f t="shared" ca="1" si="133"/>
        <v>-188167372.45654577</v>
      </c>
      <c r="L2726" s="444">
        <f t="shared" ca="1" si="134"/>
        <v>-45348336762.027527</v>
      </c>
      <c r="M2726" s="460">
        <f t="shared" si="136"/>
        <v>0.05</v>
      </c>
      <c r="N2726" s="464">
        <f t="shared" si="137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35"/>
        <v>-45348336762.027527</v>
      </c>
      <c r="J2727" s="444">
        <f t="array" ref="J2727">IFERROR(INDEX('Retirement Calculator'!K:K,MATCH('Lorri 401b'!N2727,'Retirement Calculator'!A:A,0),0),0)</f>
        <v>0</v>
      </c>
      <c r="K2727" s="444">
        <f t="shared" ca="1" si="133"/>
        <v>-188951403.17511469</v>
      </c>
      <c r="L2727" s="444">
        <f t="shared" ca="1" si="134"/>
        <v>-45537288165.202644</v>
      </c>
      <c r="M2727" s="460">
        <f t="shared" si="136"/>
        <v>0.05</v>
      </c>
      <c r="N2727" s="464">
        <f t="shared" si="137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35"/>
        <v>-45537288165.202644</v>
      </c>
      <c r="J2728" s="444">
        <f t="array" ref="J2728">IFERROR(INDEX('Retirement Calculator'!K:K,MATCH('Lorri 401b'!N2728,'Retirement Calculator'!A:A,0),0),0)</f>
        <v>0</v>
      </c>
      <c r="K2728" s="444">
        <f t="shared" ca="1" si="133"/>
        <v>-189738700.68834436</v>
      </c>
      <c r="L2728" s="444">
        <f t="shared" ca="1" si="134"/>
        <v>-45727026865.890991</v>
      </c>
      <c r="M2728" s="460">
        <f t="shared" si="136"/>
        <v>0.05</v>
      </c>
      <c r="N2728" s="464">
        <f t="shared" si="137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35"/>
        <v>-45727026865.890991</v>
      </c>
      <c r="J2729" s="444">
        <f t="array" ref="J2729">IFERROR(INDEX('Retirement Calculator'!K:K,MATCH('Lorri 401b'!N2729,'Retirement Calculator'!A:A,0),0),0)</f>
        <v>0</v>
      </c>
      <c r="K2729" s="444">
        <f t="shared" ca="1" si="133"/>
        <v>-190529278.60787913</v>
      </c>
      <c r="L2729" s="444">
        <f t="shared" ca="1" si="134"/>
        <v>-45917556144.498871</v>
      </c>
      <c r="M2729" s="460">
        <f t="shared" si="136"/>
        <v>0.05</v>
      </c>
      <c r="N2729" s="464">
        <f t="shared" si="137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35"/>
        <v>-45917556144.498871</v>
      </c>
      <c r="J2730" s="444">
        <f t="array" ref="J2730">IFERROR(INDEX('Retirement Calculator'!K:K,MATCH('Lorri 401b'!N2730,'Retirement Calculator'!A:A,0),0),0)</f>
        <v>0</v>
      </c>
      <c r="K2730" s="444">
        <f t="shared" ca="1" si="133"/>
        <v>-191323150.60207862</v>
      </c>
      <c r="L2730" s="444">
        <f t="shared" ca="1" si="134"/>
        <v>-46108879295.100952</v>
      </c>
      <c r="M2730" s="460">
        <f t="shared" si="136"/>
        <v>0.05</v>
      </c>
      <c r="N2730" s="464">
        <f t="shared" si="137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35"/>
        <v>-46108879295.100952</v>
      </c>
      <c r="J2731" s="444">
        <f t="array" ref="J2731">IFERROR(INDEX('Retirement Calculator'!K:K,MATCH('Lorri 401b'!N2731,'Retirement Calculator'!A:A,0),0),0)</f>
        <v>0</v>
      </c>
      <c r="K2731" s="444">
        <f t="shared" ca="1" si="133"/>
        <v>-192120330.39625397</v>
      </c>
      <c r="L2731" s="444">
        <f t="shared" ca="1" si="134"/>
        <v>-46300999625.497208</v>
      </c>
      <c r="M2731" s="460">
        <f t="shared" si="136"/>
        <v>0.05</v>
      </c>
      <c r="N2731" s="464">
        <f t="shared" si="137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35"/>
        <v>-46300999625.497208</v>
      </c>
      <c r="J2732" s="444">
        <f t="array" ref="J2732">IFERROR(INDEX('Retirement Calculator'!K:K,MATCH('Lorri 401b'!N2732,'Retirement Calculator'!A:A,0),0),0)</f>
        <v>0</v>
      </c>
      <c r="K2732" s="444">
        <f t="shared" ca="1" si="133"/>
        <v>-192920831.77290502</v>
      </c>
      <c r="L2732" s="444">
        <f t="shared" ca="1" si="134"/>
        <v>-46493920457.270111</v>
      </c>
      <c r="M2732" s="460">
        <f t="shared" si="136"/>
        <v>0.05</v>
      </c>
      <c r="N2732" s="464">
        <f t="shared" si="137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35"/>
        <v>-46493920457.270111</v>
      </c>
      <c r="J2733" s="444">
        <f t="array" ref="J2733">IFERROR(INDEX('Retirement Calculator'!K:K,MATCH('Lorri 401b'!N2733,'Retirement Calculator'!A:A,0),0),0)</f>
        <v>0</v>
      </c>
      <c r="K2733" s="444">
        <f t="shared" ca="1" si="133"/>
        <v>-193724668.57195878</v>
      </c>
      <c r="L2733" s="444">
        <f t="shared" ca="1" si="134"/>
        <v>-46687645125.842072</v>
      </c>
      <c r="M2733" s="460">
        <f t="shared" si="136"/>
        <v>0.05</v>
      </c>
      <c r="N2733" s="464">
        <f t="shared" si="137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35"/>
        <v>-46687645125.842072</v>
      </c>
      <c r="J2734" s="444">
        <f t="array" ref="J2734">IFERROR(INDEX('Retirement Calculator'!K:K,MATCH('Lorri 401b'!N2734,'Retirement Calculator'!A:A,0),0),0)</f>
        <v>0</v>
      </c>
      <c r="K2734" s="444">
        <f t="shared" ca="1" si="133"/>
        <v>-194531854.69100863</v>
      </c>
      <c r="L2734" s="444">
        <f t="shared" ca="1" si="134"/>
        <v>-46882176980.533081</v>
      </c>
      <c r="M2734" s="460">
        <f t="shared" si="136"/>
        <v>0.05</v>
      </c>
      <c r="N2734" s="464">
        <f t="shared" si="137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35"/>
        <v>-46882176980.533081</v>
      </c>
      <c r="J2735" s="444">
        <f t="array" ref="J2735">IFERROR(INDEX('Retirement Calculator'!K:K,MATCH('Lorri 401b'!N2735,'Retirement Calculator'!A:A,0),0),0)</f>
        <v>0</v>
      </c>
      <c r="K2735" s="444">
        <f t="shared" ca="1" si="133"/>
        <v>-195342404.08555451</v>
      </c>
      <c r="L2735" s="444">
        <f t="shared" ca="1" si="134"/>
        <v>-47077519384.618637</v>
      </c>
      <c r="M2735" s="460">
        <f t="shared" si="136"/>
        <v>0.05</v>
      </c>
      <c r="N2735" s="464">
        <f t="shared" si="137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35"/>
        <v>-47077519384.618637</v>
      </c>
      <c r="J2736" s="444">
        <f t="array" ref="J2736">IFERROR(INDEX('Retirement Calculator'!K:K,MATCH('Lorri 401b'!N2736,'Retirement Calculator'!A:A,0),0),0)</f>
        <v>0</v>
      </c>
      <c r="K2736" s="444">
        <f t="shared" ca="1" si="133"/>
        <v>-196156330.76924431</v>
      </c>
      <c r="L2736" s="444">
        <f t="shared" ca="1" si="134"/>
        <v>-47273675715.387878</v>
      </c>
      <c r="M2736" s="460">
        <f t="shared" si="136"/>
        <v>0.05</v>
      </c>
      <c r="N2736" s="464">
        <f t="shared" si="137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35"/>
        <v>-47273675715.387878</v>
      </c>
      <c r="J2737" s="444">
        <f t="array" ref="J2737">IFERROR(INDEX('Retirement Calculator'!K:K,MATCH('Lorri 401b'!N2737,'Retirement Calculator'!A:A,0),0),0)</f>
        <v>0</v>
      </c>
      <c r="K2737" s="444">
        <f t="shared" ca="1" si="133"/>
        <v>-196973648.81411615</v>
      </c>
      <c r="L2737" s="444">
        <f t="shared" ca="1" si="134"/>
        <v>-47470649364.201996</v>
      </c>
      <c r="M2737" s="460">
        <f t="shared" si="136"/>
        <v>0.05</v>
      </c>
      <c r="N2737" s="464">
        <f t="shared" si="137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35"/>
        <v>-47470649364.201996</v>
      </c>
      <c r="J2738" s="444">
        <f t="array" ref="J2738">IFERROR(INDEX('Retirement Calculator'!K:K,MATCH('Lorri 401b'!N2738,'Retirement Calculator'!A:A,0),0),0)</f>
        <v>0</v>
      </c>
      <c r="K2738" s="444">
        <f t="shared" ca="1" si="133"/>
        <v>-197794372.35084164</v>
      </c>
      <c r="L2738" s="444">
        <f t="shared" ca="1" si="134"/>
        <v>-47668443736.552841</v>
      </c>
      <c r="M2738" s="460">
        <f t="shared" si="136"/>
        <v>0.05</v>
      </c>
      <c r="N2738" s="464">
        <f t="shared" si="137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35"/>
        <v>-47668443736.552841</v>
      </c>
      <c r="J2739" s="444">
        <f t="array" ref="J2739">IFERROR(INDEX('Retirement Calculator'!K:K,MATCH('Lorri 401b'!N2739,'Retirement Calculator'!A:A,0),0),0)</f>
        <v>0</v>
      </c>
      <c r="K2739" s="444">
        <f t="shared" ca="1" si="133"/>
        <v>-198618515.56897017</v>
      </c>
      <c r="L2739" s="444">
        <f t="shared" ca="1" si="134"/>
        <v>-47867062252.121811</v>
      </c>
      <c r="M2739" s="460">
        <f t="shared" si="136"/>
        <v>0.05</v>
      </c>
      <c r="N2739" s="464">
        <f t="shared" si="137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35"/>
        <v>-47867062252.121811</v>
      </c>
      <c r="J2740" s="444">
        <f t="array" ref="J2740">IFERROR(INDEX('Retirement Calculator'!K:K,MATCH('Lorri 401b'!N2740,'Retirement Calculator'!A:A,0),0),0)</f>
        <v>0</v>
      </c>
      <c r="K2740" s="444">
        <f t="shared" ca="1" si="133"/>
        <v>-199446092.7171742</v>
      </c>
      <c r="L2740" s="444">
        <f t="shared" ca="1" si="134"/>
        <v>-48066508344.838982</v>
      </c>
      <c r="M2740" s="460">
        <f t="shared" si="136"/>
        <v>0.05</v>
      </c>
      <c r="N2740" s="464">
        <f t="shared" si="137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35"/>
        <v>-48066508344.838982</v>
      </c>
      <c r="J2741" s="444">
        <f t="array" ref="J2741">IFERROR(INDEX('Retirement Calculator'!K:K,MATCH('Lorri 401b'!N2741,'Retirement Calculator'!A:A,0),0),0)</f>
        <v>0</v>
      </c>
      <c r="K2741" s="444">
        <f t="shared" ca="1" si="133"/>
        <v>-200277118.10349575</v>
      </c>
      <c r="L2741" s="444">
        <f t="shared" ca="1" si="134"/>
        <v>-48266785462.942474</v>
      </c>
      <c r="M2741" s="460">
        <f t="shared" si="136"/>
        <v>0.05</v>
      </c>
      <c r="N2741" s="464">
        <f t="shared" si="137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35"/>
        <v>-48266785462.942474</v>
      </c>
      <c r="J2742" s="444">
        <f t="array" ref="J2742">IFERROR(INDEX('Retirement Calculator'!K:K,MATCH('Lorri 401b'!N2742,'Retirement Calculator'!A:A,0),0),0)</f>
        <v>0</v>
      </c>
      <c r="K2742" s="444">
        <f t="shared" ca="1" si="133"/>
        <v>-201111606.09559363</v>
      </c>
      <c r="L2742" s="444">
        <f t="shared" ca="1" si="134"/>
        <v>-48467897069.038071</v>
      </c>
      <c r="M2742" s="460">
        <f t="shared" si="136"/>
        <v>0.05</v>
      </c>
      <c r="N2742" s="464">
        <f t="shared" si="137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35"/>
        <v>-48467897069.038071</v>
      </c>
      <c r="J2743" s="444">
        <f t="array" ref="J2743">IFERROR(INDEX('Retirement Calculator'!K:K,MATCH('Lorri 401b'!N2743,'Retirement Calculator'!A:A,0),0),0)</f>
        <v>0</v>
      </c>
      <c r="K2743" s="444">
        <f t="shared" ca="1" si="133"/>
        <v>-201949571.12099195</v>
      </c>
      <c r="L2743" s="444">
        <f t="shared" ca="1" si="134"/>
        <v>-48669846640.159065</v>
      </c>
      <c r="M2743" s="460">
        <f t="shared" si="136"/>
        <v>0.05</v>
      </c>
      <c r="N2743" s="464">
        <f t="shared" si="137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35"/>
        <v>-48669846640.159065</v>
      </c>
      <c r="J2744" s="444">
        <f t="array" ref="J2744">IFERROR(INDEX('Retirement Calculator'!K:K,MATCH('Lorri 401b'!N2744,'Retirement Calculator'!A:A,0),0),0)</f>
        <v>0</v>
      </c>
      <c r="K2744" s="444">
        <f t="shared" ca="1" si="133"/>
        <v>-202791027.66732943</v>
      </c>
      <c r="L2744" s="444">
        <f t="shared" ca="1" si="134"/>
        <v>-48872637667.826393</v>
      </c>
      <c r="M2744" s="460">
        <f t="shared" si="136"/>
        <v>0.05</v>
      </c>
      <c r="N2744" s="464">
        <f t="shared" si="137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35"/>
        <v>-48872637667.826393</v>
      </c>
      <c r="J2745" s="444">
        <f t="array" ref="J2745">IFERROR(INDEX('Retirement Calculator'!K:K,MATCH('Lorri 401b'!N2745,'Retirement Calculator'!A:A,0),0),0)</f>
        <v>0</v>
      </c>
      <c r="K2745" s="444">
        <f t="shared" ca="1" si="133"/>
        <v>-203635990.28260997</v>
      </c>
      <c r="L2745" s="444">
        <f t="shared" ca="1" si="134"/>
        <v>-49076273658.109001</v>
      </c>
      <c r="M2745" s="460">
        <f t="shared" si="136"/>
        <v>0.05</v>
      </c>
      <c r="N2745" s="464">
        <f t="shared" si="137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35"/>
        <v>-49076273658.109001</v>
      </c>
      <c r="J2746" s="444">
        <f t="array" ref="J2746">IFERROR(INDEX('Retirement Calculator'!K:K,MATCH('Lorri 401b'!N2746,'Retirement Calculator'!A:A,0),0),0)</f>
        <v>0</v>
      </c>
      <c r="K2746" s="444">
        <f t="shared" ca="1" si="133"/>
        <v>-204484473.57545418</v>
      </c>
      <c r="L2746" s="444">
        <f t="shared" ca="1" si="134"/>
        <v>-49280758131.684456</v>
      </c>
      <c r="M2746" s="460">
        <f t="shared" si="136"/>
        <v>0.05</v>
      </c>
      <c r="N2746" s="464">
        <f t="shared" si="137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35"/>
        <v>-49280758131.684456</v>
      </c>
      <c r="J2747" s="444">
        <f t="array" ref="J2747">IFERROR(INDEX('Retirement Calculator'!K:K,MATCH('Lorri 401b'!N2747,'Retirement Calculator'!A:A,0),0),0)</f>
        <v>0</v>
      </c>
      <c r="K2747" s="444">
        <f t="shared" ca="1" si="133"/>
        <v>-205336492.21535191</v>
      </c>
      <c r="L2747" s="444">
        <f t="shared" ca="1" si="134"/>
        <v>-49486094623.899811</v>
      </c>
      <c r="M2747" s="460">
        <f t="shared" si="136"/>
        <v>0.05</v>
      </c>
      <c r="N2747" s="464">
        <f t="shared" si="137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35"/>
        <v>-49486094623.899811</v>
      </c>
      <c r="J2748" s="444">
        <f t="array" ref="J2748">IFERROR(INDEX('Retirement Calculator'!K:K,MATCH('Lorri 401b'!N2748,'Retirement Calculator'!A:A,0),0),0)</f>
        <v>0</v>
      </c>
      <c r="K2748" s="444">
        <f t="shared" ca="1" si="133"/>
        <v>-206192060.93291587</v>
      </c>
      <c r="L2748" s="444">
        <f t="shared" ca="1" si="134"/>
        <v>-49692286684.832726</v>
      </c>
      <c r="M2748" s="460">
        <f t="shared" si="136"/>
        <v>0.05</v>
      </c>
      <c r="N2748" s="464">
        <f t="shared" si="137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35"/>
        <v>-49692286684.832726</v>
      </c>
      <c r="J2749" s="444">
        <f t="array" ref="J2749">IFERROR(INDEX('Retirement Calculator'!K:K,MATCH('Lorri 401b'!N2749,'Retirement Calculator'!A:A,0),0),0)</f>
        <v>0</v>
      </c>
      <c r="K2749" s="444">
        <f t="shared" ca="1" si="133"/>
        <v>-207051194.52013636</v>
      </c>
      <c r="L2749" s="444">
        <f t="shared" ca="1" si="134"/>
        <v>-49899337879.352859</v>
      </c>
      <c r="M2749" s="460">
        <f t="shared" si="136"/>
        <v>0.05</v>
      </c>
      <c r="N2749" s="464">
        <f t="shared" si="137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35"/>
        <v>-49899337879.352859</v>
      </c>
      <c r="J2750" s="444">
        <f t="array" ref="J2750">IFERROR(INDEX('Retirement Calculator'!K:K,MATCH('Lorri 401b'!N2750,'Retirement Calculator'!A:A,0),0),0)</f>
        <v>0</v>
      </c>
      <c r="K2750" s="444">
        <f t="shared" ca="1" si="133"/>
        <v>-207913907.83063692</v>
      </c>
      <c r="L2750" s="444">
        <f t="shared" ca="1" si="134"/>
        <v>-50107251787.183495</v>
      </c>
      <c r="M2750" s="460">
        <f t="shared" si="136"/>
        <v>0.05</v>
      </c>
      <c r="N2750" s="464">
        <f t="shared" si="137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35"/>
        <v>-50107251787.183495</v>
      </c>
      <c r="J2751" s="444">
        <f t="array" ref="J2751">IFERROR(INDEX('Retirement Calculator'!K:K,MATCH('Lorri 401b'!N2751,'Retirement Calculator'!A:A,0),0),0)</f>
        <v>0</v>
      </c>
      <c r="K2751" s="444">
        <f t="shared" ca="1" si="133"/>
        <v>-208780215.77993122</v>
      </c>
      <c r="L2751" s="444">
        <f t="shared" ca="1" si="134"/>
        <v>-50316032002.963425</v>
      </c>
      <c r="M2751" s="460">
        <f t="shared" si="136"/>
        <v>0.05</v>
      </c>
      <c r="N2751" s="464">
        <f t="shared" si="137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35"/>
        <v>-50316032002.963425</v>
      </c>
      <c r="J2752" s="444">
        <f t="array" ref="J2752">IFERROR(INDEX('Retirement Calculator'!K:K,MATCH('Lorri 401b'!N2752,'Retirement Calculator'!A:A,0),0),0)</f>
        <v>0</v>
      </c>
      <c r="K2752" s="444">
        <f t="shared" ca="1" si="133"/>
        <v>-209650133.34568092</v>
      </c>
      <c r="L2752" s="444">
        <f t="shared" ca="1" si="134"/>
        <v>-50525682136.309105</v>
      </c>
      <c r="M2752" s="460">
        <f t="shared" si="136"/>
        <v>0.05</v>
      </c>
      <c r="N2752" s="464">
        <f t="shared" si="137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35"/>
        <v>-50525682136.309105</v>
      </c>
      <c r="J2753" s="444">
        <f t="array" ref="J2753">IFERROR(INDEX('Retirement Calculator'!K:K,MATCH('Lorri 401b'!N2753,'Retirement Calculator'!A:A,0),0),0)</f>
        <v>0</v>
      </c>
      <c r="K2753" s="444">
        <f t="shared" ca="1" si="133"/>
        <v>-210523675.5679546</v>
      </c>
      <c r="L2753" s="444">
        <f t="shared" ca="1" si="134"/>
        <v>-50736205811.87706</v>
      </c>
      <c r="M2753" s="460">
        <f t="shared" si="136"/>
        <v>0.05</v>
      </c>
      <c r="N2753" s="464">
        <f t="shared" si="137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35"/>
        <v>-50736205811.87706</v>
      </c>
      <c r="J2754" s="444">
        <f t="array" ref="J2754">IFERROR(INDEX('Retirement Calculator'!K:K,MATCH('Lorri 401b'!N2754,'Retirement Calculator'!A:A,0),0),0)</f>
        <v>0</v>
      </c>
      <c r="K2754" s="444">
        <f t="shared" ca="1" si="133"/>
        <v>-211400857.54948774</v>
      </c>
      <c r="L2754" s="444">
        <f t="shared" ca="1" si="134"/>
        <v>-50947606669.426544</v>
      </c>
      <c r="M2754" s="460">
        <f t="shared" si="136"/>
        <v>0.05</v>
      </c>
      <c r="N2754" s="464">
        <f t="shared" si="137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35"/>
        <v>-50947606669.426544</v>
      </c>
      <c r="J2755" s="444">
        <f t="array" ref="J2755">IFERROR(INDEX('Retirement Calculator'!K:K,MATCH('Lorri 401b'!N2755,'Retirement Calculator'!A:A,0),0),0)</f>
        <v>0</v>
      </c>
      <c r="K2755" s="444">
        <f t="shared" ca="1" si="133"/>
        <v>-212281694.45594394</v>
      </c>
      <c r="L2755" s="444">
        <f t="shared" ca="1" si="134"/>
        <v>-51159888363.882484</v>
      </c>
      <c r="M2755" s="460">
        <f t="shared" si="136"/>
        <v>0.05</v>
      </c>
      <c r="N2755" s="464">
        <f t="shared" si="137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35"/>
        <v>-51159888363.882484</v>
      </c>
      <c r="J2756" s="444">
        <f t="array" ref="J2756">IFERROR(INDEX('Retirement Calculator'!K:K,MATCH('Lorri 401b'!N2756,'Retirement Calculator'!A:A,0),0),0)</f>
        <v>0</v>
      </c>
      <c r="K2756" s="444">
        <f t="shared" ca="1" si="133"/>
        <v>-213166201.51617703</v>
      </c>
      <c r="L2756" s="444">
        <f t="shared" ca="1" si="134"/>
        <v>-51373054565.398659</v>
      </c>
      <c r="M2756" s="460">
        <f t="shared" si="136"/>
        <v>0.05</v>
      </c>
      <c r="N2756" s="464">
        <f t="shared" si="137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35"/>
        <v>-51373054565.398659</v>
      </c>
      <c r="J2757" s="444">
        <f t="array" ref="J2757">IFERROR(INDEX('Retirement Calculator'!K:K,MATCH('Lorri 401b'!N2757,'Retirement Calculator'!A:A,0),0),0)</f>
        <v>0</v>
      </c>
      <c r="K2757" s="444">
        <f t="shared" ca="1" si="133"/>
        <v>-214054394.02249441</v>
      </c>
      <c r="L2757" s="444">
        <f t="shared" ca="1" si="134"/>
        <v>-51587108959.42115</v>
      </c>
      <c r="M2757" s="460">
        <f t="shared" si="136"/>
        <v>0.05</v>
      </c>
      <c r="N2757" s="464">
        <f t="shared" si="137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35"/>
        <v>-51587108959.42115</v>
      </c>
      <c r="J2758" s="444">
        <f t="array" ref="J2758">IFERROR(INDEX('Retirement Calculator'!K:K,MATCH('Lorri 401b'!N2758,'Retirement Calculator'!A:A,0),0),0)</f>
        <v>0</v>
      </c>
      <c r="K2758" s="444">
        <f t="shared" ca="1" si="133"/>
        <v>-214946287.33092147</v>
      </c>
      <c r="L2758" s="444">
        <f t="shared" ca="1" si="134"/>
        <v>-51802055246.752075</v>
      </c>
      <c r="M2758" s="460">
        <f t="shared" si="136"/>
        <v>0.05</v>
      </c>
      <c r="N2758" s="464">
        <f t="shared" si="137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35"/>
        <v>-51802055246.752075</v>
      </c>
      <c r="J2759" s="444">
        <f t="array" ref="J2759">IFERROR(INDEX('Retirement Calculator'!K:K,MATCH('Lorri 401b'!N2759,'Retirement Calculator'!A:A,0),0),0)</f>
        <v>0</v>
      </c>
      <c r="K2759" s="444">
        <f t="shared" ca="1" si="133"/>
        <v>-215841896.86146697</v>
      </c>
      <c r="L2759" s="444">
        <f t="shared" ca="1" si="134"/>
        <v>-52017897143.613541</v>
      </c>
      <c r="M2759" s="460">
        <f t="shared" si="136"/>
        <v>0.05</v>
      </c>
      <c r="N2759" s="464">
        <f t="shared" si="137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35"/>
        <v>-52017897143.613541</v>
      </c>
      <c r="J2760" s="444">
        <f t="array" ref="J2760">IFERROR(INDEX('Retirement Calculator'!K:K,MATCH('Lorri 401b'!N2760,'Retirement Calculator'!A:A,0),0),0)</f>
        <v>0</v>
      </c>
      <c r="K2760" s="444">
        <f t="shared" ca="1" si="133"/>
        <v>-216741238.09838974</v>
      </c>
      <c r="L2760" s="444">
        <f t="shared" ca="1" si="134"/>
        <v>-52234638381.711929</v>
      </c>
      <c r="M2760" s="460">
        <f t="shared" si="136"/>
        <v>0.05</v>
      </c>
      <c r="N2760" s="464">
        <f t="shared" si="137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35"/>
        <v>-52234638381.711929</v>
      </c>
      <c r="J2761" s="444">
        <f t="array" ref="J2761">IFERROR(INDEX('Retirement Calculator'!K:K,MATCH('Lorri 401b'!N2761,'Retirement Calculator'!A:A,0),0),0)</f>
        <v>0</v>
      </c>
      <c r="K2761" s="444">
        <f t="shared" ca="1" si="133"/>
        <v>-217644326.59046638</v>
      </c>
      <c r="L2761" s="444">
        <f t="shared" ca="1" si="134"/>
        <v>-52452282708.302399</v>
      </c>
      <c r="M2761" s="460">
        <f t="shared" si="136"/>
        <v>0.05</v>
      </c>
      <c r="N2761" s="464">
        <f t="shared" si="137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35"/>
        <v>-52452282708.302399</v>
      </c>
      <c r="J2762" s="444">
        <f t="array" ref="J2762">IFERROR(INDEX('Retirement Calculator'!K:K,MATCH('Lorri 401b'!N2762,'Retirement Calculator'!A:A,0),0),0)</f>
        <v>0</v>
      </c>
      <c r="K2762" s="444">
        <f t="shared" ca="1" si="133"/>
        <v>-218551177.95126</v>
      </c>
      <c r="L2762" s="444">
        <f t="shared" ca="1" si="134"/>
        <v>-52670833886.253662</v>
      </c>
      <c r="M2762" s="460">
        <f t="shared" si="136"/>
        <v>0.05</v>
      </c>
      <c r="N2762" s="464">
        <f t="shared" si="137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35"/>
        <v>-52670833886.253662</v>
      </c>
      <c r="J2763" s="444">
        <f t="array" ref="J2763">IFERROR(INDEX('Retirement Calculator'!K:K,MATCH('Lorri 401b'!N2763,'Retirement Calculator'!A:A,0),0),0)</f>
        <v>0</v>
      </c>
      <c r="K2763" s="444">
        <f t="shared" ca="1" si="133"/>
        <v>-219461807.85939026</v>
      </c>
      <c r="L2763" s="444">
        <f t="shared" ca="1" si="134"/>
        <v>-52890295694.113052</v>
      </c>
      <c r="M2763" s="460">
        <f t="shared" si="136"/>
        <v>0.05</v>
      </c>
      <c r="N2763" s="464">
        <f t="shared" si="137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35"/>
        <v>-52890295694.113052</v>
      </c>
      <c r="J2764" s="444">
        <f t="array" ref="J2764">IFERROR(INDEX('Retirement Calculator'!K:K,MATCH('Lorri 401b'!N2764,'Retirement Calculator'!A:A,0),0),0)</f>
        <v>0</v>
      </c>
      <c r="K2764" s="444">
        <f t="shared" ca="1" si="133"/>
        <v>-220376232.05880439</v>
      </c>
      <c r="L2764" s="444">
        <f t="shared" ca="1" si="134"/>
        <v>-53110671926.17186</v>
      </c>
      <c r="M2764" s="460">
        <f t="shared" si="136"/>
        <v>0.05</v>
      </c>
      <c r="N2764" s="464">
        <f t="shared" si="137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35"/>
        <v>-53110671926.17186</v>
      </c>
      <c r="J2765" s="444">
        <f t="array" ref="J2765">IFERROR(INDEX('Retirement Calculator'!K:K,MATCH('Lorri 401b'!N2765,'Retirement Calculator'!A:A,0),0),0)</f>
        <v>0</v>
      </c>
      <c r="K2765" s="444">
        <f t="shared" ca="1" si="133"/>
        <v>-221294466.35904941</v>
      </c>
      <c r="L2765" s="444">
        <f t="shared" ca="1" si="134"/>
        <v>-53331966392.530907</v>
      </c>
      <c r="M2765" s="460">
        <f t="shared" si="136"/>
        <v>0.05</v>
      </c>
      <c r="N2765" s="464">
        <f t="shared" si="137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35"/>
        <v>-53331966392.530907</v>
      </c>
      <c r="J2766" s="444">
        <f t="array" ref="J2766">IFERROR(INDEX('Retirement Calculator'!K:K,MATCH('Lorri 401b'!N2766,'Retirement Calculator'!A:A,0),0),0)</f>
        <v>0</v>
      </c>
      <c r="K2766" s="444">
        <f t="shared" ca="1" si="133"/>
        <v>-222216526.63554543</v>
      </c>
      <c r="L2766" s="444">
        <f t="shared" ca="1" si="134"/>
        <v>-53554182919.166451</v>
      </c>
      <c r="M2766" s="460">
        <f t="shared" si="136"/>
        <v>0.05</v>
      </c>
      <c r="N2766" s="464">
        <f t="shared" si="137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35"/>
        <v>-53554182919.166451</v>
      </c>
      <c r="J2767" s="444">
        <f t="array" ref="J2767">IFERROR(INDEX('Retirement Calculator'!K:K,MATCH('Lorri 401b'!N2767,'Retirement Calculator'!A:A,0),0),0)</f>
        <v>0</v>
      </c>
      <c r="K2767" s="444">
        <f t="shared" ca="1" si="133"/>
        <v>-223142428.82986021</v>
      </c>
      <c r="L2767" s="444">
        <f t="shared" ca="1" si="134"/>
        <v>-53777325347.996307</v>
      </c>
      <c r="M2767" s="460">
        <f t="shared" si="136"/>
        <v>0.05</v>
      </c>
      <c r="N2767" s="464">
        <f t="shared" si="137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35"/>
        <v>-53777325347.996307</v>
      </c>
      <c r="J2768" s="444">
        <f t="array" ref="J2768">IFERROR(INDEX('Retirement Calculator'!K:K,MATCH('Lorri 401b'!N2768,'Retirement Calculator'!A:A,0),0),0)</f>
        <v>0</v>
      </c>
      <c r="K2768" s="444">
        <f t="shared" ca="1" si="133"/>
        <v>-224072188.94998461</v>
      </c>
      <c r="L2768" s="444">
        <f t="shared" ca="1" si="134"/>
        <v>-54001397536.946289</v>
      </c>
      <c r="M2768" s="460">
        <f t="shared" si="136"/>
        <v>0.05</v>
      </c>
      <c r="N2768" s="464">
        <f t="shared" si="137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35"/>
        <v>-54001397536.946289</v>
      </c>
      <c r="J2769" s="444">
        <f t="array" ref="J2769">IFERROR(INDEX('Retirement Calculator'!K:K,MATCH('Lorri 401b'!N2769,'Retirement Calculator'!A:A,0),0),0)</f>
        <v>0</v>
      </c>
      <c r="K2769" s="444">
        <f t="shared" ca="1" si="133"/>
        <v>-225005823.07060957</v>
      </c>
      <c r="L2769" s="444">
        <f t="shared" ca="1" si="134"/>
        <v>-54226403360.016899</v>
      </c>
      <c r="M2769" s="460">
        <f t="shared" si="136"/>
        <v>0.05</v>
      </c>
      <c r="N2769" s="464">
        <f t="shared" si="137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35"/>
        <v>-54226403360.016899</v>
      </c>
      <c r="J2770" s="444">
        <f t="array" ref="J2770">IFERROR(INDEX('Retirement Calculator'!K:K,MATCH('Lorri 401b'!N2770,'Retirement Calculator'!A:A,0),0),0)</f>
        <v>0</v>
      </c>
      <c r="K2770" s="444">
        <f t="shared" ca="1" si="133"/>
        <v>-225943347.33340374</v>
      </c>
      <c r="L2770" s="444">
        <f t="shared" ca="1" si="134"/>
        <v>-54452346707.350304</v>
      </c>
      <c r="M2770" s="460">
        <f t="shared" si="136"/>
        <v>0.05</v>
      </c>
      <c r="N2770" s="464">
        <f t="shared" si="137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35"/>
        <v>-54452346707.350304</v>
      </c>
      <c r="J2771" s="444">
        <f t="array" ref="J2771">IFERROR(INDEX('Retirement Calculator'!K:K,MATCH('Lorri 401b'!N2771,'Retirement Calculator'!A:A,0),0),0)</f>
        <v>0</v>
      </c>
      <c r="K2771" s="444">
        <f t="shared" ca="1" si="133"/>
        <v>-226884777.94729292</v>
      </c>
      <c r="L2771" s="444">
        <f t="shared" ca="1" si="134"/>
        <v>-54679231485.2976</v>
      </c>
      <c r="M2771" s="460">
        <f t="shared" si="136"/>
        <v>0.05</v>
      </c>
      <c r="N2771" s="464">
        <f t="shared" si="137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35"/>
        <v>-54679231485.2976</v>
      </c>
      <c r="J2772" s="444">
        <f t="array" ref="J2772">IFERROR(INDEX('Retirement Calculator'!K:K,MATCH('Lorri 401b'!N2772,'Retirement Calculator'!A:A,0),0),0)</f>
        <v>0</v>
      </c>
      <c r="K2772" s="444">
        <f t="shared" ca="1" si="133"/>
        <v>-227830131.18873999</v>
      </c>
      <c r="L2772" s="444">
        <f t="shared" ca="1" si="134"/>
        <v>-54907061616.486343</v>
      </c>
      <c r="M2772" s="460">
        <f t="shared" si="136"/>
        <v>0.05</v>
      </c>
      <c r="N2772" s="464">
        <f t="shared" si="137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35"/>
        <v>-54907061616.486343</v>
      </c>
      <c r="J2773" s="444">
        <f t="array" ref="J2773">IFERROR(INDEX('Retirement Calculator'!K:K,MATCH('Lorri 401b'!N2773,'Retirement Calculator'!A:A,0),0),0)</f>
        <v>0</v>
      </c>
      <c r="K2773" s="444">
        <f t="shared" ca="1" si="133"/>
        <v>-228779423.40202641</v>
      </c>
      <c r="L2773" s="444">
        <f t="shared" ca="1" si="134"/>
        <v>-55135841039.888367</v>
      </c>
      <c r="M2773" s="460">
        <f t="shared" si="136"/>
        <v>0.05</v>
      </c>
      <c r="N2773" s="464">
        <f t="shared" si="137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35"/>
        <v>-55135841039.888367</v>
      </c>
      <c r="J2774" s="444">
        <f t="array" ref="J2774">IFERROR(INDEX('Retirement Calculator'!K:K,MATCH('Lorri 401b'!N2774,'Retirement Calculator'!A:A,0),0),0)</f>
        <v>0</v>
      </c>
      <c r="K2774" s="444">
        <f t="shared" ca="1" si="133"/>
        <v>-229732670.99953482</v>
      </c>
      <c r="L2774" s="444">
        <f t="shared" ca="1" si="134"/>
        <v>-55365573710.887901</v>
      </c>
      <c r="M2774" s="460">
        <f t="shared" si="136"/>
        <v>0.05</v>
      </c>
      <c r="N2774" s="464">
        <f t="shared" si="137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35"/>
        <v>-55365573710.887901</v>
      </c>
      <c r="J2775" s="444">
        <f t="array" ref="J2775">IFERROR(INDEX('Retirement Calculator'!K:K,MATCH('Lorri 401b'!N2775,'Retirement Calculator'!A:A,0),0),0)</f>
        <v>0</v>
      </c>
      <c r="K2775" s="444">
        <f t="shared" ca="1" si="133"/>
        <v>-230689890.46203291</v>
      </c>
      <c r="L2775" s="444">
        <f t="shared" ca="1" si="134"/>
        <v>-55596263601.349937</v>
      </c>
      <c r="M2775" s="460">
        <f t="shared" si="136"/>
        <v>0.05</v>
      </c>
      <c r="N2775" s="464">
        <f t="shared" si="137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35"/>
        <v>-55596263601.349937</v>
      </c>
      <c r="J2776" s="444">
        <f t="array" ref="J2776">IFERROR(INDEX('Retirement Calculator'!K:K,MATCH('Lorri 401b'!N2776,'Retirement Calculator'!A:A,0),0),0)</f>
        <v>0</v>
      </c>
      <c r="K2776" s="444">
        <f t="shared" ca="1" si="133"/>
        <v>-231651098.33895811</v>
      </c>
      <c r="L2776" s="444">
        <f t="shared" ca="1" si="134"/>
        <v>-55827914699.688896</v>
      </c>
      <c r="M2776" s="460">
        <f t="shared" si="136"/>
        <v>0.05</v>
      </c>
      <c r="N2776" s="464">
        <f t="shared" si="137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35"/>
        <v>-55827914699.688896</v>
      </c>
      <c r="J2777" s="444">
        <f t="array" ref="J2777">IFERROR(INDEX('Retirement Calculator'!K:K,MATCH('Lorri 401b'!N2777,'Retirement Calculator'!A:A,0),0),0)</f>
        <v>0</v>
      </c>
      <c r="K2777" s="444">
        <f t="shared" ca="1" si="133"/>
        <v>-232616311.24870372</v>
      </c>
      <c r="L2777" s="444">
        <f t="shared" ca="1" si="134"/>
        <v>-56060531010.937599</v>
      </c>
      <c r="M2777" s="460">
        <f t="shared" si="136"/>
        <v>0.05</v>
      </c>
      <c r="N2777" s="464">
        <f t="shared" si="137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35"/>
        <v>-56060531010.937599</v>
      </c>
      <c r="J2778" s="444">
        <f t="array" ref="J2778">IFERROR(INDEX('Retirement Calculator'!K:K,MATCH('Lorri 401b'!N2778,'Retirement Calculator'!A:A,0),0),0)</f>
        <v>0</v>
      </c>
      <c r="K2778" s="444">
        <f t="shared" ca="1" si="133"/>
        <v>-233585545.87890667</v>
      </c>
      <c r="L2778" s="444">
        <f t="shared" ca="1" si="134"/>
        <v>-56294116556.816505</v>
      </c>
      <c r="M2778" s="460">
        <f t="shared" si="136"/>
        <v>0.05</v>
      </c>
      <c r="N2778" s="464">
        <f t="shared" si="137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35"/>
        <v>-56294116556.816505</v>
      </c>
      <c r="J2779" s="444">
        <f t="array" ref="J2779">IFERROR(INDEX('Retirement Calculator'!K:K,MATCH('Lorri 401b'!N2779,'Retirement Calculator'!A:A,0),0),0)</f>
        <v>0</v>
      </c>
      <c r="K2779" s="444">
        <f t="shared" ca="1" si="133"/>
        <v>-234558818.98673546</v>
      </c>
      <c r="L2779" s="444">
        <f t="shared" ca="1" si="134"/>
        <v>-56528675375.803238</v>
      </c>
      <c r="M2779" s="460">
        <f t="shared" si="136"/>
        <v>0.05</v>
      </c>
      <c r="N2779" s="464">
        <f t="shared" si="137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35"/>
        <v>-56528675375.803238</v>
      </c>
      <c r="J2780" s="444">
        <f t="array" ref="J2780">IFERROR(INDEX('Retirement Calculator'!K:K,MATCH('Lorri 401b'!N2780,'Retirement Calculator'!A:A,0),0),0)</f>
        <v>0</v>
      </c>
      <c r="K2780" s="444">
        <f t="shared" ca="1" si="133"/>
        <v>-235536147.39918014</v>
      </c>
      <c r="L2780" s="444">
        <f t="shared" ca="1" si="134"/>
        <v>-56764211523.202415</v>
      </c>
      <c r="M2780" s="460">
        <f t="shared" si="136"/>
        <v>0.05</v>
      </c>
      <c r="N2780" s="464">
        <f t="shared" si="137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35"/>
        <v>-56764211523.202415</v>
      </c>
      <c r="J2781" s="444">
        <f t="array" ref="J2781">IFERROR(INDEX('Retirement Calculator'!K:K,MATCH('Lorri 401b'!N2781,'Retirement Calculator'!A:A,0),0),0)</f>
        <v>0</v>
      </c>
      <c r="K2781" s="444">
        <f t="shared" ca="1" si="133"/>
        <v>-236517548.01334339</v>
      </c>
      <c r="L2781" s="444">
        <f t="shared" ca="1" si="134"/>
        <v>-57000729071.215759</v>
      </c>
      <c r="M2781" s="460">
        <f t="shared" si="136"/>
        <v>0.05</v>
      </c>
      <c r="N2781" s="464">
        <f t="shared" si="137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35"/>
        <v>-57000729071.215759</v>
      </c>
      <c r="J2782" s="444">
        <f t="array" ref="J2782">IFERROR(INDEX('Retirement Calculator'!K:K,MATCH('Lorri 401b'!N2782,'Retirement Calculator'!A:A,0),0),0)</f>
        <v>0</v>
      </c>
      <c r="K2782" s="444">
        <f t="shared" ca="1" si="133"/>
        <v>-237503037.79673234</v>
      </c>
      <c r="L2782" s="444">
        <f t="shared" ca="1" si="134"/>
        <v>-57238232109.012489</v>
      </c>
      <c r="M2782" s="460">
        <f t="shared" si="136"/>
        <v>0.05</v>
      </c>
      <c r="N2782" s="464">
        <f t="shared" si="137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35"/>
        <v>-57238232109.012489</v>
      </c>
      <c r="J2783" s="444">
        <f t="array" ref="J2783">IFERROR(INDEX('Retirement Calculator'!K:K,MATCH('Lorri 401b'!N2783,'Retirement Calculator'!A:A,0),0),0)</f>
        <v>0</v>
      </c>
      <c r="K2783" s="444">
        <f t="shared" ca="1" si="133"/>
        <v>-238492633.787552</v>
      </c>
      <c r="L2783" s="444">
        <f t="shared" ca="1" si="134"/>
        <v>-57476724742.800041</v>
      </c>
      <c r="M2783" s="460">
        <f t="shared" si="136"/>
        <v>0.05</v>
      </c>
      <c r="N2783" s="464">
        <f t="shared" si="137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35"/>
        <v>-57476724742.800041</v>
      </c>
      <c r="J2784" s="444">
        <f t="array" ref="J2784">IFERROR(INDEX('Retirement Calculator'!K:K,MATCH('Lorri 401b'!N2784,'Retirement Calculator'!A:A,0),0),0)</f>
        <v>0</v>
      </c>
      <c r="K2784" s="444">
        <f t="shared" ca="1" si="133"/>
        <v>-239486353.09500018</v>
      </c>
      <c r="L2784" s="444">
        <f t="shared" ca="1" si="134"/>
        <v>-57716211095.895042</v>
      </c>
      <c r="M2784" s="460">
        <f t="shared" si="136"/>
        <v>0.05</v>
      </c>
      <c r="N2784" s="464">
        <f t="shared" si="137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35"/>
        <v>-57716211095.895042</v>
      </c>
      <c r="J2785" s="444">
        <f t="array" ref="J2785">IFERROR(INDEX('Retirement Calculator'!K:K,MATCH('Lorri 401b'!N2785,'Retirement Calculator'!A:A,0),0),0)</f>
        <v>0</v>
      </c>
      <c r="K2785" s="444">
        <f t="shared" ca="1" si="133"/>
        <v>-240484212.89956269</v>
      </c>
      <c r="L2785" s="444">
        <f t="shared" ca="1" si="134"/>
        <v>-57956695308.794601</v>
      </c>
      <c r="M2785" s="460">
        <f t="shared" si="136"/>
        <v>0.05</v>
      </c>
      <c r="N2785" s="464">
        <f t="shared" si="137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35"/>
        <v>-57956695308.794601</v>
      </c>
      <c r="J2786" s="444">
        <f t="array" ref="J2786">IFERROR(INDEX('Retirement Calculator'!K:K,MATCH('Lorri 401b'!N2786,'Retirement Calculator'!A:A,0),0),0)</f>
        <v>0</v>
      </c>
      <c r="K2786" s="444">
        <f t="shared" ca="1" si="133"/>
        <v>-241486230.45331088</v>
      </c>
      <c r="L2786" s="444">
        <f t="shared" ca="1" si="134"/>
        <v>-58198181539.24791</v>
      </c>
      <c r="M2786" s="460">
        <f t="shared" si="136"/>
        <v>0.05</v>
      </c>
      <c r="N2786" s="464">
        <f t="shared" si="137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35"/>
        <v>-58198181539.24791</v>
      </c>
      <c r="J2787" s="444">
        <f t="array" ref="J2787">IFERROR(INDEX('Retirement Calculator'!K:K,MATCH('Lorri 401b'!N2787,'Retirement Calculator'!A:A,0),0),0)</f>
        <v>0</v>
      </c>
      <c r="K2787" s="444">
        <f t="shared" ca="1" si="133"/>
        <v>-242492423.08019963</v>
      </c>
      <c r="L2787" s="444">
        <f t="shared" ca="1" si="134"/>
        <v>-58440673962.32811</v>
      </c>
      <c r="M2787" s="460">
        <f t="shared" si="136"/>
        <v>0.05</v>
      </c>
      <c r="N2787" s="464">
        <f t="shared" si="137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35"/>
        <v>-58440673962.32811</v>
      </c>
      <c r="J2788" s="444">
        <f t="array" ref="J2788">IFERROR(INDEX('Retirement Calculator'!K:K,MATCH('Lorri 401b'!N2788,'Retirement Calculator'!A:A,0),0),0)</f>
        <v>0</v>
      </c>
      <c r="K2788" s="444">
        <f t="shared" ca="1" si="133"/>
        <v>-243502808.17636716</v>
      </c>
      <c r="L2788" s="444">
        <f t="shared" ca="1" si="134"/>
        <v>-58684176770.504478</v>
      </c>
      <c r="M2788" s="460">
        <f t="shared" si="136"/>
        <v>0.05</v>
      </c>
      <c r="N2788" s="464">
        <f t="shared" si="137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35"/>
        <v>-58684176770.504478</v>
      </c>
      <c r="J2789" s="444">
        <f t="array" ref="J2789">IFERROR(INDEX('Retirement Calculator'!K:K,MATCH('Lorri 401b'!N2789,'Retirement Calculator'!A:A,0),0),0)</f>
        <v>0</v>
      </c>
      <c r="K2789" s="444">
        <f t="shared" ca="1" si="133"/>
        <v>-244517403.2104353</v>
      </c>
      <c r="L2789" s="444">
        <f t="shared" ca="1" si="134"/>
        <v>-58928694173.714912</v>
      </c>
      <c r="M2789" s="460">
        <f t="shared" si="136"/>
        <v>0.05</v>
      </c>
      <c r="N2789" s="464">
        <f t="shared" si="137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35"/>
        <v>-58928694173.714912</v>
      </c>
      <c r="J2790" s="444">
        <f t="array" ref="J2790">IFERROR(INDEX('Retirement Calculator'!K:K,MATCH('Lorri 401b'!N2790,'Retirement Calculator'!A:A,0),0),0)</f>
        <v>0</v>
      </c>
      <c r="K2790" s="444">
        <f t="shared" ca="1" si="133"/>
        <v>-245536225.72381216</v>
      </c>
      <c r="L2790" s="444">
        <f t="shared" ca="1" si="134"/>
        <v>-59174230399.438728</v>
      </c>
      <c r="M2790" s="460">
        <f t="shared" si="136"/>
        <v>0.05</v>
      </c>
      <c r="N2790" s="464">
        <f t="shared" si="137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35"/>
        <v>-59174230399.438728</v>
      </c>
      <c r="J2791" s="444">
        <f t="array" ref="J2791">IFERROR(INDEX('Retirement Calculator'!K:K,MATCH('Lorri 401b'!N2791,'Retirement Calculator'!A:A,0),0),0)</f>
        <v>0</v>
      </c>
      <c r="K2791" s="444">
        <f t="shared" ca="1" si="133"/>
        <v>-246559293.3309947</v>
      </c>
      <c r="L2791" s="444">
        <f t="shared" ca="1" si="134"/>
        <v>-59420789692.769722</v>
      </c>
      <c r="M2791" s="460">
        <f t="shared" si="136"/>
        <v>0.05</v>
      </c>
      <c r="N2791" s="464">
        <f t="shared" si="137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35"/>
        <v>-59420789692.769722</v>
      </c>
      <c r="J2792" s="444">
        <f t="array" ref="J2792">IFERROR(INDEX('Retirement Calculator'!K:K,MATCH('Lorri 401b'!N2792,'Retirement Calculator'!A:A,0),0),0)</f>
        <v>0</v>
      </c>
      <c r="K2792" s="444">
        <f t="shared" ca="1" si="133"/>
        <v>-247586623.71987382</v>
      </c>
      <c r="L2792" s="444">
        <f t="shared" ca="1" si="134"/>
        <v>-59668376316.489594</v>
      </c>
      <c r="M2792" s="460">
        <f t="shared" si="136"/>
        <v>0.05</v>
      </c>
      <c r="N2792" s="464">
        <f t="shared" si="137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35"/>
        <v>-59668376316.489594</v>
      </c>
      <c r="J2793" s="444">
        <f t="array" ref="J2793">IFERROR(INDEX('Retirement Calculator'!K:K,MATCH('Lorri 401b'!N2793,'Retirement Calculator'!A:A,0),0),0)</f>
        <v>0</v>
      </c>
      <c r="K2793" s="444">
        <f t="shared" ca="1" si="133"/>
        <v>-248618234.65203997</v>
      </c>
      <c r="L2793" s="444">
        <f t="shared" ca="1" si="134"/>
        <v>-59916994551.141632</v>
      </c>
      <c r="M2793" s="460">
        <f t="shared" si="136"/>
        <v>0.05</v>
      </c>
      <c r="N2793" s="464">
        <f t="shared" si="137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35"/>
        <v>-59916994551.141632</v>
      </c>
      <c r="J2794" s="444">
        <f t="array" ref="J2794">IFERROR(INDEX('Retirement Calculator'!K:K,MATCH('Lorri 401b'!N2794,'Retirement Calculator'!A:A,0),0),0)</f>
        <v>0</v>
      </c>
      <c r="K2794" s="444">
        <f t="shared" ca="1" si="133"/>
        <v>-249654143.96309015</v>
      </c>
      <c r="L2794" s="444">
        <f t="shared" ca="1" si="134"/>
        <v>-60166648695.104721</v>
      </c>
      <c r="M2794" s="460">
        <f t="shared" si="136"/>
        <v>0.05</v>
      </c>
      <c r="N2794" s="464">
        <f t="shared" si="137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35"/>
        <v>-60166648695.104721</v>
      </c>
      <c r="J2795" s="444">
        <f t="array" ref="J2795">IFERROR(INDEX('Retirement Calculator'!K:K,MATCH('Lorri 401b'!N2795,'Retirement Calculator'!A:A,0),0),0)</f>
        <v>0</v>
      </c>
      <c r="K2795" s="444">
        <f t="shared" ca="1" si="133"/>
        <v>-250694369.56293634</v>
      </c>
      <c r="L2795" s="444">
        <f t="shared" ca="1" si="134"/>
        <v>-60417343064.667656</v>
      </c>
      <c r="M2795" s="460">
        <f t="shared" si="136"/>
        <v>0.05</v>
      </c>
      <c r="N2795" s="464">
        <f t="shared" si="137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35"/>
        <v>-60417343064.667656</v>
      </c>
      <c r="J2796" s="444">
        <f t="array" ref="J2796">IFERROR(INDEX('Retirement Calculator'!K:K,MATCH('Lorri 401b'!N2796,'Retirement Calculator'!A:A,0),0),0)</f>
        <v>0</v>
      </c>
      <c r="K2796" s="444">
        <f t="shared" ca="1" si="133"/>
        <v>-251738929.43611524</v>
      </c>
      <c r="L2796" s="444">
        <f t="shared" ca="1" si="134"/>
        <v>-60669081994.103767</v>
      </c>
      <c r="M2796" s="460">
        <f t="shared" si="136"/>
        <v>0.05</v>
      </c>
      <c r="N2796" s="464">
        <f t="shared" si="137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35"/>
        <v>-60669081994.103767</v>
      </c>
      <c r="J2797" s="444">
        <f t="array" ref="J2797">IFERROR(INDEX('Retirement Calculator'!K:K,MATCH('Lorri 401b'!N2797,'Retirement Calculator'!A:A,0),0),0)</f>
        <v>0</v>
      </c>
      <c r="K2797" s="444">
        <f t="shared" ca="1" si="133"/>
        <v>-252787841.64209902</v>
      </c>
      <c r="L2797" s="444">
        <f t="shared" ca="1" si="134"/>
        <v>-60921869835.745865</v>
      </c>
      <c r="M2797" s="460">
        <f t="shared" si="136"/>
        <v>0.05</v>
      </c>
      <c r="N2797" s="464">
        <f t="shared" si="137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35"/>
        <v>-60921869835.745865</v>
      </c>
      <c r="J2798" s="444">
        <f t="array" ref="J2798">IFERROR(INDEX('Retirement Calculator'!K:K,MATCH('Lorri 401b'!N2798,'Retirement Calculator'!A:A,0),0),0)</f>
        <v>0</v>
      </c>
      <c r="K2798" s="444">
        <f t="shared" ca="1" si="133"/>
        <v>-253841124.31560776</v>
      </c>
      <c r="L2798" s="444">
        <f t="shared" ca="1" si="134"/>
        <v>-61175710960.06147</v>
      </c>
      <c r="M2798" s="460">
        <f t="shared" si="136"/>
        <v>0.05</v>
      </c>
      <c r="N2798" s="464">
        <f t="shared" si="137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35"/>
        <v>-61175710960.06147</v>
      </c>
      <c r="J2799" s="444">
        <f t="array" ref="J2799">IFERROR(INDEX('Retirement Calculator'!K:K,MATCH('Lorri 401b'!N2799,'Retirement Calculator'!A:A,0),0),0)</f>
        <v>0</v>
      </c>
      <c r="K2799" s="444">
        <f t="shared" ca="1" si="133"/>
        <v>-254898795.66692278</v>
      </c>
      <c r="L2799" s="444">
        <f t="shared" ca="1" si="134"/>
        <v>-61430609755.728394</v>
      </c>
      <c r="M2799" s="460">
        <f t="shared" si="136"/>
        <v>0.05</v>
      </c>
      <c r="N2799" s="464">
        <f t="shared" si="137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35"/>
        <v>-61430609755.728394</v>
      </c>
      <c r="J2800" s="444">
        <f t="array" ref="J2800">IFERROR(INDEX('Retirement Calculator'!K:K,MATCH('Lorri 401b'!N2800,'Retirement Calculator'!A:A,0),0),0)</f>
        <v>0</v>
      </c>
      <c r="K2800" s="444">
        <f t="shared" ca="1" si="133"/>
        <v>-255960873.98220164</v>
      </c>
      <c r="L2800" s="444">
        <f t="shared" ca="1" si="134"/>
        <v>-61686570629.710594</v>
      </c>
      <c r="M2800" s="460">
        <f t="shared" si="136"/>
        <v>0.05</v>
      </c>
      <c r="N2800" s="464">
        <f t="shared" si="137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35"/>
        <v>-61686570629.710594</v>
      </c>
      <c r="J2801" s="444">
        <f t="array" ref="J2801">IFERROR(INDEX('Retirement Calculator'!K:K,MATCH('Lorri 401b'!N2801,'Retirement Calculator'!A:A,0),0),0)</f>
        <v>0</v>
      </c>
      <c r="K2801" s="444">
        <f t="shared" ca="1" si="133"/>
        <v>-257027377.62379414</v>
      </c>
      <c r="L2801" s="444">
        <f t="shared" ca="1" si="134"/>
        <v>-61943598007.334389</v>
      </c>
      <c r="M2801" s="460">
        <f t="shared" si="136"/>
        <v>0.05</v>
      </c>
      <c r="N2801" s="464">
        <f t="shared" si="137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35"/>
        <v>-61943598007.334389</v>
      </c>
      <c r="J2802" s="444">
        <f t="array" ref="J2802">IFERROR(INDEX('Retirement Calculator'!K:K,MATCH('Lorri 401b'!N2802,'Retirement Calculator'!A:A,0),0),0)</f>
        <v>0</v>
      </c>
      <c r="K2802" s="444">
        <f t="shared" ca="1" si="133"/>
        <v>-258098325.03055993</v>
      </c>
      <c r="L2802" s="444">
        <f t="shared" ca="1" si="134"/>
        <v>-62201696332.364952</v>
      </c>
      <c r="M2802" s="460">
        <f t="shared" si="136"/>
        <v>0.05</v>
      </c>
      <c r="N2802" s="464">
        <f t="shared" si="137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35"/>
        <v>-62201696332.364952</v>
      </c>
      <c r="J2803" s="444">
        <f t="array" ref="J2803">IFERROR(INDEX('Retirement Calculator'!K:K,MATCH('Lorri 401b'!N2803,'Retirement Calculator'!A:A,0),0),0)</f>
        <v>0</v>
      </c>
      <c r="K2803" s="444">
        <f t="shared" ca="1" si="133"/>
        <v>-259173734.7181873</v>
      </c>
      <c r="L2803" s="444">
        <f t="shared" ca="1" si="134"/>
        <v>-62460870067.083138</v>
      </c>
      <c r="M2803" s="460">
        <f t="shared" si="136"/>
        <v>0.05</v>
      </c>
      <c r="N2803" s="464">
        <f t="shared" si="137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35"/>
        <v>-62460870067.083138</v>
      </c>
      <c r="J2804" s="444">
        <f t="array" ref="J2804">IFERROR(INDEX('Retirement Calculator'!K:K,MATCH('Lorri 401b'!N2804,'Retirement Calculator'!A:A,0),0),0)</f>
        <v>0</v>
      </c>
      <c r="K2804" s="444">
        <f t="shared" ca="1" si="133"/>
        <v>-260253625.27951306</v>
      </c>
      <c r="L2804" s="444">
        <f t="shared" ca="1" si="134"/>
        <v>-62721123692.362648</v>
      </c>
      <c r="M2804" s="460">
        <f t="shared" si="136"/>
        <v>0.05</v>
      </c>
      <c r="N2804" s="464">
        <f t="shared" si="137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35"/>
        <v>-62721123692.362648</v>
      </c>
      <c r="J2805" s="444">
        <f t="array" ref="J2805">IFERROR(INDEX('Retirement Calculator'!K:K,MATCH('Lorri 401b'!N2805,'Retirement Calculator'!A:A,0),0),0)</f>
        <v>0</v>
      </c>
      <c r="K2805" s="444">
        <f t="shared" ca="1" si="133"/>
        <v>-261338015.38484436</v>
      </c>
      <c r="L2805" s="444">
        <f t="shared" ca="1" si="134"/>
        <v>-62982461707.74749</v>
      </c>
      <c r="M2805" s="460">
        <f t="shared" si="136"/>
        <v>0.05</v>
      </c>
      <c r="N2805" s="464">
        <f t="shared" si="137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35"/>
        <v>-62982461707.74749</v>
      </c>
      <c r="J2806" s="444">
        <f t="array" ref="J2806">IFERROR(INDEX('Retirement Calculator'!K:K,MATCH('Lorri 401b'!N2806,'Retirement Calculator'!A:A,0),0),0)</f>
        <v>0</v>
      </c>
      <c r="K2806" s="444">
        <f t="shared" ca="1" si="133"/>
        <v>-262426923.78228119</v>
      </c>
      <c r="L2806" s="444">
        <f t="shared" ca="1" si="134"/>
        <v>-63244888631.52977</v>
      </c>
      <c r="M2806" s="460">
        <f t="shared" si="136"/>
        <v>0.05</v>
      </c>
      <c r="N2806" s="464">
        <f t="shared" si="137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35"/>
        <v>-63244888631.52977</v>
      </c>
      <c r="J2807" s="444">
        <f t="array" ref="J2807">IFERROR(INDEX('Retirement Calculator'!K:K,MATCH('Lorri 401b'!N2807,'Retirement Calculator'!A:A,0),0),0)</f>
        <v>0</v>
      </c>
      <c r="K2807" s="444">
        <f t="shared" ca="1" si="133"/>
        <v>-263520369.29804075</v>
      </c>
      <c r="L2807" s="444">
        <f t="shared" ca="1" si="134"/>
        <v>-63508409000.827812</v>
      </c>
      <c r="M2807" s="460">
        <f t="shared" si="136"/>
        <v>0.05</v>
      </c>
      <c r="N2807" s="464">
        <f t="shared" si="137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35"/>
        <v>-63508409000.827812</v>
      </c>
      <c r="J2808" s="444">
        <f t="array" ref="J2808">IFERROR(INDEX('Retirement Calculator'!K:K,MATCH('Lorri 401b'!N2808,'Retirement Calculator'!A:A,0),0),0)</f>
        <v>0</v>
      </c>
      <c r="K2808" s="444">
        <f t="shared" ca="1" si="133"/>
        <v>-264618370.83678254</v>
      </c>
      <c r="L2808" s="444">
        <f t="shared" ca="1" si="134"/>
        <v>-63773027371.664597</v>
      </c>
      <c r="M2808" s="460">
        <f t="shared" si="136"/>
        <v>0.05</v>
      </c>
      <c r="N2808" s="464">
        <f t="shared" si="137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35"/>
        <v>-63773027371.664597</v>
      </c>
      <c r="J2809" s="444">
        <f t="array" ref="J2809">IFERROR(INDEX('Retirement Calculator'!K:K,MATCH('Lorri 401b'!N2809,'Retirement Calculator'!A:A,0),0),0)</f>
        <v>0</v>
      </c>
      <c r="K2809" s="444">
        <f t="shared" ca="1" si="133"/>
        <v>-265720947.38193581</v>
      </c>
      <c r="L2809" s="444">
        <f t="shared" ca="1" si="134"/>
        <v>-64038748319.046532</v>
      </c>
      <c r="M2809" s="460">
        <f t="shared" si="136"/>
        <v>0.05</v>
      </c>
      <c r="N2809" s="464">
        <f t="shared" si="137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35"/>
        <v>-64038748319.046532</v>
      </c>
      <c r="J2810" s="444">
        <f t="array" ref="J2810">IFERROR(INDEX('Retirement Calculator'!K:K,MATCH('Lorri 401b'!N2810,'Retirement Calculator'!A:A,0),0),0)</f>
        <v>0</v>
      </c>
      <c r="K2810" s="444">
        <f t="shared" ca="1" si="133"/>
        <v>-266828117.9960272</v>
      </c>
      <c r="L2810" s="444">
        <f t="shared" ca="1" si="134"/>
        <v>-64305576437.042557</v>
      </c>
      <c r="M2810" s="460">
        <f t="shared" si="136"/>
        <v>0.05</v>
      </c>
      <c r="N2810" s="464">
        <f t="shared" si="137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35"/>
        <v>-64305576437.042557</v>
      </c>
      <c r="J2811" s="444">
        <f t="array" ref="J2811">IFERROR(INDEX('Retirement Calculator'!K:K,MATCH('Lorri 401b'!N2811,'Retirement Calculator'!A:A,0),0),0)</f>
        <v>0</v>
      </c>
      <c r="K2811" s="444">
        <f t="shared" ca="1" si="133"/>
        <v>-267939901.82101065</v>
      </c>
      <c r="L2811" s="444">
        <f t="shared" ca="1" si="134"/>
        <v>-64573516338.863571</v>
      </c>
      <c r="M2811" s="460">
        <f t="shared" si="136"/>
        <v>0.05</v>
      </c>
      <c r="N2811" s="464">
        <f t="shared" si="137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35"/>
        <v>-64573516338.863571</v>
      </c>
      <c r="J2812" s="444">
        <f t="array" ref="J2812">IFERROR(INDEX('Retirement Calculator'!K:K,MATCH('Lorri 401b'!N2812,'Retirement Calculator'!A:A,0),0),0)</f>
        <v>0</v>
      </c>
      <c r="K2812" s="444">
        <f t="shared" ca="1" si="133"/>
        <v>-269056318.0785982</v>
      </c>
      <c r="L2812" s="444">
        <f t="shared" ca="1" si="134"/>
        <v>-64842572656.942169</v>
      </c>
      <c r="M2812" s="460">
        <f t="shared" si="136"/>
        <v>0.05</v>
      </c>
      <c r="N2812" s="464">
        <f t="shared" si="137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35"/>
        <v>-64842572656.942169</v>
      </c>
      <c r="J2813" s="444">
        <f t="array" ref="J2813">IFERROR(INDEX('Retirement Calculator'!K:K,MATCH('Lorri 401b'!N2813,'Retirement Calculator'!A:A,0),0),0)</f>
        <v>0</v>
      </c>
      <c r="K2813" s="444">
        <f t="shared" ref="K2813:K3067" ca="1" si="138">IPMT(M2813/12,1,12,-I2813+J2813,,0)</f>
        <v>-270177386.07059234</v>
      </c>
      <c r="L2813" s="444">
        <f t="shared" ref="L2813:L3067" ca="1" si="139">I2813-J2813+K2813</f>
        <v>-65112750043.012764</v>
      </c>
      <c r="M2813" s="460">
        <f t="shared" si="136"/>
        <v>0.05</v>
      </c>
      <c r="N2813" s="464">
        <f t="shared" si="137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40">L2813</f>
        <v>-65112750043.012764</v>
      </c>
      <c r="J2814" s="444">
        <f t="array" ref="J2814">IFERROR(INDEX('Retirement Calculator'!K:K,MATCH('Lorri 401b'!N2814,'Retirement Calculator'!A:A,0),0),0)</f>
        <v>0</v>
      </c>
      <c r="K2814" s="444">
        <f t="shared" ca="1" si="138"/>
        <v>-271303125.17921984</v>
      </c>
      <c r="L2814" s="444">
        <f t="shared" ca="1" si="139"/>
        <v>-65384053168.191986</v>
      </c>
      <c r="M2814" s="460">
        <f t="shared" ref="M2814:M3068" si="141">M2813</f>
        <v>0.05</v>
      </c>
      <c r="N2814" s="464">
        <f t="shared" ref="N2814:N3068" si="142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40"/>
        <v>-65384053168.191986</v>
      </c>
      <c r="J2815" s="444">
        <f t="array" ref="J2815">IFERROR(INDEX('Retirement Calculator'!K:K,MATCH('Lorri 401b'!N2815,'Retirement Calculator'!A:A,0),0),0)</f>
        <v>0</v>
      </c>
      <c r="K2815" s="444">
        <f t="shared" ca="1" si="138"/>
        <v>-272433554.86746663</v>
      </c>
      <c r="L2815" s="444">
        <f t="shared" ca="1" si="139"/>
        <v>-65656486723.059456</v>
      </c>
      <c r="M2815" s="460">
        <f t="shared" si="141"/>
        <v>0.05</v>
      </c>
      <c r="N2815" s="464">
        <f t="shared" si="142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40"/>
        <v>-65656486723.059456</v>
      </c>
      <c r="J2816" s="444">
        <f t="array" ref="J2816">IFERROR(INDEX('Retirement Calculator'!K:K,MATCH('Lorri 401b'!N2816,'Retirement Calculator'!A:A,0),0),0)</f>
        <v>0</v>
      </c>
      <c r="K2816" s="444">
        <f t="shared" ca="1" si="138"/>
        <v>-273568694.67941439</v>
      </c>
      <c r="L2816" s="444">
        <f t="shared" ca="1" si="139"/>
        <v>-65930055417.738869</v>
      </c>
      <c r="M2816" s="460">
        <f t="shared" si="141"/>
        <v>0.05</v>
      </c>
      <c r="N2816" s="464">
        <f t="shared" si="142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40"/>
        <v>-65930055417.738869</v>
      </c>
      <c r="J2817" s="444">
        <f t="array" ref="J2817">IFERROR(INDEX('Retirement Calculator'!K:K,MATCH('Lorri 401b'!N2817,'Retirement Calculator'!A:A,0),0),0)</f>
        <v>0</v>
      </c>
      <c r="K2817" s="444">
        <f t="shared" ca="1" si="138"/>
        <v>-274708564.24057859</v>
      </c>
      <c r="L2817" s="444">
        <f t="shared" ca="1" si="139"/>
        <v>-66204763981.979446</v>
      </c>
      <c r="M2817" s="460">
        <f t="shared" si="141"/>
        <v>0.05</v>
      </c>
      <c r="N2817" s="464">
        <f t="shared" si="142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40"/>
        <v>-66204763981.979446</v>
      </c>
      <c r="J2818" s="444">
        <f t="array" ref="J2818">IFERROR(INDEX('Retirement Calculator'!K:K,MATCH('Lorri 401b'!N2818,'Retirement Calculator'!A:A,0),0),0)</f>
        <v>0</v>
      </c>
      <c r="K2818" s="444">
        <f t="shared" ca="1" si="138"/>
        <v>-275853183.25824767</v>
      </c>
      <c r="L2818" s="444">
        <f t="shared" ca="1" si="139"/>
        <v>-66480617165.237694</v>
      </c>
      <c r="M2818" s="460">
        <f t="shared" si="141"/>
        <v>0.05</v>
      </c>
      <c r="N2818" s="464">
        <f t="shared" si="142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40"/>
        <v>-66480617165.237694</v>
      </c>
      <c r="J2819" s="444">
        <f t="array" ref="J2819">IFERROR(INDEX('Retirement Calculator'!K:K,MATCH('Lorri 401b'!N2819,'Retirement Calculator'!A:A,0),0),0)</f>
        <v>0</v>
      </c>
      <c r="K2819" s="444">
        <f t="shared" ca="1" si="138"/>
        <v>-277002571.5218237</v>
      </c>
      <c r="L2819" s="444">
        <f t="shared" ca="1" si="139"/>
        <v>-66757619736.759514</v>
      </c>
      <c r="M2819" s="460">
        <f t="shared" si="141"/>
        <v>0.05</v>
      </c>
      <c r="N2819" s="464">
        <f t="shared" si="142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40"/>
        <v>-66757619736.759514</v>
      </c>
      <c r="J2820" s="444">
        <f t="array" ref="J2820">IFERROR(INDEX('Retirement Calculator'!K:K,MATCH('Lorri 401b'!N2820,'Retirement Calculator'!A:A,0),0),0)</f>
        <v>0</v>
      </c>
      <c r="K2820" s="444">
        <f t="shared" ca="1" si="138"/>
        <v>-278156748.90316463</v>
      </c>
      <c r="L2820" s="444">
        <f t="shared" ca="1" si="139"/>
        <v>-67035776485.662682</v>
      </c>
      <c r="M2820" s="460">
        <f t="shared" si="141"/>
        <v>0.05</v>
      </c>
      <c r="N2820" s="464">
        <f t="shared" si="142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40"/>
        <v>-67035776485.662682</v>
      </c>
      <c r="J2821" s="444">
        <f t="array" ref="J2821">IFERROR(INDEX('Retirement Calculator'!K:K,MATCH('Lorri 401b'!N2821,'Retirement Calculator'!A:A,0),0),0)</f>
        <v>0</v>
      </c>
      <c r="K2821" s="444">
        <f t="shared" ca="1" si="138"/>
        <v>-279315735.35692781</v>
      </c>
      <c r="L2821" s="444">
        <f t="shared" ca="1" si="139"/>
        <v>-67315092221.019608</v>
      </c>
      <c r="M2821" s="460">
        <f t="shared" si="141"/>
        <v>0.05</v>
      </c>
      <c r="N2821" s="464">
        <f t="shared" si="142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40"/>
        <v>-67315092221.019608</v>
      </c>
      <c r="J2822" s="444">
        <f t="array" ref="J2822">IFERROR(INDEX('Retirement Calculator'!K:K,MATCH('Lorri 401b'!N2822,'Retirement Calculator'!A:A,0),0),0)</f>
        <v>0</v>
      </c>
      <c r="K2822" s="444">
        <f t="shared" ca="1" si="138"/>
        <v>-280479550.92091501</v>
      </c>
      <c r="L2822" s="444">
        <f t="shared" ca="1" si="139"/>
        <v>-67595571771.940521</v>
      </c>
      <c r="M2822" s="460">
        <f t="shared" si="141"/>
        <v>0.05</v>
      </c>
      <c r="N2822" s="464">
        <f t="shared" si="142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40"/>
        <v>-67595571771.940521</v>
      </c>
      <c r="J2823" s="444">
        <f t="array" ref="J2823">IFERROR(INDEX('Retirement Calculator'!K:K,MATCH('Lorri 401b'!N2823,'Retirement Calculator'!A:A,0),0),0)</f>
        <v>0</v>
      </c>
      <c r="K2823" s="444">
        <f t="shared" ca="1" si="138"/>
        <v>-281648215.71641886</v>
      </c>
      <c r="L2823" s="444">
        <f t="shared" ca="1" si="139"/>
        <v>-67877219987.656937</v>
      </c>
      <c r="M2823" s="460">
        <f t="shared" si="141"/>
        <v>0.05</v>
      </c>
      <c r="N2823" s="464">
        <f t="shared" si="142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40"/>
        <v>-67877219987.656937</v>
      </c>
      <c r="J2824" s="444">
        <f t="array" ref="J2824">IFERROR(INDEX('Retirement Calculator'!K:K,MATCH('Lorri 401b'!N2824,'Retirement Calculator'!A:A,0),0),0)</f>
        <v>0</v>
      </c>
      <c r="K2824" s="444">
        <f t="shared" ca="1" si="138"/>
        <v>-282821749.94857055</v>
      </c>
      <c r="L2824" s="444">
        <f t="shared" ca="1" si="139"/>
        <v>-68160041737.605507</v>
      </c>
      <c r="M2824" s="460">
        <f t="shared" si="141"/>
        <v>0.05</v>
      </c>
      <c r="N2824" s="464">
        <f t="shared" si="142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40"/>
        <v>-68160041737.605507</v>
      </c>
      <c r="J2825" s="444">
        <f t="array" ref="J2825">IFERROR(INDEX('Retirement Calculator'!K:K,MATCH('Lorri 401b'!N2825,'Retirement Calculator'!A:A,0),0),0)</f>
        <v>0</v>
      </c>
      <c r="K2825" s="444">
        <f t="shared" ca="1" si="138"/>
        <v>-284000173.90668958</v>
      </c>
      <c r="L2825" s="444">
        <f t="shared" ca="1" si="139"/>
        <v>-68444041911.512199</v>
      </c>
      <c r="M2825" s="460">
        <f t="shared" si="141"/>
        <v>0.05</v>
      </c>
      <c r="N2825" s="464">
        <f t="shared" si="142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40"/>
        <v>-68444041911.512199</v>
      </c>
      <c r="J2826" s="444">
        <f t="array" ref="J2826">IFERROR(INDEX('Retirement Calculator'!K:K,MATCH('Lorri 401b'!N2826,'Retirement Calculator'!A:A,0),0),0)</f>
        <v>0</v>
      </c>
      <c r="K2826" s="444">
        <f t="shared" ca="1" si="138"/>
        <v>-285183507.96463418</v>
      </c>
      <c r="L2826" s="444">
        <f t="shared" ca="1" si="139"/>
        <v>-68729225419.476837</v>
      </c>
      <c r="M2826" s="460">
        <f t="shared" si="141"/>
        <v>0.05</v>
      </c>
      <c r="N2826" s="464">
        <f t="shared" si="142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40"/>
        <v>-68729225419.476837</v>
      </c>
      <c r="J2827" s="444">
        <f t="array" ref="J2827">IFERROR(INDEX('Retirement Calculator'!K:K,MATCH('Lorri 401b'!N2827,'Retirement Calculator'!A:A,0),0),0)</f>
        <v>0</v>
      </c>
      <c r="K2827" s="444">
        <f t="shared" ca="1" si="138"/>
        <v>-286371772.58115351</v>
      </c>
      <c r="L2827" s="444">
        <f t="shared" ca="1" si="139"/>
        <v>-69015597192.057983</v>
      </c>
      <c r="M2827" s="460">
        <f t="shared" si="141"/>
        <v>0.05</v>
      </c>
      <c r="N2827" s="464">
        <f t="shared" si="142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40"/>
        <v>-69015597192.057983</v>
      </c>
      <c r="J2828" s="444">
        <f t="array" ref="J2828">IFERROR(INDEX('Retirement Calculator'!K:K,MATCH('Lorri 401b'!N2828,'Retirement Calculator'!A:A,0),0),0)</f>
        <v>0</v>
      </c>
      <c r="K2828" s="444">
        <f t="shared" ca="1" si="138"/>
        <v>-287564988.30024159</v>
      </c>
      <c r="L2828" s="444">
        <f t="shared" ca="1" si="139"/>
        <v>-69303162180.358231</v>
      </c>
      <c r="M2828" s="460">
        <f t="shared" si="141"/>
        <v>0.05</v>
      </c>
      <c r="N2828" s="464">
        <f t="shared" si="142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40"/>
        <v>-69303162180.358231</v>
      </c>
      <c r="J2829" s="444">
        <f t="array" ref="J2829">IFERROR(INDEX('Retirement Calculator'!K:K,MATCH('Lorri 401b'!N2829,'Retirement Calculator'!A:A,0),0),0)</f>
        <v>0</v>
      </c>
      <c r="K2829" s="444">
        <f t="shared" ca="1" si="138"/>
        <v>-288763175.75149262</v>
      </c>
      <c r="L2829" s="444">
        <f t="shared" ca="1" si="139"/>
        <v>-69591925356.109726</v>
      </c>
      <c r="M2829" s="460">
        <f t="shared" si="141"/>
        <v>0.05</v>
      </c>
      <c r="N2829" s="464">
        <f t="shared" si="142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40"/>
        <v>-69591925356.109726</v>
      </c>
      <c r="J2830" s="444">
        <f t="array" ref="J2830">IFERROR(INDEX('Retirement Calculator'!K:K,MATCH('Lorri 401b'!N2830,'Retirement Calculator'!A:A,0),0),0)</f>
        <v>0</v>
      </c>
      <c r="K2830" s="444">
        <f t="shared" ca="1" si="138"/>
        <v>-289966355.6504572</v>
      </c>
      <c r="L2830" s="444">
        <f t="shared" ca="1" si="139"/>
        <v>-69881891711.760178</v>
      </c>
      <c r="M2830" s="460">
        <f t="shared" si="141"/>
        <v>0.05</v>
      </c>
      <c r="N2830" s="464">
        <f t="shared" si="142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40"/>
        <v>-69881891711.760178</v>
      </c>
      <c r="J2831" s="444">
        <f t="array" ref="J2831">IFERROR(INDEX('Retirement Calculator'!K:K,MATCH('Lorri 401b'!N2831,'Retirement Calculator'!A:A,0),0),0)</f>
        <v>0</v>
      </c>
      <c r="K2831" s="444">
        <f t="shared" ca="1" si="138"/>
        <v>-291174548.79900074</v>
      </c>
      <c r="L2831" s="444">
        <f t="shared" ca="1" si="139"/>
        <v>-70173066260.559174</v>
      </c>
      <c r="M2831" s="460">
        <f t="shared" si="141"/>
        <v>0.05</v>
      </c>
      <c r="N2831" s="464">
        <f t="shared" si="142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40"/>
        <v>-70173066260.559174</v>
      </c>
      <c r="J2832" s="444">
        <f t="array" ref="J2832">IFERROR(INDEX('Retirement Calculator'!K:K,MATCH('Lorri 401b'!N2832,'Retirement Calculator'!A:A,0),0),0)</f>
        <v>0</v>
      </c>
      <c r="K2832" s="444">
        <f t="shared" ca="1" si="138"/>
        <v>-292387776.0856632</v>
      </c>
      <c r="L2832" s="444">
        <f t="shared" ca="1" si="139"/>
        <v>-70465454036.644836</v>
      </c>
      <c r="M2832" s="460">
        <f t="shared" si="141"/>
        <v>0.05</v>
      </c>
      <c r="N2832" s="464">
        <f t="shared" si="142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40"/>
        <v>-70465454036.644836</v>
      </c>
      <c r="J2833" s="444">
        <f t="array" ref="J2833">IFERROR(INDEX('Retirement Calculator'!K:K,MATCH('Lorri 401b'!N2833,'Retirement Calculator'!A:A,0),0),0)</f>
        <v>0</v>
      </c>
      <c r="K2833" s="444">
        <f t="shared" ca="1" si="138"/>
        <v>-293606058.48602015</v>
      </c>
      <c r="L2833" s="444">
        <f t="shared" ca="1" si="139"/>
        <v>-70759060095.130859</v>
      </c>
      <c r="M2833" s="460">
        <f t="shared" si="141"/>
        <v>0.05</v>
      </c>
      <c r="N2833" s="464">
        <f t="shared" si="142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40"/>
        <v>-70759060095.130859</v>
      </c>
      <c r="J2834" s="444">
        <f t="array" ref="J2834">IFERROR(INDEX('Retirement Calculator'!K:K,MATCH('Lorri 401b'!N2834,'Retirement Calculator'!A:A,0),0),0)</f>
        <v>0</v>
      </c>
      <c r="K2834" s="444">
        <f t="shared" ca="1" si="138"/>
        <v>-294829417.06304526</v>
      </c>
      <c r="L2834" s="444">
        <f t="shared" ca="1" si="139"/>
        <v>-71053889512.193909</v>
      </c>
      <c r="M2834" s="460">
        <f t="shared" si="141"/>
        <v>0.05</v>
      </c>
      <c r="N2834" s="464">
        <f t="shared" si="142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40"/>
        <v>-71053889512.193909</v>
      </c>
      <c r="J2835" s="444">
        <f t="array" ref="J2835">IFERROR(INDEX('Retirement Calculator'!K:K,MATCH('Lorri 401b'!N2835,'Retirement Calculator'!A:A,0),0),0)</f>
        <v>0</v>
      </c>
      <c r="K2835" s="444">
        <f t="shared" ca="1" si="138"/>
        <v>-296057872.96747464</v>
      </c>
      <c r="L2835" s="444">
        <f t="shared" ca="1" si="139"/>
        <v>-71349947385.161377</v>
      </c>
      <c r="M2835" s="460">
        <f t="shared" si="141"/>
        <v>0.05</v>
      </c>
      <c r="N2835" s="464">
        <f t="shared" si="142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40"/>
        <v>-71349947385.161377</v>
      </c>
      <c r="J2836" s="444">
        <f t="array" ref="J2836">IFERROR(INDEX('Retirement Calculator'!K:K,MATCH('Lorri 401b'!N2836,'Retirement Calculator'!A:A,0),0),0)</f>
        <v>0</v>
      </c>
      <c r="K2836" s="444">
        <f t="shared" ca="1" si="138"/>
        <v>-297291447.4381724</v>
      </c>
      <c r="L2836" s="444">
        <f t="shared" ca="1" si="139"/>
        <v>-71647238832.599548</v>
      </c>
      <c r="M2836" s="460">
        <f t="shared" si="141"/>
        <v>0.05</v>
      </c>
      <c r="N2836" s="464">
        <f t="shared" si="142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40"/>
        <v>-71647238832.599548</v>
      </c>
      <c r="J2837" s="444">
        <f t="array" ref="J2837">IFERROR(INDEX('Retirement Calculator'!K:K,MATCH('Lorri 401b'!N2837,'Retirement Calculator'!A:A,0),0),0)</f>
        <v>0</v>
      </c>
      <c r="K2837" s="444">
        <f t="shared" ca="1" si="138"/>
        <v>-298530161.8024981</v>
      </c>
      <c r="L2837" s="444">
        <f t="shared" ca="1" si="139"/>
        <v>-71945768994.402054</v>
      </c>
      <c r="M2837" s="460">
        <f t="shared" si="141"/>
        <v>0.05</v>
      </c>
      <c r="N2837" s="464">
        <f t="shared" si="142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40"/>
        <v>-71945768994.402054</v>
      </c>
      <c r="J2838" s="444">
        <f t="array" ref="J2838">IFERROR(INDEX('Retirement Calculator'!K:K,MATCH('Lorri 401b'!N2838,'Retirement Calculator'!A:A,0),0),0)</f>
        <v>0</v>
      </c>
      <c r="K2838" s="444">
        <f t="shared" ca="1" si="138"/>
        <v>-299774037.47667521</v>
      </c>
      <c r="L2838" s="444">
        <f t="shared" ca="1" si="139"/>
        <v>-72245543031.878723</v>
      </c>
      <c r="M2838" s="460">
        <f t="shared" si="141"/>
        <v>0.05</v>
      </c>
      <c r="N2838" s="464">
        <f t="shared" si="142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40"/>
        <v>-72245543031.878723</v>
      </c>
      <c r="J2839" s="444">
        <f t="array" ref="J2839">IFERROR(INDEX('Retirement Calculator'!K:K,MATCH('Lorri 401b'!N2839,'Retirement Calculator'!A:A,0),0),0)</f>
        <v>0</v>
      </c>
      <c r="K2839" s="444">
        <f t="shared" ca="1" si="138"/>
        <v>-301023095.96616137</v>
      </c>
      <c r="L2839" s="444">
        <f t="shared" ca="1" si="139"/>
        <v>-72546566127.844879</v>
      </c>
      <c r="M2839" s="460">
        <f t="shared" si="141"/>
        <v>0.05</v>
      </c>
      <c r="N2839" s="464">
        <f t="shared" si="142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40"/>
        <v>-72546566127.844879</v>
      </c>
      <c r="J2840" s="444">
        <f t="array" ref="J2840">IFERROR(INDEX('Retirement Calculator'!K:K,MATCH('Lorri 401b'!N2840,'Retirement Calculator'!A:A,0),0),0)</f>
        <v>0</v>
      </c>
      <c r="K2840" s="444">
        <f t="shared" ca="1" si="138"/>
        <v>-302277358.86602032</v>
      </c>
      <c r="L2840" s="444">
        <f t="shared" ca="1" si="139"/>
        <v>-72848843486.710907</v>
      </c>
      <c r="M2840" s="460">
        <f t="shared" si="141"/>
        <v>0.05</v>
      </c>
      <c r="N2840" s="464">
        <f t="shared" si="142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40"/>
        <v>-72848843486.710907</v>
      </c>
      <c r="J2841" s="444">
        <f t="array" ref="J2841">IFERROR(INDEX('Retirement Calculator'!K:K,MATCH('Lorri 401b'!N2841,'Retirement Calculator'!A:A,0),0),0)</f>
        <v>0</v>
      </c>
      <c r="K2841" s="444">
        <f t="shared" ca="1" si="138"/>
        <v>-303536847.86129546</v>
      </c>
      <c r="L2841" s="444">
        <f t="shared" ca="1" si="139"/>
        <v>-73152380334.572205</v>
      </c>
      <c r="M2841" s="460">
        <f t="shared" si="141"/>
        <v>0.05</v>
      </c>
      <c r="N2841" s="464">
        <f t="shared" si="142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40"/>
        <v>-73152380334.572205</v>
      </c>
      <c r="J2842" s="444">
        <f t="array" ref="J2842">IFERROR(INDEX('Retirement Calculator'!K:K,MATCH('Lorri 401b'!N2842,'Retirement Calculator'!A:A,0),0),0)</f>
        <v>0</v>
      </c>
      <c r="K2842" s="444">
        <f t="shared" ca="1" si="138"/>
        <v>-304801584.72738421</v>
      </c>
      <c r="L2842" s="444">
        <f t="shared" ca="1" si="139"/>
        <v>-73457181919.299591</v>
      </c>
      <c r="M2842" s="460">
        <f t="shared" si="141"/>
        <v>0.05</v>
      </c>
      <c r="N2842" s="464">
        <f t="shared" si="142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40"/>
        <v>-73457181919.299591</v>
      </c>
      <c r="J2843" s="444">
        <f t="array" ref="J2843">IFERROR(INDEX('Retirement Calculator'!K:K,MATCH('Lorri 401b'!N2843,'Retirement Calculator'!A:A,0),0),0)</f>
        <v>0</v>
      </c>
      <c r="K2843" s="444">
        <f t="shared" ca="1" si="138"/>
        <v>-306071591.33041495</v>
      </c>
      <c r="L2843" s="444">
        <f t="shared" ca="1" si="139"/>
        <v>-73763253510.630005</v>
      </c>
      <c r="M2843" s="460">
        <f t="shared" si="141"/>
        <v>0.05</v>
      </c>
      <c r="N2843" s="464">
        <f t="shared" si="142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40"/>
        <v>-73763253510.630005</v>
      </c>
      <c r="J2844" s="444">
        <f t="array" ref="J2844">IFERROR(INDEX('Retirement Calculator'!K:K,MATCH('Lorri 401b'!N2844,'Retirement Calculator'!A:A,0),0),0)</f>
        <v>0</v>
      </c>
      <c r="K2844" s="444">
        <f t="shared" ca="1" si="138"/>
        <v>-307346889.62762499</v>
      </c>
      <c r="L2844" s="444">
        <f t="shared" ca="1" si="139"/>
        <v>-74070600400.257629</v>
      </c>
      <c r="M2844" s="460">
        <f t="shared" si="141"/>
        <v>0.05</v>
      </c>
      <c r="N2844" s="464">
        <f t="shared" si="142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40"/>
        <v>-74070600400.257629</v>
      </c>
      <c r="J2845" s="444">
        <f t="array" ref="J2845">IFERROR(INDEX('Retirement Calculator'!K:K,MATCH('Lorri 401b'!N2845,'Retirement Calculator'!A:A,0),0),0)</f>
        <v>0</v>
      </c>
      <c r="K2845" s="444">
        <f t="shared" ca="1" si="138"/>
        <v>-308627501.66774011</v>
      </c>
      <c r="L2845" s="444">
        <f t="shared" ca="1" si="139"/>
        <v>-74379227901.925369</v>
      </c>
      <c r="M2845" s="460">
        <f t="shared" si="141"/>
        <v>0.05</v>
      </c>
      <c r="N2845" s="464">
        <f t="shared" si="142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40"/>
        <v>-74379227901.925369</v>
      </c>
      <c r="J2846" s="444">
        <f t="array" ref="J2846">IFERROR(INDEX('Retirement Calculator'!K:K,MATCH('Lorri 401b'!N2846,'Retirement Calculator'!A:A,0),0),0)</f>
        <v>0</v>
      </c>
      <c r="K2846" s="444">
        <f t="shared" ca="1" si="138"/>
        <v>-309913449.59135568</v>
      </c>
      <c r="L2846" s="444">
        <f t="shared" ca="1" si="139"/>
        <v>-74689141351.516724</v>
      </c>
      <c r="M2846" s="460">
        <f t="shared" si="141"/>
        <v>0.05</v>
      </c>
      <c r="N2846" s="464">
        <f t="shared" si="142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40"/>
        <v>-74689141351.516724</v>
      </c>
      <c r="J2847" s="444">
        <f t="array" ref="J2847">IFERROR(INDEX('Retirement Calculator'!K:K,MATCH('Lorri 401b'!N2847,'Retirement Calculator'!A:A,0),0),0)</f>
        <v>0</v>
      </c>
      <c r="K2847" s="444">
        <f t="shared" ca="1" si="138"/>
        <v>-311204755.6313197</v>
      </c>
      <c r="L2847" s="444">
        <f t="shared" ca="1" si="139"/>
        <v>-75000346107.148041</v>
      </c>
      <c r="M2847" s="460">
        <f t="shared" si="141"/>
        <v>0.05</v>
      </c>
      <c r="N2847" s="464">
        <f t="shared" si="142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40"/>
        <v>-75000346107.148041</v>
      </c>
      <c r="J2848" s="444">
        <f t="array" ref="J2848">IFERROR(INDEX('Retirement Calculator'!K:K,MATCH('Lorri 401b'!N2848,'Retirement Calculator'!A:A,0),0),0)</f>
        <v>0</v>
      </c>
      <c r="K2848" s="444">
        <f t="shared" ca="1" si="138"/>
        <v>-312501442.11311686</v>
      </c>
      <c r="L2848" s="444">
        <f t="shared" ca="1" si="139"/>
        <v>-75312847549.261154</v>
      </c>
      <c r="M2848" s="460">
        <f t="shared" si="141"/>
        <v>0.05</v>
      </c>
      <c r="N2848" s="464">
        <f t="shared" si="142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40"/>
        <v>-75312847549.261154</v>
      </c>
      <c r="J2849" s="444">
        <f t="array" ref="J2849">IFERROR(INDEX('Retirement Calculator'!K:K,MATCH('Lorri 401b'!N2849,'Retirement Calculator'!A:A,0),0),0)</f>
        <v>0</v>
      </c>
      <c r="K2849" s="444">
        <f t="shared" ca="1" si="138"/>
        <v>-313803531.45525479</v>
      </c>
      <c r="L2849" s="444">
        <f t="shared" ca="1" si="139"/>
        <v>-75626651080.716415</v>
      </c>
      <c r="M2849" s="460">
        <f t="shared" si="141"/>
        <v>0.05</v>
      </c>
      <c r="N2849" s="464">
        <f t="shared" si="142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40"/>
        <v>-75626651080.716415</v>
      </c>
      <c r="J2850" s="444">
        <f t="array" ref="J2850">IFERROR(INDEX('Retirement Calculator'!K:K,MATCH('Lorri 401b'!N2850,'Retirement Calculator'!A:A,0),0),0)</f>
        <v>0</v>
      </c>
      <c r="K2850" s="444">
        <f t="shared" ca="1" si="138"/>
        <v>-315111046.16965175</v>
      </c>
      <c r="L2850" s="444">
        <f t="shared" ca="1" si="139"/>
        <v>-75941762126.886063</v>
      </c>
      <c r="M2850" s="460">
        <f t="shared" si="141"/>
        <v>0.05</v>
      </c>
      <c r="N2850" s="464">
        <f t="shared" si="142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40"/>
        <v>-75941762126.886063</v>
      </c>
      <c r="J2851" s="444">
        <f t="array" ref="J2851">IFERROR(INDEX('Retirement Calculator'!K:K,MATCH('Lorri 401b'!N2851,'Retirement Calculator'!A:A,0),0),0)</f>
        <v>0</v>
      </c>
      <c r="K2851" s="444">
        <f t="shared" ca="1" si="138"/>
        <v>-316424008.86202526</v>
      </c>
      <c r="L2851" s="444">
        <f t="shared" ca="1" si="139"/>
        <v>-76258186135.748093</v>
      </c>
      <c r="M2851" s="460">
        <f t="shared" si="141"/>
        <v>0.05</v>
      </c>
      <c r="N2851" s="464">
        <f t="shared" si="142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40"/>
        <v>-76258186135.748093</v>
      </c>
      <c r="J2852" s="444">
        <f t="array" ref="J2852">IFERROR(INDEX('Retirement Calculator'!K:K,MATCH('Lorri 401b'!N2852,'Retirement Calculator'!A:A,0),0),0)</f>
        <v>0</v>
      </c>
      <c r="K2852" s="444">
        <f t="shared" ca="1" si="138"/>
        <v>-317742442.23228371</v>
      </c>
      <c r="L2852" s="444">
        <f t="shared" ca="1" si="139"/>
        <v>-76575928577.980377</v>
      </c>
      <c r="M2852" s="460">
        <f t="shared" si="141"/>
        <v>0.05</v>
      </c>
      <c r="N2852" s="464">
        <f t="shared" si="142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40"/>
        <v>-76575928577.980377</v>
      </c>
      <c r="J2853" s="444">
        <f t="array" ref="J2853">IFERROR(INDEX('Retirement Calculator'!K:K,MATCH('Lorri 401b'!N2853,'Retirement Calculator'!A:A,0),0),0)</f>
        <v>0</v>
      </c>
      <c r="K2853" s="444">
        <f t="shared" ca="1" si="138"/>
        <v>-319066369.07491821</v>
      </c>
      <c r="L2853" s="444">
        <f t="shared" ca="1" si="139"/>
        <v>-76894994947.055298</v>
      </c>
      <c r="M2853" s="460">
        <f t="shared" si="141"/>
        <v>0.05</v>
      </c>
      <c r="N2853" s="464">
        <f t="shared" si="142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40"/>
        <v>-76894994947.055298</v>
      </c>
      <c r="J2854" s="444">
        <f t="array" ref="J2854">IFERROR(INDEX('Retirement Calculator'!K:K,MATCH('Lorri 401b'!N2854,'Retirement Calculator'!A:A,0),0),0)</f>
        <v>0</v>
      </c>
      <c r="K2854" s="444">
        <f t="shared" ca="1" si="138"/>
        <v>-320395812.27939707</v>
      </c>
      <c r="L2854" s="444">
        <f t="shared" ca="1" si="139"/>
        <v>-77215390759.334702</v>
      </c>
      <c r="M2854" s="460">
        <f t="shared" si="141"/>
        <v>0.05</v>
      </c>
      <c r="N2854" s="464">
        <f t="shared" si="142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40"/>
        <v>-77215390759.334702</v>
      </c>
      <c r="J2855" s="444">
        <f t="array" ref="J2855">IFERROR(INDEX('Retirement Calculator'!K:K,MATCH('Lorri 401b'!N2855,'Retirement Calculator'!A:A,0),0),0)</f>
        <v>0</v>
      </c>
      <c r="K2855" s="444">
        <f t="shared" ca="1" si="138"/>
        <v>-321730794.83056128</v>
      </c>
      <c r="L2855" s="444">
        <f t="shared" ca="1" si="139"/>
        <v>-77537121554.165268</v>
      </c>
      <c r="M2855" s="460">
        <f t="shared" si="141"/>
        <v>0.05</v>
      </c>
      <c r="N2855" s="464">
        <f t="shared" si="142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40"/>
        <v>-77537121554.165268</v>
      </c>
      <c r="J2856" s="444">
        <f t="array" ref="J2856">IFERROR(INDEX('Retirement Calculator'!K:K,MATCH('Lorri 401b'!N2856,'Retirement Calculator'!A:A,0),0),0)</f>
        <v>0</v>
      </c>
      <c r="K2856" s="444">
        <f t="shared" ca="1" si="138"/>
        <v>-323071339.80902195</v>
      </c>
      <c r="L2856" s="444">
        <f t="shared" ca="1" si="139"/>
        <v>-77860192893.974289</v>
      </c>
      <c r="M2856" s="460">
        <f t="shared" si="141"/>
        <v>0.05</v>
      </c>
      <c r="N2856" s="464">
        <f t="shared" si="142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40"/>
        <v>-77860192893.974289</v>
      </c>
      <c r="J2857" s="444">
        <f t="array" ref="J2857">IFERROR(INDEX('Retirement Calculator'!K:K,MATCH('Lorri 401b'!N2857,'Retirement Calculator'!A:A,0),0),0)</f>
        <v>0</v>
      </c>
      <c r="K2857" s="444">
        <f t="shared" ca="1" si="138"/>
        <v>-324417470.39155954</v>
      </c>
      <c r="L2857" s="444">
        <f t="shared" ca="1" si="139"/>
        <v>-78184610364.365845</v>
      </c>
      <c r="M2857" s="460">
        <f t="shared" si="141"/>
        <v>0.05</v>
      </c>
      <c r="N2857" s="464">
        <f t="shared" si="142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40"/>
        <v>-78184610364.365845</v>
      </c>
      <c r="J2858" s="444">
        <f t="array" ref="J2858">IFERROR(INDEX('Retirement Calculator'!K:K,MATCH('Lorri 401b'!N2858,'Retirement Calculator'!A:A,0),0),0)</f>
        <v>0</v>
      </c>
      <c r="K2858" s="444">
        <f t="shared" ca="1" si="138"/>
        <v>-325769209.85152435</v>
      </c>
      <c r="L2858" s="444">
        <f t="shared" ca="1" si="139"/>
        <v>-78510379574.217377</v>
      </c>
      <c r="M2858" s="460">
        <f t="shared" si="141"/>
        <v>0.05</v>
      </c>
      <c r="N2858" s="464">
        <f t="shared" si="142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40"/>
        <v>-78510379574.217377</v>
      </c>
      <c r="J2859" s="444">
        <f t="array" ref="J2859">IFERROR(INDEX('Retirement Calculator'!K:K,MATCH('Lorri 401b'!N2859,'Retirement Calculator'!A:A,0),0),0)</f>
        <v>0</v>
      </c>
      <c r="K2859" s="444">
        <f t="shared" ca="1" si="138"/>
        <v>-327126581.55923909</v>
      </c>
      <c r="L2859" s="444">
        <f t="shared" ca="1" si="139"/>
        <v>-78837506155.776611</v>
      </c>
      <c r="M2859" s="460">
        <f t="shared" si="141"/>
        <v>0.05</v>
      </c>
      <c r="N2859" s="464">
        <f t="shared" si="142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40"/>
        <v>-78837506155.776611</v>
      </c>
      <c r="J2860" s="444">
        <f t="array" ref="J2860">IFERROR(INDEX('Retirement Calculator'!K:K,MATCH('Lorri 401b'!N2860,'Retirement Calculator'!A:A,0),0),0)</f>
        <v>0</v>
      </c>
      <c r="K2860" s="444">
        <f t="shared" ca="1" si="138"/>
        <v>-328489608.98240256</v>
      </c>
      <c r="L2860" s="444">
        <f t="shared" ca="1" si="139"/>
        <v>-79165995764.759018</v>
      </c>
      <c r="M2860" s="460">
        <f t="shared" si="141"/>
        <v>0.05</v>
      </c>
      <c r="N2860" s="464">
        <f t="shared" si="142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40"/>
        <v>-79165995764.759018</v>
      </c>
      <c r="J2861" s="444">
        <f t="array" ref="J2861">IFERROR(INDEX('Retirement Calculator'!K:K,MATCH('Lorri 401b'!N2861,'Retirement Calculator'!A:A,0),0),0)</f>
        <v>0</v>
      </c>
      <c r="K2861" s="444">
        <f t="shared" ca="1" si="138"/>
        <v>-329858315.6864959</v>
      </c>
      <c r="L2861" s="444">
        <f t="shared" ca="1" si="139"/>
        <v>-79495854080.445511</v>
      </c>
      <c r="M2861" s="460">
        <f t="shared" si="141"/>
        <v>0.05</v>
      </c>
      <c r="N2861" s="464">
        <f t="shared" si="142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40"/>
        <v>-79495854080.445511</v>
      </c>
      <c r="J2862" s="444">
        <f t="array" ref="J2862">IFERROR(INDEX('Retirement Calculator'!K:K,MATCH('Lorri 401b'!N2862,'Retirement Calculator'!A:A,0),0),0)</f>
        <v>0</v>
      </c>
      <c r="K2862" s="444">
        <f t="shared" ca="1" si="138"/>
        <v>-331232725.33518964</v>
      </c>
      <c r="L2862" s="444">
        <f t="shared" ca="1" si="139"/>
        <v>-79827086805.780701</v>
      </c>
      <c r="M2862" s="460">
        <f t="shared" si="141"/>
        <v>0.05</v>
      </c>
      <c r="N2862" s="464">
        <f t="shared" si="142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40"/>
        <v>-79827086805.780701</v>
      </c>
      <c r="J2863" s="444">
        <f t="array" ref="J2863">IFERROR(INDEX('Retirement Calculator'!K:K,MATCH('Lorri 401b'!N2863,'Retirement Calculator'!A:A,0),0),0)</f>
        <v>0</v>
      </c>
      <c r="K2863" s="444">
        <f t="shared" ca="1" si="138"/>
        <v>-332612861.69075292</v>
      </c>
      <c r="L2863" s="444">
        <f t="shared" ca="1" si="139"/>
        <v>-80159699667.471451</v>
      </c>
      <c r="M2863" s="460">
        <f t="shared" si="141"/>
        <v>0.05</v>
      </c>
      <c r="N2863" s="464">
        <f t="shared" si="142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40"/>
        <v>-80159699667.471451</v>
      </c>
      <c r="J2864" s="444">
        <f t="array" ref="J2864">IFERROR(INDEX('Retirement Calculator'!K:K,MATCH('Lorri 401b'!N2864,'Retirement Calculator'!A:A,0),0),0)</f>
        <v>0</v>
      </c>
      <c r="K2864" s="444">
        <f t="shared" ca="1" si="138"/>
        <v>-333998748.6144644</v>
      </c>
      <c r="L2864" s="444">
        <f t="shared" ca="1" si="139"/>
        <v>-80493698416.085922</v>
      </c>
      <c r="M2864" s="460">
        <f t="shared" si="141"/>
        <v>0.05</v>
      </c>
      <c r="N2864" s="464">
        <f t="shared" si="142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40"/>
        <v>-80493698416.085922</v>
      </c>
      <c r="J2865" s="444">
        <f t="array" ref="J2865">IFERROR(INDEX('Retirement Calculator'!K:K,MATCH('Lorri 401b'!N2865,'Retirement Calculator'!A:A,0),0),0)</f>
        <v>0</v>
      </c>
      <c r="K2865" s="444">
        <f t="shared" ca="1" si="138"/>
        <v>-335390410.06702465</v>
      </c>
      <c r="L2865" s="444">
        <f t="shared" ca="1" si="139"/>
        <v>-80829088826.152954</v>
      </c>
      <c r="M2865" s="460">
        <f t="shared" si="141"/>
        <v>0.05</v>
      </c>
      <c r="N2865" s="464">
        <f t="shared" si="142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40"/>
        <v>-80829088826.152954</v>
      </c>
      <c r="J2866" s="444">
        <f t="array" ref="J2866">IFERROR(INDEX('Retirement Calculator'!K:K,MATCH('Lorri 401b'!N2866,'Retirement Calculator'!A:A,0),0),0)</f>
        <v>0</v>
      </c>
      <c r="K2866" s="444">
        <f t="shared" ca="1" si="138"/>
        <v>-336787870.10897064</v>
      </c>
      <c r="L2866" s="444">
        <f t="shared" ca="1" si="139"/>
        <v>-81165876696.261932</v>
      </c>
      <c r="M2866" s="460">
        <f t="shared" si="141"/>
        <v>0.05</v>
      </c>
      <c r="N2866" s="464">
        <f t="shared" si="142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40"/>
        <v>-81165876696.261932</v>
      </c>
      <c r="J2867" s="444">
        <f t="array" ref="J2867">IFERROR(INDEX('Retirement Calculator'!K:K,MATCH('Lorri 401b'!N2867,'Retirement Calculator'!A:A,0),0),0)</f>
        <v>0</v>
      </c>
      <c r="K2867" s="444">
        <f t="shared" ca="1" si="138"/>
        <v>-338191152.9010914</v>
      </c>
      <c r="L2867" s="444">
        <f t="shared" ca="1" si="139"/>
        <v>-81504067849.163025</v>
      </c>
      <c r="M2867" s="460">
        <f t="shared" si="141"/>
        <v>0.05</v>
      </c>
      <c r="N2867" s="464">
        <f t="shared" si="142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40"/>
        <v>-81504067849.163025</v>
      </c>
      <c r="J2868" s="444">
        <f t="array" ref="J2868">IFERROR(INDEX('Retirement Calculator'!K:K,MATCH('Lorri 401b'!N2868,'Retirement Calculator'!A:A,0),0),0)</f>
        <v>0</v>
      </c>
      <c r="K2868" s="444">
        <f t="shared" ca="1" si="138"/>
        <v>-339600282.70484591</v>
      </c>
      <c r="L2868" s="444">
        <f t="shared" ca="1" si="139"/>
        <v>-81843668131.867874</v>
      </c>
      <c r="M2868" s="460">
        <f t="shared" si="141"/>
        <v>0.05</v>
      </c>
      <c r="N2868" s="464">
        <f t="shared" si="142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40"/>
        <v>-81843668131.867874</v>
      </c>
      <c r="J2869" s="444">
        <f t="array" ref="J2869">IFERROR(INDEX('Retirement Calculator'!K:K,MATCH('Lorri 401b'!N2869,'Retirement Calculator'!A:A,0),0),0)</f>
        <v>0</v>
      </c>
      <c r="K2869" s="444">
        <f t="shared" ca="1" si="138"/>
        <v>-341015283.88278282</v>
      </c>
      <c r="L2869" s="444">
        <f t="shared" ca="1" si="139"/>
        <v>-82184683415.750656</v>
      </c>
      <c r="M2869" s="460">
        <f t="shared" si="141"/>
        <v>0.05</v>
      </c>
      <c r="N2869" s="464">
        <f t="shared" si="142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40"/>
        <v>-82184683415.750656</v>
      </c>
      <c r="J2870" s="444">
        <f t="array" ref="J2870">IFERROR(INDEX('Retirement Calculator'!K:K,MATCH('Lorri 401b'!N2870,'Retirement Calculator'!A:A,0),0),0)</f>
        <v>0</v>
      </c>
      <c r="K2870" s="444">
        <f t="shared" ca="1" si="138"/>
        <v>-342436180.89896107</v>
      </c>
      <c r="L2870" s="444">
        <f t="shared" ca="1" si="139"/>
        <v>-82527119596.649612</v>
      </c>
      <c r="M2870" s="460">
        <f t="shared" si="141"/>
        <v>0.05</v>
      </c>
      <c r="N2870" s="464">
        <f t="shared" si="142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40"/>
        <v>-82527119596.649612</v>
      </c>
      <c r="J2871" s="444">
        <f t="array" ref="J2871">IFERROR(INDEX('Retirement Calculator'!K:K,MATCH('Lorri 401b'!N2871,'Retirement Calculator'!A:A,0),0),0)</f>
        <v>0</v>
      </c>
      <c r="K2871" s="444">
        <f t="shared" ca="1" si="138"/>
        <v>-343862998.31937337</v>
      </c>
      <c r="L2871" s="444">
        <f t="shared" ca="1" si="139"/>
        <v>-82870982594.968979</v>
      </c>
      <c r="M2871" s="460">
        <f t="shared" si="141"/>
        <v>0.05</v>
      </c>
      <c r="N2871" s="464">
        <f t="shared" si="142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40"/>
        <v>-82870982594.968979</v>
      </c>
      <c r="J2872" s="444">
        <f t="array" ref="J2872">IFERROR(INDEX('Retirement Calculator'!K:K,MATCH('Lorri 401b'!N2872,'Retirement Calculator'!A:A,0),0),0)</f>
        <v>0</v>
      </c>
      <c r="K2872" s="444">
        <f t="shared" ca="1" si="138"/>
        <v>-345295760.81237072</v>
      </c>
      <c r="L2872" s="444">
        <f t="shared" ca="1" si="139"/>
        <v>-83216278355.781357</v>
      </c>
      <c r="M2872" s="460">
        <f t="shared" si="141"/>
        <v>0.05</v>
      </c>
      <c r="N2872" s="464">
        <f t="shared" si="142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40"/>
        <v>-83216278355.781357</v>
      </c>
      <c r="J2873" s="444">
        <f t="array" ref="J2873">IFERROR(INDEX('Retirement Calculator'!K:K,MATCH('Lorri 401b'!N2873,'Retirement Calculator'!A:A,0),0),0)</f>
        <v>0</v>
      </c>
      <c r="K2873" s="444">
        <f t="shared" ca="1" si="138"/>
        <v>-346734493.14908898</v>
      </c>
      <c r="L2873" s="444">
        <f t="shared" ca="1" si="139"/>
        <v>-83563012848.93045</v>
      </c>
      <c r="M2873" s="460">
        <f t="shared" si="141"/>
        <v>0.05</v>
      </c>
      <c r="N2873" s="464">
        <f t="shared" si="142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40"/>
        <v>-83563012848.93045</v>
      </c>
      <c r="J2874" s="444">
        <f t="array" ref="J2874">IFERROR(INDEX('Retirement Calculator'!K:K,MATCH('Lorri 401b'!N2874,'Retirement Calculator'!A:A,0),0),0)</f>
        <v>0</v>
      </c>
      <c r="K2874" s="444">
        <f t="shared" ca="1" si="138"/>
        <v>-348179220.20387685</v>
      </c>
      <c r="L2874" s="444">
        <f t="shared" ca="1" si="139"/>
        <v>-83911192069.134323</v>
      </c>
      <c r="M2874" s="460">
        <f t="shared" si="141"/>
        <v>0.05</v>
      </c>
      <c r="N2874" s="464">
        <f t="shared" si="142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40"/>
        <v>-83911192069.134323</v>
      </c>
      <c r="J2875" s="444">
        <f t="array" ref="J2875">IFERROR(INDEX('Retirement Calculator'!K:K,MATCH('Lorri 401b'!N2875,'Retirement Calculator'!A:A,0),0),0)</f>
        <v>0</v>
      </c>
      <c r="K2875" s="444">
        <f t="shared" ca="1" si="138"/>
        <v>-349629966.95472634</v>
      </c>
      <c r="L2875" s="444">
        <f t="shared" ca="1" si="139"/>
        <v>-84260822036.08905</v>
      </c>
      <c r="M2875" s="460">
        <f t="shared" si="141"/>
        <v>0.05</v>
      </c>
      <c r="N2875" s="464">
        <f t="shared" si="142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40"/>
        <v>-84260822036.08905</v>
      </c>
      <c r="J2876" s="444">
        <f t="array" ref="J2876">IFERROR(INDEX('Retirement Calculator'!K:K,MATCH('Lorri 401b'!N2876,'Retirement Calculator'!A:A,0),0),0)</f>
        <v>0</v>
      </c>
      <c r="K2876" s="444">
        <f t="shared" ca="1" si="138"/>
        <v>-351086758.48370439</v>
      </c>
      <c r="L2876" s="444">
        <f t="shared" ca="1" si="139"/>
        <v>-84611908794.572754</v>
      </c>
      <c r="M2876" s="460">
        <f t="shared" si="141"/>
        <v>0.05</v>
      </c>
      <c r="N2876" s="464">
        <f t="shared" si="142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40"/>
        <v>-84611908794.572754</v>
      </c>
      <c r="J2877" s="444">
        <f t="array" ref="J2877">IFERROR(INDEX('Retirement Calculator'!K:K,MATCH('Lorri 401b'!N2877,'Retirement Calculator'!A:A,0),0),0)</f>
        <v>0</v>
      </c>
      <c r="K2877" s="444">
        <f t="shared" ca="1" si="138"/>
        <v>-352549619.97738647</v>
      </c>
      <c r="L2877" s="444">
        <f t="shared" ca="1" si="139"/>
        <v>-84964458414.55014</v>
      </c>
      <c r="M2877" s="460">
        <f t="shared" si="141"/>
        <v>0.05</v>
      </c>
      <c r="N2877" s="464">
        <f t="shared" si="142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40"/>
        <v>-84964458414.55014</v>
      </c>
      <c r="J2878" s="444">
        <f t="array" ref="J2878">IFERROR(INDEX('Retirement Calculator'!K:K,MATCH('Lorri 401b'!N2878,'Retirement Calculator'!A:A,0),0),0)</f>
        <v>0</v>
      </c>
      <c r="K2878" s="444">
        <f t="shared" ca="1" si="138"/>
        <v>-354018576.72729224</v>
      </c>
      <c r="L2878" s="444">
        <f t="shared" ca="1" si="139"/>
        <v>-85318476991.277435</v>
      </c>
      <c r="M2878" s="460">
        <f t="shared" si="141"/>
        <v>0.05</v>
      </c>
      <c r="N2878" s="464">
        <f t="shared" si="142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40"/>
        <v>-85318476991.277435</v>
      </c>
      <c r="J2879" s="444">
        <f t="array" ref="J2879">IFERROR(INDEX('Retirement Calculator'!K:K,MATCH('Lorri 401b'!N2879,'Retirement Calculator'!A:A,0),0),0)</f>
        <v>0</v>
      </c>
      <c r="K2879" s="444">
        <f t="shared" ca="1" si="138"/>
        <v>-355493654.13032264</v>
      </c>
      <c r="L2879" s="444">
        <f t="shared" ca="1" si="139"/>
        <v>-85673970645.407761</v>
      </c>
      <c r="M2879" s="460">
        <f t="shared" si="141"/>
        <v>0.05</v>
      </c>
      <c r="N2879" s="464">
        <f t="shared" si="142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40"/>
        <v>-85673970645.407761</v>
      </c>
      <c r="J2880" s="444">
        <f t="array" ref="J2880">IFERROR(INDEX('Retirement Calculator'!K:K,MATCH('Lorri 401b'!N2880,'Retirement Calculator'!A:A,0),0),0)</f>
        <v>0</v>
      </c>
      <c r="K2880" s="444">
        <f t="shared" ca="1" si="138"/>
        <v>-356974877.68919897</v>
      </c>
      <c r="L2880" s="444">
        <f t="shared" ca="1" si="139"/>
        <v>-86030945523.096954</v>
      </c>
      <c r="M2880" s="460">
        <f t="shared" si="141"/>
        <v>0.05</v>
      </c>
      <c r="N2880" s="464">
        <f t="shared" si="142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40"/>
        <v>-86030945523.096954</v>
      </c>
      <c r="J2881" s="444">
        <f t="array" ref="J2881">IFERROR(INDEX('Retirement Calculator'!K:K,MATCH('Lorri 401b'!N2881,'Retirement Calculator'!A:A,0),0),0)</f>
        <v>0</v>
      </c>
      <c r="K2881" s="444">
        <f t="shared" ca="1" si="138"/>
        <v>-358462273.01290399</v>
      </c>
      <c r="L2881" s="444">
        <f t="shared" ca="1" si="139"/>
        <v>-86389407796.109863</v>
      </c>
      <c r="M2881" s="460">
        <f t="shared" si="141"/>
        <v>0.05</v>
      </c>
      <c r="N2881" s="464">
        <f t="shared" si="142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40"/>
        <v>-86389407796.109863</v>
      </c>
      <c r="J2882" s="444">
        <f t="array" ref="J2882">IFERROR(INDEX('Retirement Calculator'!K:K,MATCH('Lorri 401b'!N2882,'Retirement Calculator'!A:A,0),0),0)</f>
        <v>0</v>
      </c>
      <c r="K2882" s="444">
        <f t="shared" ca="1" si="138"/>
        <v>-359955865.81712443</v>
      </c>
      <c r="L2882" s="444">
        <f t="shared" ca="1" si="139"/>
        <v>-86749363661.926987</v>
      </c>
      <c r="M2882" s="460">
        <f t="shared" si="141"/>
        <v>0.05</v>
      </c>
      <c r="N2882" s="464">
        <f t="shared" si="142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40"/>
        <v>-86749363661.926987</v>
      </c>
      <c r="J2883" s="444">
        <f t="array" ref="J2883">IFERROR(INDEX('Retirement Calculator'!K:K,MATCH('Lorri 401b'!N2883,'Retirement Calculator'!A:A,0),0),0)</f>
        <v>0</v>
      </c>
      <c r="K2883" s="444">
        <f t="shared" ca="1" si="138"/>
        <v>-361455681.92469579</v>
      </c>
      <c r="L2883" s="444">
        <f t="shared" ca="1" si="139"/>
        <v>-87110819343.851685</v>
      </c>
      <c r="M2883" s="460">
        <f t="shared" si="141"/>
        <v>0.05</v>
      </c>
      <c r="N2883" s="464">
        <f t="shared" si="142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40"/>
        <v>-87110819343.851685</v>
      </c>
      <c r="J2884" s="444">
        <f t="array" ref="J2884">IFERROR(INDEX('Retirement Calculator'!K:K,MATCH('Lorri 401b'!N2884,'Retirement Calculator'!A:A,0),0),0)</f>
        <v>0</v>
      </c>
      <c r="K2884" s="444">
        <f t="shared" ca="1" si="138"/>
        <v>-362961747.26604867</v>
      </c>
      <c r="L2884" s="444">
        <f t="shared" ca="1" si="139"/>
        <v>-87473781091.117737</v>
      </c>
      <c r="M2884" s="460">
        <f t="shared" si="141"/>
        <v>0.05</v>
      </c>
      <c r="N2884" s="464">
        <f t="shared" si="142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40"/>
        <v>-87473781091.117737</v>
      </c>
      <c r="J2885" s="444">
        <f t="array" ref="J2885">IFERROR(INDEX('Retirement Calculator'!K:K,MATCH('Lorri 401b'!N2885,'Retirement Calculator'!A:A,0),0),0)</f>
        <v>0</v>
      </c>
      <c r="K2885" s="444">
        <f t="shared" ca="1" si="138"/>
        <v>-364474087.87965721</v>
      </c>
      <c r="L2885" s="444">
        <f t="shared" ca="1" si="139"/>
        <v>-87838255178.997391</v>
      </c>
      <c r="M2885" s="460">
        <f t="shared" si="141"/>
        <v>0.05</v>
      </c>
      <c r="N2885" s="464">
        <f t="shared" si="142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40"/>
        <v>-87838255178.997391</v>
      </c>
      <c r="J2886" s="444">
        <f t="array" ref="J2886">IFERROR(INDEX('Retirement Calculator'!K:K,MATCH('Lorri 401b'!N2886,'Retirement Calculator'!A:A,0),0),0)</f>
        <v>0</v>
      </c>
      <c r="K2886" s="444">
        <f t="shared" ca="1" si="138"/>
        <v>-365992729.91248912</v>
      </c>
      <c r="L2886" s="444">
        <f t="shared" ca="1" si="139"/>
        <v>-88204247908.909882</v>
      </c>
      <c r="M2886" s="460">
        <f t="shared" si="141"/>
        <v>0.05</v>
      </c>
      <c r="N2886" s="464">
        <f t="shared" si="142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40"/>
        <v>-88204247908.909882</v>
      </c>
      <c r="J2887" s="444">
        <f t="array" ref="J2887">IFERROR(INDEX('Retirement Calculator'!K:K,MATCH('Lorri 401b'!N2887,'Retirement Calculator'!A:A,0),0),0)</f>
        <v>0</v>
      </c>
      <c r="K2887" s="444">
        <f t="shared" ca="1" si="138"/>
        <v>-367517699.62045783</v>
      </c>
      <c r="L2887" s="444">
        <f t="shared" ca="1" si="139"/>
        <v>-88571765608.530334</v>
      </c>
      <c r="M2887" s="460">
        <f t="shared" si="141"/>
        <v>0.05</v>
      </c>
      <c r="N2887" s="464">
        <f t="shared" si="142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40"/>
        <v>-88571765608.530334</v>
      </c>
      <c r="J2888" s="444">
        <f t="array" ref="J2888">IFERROR(INDEX('Retirement Calculator'!K:K,MATCH('Lorri 401b'!N2888,'Retirement Calculator'!A:A,0),0),0)</f>
        <v>0</v>
      </c>
      <c r="K2888" s="444">
        <f t="shared" ca="1" si="138"/>
        <v>-369049023.3688764</v>
      </c>
      <c r="L2888" s="444">
        <f t="shared" ca="1" si="139"/>
        <v>-88940814631.899216</v>
      </c>
      <c r="M2888" s="460">
        <f t="shared" si="141"/>
        <v>0.05</v>
      </c>
      <c r="N2888" s="464">
        <f t="shared" si="142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40"/>
        <v>-88940814631.899216</v>
      </c>
      <c r="J2889" s="444">
        <f t="array" ref="J2889">IFERROR(INDEX('Retirement Calculator'!K:K,MATCH('Lorri 401b'!N2889,'Retirement Calculator'!A:A,0),0),0)</f>
        <v>0</v>
      </c>
      <c r="K2889" s="444">
        <f t="shared" ca="1" si="138"/>
        <v>-370586727.63291341</v>
      </c>
      <c r="L2889" s="444">
        <f t="shared" ca="1" si="139"/>
        <v>-89311401359.532135</v>
      </c>
      <c r="M2889" s="460">
        <f t="shared" si="141"/>
        <v>0.05</v>
      </c>
      <c r="N2889" s="464">
        <f t="shared" si="142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40"/>
        <v>-89311401359.532135</v>
      </c>
      <c r="J2890" s="444">
        <f t="array" ref="J2890">IFERROR(INDEX('Retirement Calculator'!K:K,MATCH('Lorri 401b'!N2890,'Retirement Calculator'!A:A,0),0),0)</f>
        <v>0</v>
      </c>
      <c r="K2890" s="444">
        <f t="shared" ca="1" si="138"/>
        <v>-372130838.99805057</v>
      </c>
      <c r="L2890" s="444">
        <f t="shared" ca="1" si="139"/>
        <v>-89683532198.530182</v>
      </c>
      <c r="M2890" s="460">
        <f t="shared" si="141"/>
        <v>0.05</v>
      </c>
      <c r="N2890" s="464">
        <f t="shared" si="142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40"/>
        <v>-89683532198.530182</v>
      </c>
      <c r="J2891" s="444">
        <f t="array" ref="J2891">IFERROR(INDEX('Retirement Calculator'!K:K,MATCH('Lorri 401b'!N2891,'Retirement Calculator'!A:A,0),0),0)</f>
        <v>0</v>
      </c>
      <c r="K2891" s="444">
        <f t="shared" ca="1" si="138"/>
        <v>-373681384.16054243</v>
      </c>
      <c r="L2891" s="444">
        <f t="shared" ca="1" si="139"/>
        <v>-90057213582.69072</v>
      </c>
      <c r="M2891" s="460">
        <f t="shared" si="141"/>
        <v>0.05</v>
      </c>
      <c r="N2891" s="464">
        <f t="shared" si="142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40"/>
        <v>-90057213582.69072</v>
      </c>
      <c r="J2892" s="444">
        <f t="array" ref="J2892">IFERROR(INDEX('Retirement Calculator'!K:K,MATCH('Lorri 401b'!N2892,'Retirement Calculator'!A:A,0),0),0)</f>
        <v>0</v>
      </c>
      <c r="K2892" s="444">
        <f t="shared" ca="1" si="138"/>
        <v>-375238389.92787802</v>
      </c>
      <c r="L2892" s="444">
        <f t="shared" ca="1" si="139"/>
        <v>-90432451972.618591</v>
      </c>
      <c r="M2892" s="460">
        <f t="shared" si="141"/>
        <v>0.05</v>
      </c>
      <c r="N2892" s="464">
        <f t="shared" si="142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40"/>
        <v>-90432451972.618591</v>
      </c>
      <c r="J2893" s="444">
        <f t="array" ref="J2893">IFERROR(INDEX('Retirement Calculator'!K:K,MATCH('Lorri 401b'!N2893,'Retirement Calculator'!A:A,0),0),0)</f>
        <v>0</v>
      </c>
      <c r="K2893" s="444">
        <f t="shared" ca="1" si="138"/>
        <v>-376801883.21924412</v>
      </c>
      <c r="L2893" s="444">
        <f t="shared" ca="1" si="139"/>
        <v>-90809253855.83783</v>
      </c>
      <c r="M2893" s="460">
        <f t="shared" si="141"/>
        <v>0.05</v>
      </c>
      <c r="N2893" s="464">
        <f t="shared" si="142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40"/>
        <v>-90809253855.83783</v>
      </c>
      <c r="J2894" s="444">
        <f t="array" ref="J2894">IFERROR(INDEX('Retirement Calculator'!K:K,MATCH('Lorri 401b'!N2894,'Retirement Calculator'!A:A,0),0),0)</f>
        <v>0</v>
      </c>
      <c r="K2894" s="444">
        <f t="shared" ca="1" si="138"/>
        <v>-378371891.06599092</v>
      </c>
      <c r="L2894" s="444">
        <f t="shared" ca="1" si="139"/>
        <v>-91187625746.903824</v>
      </c>
      <c r="M2894" s="460">
        <f t="shared" si="141"/>
        <v>0.05</v>
      </c>
      <c r="N2894" s="464">
        <f t="shared" si="142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40"/>
        <v>-91187625746.903824</v>
      </c>
      <c r="J2895" s="444">
        <f t="array" ref="J2895">IFERROR(INDEX('Retirement Calculator'!K:K,MATCH('Lorri 401b'!N2895,'Retirement Calculator'!A:A,0),0),0)</f>
        <v>0</v>
      </c>
      <c r="K2895" s="444">
        <f t="shared" ca="1" si="138"/>
        <v>-379948440.61209929</v>
      </c>
      <c r="L2895" s="444">
        <f t="shared" ca="1" si="139"/>
        <v>-91567574187.51593</v>
      </c>
      <c r="M2895" s="460">
        <f t="shared" si="141"/>
        <v>0.05</v>
      </c>
      <c r="N2895" s="464">
        <f t="shared" si="142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40"/>
        <v>-91567574187.51593</v>
      </c>
      <c r="J2896" s="444">
        <f t="array" ref="J2896">IFERROR(INDEX('Retirement Calculator'!K:K,MATCH('Lorri 401b'!N2896,'Retirement Calculator'!A:A,0),0),0)</f>
        <v>0</v>
      </c>
      <c r="K2896" s="444">
        <f t="shared" ca="1" si="138"/>
        <v>-381531559.11464971</v>
      </c>
      <c r="L2896" s="444">
        <f t="shared" ca="1" si="139"/>
        <v>-91949105746.630585</v>
      </c>
      <c r="M2896" s="460">
        <f t="shared" si="141"/>
        <v>0.05</v>
      </c>
      <c r="N2896" s="464">
        <f t="shared" si="142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40"/>
        <v>-91949105746.630585</v>
      </c>
      <c r="J2897" s="444">
        <f t="array" ref="J2897">IFERROR(INDEX('Retirement Calculator'!K:K,MATCH('Lorri 401b'!N2897,'Retirement Calculator'!A:A,0),0),0)</f>
        <v>0</v>
      </c>
      <c r="K2897" s="444">
        <f t="shared" ca="1" si="138"/>
        <v>-383121273.9442941</v>
      </c>
      <c r="L2897" s="444">
        <f t="shared" ca="1" si="139"/>
        <v>-92332227020.574875</v>
      </c>
      <c r="M2897" s="460">
        <f t="shared" si="141"/>
        <v>0.05</v>
      </c>
      <c r="N2897" s="464">
        <f t="shared" si="142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40"/>
        <v>-92332227020.574875</v>
      </c>
      <c r="J2898" s="444">
        <f t="array" ref="J2898">IFERROR(INDEX('Retirement Calculator'!K:K,MATCH('Lorri 401b'!N2898,'Retirement Calculator'!A:A,0),0),0)</f>
        <v>0</v>
      </c>
      <c r="K2898" s="444">
        <f t="shared" ca="1" si="138"/>
        <v>-384717612.58572865</v>
      </c>
      <c r="L2898" s="444">
        <f t="shared" ca="1" si="139"/>
        <v>-92716944633.160599</v>
      </c>
      <c r="M2898" s="460">
        <f t="shared" si="141"/>
        <v>0.05</v>
      </c>
      <c r="N2898" s="464">
        <f t="shared" si="142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40"/>
        <v>-92716944633.160599</v>
      </c>
      <c r="J2899" s="444">
        <f t="array" ref="J2899">IFERROR(INDEX('Retirement Calculator'!K:K,MATCH('Lorri 401b'!N2899,'Retirement Calculator'!A:A,0),0),0)</f>
        <v>0</v>
      </c>
      <c r="K2899" s="444">
        <f t="shared" ca="1" si="138"/>
        <v>-386320602.63816917</v>
      </c>
      <c r="L2899" s="444">
        <f t="shared" ca="1" si="139"/>
        <v>-93103265235.798767</v>
      </c>
      <c r="M2899" s="460">
        <f t="shared" si="141"/>
        <v>0.05</v>
      </c>
      <c r="N2899" s="464">
        <f t="shared" si="142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40"/>
        <v>-93103265235.798767</v>
      </c>
      <c r="J2900" s="444">
        <f t="array" ref="J2900">IFERROR(INDEX('Retirement Calculator'!K:K,MATCH('Lorri 401b'!N2900,'Retirement Calculator'!A:A,0),0),0)</f>
        <v>0</v>
      </c>
      <c r="K2900" s="444">
        <f t="shared" ca="1" si="138"/>
        <v>-387930271.8158282</v>
      </c>
      <c r="L2900" s="444">
        <f t="shared" ca="1" si="139"/>
        <v>-93491195507.614594</v>
      </c>
      <c r="M2900" s="460">
        <f t="shared" si="141"/>
        <v>0.05</v>
      </c>
      <c r="N2900" s="464">
        <f t="shared" si="142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40"/>
        <v>-93491195507.614594</v>
      </c>
      <c r="J2901" s="444">
        <f t="array" ref="J2901">IFERROR(INDEX('Retirement Calculator'!K:K,MATCH('Lorri 401b'!N2901,'Retirement Calculator'!A:A,0),0),0)</f>
        <v>0</v>
      </c>
      <c r="K2901" s="444">
        <f t="shared" ca="1" si="138"/>
        <v>-389546647.94839412</v>
      </c>
      <c r="L2901" s="444">
        <f t="shared" ca="1" si="139"/>
        <v>-93880742155.562988</v>
      </c>
      <c r="M2901" s="460">
        <f t="shared" si="141"/>
        <v>0.05</v>
      </c>
      <c r="N2901" s="464">
        <f t="shared" si="142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40"/>
        <v>-93880742155.562988</v>
      </c>
      <c r="J2902" s="444">
        <f t="array" ref="J2902">IFERROR(INDEX('Retirement Calculator'!K:K,MATCH('Lorri 401b'!N2902,'Retirement Calculator'!A:A,0),0),0)</f>
        <v>0</v>
      </c>
      <c r="K2902" s="444">
        <f t="shared" ca="1" si="138"/>
        <v>-391169758.98151243</v>
      </c>
      <c r="L2902" s="444">
        <f t="shared" ca="1" si="139"/>
        <v>-94271911914.544495</v>
      </c>
      <c r="M2902" s="460">
        <f t="shared" si="141"/>
        <v>0.05</v>
      </c>
      <c r="N2902" s="464">
        <f t="shared" si="142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40"/>
        <v>-94271911914.544495</v>
      </c>
      <c r="J2903" s="444">
        <f t="array" ref="J2903">IFERROR(INDEX('Retirement Calculator'!K:K,MATCH('Lorri 401b'!N2903,'Retirement Calculator'!A:A,0),0),0)</f>
        <v>0</v>
      </c>
      <c r="K2903" s="444">
        <f t="shared" ca="1" si="138"/>
        <v>-392799632.9772687</v>
      </c>
      <c r="L2903" s="444">
        <f t="shared" ca="1" si="139"/>
        <v>-94664711547.521759</v>
      </c>
      <c r="M2903" s="460">
        <f t="shared" si="141"/>
        <v>0.05</v>
      </c>
      <c r="N2903" s="464">
        <f t="shared" si="142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40"/>
        <v>-94664711547.521759</v>
      </c>
      <c r="J2904" s="444">
        <f t="array" ref="J2904">IFERROR(INDEX('Retirement Calculator'!K:K,MATCH('Lorri 401b'!N2904,'Retirement Calculator'!A:A,0),0),0)</f>
        <v>0</v>
      </c>
      <c r="K2904" s="444">
        <f t="shared" ca="1" si="138"/>
        <v>-394436298.11467397</v>
      </c>
      <c r="L2904" s="444">
        <f t="shared" ca="1" si="139"/>
        <v>-95059147845.636429</v>
      </c>
      <c r="M2904" s="460">
        <f t="shared" si="141"/>
        <v>0.05</v>
      </c>
      <c r="N2904" s="464">
        <f t="shared" si="142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40"/>
        <v>-95059147845.636429</v>
      </c>
      <c r="J2905" s="444">
        <f t="array" ref="J2905">IFERROR(INDEX('Retirement Calculator'!K:K,MATCH('Lorri 401b'!N2905,'Retirement Calculator'!A:A,0),0),0)</f>
        <v>0</v>
      </c>
      <c r="K2905" s="444">
        <f t="shared" ca="1" si="138"/>
        <v>-396079782.69015181</v>
      </c>
      <c r="L2905" s="444">
        <f t="shared" ca="1" si="139"/>
        <v>-95455227628.326584</v>
      </c>
      <c r="M2905" s="460">
        <f t="shared" si="141"/>
        <v>0.05</v>
      </c>
      <c r="N2905" s="464">
        <f t="shared" si="142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40"/>
        <v>-95455227628.326584</v>
      </c>
      <c r="J2906" s="444">
        <f t="array" ref="J2906">IFERROR(INDEX('Retirement Calculator'!K:K,MATCH('Lorri 401b'!N2906,'Retirement Calculator'!A:A,0),0),0)</f>
        <v>0</v>
      </c>
      <c r="K2906" s="444">
        <f t="shared" ca="1" si="138"/>
        <v>-397730115.11802745</v>
      </c>
      <c r="L2906" s="444">
        <f t="shared" ca="1" si="139"/>
        <v>-95852957743.444611</v>
      </c>
      <c r="M2906" s="460">
        <f t="shared" si="141"/>
        <v>0.05</v>
      </c>
      <c r="N2906" s="464">
        <f t="shared" si="142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40"/>
        <v>-95852957743.444611</v>
      </c>
      <c r="J2907" s="444">
        <f t="array" ref="J2907">IFERROR(INDEX('Retirement Calculator'!K:K,MATCH('Lorri 401b'!N2907,'Retirement Calculator'!A:A,0),0),0)</f>
        <v>0</v>
      </c>
      <c r="K2907" s="444">
        <f t="shared" ca="1" si="138"/>
        <v>-399387323.93101919</v>
      </c>
      <c r="L2907" s="444">
        <f t="shared" ca="1" si="139"/>
        <v>-96252345067.375626</v>
      </c>
      <c r="M2907" s="460">
        <f t="shared" si="141"/>
        <v>0.05</v>
      </c>
      <c r="N2907" s="464">
        <f t="shared" si="142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40"/>
        <v>-96252345067.375626</v>
      </c>
      <c r="J2908" s="444">
        <f t="array" ref="J2908">IFERROR(INDEX('Retirement Calculator'!K:K,MATCH('Lorri 401b'!N2908,'Retirement Calculator'!A:A,0),0),0)</f>
        <v>0</v>
      </c>
      <c r="K2908" s="444">
        <f t="shared" ca="1" si="138"/>
        <v>-401051437.7807318</v>
      </c>
      <c r="L2908" s="444">
        <f t="shared" ca="1" si="139"/>
        <v>-96653396505.156357</v>
      </c>
      <c r="M2908" s="460">
        <f t="shared" si="141"/>
        <v>0.05</v>
      </c>
      <c r="N2908" s="464">
        <f t="shared" si="142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40"/>
        <v>-96653396505.156357</v>
      </c>
      <c r="J2909" s="444">
        <f t="array" ref="J2909">IFERROR(INDEX('Retirement Calculator'!K:K,MATCH('Lorri 401b'!N2909,'Retirement Calculator'!A:A,0),0),0)</f>
        <v>0</v>
      </c>
      <c r="K2909" s="444">
        <f t="shared" ca="1" si="138"/>
        <v>-402722485.43815148</v>
      </c>
      <c r="L2909" s="444">
        <f t="shared" ca="1" si="139"/>
        <v>-97056118990.594513</v>
      </c>
      <c r="M2909" s="460">
        <f t="shared" si="141"/>
        <v>0.05</v>
      </c>
      <c r="N2909" s="464">
        <f t="shared" si="142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40"/>
        <v>-97056118990.594513</v>
      </c>
      <c r="J2910" s="444">
        <f t="array" ref="J2910">IFERROR(INDEX('Retirement Calculator'!K:K,MATCH('Lorri 401b'!N2910,'Retirement Calculator'!A:A,0),0),0)</f>
        <v>0</v>
      </c>
      <c r="K2910" s="444">
        <f t="shared" ca="1" si="138"/>
        <v>-404400495.7941438</v>
      </c>
      <c r="L2910" s="444">
        <f t="shared" ca="1" si="139"/>
        <v>-97460519486.388657</v>
      </c>
      <c r="M2910" s="460">
        <f t="shared" si="141"/>
        <v>0.05</v>
      </c>
      <c r="N2910" s="464">
        <f t="shared" si="142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40"/>
        <v>-97460519486.388657</v>
      </c>
      <c r="J2911" s="444">
        <f t="array" ref="J2911">IFERROR(INDEX('Retirement Calculator'!K:K,MATCH('Lorri 401b'!N2911,'Retirement Calculator'!A:A,0),0),0)</f>
        <v>0</v>
      </c>
      <c r="K2911" s="444">
        <f t="shared" ca="1" si="138"/>
        <v>-406085497.85995275</v>
      </c>
      <c r="L2911" s="444">
        <f t="shared" ca="1" si="139"/>
        <v>-97866604984.248611</v>
      </c>
      <c r="M2911" s="460">
        <f t="shared" si="141"/>
        <v>0.05</v>
      </c>
      <c r="N2911" s="464">
        <f t="shared" si="142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40"/>
        <v>-97866604984.248611</v>
      </c>
      <c r="J2912" s="444">
        <f t="array" ref="J2912">IFERROR(INDEX('Retirement Calculator'!K:K,MATCH('Lorri 401b'!N2912,'Retirement Calculator'!A:A,0),0),0)</f>
        <v>0</v>
      </c>
      <c r="K2912" s="444">
        <f t="shared" ca="1" si="138"/>
        <v>-407777520.76770252</v>
      </c>
      <c r="L2912" s="444">
        <f t="shared" ca="1" si="139"/>
        <v>-98274382505.016312</v>
      </c>
      <c r="M2912" s="460">
        <f t="shared" si="141"/>
        <v>0.05</v>
      </c>
      <c r="N2912" s="464">
        <f t="shared" si="142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40"/>
        <v>-98274382505.016312</v>
      </c>
      <c r="J2913" s="444">
        <f t="array" ref="J2913">IFERROR(INDEX('Retirement Calculator'!K:K,MATCH('Lorri 401b'!N2913,'Retirement Calculator'!A:A,0),0),0)</f>
        <v>0</v>
      </c>
      <c r="K2913" s="444">
        <f t="shared" ca="1" si="138"/>
        <v>-409476593.77090132</v>
      </c>
      <c r="L2913" s="444">
        <f t="shared" ca="1" si="139"/>
        <v>-98683859098.787216</v>
      </c>
      <c r="M2913" s="460">
        <f t="shared" si="141"/>
        <v>0.05</v>
      </c>
      <c r="N2913" s="464">
        <f t="shared" si="142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40"/>
        <v>-98683859098.787216</v>
      </c>
      <c r="J2914" s="444">
        <f t="array" ref="J2914">IFERROR(INDEX('Retirement Calculator'!K:K,MATCH('Lorri 401b'!N2914,'Retirement Calculator'!A:A,0),0),0)</f>
        <v>0</v>
      </c>
      <c r="K2914" s="444">
        <f t="shared" ca="1" si="138"/>
        <v>-411182746.24494672</v>
      </c>
      <c r="L2914" s="444">
        <f t="shared" ca="1" si="139"/>
        <v>-99095041845.032166</v>
      </c>
      <c r="M2914" s="460">
        <f t="shared" si="141"/>
        <v>0.05</v>
      </c>
      <c r="N2914" s="464">
        <f t="shared" si="142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40"/>
        <v>-99095041845.032166</v>
      </c>
      <c r="J2915" s="444">
        <f t="array" ref="J2915">IFERROR(INDEX('Retirement Calculator'!K:K,MATCH('Lorri 401b'!N2915,'Retirement Calculator'!A:A,0),0),0)</f>
        <v>0</v>
      </c>
      <c r="K2915" s="444">
        <f t="shared" ca="1" si="138"/>
        <v>-412896007.68763399</v>
      </c>
      <c r="L2915" s="444">
        <f t="shared" ca="1" si="139"/>
        <v>-99507937852.719803</v>
      </c>
      <c r="M2915" s="460">
        <f t="shared" si="141"/>
        <v>0.05</v>
      </c>
      <c r="N2915" s="464">
        <f t="shared" si="142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40"/>
        <v>-99507937852.719803</v>
      </c>
      <c r="J2916" s="444">
        <f t="array" ref="J2916">IFERROR(INDEX('Retirement Calculator'!K:K,MATCH('Lorri 401b'!N2916,'Retirement Calculator'!A:A,0),0),0)</f>
        <v>0</v>
      </c>
      <c r="K2916" s="444">
        <f t="shared" ca="1" si="138"/>
        <v>-414616407.71966583</v>
      </c>
      <c r="L2916" s="444">
        <f t="shared" ca="1" si="139"/>
        <v>-99922554260.439468</v>
      </c>
      <c r="M2916" s="460">
        <f t="shared" si="141"/>
        <v>0.05</v>
      </c>
      <c r="N2916" s="464">
        <f t="shared" si="142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40"/>
        <v>-99922554260.439468</v>
      </c>
      <c r="J2917" s="444">
        <f t="array" ref="J2917">IFERROR(INDEX('Retirement Calculator'!K:K,MATCH('Lorri 401b'!N2917,'Retirement Calculator'!A:A,0),0),0)</f>
        <v>0</v>
      </c>
      <c r="K2917" s="444">
        <f t="shared" ca="1" si="138"/>
        <v>-416343976.08516443</v>
      </c>
      <c r="L2917" s="444">
        <f t="shared" ca="1" si="139"/>
        <v>-100338898236.52463</v>
      </c>
      <c r="M2917" s="460">
        <f t="shared" si="141"/>
        <v>0.05</v>
      </c>
      <c r="N2917" s="464">
        <f t="shared" si="142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40"/>
        <v>-100338898236.52463</v>
      </c>
      <c r="J2918" s="444">
        <f t="array" ref="J2918">IFERROR(INDEX('Retirement Calculator'!K:K,MATCH('Lorri 401b'!N2918,'Retirement Calculator'!A:A,0),0),0)</f>
        <v>0</v>
      </c>
      <c r="K2918" s="444">
        <f t="shared" ca="1" si="138"/>
        <v>-418078742.65218592</v>
      </c>
      <c r="L2918" s="444">
        <f t="shared" ca="1" si="139"/>
        <v>-100756976979.17682</v>
      </c>
      <c r="M2918" s="460">
        <f t="shared" si="141"/>
        <v>0.05</v>
      </c>
      <c r="N2918" s="464">
        <f t="shared" si="142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40"/>
        <v>-100756976979.17682</v>
      </c>
      <c r="J2919" s="444">
        <f t="array" ref="J2919">IFERROR(INDEX('Retirement Calculator'!K:K,MATCH('Lorri 401b'!N2919,'Retirement Calculator'!A:A,0),0),0)</f>
        <v>0</v>
      </c>
      <c r="K2919" s="444">
        <f t="shared" ca="1" si="138"/>
        <v>-419820737.41323674</v>
      </c>
      <c r="L2919" s="444">
        <f t="shared" ca="1" si="139"/>
        <v>-101176797716.59006</v>
      </c>
      <c r="M2919" s="460">
        <f t="shared" si="141"/>
        <v>0.05</v>
      </c>
      <c r="N2919" s="464">
        <f t="shared" si="142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40"/>
        <v>-101176797716.59006</v>
      </c>
      <c r="J2920" s="444">
        <f t="array" ref="J2920">IFERROR(INDEX('Retirement Calculator'!K:K,MATCH('Lorri 401b'!N2920,'Retirement Calculator'!A:A,0),0),0)</f>
        <v>0</v>
      </c>
      <c r="K2920" s="444">
        <f t="shared" ca="1" si="138"/>
        <v>-421569990.48579192</v>
      </c>
      <c r="L2920" s="444">
        <f t="shared" ca="1" si="139"/>
        <v>-101598367707.07585</v>
      </c>
      <c r="M2920" s="460">
        <f t="shared" si="141"/>
        <v>0.05</v>
      </c>
      <c r="N2920" s="464">
        <f t="shared" si="142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40"/>
        <v>-101598367707.07585</v>
      </c>
      <c r="J2921" s="444">
        <f t="array" ref="J2921">IFERROR(INDEX('Retirement Calculator'!K:K,MATCH('Lorri 401b'!N2921,'Retirement Calculator'!A:A,0),0),0)</f>
        <v>0</v>
      </c>
      <c r="K2921" s="444">
        <f t="shared" ca="1" si="138"/>
        <v>-423326532.11281604</v>
      </c>
      <c r="L2921" s="444">
        <f t="shared" ca="1" si="139"/>
        <v>-102021694239.18867</v>
      </c>
      <c r="M2921" s="460">
        <f t="shared" si="141"/>
        <v>0.05</v>
      </c>
      <c r="N2921" s="464">
        <f t="shared" si="142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40"/>
        <v>-102021694239.18867</v>
      </c>
      <c r="J2922" s="444">
        <f t="array" ref="J2922">IFERROR(INDEX('Retirement Calculator'!K:K,MATCH('Lorri 401b'!N2922,'Retirement Calculator'!A:A,0),0),0)</f>
        <v>0</v>
      </c>
      <c r="K2922" s="444">
        <f t="shared" ca="1" si="138"/>
        <v>-425090392.66328615</v>
      </c>
      <c r="L2922" s="444">
        <f t="shared" ca="1" si="139"/>
        <v>-102446784631.85196</v>
      </c>
      <c r="M2922" s="460">
        <f t="shared" si="141"/>
        <v>0.05</v>
      </c>
      <c r="N2922" s="464">
        <f t="shared" si="142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40"/>
        <v>-102446784631.85196</v>
      </c>
      <c r="J2923" s="444">
        <f t="array" ref="J2923">IFERROR(INDEX('Retirement Calculator'!K:K,MATCH('Lorri 401b'!N2923,'Retirement Calculator'!A:A,0),0),0)</f>
        <v>0</v>
      </c>
      <c r="K2923" s="444">
        <f t="shared" ca="1" si="138"/>
        <v>-426861602.63271648</v>
      </c>
      <c r="L2923" s="444">
        <f t="shared" ca="1" si="139"/>
        <v>-102873646234.48468</v>
      </c>
      <c r="M2923" s="460">
        <f t="shared" si="141"/>
        <v>0.05</v>
      </c>
      <c r="N2923" s="464">
        <f t="shared" si="142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40"/>
        <v>-102873646234.48468</v>
      </c>
      <c r="J2924" s="444">
        <f t="array" ref="J2924">IFERROR(INDEX('Retirement Calculator'!K:K,MATCH('Lorri 401b'!N2924,'Retirement Calculator'!A:A,0),0),0)</f>
        <v>0</v>
      </c>
      <c r="K2924" s="444">
        <f t="shared" ca="1" si="138"/>
        <v>-428640192.64368618</v>
      </c>
      <c r="L2924" s="444">
        <f t="shared" ca="1" si="139"/>
        <v>-103302286427.12837</v>
      </c>
      <c r="M2924" s="460">
        <f t="shared" si="141"/>
        <v>0.05</v>
      </c>
      <c r="N2924" s="464">
        <f t="shared" si="142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40"/>
        <v>-103302286427.12837</v>
      </c>
      <c r="J2925" s="444">
        <f t="array" ref="J2925">IFERROR(INDEX('Retirement Calculator'!K:K,MATCH('Lorri 401b'!N2925,'Retirement Calculator'!A:A,0),0),0)</f>
        <v>0</v>
      </c>
      <c r="K2925" s="444">
        <f t="shared" ca="1" si="138"/>
        <v>-430426193.44636822</v>
      </c>
      <c r="L2925" s="444">
        <f t="shared" ca="1" si="139"/>
        <v>-103732712620.57474</v>
      </c>
      <c r="M2925" s="460">
        <f t="shared" si="141"/>
        <v>0.05</v>
      </c>
      <c r="N2925" s="464">
        <f t="shared" si="142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40"/>
        <v>-103732712620.57474</v>
      </c>
      <c r="J2926" s="444">
        <f t="array" ref="J2926">IFERROR(INDEX('Retirement Calculator'!K:K,MATCH('Lorri 401b'!N2926,'Retirement Calculator'!A:A,0),0),0)</f>
        <v>0</v>
      </c>
      <c r="K2926" s="444">
        <f t="shared" ca="1" si="138"/>
        <v>-432219635.91906142</v>
      </c>
      <c r="L2926" s="444">
        <f t="shared" ca="1" si="139"/>
        <v>-104164932256.4938</v>
      </c>
      <c r="M2926" s="460">
        <f t="shared" si="141"/>
        <v>0.05</v>
      </c>
      <c r="N2926" s="464">
        <f t="shared" si="142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40"/>
        <v>-104164932256.4938</v>
      </c>
      <c r="J2927" s="444">
        <f t="array" ref="J2927">IFERROR(INDEX('Retirement Calculator'!K:K,MATCH('Lorri 401b'!N2927,'Retirement Calculator'!A:A,0),0),0)</f>
        <v>0</v>
      </c>
      <c r="K2927" s="444">
        <f t="shared" ca="1" si="138"/>
        <v>-434020551.06872416</v>
      </c>
      <c r="L2927" s="444">
        <f t="shared" ca="1" si="139"/>
        <v>-104598952807.56253</v>
      </c>
      <c r="M2927" s="460">
        <f t="shared" si="141"/>
        <v>0.05</v>
      </c>
      <c r="N2927" s="464">
        <f t="shared" si="142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40"/>
        <v>-104598952807.56253</v>
      </c>
      <c r="J2928" s="444">
        <f t="array" ref="J2928">IFERROR(INDEX('Retirement Calculator'!K:K,MATCH('Lorri 401b'!N2928,'Retirement Calculator'!A:A,0),0),0)</f>
        <v>0</v>
      </c>
      <c r="K2928" s="444">
        <f t="shared" ca="1" si="138"/>
        <v>-435828970.03151053</v>
      </c>
      <c r="L2928" s="444">
        <f t="shared" ca="1" si="139"/>
        <v>-105034781777.59404</v>
      </c>
      <c r="M2928" s="460">
        <f t="shared" si="141"/>
        <v>0.05</v>
      </c>
      <c r="N2928" s="464">
        <f t="shared" si="142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40"/>
        <v>-105034781777.59404</v>
      </c>
      <c r="J2929" s="444">
        <f t="array" ref="J2929">IFERROR(INDEX('Retirement Calculator'!K:K,MATCH('Lorri 401b'!N2929,'Retirement Calculator'!A:A,0),0),0)</f>
        <v>0</v>
      </c>
      <c r="K2929" s="444">
        <f t="shared" ca="1" si="138"/>
        <v>-437644924.07330847</v>
      </c>
      <c r="L2929" s="444">
        <f t="shared" ca="1" si="139"/>
        <v>-105472426701.66734</v>
      </c>
      <c r="M2929" s="460">
        <f t="shared" si="141"/>
        <v>0.05</v>
      </c>
      <c r="N2929" s="464">
        <f t="shared" si="142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40"/>
        <v>-105472426701.66734</v>
      </c>
      <c r="J2930" s="444">
        <f t="array" ref="J2930">IFERROR(INDEX('Retirement Calculator'!K:K,MATCH('Lorri 401b'!N2930,'Retirement Calculator'!A:A,0),0),0)</f>
        <v>0</v>
      </c>
      <c r="K2930" s="444">
        <f t="shared" ca="1" si="138"/>
        <v>-439468444.59028059</v>
      </c>
      <c r="L2930" s="444">
        <f t="shared" ca="1" si="139"/>
        <v>-105911895146.25763</v>
      </c>
      <c r="M2930" s="460">
        <f t="shared" si="141"/>
        <v>0.05</v>
      </c>
      <c r="N2930" s="464">
        <f t="shared" si="142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40"/>
        <v>-105911895146.25763</v>
      </c>
      <c r="J2931" s="444">
        <f t="array" ref="J2931">IFERROR(INDEX('Retirement Calculator'!K:K,MATCH('Lorri 401b'!N2931,'Retirement Calculator'!A:A,0),0),0)</f>
        <v>0</v>
      </c>
      <c r="K2931" s="444">
        <f t="shared" ca="1" si="138"/>
        <v>-441299563.10940677</v>
      </c>
      <c r="L2931" s="444">
        <f t="shared" ca="1" si="139"/>
        <v>-106353194709.36703</v>
      </c>
      <c r="M2931" s="460">
        <f t="shared" si="141"/>
        <v>0.05</v>
      </c>
      <c r="N2931" s="464">
        <f t="shared" si="142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40"/>
        <v>-106353194709.36703</v>
      </c>
      <c r="J2932" s="444">
        <f t="array" ref="J2932">IFERROR(INDEX('Retirement Calculator'!K:K,MATCH('Lorri 401b'!N2932,'Retirement Calculator'!A:A,0),0),0)</f>
        <v>0</v>
      </c>
      <c r="K2932" s="444">
        <f t="shared" ca="1" si="138"/>
        <v>-443138311.2890293</v>
      </c>
      <c r="L2932" s="444">
        <f t="shared" ca="1" si="139"/>
        <v>-106796333020.65607</v>
      </c>
      <c r="M2932" s="460">
        <f t="shared" si="141"/>
        <v>0.05</v>
      </c>
      <c r="N2932" s="464">
        <f t="shared" si="142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40"/>
        <v>-106796333020.65607</v>
      </c>
      <c r="J2933" s="444">
        <f t="array" ref="J2933">IFERROR(INDEX('Retirement Calculator'!K:K,MATCH('Lorri 401b'!N2933,'Retirement Calculator'!A:A,0),0),0)</f>
        <v>0</v>
      </c>
      <c r="K2933" s="444">
        <f t="shared" ca="1" si="138"/>
        <v>-444984720.91940027</v>
      </c>
      <c r="L2933" s="444">
        <f t="shared" ca="1" si="139"/>
        <v>-107241317741.57547</v>
      </c>
      <c r="M2933" s="460">
        <f t="shared" si="141"/>
        <v>0.05</v>
      </c>
      <c r="N2933" s="464">
        <f t="shared" si="142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40"/>
        <v>-107241317741.57547</v>
      </c>
      <c r="J2934" s="444">
        <f t="array" ref="J2934">IFERROR(INDEX('Retirement Calculator'!K:K,MATCH('Lorri 401b'!N2934,'Retirement Calculator'!A:A,0),0),0)</f>
        <v>0</v>
      </c>
      <c r="K2934" s="444">
        <f t="shared" ca="1" si="138"/>
        <v>-446838823.92323107</v>
      </c>
      <c r="L2934" s="444">
        <f t="shared" ca="1" si="139"/>
        <v>-107688156565.4987</v>
      </c>
      <c r="M2934" s="460">
        <f t="shared" si="141"/>
        <v>0.05</v>
      </c>
      <c r="N2934" s="464">
        <f t="shared" si="142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40"/>
        <v>-107688156565.4987</v>
      </c>
      <c r="J2935" s="444">
        <f t="array" ref="J2935">IFERROR(INDEX('Retirement Calculator'!K:K,MATCH('Lorri 401b'!N2935,'Retirement Calculator'!A:A,0),0),0)</f>
        <v>0</v>
      </c>
      <c r="K2935" s="444">
        <f t="shared" ca="1" si="138"/>
        <v>-448700652.3562445</v>
      </c>
      <c r="L2935" s="444">
        <f t="shared" ca="1" si="139"/>
        <v>-108136857217.85495</v>
      </c>
      <c r="M2935" s="460">
        <f t="shared" si="141"/>
        <v>0.05</v>
      </c>
      <c r="N2935" s="464">
        <f t="shared" si="142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40"/>
        <v>-108136857217.85495</v>
      </c>
      <c r="J2936" s="444">
        <f t="array" ref="J2936">IFERROR(INDEX('Retirement Calculator'!K:K,MATCH('Lorri 401b'!N2936,'Retirement Calculator'!A:A,0),0),0)</f>
        <v>0</v>
      </c>
      <c r="K2936" s="444">
        <f t="shared" ca="1" si="138"/>
        <v>-450570238.40772897</v>
      </c>
      <c r="L2936" s="444">
        <f t="shared" ca="1" si="139"/>
        <v>-108587427456.26268</v>
      </c>
      <c r="M2936" s="460">
        <f t="shared" si="141"/>
        <v>0.05</v>
      </c>
      <c r="N2936" s="464">
        <f t="shared" si="142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40"/>
        <v>-108587427456.26268</v>
      </c>
      <c r="J2937" s="444">
        <f t="array" ref="J2937">IFERROR(INDEX('Retirement Calculator'!K:K,MATCH('Lorri 401b'!N2937,'Retirement Calculator'!A:A,0),0),0)</f>
        <v>0</v>
      </c>
      <c r="K2937" s="444">
        <f t="shared" ca="1" si="138"/>
        <v>-452447614.40109456</v>
      </c>
      <c r="L2937" s="444">
        <f t="shared" ca="1" si="139"/>
        <v>-109039875070.66377</v>
      </c>
      <c r="M2937" s="460">
        <f t="shared" si="141"/>
        <v>0.05</v>
      </c>
      <c r="N2937" s="464">
        <f t="shared" si="142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40"/>
        <v>-109039875070.66377</v>
      </c>
      <c r="J2938" s="444">
        <f t="array" ref="J2938">IFERROR(INDEX('Retirement Calculator'!K:K,MATCH('Lorri 401b'!N2938,'Retirement Calculator'!A:A,0),0),0)</f>
        <v>0</v>
      </c>
      <c r="K2938" s="444">
        <f t="shared" ca="1" si="138"/>
        <v>-454332812.79443246</v>
      </c>
      <c r="L2938" s="444">
        <f t="shared" ca="1" si="139"/>
        <v>-109494207883.45821</v>
      </c>
      <c r="M2938" s="460">
        <f t="shared" si="141"/>
        <v>0.05</v>
      </c>
      <c r="N2938" s="464">
        <f t="shared" si="142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40"/>
        <v>-109494207883.45821</v>
      </c>
      <c r="J2939" s="444">
        <f t="array" ref="J2939">IFERROR(INDEX('Retirement Calculator'!K:K,MATCH('Lorri 401b'!N2939,'Retirement Calculator'!A:A,0),0),0)</f>
        <v>0</v>
      </c>
      <c r="K2939" s="444">
        <f t="shared" ca="1" si="138"/>
        <v>-456225866.18107593</v>
      </c>
      <c r="L2939" s="444">
        <f t="shared" ca="1" si="139"/>
        <v>-109950433749.63928</v>
      </c>
      <c r="M2939" s="460">
        <f t="shared" si="141"/>
        <v>0.05</v>
      </c>
      <c r="N2939" s="464">
        <f t="shared" si="142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40"/>
        <v>-109950433749.63928</v>
      </c>
      <c r="J2940" s="444">
        <f t="array" ref="J2940">IFERROR(INDEX('Retirement Calculator'!K:K,MATCH('Lorri 401b'!N2940,'Retirement Calculator'!A:A,0),0),0)</f>
        <v>0</v>
      </c>
      <c r="K2940" s="444">
        <f t="shared" ca="1" si="138"/>
        <v>-458126807.2901637</v>
      </c>
      <c r="L2940" s="444">
        <f t="shared" ca="1" si="139"/>
        <v>-110408560556.92944</v>
      </c>
      <c r="M2940" s="460">
        <f t="shared" si="141"/>
        <v>0.05</v>
      </c>
      <c r="N2940" s="464">
        <f t="shared" si="142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40"/>
        <v>-110408560556.92944</v>
      </c>
      <c r="J2941" s="444">
        <f t="array" ref="J2941">IFERROR(INDEX('Retirement Calculator'!K:K,MATCH('Lorri 401b'!N2941,'Retirement Calculator'!A:A,0),0),0)</f>
        <v>0</v>
      </c>
      <c r="K2941" s="444">
        <f t="shared" ca="1" si="138"/>
        <v>-460035668.98720592</v>
      </c>
      <c r="L2941" s="444">
        <f t="shared" ca="1" si="139"/>
        <v>-110868596225.91666</v>
      </c>
      <c r="M2941" s="460">
        <f t="shared" si="141"/>
        <v>0.05</v>
      </c>
      <c r="N2941" s="464">
        <f t="shared" si="142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40"/>
        <v>-110868596225.91666</v>
      </c>
      <c r="J2942" s="444">
        <f t="array" ref="J2942">IFERROR(INDEX('Retirement Calculator'!K:K,MATCH('Lorri 401b'!N2942,'Retirement Calculator'!A:A,0),0),0)</f>
        <v>0</v>
      </c>
      <c r="K2942" s="444">
        <f t="shared" ca="1" si="138"/>
        <v>-461952484.27465272</v>
      </c>
      <c r="L2942" s="444">
        <f t="shared" ca="1" si="139"/>
        <v>-111330548710.19131</v>
      </c>
      <c r="M2942" s="460">
        <f t="shared" si="141"/>
        <v>0.05</v>
      </c>
      <c r="N2942" s="464">
        <f t="shared" si="142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40"/>
        <v>-111330548710.19131</v>
      </c>
      <c r="J2943" s="444">
        <f t="array" ref="J2943">IFERROR(INDEX('Retirement Calculator'!K:K,MATCH('Lorri 401b'!N2943,'Retirement Calculator'!A:A,0),0),0)</f>
        <v>0</v>
      </c>
      <c r="K2943" s="444">
        <f t="shared" ca="1" si="138"/>
        <v>-463877286.29246378</v>
      </c>
      <c r="L2943" s="444">
        <f t="shared" ca="1" si="139"/>
        <v>-111794425996.48378</v>
      </c>
      <c r="M2943" s="460">
        <f t="shared" si="141"/>
        <v>0.05</v>
      </c>
      <c r="N2943" s="464">
        <f t="shared" si="142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40"/>
        <v>-111794425996.48378</v>
      </c>
      <c r="J2944" s="444">
        <f t="array" ref="J2944">IFERROR(INDEX('Retirement Calculator'!K:K,MATCH('Lorri 401b'!N2944,'Retirement Calculator'!A:A,0),0),0)</f>
        <v>0</v>
      </c>
      <c r="K2944" s="444">
        <f t="shared" ca="1" si="138"/>
        <v>-465810108.31868249</v>
      </c>
      <c r="L2944" s="444">
        <f t="shared" ca="1" si="139"/>
        <v>-112260236104.80246</v>
      </c>
      <c r="M2944" s="460">
        <f t="shared" si="141"/>
        <v>0.05</v>
      </c>
      <c r="N2944" s="464">
        <f t="shared" si="142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40"/>
        <v>-112260236104.80246</v>
      </c>
      <c r="J2945" s="444">
        <f t="array" ref="J2945">IFERROR(INDEX('Retirement Calculator'!K:K,MATCH('Lorri 401b'!N2945,'Retirement Calculator'!A:A,0),0),0)</f>
        <v>0</v>
      </c>
      <c r="K2945" s="444">
        <f t="shared" ca="1" si="138"/>
        <v>-467750983.77001023</v>
      </c>
      <c r="L2945" s="444">
        <f t="shared" ca="1" si="139"/>
        <v>-112727987088.57246</v>
      </c>
      <c r="M2945" s="460">
        <f t="shared" si="141"/>
        <v>0.05</v>
      </c>
      <c r="N2945" s="464">
        <f t="shared" si="142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40"/>
        <v>-112727987088.57246</v>
      </c>
      <c r="J2946" s="444">
        <f t="array" ref="J2946">IFERROR(INDEX('Retirement Calculator'!K:K,MATCH('Lorri 401b'!N2946,'Retirement Calculator'!A:A,0),0),0)</f>
        <v>0</v>
      </c>
      <c r="K2946" s="444">
        <f t="shared" ca="1" si="138"/>
        <v>-469699946.20238525</v>
      </c>
      <c r="L2946" s="444">
        <f t="shared" ca="1" si="139"/>
        <v>-113197687034.77486</v>
      </c>
      <c r="M2946" s="460">
        <f t="shared" si="141"/>
        <v>0.05</v>
      </c>
      <c r="N2946" s="464">
        <f t="shared" si="142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40"/>
        <v>-113197687034.77486</v>
      </c>
      <c r="J2947" s="444">
        <f t="array" ref="J2947">IFERROR(INDEX('Retirement Calculator'!K:K,MATCH('Lorri 401b'!N2947,'Retirement Calculator'!A:A,0),0),0)</f>
        <v>0</v>
      </c>
      <c r="K2947" s="444">
        <f t="shared" ca="1" si="138"/>
        <v>-471657029.31156188</v>
      </c>
      <c r="L2947" s="444">
        <f t="shared" ca="1" si="139"/>
        <v>-113669344064.08643</v>
      </c>
      <c r="M2947" s="460">
        <f t="shared" si="141"/>
        <v>0.05</v>
      </c>
      <c r="N2947" s="464">
        <f t="shared" si="142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40"/>
        <v>-113669344064.08643</v>
      </c>
      <c r="J2948" s="444">
        <f t="array" ref="J2948">IFERROR(INDEX('Retirement Calculator'!K:K,MATCH('Lorri 401b'!N2948,'Retirement Calculator'!A:A,0),0),0)</f>
        <v>0</v>
      </c>
      <c r="K2948" s="444">
        <f t="shared" ca="1" si="138"/>
        <v>-473622266.93369341</v>
      </c>
      <c r="L2948" s="444">
        <f t="shared" ca="1" si="139"/>
        <v>-114142966331.02013</v>
      </c>
      <c r="M2948" s="460">
        <f t="shared" si="141"/>
        <v>0.05</v>
      </c>
      <c r="N2948" s="464">
        <f t="shared" si="142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40"/>
        <v>-114142966331.02013</v>
      </c>
      <c r="J2949" s="444">
        <f t="array" ref="J2949">IFERROR(INDEX('Retirement Calculator'!K:K,MATCH('Lorri 401b'!N2949,'Retirement Calculator'!A:A,0),0),0)</f>
        <v>0</v>
      </c>
      <c r="K2949" s="444">
        <f t="shared" ca="1" si="138"/>
        <v>-475595693.04591721</v>
      </c>
      <c r="L2949" s="444">
        <f t="shared" ca="1" si="139"/>
        <v>-114618562024.06604</v>
      </c>
      <c r="M2949" s="460">
        <f t="shared" si="141"/>
        <v>0.05</v>
      </c>
      <c r="N2949" s="464">
        <f t="shared" si="142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40"/>
        <v>-114618562024.06604</v>
      </c>
      <c r="J2950" s="444">
        <f t="array" ref="J2950">IFERROR(INDEX('Retirement Calculator'!K:K,MATCH('Lorri 401b'!N2950,'Retirement Calculator'!A:A,0),0),0)</f>
        <v>0</v>
      </c>
      <c r="K2950" s="444">
        <f t="shared" ca="1" si="138"/>
        <v>-477577341.76694185</v>
      </c>
      <c r="L2950" s="444">
        <f t="shared" ca="1" si="139"/>
        <v>-115096139365.83298</v>
      </c>
      <c r="M2950" s="460">
        <f t="shared" si="141"/>
        <v>0.05</v>
      </c>
      <c r="N2950" s="464">
        <f t="shared" si="142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40"/>
        <v>-115096139365.83298</v>
      </c>
      <c r="J2951" s="444">
        <f t="array" ref="J2951">IFERROR(INDEX('Retirement Calculator'!K:K,MATCH('Lorri 401b'!N2951,'Retirement Calculator'!A:A,0),0),0)</f>
        <v>0</v>
      </c>
      <c r="K2951" s="444">
        <f t="shared" ca="1" si="138"/>
        <v>-479567247.35763741</v>
      </c>
      <c r="L2951" s="444">
        <f t="shared" ca="1" si="139"/>
        <v>-115575706613.19061</v>
      </c>
      <c r="M2951" s="460">
        <f t="shared" si="141"/>
        <v>0.05</v>
      </c>
      <c r="N2951" s="464">
        <f t="shared" si="142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40"/>
        <v>-115575706613.19061</v>
      </c>
      <c r="J2952" s="444">
        <f t="array" ref="J2952">IFERROR(INDEX('Retirement Calculator'!K:K,MATCH('Lorri 401b'!N2952,'Retirement Calculator'!A:A,0),0),0)</f>
        <v>0</v>
      </c>
      <c r="K2952" s="444">
        <f t="shared" ca="1" si="138"/>
        <v>-481565444.22162753</v>
      </c>
      <c r="L2952" s="444">
        <f t="shared" ca="1" si="139"/>
        <v>-116057272057.41225</v>
      </c>
      <c r="M2952" s="460">
        <f t="shared" si="141"/>
        <v>0.05</v>
      </c>
      <c r="N2952" s="464">
        <f t="shared" si="142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40"/>
        <v>-116057272057.41225</v>
      </c>
      <c r="J2953" s="444">
        <f t="array" ref="J2953">IFERROR(INDEX('Retirement Calculator'!K:K,MATCH('Lorri 401b'!N2953,'Retirement Calculator'!A:A,0),0),0)</f>
        <v>0</v>
      </c>
      <c r="K2953" s="444">
        <f t="shared" ca="1" si="138"/>
        <v>-483571966.90588444</v>
      </c>
      <c r="L2953" s="444">
        <f t="shared" ca="1" si="139"/>
        <v>-116540844024.31813</v>
      </c>
      <c r="M2953" s="460">
        <f t="shared" si="141"/>
        <v>0.05</v>
      </c>
      <c r="N2953" s="464">
        <f t="shared" si="142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40"/>
        <v>-116540844024.31813</v>
      </c>
      <c r="J2954" s="444">
        <f t="array" ref="J2954">IFERROR(INDEX('Retirement Calculator'!K:K,MATCH('Lorri 401b'!N2954,'Retirement Calculator'!A:A,0),0),0)</f>
        <v>0</v>
      </c>
      <c r="K2954" s="444">
        <f t="shared" ca="1" si="138"/>
        <v>-485586850.10132545</v>
      </c>
      <c r="L2954" s="444">
        <f t="shared" ca="1" si="139"/>
        <v>-117026430874.41945</v>
      </c>
      <c r="M2954" s="460">
        <f t="shared" si="141"/>
        <v>0.05</v>
      </c>
      <c r="N2954" s="464">
        <f t="shared" si="142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40"/>
        <v>-117026430874.41945</v>
      </c>
      <c r="J2955" s="444">
        <f t="array" ref="J2955">IFERROR(INDEX('Retirement Calculator'!K:K,MATCH('Lorri 401b'!N2955,'Retirement Calculator'!A:A,0),0),0)</f>
        <v>0</v>
      </c>
      <c r="K2955" s="444">
        <f t="shared" ca="1" si="138"/>
        <v>-487610128.64341438</v>
      </c>
      <c r="L2955" s="444">
        <f t="shared" ca="1" si="139"/>
        <v>-117514041003.06287</v>
      </c>
      <c r="M2955" s="460">
        <f t="shared" si="141"/>
        <v>0.05</v>
      </c>
      <c r="N2955" s="464">
        <f t="shared" si="142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40"/>
        <v>-117514041003.06287</v>
      </c>
      <c r="J2956" s="444">
        <f t="array" ref="J2956">IFERROR(INDEX('Retirement Calculator'!K:K,MATCH('Lorri 401b'!N2956,'Retirement Calculator'!A:A,0),0),0)</f>
        <v>0</v>
      </c>
      <c r="K2956" s="444">
        <f t="shared" ca="1" si="138"/>
        <v>-489641837.51276201</v>
      </c>
      <c r="L2956" s="444">
        <f t="shared" ca="1" si="139"/>
        <v>-118003682840.57562</v>
      </c>
      <c r="M2956" s="460">
        <f t="shared" si="141"/>
        <v>0.05</v>
      </c>
      <c r="N2956" s="464">
        <f t="shared" si="142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40"/>
        <v>-118003682840.57562</v>
      </c>
      <c r="J2957" s="444">
        <f t="array" ref="J2957">IFERROR(INDEX('Retirement Calculator'!K:K,MATCH('Lorri 401b'!N2957,'Retirement Calculator'!A:A,0),0),0)</f>
        <v>0</v>
      </c>
      <c r="K2957" s="444">
        <f t="shared" ca="1" si="138"/>
        <v>-491682011.83573174</v>
      </c>
      <c r="L2957" s="444">
        <f t="shared" ca="1" si="139"/>
        <v>-118495364852.41136</v>
      </c>
      <c r="M2957" s="460">
        <f t="shared" si="141"/>
        <v>0.05</v>
      </c>
      <c r="N2957" s="464">
        <f t="shared" si="142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40"/>
        <v>-118495364852.41136</v>
      </c>
      <c r="J2958" s="444">
        <f t="array" ref="J2958">IFERROR(INDEX('Retirement Calculator'!K:K,MATCH('Lorri 401b'!N2958,'Retirement Calculator'!A:A,0),0),0)</f>
        <v>0</v>
      </c>
      <c r="K2958" s="444">
        <f t="shared" ca="1" si="138"/>
        <v>-493730686.88504726</v>
      </c>
      <c r="L2958" s="444">
        <f t="shared" ca="1" si="139"/>
        <v>-118989095539.2964</v>
      </c>
      <c r="M2958" s="460">
        <f t="shared" si="141"/>
        <v>0.05</v>
      </c>
      <c r="N2958" s="464">
        <f t="shared" si="142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40"/>
        <v>-118989095539.2964</v>
      </c>
      <c r="J2959" s="444">
        <f t="array" ref="J2959">IFERROR(INDEX('Retirement Calculator'!K:K,MATCH('Lorri 401b'!N2959,'Retirement Calculator'!A:A,0),0),0)</f>
        <v>0</v>
      </c>
      <c r="K2959" s="444">
        <f t="shared" ca="1" si="138"/>
        <v>-495787898.08040166</v>
      </c>
      <c r="L2959" s="444">
        <f t="shared" ca="1" si="139"/>
        <v>-119484883437.3768</v>
      </c>
      <c r="M2959" s="460">
        <f t="shared" si="141"/>
        <v>0.05</v>
      </c>
      <c r="N2959" s="464">
        <f t="shared" si="142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40"/>
        <v>-119484883437.3768</v>
      </c>
      <c r="J2960" s="444">
        <f t="array" ref="J2960">IFERROR(INDEX('Retirement Calculator'!K:K,MATCH('Lorri 401b'!N2960,'Retirement Calculator'!A:A,0),0),0)</f>
        <v>0</v>
      </c>
      <c r="K2960" s="444">
        <f t="shared" ca="1" si="138"/>
        <v>-497853680.98906994</v>
      </c>
      <c r="L2960" s="444">
        <f t="shared" ca="1" si="139"/>
        <v>-119982737118.36588</v>
      </c>
      <c r="M2960" s="460">
        <f t="shared" si="141"/>
        <v>0.05</v>
      </c>
      <c r="N2960" s="464">
        <f t="shared" si="142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40"/>
        <v>-119982737118.36588</v>
      </c>
      <c r="J2961" s="444">
        <f t="array" ref="J2961">IFERROR(INDEX('Retirement Calculator'!K:K,MATCH('Lorri 401b'!N2961,'Retirement Calculator'!A:A,0),0),0)</f>
        <v>0</v>
      </c>
      <c r="K2961" s="444">
        <f t="shared" ca="1" si="138"/>
        <v>-499928071.32652456</v>
      </c>
      <c r="L2961" s="444">
        <f t="shared" ca="1" si="139"/>
        <v>-120482665189.6924</v>
      </c>
      <c r="M2961" s="460">
        <f t="shared" si="141"/>
        <v>0.05</v>
      </c>
      <c r="N2961" s="464">
        <f t="shared" si="142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40"/>
        <v>-120482665189.6924</v>
      </c>
      <c r="J2962" s="444">
        <f t="array" ref="J2962">IFERROR(INDEX('Retirement Calculator'!K:K,MATCH('Lorri 401b'!N2962,'Retirement Calculator'!A:A,0),0),0)</f>
        <v>0</v>
      </c>
      <c r="K2962" s="444">
        <f t="shared" ca="1" si="138"/>
        <v>-502011104.95705158</v>
      </c>
      <c r="L2962" s="444">
        <f t="shared" ca="1" si="139"/>
        <v>-120984676294.64944</v>
      </c>
      <c r="M2962" s="460">
        <f t="shared" si="141"/>
        <v>0.05</v>
      </c>
      <c r="N2962" s="464">
        <f t="shared" si="142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40"/>
        <v>-120984676294.64944</v>
      </c>
      <c r="J2963" s="444">
        <f t="array" ref="J2963">IFERROR(INDEX('Retirement Calculator'!K:K,MATCH('Lorri 401b'!N2963,'Retirement Calculator'!A:A,0),0),0)</f>
        <v>0</v>
      </c>
      <c r="K2963" s="444">
        <f t="shared" ca="1" si="138"/>
        <v>-504102817.8943727</v>
      </c>
      <c r="L2963" s="444">
        <f t="shared" ca="1" si="139"/>
        <v>-121488779112.54382</v>
      </c>
      <c r="M2963" s="460">
        <f t="shared" si="141"/>
        <v>0.05</v>
      </c>
      <c r="N2963" s="464">
        <f t="shared" si="142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40"/>
        <v>-121488779112.54382</v>
      </c>
      <c r="J2964" s="444">
        <f t="array" ref="J2964">IFERROR(INDEX('Retirement Calculator'!K:K,MATCH('Lorri 401b'!N2964,'Retirement Calculator'!A:A,0),0),0)</f>
        <v>0</v>
      </c>
      <c r="K2964" s="444">
        <f t="shared" ca="1" si="138"/>
        <v>-506203246.30226588</v>
      </c>
      <c r="L2964" s="444">
        <f t="shared" ca="1" si="139"/>
        <v>-121994982358.84608</v>
      </c>
      <c r="M2964" s="460">
        <f t="shared" si="141"/>
        <v>0.05</v>
      </c>
      <c r="N2964" s="464">
        <f t="shared" si="142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40"/>
        <v>-121994982358.84608</v>
      </c>
      <c r="J2965" s="444">
        <f t="array" ref="J2965">IFERROR(INDEX('Retirement Calculator'!K:K,MATCH('Lorri 401b'!N2965,'Retirement Calculator'!A:A,0),0),0)</f>
        <v>0</v>
      </c>
      <c r="K2965" s="444">
        <f t="shared" ca="1" si="138"/>
        <v>-508312426.49519199</v>
      </c>
      <c r="L2965" s="444">
        <f t="shared" ca="1" si="139"/>
        <v>-122503294785.34128</v>
      </c>
      <c r="M2965" s="460">
        <f t="shared" si="141"/>
        <v>0.05</v>
      </c>
      <c r="N2965" s="464">
        <f t="shared" si="142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40"/>
        <v>-122503294785.34128</v>
      </c>
      <c r="J2966" s="444">
        <f t="array" ref="J2966">IFERROR(INDEX('Retirement Calculator'!K:K,MATCH('Lorri 401b'!N2966,'Retirement Calculator'!A:A,0),0),0)</f>
        <v>0</v>
      </c>
      <c r="K2966" s="444">
        <f t="shared" ca="1" si="138"/>
        <v>-510430394.93892199</v>
      </c>
      <c r="L2966" s="444">
        <f t="shared" ca="1" si="139"/>
        <v>-123013725180.2802</v>
      </c>
      <c r="M2966" s="460">
        <f t="shared" si="141"/>
        <v>0.05</v>
      </c>
      <c r="N2966" s="464">
        <f t="shared" si="142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40"/>
        <v>-123013725180.2802</v>
      </c>
      <c r="J2967" s="444">
        <f t="array" ref="J2967">IFERROR(INDEX('Retirement Calculator'!K:K,MATCH('Lorri 401b'!N2967,'Retirement Calculator'!A:A,0),0),0)</f>
        <v>0</v>
      </c>
      <c r="K2967" s="444">
        <f t="shared" ca="1" si="138"/>
        <v>-512557188.25116748</v>
      </c>
      <c r="L2967" s="444">
        <f t="shared" ca="1" si="139"/>
        <v>-123526282368.53137</v>
      </c>
      <c r="M2967" s="460">
        <f t="shared" si="141"/>
        <v>0.05</v>
      </c>
      <c r="N2967" s="464">
        <f t="shared" si="142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40"/>
        <v>-123526282368.53137</v>
      </c>
      <c r="J2968" s="444">
        <f t="array" ref="J2968">IFERROR(INDEX('Retirement Calculator'!K:K,MATCH('Lorri 401b'!N2968,'Retirement Calculator'!A:A,0),0),0)</f>
        <v>0</v>
      </c>
      <c r="K2968" s="444">
        <f t="shared" ca="1" si="138"/>
        <v>-514692843.20221406</v>
      </c>
      <c r="L2968" s="444">
        <f t="shared" ca="1" si="139"/>
        <v>-124040975211.73358</v>
      </c>
      <c r="M2968" s="460">
        <f t="shared" si="141"/>
        <v>0.05</v>
      </c>
      <c r="N2968" s="464">
        <f t="shared" si="142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40"/>
        <v>-124040975211.73358</v>
      </c>
      <c r="J2969" s="444">
        <f t="array" ref="J2969">IFERROR(INDEX('Retirement Calculator'!K:K,MATCH('Lorri 401b'!N2969,'Retirement Calculator'!A:A,0),0),0)</f>
        <v>0</v>
      </c>
      <c r="K2969" s="444">
        <f t="shared" ca="1" si="138"/>
        <v>-516837396.71555656</v>
      </c>
      <c r="L2969" s="444">
        <f t="shared" ca="1" si="139"/>
        <v>-124557812608.44914</v>
      </c>
      <c r="M2969" s="460">
        <f t="shared" si="141"/>
        <v>0.05</v>
      </c>
      <c r="N2969" s="464">
        <f t="shared" si="142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40"/>
        <v>-124557812608.44914</v>
      </c>
      <c r="J2970" s="444">
        <f t="array" ref="J2970">IFERROR(INDEX('Retirement Calculator'!K:K,MATCH('Lorri 401b'!N2970,'Retirement Calculator'!A:A,0),0),0)</f>
        <v>0</v>
      </c>
      <c r="K2970" s="444">
        <f t="shared" ca="1" si="138"/>
        <v>-518990885.86853808</v>
      </c>
      <c r="L2970" s="444">
        <f t="shared" ca="1" si="139"/>
        <v>-125076803494.31769</v>
      </c>
      <c r="M2970" s="460">
        <f t="shared" si="141"/>
        <v>0.05</v>
      </c>
      <c r="N2970" s="464">
        <f t="shared" si="142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40"/>
        <v>-125076803494.31769</v>
      </c>
      <c r="J2971" s="444">
        <f t="array" ref="J2971">IFERROR(INDEX('Retirement Calculator'!K:K,MATCH('Lorri 401b'!N2971,'Retirement Calculator'!A:A,0),0),0)</f>
        <v>0</v>
      </c>
      <c r="K2971" s="444">
        <f t="shared" ca="1" si="138"/>
        <v>-521153347.89299035</v>
      </c>
      <c r="L2971" s="444">
        <f t="shared" ca="1" si="139"/>
        <v>-125597956842.21068</v>
      </c>
      <c r="M2971" s="460">
        <f t="shared" si="141"/>
        <v>0.05</v>
      </c>
      <c r="N2971" s="464">
        <f t="shared" si="142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40"/>
        <v>-125597956842.21068</v>
      </c>
      <c r="J2972" s="444">
        <f t="array" ref="J2972">IFERROR(INDEX('Retirement Calculator'!K:K,MATCH('Lorri 401b'!N2972,'Retirement Calculator'!A:A,0),0),0)</f>
        <v>0</v>
      </c>
      <c r="K2972" s="444">
        <f t="shared" ca="1" si="138"/>
        <v>-523324820.17587775</v>
      </c>
      <c r="L2972" s="444">
        <f t="shared" ca="1" si="139"/>
        <v>-126121281662.38655</v>
      </c>
      <c r="M2972" s="460">
        <f t="shared" si="141"/>
        <v>0.05</v>
      </c>
      <c r="N2972" s="464">
        <f t="shared" si="142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40"/>
        <v>-126121281662.38655</v>
      </c>
      <c r="J2973" s="444">
        <f t="array" ref="J2973">IFERROR(INDEX('Retirement Calculator'!K:K,MATCH('Lorri 401b'!N2973,'Retirement Calculator'!A:A,0),0),0)</f>
        <v>0</v>
      </c>
      <c r="K2973" s="444">
        <f t="shared" ca="1" si="138"/>
        <v>-525505340.2599439</v>
      </c>
      <c r="L2973" s="444">
        <f t="shared" ca="1" si="139"/>
        <v>-126646787002.6465</v>
      </c>
      <c r="M2973" s="460">
        <f t="shared" si="141"/>
        <v>0.05</v>
      </c>
      <c r="N2973" s="464">
        <f t="shared" si="142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40"/>
        <v>-126646787002.6465</v>
      </c>
      <c r="J2974" s="444">
        <f t="array" ref="J2974">IFERROR(INDEX('Retirement Calculator'!K:K,MATCH('Lorri 401b'!N2974,'Retirement Calculator'!A:A,0),0),0)</f>
        <v>0</v>
      </c>
      <c r="K2974" s="444">
        <f t="shared" ca="1" si="138"/>
        <v>-527694945.84436041</v>
      </c>
      <c r="L2974" s="444">
        <f t="shared" ca="1" si="139"/>
        <v>-127174481948.49086</v>
      </c>
      <c r="M2974" s="460">
        <f t="shared" si="141"/>
        <v>0.05</v>
      </c>
      <c r="N2974" s="464">
        <f t="shared" si="142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40"/>
        <v>-127174481948.49086</v>
      </c>
      <c r="J2975" s="444">
        <f t="array" ref="J2975">IFERROR(INDEX('Retirement Calculator'!K:K,MATCH('Lorri 401b'!N2975,'Retirement Calculator'!A:A,0),0),0)</f>
        <v>0</v>
      </c>
      <c r="K2975" s="444">
        <f t="shared" ca="1" si="138"/>
        <v>-529893674.78537858</v>
      </c>
      <c r="L2975" s="444">
        <f t="shared" ca="1" si="139"/>
        <v>-127704375623.27625</v>
      </c>
      <c r="M2975" s="460">
        <f t="shared" si="141"/>
        <v>0.05</v>
      </c>
      <c r="N2975" s="464">
        <f t="shared" si="142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40"/>
        <v>-127704375623.27625</v>
      </c>
      <c r="J2976" s="444">
        <f t="array" ref="J2976">IFERROR(INDEX('Retirement Calculator'!K:K,MATCH('Lorri 401b'!N2976,'Retirement Calculator'!A:A,0),0),0)</f>
        <v>0</v>
      </c>
      <c r="K2976" s="444">
        <f t="shared" ca="1" si="138"/>
        <v>-532101565.09698433</v>
      </c>
      <c r="L2976" s="444">
        <f t="shared" ca="1" si="139"/>
        <v>-128236477188.37323</v>
      </c>
      <c r="M2976" s="460">
        <f t="shared" si="141"/>
        <v>0.05</v>
      </c>
      <c r="N2976" s="464">
        <f t="shared" si="142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40"/>
        <v>-128236477188.37323</v>
      </c>
      <c r="J2977" s="444">
        <f t="array" ref="J2977">IFERROR(INDEX('Retirement Calculator'!K:K,MATCH('Lorri 401b'!N2977,'Retirement Calculator'!A:A,0),0),0)</f>
        <v>0</v>
      </c>
      <c r="K2977" s="444">
        <f t="shared" ca="1" si="138"/>
        <v>-534318654.95155513</v>
      </c>
      <c r="L2977" s="444">
        <f t="shared" ca="1" si="139"/>
        <v>-128770795843.32478</v>
      </c>
      <c r="M2977" s="460">
        <f t="shared" si="141"/>
        <v>0.05</v>
      </c>
      <c r="N2977" s="464">
        <f t="shared" si="142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40"/>
        <v>-128770795843.32478</v>
      </c>
      <c r="J2978" s="444">
        <f t="array" ref="J2978">IFERROR(INDEX('Retirement Calculator'!K:K,MATCH('Lorri 401b'!N2978,'Retirement Calculator'!A:A,0),0),0)</f>
        <v>0</v>
      </c>
      <c r="K2978" s="444">
        <f t="shared" ca="1" si="138"/>
        <v>-536544982.68051994</v>
      </c>
      <c r="L2978" s="444">
        <f t="shared" ca="1" si="139"/>
        <v>-129307340826.00531</v>
      </c>
      <c r="M2978" s="460">
        <f t="shared" si="141"/>
        <v>0.05</v>
      </c>
      <c r="N2978" s="464">
        <f t="shared" si="142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40"/>
        <v>-129307340826.00531</v>
      </c>
      <c r="J2979" s="444">
        <f t="array" ref="J2979">IFERROR(INDEX('Retirement Calculator'!K:K,MATCH('Lorri 401b'!N2979,'Retirement Calculator'!A:A,0),0),0)</f>
        <v>0</v>
      </c>
      <c r="K2979" s="444">
        <f t="shared" ca="1" si="138"/>
        <v>-538780586.77502215</v>
      </c>
      <c r="L2979" s="444">
        <f t="shared" ca="1" si="139"/>
        <v>-129846121412.78033</v>
      </c>
      <c r="M2979" s="460">
        <f t="shared" si="141"/>
        <v>0.05</v>
      </c>
      <c r="N2979" s="464">
        <f t="shared" si="142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40"/>
        <v>-129846121412.78033</v>
      </c>
      <c r="J2980" s="444">
        <f t="array" ref="J2980">IFERROR(INDEX('Retirement Calculator'!K:K,MATCH('Lorri 401b'!N2980,'Retirement Calculator'!A:A,0),0),0)</f>
        <v>0</v>
      </c>
      <c r="K2980" s="444">
        <f t="shared" ca="1" si="138"/>
        <v>-541025505.88658476</v>
      </c>
      <c r="L2980" s="444">
        <f t="shared" ca="1" si="139"/>
        <v>-130387146918.66692</v>
      </c>
      <c r="M2980" s="460">
        <f t="shared" si="141"/>
        <v>0.05</v>
      </c>
      <c r="N2980" s="464">
        <f t="shared" si="142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40"/>
        <v>-130387146918.66692</v>
      </c>
      <c r="J2981" s="444">
        <f t="array" ref="J2981">IFERROR(INDEX('Retirement Calculator'!K:K,MATCH('Lorri 401b'!N2981,'Retirement Calculator'!A:A,0),0),0)</f>
        <v>0</v>
      </c>
      <c r="K2981" s="444">
        <f t="shared" ca="1" si="138"/>
        <v>-543279778.82777882</v>
      </c>
      <c r="L2981" s="444">
        <f t="shared" ca="1" si="139"/>
        <v>-130930426697.49469</v>
      </c>
      <c r="M2981" s="460">
        <f t="shared" si="141"/>
        <v>0.05</v>
      </c>
      <c r="N2981" s="464">
        <f t="shared" si="142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40"/>
        <v>-130930426697.49469</v>
      </c>
      <c r="J2982" s="444">
        <f t="array" ref="J2982">IFERROR(INDEX('Retirement Calculator'!K:K,MATCH('Lorri 401b'!N2982,'Retirement Calculator'!A:A,0),0),0)</f>
        <v>0</v>
      </c>
      <c r="K2982" s="444">
        <f t="shared" ca="1" si="138"/>
        <v>-545543444.57289457</v>
      </c>
      <c r="L2982" s="444">
        <f t="shared" ca="1" si="139"/>
        <v>-131475970142.06758</v>
      </c>
      <c r="M2982" s="460">
        <f t="shared" si="141"/>
        <v>0.05</v>
      </c>
      <c r="N2982" s="464">
        <f t="shared" si="142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40"/>
        <v>-131475970142.06758</v>
      </c>
      <c r="J2983" s="444">
        <f t="array" ref="J2983">IFERROR(INDEX('Retirement Calculator'!K:K,MATCH('Lorri 401b'!N2983,'Retirement Calculator'!A:A,0),0),0)</f>
        <v>0</v>
      </c>
      <c r="K2983" s="444">
        <f t="shared" ca="1" si="138"/>
        <v>-547816542.25861502</v>
      </c>
      <c r="L2983" s="444">
        <f t="shared" ca="1" si="139"/>
        <v>-132023786684.3262</v>
      </c>
      <c r="M2983" s="460">
        <f t="shared" si="141"/>
        <v>0.05</v>
      </c>
      <c r="N2983" s="464">
        <f t="shared" si="142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40"/>
        <v>-132023786684.3262</v>
      </c>
      <c r="J2984" s="444">
        <f t="array" ref="J2984">IFERROR(INDEX('Retirement Calculator'!K:K,MATCH('Lorri 401b'!N2984,'Retirement Calculator'!A:A,0),0),0)</f>
        <v>0</v>
      </c>
      <c r="K2984" s="444">
        <f t="shared" ca="1" si="138"/>
        <v>-550099111.1846925</v>
      </c>
      <c r="L2984" s="444">
        <f t="shared" ca="1" si="139"/>
        <v>-132573885795.51089</v>
      </c>
      <c r="M2984" s="460">
        <f t="shared" si="141"/>
        <v>0.05</v>
      </c>
      <c r="N2984" s="464">
        <f t="shared" si="142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40"/>
        <v>-132573885795.51089</v>
      </c>
      <c r="J2985" s="444">
        <f t="array" ref="J2985">IFERROR(INDEX('Retirement Calculator'!K:K,MATCH('Lorri 401b'!N2985,'Retirement Calculator'!A:A,0),0),0)</f>
        <v>0</v>
      </c>
      <c r="K2985" s="444">
        <f t="shared" ca="1" si="138"/>
        <v>-552391190.8146286</v>
      </c>
      <c r="L2985" s="444">
        <f t="shared" ca="1" si="139"/>
        <v>-133126276986.32553</v>
      </c>
      <c r="M2985" s="460">
        <f t="shared" si="141"/>
        <v>0.05</v>
      </c>
      <c r="N2985" s="464">
        <f t="shared" si="142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40"/>
        <v>-133126276986.32553</v>
      </c>
      <c r="J2986" s="444">
        <f t="array" ref="J2986">IFERROR(INDEX('Retirement Calculator'!K:K,MATCH('Lorri 401b'!N2986,'Retirement Calculator'!A:A,0),0),0)</f>
        <v>0</v>
      </c>
      <c r="K2986" s="444">
        <f t="shared" ca="1" si="138"/>
        <v>-554692820.77635634</v>
      </c>
      <c r="L2986" s="444">
        <f t="shared" ca="1" si="139"/>
        <v>-133680969807.10188</v>
      </c>
      <c r="M2986" s="460">
        <f t="shared" si="141"/>
        <v>0.05</v>
      </c>
      <c r="N2986" s="464">
        <f t="shared" si="142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40"/>
        <v>-133680969807.10188</v>
      </c>
      <c r="J2987" s="444">
        <f t="array" ref="J2987">IFERROR(INDEX('Retirement Calculator'!K:K,MATCH('Lorri 401b'!N2987,'Retirement Calculator'!A:A,0),0),0)</f>
        <v>0</v>
      </c>
      <c r="K2987" s="444">
        <f t="shared" ca="1" si="138"/>
        <v>-557004040.86292446</v>
      </c>
      <c r="L2987" s="444">
        <f t="shared" ca="1" si="139"/>
        <v>-134237973847.96481</v>
      </c>
      <c r="M2987" s="460">
        <f t="shared" si="141"/>
        <v>0.05</v>
      </c>
      <c r="N2987" s="464">
        <f t="shared" si="142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40"/>
        <v>-134237973847.96481</v>
      </c>
      <c r="J2988" s="444">
        <f t="array" ref="J2988">IFERROR(INDEX('Retirement Calculator'!K:K,MATCH('Lorri 401b'!N2988,'Retirement Calculator'!A:A,0),0),0)</f>
        <v>0</v>
      </c>
      <c r="K2988" s="444">
        <f t="shared" ca="1" si="138"/>
        <v>-559324891.03318667</v>
      </c>
      <c r="L2988" s="444">
        <f t="shared" ca="1" si="139"/>
        <v>-134797298738.998</v>
      </c>
      <c r="M2988" s="460">
        <f t="shared" si="141"/>
        <v>0.05</v>
      </c>
      <c r="N2988" s="464">
        <f t="shared" si="142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40"/>
        <v>-134797298738.998</v>
      </c>
      <c r="J2989" s="444">
        <f t="array" ref="J2989">IFERROR(INDEX('Retirement Calculator'!K:K,MATCH('Lorri 401b'!N2989,'Retirement Calculator'!A:A,0),0),0)</f>
        <v>0</v>
      </c>
      <c r="K2989" s="444">
        <f t="shared" ca="1" si="138"/>
        <v>-561655411.41249168</v>
      </c>
      <c r="L2989" s="444">
        <f t="shared" ca="1" si="139"/>
        <v>-135358954150.41049</v>
      </c>
      <c r="M2989" s="460">
        <f t="shared" si="141"/>
        <v>0.05</v>
      </c>
      <c r="N2989" s="464">
        <f t="shared" si="142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40"/>
        <v>-135358954150.41049</v>
      </c>
      <c r="J2990" s="444">
        <f t="array" ref="J2990">IFERROR(INDEX('Retirement Calculator'!K:K,MATCH('Lorri 401b'!N2990,'Retirement Calculator'!A:A,0),0),0)</f>
        <v>0</v>
      </c>
      <c r="K2990" s="444">
        <f t="shared" ca="1" si="138"/>
        <v>-563995642.29337704</v>
      </c>
      <c r="L2990" s="444">
        <f t="shared" ca="1" si="139"/>
        <v>-135922949792.70387</v>
      </c>
      <c r="M2990" s="460">
        <f t="shared" si="141"/>
        <v>0.05</v>
      </c>
      <c r="N2990" s="464">
        <f t="shared" si="142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40"/>
        <v>-135922949792.70387</v>
      </c>
      <c r="J2991" s="444">
        <f t="array" ref="J2991">IFERROR(INDEX('Retirement Calculator'!K:K,MATCH('Lorri 401b'!N2991,'Retirement Calculator'!A:A,0),0),0)</f>
        <v>0</v>
      </c>
      <c r="K2991" s="444">
        <f t="shared" ca="1" si="138"/>
        <v>-566345624.13626611</v>
      </c>
      <c r="L2991" s="444">
        <f t="shared" ca="1" si="139"/>
        <v>-136489295416.84013</v>
      </c>
      <c r="M2991" s="460">
        <f t="shared" si="141"/>
        <v>0.05</v>
      </c>
      <c r="N2991" s="464">
        <f t="shared" si="142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40"/>
        <v>-136489295416.84013</v>
      </c>
      <c r="J2992" s="444">
        <f t="array" ref="J2992">IFERROR(INDEX('Retirement Calculator'!K:K,MATCH('Lorri 401b'!N2992,'Retirement Calculator'!A:A,0),0),0)</f>
        <v>0</v>
      </c>
      <c r="K2992" s="444">
        <f t="shared" ca="1" si="138"/>
        <v>-568705397.5701673</v>
      </c>
      <c r="L2992" s="444">
        <f t="shared" ca="1" si="139"/>
        <v>-137058000814.41029</v>
      </c>
      <c r="M2992" s="460">
        <f t="shared" si="141"/>
        <v>0.05</v>
      </c>
      <c r="N2992" s="464">
        <f t="shared" si="142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40"/>
        <v>-137058000814.41029</v>
      </c>
      <c r="J2993" s="444">
        <f t="array" ref="J2993">IFERROR(INDEX('Retirement Calculator'!K:K,MATCH('Lorri 401b'!N2993,'Retirement Calculator'!A:A,0),0),0)</f>
        <v>0</v>
      </c>
      <c r="K2993" s="444">
        <f t="shared" ca="1" si="138"/>
        <v>-571075003.39337611</v>
      </c>
      <c r="L2993" s="444">
        <f t="shared" ca="1" si="139"/>
        <v>-137629075817.80368</v>
      </c>
      <c r="M2993" s="460">
        <f t="shared" si="141"/>
        <v>0.05</v>
      </c>
      <c r="N2993" s="464">
        <f t="shared" si="142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40"/>
        <v>-137629075817.80368</v>
      </c>
      <c r="J2994" s="444">
        <f t="array" ref="J2994">IFERROR(INDEX('Retirement Calculator'!K:K,MATCH('Lorri 401b'!N2994,'Retirement Calculator'!A:A,0),0),0)</f>
        <v>0</v>
      </c>
      <c r="K2994" s="444">
        <f t="shared" ca="1" si="138"/>
        <v>-573454482.57418203</v>
      </c>
      <c r="L2994" s="444">
        <f t="shared" ca="1" si="139"/>
        <v>-138202530300.37787</v>
      </c>
      <c r="M2994" s="460">
        <f t="shared" si="141"/>
        <v>0.05</v>
      </c>
      <c r="N2994" s="464">
        <f t="shared" si="142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40"/>
        <v>-138202530300.37787</v>
      </c>
      <c r="J2995" s="444">
        <f t="array" ref="J2995">IFERROR(INDEX('Retirement Calculator'!K:K,MATCH('Lorri 401b'!N2995,'Retirement Calculator'!A:A,0),0),0)</f>
        <v>0</v>
      </c>
      <c r="K2995" s="444">
        <f t="shared" ca="1" si="138"/>
        <v>-575843876.2515744</v>
      </c>
      <c r="L2995" s="444">
        <f t="shared" ca="1" si="139"/>
        <v>-138778374176.62946</v>
      </c>
      <c r="M2995" s="460">
        <f t="shared" si="141"/>
        <v>0.05</v>
      </c>
      <c r="N2995" s="464">
        <f t="shared" si="142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40"/>
        <v>-138778374176.62946</v>
      </c>
      <c r="J2996" s="444">
        <f t="array" ref="J2996">IFERROR(INDEX('Retirement Calculator'!K:K,MATCH('Lorri 401b'!N2996,'Retirement Calculator'!A:A,0),0),0)</f>
        <v>0</v>
      </c>
      <c r="K2996" s="444">
        <f t="shared" ca="1" si="138"/>
        <v>-578243225.73595607</v>
      </c>
      <c r="L2996" s="444">
        <f t="shared" ca="1" si="139"/>
        <v>-139356617402.36542</v>
      </c>
      <c r="M2996" s="460">
        <f t="shared" si="141"/>
        <v>0.05</v>
      </c>
      <c r="N2996" s="464">
        <f t="shared" si="142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40"/>
        <v>-139356617402.36542</v>
      </c>
      <c r="J2997" s="444">
        <f t="array" ref="J2997">IFERROR(INDEX('Retirement Calculator'!K:K,MATCH('Lorri 401b'!N2997,'Retirement Calculator'!A:A,0),0),0)</f>
        <v>0</v>
      </c>
      <c r="K2997" s="444">
        <f t="shared" ca="1" si="138"/>
        <v>-580652572.50985587</v>
      </c>
      <c r="L2997" s="444">
        <f t="shared" ca="1" si="139"/>
        <v>-139937269974.87527</v>
      </c>
      <c r="M2997" s="460">
        <f t="shared" si="141"/>
        <v>0.05</v>
      </c>
      <c r="N2997" s="464">
        <f t="shared" si="142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40"/>
        <v>-139937269974.87527</v>
      </c>
      <c r="J2998" s="444">
        <f t="array" ref="J2998">IFERROR(INDEX('Retirement Calculator'!K:K,MATCH('Lorri 401b'!N2998,'Retirement Calculator'!A:A,0),0),0)</f>
        <v>0</v>
      </c>
      <c r="K2998" s="444">
        <f t="shared" ca="1" si="138"/>
        <v>-583071958.22864699</v>
      </c>
      <c r="L2998" s="444">
        <f t="shared" ca="1" si="139"/>
        <v>-140520341933.10391</v>
      </c>
      <c r="M2998" s="460">
        <f t="shared" si="141"/>
        <v>0.05</v>
      </c>
      <c r="N2998" s="464">
        <f t="shared" si="142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40"/>
        <v>-140520341933.10391</v>
      </c>
      <c r="J2999" s="444">
        <f t="array" ref="J2999">IFERROR(INDEX('Retirement Calculator'!K:K,MATCH('Lorri 401b'!N2999,'Retirement Calculator'!A:A,0),0),0)</f>
        <v>0</v>
      </c>
      <c r="K2999" s="444">
        <f t="shared" ca="1" si="138"/>
        <v>-585501424.72126627</v>
      </c>
      <c r="L2999" s="444">
        <f t="shared" ca="1" si="139"/>
        <v>-141105843357.82516</v>
      </c>
      <c r="M2999" s="460">
        <f t="shared" si="141"/>
        <v>0.05</v>
      </c>
      <c r="N2999" s="464">
        <f t="shared" si="142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40"/>
        <v>-141105843357.82516</v>
      </c>
      <c r="J3000" s="444">
        <f t="array" ref="J3000">IFERROR(INDEX('Retirement Calculator'!K:K,MATCH('Lorri 401b'!N3000,'Retirement Calculator'!A:A,0),0),0)</f>
        <v>0</v>
      </c>
      <c r="K3000" s="444">
        <f t="shared" ca="1" si="138"/>
        <v>-587941013.99093819</v>
      </c>
      <c r="L3000" s="444">
        <f t="shared" ca="1" si="139"/>
        <v>-141693784371.8161</v>
      </c>
      <c r="M3000" s="460">
        <f t="shared" si="141"/>
        <v>0.05</v>
      </c>
      <c r="N3000" s="464">
        <f t="shared" si="142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40"/>
        <v>-141693784371.8161</v>
      </c>
      <c r="J3001" s="444">
        <f t="array" ref="J3001">IFERROR(INDEX('Retirement Calculator'!K:K,MATCH('Lorri 401b'!N3001,'Retirement Calculator'!A:A,0),0),0)</f>
        <v>0</v>
      </c>
      <c r="K3001" s="444">
        <f t="shared" ca="1" si="138"/>
        <v>-590390768.21590042</v>
      </c>
      <c r="L3001" s="444">
        <f t="shared" ca="1" si="139"/>
        <v>-142284175140.03201</v>
      </c>
      <c r="M3001" s="460">
        <f t="shared" si="141"/>
        <v>0.05</v>
      </c>
      <c r="N3001" s="464">
        <f t="shared" si="142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40"/>
        <v>-142284175140.03201</v>
      </c>
      <c r="J3002" s="444">
        <f t="array" ref="J3002">IFERROR(INDEX('Retirement Calculator'!K:K,MATCH('Lorri 401b'!N3002,'Retirement Calculator'!A:A,0),0),0)</f>
        <v>0</v>
      </c>
      <c r="K3002" s="444">
        <f t="shared" ca="1" si="138"/>
        <v>-592850729.7501334</v>
      </c>
      <c r="L3002" s="444">
        <f t="shared" ca="1" si="139"/>
        <v>-142877025869.78214</v>
      </c>
      <c r="M3002" s="460">
        <f t="shared" si="141"/>
        <v>0.05</v>
      </c>
      <c r="N3002" s="464">
        <f t="shared" si="142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40"/>
        <v>-142877025869.78214</v>
      </c>
      <c r="J3003" s="444">
        <f t="array" ref="J3003">IFERROR(INDEX('Retirement Calculator'!K:K,MATCH('Lorri 401b'!N3003,'Retirement Calculator'!A:A,0),0),0)</f>
        <v>0</v>
      </c>
      <c r="K3003" s="444">
        <f t="shared" ca="1" si="138"/>
        <v>-595320941.12409222</v>
      </c>
      <c r="L3003" s="444">
        <f t="shared" ca="1" si="139"/>
        <v>-143472346810.90622</v>
      </c>
      <c r="M3003" s="460">
        <f t="shared" si="141"/>
        <v>0.05</v>
      </c>
      <c r="N3003" s="464">
        <f t="shared" si="142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40"/>
        <v>-143472346810.90622</v>
      </c>
      <c r="J3004" s="444">
        <f t="array" ref="J3004">IFERROR(INDEX('Retirement Calculator'!K:K,MATCH('Lorri 401b'!N3004,'Retirement Calculator'!A:A,0),0),0)</f>
        <v>0</v>
      </c>
      <c r="K3004" s="444">
        <f t="shared" ca="1" si="138"/>
        <v>-597801445.04544258</v>
      </c>
      <c r="L3004" s="444">
        <f t="shared" ca="1" si="139"/>
        <v>-144070148255.95166</v>
      </c>
      <c r="M3004" s="460">
        <f t="shared" si="141"/>
        <v>0.05</v>
      </c>
      <c r="N3004" s="464">
        <f t="shared" si="142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40"/>
        <v>-144070148255.95166</v>
      </c>
      <c r="J3005" s="444">
        <f t="array" ref="J3005">IFERROR(INDEX('Retirement Calculator'!K:K,MATCH('Lorri 401b'!N3005,'Retirement Calculator'!A:A,0),0),0)</f>
        <v>0</v>
      </c>
      <c r="K3005" s="444">
        <f t="shared" ca="1" si="138"/>
        <v>-600292284.39979863</v>
      </c>
      <c r="L3005" s="444">
        <f t="shared" ca="1" si="139"/>
        <v>-144670440540.35147</v>
      </c>
      <c r="M3005" s="460">
        <f t="shared" si="141"/>
        <v>0.05</v>
      </c>
      <c r="N3005" s="464">
        <f t="shared" si="142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40"/>
        <v>-144670440540.35147</v>
      </c>
      <c r="J3006" s="444">
        <f t="array" ref="J3006">IFERROR(INDEX('Retirement Calculator'!K:K,MATCH('Lorri 401b'!N3006,'Retirement Calculator'!A:A,0),0),0)</f>
        <v>0</v>
      </c>
      <c r="K3006" s="444">
        <f t="shared" ca="1" si="138"/>
        <v>-602793502.25146449</v>
      </c>
      <c r="L3006" s="444">
        <f t="shared" ca="1" si="139"/>
        <v>-145273234042.60294</v>
      </c>
      <c r="M3006" s="460">
        <f t="shared" si="141"/>
        <v>0.05</v>
      </c>
      <c r="N3006" s="464">
        <f t="shared" si="142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40"/>
        <v>-145273234042.60294</v>
      </c>
      <c r="J3007" s="444">
        <f t="array" ref="J3007">IFERROR(INDEX('Retirement Calculator'!K:K,MATCH('Lorri 401b'!N3007,'Retirement Calculator'!A:A,0),0),0)</f>
        <v>0</v>
      </c>
      <c r="K3007" s="444">
        <f t="shared" ca="1" si="138"/>
        <v>-605305141.84417892</v>
      </c>
      <c r="L3007" s="444">
        <f t="shared" ca="1" si="139"/>
        <v>-145878539184.44711</v>
      </c>
      <c r="M3007" s="460">
        <f t="shared" si="141"/>
        <v>0.05</v>
      </c>
      <c r="N3007" s="464">
        <f t="shared" si="142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40"/>
        <v>-145878539184.44711</v>
      </c>
      <c r="J3008" s="444">
        <f t="array" ref="J3008">IFERROR(INDEX('Retirement Calculator'!K:K,MATCH('Lorri 401b'!N3008,'Retirement Calculator'!A:A,0),0),0)</f>
        <v>0</v>
      </c>
      <c r="K3008" s="444">
        <f t="shared" ca="1" si="138"/>
        <v>-607827246.60186291</v>
      </c>
      <c r="L3008" s="444">
        <f t="shared" ca="1" si="139"/>
        <v>-146486366431.04898</v>
      </c>
      <c r="M3008" s="460">
        <f t="shared" si="141"/>
        <v>0.05</v>
      </c>
      <c r="N3008" s="464">
        <f t="shared" si="142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40"/>
        <v>-146486366431.04898</v>
      </c>
      <c r="J3009" s="444">
        <f t="array" ref="J3009">IFERROR(INDEX('Retirement Calculator'!K:K,MATCH('Lorri 401b'!N3009,'Retirement Calculator'!A:A,0),0),0)</f>
        <v>0</v>
      </c>
      <c r="K3009" s="444">
        <f t="shared" ca="1" si="138"/>
        <v>-610359860.12937069</v>
      </c>
      <c r="L3009" s="444">
        <f t="shared" ca="1" si="139"/>
        <v>-147096726291.17834</v>
      </c>
      <c r="M3009" s="460">
        <f t="shared" si="141"/>
        <v>0.05</v>
      </c>
      <c r="N3009" s="464">
        <f t="shared" si="142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40"/>
        <v>-147096726291.17834</v>
      </c>
      <c r="J3010" s="444">
        <f t="array" ref="J3010">IFERROR(INDEX('Retirement Calculator'!K:K,MATCH('Lorri 401b'!N3010,'Retirement Calculator'!A:A,0),0),0)</f>
        <v>0</v>
      </c>
      <c r="K3010" s="444">
        <f t="shared" ca="1" si="138"/>
        <v>-612903026.21324313</v>
      </c>
      <c r="L3010" s="444">
        <f t="shared" ca="1" si="139"/>
        <v>-147709629317.3916</v>
      </c>
      <c r="M3010" s="460">
        <f t="shared" si="141"/>
        <v>0.05</v>
      </c>
      <c r="N3010" s="464">
        <f t="shared" si="142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40"/>
        <v>-147709629317.3916</v>
      </c>
      <c r="J3011" s="444">
        <f t="array" ref="J3011">IFERROR(INDEX('Retirement Calculator'!K:K,MATCH('Lorri 401b'!N3011,'Retirement Calculator'!A:A,0),0),0)</f>
        <v>0</v>
      </c>
      <c r="K3011" s="444">
        <f t="shared" ca="1" si="138"/>
        <v>-615456788.82246494</v>
      </c>
      <c r="L3011" s="444">
        <f t="shared" ca="1" si="139"/>
        <v>-148325086106.21408</v>
      </c>
      <c r="M3011" s="460">
        <f t="shared" si="141"/>
        <v>0.05</v>
      </c>
      <c r="N3011" s="464">
        <f t="shared" si="142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40"/>
        <v>-148325086106.21408</v>
      </c>
      <c r="J3012" s="444">
        <f t="array" ref="J3012">IFERROR(INDEX('Retirement Calculator'!K:K,MATCH('Lorri 401b'!N3012,'Retirement Calculator'!A:A,0),0),0)</f>
        <v>0</v>
      </c>
      <c r="K3012" s="444">
        <f t="shared" ca="1" si="138"/>
        <v>-618021192.10922527</v>
      </c>
      <c r="L3012" s="444">
        <f t="shared" ca="1" si="139"/>
        <v>-148943107298.3233</v>
      </c>
      <c r="M3012" s="460">
        <f t="shared" si="141"/>
        <v>0.05</v>
      </c>
      <c r="N3012" s="464">
        <f t="shared" si="142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40"/>
        <v>-148943107298.3233</v>
      </c>
      <c r="J3013" s="444">
        <f t="array" ref="J3013">IFERROR(INDEX('Retirement Calculator'!K:K,MATCH('Lorri 401b'!N3013,'Retirement Calculator'!A:A,0),0),0)</f>
        <v>0</v>
      </c>
      <c r="K3013" s="444">
        <f t="shared" ca="1" si="138"/>
        <v>-620596280.40968037</v>
      </c>
      <c r="L3013" s="444">
        <f t="shared" ca="1" si="139"/>
        <v>-149563703578.73297</v>
      </c>
      <c r="M3013" s="460">
        <f t="shared" si="141"/>
        <v>0.05</v>
      </c>
      <c r="N3013" s="464">
        <f t="shared" si="142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40"/>
        <v>-149563703578.73297</v>
      </c>
      <c r="J3014" s="444">
        <f t="array" ref="J3014">IFERROR(INDEX('Retirement Calculator'!K:K,MATCH('Lorri 401b'!N3014,'Retirement Calculator'!A:A,0),0),0)</f>
        <v>0</v>
      </c>
      <c r="K3014" s="444">
        <f t="shared" ca="1" si="138"/>
        <v>-623182098.2447207</v>
      </c>
      <c r="L3014" s="444">
        <f t="shared" ca="1" si="139"/>
        <v>-150186885676.97769</v>
      </c>
      <c r="M3014" s="460">
        <f t="shared" si="141"/>
        <v>0.05</v>
      </c>
      <c r="N3014" s="464">
        <f t="shared" si="142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40"/>
        <v>-150186885676.97769</v>
      </c>
      <c r="J3015" s="444">
        <f t="array" ref="J3015">IFERROR(INDEX('Retirement Calculator'!K:K,MATCH('Lorri 401b'!N3015,'Retirement Calculator'!A:A,0),0),0)</f>
        <v>0</v>
      </c>
      <c r="K3015" s="444">
        <f t="shared" ca="1" si="138"/>
        <v>-625778690.32074034</v>
      </c>
      <c r="L3015" s="444">
        <f t="shared" ca="1" si="139"/>
        <v>-150812664367.29843</v>
      </c>
      <c r="M3015" s="460">
        <f t="shared" si="141"/>
        <v>0.05</v>
      </c>
      <c r="N3015" s="464">
        <f t="shared" si="142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40"/>
        <v>-150812664367.29843</v>
      </c>
      <c r="J3016" s="444">
        <f t="array" ref="J3016">IFERROR(INDEX('Retirement Calculator'!K:K,MATCH('Lorri 401b'!N3016,'Retirement Calculator'!A:A,0),0),0)</f>
        <v>0</v>
      </c>
      <c r="K3016" s="444">
        <f t="shared" ca="1" si="138"/>
        <v>-628386101.53041017</v>
      </c>
      <c r="L3016" s="444">
        <f t="shared" ca="1" si="139"/>
        <v>-151441050468.82883</v>
      </c>
      <c r="M3016" s="460">
        <f t="shared" si="141"/>
        <v>0.05</v>
      </c>
      <c r="N3016" s="464">
        <f t="shared" si="142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40"/>
        <v>-151441050468.82883</v>
      </c>
      <c r="J3017" s="444">
        <f t="array" ref="J3017">IFERROR(INDEX('Retirement Calculator'!K:K,MATCH('Lorri 401b'!N3017,'Retirement Calculator'!A:A,0),0),0)</f>
        <v>0</v>
      </c>
      <c r="K3017" s="444">
        <f t="shared" ca="1" si="138"/>
        <v>-631004376.95345342</v>
      </c>
      <c r="L3017" s="444">
        <f t="shared" ca="1" si="139"/>
        <v>-152072054845.78229</v>
      </c>
      <c r="M3017" s="460">
        <f t="shared" si="141"/>
        <v>0.05</v>
      </c>
      <c r="N3017" s="464">
        <f t="shared" si="142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40"/>
        <v>-152072054845.78229</v>
      </c>
      <c r="J3018" s="444">
        <f t="array" ref="J3018">IFERROR(INDEX('Retirement Calculator'!K:K,MATCH('Lorri 401b'!N3018,'Retirement Calculator'!A:A,0),0),0)</f>
        <v>0</v>
      </c>
      <c r="K3018" s="444">
        <f t="shared" ca="1" si="138"/>
        <v>-633633561.85742617</v>
      </c>
      <c r="L3018" s="444">
        <f t="shared" ca="1" si="139"/>
        <v>-152705688407.63971</v>
      </c>
      <c r="M3018" s="460">
        <f t="shared" si="141"/>
        <v>0.05</v>
      </c>
      <c r="N3018" s="464">
        <f t="shared" si="142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40"/>
        <v>-152705688407.63971</v>
      </c>
      <c r="J3019" s="444">
        <f t="array" ref="J3019">IFERROR(INDEX('Retirement Calculator'!K:K,MATCH('Lorri 401b'!N3019,'Retirement Calculator'!A:A,0),0),0)</f>
        <v>0</v>
      </c>
      <c r="K3019" s="444">
        <f t="shared" ca="1" si="138"/>
        <v>-636273701.69849873</v>
      </c>
      <c r="L3019" s="444">
        <f t="shared" ca="1" si="139"/>
        <v>-153341962109.3382</v>
      </c>
      <c r="M3019" s="460">
        <f t="shared" si="141"/>
        <v>0.05</v>
      </c>
      <c r="N3019" s="464">
        <f t="shared" si="142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40"/>
        <v>-153341962109.3382</v>
      </c>
      <c r="J3020" s="444">
        <f t="array" ref="J3020">IFERROR(INDEX('Retirement Calculator'!K:K,MATCH('Lorri 401b'!N3020,'Retirement Calculator'!A:A,0),0),0)</f>
        <v>0</v>
      </c>
      <c r="K3020" s="444">
        <f t="shared" ca="1" si="138"/>
        <v>-638924842.12224245</v>
      </c>
      <c r="L3020" s="444">
        <f t="shared" ca="1" si="139"/>
        <v>-153980886951.46045</v>
      </c>
      <c r="M3020" s="460">
        <f t="shared" si="141"/>
        <v>0.05</v>
      </c>
      <c r="N3020" s="464">
        <f t="shared" si="142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40"/>
        <v>-153980886951.46045</v>
      </c>
      <c r="J3021" s="444">
        <f t="array" ref="J3021">IFERROR(INDEX('Retirement Calculator'!K:K,MATCH('Lorri 401b'!N3021,'Retirement Calculator'!A:A,0),0),0)</f>
        <v>0</v>
      </c>
      <c r="K3021" s="444">
        <f t="shared" ca="1" si="138"/>
        <v>-641587028.96441853</v>
      </c>
      <c r="L3021" s="444">
        <f t="shared" ca="1" si="139"/>
        <v>-154622473980.42487</v>
      </c>
      <c r="M3021" s="460">
        <f t="shared" si="141"/>
        <v>0.05</v>
      </c>
      <c r="N3021" s="464">
        <f t="shared" si="142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40"/>
        <v>-154622473980.42487</v>
      </c>
      <c r="J3022" s="444">
        <f t="array" ref="J3022">IFERROR(INDEX('Retirement Calculator'!K:K,MATCH('Lorri 401b'!N3022,'Retirement Calculator'!A:A,0),0),0)</f>
        <v>0</v>
      </c>
      <c r="K3022" s="444">
        <f t="shared" ca="1" si="138"/>
        <v>-644260308.25177026</v>
      </c>
      <c r="L3022" s="444">
        <f t="shared" ca="1" si="139"/>
        <v>-155266734288.67664</v>
      </c>
      <c r="M3022" s="460">
        <f t="shared" si="141"/>
        <v>0.05</v>
      </c>
      <c r="N3022" s="464">
        <f t="shared" si="142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40"/>
        <v>-155266734288.67664</v>
      </c>
      <c r="J3023" s="444">
        <f t="array" ref="J3023">IFERROR(INDEX('Retirement Calculator'!K:K,MATCH('Lorri 401b'!N3023,'Retirement Calculator'!A:A,0),0),0)</f>
        <v>0</v>
      </c>
      <c r="K3023" s="444">
        <f t="shared" ca="1" si="138"/>
        <v>-646944726.20281935</v>
      </c>
      <c r="L3023" s="444">
        <f t="shared" ca="1" si="139"/>
        <v>-155913679014.87946</v>
      </c>
      <c r="M3023" s="460">
        <f t="shared" si="141"/>
        <v>0.05</v>
      </c>
      <c r="N3023" s="464">
        <f t="shared" si="142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40"/>
        <v>-155913679014.87946</v>
      </c>
      <c r="J3024" s="444">
        <f t="array" ref="J3024">IFERROR(INDEX('Retirement Calculator'!K:K,MATCH('Lorri 401b'!N3024,'Retirement Calculator'!A:A,0),0),0)</f>
        <v>0</v>
      </c>
      <c r="K3024" s="444">
        <f t="shared" ca="1" si="138"/>
        <v>-649640329.2286644</v>
      </c>
      <c r="L3024" s="444">
        <f t="shared" ca="1" si="139"/>
        <v>-156563319344.10812</v>
      </c>
      <c r="M3024" s="460">
        <f t="shared" si="141"/>
        <v>0.05</v>
      </c>
      <c r="N3024" s="464">
        <f t="shared" si="142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40"/>
        <v>-156563319344.10812</v>
      </c>
      <c r="J3025" s="444">
        <f t="array" ref="J3025">IFERROR(INDEX('Retirement Calculator'!K:K,MATCH('Lorri 401b'!N3025,'Retirement Calculator'!A:A,0),0),0)</f>
        <v>0</v>
      </c>
      <c r="K3025" s="444">
        <f t="shared" ca="1" si="138"/>
        <v>-652347163.93378389</v>
      </c>
      <c r="L3025" s="444">
        <f t="shared" ca="1" si="139"/>
        <v>-157215666508.0419</v>
      </c>
      <c r="M3025" s="460">
        <f t="shared" si="141"/>
        <v>0.05</v>
      </c>
      <c r="N3025" s="464">
        <f t="shared" si="142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40"/>
        <v>-157215666508.0419</v>
      </c>
      <c r="J3026" s="444">
        <f t="array" ref="J3026">IFERROR(INDEX('Retirement Calculator'!K:K,MATCH('Lorri 401b'!N3026,'Retirement Calculator'!A:A,0),0),0)</f>
        <v>0</v>
      </c>
      <c r="K3026" s="444">
        <f t="shared" ca="1" si="138"/>
        <v>-655065277.1168412</v>
      </c>
      <c r="L3026" s="444">
        <f t="shared" ca="1" si="139"/>
        <v>-157870731785.15875</v>
      </c>
      <c r="M3026" s="460">
        <f t="shared" si="141"/>
        <v>0.05</v>
      </c>
      <c r="N3026" s="464">
        <f t="shared" si="142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40"/>
        <v>-157870731785.15875</v>
      </c>
      <c r="J3027" s="444">
        <f t="array" ref="J3027">IFERROR(INDEX('Retirement Calculator'!K:K,MATCH('Lorri 401b'!N3027,'Retirement Calculator'!A:A,0),0),0)</f>
        <v>0</v>
      </c>
      <c r="K3027" s="444">
        <f t="shared" ca="1" si="138"/>
        <v>-657794715.77149475</v>
      </c>
      <c r="L3027" s="444">
        <f t="shared" ca="1" si="139"/>
        <v>-158528526500.93024</v>
      </c>
      <c r="M3027" s="460">
        <f t="shared" si="141"/>
        <v>0.05</v>
      </c>
      <c r="N3027" s="464">
        <f t="shared" si="142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40"/>
        <v>-158528526500.93024</v>
      </c>
      <c r="J3028" s="444">
        <f t="array" ref="J3028">IFERROR(INDEX('Retirement Calculator'!K:K,MATCH('Lorri 401b'!N3028,'Retirement Calculator'!A:A,0),0),0)</f>
        <v>0</v>
      </c>
      <c r="K3028" s="444">
        <f t="shared" ca="1" si="138"/>
        <v>-660535527.08720934</v>
      </c>
      <c r="L3028" s="444">
        <f t="shared" ca="1" si="139"/>
        <v>-159189062028.01746</v>
      </c>
      <c r="M3028" s="460">
        <f t="shared" si="141"/>
        <v>0.05</v>
      </c>
      <c r="N3028" s="464">
        <f t="shared" si="142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40"/>
        <v>-159189062028.01746</v>
      </c>
      <c r="J3029" s="444">
        <f t="array" ref="J3029">IFERROR(INDEX('Retirement Calculator'!K:K,MATCH('Lorri 401b'!N3029,'Retirement Calculator'!A:A,0),0),0)</f>
        <v>0</v>
      </c>
      <c r="K3029" s="444">
        <f t="shared" ca="1" si="138"/>
        <v>-663287758.45007277</v>
      </c>
      <c r="L3029" s="444">
        <f t="shared" ca="1" si="139"/>
        <v>-159852349786.46753</v>
      </c>
      <c r="M3029" s="460">
        <f t="shared" si="141"/>
        <v>0.05</v>
      </c>
      <c r="N3029" s="464">
        <f t="shared" si="142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40"/>
        <v>-159852349786.46753</v>
      </c>
      <c r="J3030" s="444">
        <f t="array" ref="J3030">IFERROR(INDEX('Retirement Calculator'!K:K,MATCH('Lorri 401b'!N3030,'Retirement Calculator'!A:A,0),0),0)</f>
        <v>0</v>
      </c>
      <c r="K3030" s="444">
        <f t="shared" ca="1" si="138"/>
        <v>-666051457.44361472</v>
      </c>
      <c r="L3030" s="444">
        <f t="shared" ca="1" si="139"/>
        <v>-160518401243.91113</v>
      </c>
      <c r="M3030" s="460">
        <f t="shared" si="141"/>
        <v>0.05</v>
      </c>
      <c r="N3030" s="464">
        <f t="shared" si="142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40"/>
        <v>-160518401243.91113</v>
      </c>
      <c r="J3031" s="444">
        <f t="array" ref="J3031">IFERROR(INDEX('Retirement Calculator'!K:K,MATCH('Lorri 401b'!N3031,'Retirement Calculator'!A:A,0),0),0)</f>
        <v>0</v>
      </c>
      <c r="K3031" s="444">
        <f t="shared" ca="1" si="138"/>
        <v>-668826671.84962976</v>
      </c>
      <c r="L3031" s="444">
        <f t="shared" ca="1" si="139"/>
        <v>-161187227915.76077</v>
      </c>
      <c r="M3031" s="460">
        <f t="shared" si="141"/>
        <v>0.05</v>
      </c>
      <c r="N3031" s="464">
        <f t="shared" si="142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40"/>
        <v>-161187227915.76077</v>
      </c>
      <c r="J3032" s="444">
        <f t="array" ref="J3032">IFERROR(INDEX('Retirement Calculator'!K:K,MATCH('Lorri 401b'!N3032,'Retirement Calculator'!A:A,0),0),0)</f>
        <v>0</v>
      </c>
      <c r="K3032" s="444">
        <f t="shared" ca="1" si="138"/>
        <v>-671613449.64900327</v>
      </c>
      <c r="L3032" s="444">
        <f t="shared" ca="1" si="139"/>
        <v>-161858841365.40979</v>
      </c>
      <c r="M3032" s="460">
        <f t="shared" si="141"/>
        <v>0.05</v>
      </c>
      <c r="N3032" s="464">
        <f t="shared" si="142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40"/>
        <v>-161858841365.40979</v>
      </c>
      <c r="J3033" s="444">
        <f t="array" ref="J3033">IFERROR(INDEX('Retirement Calculator'!K:K,MATCH('Lorri 401b'!N3033,'Retirement Calculator'!A:A,0),0),0)</f>
        <v>0</v>
      </c>
      <c r="K3033" s="444">
        <f t="shared" ca="1" si="138"/>
        <v>-674411839.02254081</v>
      </c>
      <c r="L3033" s="444">
        <f t="shared" ca="1" si="139"/>
        <v>-162533253204.43234</v>
      </c>
      <c r="M3033" s="460">
        <f t="shared" si="141"/>
        <v>0.05</v>
      </c>
      <c r="N3033" s="464">
        <f t="shared" si="142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40"/>
        <v>-162533253204.43234</v>
      </c>
      <c r="J3034" s="444">
        <f t="array" ref="J3034">IFERROR(INDEX('Retirement Calculator'!K:K,MATCH('Lorri 401b'!N3034,'Retirement Calculator'!A:A,0),0),0)</f>
        <v>0</v>
      </c>
      <c r="K3034" s="444">
        <f t="shared" ca="1" si="138"/>
        <v>-677221888.3518014</v>
      </c>
      <c r="L3034" s="444">
        <f t="shared" ca="1" si="139"/>
        <v>-163210475092.78415</v>
      </c>
      <c r="M3034" s="460">
        <f t="shared" si="141"/>
        <v>0.05</v>
      </c>
      <c r="N3034" s="464">
        <f t="shared" si="142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40"/>
        <v>-163210475092.78415</v>
      </c>
      <c r="J3035" s="444">
        <f t="array" ref="J3035">IFERROR(INDEX('Retirement Calculator'!K:K,MATCH('Lorri 401b'!N3035,'Retirement Calculator'!A:A,0),0),0)</f>
        <v>0</v>
      </c>
      <c r="K3035" s="444">
        <f t="shared" ca="1" si="138"/>
        <v>-680043646.21993399</v>
      </c>
      <c r="L3035" s="444">
        <f t="shared" ca="1" si="139"/>
        <v>-163890518739.00409</v>
      </c>
      <c r="M3035" s="460">
        <f t="shared" si="141"/>
        <v>0.05</v>
      </c>
      <c r="N3035" s="464">
        <f t="shared" si="142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40"/>
        <v>-163890518739.00409</v>
      </c>
      <c r="J3036" s="444">
        <f t="array" ref="J3036">IFERROR(INDEX('Retirement Calculator'!K:K,MATCH('Lorri 401b'!N3036,'Retirement Calculator'!A:A,0),0),0)</f>
        <v>0</v>
      </c>
      <c r="K3036" s="444">
        <f t="shared" ca="1" si="138"/>
        <v>-682877161.41251707</v>
      </c>
      <c r="L3036" s="444">
        <f t="shared" ca="1" si="139"/>
        <v>-164573395900.4166</v>
      </c>
      <c r="M3036" s="460">
        <f t="shared" si="141"/>
        <v>0.05</v>
      </c>
      <c r="N3036" s="464">
        <f t="shared" si="142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40"/>
        <v>-164573395900.4166</v>
      </c>
      <c r="J3037" s="444">
        <f t="array" ref="J3037">IFERROR(INDEX('Retirement Calculator'!K:K,MATCH('Lorri 401b'!N3037,'Retirement Calculator'!A:A,0),0),0)</f>
        <v>0</v>
      </c>
      <c r="K3037" s="444">
        <f t="shared" ca="1" si="138"/>
        <v>-685722482.91840243</v>
      </c>
      <c r="L3037" s="444">
        <f t="shared" ca="1" si="139"/>
        <v>-165259118383.33499</v>
      </c>
      <c r="M3037" s="460">
        <f t="shared" si="141"/>
        <v>0.05</v>
      </c>
      <c r="N3037" s="464">
        <f t="shared" si="142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40"/>
        <v>-165259118383.33499</v>
      </c>
      <c r="J3038" s="444">
        <f t="array" ref="J3038">IFERROR(INDEX('Retirement Calculator'!K:K,MATCH('Lorri 401b'!N3038,'Retirement Calculator'!A:A,0),0),0)</f>
        <v>0</v>
      </c>
      <c r="K3038" s="444">
        <f t="shared" ca="1" si="138"/>
        <v>-688579659.9305625</v>
      </c>
      <c r="L3038" s="444">
        <f t="shared" ca="1" si="139"/>
        <v>-165947698043.26556</v>
      </c>
      <c r="M3038" s="460">
        <f t="shared" si="141"/>
        <v>0.05</v>
      </c>
      <c r="N3038" s="464">
        <f t="shared" si="142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40"/>
        <v>-165947698043.26556</v>
      </c>
      <c r="J3039" s="444">
        <f t="array" ref="J3039">IFERROR(INDEX('Retirement Calculator'!K:K,MATCH('Lorri 401b'!N3039,'Retirement Calculator'!A:A,0),0),0)</f>
        <v>0</v>
      </c>
      <c r="K3039" s="444">
        <f t="shared" ca="1" si="138"/>
        <v>-691448741.8469398</v>
      </c>
      <c r="L3039" s="444">
        <f t="shared" ca="1" si="139"/>
        <v>-166639146785.11252</v>
      </c>
      <c r="M3039" s="460">
        <f t="shared" si="141"/>
        <v>0.05</v>
      </c>
      <c r="N3039" s="464">
        <f t="shared" si="142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40"/>
        <v>-166639146785.11252</v>
      </c>
      <c r="J3040" s="444">
        <f t="array" ref="J3040">IFERROR(INDEX('Retirement Calculator'!K:K,MATCH('Lorri 401b'!N3040,'Retirement Calculator'!A:A,0),0),0)</f>
        <v>0</v>
      </c>
      <c r="K3040" s="444">
        <f t="shared" ca="1" si="138"/>
        <v>-694329778.2713021</v>
      </c>
      <c r="L3040" s="444">
        <f t="shared" ca="1" si="139"/>
        <v>-167333476563.38382</v>
      </c>
      <c r="M3040" s="460">
        <f t="shared" si="141"/>
        <v>0.05</v>
      </c>
      <c r="N3040" s="464">
        <f t="shared" si="142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40"/>
        <v>-167333476563.38382</v>
      </c>
      <c r="J3041" s="444">
        <f t="array" ref="J3041">IFERROR(INDEX('Retirement Calculator'!K:K,MATCH('Lorri 401b'!N3041,'Retirement Calculator'!A:A,0),0),0)</f>
        <v>0</v>
      </c>
      <c r="K3041" s="444">
        <f t="shared" ca="1" si="138"/>
        <v>-697222819.01409924</v>
      </c>
      <c r="L3041" s="444">
        <f t="shared" ca="1" si="139"/>
        <v>-168030699382.39792</v>
      </c>
      <c r="M3041" s="460">
        <f t="shared" si="141"/>
        <v>0.05</v>
      </c>
      <c r="N3041" s="464">
        <f t="shared" si="142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40"/>
        <v>-168030699382.39792</v>
      </c>
      <c r="J3042" s="444">
        <f t="array" ref="J3042">IFERROR(INDEX('Retirement Calculator'!K:K,MATCH('Lorri 401b'!N3042,'Retirement Calculator'!A:A,0),0),0)</f>
        <v>0</v>
      </c>
      <c r="K3042" s="444">
        <f t="shared" ca="1" si="138"/>
        <v>-700127914.09332466</v>
      </c>
      <c r="L3042" s="444">
        <f t="shared" ca="1" si="139"/>
        <v>-168730827296.49124</v>
      </c>
      <c r="M3042" s="460">
        <f t="shared" si="141"/>
        <v>0.05</v>
      </c>
      <c r="N3042" s="464">
        <f t="shared" si="142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40"/>
        <v>-168730827296.49124</v>
      </c>
      <c r="J3043" s="444">
        <f t="array" ref="J3043">IFERROR(INDEX('Retirement Calculator'!K:K,MATCH('Lorri 401b'!N3043,'Retirement Calculator'!A:A,0),0),0)</f>
        <v>0</v>
      </c>
      <c r="K3043" s="444">
        <f t="shared" ca="1" si="138"/>
        <v>-703045113.73538017</v>
      </c>
      <c r="L3043" s="444">
        <f t="shared" ca="1" si="139"/>
        <v>-169433872410.22662</v>
      </c>
      <c r="M3043" s="460">
        <f t="shared" si="141"/>
        <v>0.05</v>
      </c>
      <c r="N3043" s="464">
        <f t="shared" si="142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40"/>
        <v>-169433872410.22662</v>
      </c>
      <c r="J3044" s="444">
        <f t="array" ref="J3044">IFERROR(INDEX('Retirement Calculator'!K:K,MATCH('Lorri 401b'!N3044,'Retirement Calculator'!A:A,0),0),0)</f>
        <v>0</v>
      </c>
      <c r="K3044" s="444">
        <f t="shared" ca="1" si="138"/>
        <v>-705974468.37594426</v>
      </c>
      <c r="L3044" s="444">
        <f t="shared" ca="1" si="139"/>
        <v>-170139846878.60257</v>
      </c>
      <c r="M3044" s="460">
        <f t="shared" si="141"/>
        <v>0.05</v>
      </c>
      <c r="N3044" s="464">
        <f t="shared" si="142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40"/>
        <v>-170139846878.60257</v>
      </c>
      <c r="J3045" s="444">
        <f t="array" ref="J3045">IFERROR(INDEX('Retirement Calculator'!K:K,MATCH('Lorri 401b'!N3045,'Retirement Calculator'!A:A,0),0),0)</f>
        <v>0</v>
      </c>
      <c r="K3045" s="444">
        <f t="shared" ca="1" si="138"/>
        <v>-708916028.66084409</v>
      </c>
      <c r="L3045" s="444">
        <f t="shared" ca="1" si="139"/>
        <v>-170848762907.26343</v>
      </c>
      <c r="M3045" s="460">
        <f t="shared" si="141"/>
        <v>0.05</v>
      </c>
      <c r="N3045" s="464">
        <f t="shared" si="142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40"/>
        <v>-170848762907.26343</v>
      </c>
      <c r="J3046" s="444">
        <f t="array" ref="J3046">IFERROR(INDEX('Retirement Calculator'!K:K,MATCH('Lorri 401b'!N3046,'Retirement Calculator'!A:A,0),0),0)</f>
        <v>0</v>
      </c>
      <c r="K3046" s="444">
        <f t="shared" ca="1" si="138"/>
        <v>-711869845.44693089</v>
      </c>
      <c r="L3046" s="444">
        <f t="shared" ca="1" si="139"/>
        <v>-171560632752.71036</v>
      </c>
      <c r="M3046" s="460">
        <f t="shared" si="141"/>
        <v>0.05</v>
      </c>
      <c r="N3046" s="464">
        <f t="shared" si="142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40"/>
        <v>-171560632752.71036</v>
      </c>
      <c r="J3047" s="444">
        <f t="array" ref="J3047">IFERROR(INDEX('Retirement Calculator'!K:K,MATCH('Lorri 401b'!N3047,'Retirement Calculator'!A:A,0),0),0)</f>
        <v>0</v>
      </c>
      <c r="K3047" s="444">
        <f t="shared" ca="1" si="138"/>
        <v>-714835969.8029598</v>
      </c>
      <c r="L3047" s="444">
        <f t="shared" ca="1" si="139"/>
        <v>-172275468722.51331</v>
      </c>
      <c r="M3047" s="460">
        <f t="shared" si="141"/>
        <v>0.05</v>
      </c>
      <c r="N3047" s="464">
        <f t="shared" si="142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40"/>
        <v>-172275468722.51331</v>
      </c>
      <c r="J3048" s="444">
        <f t="array" ref="J3048">IFERROR(INDEX('Retirement Calculator'!K:K,MATCH('Lorri 401b'!N3048,'Retirement Calculator'!A:A,0),0),0)</f>
        <v>0</v>
      </c>
      <c r="K3048" s="444">
        <f t="shared" ca="1" si="138"/>
        <v>-717814453.01047206</v>
      </c>
      <c r="L3048" s="444">
        <f t="shared" ca="1" si="139"/>
        <v>-172993283175.52377</v>
      </c>
      <c r="M3048" s="460">
        <f t="shared" si="141"/>
        <v>0.05</v>
      </c>
      <c r="N3048" s="464">
        <f t="shared" si="142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40"/>
        <v>-172993283175.52377</v>
      </c>
      <c r="J3049" s="444">
        <f t="array" ref="J3049">IFERROR(INDEX('Retirement Calculator'!K:K,MATCH('Lorri 401b'!N3049,'Retirement Calculator'!A:A,0),0),0)</f>
        <v>0</v>
      </c>
      <c r="K3049" s="444">
        <f t="shared" ca="1" si="138"/>
        <v>-720805346.56468236</v>
      </c>
      <c r="L3049" s="444">
        <f t="shared" ca="1" si="139"/>
        <v>-173714088522.08847</v>
      </c>
      <c r="M3049" s="460">
        <f t="shared" si="141"/>
        <v>0.05</v>
      </c>
      <c r="N3049" s="464">
        <f t="shared" si="142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40"/>
        <v>-173714088522.08847</v>
      </c>
      <c r="J3050" s="444">
        <f t="array" ref="J3050">IFERROR(INDEX('Retirement Calculator'!K:K,MATCH('Lorri 401b'!N3050,'Retirement Calculator'!A:A,0),0),0)</f>
        <v>0</v>
      </c>
      <c r="K3050" s="444">
        <f t="shared" ca="1" si="138"/>
        <v>-723808702.17536867</v>
      </c>
      <c r="L3050" s="444">
        <f t="shared" ca="1" si="139"/>
        <v>-174437897224.26382</v>
      </c>
      <c r="M3050" s="460">
        <f t="shared" si="141"/>
        <v>0.05</v>
      </c>
      <c r="N3050" s="464">
        <f t="shared" si="142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40"/>
        <v>-174437897224.26382</v>
      </c>
      <c r="J3051" s="444">
        <f t="array" ref="J3051">IFERROR(INDEX('Retirement Calculator'!K:K,MATCH('Lorri 401b'!N3051,'Retirement Calculator'!A:A,0),0),0)</f>
        <v>0</v>
      </c>
      <c r="K3051" s="444">
        <f t="shared" ca="1" si="138"/>
        <v>-726824571.76776588</v>
      </c>
      <c r="L3051" s="444">
        <f t="shared" ca="1" si="139"/>
        <v>-175164721796.03159</v>
      </c>
      <c r="M3051" s="460">
        <f t="shared" si="141"/>
        <v>0.05</v>
      </c>
      <c r="N3051" s="464">
        <f t="shared" si="142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40"/>
        <v>-175164721796.03159</v>
      </c>
      <c r="J3052" s="444">
        <f t="array" ref="J3052">IFERROR(INDEX('Retirement Calculator'!K:K,MATCH('Lorri 401b'!N3052,'Retirement Calculator'!A:A,0),0),0)</f>
        <v>0</v>
      </c>
      <c r="K3052" s="444">
        <f t="shared" ca="1" si="138"/>
        <v>-729853007.48346496</v>
      </c>
      <c r="L3052" s="444">
        <f t="shared" ca="1" si="139"/>
        <v>-175894574803.51505</v>
      </c>
      <c r="M3052" s="460">
        <f t="shared" si="141"/>
        <v>0.05</v>
      </c>
      <c r="N3052" s="464">
        <f t="shared" si="142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40"/>
        <v>-175894574803.51505</v>
      </c>
      <c r="J3053" s="444">
        <f t="array" ref="J3053">IFERROR(INDEX('Retirement Calculator'!K:K,MATCH('Lorri 401b'!N3053,'Retirement Calculator'!A:A,0),0),0)</f>
        <v>0</v>
      </c>
      <c r="K3053" s="444">
        <f t="shared" ca="1" si="138"/>
        <v>-732894061.68131268</v>
      </c>
      <c r="L3053" s="444">
        <f t="shared" ca="1" si="139"/>
        <v>-176627468865.19635</v>
      </c>
      <c r="M3053" s="460">
        <f t="shared" si="141"/>
        <v>0.05</v>
      </c>
      <c r="N3053" s="464">
        <f t="shared" si="142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40"/>
        <v>-176627468865.19635</v>
      </c>
      <c r="J3054" s="444">
        <f t="array" ref="J3054">IFERROR(INDEX('Retirement Calculator'!K:K,MATCH('Lorri 401b'!N3054,'Retirement Calculator'!A:A,0),0),0)</f>
        <v>0</v>
      </c>
      <c r="K3054" s="444">
        <f t="shared" ca="1" si="138"/>
        <v>-735947786.93831813</v>
      </c>
      <c r="L3054" s="444">
        <f t="shared" ca="1" si="139"/>
        <v>-177363416652.13467</v>
      </c>
      <c r="M3054" s="460">
        <f t="shared" si="141"/>
        <v>0.05</v>
      </c>
      <c r="N3054" s="464">
        <f t="shared" si="142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40"/>
        <v>-177363416652.13467</v>
      </c>
      <c r="J3055" s="444">
        <f t="array" ref="J3055">IFERROR(INDEX('Retirement Calculator'!K:K,MATCH('Lorri 401b'!N3055,'Retirement Calculator'!A:A,0),0),0)</f>
        <v>0</v>
      </c>
      <c r="K3055" s="444">
        <f t="shared" ca="1" si="138"/>
        <v>-739014236.05056119</v>
      </c>
      <c r="L3055" s="444">
        <f t="shared" ca="1" si="139"/>
        <v>-178102430888.18524</v>
      </c>
      <c r="M3055" s="460">
        <f t="shared" si="141"/>
        <v>0.05</v>
      </c>
      <c r="N3055" s="464">
        <f t="shared" si="142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40"/>
        <v>-178102430888.18524</v>
      </c>
      <c r="J3056" s="444">
        <f t="array" ref="J3056">IFERROR(INDEX('Retirement Calculator'!K:K,MATCH('Lorri 401b'!N3056,'Retirement Calculator'!A:A,0),0),0)</f>
        <v>0</v>
      </c>
      <c r="K3056" s="444">
        <f t="shared" ca="1" si="138"/>
        <v>-742093462.03410518</v>
      </c>
      <c r="L3056" s="444">
        <f t="shared" ca="1" si="139"/>
        <v>-178844524350.21936</v>
      </c>
      <c r="M3056" s="460">
        <f t="shared" si="141"/>
        <v>0.05</v>
      </c>
      <c r="N3056" s="464">
        <f t="shared" si="142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40"/>
        <v>-178844524350.21936</v>
      </c>
      <c r="J3057" s="444">
        <f t="array" ref="J3057">IFERROR(INDEX('Retirement Calculator'!K:K,MATCH('Lorri 401b'!N3057,'Retirement Calculator'!A:A,0),0),0)</f>
        <v>0</v>
      </c>
      <c r="K3057" s="444">
        <f t="shared" ca="1" si="138"/>
        <v>-745185518.12591398</v>
      </c>
      <c r="L3057" s="444">
        <f t="shared" ca="1" si="139"/>
        <v>-179589709868.34528</v>
      </c>
      <c r="M3057" s="460">
        <f t="shared" si="141"/>
        <v>0.05</v>
      </c>
      <c r="N3057" s="464">
        <f t="shared" si="142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40"/>
        <v>-179589709868.34528</v>
      </c>
      <c r="J3058" s="444">
        <f t="array" ref="J3058">IFERROR(INDEX('Retirement Calculator'!K:K,MATCH('Lorri 401b'!N3058,'Retirement Calculator'!A:A,0),0),0)</f>
        <v>0</v>
      </c>
      <c r="K3058" s="444">
        <f t="shared" ca="1" si="138"/>
        <v>-748290457.78477192</v>
      </c>
      <c r="L3058" s="444">
        <f t="shared" ca="1" si="139"/>
        <v>-180338000326.13004</v>
      </c>
      <c r="M3058" s="460">
        <f t="shared" si="141"/>
        <v>0.05</v>
      </c>
      <c r="N3058" s="464">
        <f t="shared" si="142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40"/>
        <v>-180338000326.13004</v>
      </c>
      <c r="J3059" s="444">
        <f t="array" ref="J3059">IFERROR(INDEX('Retirement Calculator'!K:K,MATCH('Lorri 401b'!N3059,'Retirement Calculator'!A:A,0),0),0)</f>
        <v>0</v>
      </c>
      <c r="K3059" s="444">
        <f t="shared" ca="1" si="138"/>
        <v>-751408334.69220853</v>
      </c>
      <c r="L3059" s="444">
        <f t="shared" ca="1" si="139"/>
        <v>-181089408660.82224</v>
      </c>
      <c r="M3059" s="460">
        <f t="shared" si="141"/>
        <v>0.05</v>
      </c>
      <c r="N3059" s="464">
        <f t="shared" si="142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40"/>
        <v>-181089408660.82224</v>
      </c>
      <c r="J3060" s="444">
        <f t="array" ref="J3060">IFERROR(INDEX('Retirement Calculator'!K:K,MATCH('Lorri 401b'!N3060,'Retirement Calculator'!A:A,0),0),0)</f>
        <v>0</v>
      </c>
      <c r="K3060" s="444">
        <f t="shared" ca="1" si="138"/>
        <v>-754539202.75342596</v>
      </c>
      <c r="L3060" s="444">
        <f t="shared" ca="1" si="139"/>
        <v>-181843947863.57565</v>
      </c>
      <c r="M3060" s="460">
        <f t="shared" si="141"/>
        <v>0.05</v>
      </c>
      <c r="N3060" s="464">
        <f t="shared" si="142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40"/>
        <v>-181843947863.57565</v>
      </c>
      <c r="J3061" s="444">
        <f t="array" ref="J3061">IFERROR(INDEX('Retirement Calculator'!K:K,MATCH('Lorri 401b'!N3061,'Retirement Calculator'!A:A,0),0),0)</f>
        <v>0</v>
      </c>
      <c r="K3061" s="444">
        <f t="shared" ca="1" si="138"/>
        <v>-757683116.09823191</v>
      </c>
      <c r="L3061" s="444">
        <f t="shared" ca="1" si="139"/>
        <v>-182601630979.67389</v>
      </c>
      <c r="M3061" s="460">
        <f t="shared" si="141"/>
        <v>0.05</v>
      </c>
      <c r="N3061" s="464">
        <f t="shared" si="142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40"/>
        <v>-182601630979.67389</v>
      </c>
      <c r="J3062" s="444">
        <f t="array" ref="J3062">IFERROR(INDEX('Retirement Calculator'!K:K,MATCH('Lorri 401b'!N3062,'Retirement Calculator'!A:A,0),0),0)</f>
        <v>0</v>
      </c>
      <c r="K3062" s="444">
        <f t="shared" ca="1" si="138"/>
        <v>-760840129.08197451</v>
      </c>
      <c r="L3062" s="444">
        <f t="shared" ca="1" si="139"/>
        <v>-183362471108.75586</v>
      </c>
      <c r="M3062" s="460">
        <f t="shared" si="141"/>
        <v>0.05</v>
      </c>
      <c r="N3062" s="464">
        <f t="shared" si="142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40"/>
        <v>-183362471108.75586</v>
      </c>
      <c r="J3063" s="444">
        <f t="array" ref="J3063">IFERROR(INDEX('Retirement Calculator'!K:K,MATCH('Lorri 401b'!N3063,'Retirement Calculator'!A:A,0),0),0)</f>
        <v>0</v>
      </c>
      <c r="K3063" s="444">
        <f t="shared" ca="1" si="138"/>
        <v>-764010296.28648269</v>
      </c>
      <c r="L3063" s="444">
        <f t="shared" ca="1" si="139"/>
        <v>-184126481405.04233</v>
      </c>
      <c r="M3063" s="460">
        <f t="shared" si="141"/>
        <v>0.05</v>
      </c>
      <c r="N3063" s="464">
        <f t="shared" si="142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40"/>
        <v>-184126481405.04233</v>
      </c>
      <c r="J3064" s="444">
        <f t="array" ref="J3064">IFERROR(INDEX('Retirement Calculator'!K:K,MATCH('Lorri 401b'!N3064,'Retirement Calculator'!A:A,0),0),0)</f>
        <v>0</v>
      </c>
      <c r="K3064" s="444">
        <f t="shared" ca="1" si="138"/>
        <v>-767193672.52100968</v>
      </c>
      <c r="L3064" s="444">
        <f t="shared" ca="1" si="139"/>
        <v>-184893675077.56332</v>
      </c>
      <c r="M3064" s="460">
        <f t="shared" si="141"/>
        <v>0.05</v>
      </c>
      <c r="N3064" s="464">
        <f t="shared" si="142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40"/>
        <v>-184893675077.56332</v>
      </c>
      <c r="J3065" s="444">
        <f t="array" ref="J3065">IFERROR(INDEX('Retirement Calculator'!K:K,MATCH('Lorri 401b'!N3065,'Retirement Calculator'!A:A,0),0),0)</f>
        <v>0</v>
      </c>
      <c r="K3065" s="444">
        <f t="shared" ca="1" si="138"/>
        <v>-770390312.82318056</v>
      </c>
      <c r="L3065" s="444">
        <f t="shared" ca="1" si="139"/>
        <v>-185664065390.38651</v>
      </c>
      <c r="M3065" s="460">
        <f t="shared" si="141"/>
        <v>0.05</v>
      </c>
      <c r="N3065" s="464">
        <f t="shared" si="142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40"/>
        <v>-185664065390.38651</v>
      </c>
      <c r="J3066" s="444">
        <f t="array" ref="J3066">IFERROR(INDEX('Retirement Calculator'!K:K,MATCH('Lorri 401b'!N3066,'Retirement Calculator'!A:A,0),0),0)</f>
        <v>0</v>
      </c>
      <c r="K3066" s="444">
        <f t="shared" ca="1" si="138"/>
        <v>-773600272.45994377</v>
      </c>
      <c r="L3066" s="444">
        <f t="shared" ca="1" si="139"/>
        <v>-186437665662.84644</v>
      </c>
      <c r="M3066" s="460">
        <f t="shared" si="141"/>
        <v>0.05</v>
      </c>
      <c r="N3066" s="464">
        <f t="shared" si="142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40"/>
        <v>-186437665662.84644</v>
      </c>
      <c r="J3067" s="444">
        <f t="array" ref="J3067">IFERROR(INDEX('Retirement Calculator'!K:K,MATCH('Lorri 401b'!N3067,'Retirement Calculator'!A:A,0),0),0)</f>
        <v>0</v>
      </c>
      <c r="K3067" s="444">
        <f t="shared" ca="1" si="138"/>
        <v>-776823606.92852676</v>
      </c>
      <c r="L3067" s="444">
        <f t="shared" ca="1" si="139"/>
        <v>-187214489269.77496</v>
      </c>
      <c r="M3067" s="460">
        <f t="shared" si="141"/>
        <v>0.05</v>
      </c>
      <c r="N3067" s="464">
        <f t="shared" si="142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40"/>
        <v>-187214489269.77496</v>
      </c>
      <c r="J3068" s="444">
        <f t="array" ref="J3068">IFERROR(INDEX('Retirement Calculator'!K:K,MATCH('Lorri 401b'!N3068,'Retirement Calculator'!A:A,0),0),0)</f>
        <v>0</v>
      </c>
      <c r="K3068" s="444">
        <f t="shared" ref="K3068:K3322" ca="1" si="143">IPMT(M3068/12,1,12,-I3068+J3068,,0)</f>
        <v>-780060371.95739567</v>
      </c>
      <c r="L3068" s="444">
        <f t="shared" ref="L3068:L3322" ca="1" si="144">I3068-J3068+K3068</f>
        <v>-187994549641.73236</v>
      </c>
      <c r="M3068" s="460">
        <f t="shared" si="141"/>
        <v>0.05</v>
      </c>
      <c r="N3068" s="464">
        <f t="shared" si="142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45">L3068</f>
        <v>-187994549641.73236</v>
      </c>
      <c r="J3069" s="444">
        <f t="array" ref="J3069">IFERROR(INDEX('Retirement Calculator'!K:K,MATCH('Lorri 401b'!N3069,'Retirement Calculator'!A:A,0),0),0)</f>
        <v>0</v>
      </c>
      <c r="K3069" s="444">
        <f t="shared" ca="1" si="143"/>
        <v>-783310623.50721812</v>
      </c>
      <c r="L3069" s="444">
        <f t="shared" ca="1" si="144"/>
        <v>-188777860265.23959</v>
      </c>
      <c r="M3069" s="460">
        <f t="shared" ref="M3069:M3323" si="146">M3068</f>
        <v>0.05</v>
      </c>
      <c r="N3069" s="464">
        <f t="shared" ref="N3069:N3323" si="147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45"/>
        <v>-188777860265.23959</v>
      </c>
      <c r="J3070" s="444">
        <f t="array" ref="J3070">IFERROR(INDEX('Retirement Calculator'!K:K,MATCH('Lorri 401b'!N3070,'Retirement Calculator'!A:A,0),0),0)</f>
        <v>0</v>
      </c>
      <c r="K3070" s="444">
        <f t="shared" ca="1" si="143"/>
        <v>-786574417.77183163</v>
      </c>
      <c r="L3070" s="444">
        <f t="shared" ca="1" si="144"/>
        <v>-189564434683.01141</v>
      </c>
      <c r="M3070" s="460">
        <f t="shared" si="146"/>
        <v>0.05</v>
      </c>
      <c r="N3070" s="464">
        <f t="shared" si="147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45"/>
        <v>-189564434683.01141</v>
      </c>
      <c r="J3071" s="444">
        <f t="array" ref="J3071">IFERROR(INDEX('Retirement Calculator'!K:K,MATCH('Lorri 401b'!N3071,'Retirement Calculator'!A:A,0),0),0)</f>
        <v>0</v>
      </c>
      <c r="K3071" s="444">
        <f t="shared" ca="1" si="143"/>
        <v>-789851811.17921424</v>
      </c>
      <c r="L3071" s="444">
        <f t="shared" ca="1" si="144"/>
        <v>-190354286494.19061</v>
      </c>
      <c r="M3071" s="460">
        <f t="shared" si="146"/>
        <v>0.05</v>
      </c>
      <c r="N3071" s="464">
        <f t="shared" si="147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45"/>
        <v>-190354286494.19061</v>
      </c>
      <c r="J3072" s="444">
        <f t="array" ref="J3072">IFERROR(INDEX('Retirement Calculator'!K:K,MATCH('Lorri 401b'!N3072,'Retirement Calculator'!A:A,0),0),0)</f>
        <v>0</v>
      </c>
      <c r="K3072" s="444">
        <f t="shared" ca="1" si="143"/>
        <v>-793142860.39246082</v>
      </c>
      <c r="L3072" s="444">
        <f t="shared" ca="1" si="144"/>
        <v>-191147429354.58307</v>
      </c>
      <c r="M3072" s="460">
        <f t="shared" si="146"/>
        <v>0.05</v>
      </c>
      <c r="N3072" s="464">
        <f t="shared" si="147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45"/>
        <v>-191147429354.58307</v>
      </c>
      <c r="J3073" s="444">
        <f t="array" ref="J3073">IFERROR(INDEX('Retirement Calculator'!K:K,MATCH('Lorri 401b'!N3073,'Retirement Calculator'!A:A,0),0),0)</f>
        <v>0</v>
      </c>
      <c r="K3073" s="444">
        <f t="shared" ca="1" si="143"/>
        <v>-796447622.31076276</v>
      </c>
      <c r="L3073" s="444">
        <f t="shared" ca="1" si="144"/>
        <v>-191943876976.89383</v>
      </c>
      <c r="M3073" s="460">
        <f t="shared" si="146"/>
        <v>0.05</v>
      </c>
      <c r="N3073" s="464">
        <f t="shared" si="147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45"/>
        <v>-191943876976.89383</v>
      </c>
      <c r="J3074" s="444">
        <f t="array" ref="J3074">IFERROR(INDEX('Retirement Calculator'!K:K,MATCH('Lorri 401b'!N3074,'Retirement Calculator'!A:A,0),0),0)</f>
        <v>0</v>
      </c>
      <c r="K3074" s="444">
        <f t="shared" ca="1" si="143"/>
        <v>-799766154.07039094</v>
      </c>
      <c r="L3074" s="444">
        <f t="shared" ca="1" si="144"/>
        <v>-192743643130.96423</v>
      </c>
      <c r="M3074" s="460">
        <f t="shared" si="146"/>
        <v>0.05</v>
      </c>
      <c r="N3074" s="464">
        <f t="shared" si="147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45"/>
        <v>-192743643130.96423</v>
      </c>
      <c r="J3075" s="444">
        <f t="array" ref="J3075">IFERROR(INDEX('Retirement Calculator'!K:K,MATCH('Lorri 401b'!N3075,'Retirement Calculator'!A:A,0),0),0)</f>
        <v>0</v>
      </c>
      <c r="K3075" s="444">
        <f t="shared" ca="1" si="143"/>
        <v>-803098513.04568434</v>
      </c>
      <c r="L3075" s="444">
        <f t="shared" ca="1" si="144"/>
        <v>-193546741644.00992</v>
      </c>
      <c r="M3075" s="460">
        <f t="shared" si="146"/>
        <v>0.05</v>
      </c>
      <c r="N3075" s="464">
        <f t="shared" si="147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45"/>
        <v>-193546741644.00992</v>
      </c>
      <c r="J3076" s="444">
        <f t="array" ref="J3076">IFERROR(INDEX('Retirement Calculator'!K:K,MATCH('Lorri 401b'!N3076,'Retirement Calculator'!A:A,0),0),0)</f>
        <v>0</v>
      </c>
      <c r="K3076" s="444">
        <f t="shared" ca="1" si="143"/>
        <v>-806444756.85004127</v>
      </c>
      <c r="L3076" s="444">
        <f t="shared" ca="1" si="144"/>
        <v>-194353186400.85995</v>
      </c>
      <c r="M3076" s="460">
        <f t="shared" si="146"/>
        <v>0.05</v>
      </c>
      <c r="N3076" s="464">
        <f t="shared" si="147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45"/>
        <v>-194353186400.85995</v>
      </c>
      <c r="J3077" s="444">
        <f t="array" ref="J3077">IFERROR(INDEX('Retirement Calculator'!K:K,MATCH('Lorri 401b'!N3077,'Retirement Calculator'!A:A,0),0),0)</f>
        <v>0</v>
      </c>
      <c r="K3077" s="444">
        <f t="shared" ca="1" si="143"/>
        <v>-809804943.33691645</v>
      </c>
      <c r="L3077" s="444">
        <f t="shared" ca="1" si="144"/>
        <v>-195162991344.19687</v>
      </c>
      <c r="M3077" s="460">
        <f t="shared" si="146"/>
        <v>0.05</v>
      </c>
      <c r="N3077" s="464">
        <f t="shared" si="147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45"/>
        <v>-195162991344.19687</v>
      </c>
      <c r="J3078" s="444">
        <f t="array" ref="J3078">IFERROR(INDEX('Retirement Calculator'!K:K,MATCH('Lorri 401b'!N3078,'Retirement Calculator'!A:A,0),0),0)</f>
        <v>0</v>
      </c>
      <c r="K3078" s="444">
        <f t="shared" ca="1" si="143"/>
        <v>-813179130.6008203</v>
      </c>
      <c r="L3078" s="444">
        <f t="shared" ca="1" si="144"/>
        <v>-195976170474.7977</v>
      </c>
      <c r="M3078" s="460">
        <f t="shared" si="146"/>
        <v>0.05</v>
      </c>
      <c r="N3078" s="464">
        <f t="shared" si="147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45"/>
        <v>-195976170474.7977</v>
      </c>
      <c r="J3079" s="444">
        <f t="array" ref="J3079">IFERROR(INDEX('Retirement Calculator'!K:K,MATCH('Lorri 401b'!N3079,'Retirement Calculator'!A:A,0),0),0)</f>
        <v>0</v>
      </c>
      <c r="K3079" s="444">
        <f t="shared" ca="1" si="143"/>
        <v>-816567376.9783237</v>
      </c>
      <c r="L3079" s="444">
        <f t="shared" ca="1" si="144"/>
        <v>-196792737851.77603</v>
      </c>
      <c r="M3079" s="460">
        <f t="shared" si="146"/>
        <v>0.05</v>
      </c>
      <c r="N3079" s="464">
        <f t="shared" si="147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45"/>
        <v>-196792737851.77603</v>
      </c>
      <c r="J3080" s="444">
        <f t="array" ref="J3080">IFERROR(INDEX('Retirement Calculator'!K:K,MATCH('Lorri 401b'!N3080,'Retirement Calculator'!A:A,0),0),0)</f>
        <v>0</v>
      </c>
      <c r="K3080" s="444">
        <f t="shared" ca="1" si="143"/>
        <v>-819969741.04906678</v>
      </c>
      <c r="L3080" s="444">
        <f t="shared" ca="1" si="144"/>
        <v>-197612707592.8251</v>
      </c>
      <c r="M3080" s="460">
        <f t="shared" si="146"/>
        <v>0.05</v>
      </c>
      <c r="N3080" s="464">
        <f t="shared" si="147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45"/>
        <v>-197612707592.8251</v>
      </c>
      <c r="J3081" s="444">
        <f t="array" ref="J3081">IFERROR(INDEX('Retirement Calculator'!K:K,MATCH('Lorri 401b'!N3081,'Retirement Calculator'!A:A,0),0),0)</f>
        <v>0</v>
      </c>
      <c r="K3081" s="444">
        <f t="shared" ca="1" si="143"/>
        <v>-823386281.6367712</v>
      </c>
      <c r="L3081" s="444">
        <f t="shared" ca="1" si="144"/>
        <v>-198436093874.46188</v>
      </c>
      <c r="M3081" s="460">
        <f t="shared" si="146"/>
        <v>0.05</v>
      </c>
      <c r="N3081" s="464">
        <f t="shared" si="147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45"/>
        <v>-198436093874.46188</v>
      </c>
      <c r="J3082" s="444">
        <f t="array" ref="J3082">IFERROR(INDEX('Retirement Calculator'!K:K,MATCH('Lorri 401b'!N3082,'Retirement Calculator'!A:A,0),0),0)</f>
        <v>0</v>
      </c>
      <c r="K3082" s="444">
        <f t="shared" ca="1" si="143"/>
        <v>-826817057.81025779</v>
      </c>
      <c r="L3082" s="444">
        <f t="shared" ca="1" si="144"/>
        <v>-199262910932.27216</v>
      </c>
      <c r="M3082" s="460">
        <f t="shared" si="146"/>
        <v>0.05</v>
      </c>
      <c r="N3082" s="464">
        <f t="shared" si="147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45"/>
        <v>-199262910932.27216</v>
      </c>
      <c r="J3083" s="444">
        <f t="array" ref="J3083">IFERROR(INDEX('Retirement Calculator'!K:K,MATCH('Lorri 401b'!N3083,'Retirement Calculator'!A:A,0),0),0)</f>
        <v>0</v>
      </c>
      <c r="K3083" s="444">
        <f t="shared" ca="1" si="143"/>
        <v>-830262128.88446736</v>
      </c>
      <c r="L3083" s="444">
        <f t="shared" ca="1" si="144"/>
        <v>-200093173061.15662</v>
      </c>
      <c r="M3083" s="460">
        <f t="shared" si="146"/>
        <v>0.05</v>
      </c>
      <c r="N3083" s="464">
        <f t="shared" si="147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45"/>
        <v>-200093173061.15662</v>
      </c>
      <c r="J3084" s="444">
        <f t="array" ref="J3084">IFERROR(INDEX('Retirement Calculator'!K:K,MATCH('Lorri 401b'!N3084,'Retirement Calculator'!A:A,0),0),0)</f>
        <v>0</v>
      </c>
      <c r="K3084" s="444">
        <f t="shared" ca="1" si="143"/>
        <v>-833721554.4214859</v>
      </c>
      <c r="L3084" s="444">
        <f t="shared" ca="1" si="144"/>
        <v>-200926894615.57809</v>
      </c>
      <c r="M3084" s="460">
        <f t="shared" si="146"/>
        <v>0.05</v>
      </c>
      <c r="N3084" s="464">
        <f t="shared" si="147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45"/>
        <v>-200926894615.57809</v>
      </c>
      <c r="J3085" s="444">
        <f t="array" ref="J3085">IFERROR(INDEX('Retirement Calculator'!K:K,MATCH('Lorri 401b'!N3085,'Retirement Calculator'!A:A,0),0),0)</f>
        <v>0</v>
      </c>
      <c r="K3085" s="444">
        <f t="shared" ca="1" si="143"/>
        <v>-837195394.23157537</v>
      </c>
      <c r="L3085" s="444">
        <f t="shared" ca="1" si="144"/>
        <v>-201764090009.80966</v>
      </c>
      <c r="M3085" s="460">
        <f t="shared" si="146"/>
        <v>0.05</v>
      </c>
      <c r="N3085" s="464">
        <f t="shared" si="147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45"/>
        <v>-201764090009.80966</v>
      </c>
      <c r="J3086" s="444">
        <f t="array" ref="J3086">IFERROR(INDEX('Retirement Calculator'!K:K,MATCH('Lorri 401b'!N3086,'Retirement Calculator'!A:A,0),0),0)</f>
        <v>0</v>
      </c>
      <c r="K3086" s="444">
        <f t="shared" ca="1" si="143"/>
        <v>-840683708.3742069</v>
      </c>
      <c r="L3086" s="444">
        <f t="shared" ca="1" si="144"/>
        <v>-202604773718.18387</v>
      </c>
      <c r="M3086" s="460">
        <f t="shared" si="146"/>
        <v>0.05</v>
      </c>
      <c r="N3086" s="464">
        <f t="shared" si="147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45"/>
        <v>-202604773718.18387</v>
      </c>
      <c r="J3087" s="444">
        <f t="array" ref="J3087">IFERROR(INDEX('Retirement Calculator'!K:K,MATCH('Lorri 401b'!N3087,'Retirement Calculator'!A:A,0),0),0)</f>
        <v>0</v>
      </c>
      <c r="K3087" s="444">
        <f t="shared" ca="1" si="143"/>
        <v>-844186557.15909946</v>
      </c>
      <c r="L3087" s="444">
        <f t="shared" ca="1" si="144"/>
        <v>-203448960275.34296</v>
      </c>
      <c r="M3087" s="460">
        <f t="shared" si="146"/>
        <v>0.05</v>
      </c>
      <c r="N3087" s="464">
        <f t="shared" si="147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45"/>
        <v>-203448960275.34296</v>
      </c>
      <c r="J3088" s="444">
        <f t="array" ref="J3088">IFERROR(INDEX('Retirement Calculator'!K:K,MATCH('Lorri 401b'!N3088,'Retirement Calculator'!A:A,0),0),0)</f>
        <v>0</v>
      </c>
      <c r="K3088" s="444">
        <f t="shared" ca="1" si="143"/>
        <v>-847704001.14726233</v>
      </c>
      <c r="L3088" s="444">
        <f t="shared" ca="1" si="144"/>
        <v>-204296664276.4902</v>
      </c>
      <c r="M3088" s="460">
        <f t="shared" si="146"/>
        <v>0.05</v>
      </c>
      <c r="N3088" s="464">
        <f t="shared" si="147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45"/>
        <v>-204296664276.4902</v>
      </c>
      <c r="J3089" s="444">
        <f t="array" ref="J3089">IFERROR(INDEX('Retirement Calculator'!K:K,MATCH('Lorri 401b'!N3089,'Retirement Calculator'!A:A,0),0),0)</f>
        <v>0</v>
      </c>
      <c r="K3089" s="444">
        <f t="shared" ca="1" si="143"/>
        <v>-851236101.15204251</v>
      </c>
      <c r="L3089" s="444">
        <f t="shared" ca="1" si="144"/>
        <v>-205147900377.64224</v>
      </c>
      <c r="M3089" s="460">
        <f t="shared" si="146"/>
        <v>0.05</v>
      </c>
      <c r="N3089" s="464">
        <f t="shared" si="147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45"/>
        <v>-205147900377.64224</v>
      </c>
      <c r="J3090" s="444">
        <f t="array" ref="J3090">IFERROR(INDEX('Retirement Calculator'!K:K,MATCH('Lorri 401b'!N3090,'Retirement Calculator'!A:A,0),0),0)</f>
        <v>0</v>
      </c>
      <c r="K3090" s="444">
        <f t="shared" ca="1" si="143"/>
        <v>-854782918.24017596</v>
      </c>
      <c r="L3090" s="444">
        <f t="shared" ca="1" si="144"/>
        <v>-206002683295.88242</v>
      </c>
      <c r="M3090" s="460">
        <f t="shared" si="146"/>
        <v>0.05</v>
      </c>
      <c r="N3090" s="464">
        <f t="shared" si="147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45"/>
        <v>-206002683295.88242</v>
      </c>
      <c r="J3091" s="444">
        <f t="array" ref="J3091">IFERROR(INDEX('Retirement Calculator'!K:K,MATCH('Lorri 401b'!N3091,'Retirement Calculator'!A:A,0),0),0)</f>
        <v>0</v>
      </c>
      <c r="K3091" s="444">
        <f t="shared" ca="1" si="143"/>
        <v>-858344513.7328434</v>
      </c>
      <c r="L3091" s="444">
        <f t="shared" ca="1" si="144"/>
        <v>-206861027809.61526</v>
      </c>
      <c r="M3091" s="460">
        <f t="shared" si="146"/>
        <v>0.05</v>
      </c>
      <c r="N3091" s="464">
        <f t="shared" si="147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45"/>
        <v>-206861027809.61526</v>
      </c>
      <c r="J3092" s="444">
        <f t="array" ref="J3092">IFERROR(INDEX('Retirement Calculator'!K:K,MATCH('Lorri 401b'!N3092,'Retirement Calculator'!A:A,0),0),0)</f>
        <v>0</v>
      </c>
      <c r="K3092" s="444">
        <f t="shared" ca="1" si="143"/>
        <v>-861920949.20673025</v>
      </c>
      <c r="L3092" s="444">
        <f t="shared" ca="1" si="144"/>
        <v>-207722948758.82199</v>
      </c>
      <c r="M3092" s="460">
        <f t="shared" si="146"/>
        <v>0.05</v>
      </c>
      <c r="N3092" s="464">
        <f t="shared" si="147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45"/>
        <v>-207722948758.82199</v>
      </c>
      <c r="J3093" s="444">
        <f t="array" ref="J3093">IFERROR(INDEX('Retirement Calculator'!K:K,MATCH('Lorri 401b'!N3093,'Retirement Calculator'!A:A,0),0),0)</f>
        <v>0</v>
      </c>
      <c r="K3093" s="444">
        <f t="shared" ca="1" si="143"/>
        <v>-865512286.49509156</v>
      </c>
      <c r="L3093" s="444">
        <f t="shared" ca="1" si="144"/>
        <v>-208588461045.31708</v>
      </c>
      <c r="M3093" s="460">
        <f t="shared" si="146"/>
        <v>0.05</v>
      </c>
      <c r="N3093" s="464">
        <f t="shared" si="147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45"/>
        <v>-208588461045.31708</v>
      </c>
      <c r="J3094" s="444">
        <f t="array" ref="J3094">IFERROR(INDEX('Retirement Calculator'!K:K,MATCH('Lorri 401b'!N3094,'Retirement Calculator'!A:A,0),0),0)</f>
        <v>0</v>
      </c>
      <c r="K3094" s="444">
        <f t="shared" ca="1" si="143"/>
        <v>-869118587.6888212</v>
      </c>
      <c r="L3094" s="444">
        <f t="shared" ca="1" si="144"/>
        <v>-209457579633.00589</v>
      </c>
      <c r="M3094" s="460">
        <f t="shared" si="146"/>
        <v>0.05</v>
      </c>
      <c r="N3094" s="464">
        <f t="shared" si="147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45"/>
        <v>-209457579633.00589</v>
      </c>
      <c r="J3095" s="444">
        <f t="array" ref="J3095">IFERROR(INDEX('Retirement Calculator'!K:K,MATCH('Lorri 401b'!N3095,'Retirement Calculator'!A:A,0),0),0)</f>
        <v>0</v>
      </c>
      <c r="K3095" s="444">
        <f t="shared" ca="1" si="143"/>
        <v>-872739915.13752449</v>
      </c>
      <c r="L3095" s="444">
        <f t="shared" ca="1" si="144"/>
        <v>-210330319548.1434</v>
      </c>
      <c r="M3095" s="460">
        <f t="shared" si="146"/>
        <v>0.05</v>
      </c>
      <c r="N3095" s="464">
        <f t="shared" si="147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45"/>
        <v>-210330319548.1434</v>
      </c>
      <c r="J3096" s="444">
        <f t="array" ref="J3096">IFERROR(INDEX('Retirement Calculator'!K:K,MATCH('Lorri 401b'!N3096,'Retirement Calculator'!A:A,0),0),0)</f>
        <v>0</v>
      </c>
      <c r="K3096" s="444">
        <f t="shared" ca="1" si="143"/>
        <v>-876376331.45059752</v>
      </c>
      <c r="L3096" s="444">
        <f t="shared" ca="1" si="144"/>
        <v>-211206695879.59399</v>
      </c>
      <c r="M3096" s="460">
        <f t="shared" si="146"/>
        <v>0.05</v>
      </c>
      <c r="N3096" s="464">
        <f t="shared" si="147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45"/>
        <v>-211206695879.59399</v>
      </c>
      <c r="J3097" s="444">
        <f t="array" ref="J3097">IFERROR(INDEX('Retirement Calculator'!K:K,MATCH('Lorri 401b'!N3097,'Retirement Calculator'!A:A,0),0),0)</f>
        <v>0</v>
      </c>
      <c r="K3097" s="444">
        <f t="shared" ca="1" si="143"/>
        <v>-880027899.4983083</v>
      </c>
      <c r="L3097" s="444">
        <f t="shared" ca="1" si="144"/>
        <v>-212086723779.09232</v>
      </c>
      <c r="M3097" s="460">
        <f t="shared" si="146"/>
        <v>0.05</v>
      </c>
      <c r="N3097" s="464">
        <f t="shared" si="147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45"/>
        <v>-212086723779.09232</v>
      </c>
      <c r="J3098" s="444">
        <f t="array" ref="J3098">IFERROR(INDEX('Retirement Calculator'!K:K,MATCH('Lorri 401b'!N3098,'Retirement Calculator'!A:A,0),0),0)</f>
        <v>0</v>
      </c>
      <c r="K3098" s="444">
        <f t="shared" ca="1" si="143"/>
        <v>-883694682.41288459</v>
      </c>
      <c r="L3098" s="444">
        <f t="shared" ca="1" si="144"/>
        <v>-212970418461.50519</v>
      </c>
      <c r="M3098" s="460">
        <f t="shared" si="146"/>
        <v>0.05</v>
      </c>
      <c r="N3098" s="464">
        <f t="shared" si="147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45"/>
        <v>-212970418461.50519</v>
      </c>
      <c r="J3099" s="444">
        <f t="array" ref="J3099">IFERROR(INDEX('Retirement Calculator'!K:K,MATCH('Lorri 401b'!N3099,'Retirement Calculator'!A:A,0),0),0)</f>
        <v>0</v>
      </c>
      <c r="K3099" s="444">
        <f t="shared" ca="1" si="143"/>
        <v>-887376743.58960497</v>
      </c>
      <c r="L3099" s="444">
        <f t="shared" ca="1" si="144"/>
        <v>-213857795205.09479</v>
      </c>
      <c r="M3099" s="460">
        <f t="shared" si="146"/>
        <v>0.05</v>
      </c>
      <c r="N3099" s="464">
        <f t="shared" si="147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45"/>
        <v>-213857795205.09479</v>
      </c>
      <c r="J3100" s="444">
        <f t="array" ref="J3100">IFERROR(INDEX('Retirement Calculator'!K:K,MATCH('Lorri 401b'!N3100,'Retirement Calculator'!A:A,0),0),0)</f>
        <v>0</v>
      </c>
      <c r="K3100" s="444">
        <f t="shared" ca="1" si="143"/>
        <v>-891074146.68789494</v>
      </c>
      <c r="L3100" s="444">
        <f t="shared" ca="1" si="144"/>
        <v>-214748869351.78268</v>
      </c>
      <c r="M3100" s="460">
        <f t="shared" si="146"/>
        <v>0.05</v>
      </c>
      <c r="N3100" s="464">
        <f t="shared" si="147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45"/>
        <v>-214748869351.78268</v>
      </c>
      <c r="J3101" s="444">
        <f t="array" ref="J3101">IFERROR(INDEX('Retirement Calculator'!K:K,MATCH('Lorri 401b'!N3101,'Retirement Calculator'!A:A,0),0),0)</f>
        <v>0</v>
      </c>
      <c r="K3101" s="444">
        <f t="shared" ca="1" si="143"/>
        <v>-894786955.63242781</v>
      </c>
      <c r="L3101" s="444">
        <f t="shared" ca="1" si="144"/>
        <v>-215643656307.4151</v>
      </c>
      <c r="M3101" s="460">
        <f t="shared" si="146"/>
        <v>0.05</v>
      </c>
      <c r="N3101" s="464">
        <f t="shared" si="147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45"/>
        <v>-215643656307.4151</v>
      </c>
      <c r="J3102" s="444">
        <f t="array" ref="J3102">IFERROR(INDEX('Retirement Calculator'!K:K,MATCH('Lorri 401b'!N3102,'Retirement Calculator'!A:A,0),0),0)</f>
        <v>0</v>
      </c>
      <c r="K3102" s="444">
        <f t="shared" ca="1" si="143"/>
        <v>-898515234.61422956</v>
      </c>
      <c r="L3102" s="444">
        <f t="shared" ca="1" si="144"/>
        <v>-216542171542.02933</v>
      </c>
      <c r="M3102" s="460">
        <f t="shared" si="146"/>
        <v>0.05</v>
      </c>
      <c r="N3102" s="464">
        <f t="shared" si="147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45"/>
        <v>-216542171542.02933</v>
      </c>
      <c r="J3103" s="444">
        <f t="array" ref="J3103">IFERROR(INDEX('Retirement Calculator'!K:K,MATCH('Lorri 401b'!N3103,'Retirement Calculator'!A:A,0),0),0)</f>
        <v>0</v>
      </c>
      <c r="K3103" s="444">
        <f t="shared" ca="1" si="143"/>
        <v>-902259048.09178889</v>
      </c>
      <c r="L3103" s="444">
        <f t="shared" ca="1" si="144"/>
        <v>-217444430590.12112</v>
      </c>
      <c r="M3103" s="460">
        <f t="shared" si="146"/>
        <v>0.05</v>
      </c>
      <c r="N3103" s="464">
        <f t="shared" si="147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45"/>
        <v>-217444430590.12112</v>
      </c>
      <c r="J3104" s="444">
        <f t="array" ref="J3104">IFERROR(INDEX('Retirement Calculator'!K:K,MATCH('Lorri 401b'!N3104,'Retirement Calculator'!A:A,0),0),0)</f>
        <v>0</v>
      </c>
      <c r="K3104" s="444">
        <f t="shared" ca="1" si="143"/>
        <v>-906018460.79217136</v>
      </c>
      <c r="L3104" s="444">
        <f t="shared" ca="1" si="144"/>
        <v>-218350449050.9133</v>
      </c>
      <c r="M3104" s="460">
        <f t="shared" si="146"/>
        <v>0.05</v>
      </c>
      <c r="N3104" s="464">
        <f t="shared" si="147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45"/>
        <v>-218350449050.9133</v>
      </c>
      <c r="J3105" s="444">
        <f t="array" ref="J3105">IFERROR(INDEX('Retirement Calculator'!K:K,MATCH('Lorri 401b'!N3105,'Retirement Calculator'!A:A,0),0),0)</f>
        <v>0</v>
      </c>
      <c r="K3105" s="444">
        <f t="shared" ca="1" si="143"/>
        <v>-909793537.71213877</v>
      </c>
      <c r="L3105" s="444">
        <f t="shared" ca="1" si="144"/>
        <v>-219260242588.62543</v>
      </c>
      <c r="M3105" s="460">
        <f t="shared" si="146"/>
        <v>0.05</v>
      </c>
      <c r="N3105" s="464">
        <f t="shared" si="147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45"/>
        <v>-219260242588.62543</v>
      </c>
      <c r="J3106" s="444">
        <f t="array" ref="J3106">IFERROR(INDEX('Retirement Calculator'!K:K,MATCH('Lorri 401b'!N3106,'Retirement Calculator'!A:A,0),0),0)</f>
        <v>0</v>
      </c>
      <c r="K3106" s="444">
        <f t="shared" ca="1" si="143"/>
        <v>-913584344.11927259</v>
      </c>
      <c r="L3106" s="444">
        <f t="shared" ca="1" si="144"/>
        <v>-220173826932.74469</v>
      </c>
      <c r="M3106" s="460">
        <f t="shared" si="146"/>
        <v>0.05</v>
      </c>
      <c r="N3106" s="464">
        <f t="shared" si="147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45"/>
        <v>-220173826932.74469</v>
      </c>
      <c r="J3107" s="444">
        <f t="array" ref="J3107">IFERROR(INDEX('Retirement Calculator'!K:K,MATCH('Lorri 401b'!N3107,'Retirement Calculator'!A:A,0),0),0)</f>
        <v>0</v>
      </c>
      <c r="K3107" s="444">
        <f t="shared" ca="1" si="143"/>
        <v>-917390945.55310273</v>
      </c>
      <c r="L3107" s="444">
        <f t="shared" ca="1" si="144"/>
        <v>-221091217878.29779</v>
      </c>
      <c r="M3107" s="460">
        <f t="shared" si="146"/>
        <v>0.05</v>
      </c>
      <c r="N3107" s="464">
        <f t="shared" si="147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45"/>
        <v>-221091217878.29779</v>
      </c>
      <c r="J3108" s="444">
        <f t="array" ref="J3108">IFERROR(INDEX('Retirement Calculator'!K:K,MATCH('Lorri 401b'!N3108,'Retirement Calculator'!A:A,0),0),0)</f>
        <v>0</v>
      </c>
      <c r="K3108" s="444">
        <f t="shared" ca="1" si="143"/>
        <v>-921213407.82624078</v>
      </c>
      <c r="L3108" s="444">
        <f t="shared" ca="1" si="144"/>
        <v>-222012431286.12402</v>
      </c>
      <c r="M3108" s="460">
        <f t="shared" si="146"/>
        <v>0.05</v>
      </c>
      <c r="N3108" s="464">
        <f t="shared" si="147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45"/>
        <v>-222012431286.12402</v>
      </c>
      <c r="J3109" s="444">
        <f t="array" ref="J3109">IFERROR(INDEX('Retirement Calculator'!K:K,MATCH('Lorri 401b'!N3109,'Retirement Calculator'!A:A,0),0),0)</f>
        <v>0</v>
      </c>
      <c r="K3109" s="444">
        <f t="shared" ca="1" si="143"/>
        <v>-925051797.02551675</v>
      </c>
      <c r="L3109" s="444">
        <f t="shared" ca="1" si="144"/>
        <v>-222937483083.14954</v>
      </c>
      <c r="M3109" s="460">
        <f t="shared" si="146"/>
        <v>0.05</v>
      </c>
      <c r="N3109" s="464">
        <f t="shared" si="147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45"/>
        <v>-222937483083.14954</v>
      </c>
      <c r="J3110" s="444">
        <f t="array" ref="J3110">IFERROR(INDEX('Retirement Calculator'!K:K,MATCH('Lorri 401b'!N3110,'Retirement Calculator'!A:A,0),0),0)</f>
        <v>0</v>
      </c>
      <c r="K3110" s="444">
        <f t="shared" ca="1" si="143"/>
        <v>-928906179.51312304</v>
      </c>
      <c r="L3110" s="444">
        <f t="shared" ca="1" si="144"/>
        <v>-223866389262.66266</v>
      </c>
      <c r="M3110" s="460">
        <f t="shared" si="146"/>
        <v>0.05</v>
      </c>
      <c r="N3110" s="464">
        <f t="shared" si="147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45"/>
        <v>-223866389262.66266</v>
      </c>
      <c r="J3111" s="444">
        <f t="array" ref="J3111">IFERROR(INDEX('Retirement Calculator'!K:K,MATCH('Lorri 401b'!N3111,'Retirement Calculator'!A:A,0),0),0)</f>
        <v>0</v>
      </c>
      <c r="K3111" s="444">
        <f t="shared" ca="1" si="143"/>
        <v>-932776621.92776108</v>
      </c>
      <c r="L3111" s="444">
        <f t="shared" ca="1" si="144"/>
        <v>-224799165884.59042</v>
      </c>
      <c r="M3111" s="460">
        <f t="shared" si="146"/>
        <v>0.05</v>
      </c>
      <c r="N3111" s="464">
        <f t="shared" si="147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45"/>
        <v>-224799165884.59042</v>
      </c>
      <c r="J3112" s="444">
        <f t="array" ref="J3112">IFERROR(INDEX('Retirement Calculator'!K:K,MATCH('Lorri 401b'!N3112,'Retirement Calculator'!A:A,0),0),0)</f>
        <v>0</v>
      </c>
      <c r="K3112" s="444">
        <f t="shared" ca="1" si="143"/>
        <v>-936663191.18579352</v>
      </c>
      <c r="L3112" s="444">
        <f t="shared" ca="1" si="144"/>
        <v>-225735829075.77621</v>
      </c>
      <c r="M3112" s="460">
        <f t="shared" si="146"/>
        <v>0.05</v>
      </c>
      <c r="N3112" s="464">
        <f t="shared" si="147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45"/>
        <v>-225735829075.77621</v>
      </c>
      <c r="J3113" s="444">
        <f t="array" ref="J3113">IFERROR(INDEX('Retirement Calculator'!K:K,MATCH('Lorri 401b'!N3113,'Retirement Calculator'!A:A,0),0),0)</f>
        <v>0</v>
      </c>
      <c r="K3113" s="444">
        <f t="shared" ca="1" si="143"/>
        <v>-940565954.48240089</v>
      </c>
      <c r="L3113" s="444">
        <f t="shared" ca="1" si="144"/>
        <v>-226676395030.25861</v>
      </c>
      <c r="M3113" s="460">
        <f t="shared" si="146"/>
        <v>0.05</v>
      </c>
      <c r="N3113" s="464">
        <f t="shared" si="147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45"/>
        <v>-226676395030.25861</v>
      </c>
      <c r="J3114" s="444">
        <f t="array" ref="J3114">IFERROR(INDEX('Retirement Calculator'!K:K,MATCH('Lorri 401b'!N3114,'Retirement Calculator'!A:A,0),0),0)</f>
        <v>0</v>
      </c>
      <c r="K3114" s="444">
        <f t="shared" ca="1" si="143"/>
        <v>-944484979.29274404</v>
      </c>
      <c r="L3114" s="444">
        <f t="shared" ca="1" si="144"/>
        <v>-227620880009.55136</v>
      </c>
      <c r="M3114" s="460">
        <f t="shared" si="146"/>
        <v>0.05</v>
      </c>
      <c r="N3114" s="464">
        <f t="shared" si="147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45"/>
        <v>-227620880009.55136</v>
      </c>
      <c r="J3115" s="444">
        <f t="array" ref="J3115">IFERROR(INDEX('Retirement Calculator'!K:K,MATCH('Lorri 401b'!N3115,'Retirement Calculator'!A:A,0),0),0)</f>
        <v>0</v>
      </c>
      <c r="K3115" s="444">
        <f t="shared" ca="1" si="143"/>
        <v>-948420333.37313068</v>
      </c>
      <c r="L3115" s="444">
        <f t="shared" ca="1" si="144"/>
        <v>-228569300342.9245</v>
      </c>
      <c r="M3115" s="460">
        <f t="shared" si="146"/>
        <v>0.05</v>
      </c>
      <c r="N3115" s="464">
        <f t="shared" si="147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45"/>
        <v>-228569300342.9245</v>
      </c>
      <c r="J3116" s="444">
        <f t="array" ref="J3116">IFERROR(INDEX('Retirement Calculator'!K:K,MATCH('Lorri 401b'!N3116,'Retirement Calculator'!A:A,0),0),0)</f>
        <v>0</v>
      </c>
      <c r="K3116" s="444">
        <f t="shared" ca="1" si="143"/>
        <v>-952372084.76218545</v>
      </c>
      <c r="L3116" s="444">
        <f t="shared" ca="1" si="144"/>
        <v>-229521672427.68668</v>
      </c>
      <c r="M3116" s="460">
        <f t="shared" si="146"/>
        <v>0.05</v>
      </c>
      <c r="N3116" s="464">
        <f t="shared" si="147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45"/>
        <v>-229521672427.68668</v>
      </c>
      <c r="J3117" s="444">
        <f t="array" ref="J3117">IFERROR(INDEX('Retirement Calculator'!K:K,MATCH('Lorri 401b'!N3117,'Retirement Calculator'!A:A,0),0),0)</f>
        <v>0</v>
      </c>
      <c r="K3117" s="444">
        <f t="shared" ca="1" si="143"/>
        <v>-956340301.78202796</v>
      </c>
      <c r="L3117" s="444">
        <f t="shared" ca="1" si="144"/>
        <v>-230478012729.46869</v>
      </c>
      <c r="M3117" s="460">
        <f t="shared" si="146"/>
        <v>0.05</v>
      </c>
      <c r="N3117" s="464">
        <f t="shared" si="147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45"/>
        <v>-230478012729.46869</v>
      </c>
      <c r="J3118" s="444">
        <f t="array" ref="J3118">IFERROR(INDEX('Retirement Calculator'!K:K,MATCH('Lorri 401b'!N3118,'Retirement Calculator'!A:A,0),0),0)</f>
        <v>0</v>
      </c>
      <c r="K3118" s="444">
        <f t="shared" ca="1" si="143"/>
        <v>-960325053.03945291</v>
      </c>
      <c r="L3118" s="444">
        <f t="shared" ca="1" si="144"/>
        <v>-231438337782.50815</v>
      </c>
      <c r="M3118" s="460">
        <f t="shared" si="146"/>
        <v>0.05</v>
      </c>
      <c r="N3118" s="464">
        <f t="shared" si="147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45"/>
        <v>-231438337782.50815</v>
      </c>
      <c r="J3119" s="444">
        <f t="array" ref="J3119">IFERROR(INDEX('Retirement Calculator'!K:K,MATCH('Lorri 401b'!N3119,'Retirement Calculator'!A:A,0),0),0)</f>
        <v>0</v>
      </c>
      <c r="K3119" s="444">
        <f t="shared" ca="1" si="143"/>
        <v>-964326407.42711723</v>
      </c>
      <c r="L3119" s="444">
        <f t="shared" ca="1" si="144"/>
        <v>-232402664189.93527</v>
      </c>
      <c r="M3119" s="460">
        <f t="shared" si="146"/>
        <v>0.05</v>
      </c>
      <c r="N3119" s="464">
        <f t="shared" si="147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45"/>
        <v>-232402664189.93527</v>
      </c>
      <c r="J3120" s="444">
        <f t="array" ref="J3120">IFERROR(INDEX('Retirement Calculator'!K:K,MATCH('Lorri 401b'!N3120,'Retirement Calculator'!A:A,0),0),0)</f>
        <v>0</v>
      </c>
      <c r="K3120" s="444">
        <f t="shared" ca="1" si="143"/>
        <v>-968344434.12473011</v>
      </c>
      <c r="L3120" s="444">
        <f t="shared" ca="1" si="144"/>
        <v>-233371008624.06</v>
      </c>
      <c r="M3120" s="460">
        <f t="shared" si="146"/>
        <v>0.05</v>
      </c>
      <c r="N3120" s="464">
        <f t="shared" si="147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45"/>
        <v>-233371008624.06</v>
      </c>
      <c r="J3121" s="444">
        <f t="array" ref="J3121">IFERROR(INDEX('Retirement Calculator'!K:K,MATCH('Lorri 401b'!N3121,'Retirement Calculator'!A:A,0),0),0)</f>
        <v>0</v>
      </c>
      <c r="K3121" s="444">
        <f t="shared" ca="1" si="143"/>
        <v>-972379202.60025001</v>
      </c>
      <c r="L3121" s="444">
        <f t="shared" ca="1" si="144"/>
        <v>-234343387826.66025</v>
      </c>
      <c r="M3121" s="460">
        <f t="shared" si="146"/>
        <v>0.05</v>
      </c>
      <c r="N3121" s="464">
        <f t="shared" si="147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45"/>
        <v>-234343387826.66025</v>
      </c>
      <c r="J3122" s="444">
        <f t="array" ref="J3122">IFERROR(INDEX('Retirement Calculator'!K:K,MATCH('Lorri 401b'!N3122,'Retirement Calculator'!A:A,0),0),0)</f>
        <v>0</v>
      </c>
      <c r="K3122" s="444">
        <f t="shared" ca="1" si="143"/>
        <v>-976430782.61108434</v>
      </c>
      <c r="L3122" s="444">
        <f t="shared" ca="1" si="144"/>
        <v>-235319818609.27133</v>
      </c>
      <c r="M3122" s="460">
        <f t="shared" si="146"/>
        <v>0.05</v>
      </c>
      <c r="N3122" s="464">
        <f t="shared" si="147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45"/>
        <v>-235319818609.27133</v>
      </c>
      <c r="J3123" s="444">
        <f t="array" ref="J3123">IFERROR(INDEX('Retirement Calculator'!K:K,MATCH('Lorri 401b'!N3123,'Retirement Calculator'!A:A,0),0),0)</f>
        <v>0</v>
      </c>
      <c r="K3123" s="444">
        <f t="shared" ca="1" si="143"/>
        <v>-980499244.20529735</v>
      </c>
      <c r="L3123" s="444">
        <f t="shared" ca="1" si="144"/>
        <v>-236300317853.47662</v>
      </c>
      <c r="M3123" s="460">
        <f t="shared" si="146"/>
        <v>0.05</v>
      </c>
      <c r="N3123" s="464">
        <f t="shared" si="147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45"/>
        <v>-236300317853.47662</v>
      </c>
      <c r="J3124" s="444">
        <f t="array" ref="J3124">IFERROR(INDEX('Retirement Calculator'!K:K,MATCH('Lorri 401b'!N3124,'Retirement Calculator'!A:A,0),0),0)</f>
        <v>0</v>
      </c>
      <c r="K3124" s="444">
        <f t="shared" ca="1" si="143"/>
        <v>-984584657.72281909</v>
      </c>
      <c r="L3124" s="444">
        <f t="shared" ca="1" si="144"/>
        <v>-237284902511.19943</v>
      </c>
      <c r="M3124" s="460">
        <f t="shared" si="146"/>
        <v>0.05</v>
      </c>
      <c r="N3124" s="464">
        <f t="shared" si="147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45"/>
        <v>-237284902511.19943</v>
      </c>
      <c r="J3125" s="444">
        <f t="array" ref="J3125">IFERROR(INDEX('Retirement Calculator'!K:K,MATCH('Lorri 401b'!N3125,'Retirement Calculator'!A:A,0),0),0)</f>
        <v>0</v>
      </c>
      <c r="K3125" s="444">
        <f t="shared" ca="1" si="143"/>
        <v>-988687093.79666424</v>
      </c>
      <c r="L3125" s="444">
        <f t="shared" ca="1" si="144"/>
        <v>-238273589604.99609</v>
      </c>
      <c r="M3125" s="460">
        <f t="shared" si="146"/>
        <v>0.05</v>
      </c>
      <c r="N3125" s="464">
        <f t="shared" si="147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45"/>
        <v>-238273589604.99609</v>
      </c>
      <c r="J3126" s="444">
        <f t="array" ref="J3126">IFERROR(INDEX('Retirement Calculator'!K:K,MATCH('Lorri 401b'!N3126,'Retirement Calculator'!A:A,0),0),0)</f>
        <v>0</v>
      </c>
      <c r="K3126" s="444">
        <f t="shared" ca="1" si="143"/>
        <v>-992806623.35415041</v>
      </c>
      <c r="L3126" s="444">
        <f t="shared" ca="1" si="144"/>
        <v>-239266396228.35025</v>
      </c>
      <c r="M3126" s="460">
        <f t="shared" si="146"/>
        <v>0.05</v>
      </c>
      <c r="N3126" s="464">
        <f t="shared" si="147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45"/>
        <v>-239266396228.35025</v>
      </c>
      <c r="J3127" s="444">
        <f t="array" ref="J3127">IFERROR(INDEX('Retirement Calculator'!K:K,MATCH('Lorri 401b'!N3127,'Retirement Calculator'!A:A,0),0),0)</f>
        <v>0</v>
      </c>
      <c r="K3127" s="444">
        <f t="shared" ca="1" si="143"/>
        <v>-996943317.61812592</v>
      </c>
      <c r="L3127" s="444">
        <f t="shared" ca="1" si="144"/>
        <v>-240263339545.96838</v>
      </c>
      <c r="M3127" s="460">
        <f t="shared" si="146"/>
        <v>0.05</v>
      </c>
      <c r="N3127" s="464">
        <f t="shared" si="147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45"/>
        <v>-240263339545.96838</v>
      </c>
      <c r="J3128" s="444">
        <f t="array" ref="J3128">IFERROR(INDEX('Retirement Calculator'!K:K,MATCH('Lorri 401b'!N3128,'Retirement Calculator'!A:A,0),0),0)</f>
        <v>0</v>
      </c>
      <c r="K3128" s="444">
        <f t="shared" ca="1" si="143"/>
        <v>-1001097248.1082016</v>
      </c>
      <c r="L3128" s="444">
        <f t="shared" ca="1" si="144"/>
        <v>-241264436794.0766</v>
      </c>
      <c r="M3128" s="460">
        <f t="shared" si="146"/>
        <v>0.05</v>
      </c>
      <c r="N3128" s="464">
        <f t="shared" si="147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45"/>
        <v>-241264436794.0766</v>
      </c>
      <c r="J3129" s="444">
        <f t="array" ref="J3129">IFERROR(INDEX('Retirement Calculator'!K:K,MATCH('Lorri 401b'!N3129,'Retirement Calculator'!A:A,0),0),0)</f>
        <v>0</v>
      </c>
      <c r="K3129" s="444">
        <f t="shared" ca="1" si="143"/>
        <v>-1005268486.6419858</v>
      </c>
      <c r="L3129" s="444">
        <f t="shared" ca="1" si="144"/>
        <v>-242269705280.7186</v>
      </c>
      <c r="M3129" s="460">
        <f t="shared" si="146"/>
        <v>0.05</v>
      </c>
      <c r="N3129" s="464">
        <f t="shared" si="147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45"/>
        <v>-242269705280.7186</v>
      </c>
      <c r="J3130" s="444">
        <f t="array" ref="J3130">IFERROR(INDEX('Retirement Calculator'!K:K,MATCH('Lorri 401b'!N3130,'Retirement Calculator'!A:A,0),0),0)</f>
        <v>0</v>
      </c>
      <c r="K3130" s="444">
        <f t="shared" ca="1" si="143"/>
        <v>-1009457105.3363273</v>
      </c>
      <c r="L3130" s="444">
        <f t="shared" ca="1" si="144"/>
        <v>-243279162386.05493</v>
      </c>
      <c r="M3130" s="460">
        <f t="shared" si="146"/>
        <v>0.05</v>
      </c>
      <c r="N3130" s="464">
        <f t="shared" si="147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45"/>
        <v>-243279162386.05493</v>
      </c>
      <c r="J3131" s="444">
        <f t="array" ref="J3131">IFERROR(INDEX('Retirement Calculator'!K:K,MATCH('Lorri 401b'!N3131,'Retirement Calculator'!A:A,0),0),0)</f>
        <v>0</v>
      </c>
      <c r="K3131" s="444">
        <f t="shared" ca="1" si="143"/>
        <v>-1013663176.6085622</v>
      </c>
      <c r="L3131" s="444">
        <f t="shared" ca="1" si="144"/>
        <v>-244292825562.66348</v>
      </c>
      <c r="M3131" s="460">
        <f t="shared" si="146"/>
        <v>0.05</v>
      </c>
      <c r="N3131" s="464">
        <f t="shared" si="147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45"/>
        <v>-244292825562.66348</v>
      </c>
      <c r="J3132" s="444">
        <f t="array" ref="J3132">IFERROR(INDEX('Retirement Calculator'!K:K,MATCH('Lorri 401b'!N3132,'Retirement Calculator'!A:A,0),0),0)</f>
        <v>0</v>
      </c>
      <c r="K3132" s="444">
        <f t="shared" ca="1" si="143"/>
        <v>-1017886773.1777645</v>
      </c>
      <c r="L3132" s="444">
        <f t="shared" ca="1" si="144"/>
        <v>-245310712335.84125</v>
      </c>
      <c r="M3132" s="460">
        <f t="shared" si="146"/>
        <v>0.05</v>
      </c>
      <c r="N3132" s="464">
        <f t="shared" si="147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45"/>
        <v>-245310712335.84125</v>
      </c>
      <c r="J3133" s="444">
        <f t="array" ref="J3133">IFERROR(INDEX('Retirement Calculator'!K:K,MATCH('Lorri 401b'!N3133,'Retirement Calculator'!A:A,0),0),0)</f>
        <v>0</v>
      </c>
      <c r="K3133" s="444">
        <f t="shared" ca="1" si="143"/>
        <v>-1022127968.0660052</v>
      </c>
      <c r="L3133" s="444">
        <f t="shared" ca="1" si="144"/>
        <v>-246332840303.90726</v>
      </c>
      <c r="M3133" s="460">
        <f t="shared" si="146"/>
        <v>0.05</v>
      </c>
      <c r="N3133" s="464">
        <f t="shared" si="147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45"/>
        <v>-246332840303.90726</v>
      </c>
      <c r="J3134" s="444">
        <f t="array" ref="J3134">IFERROR(INDEX('Retirement Calculator'!K:K,MATCH('Lorri 401b'!N3134,'Retirement Calculator'!A:A,0),0),0)</f>
        <v>0</v>
      </c>
      <c r="K3134" s="444">
        <f t="shared" ca="1" si="143"/>
        <v>-1026386834.5996135</v>
      </c>
      <c r="L3134" s="444">
        <f t="shared" ca="1" si="144"/>
        <v>-247359227138.50687</v>
      </c>
      <c r="M3134" s="460">
        <f t="shared" si="146"/>
        <v>0.05</v>
      </c>
      <c r="N3134" s="464">
        <f t="shared" si="147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45"/>
        <v>-247359227138.50687</v>
      </c>
      <c r="J3135" s="444">
        <f t="array" ref="J3135">IFERROR(INDEX('Retirement Calculator'!K:K,MATCH('Lorri 401b'!N3135,'Retirement Calculator'!A:A,0),0),0)</f>
        <v>0</v>
      </c>
      <c r="K3135" s="444">
        <f t="shared" ca="1" si="143"/>
        <v>-1030663446.4104452</v>
      </c>
      <c r="L3135" s="444">
        <f t="shared" ca="1" si="144"/>
        <v>-248389890584.9173</v>
      </c>
      <c r="M3135" s="460">
        <f t="shared" si="146"/>
        <v>0.05</v>
      </c>
      <c r="N3135" s="464">
        <f t="shared" si="147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45"/>
        <v>-248389890584.9173</v>
      </c>
      <c r="J3136" s="444">
        <f t="array" ref="J3136">IFERROR(INDEX('Retirement Calculator'!K:K,MATCH('Lorri 401b'!N3136,'Retirement Calculator'!A:A,0),0),0)</f>
        <v>0</v>
      </c>
      <c r="K3136" s="444">
        <f t="shared" ca="1" si="143"/>
        <v>-1034957877.4371554</v>
      </c>
      <c r="L3136" s="444">
        <f t="shared" ca="1" si="144"/>
        <v>-249424848462.35446</v>
      </c>
      <c r="M3136" s="460">
        <f t="shared" si="146"/>
        <v>0.05</v>
      </c>
      <c r="N3136" s="464">
        <f t="shared" si="147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45"/>
        <v>-249424848462.35446</v>
      </c>
      <c r="J3137" s="444">
        <f t="array" ref="J3137">IFERROR(INDEX('Retirement Calculator'!K:K,MATCH('Lorri 401b'!N3137,'Retirement Calculator'!A:A,0),0),0)</f>
        <v>0</v>
      </c>
      <c r="K3137" s="444">
        <f t="shared" ca="1" si="143"/>
        <v>-1039270201.926477</v>
      </c>
      <c r="L3137" s="444">
        <f t="shared" ca="1" si="144"/>
        <v>-250464118664.28094</v>
      </c>
      <c r="M3137" s="460">
        <f t="shared" si="146"/>
        <v>0.05</v>
      </c>
      <c r="N3137" s="464">
        <f t="shared" si="147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45"/>
        <v>-250464118664.28094</v>
      </c>
      <c r="J3138" s="444">
        <f t="array" ref="J3138">IFERROR(INDEX('Retirement Calculator'!K:K,MATCH('Lorri 401b'!N3138,'Retirement Calculator'!A:A,0),0),0)</f>
        <v>0</v>
      </c>
      <c r="K3138" s="444">
        <f t="shared" ca="1" si="143"/>
        <v>-1043600494.434504</v>
      </c>
      <c r="L3138" s="444">
        <f t="shared" ca="1" si="144"/>
        <v>-251507719158.71545</v>
      </c>
      <c r="M3138" s="460">
        <f t="shared" si="146"/>
        <v>0.05</v>
      </c>
      <c r="N3138" s="464">
        <f t="shared" si="147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45"/>
        <v>-251507719158.71545</v>
      </c>
      <c r="J3139" s="444">
        <f t="array" ref="J3139">IFERROR(INDEX('Retirement Calculator'!K:K,MATCH('Lorri 401b'!N3139,'Retirement Calculator'!A:A,0),0),0)</f>
        <v>0</v>
      </c>
      <c r="K3139" s="444">
        <f t="shared" ca="1" si="143"/>
        <v>-1047948829.827981</v>
      </c>
      <c r="L3139" s="444">
        <f t="shared" ca="1" si="144"/>
        <v>-252555667988.54343</v>
      </c>
      <c r="M3139" s="460">
        <f t="shared" si="146"/>
        <v>0.05</v>
      </c>
      <c r="N3139" s="464">
        <f t="shared" si="147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45"/>
        <v>-252555667988.54343</v>
      </c>
      <c r="J3140" s="444">
        <f t="array" ref="J3140">IFERROR(INDEX('Retirement Calculator'!K:K,MATCH('Lorri 401b'!N3140,'Retirement Calculator'!A:A,0),0),0)</f>
        <v>0</v>
      </c>
      <c r="K3140" s="444">
        <f t="shared" ca="1" si="143"/>
        <v>-1052315283.2855976</v>
      </c>
      <c r="L3140" s="444">
        <f t="shared" ca="1" si="144"/>
        <v>-253607983271.82901</v>
      </c>
      <c r="M3140" s="460">
        <f t="shared" si="146"/>
        <v>0.05</v>
      </c>
      <c r="N3140" s="464">
        <f t="shared" si="147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45"/>
        <v>-253607983271.82901</v>
      </c>
      <c r="J3141" s="444">
        <f t="array" ref="J3141">IFERROR(INDEX('Retirement Calculator'!K:K,MATCH('Lorri 401b'!N3141,'Retirement Calculator'!A:A,0),0),0)</f>
        <v>0</v>
      </c>
      <c r="K3141" s="444">
        <f t="shared" ca="1" si="143"/>
        <v>-1056699930.2992876</v>
      </c>
      <c r="L3141" s="444">
        <f t="shared" ca="1" si="144"/>
        <v>-254664683202.1283</v>
      </c>
      <c r="M3141" s="460">
        <f t="shared" si="146"/>
        <v>0.05</v>
      </c>
      <c r="N3141" s="464">
        <f t="shared" si="147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45"/>
        <v>-254664683202.1283</v>
      </c>
      <c r="J3142" s="444">
        <f t="array" ref="J3142">IFERROR(INDEX('Retirement Calculator'!K:K,MATCH('Lorri 401b'!N3142,'Retirement Calculator'!A:A,0),0),0)</f>
        <v>0</v>
      </c>
      <c r="K3142" s="444">
        <f t="shared" ca="1" si="143"/>
        <v>-1061102846.6755344</v>
      </c>
      <c r="L3142" s="444">
        <f t="shared" ca="1" si="144"/>
        <v>-255725786048.80383</v>
      </c>
      <c r="M3142" s="460">
        <f t="shared" si="146"/>
        <v>0.05</v>
      </c>
      <c r="N3142" s="464">
        <f t="shared" si="147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45"/>
        <v>-255725786048.80383</v>
      </c>
      <c r="J3143" s="444">
        <f t="array" ref="J3143">IFERROR(INDEX('Retirement Calculator'!K:K,MATCH('Lorri 401b'!N3143,'Retirement Calculator'!A:A,0),0),0)</f>
        <v>0</v>
      </c>
      <c r="K3143" s="444">
        <f t="shared" ca="1" si="143"/>
        <v>-1065524108.5366826</v>
      </c>
      <c r="L3143" s="444">
        <f t="shared" ca="1" si="144"/>
        <v>-256791310157.34052</v>
      </c>
      <c r="M3143" s="460">
        <f t="shared" si="146"/>
        <v>0.05</v>
      </c>
      <c r="N3143" s="464">
        <f t="shared" si="147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45"/>
        <v>-256791310157.34052</v>
      </c>
      <c r="J3144" s="444">
        <f t="array" ref="J3144">IFERROR(INDEX('Retirement Calculator'!K:K,MATCH('Lorri 401b'!N3144,'Retirement Calculator'!A:A,0),0),0)</f>
        <v>0</v>
      </c>
      <c r="K3144" s="444">
        <f t="shared" ca="1" si="143"/>
        <v>-1069963792.3222523</v>
      </c>
      <c r="L3144" s="444">
        <f t="shared" ca="1" si="144"/>
        <v>-257861273949.66278</v>
      </c>
      <c r="M3144" s="460">
        <f t="shared" si="146"/>
        <v>0.05</v>
      </c>
      <c r="N3144" s="464">
        <f t="shared" si="147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45"/>
        <v>-257861273949.66278</v>
      </c>
      <c r="J3145" s="444">
        <f t="array" ref="J3145">IFERROR(INDEX('Retirement Calculator'!K:K,MATCH('Lorri 401b'!N3145,'Retirement Calculator'!A:A,0),0),0)</f>
        <v>0</v>
      </c>
      <c r="K3145" s="444">
        <f t="shared" ca="1" si="143"/>
        <v>-1074421974.7902617</v>
      </c>
      <c r="L3145" s="444">
        <f t="shared" ca="1" si="144"/>
        <v>-258935695924.45303</v>
      </c>
      <c r="M3145" s="460">
        <f t="shared" si="146"/>
        <v>0.05</v>
      </c>
      <c r="N3145" s="464">
        <f t="shared" si="147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45"/>
        <v>-258935695924.45303</v>
      </c>
      <c r="J3146" s="444">
        <f t="array" ref="J3146">IFERROR(INDEX('Retirement Calculator'!K:K,MATCH('Lorri 401b'!N3146,'Retirement Calculator'!A:A,0),0),0)</f>
        <v>0</v>
      </c>
      <c r="K3146" s="444">
        <f t="shared" ca="1" si="143"/>
        <v>-1078898733.0185542</v>
      </c>
      <c r="L3146" s="444">
        <f t="shared" ca="1" si="144"/>
        <v>-260014594657.47159</v>
      </c>
      <c r="M3146" s="460">
        <f t="shared" si="146"/>
        <v>0.05</v>
      </c>
      <c r="N3146" s="464">
        <f t="shared" si="147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45"/>
        <v>-260014594657.47159</v>
      </c>
      <c r="J3147" s="444">
        <f t="array" ref="J3147">IFERROR(INDEX('Retirement Calculator'!K:K,MATCH('Lorri 401b'!N3147,'Retirement Calculator'!A:A,0),0),0)</f>
        <v>0</v>
      </c>
      <c r="K3147" s="444">
        <f t="shared" ca="1" si="143"/>
        <v>-1083394144.4061315</v>
      </c>
      <c r="L3147" s="444">
        <f t="shared" ca="1" si="144"/>
        <v>-261097988801.87772</v>
      </c>
      <c r="M3147" s="460">
        <f t="shared" si="146"/>
        <v>0.05</v>
      </c>
      <c r="N3147" s="464">
        <f t="shared" si="147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45"/>
        <v>-261097988801.87772</v>
      </c>
      <c r="J3148" s="444">
        <f t="array" ref="J3148">IFERROR(INDEX('Retirement Calculator'!K:K,MATCH('Lorri 401b'!N3148,'Retirement Calculator'!A:A,0),0),0)</f>
        <v>0</v>
      </c>
      <c r="K3148" s="444">
        <f t="shared" ca="1" si="143"/>
        <v>-1087908286.6744905</v>
      </c>
      <c r="L3148" s="444">
        <f t="shared" ca="1" si="144"/>
        <v>-262185897088.55222</v>
      </c>
      <c r="M3148" s="460">
        <f t="shared" si="146"/>
        <v>0.05</v>
      </c>
      <c r="N3148" s="464">
        <f t="shared" si="147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45"/>
        <v>-262185897088.55222</v>
      </c>
      <c r="J3149" s="444">
        <f t="array" ref="J3149">IFERROR(INDEX('Retirement Calculator'!K:K,MATCH('Lorri 401b'!N3149,'Retirement Calculator'!A:A,0),0),0)</f>
        <v>0</v>
      </c>
      <c r="K3149" s="444">
        <f t="shared" ca="1" si="143"/>
        <v>-1092441237.8689675</v>
      </c>
      <c r="L3149" s="444">
        <f t="shared" ca="1" si="144"/>
        <v>-263278338326.42117</v>
      </c>
      <c r="M3149" s="460">
        <f t="shared" si="146"/>
        <v>0.05</v>
      </c>
      <c r="N3149" s="464">
        <f t="shared" si="147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45"/>
        <v>-263278338326.42117</v>
      </c>
      <c r="J3150" s="444">
        <f t="array" ref="J3150">IFERROR(INDEX('Retirement Calculator'!K:K,MATCH('Lorri 401b'!N3150,'Retirement Calculator'!A:A,0),0),0)</f>
        <v>0</v>
      </c>
      <c r="K3150" s="444">
        <f t="shared" ca="1" si="143"/>
        <v>-1096993076.3600883</v>
      </c>
      <c r="L3150" s="444">
        <f t="shared" ca="1" si="144"/>
        <v>-264375331402.78125</v>
      </c>
      <c r="M3150" s="460">
        <f t="shared" si="146"/>
        <v>0.05</v>
      </c>
      <c r="N3150" s="464">
        <f t="shared" si="147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45"/>
        <v>-264375331402.78125</v>
      </c>
      <c r="J3151" s="444">
        <f t="array" ref="J3151">IFERROR(INDEX('Retirement Calculator'!K:K,MATCH('Lorri 401b'!N3151,'Retirement Calculator'!A:A,0),0),0)</f>
        <v>0</v>
      </c>
      <c r="K3151" s="444">
        <f t="shared" ca="1" si="143"/>
        <v>-1101563880.8449218</v>
      </c>
      <c r="L3151" s="444">
        <f t="shared" ca="1" si="144"/>
        <v>-265476895283.62616</v>
      </c>
      <c r="M3151" s="460">
        <f t="shared" si="146"/>
        <v>0.05</v>
      </c>
      <c r="N3151" s="464">
        <f t="shared" si="147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45"/>
        <v>-265476895283.62616</v>
      </c>
      <c r="J3152" s="444">
        <f t="array" ref="J3152">IFERROR(INDEX('Retirement Calculator'!K:K,MATCH('Lorri 401b'!N3152,'Retirement Calculator'!A:A,0),0),0)</f>
        <v>0</v>
      </c>
      <c r="K3152" s="444">
        <f t="shared" ca="1" si="143"/>
        <v>-1106153730.3484423</v>
      </c>
      <c r="L3152" s="444">
        <f t="shared" ca="1" si="144"/>
        <v>-266583049013.97461</v>
      </c>
      <c r="M3152" s="460">
        <f t="shared" si="146"/>
        <v>0.05</v>
      </c>
      <c r="N3152" s="464">
        <f t="shared" si="147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45"/>
        <v>-266583049013.97461</v>
      </c>
      <c r="J3153" s="444">
        <f t="array" ref="J3153">IFERROR(INDEX('Retirement Calculator'!K:K,MATCH('Lorri 401b'!N3153,'Retirement Calculator'!A:A,0),0),0)</f>
        <v>0</v>
      </c>
      <c r="K3153" s="444">
        <f t="shared" ca="1" si="143"/>
        <v>-1110762704.2248943</v>
      </c>
      <c r="L3153" s="444">
        <f t="shared" ca="1" si="144"/>
        <v>-267693811718.19949</v>
      </c>
      <c r="M3153" s="460">
        <f t="shared" si="146"/>
        <v>0.05</v>
      </c>
      <c r="N3153" s="464">
        <f t="shared" si="147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45"/>
        <v>-267693811718.19949</v>
      </c>
      <c r="J3154" s="444">
        <f t="array" ref="J3154">IFERROR(INDEX('Retirement Calculator'!K:K,MATCH('Lorri 401b'!N3154,'Retirement Calculator'!A:A,0),0),0)</f>
        <v>0</v>
      </c>
      <c r="K3154" s="444">
        <f t="shared" ca="1" si="143"/>
        <v>-1115390882.1591644</v>
      </c>
      <c r="L3154" s="444">
        <f t="shared" ca="1" si="144"/>
        <v>-268809202600.35864</v>
      </c>
      <c r="M3154" s="460">
        <f t="shared" si="146"/>
        <v>0.05</v>
      </c>
      <c r="N3154" s="464">
        <f t="shared" si="147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45"/>
        <v>-268809202600.35864</v>
      </c>
      <c r="J3155" s="444">
        <f t="array" ref="J3155">IFERROR(INDEX('Retirement Calculator'!K:K,MATCH('Lorri 401b'!N3155,'Retirement Calculator'!A:A,0),0),0)</f>
        <v>0</v>
      </c>
      <c r="K3155" s="444">
        <f t="shared" ca="1" si="143"/>
        <v>-1120038344.1681609</v>
      </c>
      <c r="L3155" s="444">
        <f t="shared" ca="1" si="144"/>
        <v>-269929240944.52679</v>
      </c>
      <c r="M3155" s="460">
        <f t="shared" si="146"/>
        <v>0.05</v>
      </c>
      <c r="N3155" s="464">
        <f t="shared" si="147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45"/>
        <v>-269929240944.52679</v>
      </c>
      <c r="J3156" s="444">
        <f t="array" ref="J3156">IFERROR(INDEX('Retirement Calculator'!K:K,MATCH('Lorri 401b'!N3156,'Retirement Calculator'!A:A,0),0),0)</f>
        <v>0</v>
      </c>
      <c r="K3156" s="444">
        <f t="shared" ca="1" si="143"/>
        <v>-1124705170.602195</v>
      </c>
      <c r="L3156" s="444">
        <f t="shared" ca="1" si="144"/>
        <v>-271053946115.129</v>
      </c>
      <c r="M3156" s="460">
        <f t="shared" si="146"/>
        <v>0.05</v>
      </c>
      <c r="N3156" s="464">
        <f t="shared" si="147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45"/>
        <v>-271053946115.129</v>
      </c>
      <c r="J3157" s="444">
        <f t="array" ref="J3157">IFERROR(INDEX('Retirement Calculator'!K:K,MATCH('Lorri 401b'!N3157,'Retirement Calculator'!A:A,0),0),0)</f>
        <v>0</v>
      </c>
      <c r="K3157" s="444">
        <f t="shared" ca="1" si="143"/>
        <v>-1129391442.1463709</v>
      </c>
      <c r="L3157" s="444">
        <f t="shared" ca="1" si="144"/>
        <v>-272183337557.27536</v>
      </c>
      <c r="M3157" s="460">
        <f t="shared" si="146"/>
        <v>0.05</v>
      </c>
      <c r="N3157" s="464">
        <f t="shared" si="147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45"/>
        <v>-272183337557.27536</v>
      </c>
      <c r="J3158" s="444">
        <f t="array" ref="J3158">IFERROR(INDEX('Retirement Calculator'!K:K,MATCH('Lorri 401b'!N3158,'Retirement Calculator'!A:A,0),0),0)</f>
        <v>0</v>
      </c>
      <c r="K3158" s="444">
        <f t="shared" ca="1" si="143"/>
        <v>-1134097239.8219807</v>
      </c>
      <c r="L3158" s="444">
        <f t="shared" ca="1" si="144"/>
        <v>-273317434797.09735</v>
      </c>
      <c r="M3158" s="460">
        <f t="shared" si="146"/>
        <v>0.05</v>
      </c>
      <c r="N3158" s="464">
        <f t="shared" si="147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45"/>
        <v>-273317434797.09735</v>
      </c>
      <c r="J3159" s="444">
        <f t="array" ref="J3159">IFERROR(INDEX('Retirement Calculator'!K:K,MATCH('Lorri 401b'!N3159,'Retirement Calculator'!A:A,0),0),0)</f>
        <v>0</v>
      </c>
      <c r="K3159" s="444">
        <f t="shared" ca="1" si="143"/>
        <v>-1138822644.9879057</v>
      </c>
      <c r="L3159" s="444">
        <f t="shared" ca="1" si="144"/>
        <v>-274456257442.08527</v>
      </c>
      <c r="M3159" s="460">
        <f t="shared" si="146"/>
        <v>0.05</v>
      </c>
      <c r="N3159" s="464">
        <f t="shared" si="147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45"/>
        <v>-274456257442.08527</v>
      </c>
      <c r="J3160" s="444">
        <f t="array" ref="J3160">IFERROR(INDEX('Retirement Calculator'!K:K,MATCH('Lorri 401b'!N3160,'Retirement Calculator'!A:A,0),0),0)</f>
        <v>0</v>
      </c>
      <c r="K3160" s="444">
        <f t="shared" ca="1" si="143"/>
        <v>-1143567739.3420217</v>
      </c>
      <c r="L3160" s="444">
        <f t="shared" ca="1" si="144"/>
        <v>-275599825181.42731</v>
      </c>
      <c r="M3160" s="460">
        <f t="shared" si="146"/>
        <v>0.05</v>
      </c>
      <c r="N3160" s="464">
        <f t="shared" si="147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45"/>
        <v>-275599825181.42731</v>
      </c>
      <c r="J3161" s="444">
        <f t="array" ref="J3161">IFERROR(INDEX('Retirement Calculator'!K:K,MATCH('Lorri 401b'!N3161,'Retirement Calculator'!A:A,0),0),0)</f>
        <v>0</v>
      </c>
      <c r="K3161" s="444">
        <f t="shared" ca="1" si="143"/>
        <v>-1148332604.9226139</v>
      </c>
      <c r="L3161" s="444">
        <f t="shared" ca="1" si="144"/>
        <v>-276748157786.34991</v>
      </c>
      <c r="M3161" s="460">
        <f t="shared" si="146"/>
        <v>0.05</v>
      </c>
      <c r="N3161" s="464">
        <f t="shared" si="147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45"/>
        <v>-276748157786.34991</v>
      </c>
      <c r="J3162" s="444">
        <f t="array" ref="J3162">IFERROR(INDEX('Retirement Calculator'!K:K,MATCH('Lorri 401b'!N3162,'Retirement Calculator'!A:A,0),0),0)</f>
        <v>0</v>
      </c>
      <c r="K3162" s="444">
        <f t="shared" ca="1" si="143"/>
        <v>-1153117324.1097913</v>
      </c>
      <c r="L3162" s="444">
        <f t="shared" ca="1" si="144"/>
        <v>-277901275110.45972</v>
      </c>
      <c r="M3162" s="460">
        <f t="shared" si="146"/>
        <v>0.05</v>
      </c>
      <c r="N3162" s="464">
        <f t="shared" si="147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45"/>
        <v>-277901275110.45972</v>
      </c>
      <c r="J3163" s="444">
        <f t="array" ref="J3163">IFERROR(INDEX('Retirement Calculator'!K:K,MATCH('Lorri 401b'!N3163,'Retirement Calculator'!A:A,0),0),0)</f>
        <v>0</v>
      </c>
      <c r="K3163" s="444">
        <f t="shared" ca="1" si="143"/>
        <v>-1157921979.6269155</v>
      </c>
      <c r="L3163" s="444">
        <f t="shared" ca="1" si="144"/>
        <v>-279059197090.08661</v>
      </c>
      <c r="M3163" s="460">
        <f t="shared" si="146"/>
        <v>0.05</v>
      </c>
      <c r="N3163" s="464">
        <f t="shared" si="147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45"/>
        <v>-279059197090.08661</v>
      </c>
      <c r="J3164" s="444">
        <f t="array" ref="J3164">IFERROR(INDEX('Retirement Calculator'!K:K,MATCH('Lorri 401b'!N3164,'Retirement Calculator'!A:A,0),0),0)</f>
        <v>0</v>
      </c>
      <c r="K3164" s="444">
        <f t="shared" ca="1" si="143"/>
        <v>-1162746654.5420275</v>
      </c>
      <c r="L3164" s="444">
        <f t="shared" ca="1" si="144"/>
        <v>-280221943744.62866</v>
      </c>
      <c r="M3164" s="460">
        <f t="shared" si="146"/>
        <v>0.05</v>
      </c>
      <c r="N3164" s="464">
        <f t="shared" si="147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45"/>
        <v>-280221943744.62866</v>
      </c>
      <c r="J3165" s="444">
        <f t="array" ref="J3165">IFERROR(INDEX('Retirement Calculator'!K:K,MATCH('Lorri 401b'!N3165,'Retirement Calculator'!A:A,0),0),0)</f>
        <v>0</v>
      </c>
      <c r="K3165" s="444">
        <f t="shared" ca="1" si="143"/>
        <v>-1167591432.2692862</v>
      </c>
      <c r="L3165" s="444">
        <f t="shared" ca="1" si="144"/>
        <v>-281389535176.89795</v>
      </c>
      <c r="M3165" s="460">
        <f t="shared" si="146"/>
        <v>0.05</v>
      </c>
      <c r="N3165" s="464">
        <f t="shared" si="147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45"/>
        <v>-281389535176.89795</v>
      </c>
      <c r="J3166" s="444">
        <f t="array" ref="J3166">IFERROR(INDEX('Retirement Calculator'!K:K,MATCH('Lorri 401b'!N3166,'Retirement Calculator'!A:A,0),0),0)</f>
        <v>0</v>
      </c>
      <c r="K3166" s="444">
        <f t="shared" ca="1" si="143"/>
        <v>-1172456396.5704081</v>
      </c>
      <c r="L3166" s="444">
        <f t="shared" ca="1" si="144"/>
        <v>-282561991573.46838</v>
      </c>
      <c r="M3166" s="460">
        <f t="shared" si="146"/>
        <v>0.05</v>
      </c>
      <c r="N3166" s="464">
        <f t="shared" si="147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45"/>
        <v>-282561991573.46838</v>
      </c>
      <c r="J3167" s="444">
        <f t="array" ref="J3167">IFERROR(INDEX('Retirement Calculator'!K:K,MATCH('Lorri 401b'!N3167,'Retirement Calculator'!A:A,0),0),0)</f>
        <v>0</v>
      </c>
      <c r="K3167" s="444">
        <f t="shared" ca="1" si="143"/>
        <v>-1177341631.5561182</v>
      </c>
      <c r="L3167" s="444">
        <f t="shared" ca="1" si="144"/>
        <v>-283739333205.02448</v>
      </c>
      <c r="M3167" s="460">
        <f t="shared" si="146"/>
        <v>0.05</v>
      </c>
      <c r="N3167" s="464">
        <f t="shared" si="147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45"/>
        <v>-283739333205.02448</v>
      </c>
      <c r="J3168" s="444">
        <f t="array" ref="J3168">IFERROR(INDEX('Retirement Calculator'!K:K,MATCH('Lorri 401b'!N3168,'Retirement Calculator'!A:A,0),0),0)</f>
        <v>0</v>
      </c>
      <c r="K3168" s="444">
        <f t="shared" ca="1" si="143"/>
        <v>-1182247221.687602</v>
      </c>
      <c r="L3168" s="444">
        <f t="shared" ca="1" si="144"/>
        <v>-284921580426.7121</v>
      </c>
      <c r="M3168" s="460">
        <f t="shared" si="146"/>
        <v>0.05</v>
      </c>
      <c r="N3168" s="464">
        <f t="shared" si="147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45"/>
        <v>-284921580426.7121</v>
      </c>
      <c r="J3169" s="444">
        <f t="array" ref="J3169">IFERROR(INDEX('Retirement Calculator'!K:K,MATCH('Lorri 401b'!N3169,'Retirement Calculator'!A:A,0),0),0)</f>
        <v>0</v>
      </c>
      <c r="K3169" s="444">
        <f t="shared" ca="1" si="143"/>
        <v>-1187173251.777967</v>
      </c>
      <c r="L3169" s="444">
        <f t="shared" ca="1" si="144"/>
        <v>-286108753678.49005</v>
      </c>
      <c r="M3169" s="460">
        <f t="shared" si="146"/>
        <v>0.05</v>
      </c>
      <c r="N3169" s="464">
        <f t="shared" si="147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45"/>
        <v>-286108753678.49005</v>
      </c>
      <c r="J3170" s="444">
        <f t="array" ref="J3170">IFERROR(INDEX('Retirement Calculator'!K:K,MATCH('Lorri 401b'!N3170,'Retirement Calculator'!A:A,0),0),0)</f>
        <v>0</v>
      </c>
      <c r="K3170" s="444">
        <f t="shared" ca="1" si="143"/>
        <v>-1192119806.9937086</v>
      </c>
      <c r="L3170" s="444">
        <f t="shared" ca="1" si="144"/>
        <v>-287300873485.48376</v>
      </c>
      <c r="M3170" s="460">
        <f t="shared" si="146"/>
        <v>0.05</v>
      </c>
      <c r="N3170" s="464">
        <f t="shared" si="147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45"/>
        <v>-287300873485.48376</v>
      </c>
      <c r="J3171" s="444">
        <f t="array" ref="J3171">IFERROR(INDEX('Retirement Calculator'!K:K,MATCH('Lorri 401b'!N3171,'Retirement Calculator'!A:A,0),0),0)</f>
        <v>0</v>
      </c>
      <c r="K3171" s="444">
        <f t="shared" ca="1" si="143"/>
        <v>-1197086972.8561823</v>
      </c>
      <c r="L3171" s="444">
        <f t="shared" ca="1" si="144"/>
        <v>-288497960458.33997</v>
      </c>
      <c r="M3171" s="460">
        <f t="shared" si="146"/>
        <v>0.05</v>
      </c>
      <c r="N3171" s="464">
        <f t="shared" si="147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45"/>
        <v>-288497960458.33997</v>
      </c>
      <c r="J3172" s="444">
        <f t="array" ref="J3172">IFERROR(INDEX('Retirement Calculator'!K:K,MATCH('Lorri 401b'!N3172,'Retirement Calculator'!A:A,0),0),0)</f>
        <v>0</v>
      </c>
      <c r="K3172" s="444">
        <f t="shared" ca="1" si="143"/>
        <v>-1202074835.2430832</v>
      </c>
      <c r="L3172" s="444">
        <f t="shared" ca="1" si="144"/>
        <v>-289700035293.58307</v>
      </c>
      <c r="M3172" s="460">
        <f t="shared" si="146"/>
        <v>0.05</v>
      </c>
      <c r="N3172" s="464">
        <f t="shared" si="147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45"/>
        <v>-289700035293.58307</v>
      </c>
      <c r="J3173" s="444">
        <f t="array" ref="J3173">IFERROR(INDEX('Retirement Calculator'!K:K,MATCH('Lorri 401b'!N3173,'Retirement Calculator'!A:A,0),0),0)</f>
        <v>0</v>
      </c>
      <c r="K3173" s="444">
        <f t="shared" ca="1" si="143"/>
        <v>-1207083480.3899295</v>
      </c>
      <c r="L3173" s="444">
        <f t="shared" ca="1" si="144"/>
        <v>-290907118773.97302</v>
      </c>
      <c r="M3173" s="460">
        <f t="shared" si="146"/>
        <v>0.05</v>
      </c>
      <c r="N3173" s="464">
        <f t="shared" si="147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45"/>
        <v>-290907118773.97302</v>
      </c>
      <c r="J3174" s="444">
        <f t="array" ref="J3174">IFERROR(INDEX('Retirement Calculator'!K:K,MATCH('Lorri 401b'!N3174,'Retirement Calculator'!A:A,0),0),0)</f>
        <v>0</v>
      </c>
      <c r="K3174" s="444">
        <f t="shared" ca="1" si="143"/>
        <v>-1212112994.8915544</v>
      </c>
      <c r="L3174" s="444">
        <f t="shared" ca="1" si="144"/>
        <v>-292119231768.86456</v>
      </c>
      <c r="M3174" s="460">
        <f t="shared" si="146"/>
        <v>0.05</v>
      </c>
      <c r="N3174" s="464">
        <f t="shared" si="147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45"/>
        <v>-292119231768.86456</v>
      </c>
      <c r="J3175" s="444">
        <f t="array" ref="J3175">IFERROR(INDEX('Retirement Calculator'!K:K,MATCH('Lorri 401b'!N3175,'Retirement Calculator'!A:A,0),0),0)</f>
        <v>0</v>
      </c>
      <c r="K3175" s="444">
        <f t="shared" ca="1" si="143"/>
        <v>-1217163465.7036023</v>
      </c>
      <c r="L3175" s="444">
        <f t="shared" ca="1" si="144"/>
        <v>-293336395234.56818</v>
      </c>
      <c r="M3175" s="460">
        <f t="shared" si="146"/>
        <v>0.05</v>
      </c>
      <c r="N3175" s="464">
        <f t="shared" si="147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45"/>
        <v>-293336395234.56818</v>
      </c>
      <c r="J3176" s="444">
        <f t="array" ref="J3176">IFERROR(INDEX('Retirement Calculator'!K:K,MATCH('Lorri 401b'!N3176,'Retirement Calculator'!A:A,0),0),0)</f>
        <v>0</v>
      </c>
      <c r="K3176" s="444">
        <f t="shared" ca="1" si="143"/>
        <v>-1222234980.1440341</v>
      </c>
      <c r="L3176" s="444">
        <f t="shared" ca="1" si="144"/>
        <v>-294558630214.71222</v>
      </c>
      <c r="M3176" s="460">
        <f t="shared" si="146"/>
        <v>0.05</v>
      </c>
      <c r="N3176" s="464">
        <f t="shared" si="147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45"/>
        <v>-294558630214.71222</v>
      </c>
      <c r="J3177" s="444">
        <f t="array" ref="J3177">IFERROR(INDEX('Retirement Calculator'!K:K,MATCH('Lorri 401b'!N3177,'Retirement Calculator'!A:A,0),0),0)</f>
        <v>0</v>
      </c>
      <c r="K3177" s="444">
        <f t="shared" ca="1" si="143"/>
        <v>-1227327625.8946342</v>
      </c>
      <c r="L3177" s="444">
        <f t="shared" ca="1" si="144"/>
        <v>-295785957840.60687</v>
      </c>
      <c r="M3177" s="460">
        <f t="shared" si="146"/>
        <v>0.05</v>
      </c>
      <c r="N3177" s="464">
        <f t="shared" si="147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45"/>
        <v>-295785957840.60687</v>
      </c>
      <c r="J3178" s="444">
        <f t="array" ref="J3178">IFERROR(INDEX('Retirement Calculator'!K:K,MATCH('Lorri 401b'!N3178,'Retirement Calculator'!A:A,0),0),0)</f>
        <v>0</v>
      </c>
      <c r="K3178" s="444">
        <f t="shared" ca="1" si="143"/>
        <v>-1232441491.0025287</v>
      </c>
      <c r="L3178" s="444">
        <f t="shared" ca="1" si="144"/>
        <v>-297018399331.60938</v>
      </c>
      <c r="M3178" s="460">
        <f t="shared" si="146"/>
        <v>0.05</v>
      </c>
      <c r="N3178" s="464">
        <f t="shared" si="147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45"/>
        <v>-297018399331.60938</v>
      </c>
      <c r="J3179" s="444">
        <f t="array" ref="J3179">IFERROR(INDEX('Retirement Calculator'!K:K,MATCH('Lorri 401b'!N3179,'Retirement Calculator'!A:A,0),0),0)</f>
        <v>0</v>
      </c>
      <c r="K3179" s="444">
        <f t="shared" ca="1" si="143"/>
        <v>-1237576663.8817058</v>
      </c>
      <c r="L3179" s="444">
        <f t="shared" ca="1" si="144"/>
        <v>-298255975995.49109</v>
      </c>
      <c r="M3179" s="460">
        <f t="shared" si="146"/>
        <v>0.05</v>
      </c>
      <c r="N3179" s="464">
        <f t="shared" si="147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45"/>
        <v>-298255975995.49109</v>
      </c>
      <c r="J3180" s="444">
        <f t="array" ref="J3180">IFERROR(INDEX('Retirement Calculator'!K:K,MATCH('Lorri 401b'!N3180,'Retirement Calculator'!A:A,0),0),0)</f>
        <v>0</v>
      </c>
      <c r="K3180" s="444">
        <f t="shared" ca="1" si="143"/>
        <v>-1242733233.3145461</v>
      </c>
      <c r="L3180" s="444">
        <f t="shared" ca="1" si="144"/>
        <v>-299498709228.80566</v>
      </c>
      <c r="M3180" s="460">
        <f t="shared" si="146"/>
        <v>0.05</v>
      </c>
      <c r="N3180" s="464">
        <f t="shared" si="147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45"/>
        <v>-299498709228.80566</v>
      </c>
      <c r="J3181" s="444">
        <f t="array" ref="J3181">IFERROR(INDEX('Retirement Calculator'!K:K,MATCH('Lorri 401b'!N3181,'Retirement Calculator'!A:A,0),0),0)</f>
        <v>0</v>
      </c>
      <c r="K3181" s="444">
        <f t="shared" ca="1" si="143"/>
        <v>-1247911288.453357</v>
      </c>
      <c r="L3181" s="444">
        <f t="shared" ca="1" si="144"/>
        <v>-300746620517.25903</v>
      </c>
      <c r="M3181" s="460">
        <f t="shared" si="146"/>
        <v>0.05</v>
      </c>
      <c r="N3181" s="464">
        <f t="shared" si="147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45"/>
        <v>-300746620517.25903</v>
      </c>
      <c r="J3182" s="444">
        <f t="array" ref="J3182">IFERROR(INDEX('Retirement Calculator'!K:K,MATCH('Lorri 401b'!N3182,'Retirement Calculator'!A:A,0),0),0)</f>
        <v>0</v>
      </c>
      <c r="K3182" s="444">
        <f t="shared" ca="1" si="143"/>
        <v>-1253110918.8219125</v>
      </c>
      <c r="L3182" s="444">
        <f t="shared" ca="1" si="144"/>
        <v>-301999731436.08093</v>
      </c>
      <c r="M3182" s="460">
        <f t="shared" si="146"/>
        <v>0.05</v>
      </c>
      <c r="N3182" s="464">
        <f t="shared" si="147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45"/>
        <v>-301999731436.08093</v>
      </c>
      <c r="J3183" s="444">
        <f t="array" ref="J3183">IFERROR(INDEX('Retirement Calculator'!K:K,MATCH('Lorri 401b'!N3183,'Retirement Calculator'!A:A,0),0),0)</f>
        <v>0</v>
      </c>
      <c r="K3183" s="444">
        <f t="shared" ca="1" si="143"/>
        <v>-1258332214.317004</v>
      </c>
      <c r="L3183" s="444">
        <f t="shared" ca="1" si="144"/>
        <v>-303258063650.39795</v>
      </c>
      <c r="M3183" s="460">
        <f t="shared" si="146"/>
        <v>0.05</v>
      </c>
      <c r="N3183" s="464">
        <f t="shared" si="147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45"/>
        <v>-303258063650.39795</v>
      </c>
      <c r="J3184" s="444">
        <f t="array" ref="J3184">IFERROR(INDEX('Retirement Calculator'!K:K,MATCH('Lorri 401b'!N3184,'Retirement Calculator'!A:A,0),0),0)</f>
        <v>0</v>
      </c>
      <c r="K3184" s="444">
        <f t="shared" ca="1" si="143"/>
        <v>-1263575265.2099915</v>
      </c>
      <c r="L3184" s="444">
        <f t="shared" ca="1" si="144"/>
        <v>-304521638915.60791</v>
      </c>
      <c r="M3184" s="460">
        <f t="shared" si="146"/>
        <v>0.05</v>
      </c>
      <c r="N3184" s="464">
        <f t="shared" si="147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45"/>
        <v>-304521638915.60791</v>
      </c>
      <c r="J3185" s="444">
        <f t="array" ref="J3185">IFERROR(INDEX('Retirement Calculator'!K:K,MATCH('Lorri 401b'!N3185,'Retirement Calculator'!A:A,0),0),0)</f>
        <v>0</v>
      </c>
      <c r="K3185" s="444">
        <f t="shared" ca="1" si="143"/>
        <v>-1268840162.1483662</v>
      </c>
      <c r="L3185" s="444">
        <f t="shared" ca="1" si="144"/>
        <v>-305790479077.75629</v>
      </c>
      <c r="M3185" s="460">
        <f t="shared" si="146"/>
        <v>0.05</v>
      </c>
      <c r="N3185" s="464">
        <f t="shared" si="147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45"/>
        <v>-305790479077.75629</v>
      </c>
      <c r="J3186" s="444">
        <f t="array" ref="J3186">IFERROR(INDEX('Retirement Calculator'!K:K,MATCH('Lorri 401b'!N3186,'Retirement Calculator'!A:A,0),0),0)</f>
        <v>0</v>
      </c>
      <c r="K3186" s="444">
        <f t="shared" ca="1" si="143"/>
        <v>-1274126996.1573179</v>
      </c>
      <c r="L3186" s="444">
        <f t="shared" ca="1" si="144"/>
        <v>-307064606073.91357</v>
      </c>
      <c r="M3186" s="460">
        <f t="shared" si="146"/>
        <v>0.05</v>
      </c>
      <c r="N3186" s="464">
        <f t="shared" si="147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45"/>
        <v>-307064606073.91357</v>
      </c>
      <c r="J3187" s="444">
        <f t="array" ref="J3187">IFERROR(INDEX('Retirement Calculator'!K:K,MATCH('Lorri 401b'!N3187,'Retirement Calculator'!A:A,0),0),0)</f>
        <v>0</v>
      </c>
      <c r="K3187" s="444">
        <f t="shared" ca="1" si="143"/>
        <v>-1279435858.6413066</v>
      </c>
      <c r="L3187" s="444">
        <f t="shared" ca="1" si="144"/>
        <v>-308344041932.55487</v>
      </c>
      <c r="M3187" s="460">
        <f t="shared" si="146"/>
        <v>0.05</v>
      </c>
      <c r="N3187" s="464">
        <f t="shared" si="147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45"/>
        <v>-308344041932.55487</v>
      </c>
      <c r="J3188" s="444">
        <f t="array" ref="J3188">IFERROR(INDEX('Retirement Calculator'!K:K,MATCH('Lorri 401b'!N3188,'Retirement Calculator'!A:A,0),0),0)</f>
        <v>0</v>
      </c>
      <c r="K3188" s="444">
        <f t="shared" ca="1" si="143"/>
        <v>-1284766841.3856454</v>
      </c>
      <c r="L3188" s="444">
        <f t="shared" ca="1" si="144"/>
        <v>-309628808773.94049</v>
      </c>
      <c r="M3188" s="460">
        <f t="shared" si="146"/>
        <v>0.05</v>
      </c>
      <c r="N3188" s="464">
        <f t="shared" si="147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45"/>
        <v>-309628808773.94049</v>
      </c>
      <c r="J3189" s="444">
        <f t="array" ref="J3189">IFERROR(INDEX('Retirement Calculator'!K:K,MATCH('Lorri 401b'!N3189,'Retirement Calculator'!A:A,0),0),0)</f>
        <v>0</v>
      </c>
      <c r="K3189" s="444">
        <f t="shared" ca="1" si="143"/>
        <v>-1290120036.5580854</v>
      </c>
      <c r="L3189" s="444">
        <f t="shared" ca="1" si="144"/>
        <v>-310918928810.4986</v>
      </c>
      <c r="M3189" s="460">
        <f t="shared" si="146"/>
        <v>0.05</v>
      </c>
      <c r="N3189" s="464">
        <f t="shared" si="147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45"/>
        <v>-310918928810.4986</v>
      </c>
      <c r="J3190" s="444">
        <f t="array" ref="J3190">IFERROR(INDEX('Retirement Calculator'!K:K,MATCH('Lorri 401b'!N3190,'Retirement Calculator'!A:A,0),0),0)</f>
        <v>0</v>
      </c>
      <c r="K3190" s="444">
        <f t="shared" ca="1" si="143"/>
        <v>-1295495536.7104108</v>
      </c>
      <c r="L3190" s="444">
        <f t="shared" ca="1" si="144"/>
        <v>-312214424347.20898</v>
      </c>
      <c r="M3190" s="460">
        <f t="shared" si="146"/>
        <v>0.05</v>
      </c>
      <c r="N3190" s="464">
        <f t="shared" si="147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45"/>
        <v>-312214424347.20898</v>
      </c>
      <c r="J3191" s="444">
        <f t="array" ref="J3191">IFERROR(INDEX('Retirement Calculator'!K:K,MATCH('Lorri 401b'!N3191,'Retirement Calculator'!A:A,0),0),0)</f>
        <v>0</v>
      </c>
      <c r="K3191" s="444">
        <f t="shared" ca="1" si="143"/>
        <v>-1300893434.7800374</v>
      </c>
      <c r="L3191" s="444">
        <f t="shared" ca="1" si="144"/>
        <v>-313515317781.98901</v>
      </c>
      <c r="M3191" s="460">
        <f t="shared" si="146"/>
        <v>0.05</v>
      </c>
      <c r="N3191" s="464">
        <f t="shared" si="147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45"/>
        <v>-313515317781.98901</v>
      </c>
      <c r="J3192" s="444">
        <f t="array" ref="J3192">IFERROR(INDEX('Retirement Calculator'!K:K,MATCH('Lorri 401b'!N3192,'Retirement Calculator'!A:A,0),0),0)</f>
        <v>0</v>
      </c>
      <c r="K3192" s="444">
        <f t="shared" ca="1" si="143"/>
        <v>-1306313824.0916209</v>
      </c>
      <c r="L3192" s="444">
        <f t="shared" ca="1" si="144"/>
        <v>-314821631606.08063</v>
      </c>
      <c r="M3192" s="460">
        <f t="shared" si="146"/>
        <v>0.05</v>
      </c>
      <c r="N3192" s="464">
        <f t="shared" si="147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45"/>
        <v>-314821631606.08063</v>
      </c>
      <c r="J3193" s="444">
        <f t="array" ref="J3193">IFERROR(INDEX('Retirement Calculator'!K:K,MATCH('Lorri 401b'!N3193,'Retirement Calculator'!A:A,0),0),0)</f>
        <v>0</v>
      </c>
      <c r="K3193" s="444">
        <f t="shared" ca="1" si="143"/>
        <v>-1311756798.3586693</v>
      </c>
      <c r="L3193" s="444">
        <f t="shared" ca="1" si="144"/>
        <v>-316133388404.43927</v>
      </c>
      <c r="M3193" s="460">
        <f t="shared" si="146"/>
        <v>0.05</v>
      </c>
      <c r="N3193" s="464">
        <f t="shared" si="147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45"/>
        <v>-316133388404.43927</v>
      </c>
      <c r="J3194" s="444">
        <f t="array" ref="J3194">IFERROR(INDEX('Retirement Calculator'!K:K,MATCH('Lorri 401b'!N3194,'Retirement Calculator'!A:A,0),0),0)</f>
        <v>0</v>
      </c>
      <c r="K3194" s="444">
        <f t="shared" ca="1" si="143"/>
        <v>-1317222451.6851635</v>
      </c>
      <c r="L3194" s="444">
        <f t="shared" ca="1" si="144"/>
        <v>-317450610856.12445</v>
      </c>
      <c r="M3194" s="460">
        <f t="shared" si="146"/>
        <v>0.05</v>
      </c>
      <c r="N3194" s="464">
        <f t="shared" si="147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45"/>
        <v>-317450610856.12445</v>
      </c>
      <c r="J3195" s="444">
        <f t="array" ref="J3195">IFERROR(INDEX('Retirement Calculator'!K:K,MATCH('Lorri 401b'!N3195,'Retirement Calculator'!A:A,0),0),0)</f>
        <v>0</v>
      </c>
      <c r="K3195" s="444">
        <f t="shared" ca="1" si="143"/>
        <v>-1322710878.5671852</v>
      </c>
      <c r="L3195" s="444">
        <f t="shared" ca="1" si="144"/>
        <v>-318773321734.69165</v>
      </c>
      <c r="M3195" s="460">
        <f t="shared" si="146"/>
        <v>0.05</v>
      </c>
      <c r="N3195" s="464">
        <f t="shared" si="147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45"/>
        <v>-318773321734.69165</v>
      </c>
      <c r="J3196" s="444">
        <f t="array" ref="J3196">IFERROR(INDEX('Retirement Calculator'!K:K,MATCH('Lorri 401b'!N3196,'Retirement Calculator'!A:A,0),0),0)</f>
        <v>0</v>
      </c>
      <c r="K3196" s="444">
        <f t="shared" ca="1" si="143"/>
        <v>-1328222173.8945484</v>
      </c>
      <c r="L3196" s="444">
        <f t="shared" ca="1" si="144"/>
        <v>-320101543908.58618</v>
      </c>
      <c r="M3196" s="460">
        <f t="shared" si="146"/>
        <v>0.05</v>
      </c>
      <c r="N3196" s="464">
        <f t="shared" si="147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45"/>
        <v>-320101543908.58618</v>
      </c>
      <c r="J3197" s="444">
        <f t="array" ref="J3197">IFERROR(INDEX('Retirement Calculator'!K:K,MATCH('Lorri 401b'!N3197,'Retirement Calculator'!A:A,0),0),0)</f>
        <v>0</v>
      </c>
      <c r="K3197" s="444">
        <f t="shared" ca="1" si="143"/>
        <v>-1333756432.9524424</v>
      </c>
      <c r="L3197" s="444">
        <f t="shared" ca="1" si="144"/>
        <v>-321435300341.53864</v>
      </c>
      <c r="M3197" s="460">
        <f t="shared" si="146"/>
        <v>0.05</v>
      </c>
      <c r="N3197" s="464">
        <f t="shared" si="147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45"/>
        <v>-321435300341.53864</v>
      </c>
      <c r="J3198" s="444">
        <f t="array" ref="J3198">IFERROR(INDEX('Retirement Calculator'!K:K,MATCH('Lorri 401b'!N3198,'Retirement Calculator'!A:A,0),0),0)</f>
        <v>0</v>
      </c>
      <c r="K3198" s="444">
        <f t="shared" ca="1" si="143"/>
        <v>-1339313751.4230776</v>
      </c>
      <c r="L3198" s="444">
        <f t="shared" ca="1" si="144"/>
        <v>-322774614092.96173</v>
      </c>
      <c r="M3198" s="460">
        <f t="shared" si="146"/>
        <v>0.05</v>
      </c>
      <c r="N3198" s="464">
        <f t="shared" si="147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45"/>
        <v>-322774614092.96173</v>
      </c>
      <c r="J3199" s="444">
        <f t="array" ref="J3199">IFERROR(INDEX('Retirement Calculator'!K:K,MATCH('Lorri 401b'!N3199,'Retirement Calculator'!A:A,0),0),0)</f>
        <v>0</v>
      </c>
      <c r="K3199" s="444">
        <f t="shared" ca="1" si="143"/>
        <v>-1344894225.3873405</v>
      </c>
      <c r="L3199" s="444">
        <f t="shared" ca="1" si="144"/>
        <v>-324119508318.34906</v>
      </c>
      <c r="M3199" s="460">
        <f t="shared" si="146"/>
        <v>0.05</v>
      </c>
      <c r="N3199" s="464">
        <f t="shared" si="147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45"/>
        <v>-324119508318.34906</v>
      </c>
      <c r="J3200" s="444">
        <f t="array" ref="J3200">IFERROR(INDEX('Retirement Calculator'!K:K,MATCH('Lorri 401b'!N3200,'Retirement Calculator'!A:A,0),0),0)</f>
        <v>0</v>
      </c>
      <c r="K3200" s="444">
        <f t="shared" ca="1" si="143"/>
        <v>-1350497951.3264544</v>
      </c>
      <c r="L3200" s="444">
        <f t="shared" ca="1" si="144"/>
        <v>-325470006269.67554</v>
      </c>
      <c r="M3200" s="460">
        <f t="shared" si="146"/>
        <v>0.05</v>
      </c>
      <c r="N3200" s="464">
        <f t="shared" si="147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45"/>
        <v>-325470006269.67554</v>
      </c>
      <c r="J3201" s="444">
        <f t="array" ref="J3201">IFERROR(INDEX('Retirement Calculator'!K:K,MATCH('Lorri 401b'!N3201,'Retirement Calculator'!A:A,0),0),0)</f>
        <v>0</v>
      </c>
      <c r="K3201" s="444">
        <f t="shared" ca="1" si="143"/>
        <v>-1356125026.1236482</v>
      </c>
      <c r="L3201" s="444">
        <f t="shared" ca="1" si="144"/>
        <v>-326826131295.79919</v>
      </c>
      <c r="M3201" s="460">
        <f t="shared" si="146"/>
        <v>0.05</v>
      </c>
      <c r="N3201" s="464">
        <f t="shared" si="147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45"/>
        <v>-326826131295.79919</v>
      </c>
      <c r="J3202" s="444">
        <f t="array" ref="J3202">IFERROR(INDEX('Retirement Calculator'!K:K,MATCH('Lorri 401b'!N3202,'Retirement Calculator'!A:A,0),0),0)</f>
        <v>0</v>
      </c>
      <c r="K3202" s="444">
        <f t="shared" ca="1" si="143"/>
        <v>-1361775547.06583</v>
      </c>
      <c r="L3202" s="444">
        <f t="shared" ca="1" si="144"/>
        <v>-328187906842.86505</v>
      </c>
      <c r="M3202" s="460">
        <f t="shared" si="146"/>
        <v>0.05</v>
      </c>
      <c r="N3202" s="464">
        <f t="shared" si="147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45"/>
        <v>-328187906842.86505</v>
      </c>
      <c r="J3203" s="444">
        <f t="array" ref="J3203">IFERROR(INDEX('Retirement Calculator'!K:K,MATCH('Lorri 401b'!N3203,'Retirement Calculator'!A:A,0),0),0)</f>
        <v>0</v>
      </c>
      <c r="K3203" s="444">
        <f t="shared" ca="1" si="143"/>
        <v>-1367449611.8452711</v>
      </c>
      <c r="L3203" s="444">
        <f t="shared" ca="1" si="144"/>
        <v>-329555356454.71033</v>
      </c>
      <c r="M3203" s="460">
        <f t="shared" si="146"/>
        <v>0.05</v>
      </c>
      <c r="N3203" s="464">
        <f t="shared" si="147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45"/>
        <v>-329555356454.71033</v>
      </c>
      <c r="J3204" s="444">
        <f t="array" ref="J3204">IFERROR(INDEX('Retirement Calculator'!K:K,MATCH('Lorri 401b'!N3204,'Retirement Calculator'!A:A,0),0),0)</f>
        <v>0</v>
      </c>
      <c r="K3204" s="444">
        <f t="shared" ca="1" si="143"/>
        <v>-1373147318.5612931</v>
      </c>
      <c r="L3204" s="444">
        <f t="shared" ca="1" si="144"/>
        <v>-330928503773.27161</v>
      </c>
      <c r="M3204" s="460">
        <f t="shared" si="146"/>
        <v>0.05</v>
      </c>
      <c r="N3204" s="464">
        <f t="shared" si="147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45"/>
        <v>-330928503773.27161</v>
      </c>
      <c r="J3205" s="444">
        <f t="array" ref="J3205">IFERROR(INDEX('Retirement Calculator'!K:K,MATCH('Lorri 401b'!N3205,'Retirement Calculator'!A:A,0),0),0)</f>
        <v>0</v>
      </c>
      <c r="K3205" s="444">
        <f t="shared" ca="1" si="143"/>
        <v>-1378868765.7219651</v>
      </c>
      <c r="L3205" s="444">
        <f t="shared" ca="1" si="144"/>
        <v>-332307372538.99359</v>
      </c>
      <c r="M3205" s="460">
        <f t="shared" si="146"/>
        <v>0.05</v>
      </c>
      <c r="N3205" s="464">
        <f t="shared" si="147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45"/>
        <v>-332307372538.99359</v>
      </c>
      <c r="J3206" s="444">
        <f t="array" ref="J3206">IFERROR(INDEX('Retirement Calculator'!K:K,MATCH('Lorri 401b'!N3206,'Retirement Calculator'!A:A,0),0),0)</f>
        <v>0</v>
      </c>
      <c r="K3206" s="444">
        <f t="shared" ca="1" si="143"/>
        <v>-1384614052.2458067</v>
      </c>
      <c r="L3206" s="444">
        <f t="shared" ca="1" si="144"/>
        <v>-333691986591.23938</v>
      </c>
      <c r="M3206" s="460">
        <f t="shared" si="146"/>
        <v>0.05</v>
      </c>
      <c r="N3206" s="464">
        <f t="shared" si="147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45"/>
        <v>-333691986591.23938</v>
      </c>
      <c r="J3207" s="444">
        <f t="array" ref="J3207">IFERROR(INDEX('Retirement Calculator'!K:K,MATCH('Lorri 401b'!N3207,'Retirement Calculator'!A:A,0),0),0)</f>
        <v>0</v>
      </c>
      <c r="K3207" s="444">
        <f t="shared" ca="1" si="143"/>
        <v>-1390383277.4634974</v>
      </c>
      <c r="L3207" s="444">
        <f t="shared" ca="1" si="144"/>
        <v>-335082369868.70288</v>
      </c>
      <c r="M3207" s="460">
        <f t="shared" si="146"/>
        <v>0.05</v>
      </c>
      <c r="N3207" s="464">
        <f t="shared" si="147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45"/>
        <v>-335082369868.70288</v>
      </c>
      <c r="J3208" s="444">
        <f t="array" ref="J3208">IFERROR(INDEX('Retirement Calculator'!K:K,MATCH('Lorri 401b'!N3208,'Retirement Calculator'!A:A,0),0),0)</f>
        <v>0</v>
      </c>
      <c r="K3208" s="444">
        <f t="shared" ca="1" si="143"/>
        <v>-1396176541.1195953</v>
      </c>
      <c r="L3208" s="444">
        <f t="shared" ca="1" si="144"/>
        <v>-336478546409.82245</v>
      </c>
      <c r="M3208" s="460">
        <f t="shared" si="146"/>
        <v>0.05</v>
      </c>
      <c r="N3208" s="464">
        <f t="shared" si="147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45"/>
        <v>-336478546409.82245</v>
      </c>
      <c r="J3209" s="444">
        <f t="array" ref="J3209">IFERROR(INDEX('Retirement Calculator'!K:K,MATCH('Lorri 401b'!N3209,'Retirement Calculator'!A:A,0),0),0)</f>
        <v>0</v>
      </c>
      <c r="K3209" s="444">
        <f t="shared" ca="1" si="143"/>
        <v>-1401993943.3742602</v>
      </c>
      <c r="L3209" s="444">
        <f t="shared" ca="1" si="144"/>
        <v>-337880540353.19672</v>
      </c>
      <c r="M3209" s="460">
        <f t="shared" si="146"/>
        <v>0.05</v>
      </c>
      <c r="N3209" s="464">
        <f t="shared" si="147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45"/>
        <v>-337880540353.19672</v>
      </c>
      <c r="J3210" s="444">
        <f t="array" ref="J3210">IFERROR(INDEX('Retirement Calculator'!K:K,MATCH('Lorri 401b'!N3210,'Retirement Calculator'!A:A,0),0),0)</f>
        <v>0</v>
      </c>
      <c r="K3210" s="444">
        <f t="shared" ca="1" si="143"/>
        <v>-1407835584.8049862</v>
      </c>
      <c r="L3210" s="444">
        <f t="shared" ca="1" si="144"/>
        <v>-339288375938.00171</v>
      </c>
      <c r="M3210" s="460">
        <f t="shared" si="146"/>
        <v>0.05</v>
      </c>
      <c r="N3210" s="464">
        <f t="shared" si="147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45"/>
        <v>-339288375938.00171</v>
      </c>
      <c r="J3211" s="444">
        <f t="array" ref="J3211">IFERROR(INDEX('Retirement Calculator'!K:K,MATCH('Lorri 401b'!N3211,'Retirement Calculator'!A:A,0),0),0)</f>
        <v>0</v>
      </c>
      <c r="K3211" s="444">
        <f t="shared" ca="1" si="143"/>
        <v>-1413701566.4083405</v>
      </c>
      <c r="L3211" s="444">
        <f t="shared" ca="1" si="144"/>
        <v>-340702077504.41003</v>
      </c>
      <c r="M3211" s="460">
        <f t="shared" si="146"/>
        <v>0.05</v>
      </c>
      <c r="N3211" s="464">
        <f t="shared" si="147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45"/>
        <v>-340702077504.41003</v>
      </c>
      <c r="J3212" s="444">
        <f t="array" ref="J3212">IFERROR(INDEX('Retirement Calculator'!K:K,MATCH('Lorri 401b'!N3212,'Retirement Calculator'!A:A,0),0),0)</f>
        <v>0</v>
      </c>
      <c r="K3212" s="444">
        <f t="shared" ca="1" si="143"/>
        <v>-1419591989.6017084</v>
      </c>
      <c r="L3212" s="444">
        <f t="shared" ca="1" si="144"/>
        <v>-342121669494.01172</v>
      </c>
      <c r="M3212" s="460">
        <f t="shared" si="146"/>
        <v>0.05</v>
      </c>
      <c r="N3212" s="464">
        <f t="shared" si="147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45"/>
        <v>-342121669494.01172</v>
      </c>
      <c r="J3213" s="444">
        <f t="array" ref="J3213">IFERROR(INDEX('Retirement Calculator'!K:K,MATCH('Lorri 401b'!N3213,'Retirement Calculator'!A:A,0),0),0)</f>
        <v>0</v>
      </c>
      <c r="K3213" s="444">
        <f t="shared" ca="1" si="143"/>
        <v>-1425506956.2250488</v>
      </c>
      <c r="L3213" s="444">
        <f t="shared" ca="1" si="144"/>
        <v>-343547176450.23676</v>
      </c>
      <c r="M3213" s="460">
        <f t="shared" si="146"/>
        <v>0.05</v>
      </c>
      <c r="N3213" s="464">
        <f t="shared" si="147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45"/>
        <v>-343547176450.23676</v>
      </c>
      <c r="J3214" s="444">
        <f t="array" ref="J3214">IFERROR(INDEX('Retirement Calculator'!K:K,MATCH('Lorri 401b'!N3214,'Retirement Calculator'!A:A,0),0),0)</f>
        <v>0</v>
      </c>
      <c r="K3214" s="444">
        <f t="shared" ca="1" si="143"/>
        <v>-1431446568.5426531</v>
      </c>
      <c r="L3214" s="444">
        <f t="shared" ca="1" si="144"/>
        <v>-344978623018.77942</v>
      </c>
      <c r="M3214" s="460">
        <f t="shared" si="146"/>
        <v>0.05</v>
      </c>
      <c r="N3214" s="464">
        <f t="shared" si="147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45"/>
        <v>-344978623018.77942</v>
      </c>
      <c r="J3215" s="444">
        <f t="array" ref="J3215">IFERROR(INDEX('Retirement Calculator'!K:K,MATCH('Lorri 401b'!N3215,'Retirement Calculator'!A:A,0),0),0)</f>
        <v>0</v>
      </c>
      <c r="K3215" s="444">
        <f t="shared" ca="1" si="143"/>
        <v>-1437410929.2449143</v>
      </c>
      <c r="L3215" s="444">
        <f t="shared" ca="1" si="144"/>
        <v>-346416033948.02435</v>
      </c>
      <c r="M3215" s="460">
        <f t="shared" si="146"/>
        <v>0.05</v>
      </c>
      <c r="N3215" s="464">
        <f t="shared" si="147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45"/>
        <v>-346416033948.02435</v>
      </c>
      <c r="J3216" s="444">
        <f t="array" ref="J3216">IFERROR(INDEX('Retirement Calculator'!K:K,MATCH('Lorri 401b'!N3216,'Retirement Calculator'!A:A,0),0),0)</f>
        <v>0</v>
      </c>
      <c r="K3216" s="444">
        <f t="shared" ca="1" si="143"/>
        <v>-1443400141.4501014</v>
      </c>
      <c r="L3216" s="444">
        <f t="shared" ca="1" si="144"/>
        <v>-347859434089.47443</v>
      </c>
      <c r="M3216" s="460">
        <f t="shared" si="146"/>
        <v>0.05</v>
      </c>
      <c r="N3216" s="464">
        <f t="shared" si="147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45"/>
        <v>-347859434089.47443</v>
      </c>
      <c r="J3217" s="444">
        <f t="array" ref="J3217">IFERROR(INDEX('Retirement Calculator'!K:K,MATCH('Lorri 401b'!N3217,'Retirement Calculator'!A:A,0),0),0)</f>
        <v>0</v>
      </c>
      <c r="K3217" s="444">
        <f t="shared" ca="1" si="143"/>
        <v>-1449414308.7061434</v>
      </c>
      <c r="L3217" s="444">
        <f t="shared" ca="1" si="144"/>
        <v>-349308848398.18054</v>
      </c>
      <c r="M3217" s="460">
        <f t="shared" si="146"/>
        <v>0.05</v>
      </c>
      <c r="N3217" s="464">
        <f t="shared" si="147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45"/>
        <v>-349308848398.18054</v>
      </c>
      <c r="J3218" s="444">
        <f t="array" ref="J3218">IFERROR(INDEX('Retirement Calculator'!K:K,MATCH('Lorri 401b'!N3218,'Retirement Calculator'!A:A,0),0),0)</f>
        <v>0</v>
      </c>
      <c r="K3218" s="444">
        <f t="shared" ca="1" si="143"/>
        <v>-1455453534.992419</v>
      </c>
      <c r="L3218" s="444">
        <f t="shared" ca="1" si="144"/>
        <v>-350764301933.17297</v>
      </c>
      <c r="M3218" s="460">
        <f t="shared" si="146"/>
        <v>0.05</v>
      </c>
      <c r="N3218" s="464">
        <f t="shared" si="147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45"/>
        <v>-350764301933.17297</v>
      </c>
      <c r="J3219" s="444">
        <f t="array" ref="J3219">IFERROR(INDEX('Retirement Calculator'!K:K,MATCH('Lorri 401b'!N3219,'Retirement Calculator'!A:A,0),0),0)</f>
        <v>0</v>
      </c>
      <c r="K3219" s="444">
        <f t="shared" ca="1" si="143"/>
        <v>-1461517924.721554</v>
      </c>
      <c r="L3219" s="444">
        <f t="shared" ca="1" si="144"/>
        <v>-352225819857.89453</v>
      </c>
      <c r="M3219" s="460">
        <f t="shared" si="146"/>
        <v>0.05</v>
      </c>
      <c r="N3219" s="464">
        <f t="shared" si="147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45"/>
        <v>-352225819857.89453</v>
      </c>
      <c r="J3220" s="444">
        <f t="array" ref="J3220">IFERROR(INDEX('Retirement Calculator'!K:K,MATCH('Lorri 401b'!N3220,'Retirement Calculator'!A:A,0),0),0)</f>
        <v>0</v>
      </c>
      <c r="K3220" s="444">
        <f t="shared" ca="1" si="143"/>
        <v>-1467607582.7412271</v>
      </c>
      <c r="L3220" s="444">
        <f t="shared" ca="1" si="144"/>
        <v>-353693427440.63574</v>
      </c>
      <c r="M3220" s="460">
        <f t="shared" si="146"/>
        <v>0.05</v>
      </c>
      <c r="N3220" s="464">
        <f t="shared" si="147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45"/>
        <v>-353693427440.63574</v>
      </c>
      <c r="J3221" s="444">
        <f t="array" ref="J3221">IFERROR(INDEX('Retirement Calculator'!K:K,MATCH('Lorri 401b'!N3221,'Retirement Calculator'!A:A,0),0),0)</f>
        <v>0</v>
      </c>
      <c r="K3221" s="444">
        <f t="shared" ca="1" si="143"/>
        <v>-1473722614.3359823</v>
      </c>
      <c r="L3221" s="444">
        <f t="shared" ca="1" si="144"/>
        <v>-355167150054.97174</v>
      </c>
      <c r="M3221" s="460">
        <f t="shared" si="146"/>
        <v>0.05</v>
      </c>
      <c r="N3221" s="464">
        <f t="shared" si="147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45"/>
        <v>-355167150054.97174</v>
      </c>
      <c r="J3222" s="444">
        <f t="array" ref="J3222">IFERROR(INDEX('Retirement Calculator'!K:K,MATCH('Lorri 401b'!N3222,'Retirement Calculator'!A:A,0),0),0)</f>
        <v>0</v>
      </c>
      <c r="K3222" s="444">
        <f t="shared" ca="1" si="143"/>
        <v>-1479863125.229049</v>
      </c>
      <c r="L3222" s="444">
        <f t="shared" ca="1" si="144"/>
        <v>-356647013180.20081</v>
      </c>
      <c r="M3222" s="460">
        <f t="shared" si="146"/>
        <v>0.05</v>
      </c>
      <c r="N3222" s="464">
        <f t="shared" si="147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45"/>
        <v>-356647013180.20081</v>
      </c>
      <c r="J3223" s="444">
        <f t="array" ref="J3223">IFERROR(INDEX('Retirement Calculator'!K:K,MATCH('Lorri 401b'!N3223,'Retirement Calculator'!A:A,0),0),0)</f>
        <v>0</v>
      </c>
      <c r="K3223" s="444">
        <f t="shared" ca="1" si="143"/>
        <v>-1486029221.5841701</v>
      </c>
      <c r="L3223" s="444">
        <f t="shared" ca="1" si="144"/>
        <v>-358133042401.78497</v>
      </c>
      <c r="M3223" s="460">
        <f t="shared" si="146"/>
        <v>0.05</v>
      </c>
      <c r="N3223" s="464">
        <f t="shared" si="147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45"/>
        <v>-358133042401.78497</v>
      </c>
      <c r="J3224" s="444">
        <f t="array" ref="J3224">IFERROR(INDEX('Retirement Calculator'!K:K,MATCH('Lorri 401b'!N3224,'Retirement Calculator'!A:A,0),0),0)</f>
        <v>0</v>
      </c>
      <c r="K3224" s="444">
        <f t="shared" ca="1" si="143"/>
        <v>-1492221010.0074375</v>
      </c>
      <c r="L3224" s="444">
        <f t="shared" ca="1" si="144"/>
        <v>-359625263411.79242</v>
      </c>
      <c r="M3224" s="460">
        <f t="shared" si="146"/>
        <v>0.05</v>
      </c>
      <c r="N3224" s="464">
        <f t="shared" si="147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45"/>
        <v>-359625263411.79242</v>
      </c>
      <c r="J3225" s="444">
        <f t="array" ref="J3225">IFERROR(INDEX('Retirement Calculator'!K:K,MATCH('Lorri 401b'!N3225,'Retirement Calculator'!A:A,0),0),0)</f>
        <v>0</v>
      </c>
      <c r="K3225" s="444">
        <f t="shared" ca="1" si="143"/>
        <v>-1498438597.549135</v>
      </c>
      <c r="L3225" s="444">
        <f t="shared" ca="1" si="144"/>
        <v>-361123702009.34155</v>
      </c>
      <c r="M3225" s="460">
        <f t="shared" si="146"/>
        <v>0.05</v>
      </c>
      <c r="N3225" s="464">
        <f t="shared" si="147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45"/>
        <v>-361123702009.34155</v>
      </c>
      <c r="J3226" s="444">
        <f t="array" ref="J3226">IFERROR(INDEX('Retirement Calculator'!K:K,MATCH('Lorri 401b'!N3226,'Retirement Calculator'!A:A,0),0),0)</f>
        <v>0</v>
      </c>
      <c r="K3226" s="444">
        <f t="shared" ca="1" si="143"/>
        <v>-1504682091.7055898</v>
      </c>
      <c r="L3226" s="444">
        <f t="shared" ca="1" si="144"/>
        <v>-362628384101.04712</v>
      </c>
      <c r="M3226" s="460">
        <f t="shared" si="146"/>
        <v>0.05</v>
      </c>
      <c r="N3226" s="464">
        <f t="shared" si="147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45"/>
        <v>-362628384101.04712</v>
      </c>
      <c r="J3227" s="444">
        <f t="array" ref="J3227">IFERROR(INDEX('Retirement Calculator'!K:K,MATCH('Lorri 401b'!N3227,'Retirement Calculator'!A:A,0),0),0)</f>
        <v>0</v>
      </c>
      <c r="K3227" s="444">
        <f t="shared" ca="1" si="143"/>
        <v>-1510951600.4210296</v>
      </c>
      <c r="L3227" s="444">
        <f t="shared" ca="1" si="144"/>
        <v>-364139335701.46814</v>
      </c>
      <c r="M3227" s="460">
        <f t="shared" si="146"/>
        <v>0.05</v>
      </c>
      <c r="N3227" s="464">
        <f t="shared" si="147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45"/>
        <v>-364139335701.46814</v>
      </c>
      <c r="J3228" s="444">
        <f t="array" ref="J3228">IFERROR(INDEX('Retirement Calculator'!K:K,MATCH('Lorri 401b'!N3228,'Retirement Calculator'!A:A,0),0),0)</f>
        <v>0</v>
      </c>
      <c r="K3228" s="444">
        <f t="shared" ca="1" si="143"/>
        <v>-1517247232.0894506</v>
      </c>
      <c r="L3228" s="444">
        <f t="shared" ca="1" si="144"/>
        <v>-365656582933.55762</v>
      </c>
      <c r="M3228" s="460">
        <f t="shared" si="146"/>
        <v>0.05</v>
      </c>
      <c r="N3228" s="464">
        <f t="shared" si="147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45"/>
        <v>-365656582933.55762</v>
      </c>
      <c r="J3229" s="444">
        <f t="array" ref="J3229">IFERROR(INDEX('Retirement Calculator'!K:K,MATCH('Lorri 401b'!N3229,'Retirement Calculator'!A:A,0),0),0)</f>
        <v>0</v>
      </c>
      <c r="K3229" s="444">
        <f t="shared" ca="1" si="143"/>
        <v>-1523569095.5564899</v>
      </c>
      <c r="L3229" s="444">
        <f t="shared" ca="1" si="144"/>
        <v>-367180152029.11414</v>
      </c>
      <c r="M3229" s="460">
        <f t="shared" si="146"/>
        <v>0.05</v>
      </c>
      <c r="N3229" s="464">
        <f t="shared" si="147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45"/>
        <v>-367180152029.11414</v>
      </c>
      <c r="J3230" s="444">
        <f t="array" ref="J3230">IFERROR(INDEX('Retirement Calculator'!K:K,MATCH('Lorri 401b'!N3230,'Retirement Calculator'!A:A,0),0),0)</f>
        <v>0</v>
      </c>
      <c r="K3230" s="444">
        <f t="shared" ca="1" si="143"/>
        <v>-1529917300.1213088</v>
      </c>
      <c r="L3230" s="444">
        <f t="shared" ca="1" si="144"/>
        <v>-368710069329.23547</v>
      </c>
      <c r="M3230" s="460">
        <f t="shared" si="146"/>
        <v>0.05</v>
      </c>
      <c r="N3230" s="464">
        <f t="shared" si="147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45"/>
        <v>-368710069329.23547</v>
      </c>
      <c r="J3231" s="444">
        <f t="array" ref="J3231">IFERROR(INDEX('Retirement Calculator'!K:K,MATCH('Lorri 401b'!N3231,'Retirement Calculator'!A:A,0),0),0)</f>
        <v>0</v>
      </c>
      <c r="K3231" s="444">
        <f t="shared" ca="1" si="143"/>
        <v>-1536291955.5384812</v>
      </c>
      <c r="L3231" s="444">
        <f t="shared" ca="1" si="144"/>
        <v>-370246361284.77393</v>
      </c>
      <c r="M3231" s="460">
        <f t="shared" si="146"/>
        <v>0.05</v>
      </c>
      <c r="N3231" s="464">
        <f t="shared" si="147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45"/>
        <v>-370246361284.77393</v>
      </c>
      <c r="J3232" s="444">
        <f t="array" ref="J3232">IFERROR(INDEX('Retirement Calculator'!K:K,MATCH('Lorri 401b'!N3232,'Retirement Calculator'!A:A,0),0),0)</f>
        <v>0</v>
      </c>
      <c r="K3232" s="444">
        <f t="shared" ca="1" si="143"/>
        <v>-1542693172.0198913</v>
      </c>
      <c r="L3232" s="444">
        <f t="shared" ca="1" si="144"/>
        <v>-371789054456.79382</v>
      </c>
      <c r="M3232" s="460">
        <f t="shared" si="146"/>
        <v>0.05</v>
      </c>
      <c r="N3232" s="464">
        <f t="shared" si="147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45"/>
        <v>-371789054456.79382</v>
      </c>
      <c r="J3233" s="444">
        <f t="array" ref="J3233">IFERROR(INDEX('Retirement Calculator'!K:K,MATCH('Lorri 401b'!N3233,'Retirement Calculator'!A:A,0),0),0)</f>
        <v>0</v>
      </c>
      <c r="K3233" s="444">
        <f t="shared" ca="1" si="143"/>
        <v>-1549121060.2366409</v>
      </c>
      <c r="L3233" s="444">
        <f t="shared" ca="1" si="144"/>
        <v>-373338175517.03046</v>
      </c>
      <c r="M3233" s="460">
        <f t="shared" si="146"/>
        <v>0.05</v>
      </c>
      <c r="N3233" s="464">
        <f t="shared" si="147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45"/>
        <v>-373338175517.03046</v>
      </c>
      <c r="J3234" s="444">
        <f t="array" ref="J3234">IFERROR(INDEX('Retirement Calculator'!K:K,MATCH('Lorri 401b'!N3234,'Retirement Calculator'!A:A,0),0),0)</f>
        <v>0</v>
      </c>
      <c r="K3234" s="444">
        <f t="shared" ca="1" si="143"/>
        <v>-1555575731.3209603</v>
      </c>
      <c r="L3234" s="444">
        <f t="shared" ca="1" si="144"/>
        <v>-374893751248.35144</v>
      </c>
      <c r="M3234" s="460">
        <f t="shared" si="146"/>
        <v>0.05</v>
      </c>
      <c r="N3234" s="464">
        <f t="shared" si="147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45"/>
        <v>-374893751248.35144</v>
      </c>
      <c r="J3235" s="444">
        <f t="array" ref="J3235">IFERROR(INDEX('Retirement Calculator'!K:K,MATCH('Lorri 401b'!N3235,'Retirement Calculator'!A:A,0),0),0)</f>
        <v>0</v>
      </c>
      <c r="K3235" s="444">
        <f t="shared" ca="1" si="143"/>
        <v>-1562057296.8681309</v>
      </c>
      <c r="L3235" s="444">
        <f t="shared" ca="1" si="144"/>
        <v>-376455808545.21954</v>
      </c>
      <c r="M3235" s="460">
        <f t="shared" si="146"/>
        <v>0.05</v>
      </c>
      <c r="N3235" s="464">
        <f t="shared" si="147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45"/>
        <v>-376455808545.21954</v>
      </c>
      <c r="J3236" s="444">
        <f t="array" ref="J3236">IFERROR(INDEX('Retirement Calculator'!K:K,MATCH('Lorri 401b'!N3236,'Retirement Calculator'!A:A,0),0),0)</f>
        <v>0</v>
      </c>
      <c r="K3236" s="444">
        <f t="shared" ca="1" si="143"/>
        <v>-1568565868.9384148</v>
      </c>
      <c r="L3236" s="444">
        <f t="shared" ca="1" si="144"/>
        <v>-378024374414.15796</v>
      </c>
      <c r="M3236" s="460">
        <f t="shared" si="146"/>
        <v>0.05</v>
      </c>
      <c r="N3236" s="464">
        <f t="shared" si="147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45"/>
        <v>-378024374414.15796</v>
      </c>
      <c r="J3237" s="444">
        <f t="array" ref="J3237">IFERROR(INDEX('Retirement Calculator'!K:K,MATCH('Lorri 401b'!N3237,'Retirement Calculator'!A:A,0),0),0)</f>
        <v>0</v>
      </c>
      <c r="K3237" s="444">
        <f t="shared" ca="1" si="143"/>
        <v>-1575101560.0589914</v>
      </c>
      <c r="L3237" s="444">
        <f t="shared" ca="1" si="144"/>
        <v>-379599475974.21698</v>
      </c>
      <c r="M3237" s="460">
        <f t="shared" si="146"/>
        <v>0.05</v>
      </c>
      <c r="N3237" s="464">
        <f t="shared" si="147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45"/>
        <v>-379599475974.21698</v>
      </c>
      <c r="J3238" s="444">
        <f t="array" ref="J3238">IFERROR(INDEX('Retirement Calculator'!K:K,MATCH('Lorri 401b'!N3238,'Retirement Calculator'!A:A,0),0),0)</f>
        <v>0</v>
      </c>
      <c r="K3238" s="444">
        <f t="shared" ca="1" si="143"/>
        <v>-1581664483.225904</v>
      </c>
      <c r="L3238" s="444">
        <f t="shared" ca="1" si="144"/>
        <v>-381181140457.44287</v>
      </c>
      <c r="M3238" s="460">
        <f t="shared" si="146"/>
        <v>0.05</v>
      </c>
      <c r="N3238" s="464">
        <f t="shared" si="147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45"/>
        <v>-381181140457.44287</v>
      </c>
      <c r="J3239" s="444">
        <f t="array" ref="J3239">IFERROR(INDEX('Retirement Calculator'!K:K,MATCH('Lorri 401b'!N3239,'Retirement Calculator'!A:A,0),0),0)</f>
        <v>0</v>
      </c>
      <c r="K3239" s="444">
        <f t="shared" ca="1" si="143"/>
        <v>-1588254751.9060121</v>
      </c>
      <c r="L3239" s="444">
        <f t="shared" ca="1" si="144"/>
        <v>-382769395209.34888</v>
      </c>
      <c r="M3239" s="460">
        <f t="shared" si="146"/>
        <v>0.05</v>
      </c>
      <c r="N3239" s="464">
        <f t="shared" si="147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45"/>
        <v>-382769395209.34888</v>
      </c>
      <c r="J3240" s="444">
        <f t="array" ref="J3240">IFERROR(INDEX('Retirement Calculator'!K:K,MATCH('Lorri 401b'!N3240,'Retirement Calculator'!A:A,0),0),0)</f>
        <v>0</v>
      </c>
      <c r="K3240" s="444">
        <f t="shared" ca="1" si="143"/>
        <v>-1594872480.0389535</v>
      </c>
      <c r="L3240" s="444">
        <f t="shared" ca="1" si="144"/>
        <v>-384364267689.38782</v>
      </c>
      <c r="M3240" s="460">
        <f t="shared" si="146"/>
        <v>0.05</v>
      </c>
      <c r="N3240" s="464">
        <f t="shared" si="147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45"/>
        <v>-384364267689.38782</v>
      </c>
      <c r="J3241" s="444">
        <f t="array" ref="J3241">IFERROR(INDEX('Retirement Calculator'!K:K,MATCH('Lorri 401b'!N3241,'Retirement Calculator'!A:A,0),0),0)</f>
        <v>0</v>
      </c>
      <c r="K3241" s="444">
        <f t="shared" ca="1" si="143"/>
        <v>-1601517782.0391159</v>
      </c>
      <c r="L3241" s="444">
        <f t="shared" ca="1" si="144"/>
        <v>-385965785471.42694</v>
      </c>
      <c r="M3241" s="460">
        <f t="shared" si="146"/>
        <v>0.05</v>
      </c>
      <c r="N3241" s="464">
        <f t="shared" si="147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45"/>
        <v>-385965785471.42694</v>
      </c>
      <c r="J3242" s="444">
        <f t="array" ref="J3242">IFERROR(INDEX('Retirement Calculator'!K:K,MATCH('Lorri 401b'!N3242,'Retirement Calculator'!A:A,0),0),0)</f>
        <v>0</v>
      </c>
      <c r="K3242" s="444">
        <f t="shared" ca="1" si="143"/>
        <v>-1608190772.7976122</v>
      </c>
      <c r="L3242" s="444">
        <f t="shared" ca="1" si="144"/>
        <v>-387573976244.22455</v>
      </c>
      <c r="M3242" s="460">
        <f t="shared" si="146"/>
        <v>0.05</v>
      </c>
      <c r="N3242" s="464">
        <f t="shared" si="147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45"/>
        <v>-387573976244.22455</v>
      </c>
      <c r="J3243" s="444">
        <f t="array" ref="J3243">IFERROR(INDEX('Retirement Calculator'!K:K,MATCH('Lorri 401b'!N3243,'Retirement Calculator'!A:A,0),0),0)</f>
        <v>0</v>
      </c>
      <c r="K3243" s="444">
        <f t="shared" ca="1" si="143"/>
        <v>-1614891567.684269</v>
      </c>
      <c r="L3243" s="444">
        <f t="shared" ca="1" si="144"/>
        <v>-389188867811.90881</v>
      </c>
      <c r="M3243" s="460">
        <f t="shared" si="146"/>
        <v>0.05</v>
      </c>
      <c r="N3243" s="464">
        <f t="shared" si="147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45"/>
        <v>-389188867811.90881</v>
      </c>
      <c r="J3244" s="444">
        <f t="array" ref="J3244">IFERROR(INDEX('Retirement Calculator'!K:K,MATCH('Lorri 401b'!N3244,'Retirement Calculator'!A:A,0),0),0)</f>
        <v>0</v>
      </c>
      <c r="K3244" s="444">
        <f t="shared" ca="1" si="143"/>
        <v>-1621620282.5496202</v>
      </c>
      <c r="L3244" s="444">
        <f t="shared" ca="1" si="144"/>
        <v>-390810488094.45844</v>
      </c>
      <c r="M3244" s="460">
        <f t="shared" si="146"/>
        <v>0.05</v>
      </c>
      <c r="N3244" s="464">
        <f t="shared" si="147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45"/>
        <v>-390810488094.45844</v>
      </c>
      <c r="J3245" s="444">
        <f t="array" ref="J3245">IFERROR(INDEX('Retirement Calculator'!K:K,MATCH('Lorri 401b'!N3245,'Retirement Calculator'!A:A,0),0),0)</f>
        <v>0</v>
      </c>
      <c r="K3245" s="444">
        <f t="shared" ca="1" si="143"/>
        <v>-1628377033.7269101</v>
      </c>
      <c r="L3245" s="444">
        <f t="shared" ca="1" si="144"/>
        <v>-392438865128.18536</v>
      </c>
      <c r="M3245" s="460">
        <f t="shared" si="146"/>
        <v>0.05</v>
      </c>
      <c r="N3245" s="464">
        <f t="shared" si="147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45"/>
        <v>-392438865128.18536</v>
      </c>
      <c r="J3246" s="444">
        <f t="array" ref="J3246">IFERROR(INDEX('Retirement Calculator'!K:K,MATCH('Lorri 401b'!N3246,'Retirement Calculator'!A:A,0),0),0)</f>
        <v>0</v>
      </c>
      <c r="K3246" s="444">
        <f t="shared" ca="1" si="143"/>
        <v>-1635161938.0341058</v>
      </c>
      <c r="L3246" s="444">
        <f t="shared" ca="1" si="144"/>
        <v>-394074027066.21948</v>
      </c>
      <c r="M3246" s="460">
        <f t="shared" si="146"/>
        <v>0.05</v>
      </c>
      <c r="N3246" s="464">
        <f t="shared" si="147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45"/>
        <v>-394074027066.21948</v>
      </c>
      <c r="J3247" s="444">
        <f t="array" ref="J3247">IFERROR(INDEX('Retirement Calculator'!K:K,MATCH('Lorri 401b'!N3247,'Retirement Calculator'!A:A,0),0),0)</f>
        <v>0</v>
      </c>
      <c r="K3247" s="444">
        <f t="shared" ca="1" si="143"/>
        <v>-1641975112.7759144</v>
      </c>
      <c r="L3247" s="444">
        <f t="shared" ca="1" si="144"/>
        <v>-395716002178.99542</v>
      </c>
      <c r="M3247" s="460">
        <f t="shared" si="146"/>
        <v>0.05</v>
      </c>
      <c r="N3247" s="464">
        <f t="shared" si="147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45"/>
        <v>-395716002178.99542</v>
      </c>
      <c r="J3248" s="444">
        <f t="array" ref="J3248">IFERROR(INDEX('Retirement Calculator'!K:K,MATCH('Lorri 401b'!N3248,'Retirement Calculator'!A:A,0),0),0)</f>
        <v>0</v>
      </c>
      <c r="K3248" s="444">
        <f t="shared" ca="1" si="143"/>
        <v>-1648816675.7458143</v>
      </c>
      <c r="L3248" s="444">
        <f t="shared" ca="1" si="144"/>
        <v>-397364818854.74121</v>
      </c>
      <c r="M3248" s="460">
        <f t="shared" si="146"/>
        <v>0.05</v>
      </c>
      <c r="N3248" s="464">
        <f t="shared" si="147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45"/>
        <v>-397364818854.74121</v>
      </c>
      <c r="J3249" s="444">
        <f t="array" ref="J3249">IFERROR(INDEX('Retirement Calculator'!K:K,MATCH('Lorri 401b'!N3249,'Retirement Calculator'!A:A,0),0),0)</f>
        <v>0</v>
      </c>
      <c r="K3249" s="444">
        <f t="shared" ca="1" si="143"/>
        <v>-1655686745.2280884</v>
      </c>
      <c r="L3249" s="444">
        <f t="shared" ca="1" si="144"/>
        <v>-399020505599.9693</v>
      </c>
      <c r="M3249" s="460">
        <f t="shared" si="146"/>
        <v>0.05</v>
      </c>
      <c r="N3249" s="464">
        <f t="shared" si="147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45"/>
        <v>-399020505599.9693</v>
      </c>
      <c r="J3250" s="444">
        <f t="array" ref="J3250">IFERROR(INDEX('Retirement Calculator'!K:K,MATCH('Lorri 401b'!N3250,'Retirement Calculator'!A:A,0),0),0)</f>
        <v>0</v>
      </c>
      <c r="K3250" s="444">
        <f t="shared" ca="1" si="143"/>
        <v>-1662585439.999872</v>
      </c>
      <c r="L3250" s="444">
        <f t="shared" ca="1" si="144"/>
        <v>-400683091039.96918</v>
      </c>
      <c r="M3250" s="460">
        <f t="shared" si="146"/>
        <v>0.05</v>
      </c>
      <c r="N3250" s="464">
        <f t="shared" si="147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45"/>
        <v>-400683091039.96918</v>
      </c>
      <c r="J3251" s="444">
        <f t="array" ref="J3251">IFERROR(INDEX('Retirement Calculator'!K:K,MATCH('Lorri 401b'!N3251,'Retirement Calculator'!A:A,0),0),0)</f>
        <v>0</v>
      </c>
      <c r="K3251" s="444">
        <f t="shared" ca="1" si="143"/>
        <v>-1669512879.333205</v>
      </c>
      <c r="L3251" s="444">
        <f t="shared" ca="1" si="144"/>
        <v>-402352603919.30237</v>
      </c>
      <c r="M3251" s="460">
        <f t="shared" si="146"/>
        <v>0.05</v>
      </c>
      <c r="N3251" s="464">
        <f t="shared" si="147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45"/>
        <v>-402352603919.30237</v>
      </c>
      <c r="J3252" s="444">
        <f t="array" ref="J3252">IFERROR(INDEX('Retirement Calculator'!K:K,MATCH('Lorri 401b'!N3252,'Retirement Calculator'!A:A,0),0),0)</f>
        <v>0</v>
      </c>
      <c r="K3252" s="444">
        <f t="shared" ca="1" si="143"/>
        <v>-1676469182.9970932</v>
      </c>
      <c r="L3252" s="444">
        <f t="shared" ca="1" si="144"/>
        <v>-404029073102.29944</v>
      </c>
      <c r="M3252" s="460">
        <f t="shared" si="146"/>
        <v>0.05</v>
      </c>
      <c r="N3252" s="464">
        <f t="shared" si="147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45"/>
        <v>-404029073102.29944</v>
      </c>
      <c r="J3253" s="444">
        <f t="array" ref="J3253">IFERROR(INDEX('Retirement Calculator'!K:K,MATCH('Lorri 401b'!N3253,'Retirement Calculator'!A:A,0),0),0)</f>
        <v>0</v>
      </c>
      <c r="K3253" s="444">
        <f t="shared" ca="1" si="143"/>
        <v>-1683454471.2595811</v>
      </c>
      <c r="L3253" s="444">
        <f t="shared" ca="1" si="144"/>
        <v>-405712527573.55902</v>
      </c>
      <c r="M3253" s="460">
        <f t="shared" si="146"/>
        <v>0.05</v>
      </c>
      <c r="N3253" s="464">
        <f t="shared" si="147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45"/>
        <v>-405712527573.55902</v>
      </c>
      <c r="J3254" s="444">
        <f t="array" ref="J3254">IFERROR(INDEX('Retirement Calculator'!K:K,MATCH('Lorri 401b'!N3254,'Retirement Calculator'!A:A,0),0),0)</f>
        <v>0</v>
      </c>
      <c r="K3254" s="444">
        <f t="shared" ca="1" si="143"/>
        <v>-1690468864.8898292</v>
      </c>
      <c r="L3254" s="444">
        <f t="shared" ca="1" si="144"/>
        <v>-407402996438.44885</v>
      </c>
      <c r="M3254" s="460">
        <f t="shared" si="146"/>
        <v>0.05</v>
      </c>
      <c r="N3254" s="464">
        <f t="shared" si="147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45"/>
        <v>-407402996438.44885</v>
      </c>
      <c r="J3255" s="444">
        <f t="array" ref="J3255">IFERROR(INDEX('Retirement Calculator'!K:K,MATCH('Lorri 401b'!N3255,'Retirement Calculator'!A:A,0),0),0)</f>
        <v>0</v>
      </c>
      <c r="K3255" s="444">
        <f t="shared" ca="1" si="143"/>
        <v>-1697512485.1602035</v>
      </c>
      <c r="L3255" s="444">
        <f t="shared" ca="1" si="144"/>
        <v>-409100508923.60907</v>
      </c>
      <c r="M3255" s="460">
        <f t="shared" si="146"/>
        <v>0.05</v>
      </c>
      <c r="N3255" s="464">
        <f t="shared" si="147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45"/>
        <v>-409100508923.60907</v>
      </c>
      <c r="J3256" s="444">
        <f t="array" ref="J3256">IFERROR(INDEX('Retirement Calculator'!K:K,MATCH('Lorri 401b'!N3256,'Retirement Calculator'!A:A,0),0),0)</f>
        <v>0</v>
      </c>
      <c r="K3256" s="444">
        <f t="shared" ca="1" si="143"/>
        <v>-1704585453.848371</v>
      </c>
      <c r="L3256" s="444">
        <f t="shared" ca="1" si="144"/>
        <v>-410805094377.45746</v>
      </c>
      <c r="M3256" s="460">
        <f t="shared" si="146"/>
        <v>0.05</v>
      </c>
      <c r="N3256" s="464">
        <f t="shared" si="147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45"/>
        <v>-410805094377.45746</v>
      </c>
      <c r="J3257" s="444">
        <f t="array" ref="J3257">IFERROR(INDEX('Retirement Calculator'!K:K,MATCH('Lorri 401b'!N3257,'Retirement Calculator'!A:A,0),0),0)</f>
        <v>0</v>
      </c>
      <c r="K3257" s="444">
        <f t="shared" ca="1" si="143"/>
        <v>-1711687893.2394061</v>
      </c>
      <c r="L3257" s="444">
        <f t="shared" ca="1" si="144"/>
        <v>-412516782270.69684</v>
      </c>
      <c r="M3257" s="460">
        <f t="shared" si="146"/>
        <v>0.05</v>
      </c>
      <c r="N3257" s="464">
        <f t="shared" si="147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45"/>
        <v>-412516782270.69684</v>
      </c>
      <c r="J3258" s="444">
        <f t="array" ref="J3258">IFERROR(INDEX('Retirement Calculator'!K:K,MATCH('Lorri 401b'!N3258,'Retirement Calculator'!A:A,0),0),0)</f>
        <v>0</v>
      </c>
      <c r="K3258" s="444">
        <f t="shared" ca="1" si="143"/>
        <v>-1718819926.1279035</v>
      </c>
      <c r="L3258" s="444">
        <f t="shared" ca="1" si="144"/>
        <v>-414235602196.82477</v>
      </c>
      <c r="M3258" s="460">
        <f t="shared" si="146"/>
        <v>0.05</v>
      </c>
      <c r="N3258" s="464">
        <f t="shared" si="147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45"/>
        <v>-414235602196.82477</v>
      </c>
      <c r="J3259" s="444">
        <f t="array" ref="J3259">IFERROR(INDEX('Retirement Calculator'!K:K,MATCH('Lorri 401b'!N3259,'Retirement Calculator'!A:A,0),0),0)</f>
        <v>0</v>
      </c>
      <c r="K3259" s="444">
        <f t="shared" ca="1" si="143"/>
        <v>-1725981675.8201032</v>
      </c>
      <c r="L3259" s="444">
        <f t="shared" ca="1" si="144"/>
        <v>-415961583872.6449</v>
      </c>
      <c r="M3259" s="460">
        <f t="shared" si="146"/>
        <v>0.05</v>
      </c>
      <c r="N3259" s="464">
        <f t="shared" si="147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45"/>
        <v>-415961583872.6449</v>
      </c>
      <c r="J3260" s="444">
        <f t="array" ref="J3260">IFERROR(INDEX('Retirement Calculator'!K:K,MATCH('Lorri 401b'!N3260,'Retirement Calculator'!A:A,0),0),0)</f>
        <v>0</v>
      </c>
      <c r="K3260" s="444">
        <f t="shared" ca="1" si="143"/>
        <v>-1733173266.1360204</v>
      </c>
      <c r="L3260" s="444">
        <f t="shared" ca="1" si="144"/>
        <v>-417694757138.78094</v>
      </c>
      <c r="M3260" s="460">
        <f t="shared" si="146"/>
        <v>0.05</v>
      </c>
      <c r="N3260" s="464">
        <f t="shared" si="147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45"/>
        <v>-417694757138.78094</v>
      </c>
      <c r="J3261" s="444">
        <f t="array" ref="J3261">IFERROR(INDEX('Retirement Calculator'!K:K,MATCH('Lorri 401b'!N3261,'Retirement Calculator'!A:A,0),0),0)</f>
        <v>0</v>
      </c>
      <c r="K3261" s="444">
        <f t="shared" ca="1" si="143"/>
        <v>-1740394821.4115872</v>
      </c>
      <c r="L3261" s="444">
        <f t="shared" ca="1" si="144"/>
        <v>-419435151960.1925</v>
      </c>
      <c r="M3261" s="460">
        <f t="shared" si="146"/>
        <v>0.05</v>
      </c>
      <c r="N3261" s="464">
        <f t="shared" si="147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45"/>
        <v>-419435151960.1925</v>
      </c>
      <c r="J3262" s="444">
        <f t="array" ref="J3262">IFERROR(INDEX('Retirement Calculator'!K:K,MATCH('Lorri 401b'!N3262,'Retirement Calculator'!A:A,0),0),0)</f>
        <v>0</v>
      </c>
      <c r="K3262" s="444">
        <f t="shared" ca="1" si="143"/>
        <v>-1747646466.500802</v>
      </c>
      <c r="L3262" s="444">
        <f t="shared" ca="1" si="144"/>
        <v>-421182798426.6933</v>
      </c>
      <c r="M3262" s="460">
        <f t="shared" si="146"/>
        <v>0.05</v>
      </c>
      <c r="N3262" s="464">
        <f t="shared" si="147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45"/>
        <v>-421182798426.6933</v>
      </c>
      <c r="J3263" s="444">
        <f t="array" ref="J3263">IFERROR(INDEX('Retirement Calculator'!K:K,MATCH('Lorri 401b'!N3263,'Retirement Calculator'!A:A,0),0),0)</f>
        <v>0</v>
      </c>
      <c r="K3263" s="444">
        <f t="shared" ca="1" si="143"/>
        <v>-1754928326.7778888</v>
      </c>
      <c r="L3263" s="444">
        <f t="shared" ca="1" si="144"/>
        <v>-422937726753.47119</v>
      </c>
      <c r="M3263" s="460">
        <f t="shared" si="146"/>
        <v>0.05</v>
      </c>
      <c r="N3263" s="464">
        <f t="shared" si="147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45"/>
        <v>-422937726753.47119</v>
      </c>
      <c r="J3264" s="444">
        <f t="array" ref="J3264">IFERROR(INDEX('Retirement Calculator'!K:K,MATCH('Lorri 401b'!N3264,'Retirement Calculator'!A:A,0),0),0)</f>
        <v>0</v>
      </c>
      <c r="K3264" s="444">
        <f t="shared" ca="1" si="143"/>
        <v>-1762240528.1394632</v>
      </c>
      <c r="L3264" s="444">
        <f t="shared" ca="1" si="144"/>
        <v>-424699967281.61066</v>
      </c>
      <c r="M3264" s="460">
        <f t="shared" si="146"/>
        <v>0.05</v>
      </c>
      <c r="N3264" s="464">
        <f t="shared" si="147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45"/>
        <v>-424699967281.61066</v>
      </c>
      <c r="J3265" s="444">
        <f t="array" ref="J3265">IFERROR(INDEX('Retirement Calculator'!K:K,MATCH('Lorri 401b'!N3265,'Retirement Calculator'!A:A,0),0),0)</f>
        <v>0</v>
      </c>
      <c r="K3265" s="444">
        <f t="shared" ca="1" si="143"/>
        <v>-1769583197.006711</v>
      </c>
      <c r="L3265" s="444">
        <f t="shared" ca="1" si="144"/>
        <v>-426469550478.61737</v>
      </c>
      <c r="M3265" s="460">
        <f t="shared" si="146"/>
        <v>0.05</v>
      </c>
      <c r="N3265" s="464">
        <f t="shared" si="147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45"/>
        <v>-426469550478.61737</v>
      </c>
      <c r="J3266" s="444">
        <f t="array" ref="J3266">IFERROR(INDEX('Retirement Calculator'!K:K,MATCH('Lorri 401b'!N3266,'Retirement Calculator'!A:A,0),0),0)</f>
        <v>0</v>
      </c>
      <c r="K3266" s="444">
        <f t="shared" ca="1" si="143"/>
        <v>-1776956460.3275723</v>
      </c>
      <c r="L3266" s="444">
        <f t="shared" ca="1" si="144"/>
        <v>-428246506938.94495</v>
      </c>
      <c r="M3266" s="460">
        <f t="shared" si="146"/>
        <v>0.05</v>
      </c>
      <c r="N3266" s="464">
        <f t="shared" si="147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45"/>
        <v>-428246506938.94495</v>
      </c>
      <c r="J3267" s="444">
        <f t="array" ref="J3267">IFERROR(INDEX('Retirement Calculator'!K:K,MATCH('Lorri 401b'!N3267,'Retirement Calculator'!A:A,0),0),0)</f>
        <v>0</v>
      </c>
      <c r="K3267" s="444">
        <f t="shared" ca="1" si="143"/>
        <v>-1784360445.5789373</v>
      </c>
      <c r="L3267" s="444">
        <f t="shared" ca="1" si="144"/>
        <v>-430030867384.52386</v>
      </c>
      <c r="M3267" s="460">
        <f t="shared" si="146"/>
        <v>0.05</v>
      </c>
      <c r="N3267" s="464">
        <f t="shared" si="147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45"/>
        <v>-430030867384.52386</v>
      </c>
      <c r="J3268" s="444">
        <f t="array" ref="J3268">IFERROR(INDEX('Retirement Calculator'!K:K,MATCH('Lorri 401b'!N3268,'Retirement Calculator'!A:A,0),0),0)</f>
        <v>0</v>
      </c>
      <c r="K3268" s="444">
        <f t="shared" ca="1" si="143"/>
        <v>-1791795280.7688494</v>
      </c>
      <c r="L3268" s="444">
        <f t="shared" ca="1" si="144"/>
        <v>-431822662665.29272</v>
      </c>
      <c r="M3268" s="460">
        <f t="shared" si="146"/>
        <v>0.05</v>
      </c>
      <c r="N3268" s="464">
        <f t="shared" si="147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45"/>
        <v>-431822662665.29272</v>
      </c>
      <c r="J3269" s="444">
        <f t="array" ref="J3269">IFERROR(INDEX('Retirement Calculator'!K:K,MATCH('Lorri 401b'!N3269,'Retirement Calculator'!A:A,0),0),0)</f>
        <v>0</v>
      </c>
      <c r="K3269" s="444">
        <f t="shared" ca="1" si="143"/>
        <v>-1799261094.4387197</v>
      </c>
      <c r="L3269" s="444">
        <f t="shared" ca="1" si="144"/>
        <v>-433621923759.73145</v>
      </c>
      <c r="M3269" s="460">
        <f t="shared" si="146"/>
        <v>0.05</v>
      </c>
      <c r="N3269" s="464">
        <f t="shared" si="147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45"/>
        <v>-433621923759.73145</v>
      </c>
      <c r="J3270" s="444">
        <f t="array" ref="J3270">IFERROR(INDEX('Retirement Calculator'!K:K,MATCH('Lorri 401b'!N3270,'Retirement Calculator'!A:A,0),0),0)</f>
        <v>0</v>
      </c>
      <c r="K3270" s="444">
        <f t="shared" ca="1" si="143"/>
        <v>-1806758015.6655476</v>
      </c>
      <c r="L3270" s="444">
        <f t="shared" ca="1" si="144"/>
        <v>-435428681775.39697</v>
      </c>
      <c r="M3270" s="460">
        <f t="shared" si="146"/>
        <v>0.05</v>
      </c>
      <c r="N3270" s="464">
        <f t="shared" si="147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45"/>
        <v>-435428681775.39697</v>
      </c>
      <c r="J3271" s="444">
        <f t="array" ref="J3271">IFERROR(INDEX('Retirement Calculator'!K:K,MATCH('Lorri 401b'!N3271,'Retirement Calculator'!A:A,0),0),0)</f>
        <v>0</v>
      </c>
      <c r="K3271" s="444">
        <f t="shared" ca="1" si="143"/>
        <v>-1814286174.0641537</v>
      </c>
      <c r="L3271" s="444">
        <f t="shared" ca="1" si="144"/>
        <v>-437242967949.46112</v>
      </c>
      <c r="M3271" s="460">
        <f t="shared" si="146"/>
        <v>0.05</v>
      </c>
      <c r="N3271" s="464">
        <f t="shared" si="147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45"/>
        <v>-437242967949.46112</v>
      </c>
      <c r="J3272" s="444">
        <f t="array" ref="J3272">IFERROR(INDEX('Retirement Calculator'!K:K,MATCH('Lorri 401b'!N3272,'Retirement Calculator'!A:A,0),0),0)</f>
        <v>0</v>
      </c>
      <c r="K3272" s="444">
        <f t="shared" ca="1" si="143"/>
        <v>-1821845699.7894211</v>
      </c>
      <c r="L3272" s="444">
        <f t="shared" ca="1" si="144"/>
        <v>-439064813649.25055</v>
      </c>
      <c r="M3272" s="460">
        <f t="shared" si="146"/>
        <v>0.05</v>
      </c>
      <c r="N3272" s="464">
        <f t="shared" si="147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45"/>
        <v>-439064813649.25055</v>
      </c>
      <c r="J3273" s="444">
        <f t="array" ref="J3273">IFERROR(INDEX('Retirement Calculator'!K:K,MATCH('Lorri 401b'!N3273,'Retirement Calculator'!A:A,0),0),0)</f>
        <v>0</v>
      </c>
      <c r="K3273" s="444">
        <f t="shared" ca="1" si="143"/>
        <v>-1829436723.5385439</v>
      </c>
      <c r="L3273" s="444">
        <f t="shared" ca="1" si="144"/>
        <v>-440894250372.78912</v>
      </c>
      <c r="M3273" s="460">
        <f t="shared" si="146"/>
        <v>0.05</v>
      </c>
      <c r="N3273" s="464">
        <f t="shared" si="147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45"/>
        <v>-440894250372.78912</v>
      </c>
      <c r="J3274" s="444">
        <f t="array" ref="J3274">IFERROR(INDEX('Retirement Calculator'!K:K,MATCH('Lorri 401b'!N3274,'Retirement Calculator'!A:A,0),0),0)</f>
        <v>0</v>
      </c>
      <c r="K3274" s="444">
        <f t="shared" ca="1" si="143"/>
        <v>-1837059376.553288</v>
      </c>
      <c r="L3274" s="444">
        <f t="shared" ca="1" si="144"/>
        <v>-442731309749.34241</v>
      </c>
      <c r="M3274" s="460">
        <f t="shared" si="146"/>
        <v>0.05</v>
      </c>
      <c r="N3274" s="464">
        <f t="shared" si="147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45"/>
        <v>-442731309749.34241</v>
      </c>
      <c r="J3275" s="444">
        <f t="array" ref="J3275">IFERROR(INDEX('Retirement Calculator'!K:K,MATCH('Lorri 401b'!N3275,'Retirement Calculator'!A:A,0),0),0)</f>
        <v>0</v>
      </c>
      <c r="K3275" s="444">
        <f t="shared" ca="1" si="143"/>
        <v>-1844713790.6222603</v>
      </c>
      <c r="L3275" s="444">
        <f t="shared" ca="1" si="144"/>
        <v>-444576023539.96466</v>
      </c>
      <c r="M3275" s="460">
        <f t="shared" si="146"/>
        <v>0.05</v>
      </c>
      <c r="N3275" s="464">
        <f t="shared" si="147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45"/>
        <v>-444576023539.96466</v>
      </c>
      <c r="J3276" s="444">
        <f t="array" ref="J3276">IFERROR(INDEX('Retirement Calculator'!K:K,MATCH('Lorri 401b'!N3276,'Retirement Calculator'!A:A,0),0),0)</f>
        <v>0</v>
      </c>
      <c r="K3276" s="444">
        <f t="shared" ca="1" si="143"/>
        <v>-1852400098.0831864</v>
      </c>
      <c r="L3276" s="444">
        <f t="shared" ca="1" si="144"/>
        <v>-446428423638.04785</v>
      </c>
      <c r="M3276" s="460">
        <f t="shared" si="146"/>
        <v>0.05</v>
      </c>
      <c r="N3276" s="464">
        <f t="shared" si="147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45"/>
        <v>-446428423638.04785</v>
      </c>
      <c r="J3277" s="444">
        <f t="array" ref="J3277">IFERROR(INDEX('Retirement Calculator'!K:K,MATCH('Lorri 401b'!N3277,'Retirement Calculator'!A:A,0),0),0)</f>
        <v>0</v>
      </c>
      <c r="K3277" s="444">
        <f t="shared" ca="1" si="143"/>
        <v>-1860118431.8251991</v>
      </c>
      <c r="L3277" s="444">
        <f t="shared" ca="1" si="144"/>
        <v>-448288542069.87305</v>
      </c>
      <c r="M3277" s="460">
        <f t="shared" si="146"/>
        <v>0.05</v>
      </c>
      <c r="N3277" s="464">
        <f t="shared" si="147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45"/>
        <v>-448288542069.87305</v>
      </c>
      <c r="J3278" s="444">
        <f t="array" ref="J3278">IFERROR(INDEX('Retirement Calculator'!K:K,MATCH('Lorri 401b'!N3278,'Retirement Calculator'!A:A,0),0),0)</f>
        <v>0</v>
      </c>
      <c r="K3278" s="444">
        <f t="shared" ca="1" si="143"/>
        <v>-1867868925.2911377</v>
      </c>
      <c r="L3278" s="444">
        <f t="shared" ca="1" si="144"/>
        <v>-450156410995.16418</v>
      </c>
      <c r="M3278" s="460">
        <f t="shared" si="146"/>
        <v>0.05</v>
      </c>
      <c r="N3278" s="464">
        <f t="shared" si="147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45"/>
        <v>-450156410995.16418</v>
      </c>
      <c r="J3279" s="444">
        <f t="array" ref="J3279">IFERROR(INDEX('Retirement Calculator'!K:K,MATCH('Lorri 401b'!N3279,'Retirement Calculator'!A:A,0),0),0)</f>
        <v>0</v>
      </c>
      <c r="K3279" s="444">
        <f t="shared" ca="1" si="143"/>
        <v>-1875651712.4798508</v>
      </c>
      <c r="L3279" s="444">
        <f t="shared" ca="1" si="144"/>
        <v>-452032062707.64404</v>
      </c>
      <c r="M3279" s="460">
        <f t="shared" si="146"/>
        <v>0.05</v>
      </c>
      <c r="N3279" s="464">
        <f t="shared" si="147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45"/>
        <v>-452032062707.64404</v>
      </c>
      <c r="J3280" s="444">
        <f t="array" ref="J3280">IFERROR(INDEX('Retirement Calculator'!K:K,MATCH('Lorri 401b'!N3280,'Retirement Calculator'!A:A,0),0),0)</f>
        <v>0</v>
      </c>
      <c r="K3280" s="444">
        <f t="shared" ca="1" si="143"/>
        <v>-1883466927.9485168</v>
      </c>
      <c r="L3280" s="444">
        <f t="shared" ca="1" si="144"/>
        <v>-453915529635.59253</v>
      </c>
      <c r="M3280" s="460">
        <f t="shared" si="146"/>
        <v>0.05</v>
      </c>
      <c r="N3280" s="464">
        <f t="shared" si="147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45"/>
        <v>-453915529635.59253</v>
      </c>
      <c r="J3281" s="444">
        <f t="array" ref="J3281">IFERROR(INDEX('Retirement Calculator'!K:K,MATCH('Lorri 401b'!N3281,'Retirement Calculator'!A:A,0),0),0)</f>
        <v>0</v>
      </c>
      <c r="K3281" s="444">
        <f t="shared" ca="1" si="143"/>
        <v>-1891314706.8149688</v>
      </c>
      <c r="L3281" s="444">
        <f t="shared" ca="1" si="144"/>
        <v>-455806844342.40747</v>
      </c>
      <c r="M3281" s="460">
        <f t="shared" si="146"/>
        <v>0.05</v>
      </c>
      <c r="N3281" s="464">
        <f t="shared" si="147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45"/>
        <v>-455806844342.40747</v>
      </c>
      <c r="J3282" s="444">
        <f t="array" ref="J3282">IFERROR(INDEX('Retirement Calculator'!K:K,MATCH('Lorri 401b'!N3282,'Retirement Calculator'!A:A,0),0),0)</f>
        <v>0</v>
      </c>
      <c r="K3282" s="444">
        <f t="shared" ca="1" si="143"/>
        <v>-1899195184.760031</v>
      </c>
      <c r="L3282" s="444">
        <f t="shared" ca="1" si="144"/>
        <v>-457706039527.16748</v>
      </c>
      <c r="M3282" s="460">
        <f t="shared" si="146"/>
        <v>0.05</v>
      </c>
      <c r="N3282" s="464">
        <f t="shared" si="147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45"/>
        <v>-457706039527.16748</v>
      </c>
      <c r="J3283" s="444">
        <f t="array" ref="J3283">IFERROR(INDEX('Retirement Calculator'!K:K,MATCH('Lorri 401b'!N3283,'Retirement Calculator'!A:A,0),0),0)</f>
        <v>0</v>
      </c>
      <c r="K3283" s="444">
        <f t="shared" ca="1" si="143"/>
        <v>-1907108498.0298645</v>
      </c>
      <c r="L3283" s="444">
        <f t="shared" ca="1" si="144"/>
        <v>-459613148025.19733</v>
      </c>
      <c r="M3283" s="460">
        <f t="shared" si="146"/>
        <v>0.05</v>
      </c>
      <c r="N3283" s="464">
        <f t="shared" si="147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45"/>
        <v>-459613148025.19733</v>
      </c>
      <c r="J3284" s="444">
        <f t="array" ref="J3284">IFERROR(INDEX('Retirement Calculator'!K:K,MATCH('Lorri 401b'!N3284,'Retirement Calculator'!A:A,0),0),0)</f>
        <v>0</v>
      </c>
      <c r="K3284" s="444">
        <f t="shared" ca="1" si="143"/>
        <v>-1915054783.4383221</v>
      </c>
      <c r="L3284" s="444">
        <f t="shared" ca="1" si="144"/>
        <v>-461528202808.63562</v>
      </c>
      <c r="M3284" s="460">
        <f t="shared" si="146"/>
        <v>0.05</v>
      </c>
      <c r="N3284" s="464">
        <f t="shared" si="147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45"/>
        <v>-461528202808.63562</v>
      </c>
      <c r="J3285" s="444">
        <f t="array" ref="J3285">IFERROR(INDEX('Retirement Calculator'!K:K,MATCH('Lorri 401b'!N3285,'Retirement Calculator'!A:A,0),0),0)</f>
        <v>0</v>
      </c>
      <c r="K3285" s="444">
        <f t="shared" ca="1" si="143"/>
        <v>-1923034178.3693151</v>
      </c>
      <c r="L3285" s="444">
        <f t="shared" ca="1" si="144"/>
        <v>-463451236987.00494</v>
      </c>
      <c r="M3285" s="460">
        <f t="shared" si="146"/>
        <v>0.05</v>
      </c>
      <c r="N3285" s="464">
        <f t="shared" si="147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45"/>
        <v>-463451236987.00494</v>
      </c>
      <c r="J3286" s="444">
        <f t="array" ref="J3286">IFERROR(INDEX('Retirement Calculator'!K:K,MATCH('Lorri 401b'!N3286,'Retirement Calculator'!A:A,0),0),0)</f>
        <v>0</v>
      </c>
      <c r="K3286" s="444">
        <f t="shared" ca="1" si="143"/>
        <v>-1931046820.7791874</v>
      </c>
      <c r="L3286" s="444">
        <f t="shared" ca="1" si="144"/>
        <v>-465382283807.78412</v>
      </c>
      <c r="M3286" s="460">
        <f t="shared" si="146"/>
        <v>0.05</v>
      </c>
      <c r="N3286" s="464">
        <f t="shared" si="147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45"/>
        <v>-465382283807.78412</v>
      </c>
      <c r="J3287" s="444">
        <f t="array" ref="J3287">IFERROR(INDEX('Retirement Calculator'!K:K,MATCH('Lorri 401b'!N3287,'Retirement Calculator'!A:A,0),0),0)</f>
        <v>0</v>
      </c>
      <c r="K3287" s="444">
        <f t="shared" ca="1" si="143"/>
        <v>-1939092849.1991005</v>
      </c>
      <c r="L3287" s="444">
        <f t="shared" ca="1" si="144"/>
        <v>-467321376656.98322</v>
      </c>
      <c r="M3287" s="460">
        <f t="shared" si="146"/>
        <v>0.05</v>
      </c>
      <c r="N3287" s="464">
        <f t="shared" si="147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45"/>
        <v>-467321376656.98322</v>
      </c>
      <c r="J3288" s="444">
        <f t="array" ref="J3288">IFERROR(INDEX('Retirement Calculator'!K:K,MATCH('Lorri 401b'!N3288,'Retirement Calculator'!A:A,0),0),0)</f>
        <v>0</v>
      </c>
      <c r="K3288" s="444">
        <f t="shared" ca="1" si="143"/>
        <v>-1947172402.7374301</v>
      </c>
      <c r="L3288" s="444">
        <f t="shared" ca="1" si="144"/>
        <v>-469268549059.72064</v>
      </c>
      <c r="M3288" s="460">
        <f t="shared" si="146"/>
        <v>0.05</v>
      </c>
      <c r="N3288" s="464">
        <f t="shared" si="147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45"/>
        <v>-469268549059.72064</v>
      </c>
      <c r="J3289" s="444">
        <f t="array" ref="J3289">IFERROR(INDEX('Retirement Calculator'!K:K,MATCH('Lorri 401b'!N3289,'Retirement Calculator'!A:A,0),0),0)</f>
        <v>0</v>
      </c>
      <c r="K3289" s="444">
        <f t="shared" ca="1" si="143"/>
        <v>-1955285621.0821693</v>
      </c>
      <c r="L3289" s="444">
        <f t="shared" ca="1" si="144"/>
        <v>-471223834680.8028</v>
      </c>
      <c r="M3289" s="460">
        <f t="shared" si="146"/>
        <v>0.05</v>
      </c>
      <c r="N3289" s="464">
        <f t="shared" si="147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45"/>
        <v>-471223834680.8028</v>
      </c>
      <c r="J3290" s="444">
        <f t="array" ref="J3290">IFERROR(INDEX('Retirement Calculator'!K:K,MATCH('Lorri 401b'!N3290,'Retirement Calculator'!A:A,0),0),0)</f>
        <v>0</v>
      </c>
      <c r="K3290" s="444">
        <f t="shared" ca="1" si="143"/>
        <v>-1963432644.5033448</v>
      </c>
      <c r="L3290" s="444">
        <f t="shared" ca="1" si="144"/>
        <v>-473187267325.30615</v>
      </c>
      <c r="M3290" s="460">
        <f t="shared" si="146"/>
        <v>0.05</v>
      </c>
      <c r="N3290" s="464">
        <f t="shared" si="147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45"/>
        <v>-473187267325.30615</v>
      </c>
      <c r="J3291" s="444">
        <f t="array" ref="J3291">IFERROR(INDEX('Retirement Calculator'!K:K,MATCH('Lorri 401b'!N3291,'Retirement Calculator'!A:A,0),0),0)</f>
        <v>0</v>
      </c>
      <c r="K3291" s="444">
        <f t="shared" ca="1" si="143"/>
        <v>-1971613613.8554425</v>
      </c>
      <c r="L3291" s="444">
        <f t="shared" ca="1" si="144"/>
        <v>-475158880939.16162</v>
      </c>
      <c r="M3291" s="460">
        <f t="shared" si="146"/>
        <v>0.05</v>
      </c>
      <c r="N3291" s="464">
        <f t="shared" si="147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45"/>
        <v>-475158880939.16162</v>
      </c>
      <c r="J3292" s="444">
        <f t="array" ref="J3292">IFERROR(INDEX('Retirement Calculator'!K:K,MATCH('Lorri 401b'!N3292,'Retirement Calculator'!A:A,0),0),0)</f>
        <v>0</v>
      </c>
      <c r="K3292" s="444">
        <f t="shared" ca="1" si="143"/>
        <v>-1979828670.5798399</v>
      </c>
      <c r="L3292" s="444">
        <f t="shared" ca="1" si="144"/>
        <v>-477138709609.74146</v>
      </c>
      <c r="M3292" s="460">
        <f t="shared" si="146"/>
        <v>0.05</v>
      </c>
      <c r="N3292" s="464">
        <f t="shared" si="147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45"/>
        <v>-477138709609.74146</v>
      </c>
      <c r="J3293" s="444">
        <f t="array" ref="J3293">IFERROR(INDEX('Retirement Calculator'!K:K,MATCH('Lorri 401b'!N3293,'Retirement Calculator'!A:A,0),0),0)</f>
        <v>0</v>
      </c>
      <c r="K3293" s="444">
        <f t="shared" ca="1" si="143"/>
        <v>-1988077956.7072561</v>
      </c>
      <c r="L3293" s="444">
        <f t="shared" ca="1" si="144"/>
        <v>-479126787566.44873</v>
      </c>
      <c r="M3293" s="460">
        <f t="shared" si="146"/>
        <v>0.05</v>
      </c>
      <c r="N3293" s="464">
        <f t="shared" si="147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45"/>
        <v>-479126787566.44873</v>
      </c>
      <c r="J3294" s="444">
        <f t="array" ref="J3294">IFERROR(INDEX('Retirement Calculator'!K:K,MATCH('Lorri 401b'!N3294,'Retirement Calculator'!A:A,0),0),0)</f>
        <v>0</v>
      </c>
      <c r="K3294" s="444">
        <f t="shared" ca="1" si="143"/>
        <v>-1996361614.8602028</v>
      </c>
      <c r="L3294" s="444">
        <f t="shared" ca="1" si="144"/>
        <v>-481123149181.30896</v>
      </c>
      <c r="M3294" s="460">
        <f t="shared" si="146"/>
        <v>0.05</v>
      </c>
      <c r="N3294" s="464">
        <f t="shared" si="147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45"/>
        <v>-481123149181.30896</v>
      </c>
      <c r="J3295" s="444">
        <f t="array" ref="J3295">IFERROR(INDEX('Retirement Calculator'!K:K,MATCH('Lorri 401b'!N3295,'Retirement Calculator'!A:A,0),0),0)</f>
        <v>0</v>
      </c>
      <c r="K3295" s="444">
        <f t="shared" ca="1" si="143"/>
        <v>-2004679788.2554541</v>
      </c>
      <c r="L3295" s="444">
        <f t="shared" ca="1" si="144"/>
        <v>-483127828969.56439</v>
      </c>
      <c r="M3295" s="460">
        <f t="shared" si="146"/>
        <v>0.05</v>
      </c>
      <c r="N3295" s="464">
        <f t="shared" si="147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45"/>
        <v>-483127828969.56439</v>
      </c>
      <c r="J3296" s="444">
        <f t="array" ref="J3296">IFERROR(INDEX('Retirement Calculator'!K:K,MATCH('Lorri 401b'!N3296,'Retirement Calculator'!A:A,0),0),0)</f>
        <v>0</v>
      </c>
      <c r="K3296" s="444">
        <f t="shared" ca="1" si="143"/>
        <v>-2013032620.7065182</v>
      </c>
      <c r="L3296" s="444">
        <f t="shared" ca="1" si="144"/>
        <v>-485140861590.27094</v>
      </c>
      <c r="M3296" s="460">
        <f t="shared" si="146"/>
        <v>0.05</v>
      </c>
      <c r="N3296" s="464">
        <f t="shared" si="147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45"/>
        <v>-485140861590.27094</v>
      </c>
      <c r="J3297" s="444">
        <f t="array" ref="J3297">IFERROR(INDEX('Retirement Calculator'!K:K,MATCH('Lorri 401b'!N3297,'Retirement Calculator'!A:A,0),0),0)</f>
        <v>0</v>
      </c>
      <c r="K3297" s="444">
        <f t="shared" ca="1" si="143"/>
        <v>-2021420256.6261289</v>
      </c>
      <c r="L3297" s="444">
        <f t="shared" ca="1" si="144"/>
        <v>-487162281846.89703</v>
      </c>
      <c r="M3297" s="460">
        <f t="shared" si="146"/>
        <v>0.05</v>
      </c>
      <c r="N3297" s="464">
        <f t="shared" si="147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45"/>
        <v>-487162281846.89703</v>
      </c>
      <c r="J3298" s="444">
        <f t="array" ref="J3298">IFERROR(INDEX('Retirement Calculator'!K:K,MATCH('Lorri 401b'!N3298,'Retirement Calculator'!A:A,0),0),0)</f>
        <v>0</v>
      </c>
      <c r="K3298" s="444">
        <f t="shared" ca="1" si="143"/>
        <v>-2029842841.0287375</v>
      </c>
      <c r="L3298" s="444">
        <f t="shared" ca="1" si="144"/>
        <v>-489192124687.92578</v>
      </c>
      <c r="M3298" s="460">
        <f t="shared" si="146"/>
        <v>0.05</v>
      </c>
      <c r="N3298" s="464">
        <f t="shared" si="147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45"/>
        <v>-489192124687.92578</v>
      </c>
      <c r="J3299" s="444">
        <f t="array" ref="J3299">IFERROR(INDEX('Retirement Calculator'!K:K,MATCH('Lorri 401b'!N3299,'Retirement Calculator'!A:A,0),0),0)</f>
        <v>0</v>
      </c>
      <c r="K3299" s="444">
        <f t="shared" ca="1" si="143"/>
        <v>-2038300519.5330241</v>
      </c>
      <c r="L3299" s="444">
        <f t="shared" ca="1" si="144"/>
        <v>-491230425207.4588</v>
      </c>
      <c r="M3299" s="460">
        <f t="shared" si="146"/>
        <v>0.05</v>
      </c>
      <c r="N3299" s="464">
        <f t="shared" si="147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45"/>
        <v>-491230425207.4588</v>
      </c>
      <c r="J3300" s="444">
        <f t="array" ref="J3300">IFERROR(INDEX('Retirement Calculator'!K:K,MATCH('Lorri 401b'!N3300,'Retirement Calculator'!A:A,0),0),0)</f>
        <v>0</v>
      </c>
      <c r="K3300" s="444">
        <f t="shared" ca="1" si="143"/>
        <v>-2046793438.3644116</v>
      </c>
      <c r="L3300" s="444">
        <f t="shared" ca="1" si="144"/>
        <v>-493277218645.82324</v>
      </c>
      <c r="M3300" s="460">
        <f t="shared" si="146"/>
        <v>0.05</v>
      </c>
      <c r="N3300" s="464">
        <f t="shared" si="147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45"/>
        <v>-493277218645.82324</v>
      </c>
      <c r="J3301" s="444">
        <f t="array" ref="J3301">IFERROR(INDEX('Retirement Calculator'!K:K,MATCH('Lorri 401b'!N3301,'Retirement Calculator'!A:A,0),0),0)</f>
        <v>0</v>
      </c>
      <c r="K3301" s="444">
        <f t="shared" ca="1" si="143"/>
        <v>-2055321744.3575969</v>
      </c>
      <c r="L3301" s="444">
        <f t="shared" ca="1" si="144"/>
        <v>-495332540390.18085</v>
      </c>
      <c r="M3301" s="460">
        <f t="shared" si="146"/>
        <v>0.05</v>
      </c>
      <c r="N3301" s="464">
        <f t="shared" si="147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45"/>
        <v>-495332540390.18085</v>
      </c>
      <c r="J3302" s="444">
        <f t="array" ref="J3302">IFERROR(INDEX('Retirement Calculator'!K:K,MATCH('Lorri 401b'!N3302,'Retirement Calculator'!A:A,0),0),0)</f>
        <v>0</v>
      </c>
      <c r="K3302" s="444">
        <f t="shared" ca="1" si="143"/>
        <v>-2063885584.9590869</v>
      </c>
      <c r="L3302" s="444">
        <f t="shared" ca="1" si="144"/>
        <v>-497396425975.13995</v>
      </c>
      <c r="M3302" s="460">
        <f t="shared" si="146"/>
        <v>0.05</v>
      </c>
      <c r="N3302" s="464">
        <f t="shared" si="147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45"/>
        <v>-497396425975.13995</v>
      </c>
      <c r="J3303" s="444">
        <f t="array" ref="J3303">IFERROR(INDEX('Retirement Calculator'!K:K,MATCH('Lorri 401b'!N3303,'Retirement Calculator'!A:A,0),0),0)</f>
        <v>0</v>
      </c>
      <c r="K3303" s="444">
        <f t="shared" ca="1" si="143"/>
        <v>-2072485108.2297497</v>
      </c>
      <c r="L3303" s="444">
        <f t="shared" ca="1" si="144"/>
        <v>-499468911083.36969</v>
      </c>
      <c r="M3303" s="460">
        <f t="shared" si="146"/>
        <v>0.05</v>
      </c>
      <c r="N3303" s="464">
        <f t="shared" si="147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45"/>
        <v>-499468911083.36969</v>
      </c>
      <c r="J3304" s="444">
        <f t="array" ref="J3304">IFERROR(INDEX('Retirement Calculator'!K:K,MATCH('Lorri 401b'!N3304,'Retirement Calculator'!A:A,0),0),0)</f>
        <v>0</v>
      </c>
      <c r="K3304" s="444">
        <f t="shared" ca="1" si="143"/>
        <v>-2081120462.847374</v>
      </c>
      <c r="L3304" s="444">
        <f t="shared" ca="1" si="144"/>
        <v>-501550031546.21704</v>
      </c>
      <c r="M3304" s="460">
        <f t="shared" si="146"/>
        <v>0.05</v>
      </c>
      <c r="N3304" s="464">
        <f t="shared" si="147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45"/>
        <v>-501550031546.21704</v>
      </c>
      <c r="J3305" s="444">
        <f t="array" ref="J3305">IFERROR(INDEX('Retirement Calculator'!K:K,MATCH('Lorri 401b'!N3305,'Retirement Calculator'!A:A,0),0),0)</f>
        <v>0</v>
      </c>
      <c r="K3305" s="444">
        <f t="shared" ca="1" si="143"/>
        <v>-2089791798.1092379</v>
      </c>
      <c r="L3305" s="444">
        <f t="shared" ca="1" si="144"/>
        <v>-503639823344.32629</v>
      </c>
      <c r="M3305" s="460">
        <f t="shared" si="146"/>
        <v>0.05</v>
      </c>
      <c r="N3305" s="464">
        <f t="shared" si="147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45"/>
        <v>-503639823344.32629</v>
      </c>
      <c r="J3306" s="444">
        <f t="array" ref="J3306">IFERROR(INDEX('Retirement Calculator'!K:K,MATCH('Lorri 401b'!N3306,'Retirement Calculator'!A:A,0),0),0)</f>
        <v>0</v>
      </c>
      <c r="K3306" s="444">
        <f t="shared" ca="1" si="143"/>
        <v>-2098499263.9346929</v>
      </c>
      <c r="L3306" s="444">
        <f t="shared" ca="1" si="144"/>
        <v>-505738322608.26099</v>
      </c>
      <c r="M3306" s="460">
        <f t="shared" si="146"/>
        <v>0.05</v>
      </c>
      <c r="N3306" s="464">
        <f t="shared" si="147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45"/>
        <v>-505738322608.26099</v>
      </c>
      <c r="J3307" s="444">
        <f t="array" ref="J3307">IFERROR(INDEX('Retirement Calculator'!K:K,MATCH('Lorri 401b'!N3307,'Retirement Calculator'!A:A,0),0),0)</f>
        <v>0</v>
      </c>
      <c r="K3307" s="444">
        <f t="shared" ca="1" si="143"/>
        <v>-2107243010.867754</v>
      </c>
      <c r="L3307" s="444">
        <f t="shared" ca="1" si="144"/>
        <v>-507845565619.12872</v>
      </c>
      <c r="M3307" s="460">
        <f t="shared" si="146"/>
        <v>0.05</v>
      </c>
      <c r="N3307" s="464">
        <f t="shared" si="147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45"/>
        <v>-507845565619.12872</v>
      </c>
      <c r="J3308" s="444">
        <f t="array" ref="J3308">IFERROR(INDEX('Retirement Calculator'!K:K,MATCH('Lorri 401b'!N3308,'Retirement Calculator'!A:A,0),0),0)</f>
        <v>0</v>
      </c>
      <c r="K3308" s="444">
        <f t="shared" ca="1" si="143"/>
        <v>-2116023190.0797031</v>
      </c>
      <c r="L3308" s="444">
        <f t="shared" ca="1" si="144"/>
        <v>-509961588809.20844</v>
      </c>
      <c r="M3308" s="460">
        <f t="shared" si="146"/>
        <v>0.05</v>
      </c>
      <c r="N3308" s="464">
        <f t="shared" si="147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45"/>
        <v>-509961588809.20844</v>
      </c>
      <c r="J3309" s="444">
        <f t="array" ref="J3309">IFERROR(INDEX('Retirement Calculator'!K:K,MATCH('Lorri 401b'!N3309,'Retirement Calculator'!A:A,0),0),0)</f>
        <v>0</v>
      </c>
      <c r="K3309" s="444">
        <f t="shared" ca="1" si="143"/>
        <v>-2124839953.3717017</v>
      </c>
      <c r="L3309" s="444">
        <f t="shared" ca="1" si="144"/>
        <v>-512086428762.58014</v>
      </c>
      <c r="M3309" s="460">
        <f t="shared" si="146"/>
        <v>0.05</v>
      </c>
      <c r="N3309" s="464">
        <f t="shared" si="147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45"/>
        <v>-512086428762.58014</v>
      </c>
      <c r="J3310" s="444">
        <f t="array" ref="J3310">IFERROR(INDEX('Retirement Calculator'!K:K,MATCH('Lorri 401b'!N3310,'Retirement Calculator'!A:A,0),0),0)</f>
        <v>0</v>
      </c>
      <c r="K3310" s="444">
        <f t="shared" ca="1" si="143"/>
        <v>-2133693453.1774175</v>
      </c>
      <c r="L3310" s="444">
        <f t="shared" ca="1" si="144"/>
        <v>-514220122215.75757</v>
      </c>
      <c r="M3310" s="460">
        <f t="shared" si="146"/>
        <v>0.05</v>
      </c>
      <c r="N3310" s="464">
        <f t="shared" si="147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45"/>
        <v>-514220122215.75757</v>
      </c>
      <c r="J3311" s="444">
        <f t="array" ref="J3311">IFERROR(INDEX('Retirement Calculator'!K:K,MATCH('Lorri 401b'!N3311,'Retirement Calculator'!A:A,0),0),0)</f>
        <v>0</v>
      </c>
      <c r="K3311" s="444">
        <f t="shared" ca="1" si="143"/>
        <v>-2142583842.5656562</v>
      </c>
      <c r="L3311" s="444">
        <f t="shared" ca="1" si="144"/>
        <v>-516362706058.32324</v>
      </c>
      <c r="M3311" s="460">
        <f t="shared" si="146"/>
        <v>0.05</v>
      </c>
      <c r="N3311" s="464">
        <f t="shared" si="147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45"/>
        <v>-516362706058.32324</v>
      </c>
      <c r="J3312" s="444">
        <f t="array" ref="J3312">IFERROR(INDEX('Retirement Calculator'!K:K,MATCH('Lorri 401b'!N3312,'Retirement Calculator'!A:A,0),0),0)</f>
        <v>0</v>
      </c>
      <c r="K3312" s="444">
        <f t="shared" ca="1" si="143"/>
        <v>-2151511275.2430134</v>
      </c>
      <c r="L3312" s="444">
        <f t="shared" ca="1" si="144"/>
        <v>-518514217333.56628</v>
      </c>
      <c r="M3312" s="460">
        <f t="shared" si="146"/>
        <v>0.05</v>
      </c>
      <c r="N3312" s="464">
        <f t="shared" si="147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45"/>
        <v>-518514217333.56628</v>
      </c>
      <c r="J3313" s="444">
        <f t="array" ref="J3313">IFERROR(INDEX('Retirement Calculator'!K:K,MATCH('Lorri 401b'!N3313,'Retirement Calculator'!A:A,0),0),0)</f>
        <v>0</v>
      </c>
      <c r="K3313" s="444">
        <f t="shared" ca="1" si="143"/>
        <v>-2160475905.5565262</v>
      </c>
      <c r="L3313" s="444">
        <f t="shared" ca="1" si="144"/>
        <v>-520674693239.1228</v>
      </c>
      <c r="M3313" s="460">
        <f t="shared" si="146"/>
        <v>0.05</v>
      </c>
      <c r="N3313" s="464">
        <f t="shared" si="147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45"/>
        <v>-520674693239.1228</v>
      </c>
      <c r="J3314" s="444">
        <f t="array" ref="J3314">IFERROR(INDEX('Retirement Calculator'!K:K,MATCH('Lorri 401b'!N3314,'Retirement Calculator'!A:A,0),0),0)</f>
        <v>0</v>
      </c>
      <c r="K3314" s="444">
        <f t="shared" ca="1" si="143"/>
        <v>-2169477888.4963446</v>
      </c>
      <c r="L3314" s="444">
        <f t="shared" ca="1" si="144"/>
        <v>-522844171127.61914</v>
      </c>
      <c r="M3314" s="460">
        <f t="shared" si="146"/>
        <v>0.05</v>
      </c>
      <c r="N3314" s="464">
        <f t="shared" si="147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45"/>
        <v>-522844171127.61914</v>
      </c>
      <c r="J3315" s="444">
        <f t="array" ref="J3315">IFERROR(INDEX('Retirement Calculator'!K:K,MATCH('Lorri 401b'!N3315,'Retirement Calculator'!A:A,0),0),0)</f>
        <v>0</v>
      </c>
      <c r="K3315" s="444">
        <f t="shared" ca="1" si="143"/>
        <v>-2178517379.6984134</v>
      </c>
      <c r="L3315" s="444">
        <f t="shared" ca="1" si="144"/>
        <v>-525022688507.31757</v>
      </c>
      <c r="M3315" s="460">
        <f t="shared" si="146"/>
        <v>0.05</v>
      </c>
      <c r="N3315" s="464">
        <f t="shared" si="147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45"/>
        <v>-525022688507.31757</v>
      </c>
      <c r="J3316" s="444">
        <f t="array" ref="J3316">IFERROR(INDEX('Retirement Calculator'!K:K,MATCH('Lorri 401b'!N3316,'Retirement Calculator'!A:A,0),0),0)</f>
        <v>0</v>
      </c>
      <c r="K3316" s="444">
        <f t="shared" ca="1" si="143"/>
        <v>-2187594535.4471564</v>
      </c>
      <c r="L3316" s="444">
        <f t="shared" ca="1" si="144"/>
        <v>-527210283042.76471</v>
      </c>
      <c r="M3316" s="460">
        <f t="shared" si="146"/>
        <v>0.05</v>
      </c>
      <c r="N3316" s="464">
        <f t="shared" si="147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45"/>
        <v>-527210283042.76471</v>
      </c>
      <c r="J3317" s="444">
        <f t="array" ref="J3317">IFERROR(INDEX('Retirement Calculator'!K:K,MATCH('Lorri 401b'!N3317,'Retirement Calculator'!A:A,0),0),0)</f>
        <v>0</v>
      </c>
      <c r="K3317" s="444">
        <f t="shared" ca="1" si="143"/>
        <v>-2196709512.6781864</v>
      </c>
      <c r="L3317" s="444">
        <f t="shared" ca="1" si="144"/>
        <v>-529406992555.44287</v>
      </c>
      <c r="M3317" s="460">
        <f t="shared" si="146"/>
        <v>0.05</v>
      </c>
      <c r="N3317" s="464">
        <f t="shared" si="147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45"/>
        <v>-529406992555.44287</v>
      </c>
      <c r="J3318" s="444">
        <f t="array" ref="J3318">IFERROR(INDEX('Retirement Calculator'!K:K,MATCH('Lorri 401b'!N3318,'Retirement Calculator'!A:A,0),0),0)</f>
        <v>0</v>
      </c>
      <c r="K3318" s="444">
        <f t="shared" ca="1" si="143"/>
        <v>-2205862468.9810119</v>
      </c>
      <c r="L3318" s="444">
        <f t="shared" ca="1" si="144"/>
        <v>-531612855024.42389</v>
      </c>
      <c r="M3318" s="460">
        <f t="shared" si="146"/>
        <v>0.05</v>
      </c>
      <c r="N3318" s="464">
        <f t="shared" si="147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45"/>
        <v>-531612855024.42389</v>
      </c>
      <c r="J3319" s="444">
        <f t="array" ref="J3319">IFERROR(INDEX('Retirement Calculator'!K:K,MATCH('Lorri 401b'!N3319,'Retirement Calculator'!A:A,0),0),0)</f>
        <v>0</v>
      </c>
      <c r="K3319" s="444">
        <f t="shared" ca="1" si="143"/>
        <v>-2215053562.6017661</v>
      </c>
      <c r="L3319" s="444">
        <f t="shared" ca="1" si="144"/>
        <v>-533827908587.02563</v>
      </c>
      <c r="M3319" s="460">
        <f t="shared" si="146"/>
        <v>0.05</v>
      </c>
      <c r="N3319" s="464">
        <f t="shared" si="147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45"/>
        <v>-533827908587.02563</v>
      </c>
      <c r="J3320" s="444">
        <f t="array" ref="J3320">IFERROR(INDEX('Retirement Calculator'!K:K,MATCH('Lorri 401b'!N3320,'Retirement Calculator'!A:A,0),0),0)</f>
        <v>0</v>
      </c>
      <c r="K3320" s="444">
        <f t="shared" ca="1" si="143"/>
        <v>-2224282952.44594</v>
      </c>
      <c r="L3320" s="444">
        <f t="shared" ca="1" si="144"/>
        <v>-536052191539.47156</v>
      </c>
      <c r="M3320" s="460">
        <f t="shared" si="146"/>
        <v>0.05</v>
      </c>
      <c r="N3320" s="464">
        <f t="shared" si="147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45"/>
        <v>-536052191539.47156</v>
      </c>
      <c r="J3321" s="444">
        <f t="array" ref="J3321">IFERROR(INDEX('Retirement Calculator'!K:K,MATCH('Lorri 401b'!N3321,'Retirement Calculator'!A:A,0),0),0)</f>
        <v>0</v>
      </c>
      <c r="K3321" s="444">
        <f t="shared" ca="1" si="143"/>
        <v>-2233550798.0811315</v>
      </c>
      <c r="L3321" s="444">
        <f t="shared" ca="1" si="144"/>
        <v>-538285742337.55267</v>
      </c>
      <c r="M3321" s="460">
        <f t="shared" si="146"/>
        <v>0.05</v>
      </c>
      <c r="N3321" s="464">
        <f t="shared" si="147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45"/>
        <v>-538285742337.55267</v>
      </c>
      <c r="J3322" s="444">
        <f t="array" ref="J3322">IFERROR(INDEX('Retirement Calculator'!K:K,MATCH('Lorri 401b'!N3322,'Retirement Calculator'!A:A,0),0),0)</f>
        <v>0</v>
      </c>
      <c r="K3322" s="444">
        <f t="shared" ca="1" si="143"/>
        <v>-2242857259.7398028</v>
      </c>
      <c r="L3322" s="444">
        <f t="shared" ca="1" si="144"/>
        <v>-540528599597.29248</v>
      </c>
      <c r="M3322" s="460">
        <f t="shared" si="146"/>
        <v>0.05</v>
      </c>
      <c r="N3322" s="464">
        <f t="shared" si="147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45"/>
        <v>-540528599597.29248</v>
      </c>
      <c r="J3323" s="444">
        <f t="array" ref="J3323">IFERROR(INDEX('Retirement Calculator'!K:K,MATCH('Lorri 401b'!N3323,'Retirement Calculator'!A:A,0),0),0)</f>
        <v>0</v>
      </c>
      <c r="K3323" s="444">
        <f t="shared" ref="K3323:K3577" ca="1" si="148">IPMT(M3323/12,1,12,-I3323+J3323,,0)</f>
        <v>-2252202498.322052</v>
      </c>
      <c r="L3323" s="444">
        <f t="shared" ref="L3323:L3577" ca="1" si="149">I3323-J3323+K3323</f>
        <v>-542780802095.6145</v>
      </c>
      <c r="M3323" s="460">
        <f t="shared" si="146"/>
        <v>0.05</v>
      </c>
      <c r="N3323" s="464">
        <f t="shared" si="147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50">L3323</f>
        <v>-542780802095.6145</v>
      </c>
      <c r="J3324" s="444">
        <f t="array" ref="J3324">IFERROR(INDEX('Retirement Calculator'!K:K,MATCH('Lorri 401b'!N3324,'Retirement Calculator'!A:A,0),0),0)</f>
        <v>0</v>
      </c>
      <c r="K3324" s="444">
        <f t="shared" ca="1" si="148"/>
        <v>-2261586675.3983936</v>
      </c>
      <c r="L3324" s="444">
        <f t="shared" ca="1" si="149"/>
        <v>-545042388771.01288</v>
      </c>
      <c r="M3324" s="460">
        <f t="shared" ref="M3324:M3578" si="151">M3323</f>
        <v>0.05</v>
      </c>
      <c r="N3324" s="464">
        <f t="shared" ref="N3324:N3578" si="152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50"/>
        <v>-545042388771.01288</v>
      </c>
      <c r="J3325" s="444">
        <f t="array" ref="J3325">IFERROR(INDEX('Retirement Calculator'!K:K,MATCH('Lorri 401b'!N3325,'Retirement Calculator'!A:A,0),0),0)</f>
        <v>0</v>
      </c>
      <c r="K3325" s="444">
        <f t="shared" ca="1" si="148"/>
        <v>-2271009953.2125535</v>
      </c>
      <c r="L3325" s="444">
        <f t="shared" ca="1" si="149"/>
        <v>-547313398724.2254</v>
      </c>
      <c r="M3325" s="460">
        <f t="shared" si="151"/>
        <v>0.05</v>
      </c>
      <c r="N3325" s="464">
        <f t="shared" si="152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50"/>
        <v>-547313398724.2254</v>
      </c>
      <c r="J3326" s="444">
        <f t="array" ref="J3326">IFERROR(INDEX('Retirement Calculator'!K:K,MATCH('Lorri 401b'!N3326,'Retirement Calculator'!A:A,0),0),0)</f>
        <v>0</v>
      </c>
      <c r="K3326" s="444">
        <f t="shared" ca="1" si="148"/>
        <v>-2280472494.6842723</v>
      </c>
      <c r="L3326" s="444">
        <f t="shared" ca="1" si="149"/>
        <v>-549593871218.90967</v>
      </c>
      <c r="M3326" s="460">
        <f t="shared" si="151"/>
        <v>0.05</v>
      </c>
      <c r="N3326" s="464">
        <f t="shared" si="152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50"/>
        <v>-549593871218.90967</v>
      </c>
      <c r="J3327" s="444">
        <f t="array" ref="J3327">IFERROR(INDEX('Retirement Calculator'!K:K,MATCH('Lorri 401b'!N3327,'Retirement Calculator'!A:A,0),0),0)</f>
        <v>0</v>
      </c>
      <c r="K3327" s="444">
        <f t="shared" ca="1" si="148"/>
        <v>-2289974463.4121237</v>
      </c>
      <c r="L3327" s="444">
        <f t="shared" ca="1" si="149"/>
        <v>-551883845682.32178</v>
      </c>
      <c r="M3327" s="460">
        <f t="shared" si="151"/>
        <v>0.05</v>
      </c>
      <c r="N3327" s="464">
        <f t="shared" si="152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50"/>
        <v>-551883845682.32178</v>
      </c>
      <c r="J3328" s="444">
        <f t="array" ref="J3328">IFERROR(INDEX('Retirement Calculator'!K:K,MATCH('Lorri 401b'!N3328,'Retirement Calculator'!A:A,0),0),0)</f>
        <v>0</v>
      </c>
      <c r="K3328" s="444">
        <f t="shared" ca="1" si="148"/>
        <v>-2299516023.6763406</v>
      </c>
      <c r="L3328" s="444">
        <f t="shared" ca="1" si="149"/>
        <v>-554183361705.99817</v>
      </c>
      <c r="M3328" s="460">
        <f t="shared" si="151"/>
        <v>0.05</v>
      </c>
      <c r="N3328" s="464">
        <f t="shared" si="152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50"/>
        <v>-554183361705.99817</v>
      </c>
      <c r="J3329" s="444">
        <f t="array" ref="J3329">IFERROR(INDEX('Retirement Calculator'!K:K,MATCH('Lorri 401b'!N3329,'Retirement Calculator'!A:A,0),0),0)</f>
        <v>0</v>
      </c>
      <c r="K3329" s="444">
        <f t="shared" ca="1" si="148"/>
        <v>-2309097340.441659</v>
      </c>
      <c r="L3329" s="444">
        <f t="shared" ca="1" si="149"/>
        <v>-556492459046.43982</v>
      </c>
      <c r="M3329" s="460">
        <f t="shared" si="151"/>
        <v>0.05</v>
      </c>
      <c r="N3329" s="464">
        <f t="shared" si="152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50"/>
        <v>-556492459046.43982</v>
      </c>
      <c r="J3330" s="444">
        <f t="array" ref="J3330">IFERROR(INDEX('Retirement Calculator'!K:K,MATCH('Lorri 401b'!N3330,'Retirement Calculator'!A:A,0),0),0)</f>
        <v>0</v>
      </c>
      <c r="K3330" s="444">
        <f t="shared" ca="1" si="148"/>
        <v>-2318718579.3601661</v>
      </c>
      <c r="L3330" s="444">
        <f t="shared" ca="1" si="149"/>
        <v>-558811177625.79993</v>
      </c>
      <c r="M3330" s="460">
        <f t="shared" si="151"/>
        <v>0.05</v>
      </c>
      <c r="N3330" s="464">
        <f t="shared" si="152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50"/>
        <v>-558811177625.79993</v>
      </c>
      <c r="J3331" s="444">
        <f t="array" ref="J3331">IFERROR(INDEX('Retirement Calculator'!K:K,MATCH('Lorri 401b'!N3331,'Retirement Calculator'!A:A,0),0),0)</f>
        <v>0</v>
      </c>
      <c r="K3331" s="444">
        <f t="shared" ca="1" si="148"/>
        <v>-2328379906.7741661</v>
      </c>
      <c r="L3331" s="444">
        <f t="shared" ca="1" si="149"/>
        <v>-561139557532.5741</v>
      </c>
      <c r="M3331" s="460">
        <f t="shared" si="151"/>
        <v>0.05</v>
      </c>
      <c r="N3331" s="464">
        <f t="shared" si="152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50"/>
        <v>-561139557532.5741</v>
      </c>
      <c r="J3332" s="444">
        <f t="array" ref="J3332">IFERROR(INDEX('Retirement Calculator'!K:K,MATCH('Lorri 401b'!N3332,'Retirement Calculator'!A:A,0),0),0)</f>
        <v>0</v>
      </c>
      <c r="K3332" s="444">
        <f t="shared" ca="1" si="148"/>
        <v>-2338081489.7190585</v>
      </c>
      <c r="L3332" s="444">
        <f t="shared" ca="1" si="149"/>
        <v>-563477639022.29321</v>
      </c>
      <c r="M3332" s="460">
        <f t="shared" si="151"/>
        <v>0.05</v>
      </c>
      <c r="N3332" s="464">
        <f t="shared" si="152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50"/>
        <v>-563477639022.29321</v>
      </c>
      <c r="J3333" s="444">
        <f t="array" ref="J3333">IFERROR(INDEX('Retirement Calculator'!K:K,MATCH('Lorri 401b'!N3333,'Retirement Calculator'!A:A,0),0),0)</f>
        <v>0</v>
      </c>
      <c r="K3333" s="444">
        <f t="shared" ca="1" si="148"/>
        <v>-2347823495.9262218</v>
      </c>
      <c r="L3333" s="444">
        <f t="shared" ca="1" si="149"/>
        <v>-565825462518.21948</v>
      </c>
      <c r="M3333" s="460">
        <f t="shared" si="151"/>
        <v>0.05</v>
      </c>
      <c r="N3333" s="464">
        <f t="shared" si="152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50"/>
        <v>-565825462518.21948</v>
      </c>
      <c r="J3334" s="444">
        <f t="array" ref="J3334">IFERROR(INDEX('Retirement Calculator'!K:K,MATCH('Lorri 401b'!N3334,'Retirement Calculator'!A:A,0),0),0)</f>
        <v>0</v>
      </c>
      <c r="K3334" s="444">
        <f t="shared" ca="1" si="148"/>
        <v>-2357606093.8259144</v>
      </c>
      <c r="L3334" s="444">
        <f t="shared" ca="1" si="149"/>
        <v>-568183068612.04541</v>
      </c>
      <c r="M3334" s="460">
        <f t="shared" si="151"/>
        <v>0.05</v>
      </c>
      <c r="N3334" s="464">
        <f t="shared" si="152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50"/>
        <v>-568183068612.04541</v>
      </c>
      <c r="J3335" s="444">
        <f t="array" ref="J3335">IFERROR(INDEX('Retirement Calculator'!K:K,MATCH('Lorri 401b'!N3335,'Retirement Calculator'!A:A,0),0),0)</f>
        <v>0</v>
      </c>
      <c r="K3335" s="444">
        <f t="shared" ca="1" si="148"/>
        <v>-2367429452.550189</v>
      </c>
      <c r="L3335" s="444">
        <f t="shared" ca="1" si="149"/>
        <v>-570550498064.59558</v>
      </c>
      <c r="M3335" s="460">
        <f t="shared" si="151"/>
        <v>0.05</v>
      </c>
      <c r="N3335" s="464">
        <f t="shared" si="152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50"/>
        <v>-570550498064.59558</v>
      </c>
      <c r="J3336" s="444">
        <f t="array" ref="J3336">IFERROR(INDEX('Retirement Calculator'!K:K,MATCH('Lorri 401b'!N3336,'Retirement Calculator'!A:A,0),0),0)</f>
        <v>0</v>
      </c>
      <c r="K3336" s="444">
        <f t="shared" ca="1" si="148"/>
        <v>-2377293741.9358149</v>
      </c>
      <c r="L3336" s="444">
        <f t="shared" ca="1" si="149"/>
        <v>-572927791806.53137</v>
      </c>
      <c r="M3336" s="460">
        <f t="shared" si="151"/>
        <v>0.05</v>
      </c>
      <c r="N3336" s="464">
        <f t="shared" si="152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50"/>
        <v>-572927791806.53137</v>
      </c>
      <c r="J3337" s="444">
        <f t="array" ref="J3337">IFERROR(INDEX('Retirement Calculator'!K:K,MATCH('Lorri 401b'!N3337,'Retirement Calculator'!A:A,0),0),0)</f>
        <v>0</v>
      </c>
      <c r="K3337" s="444">
        <f t="shared" ca="1" si="148"/>
        <v>-2387199132.5272141</v>
      </c>
      <c r="L3337" s="444">
        <f t="shared" ca="1" si="149"/>
        <v>-575314990939.05859</v>
      </c>
      <c r="M3337" s="460">
        <f t="shared" si="151"/>
        <v>0.05</v>
      </c>
      <c r="N3337" s="464">
        <f t="shared" si="152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50"/>
        <v>-575314990939.05859</v>
      </c>
      <c r="J3338" s="444">
        <f t="array" ref="J3338">IFERROR(INDEX('Retirement Calculator'!K:K,MATCH('Lorri 401b'!N3338,'Retirement Calculator'!A:A,0),0),0)</f>
        <v>0</v>
      </c>
      <c r="K3338" s="444">
        <f t="shared" ca="1" si="148"/>
        <v>-2397145795.5794106</v>
      </c>
      <c r="L3338" s="444">
        <f t="shared" ca="1" si="149"/>
        <v>-577712136734.63806</v>
      </c>
      <c r="M3338" s="460">
        <f t="shared" si="151"/>
        <v>0.05</v>
      </c>
      <c r="N3338" s="464">
        <f t="shared" si="152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50"/>
        <v>-577712136734.63806</v>
      </c>
      <c r="J3339" s="444">
        <f t="array" ref="J3339">IFERROR(INDEX('Retirement Calculator'!K:K,MATCH('Lorri 401b'!N3339,'Retirement Calculator'!A:A,0),0),0)</f>
        <v>0</v>
      </c>
      <c r="K3339" s="444">
        <f t="shared" ca="1" si="148"/>
        <v>-2407133903.0609918</v>
      </c>
      <c r="L3339" s="444">
        <f t="shared" ca="1" si="149"/>
        <v>-580119270637.6991</v>
      </c>
      <c r="M3339" s="460">
        <f t="shared" si="151"/>
        <v>0.05</v>
      </c>
      <c r="N3339" s="464">
        <f t="shared" si="152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50"/>
        <v>-580119270637.6991</v>
      </c>
      <c r="J3340" s="444">
        <f t="array" ref="J3340">IFERROR(INDEX('Retirement Calculator'!K:K,MATCH('Lorri 401b'!N3340,'Retirement Calculator'!A:A,0),0),0)</f>
        <v>0</v>
      </c>
      <c r="K3340" s="444">
        <f t="shared" ca="1" si="148"/>
        <v>-2417163627.6570797</v>
      </c>
      <c r="L3340" s="444">
        <f t="shared" ca="1" si="149"/>
        <v>-582536434265.3562</v>
      </c>
      <c r="M3340" s="460">
        <f t="shared" si="151"/>
        <v>0.05</v>
      </c>
      <c r="N3340" s="464">
        <f t="shared" si="152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50"/>
        <v>-582536434265.3562</v>
      </c>
      <c r="J3341" s="444">
        <f t="array" ref="J3341">IFERROR(INDEX('Retirement Calculator'!K:K,MATCH('Lorri 401b'!N3341,'Retirement Calculator'!A:A,0),0),0)</f>
        <v>0</v>
      </c>
      <c r="K3341" s="444">
        <f t="shared" ca="1" si="148"/>
        <v>-2427235142.7723174</v>
      </c>
      <c r="L3341" s="444">
        <f t="shared" ca="1" si="149"/>
        <v>-584963669408.12854</v>
      </c>
      <c r="M3341" s="460">
        <f t="shared" si="151"/>
        <v>0.05</v>
      </c>
      <c r="N3341" s="464">
        <f t="shared" si="152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50"/>
        <v>-584963669408.12854</v>
      </c>
      <c r="J3342" s="444">
        <f t="array" ref="J3342">IFERROR(INDEX('Retirement Calculator'!K:K,MATCH('Lorri 401b'!N3342,'Retirement Calculator'!A:A,0),0),0)</f>
        <v>0</v>
      </c>
      <c r="K3342" s="444">
        <f t="shared" ca="1" si="148"/>
        <v>-2437348622.5338688</v>
      </c>
      <c r="L3342" s="444">
        <f t="shared" ca="1" si="149"/>
        <v>-587401018030.66235</v>
      </c>
      <c r="M3342" s="460">
        <f t="shared" si="151"/>
        <v>0.05</v>
      </c>
      <c r="N3342" s="464">
        <f t="shared" si="152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50"/>
        <v>-587401018030.66235</v>
      </c>
      <c r="J3343" s="444">
        <f t="array" ref="J3343">IFERROR(INDEX('Retirement Calculator'!K:K,MATCH('Lorri 401b'!N3343,'Retirement Calculator'!A:A,0),0),0)</f>
        <v>0</v>
      </c>
      <c r="K3343" s="444">
        <f t="shared" ca="1" si="148"/>
        <v>-2447504241.7944264</v>
      </c>
      <c r="L3343" s="444">
        <f t="shared" ca="1" si="149"/>
        <v>-589848522272.45679</v>
      </c>
      <c r="M3343" s="460">
        <f t="shared" si="151"/>
        <v>0.05</v>
      </c>
      <c r="N3343" s="464">
        <f t="shared" si="152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50"/>
        <v>-589848522272.45679</v>
      </c>
      <c r="J3344" s="444">
        <f t="array" ref="J3344">IFERROR(INDEX('Retirement Calculator'!K:K,MATCH('Lorri 401b'!N3344,'Retirement Calculator'!A:A,0),0),0)</f>
        <v>0</v>
      </c>
      <c r="K3344" s="444">
        <f t="shared" ca="1" si="148"/>
        <v>-2457702176.1352367</v>
      </c>
      <c r="L3344" s="444">
        <f t="shared" ca="1" si="149"/>
        <v>-592306224448.59204</v>
      </c>
      <c r="M3344" s="460">
        <f t="shared" si="151"/>
        <v>0.05</v>
      </c>
      <c r="N3344" s="464">
        <f t="shared" si="152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50"/>
        <v>-592306224448.59204</v>
      </c>
      <c r="J3345" s="444">
        <f t="array" ref="J3345">IFERROR(INDEX('Retirement Calculator'!K:K,MATCH('Lorri 401b'!N3345,'Retirement Calculator'!A:A,0),0),0)</f>
        <v>0</v>
      </c>
      <c r="K3345" s="444">
        <f t="shared" ca="1" si="148"/>
        <v>-2467942601.8691335</v>
      </c>
      <c r="L3345" s="444">
        <f t="shared" ca="1" si="149"/>
        <v>-594774167050.46118</v>
      </c>
      <c r="M3345" s="460">
        <f t="shared" si="151"/>
        <v>0.05</v>
      </c>
      <c r="N3345" s="464">
        <f t="shared" si="152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50"/>
        <v>-594774167050.46118</v>
      </c>
      <c r="J3346" s="444">
        <f t="array" ref="J3346">IFERROR(INDEX('Retirement Calculator'!K:K,MATCH('Lorri 401b'!N3346,'Retirement Calculator'!A:A,0),0),0)</f>
        <v>0</v>
      </c>
      <c r="K3346" s="444">
        <f t="shared" ca="1" si="148"/>
        <v>-2478225696.0435882</v>
      </c>
      <c r="L3346" s="444">
        <f t="shared" ca="1" si="149"/>
        <v>-597252392746.50476</v>
      </c>
      <c r="M3346" s="460">
        <f t="shared" si="151"/>
        <v>0.05</v>
      </c>
      <c r="N3346" s="464">
        <f t="shared" si="152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50"/>
        <v>-597252392746.50476</v>
      </c>
      <c r="J3347" s="444">
        <f t="array" ref="J3347">IFERROR(INDEX('Retirement Calculator'!K:K,MATCH('Lorri 401b'!N3347,'Retirement Calculator'!A:A,0),0),0)</f>
        <v>0</v>
      </c>
      <c r="K3347" s="444">
        <f t="shared" ca="1" si="148"/>
        <v>-2488551636.4437699</v>
      </c>
      <c r="L3347" s="444">
        <f t="shared" ca="1" si="149"/>
        <v>-599740944382.94849</v>
      </c>
      <c r="M3347" s="460">
        <f t="shared" si="151"/>
        <v>0.05</v>
      </c>
      <c r="N3347" s="464">
        <f t="shared" si="152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50"/>
        <v>-599740944382.94849</v>
      </c>
      <c r="J3348" s="444">
        <f t="array" ref="J3348">IFERROR(INDEX('Retirement Calculator'!K:K,MATCH('Lorri 401b'!N3348,'Retirement Calculator'!A:A,0),0),0)</f>
        <v>0</v>
      </c>
      <c r="K3348" s="444">
        <f t="shared" ca="1" si="148"/>
        <v>-2498920601.5956187</v>
      </c>
      <c r="L3348" s="444">
        <f t="shared" ca="1" si="149"/>
        <v>-602239864984.54407</v>
      </c>
      <c r="M3348" s="460">
        <f t="shared" si="151"/>
        <v>0.05</v>
      </c>
      <c r="N3348" s="464">
        <f t="shared" si="152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50"/>
        <v>-602239864984.54407</v>
      </c>
      <c r="J3349" s="444">
        <f t="array" ref="J3349">IFERROR(INDEX('Retirement Calculator'!K:K,MATCH('Lorri 401b'!N3349,'Retirement Calculator'!A:A,0),0),0)</f>
        <v>0</v>
      </c>
      <c r="K3349" s="444">
        <f t="shared" ca="1" si="148"/>
        <v>-2509332770.7689338</v>
      </c>
      <c r="L3349" s="444">
        <f t="shared" ca="1" si="149"/>
        <v>-604749197755.31299</v>
      </c>
      <c r="M3349" s="460">
        <f t="shared" si="151"/>
        <v>0.05</v>
      </c>
      <c r="N3349" s="464">
        <f t="shared" si="152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50"/>
        <v>-604749197755.31299</v>
      </c>
      <c r="J3350" s="444">
        <f t="array" ref="J3350">IFERROR(INDEX('Retirement Calculator'!K:K,MATCH('Lorri 401b'!N3350,'Retirement Calculator'!A:A,0),0),0)</f>
        <v>0</v>
      </c>
      <c r="K3350" s="444">
        <f t="shared" ca="1" si="148"/>
        <v>-2519788323.9804707</v>
      </c>
      <c r="L3350" s="444">
        <f t="shared" ca="1" si="149"/>
        <v>-607268986079.29346</v>
      </c>
      <c r="M3350" s="460">
        <f t="shared" si="151"/>
        <v>0.05</v>
      </c>
      <c r="N3350" s="464">
        <f t="shared" si="152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50"/>
        <v>-607268986079.29346</v>
      </c>
      <c r="J3351" s="444">
        <f t="array" ref="J3351">IFERROR(INDEX('Retirement Calculator'!K:K,MATCH('Lorri 401b'!N3351,'Retirement Calculator'!A:A,0),0),0)</f>
        <v>0</v>
      </c>
      <c r="K3351" s="444">
        <f t="shared" ca="1" si="148"/>
        <v>-2530287441.997056</v>
      </c>
      <c r="L3351" s="444">
        <f t="shared" ca="1" si="149"/>
        <v>-609799273521.29053</v>
      </c>
      <c r="M3351" s="460">
        <f t="shared" si="151"/>
        <v>0.05</v>
      </c>
      <c r="N3351" s="464">
        <f t="shared" si="152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50"/>
        <v>-609799273521.29053</v>
      </c>
      <c r="J3352" s="444">
        <f t="array" ref="J3352">IFERROR(INDEX('Retirement Calculator'!K:K,MATCH('Lorri 401b'!N3352,'Retirement Calculator'!A:A,0),0),0)</f>
        <v>0</v>
      </c>
      <c r="K3352" s="444">
        <f t="shared" ca="1" si="148"/>
        <v>-2540830306.3387103</v>
      </c>
      <c r="L3352" s="444">
        <f t="shared" ca="1" si="149"/>
        <v>-612340103827.62927</v>
      </c>
      <c r="M3352" s="460">
        <f t="shared" si="151"/>
        <v>0.05</v>
      </c>
      <c r="N3352" s="464">
        <f t="shared" si="152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50"/>
        <v>-612340103827.62927</v>
      </c>
      <c r="J3353" s="444">
        <f t="array" ref="J3353">IFERROR(INDEX('Retirement Calculator'!K:K,MATCH('Lorri 401b'!N3353,'Retirement Calculator'!A:A,0),0),0)</f>
        <v>0</v>
      </c>
      <c r="K3353" s="444">
        <f t="shared" ca="1" si="148"/>
        <v>-2551417099.2817888</v>
      </c>
      <c r="L3353" s="444">
        <f t="shared" ca="1" si="149"/>
        <v>-614891520926.91101</v>
      </c>
      <c r="M3353" s="460">
        <f t="shared" si="151"/>
        <v>0.05</v>
      </c>
      <c r="N3353" s="464">
        <f t="shared" si="152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50"/>
        <v>-614891520926.91101</v>
      </c>
      <c r="J3354" s="444">
        <f t="array" ref="J3354">IFERROR(INDEX('Retirement Calculator'!K:K,MATCH('Lorri 401b'!N3354,'Retirement Calculator'!A:A,0),0),0)</f>
        <v>0</v>
      </c>
      <c r="K3354" s="444">
        <f t="shared" ca="1" si="148"/>
        <v>-2562048003.8621292</v>
      </c>
      <c r="L3354" s="444">
        <f t="shared" ca="1" si="149"/>
        <v>-617453568930.77319</v>
      </c>
      <c r="M3354" s="460">
        <f t="shared" si="151"/>
        <v>0.05</v>
      </c>
      <c r="N3354" s="464">
        <f t="shared" si="152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50"/>
        <v>-617453568930.77319</v>
      </c>
      <c r="J3355" s="444">
        <f t="array" ref="J3355">IFERROR(INDEX('Retirement Calculator'!K:K,MATCH('Lorri 401b'!N3355,'Retirement Calculator'!A:A,0),0),0)</f>
        <v>0</v>
      </c>
      <c r="K3355" s="444">
        <f t="shared" ca="1" si="148"/>
        <v>-2572723203.8782215</v>
      </c>
      <c r="L3355" s="444">
        <f t="shared" ca="1" si="149"/>
        <v>-620026292134.65137</v>
      </c>
      <c r="M3355" s="460">
        <f t="shared" si="151"/>
        <v>0.05</v>
      </c>
      <c r="N3355" s="464">
        <f t="shared" si="152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50"/>
        <v>-620026292134.65137</v>
      </c>
      <c r="J3356" s="444">
        <f t="array" ref="J3356">IFERROR(INDEX('Retirement Calculator'!K:K,MATCH('Lorri 401b'!N3356,'Retirement Calculator'!A:A,0),0),0)</f>
        <v>0</v>
      </c>
      <c r="K3356" s="444">
        <f t="shared" ca="1" si="148"/>
        <v>-2583442883.8943806</v>
      </c>
      <c r="L3356" s="444">
        <f t="shared" ca="1" si="149"/>
        <v>-622609735018.54578</v>
      </c>
      <c r="M3356" s="460">
        <f t="shared" si="151"/>
        <v>0.05</v>
      </c>
      <c r="N3356" s="464">
        <f t="shared" si="152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50"/>
        <v>-622609735018.54578</v>
      </c>
      <c r="J3357" s="444">
        <f t="array" ref="J3357">IFERROR(INDEX('Retirement Calculator'!K:K,MATCH('Lorri 401b'!N3357,'Retirement Calculator'!A:A,0),0),0)</f>
        <v>0</v>
      </c>
      <c r="K3357" s="444">
        <f t="shared" ca="1" si="148"/>
        <v>-2594207229.2439408</v>
      </c>
      <c r="L3357" s="444">
        <f t="shared" ca="1" si="149"/>
        <v>-625203942247.78967</v>
      </c>
      <c r="M3357" s="460">
        <f t="shared" si="151"/>
        <v>0.05</v>
      </c>
      <c r="N3357" s="464">
        <f t="shared" si="152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50"/>
        <v>-625203942247.78967</v>
      </c>
      <c r="J3358" s="444">
        <f t="array" ref="J3358">IFERROR(INDEX('Retirement Calculator'!K:K,MATCH('Lorri 401b'!N3358,'Retirement Calculator'!A:A,0),0),0)</f>
        <v>0</v>
      </c>
      <c r="K3358" s="444">
        <f t="shared" ca="1" si="148"/>
        <v>-2605016426.0324569</v>
      </c>
      <c r="L3358" s="444">
        <f t="shared" ca="1" si="149"/>
        <v>-627808958673.82214</v>
      </c>
      <c r="M3358" s="460">
        <f t="shared" si="151"/>
        <v>0.05</v>
      </c>
      <c r="N3358" s="464">
        <f t="shared" si="152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50"/>
        <v>-627808958673.82214</v>
      </c>
      <c r="J3359" s="444">
        <f t="array" ref="J3359">IFERROR(INDEX('Retirement Calculator'!K:K,MATCH('Lorri 401b'!N3359,'Retirement Calculator'!A:A,0),0),0)</f>
        <v>0</v>
      </c>
      <c r="K3359" s="444">
        <f t="shared" ca="1" si="148"/>
        <v>-2615870661.1409254</v>
      </c>
      <c r="L3359" s="444">
        <f t="shared" ca="1" si="149"/>
        <v>-630424829334.96301</v>
      </c>
      <c r="M3359" s="460">
        <f t="shared" si="151"/>
        <v>0.05</v>
      </c>
      <c r="N3359" s="464">
        <f t="shared" si="152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50"/>
        <v>-630424829334.96301</v>
      </c>
      <c r="J3360" s="444">
        <f t="array" ref="J3360">IFERROR(INDEX('Retirement Calculator'!K:K,MATCH('Lorri 401b'!N3360,'Retirement Calculator'!A:A,0),0),0)</f>
        <v>0</v>
      </c>
      <c r="K3360" s="444">
        <f t="shared" ca="1" si="148"/>
        <v>-2626770122.2290125</v>
      </c>
      <c r="L3360" s="444">
        <f t="shared" ca="1" si="149"/>
        <v>-633051599457.19202</v>
      </c>
      <c r="M3360" s="460">
        <f t="shared" si="151"/>
        <v>0.05</v>
      </c>
      <c r="N3360" s="464">
        <f t="shared" si="152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50"/>
        <v>-633051599457.19202</v>
      </c>
      <c r="J3361" s="444">
        <f t="array" ref="J3361">IFERROR(INDEX('Retirement Calculator'!K:K,MATCH('Lorri 401b'!N3361,'Retirement Calculator'!A:A,0),0),0)</f>
        <v>0</v>
      </c>
      <c r="K3361" s="444">
        <f t="shared" ca="1" si="148"/>
        <v>-2637714997.7382998</v>
      </c>
      <c r="L3361" s="444">
        <f t="shared" ca="1" si="149"/>
        <v>-635689314454.9303</v>
      </c>
      <c r="M3361" s="460">
        <f t="shared" si="151"/>
        <v>0.05</v>
      </c>
      <c r="N3361" s="464">
        <f t="shared" si="152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50"/>
        <v>-635689314454.9303</v>
      </c>
      <c r="J3362" s="444">
        <f t="array" ref="J3362">IFERROR(INDEX('Retirement Calculator'!K:K,MATCH('Lorri 401b'!N3362,'Retirement Calculator'!A:A,0),0),0)</f>
        <v>0</v>
      </c>
      <c r="K3362" s="444">
        <f t="shared" ca="1" si="148"/>
        <v>-2648705476.8955431</v>
      </c>
      <c r="L3362" s="444">
        <f t="shared" ca="1" si="149"/>
        <v>-638338019931.82581</v>
      </c>
      <c r="M3362" s="460">
        <f t="shared" si="151"/>
        <v>0.05</v>
      </c>
      <c r="N3362" s="464">
        <f t="shared" si="152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50"/>
        <v>-638338019931.82581</v>
      </c>
      <c r="J3363" s="444">
        <f t="array" ref="J3363">IFERROR(INDEX('Retirement Calculator'!K:K,MATCH('Lorri 401b'!N3363,'Retirement Calculator'!A:A,0),0),0)</f>
        <v>0</v>
      </c>
      <c r="K3363" s="444">
        <f t="shared" ca="1" si="148"/>
        <v>-2659741749.715941</v>
      </c>
      <c r="L3363" s="444">
        <f t="shared" ca="1" si="149"/>
        <v>-640997761681.54175</v>
      </c>
      <c r="M3363" s="460">
        <f t="shared" si="151"/>
        <v>0.05</v>
      </c>
      <c r="N3363" s="464">
        <f t="shared" si="152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50"/>
        <v>-640997761681.54175</v>
      </c>
      <c r="J3364" s="444">
        <f t="array" ref="J3364">IFERROR(INDEX('Retirement Calculator'!K:K,MATCH('Lorri 401b'!N3364,'Retirement Calculator'!A:A,0),0),0)</f>
        <v>0</v>
      </c>
      <c r="K3364" s="444">
        <f t="shared" ca="1" si="148"/>
        <v>-2670824007.006424</v>
      </c>
      <c r="L3364" s="444">
        <f t="shared" ca="1" si="149"/>
        <v>-643668585688.54822</v>
      </c>
      <c r="M3364" s="460">
        <f t="shared" si="151"/>
        <v>0.05</v>
      </c>
      <c r="N3364" s="464">
        <f t="shared" si="152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50"/>
        <v>-643668585688.54822</v>
      </c>
      <c r="J3365" s="444">
        <f t="array" ref="J3365">IFERROR(INDEX('Retirement Calculator'!K:K,MATCH('Lorri 401b'!N3365,'Retirement Calculator'!A:A,0),0),0)</f>
        <v>0</v>
      </c>
      <c r="K3365" s="444">
        <f t="shared" ca="1" si="148"/>
        <v>-2681952440.3689508</v>
      </c>
      <c r="L3365" s="444">
        <f t="shared" ca="1" si="149"/>
        <v>-646350538128.91711</v>
      </c>
      <c r="M3365" s="460">
        <f t="shared" si="151"/>
        <v>0.05</v>
      </c>
      <c r="N3365" s="464">
        <f t="shared" si="152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50"/>
        <v>-646350538128.91711</v>
      </c>
      <c r="J3366" s="444">
        <f t="array" ref="J3366">IFERROR(INDEX('Retirement Calculator'!K:K,MATCH('Lorri 401b'!N3366,'Retirement Calculator'!A:A,0),0),0)</f>
        <v>0</v>
      </c>
      <c r="K3366" s="444">
        <f t="shared" ca="1" si="148"/>
        <v>-2693127242.2038212</v>
      </c>
      <c r="L3366" s="444">
        <f t="shared" ca="1" si="149"/>
        <v>-649043665371.12097</v>
      </c>
      <c r="M3366" s="460">
        <f t="shared" si="151"/>
        <v>0.05</v>
      </c>
      <c r="N3366" s="464">
        <f t="shared" si="152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50"/>
        <v>-649043665371.12097</v>
      </c>
      <c r="J3367" s="444">
        <f t="array" ref="J3367">IFERROR(INDEX('Retirement Calculator'!K:K,MATCH('Lorri 401b'!N3367,'Retirement Calculator'!A:A,0),0),0)</f>
        <v>0</v>
      </c>
      <c r="K3367" s="444">
        <f t="shared" ca="1" si="148"/>
        <v>-2704348605.7130041</v>
      </c>
      <c r="L3367" s="444">
        <f t="shared" ca="1" si="149"/>
        <v>-651748013976.83398</v>
      </c>
      <c r="M3367" s="460">
        <f t="shared" si="151"/>
        <v>0.05</v>
      </c>
      <c r="N3367" s="464">
        <f t="shared" si="152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50"/>
        <v>-651748013976.83398</v>
      </c>
      <c r="J3368" s="444">
        <f t="array" ref="J3368">IFERROR(INDEX('Retirement Calculator'!K:K,MATCH('Lorri 401b'!N3368,'Retirement Calculator'!A:A,0),0),0)</f>
        <v>0</v>
      </c>
      <c r="K3368" s="444">
        <f t="shared" ca="1" si="148"/>
        <v>-2715616724.9034748</v>
      </c>
      <c r="L3368" s="444">
        <f t="shared" ca="1" si="149"/>
        <v>-654463630701.73743</v>
      </c>
      <c r="M3368" s="460">
        <f t="shared" si="151"/>
        <v>0.05</v>
      </c>
      <c r="N3368" s="464">
        <f t="shared" si="152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50"/>
        <v>-654463630701.73743</v>
      </c>
      <c r="J3369" s="444">
        <f t="array" ref="J3369">IFERROR(INDEX('Retirement Calculator'!K:K,MATCH('Lorri 401b'!N3369,'Retirement Calculator'!A:A,0),0),0)</f>
        <v>0</v>
      </c>
      <c r="K3369" s="444">
        <f t="shared" ca="1" si="148"/>
        <v>-2726931794.5905724</v>
      </c>
      <c r="L3369" s="444">
        <f t="shared" ca="1" si="149"/>
        <v>-657190562496.328</v>
      </c>
      <c r="M3369" s="460">
        <f t="shared" si="151"/>
        <v>0.05</v>
      </c>
      <c r="N3369" s="464">
        <f t="shared" si="152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50"/>
        <v>-657190562496.328</v>
      </c>
      <c r="J3370" s="444">
        <f t="array" ref="J3370">IFERROR(INDEX('Retirement Calculator'!K:K,MATCH('Lorri 401b'!N3370,'Retirement Calculator'!A:A,0),0),0)</f>
        <v>0</v>
      </c>
      <c r="K3370" s="444">
        <f t="shared" ca="1" si="148"/>
        <v>-2738294010.4013667</v>
      </c>
      <c r="L3370" s="444">
        <f t="shared" ca="1" si="149"/>
        <v>-659928856506.72937</v>
      </c>
      <c r="M3370" s="460">
        <f t="shared" si="151"/>
        <v>0.05</v>
      </c>
      <c r="N3370" s="464">
        <f t="shared" si="152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50"/>
        <v>-659928856506.72937</v>
      </c>
      <c r="J3371" s="444">
        <f t="array" ref="J3371">IFERROR(INDEX('Retirement Calculator'!K:K,MATCH('Lorri 401b'!N3371,'Retirement Calculator'!A:A,0),0),0)</f>
        <v>0</v>
      </c>
      <c r="K3371" s="444">
        <f t="shared" ca="1" si="148"/>
        <v>-2749703568.778039</v>
      </c>
      <c r="L3371" s="444">
        <f t="shared" ca="1" si="149"/>
        <v>-662678560075.50745</v>
      </c>
      <c r="M3371" s="460">
        <f t="shared" si="151"/>
        <v>0.05</v>
      </c>
      <c r="N3371" s="464">
        <f t="shared" si="152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50"/>
        <v>-662678560075.50745</v>
      </c>
      <c r="J3372" s="444">
        <f t="array" ref="J3372">IFERROR(INDEX('Retirement Calculator'!K:K,MATCH('Lorri 401b'!N3372,'Retirement Calculator'!A:A,0),0),0)</f>
        <v>0</v>
      </c>
      <c r="K3372" s="444">
        <f t="shared" ca="1" si="148"/>
        <v>-2761160666.9812808</v>
      </c>
      <c r="L3372" s="444">
        <f t="shared" ca="1" si="149"/>
        <v>-665439720742.48877</v>
      </c>
      <c r="M3372" s="460">
        <f t="shared" si="151"/>
        <v>0.05</v>
      </c>
      <c r="N3372" s="464">
        <f t="shared" si="152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50"/>
        <v>-665439720742.48877</v>
      </c>
      <c r="J3373" s="444">
        <f t="array" ref="J3373">IFERROR(INDEX('Retirement Calculator'!K:K,MATCH('Lorri 401b'!N3373,'Retirement Calculator'!A:A,0),0),0)</f>
        <v>0</v>
      </c>
      <c r="K3373" s="444">
        <f t="shared" ca="1" si="148"/>
        <v>-2772665503.0937033</v>
      </c>
      <c r="L3373" s="444">
        <f t="shared" ca="1" si="149"/>
        <v>-668212386245.58252</v>
      </c>
      <c r="M3373" s="460">
        <f t="shared" si="151"/>
        <v>0.05</v>
      </c>
      <c r="N3373" s="464">
        <f t="shared" si="152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50"/>
        <v>-668212386245.58252</v>
      </c>
      <c r="J3374" s="444">
        <f t="array" ref="J3374">IFERROR(INDEX('Retirement Calculator'!K:K,MATCH('Lorri 401b'!N3374,'Retirement Calculator'!A:A,0),0),0)</f>
        <v>0</v>
      </c>
      <c r="K3374" s="444">
        <f t="shared" ca="1" si="148"/>
        <v>-2784218276.0232606</v>
      </c>
      <c r="L3374" s="444">
        <f t="shared" ca="1" si="149"/>
        <v>-670996604521.60583</v>
      </c>
      <c r="M3374" s="460">
        <f t="shared" si="151"/>
        <v>0.05</v>
      </c>
      <c r="N3374" s="464">
        <f t="shared" si="152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50"/>
        <v>-670996604521.60583</v>
      </c>
      <c r="J3375" s="444">
        <f t="array" ref="J3375">IFERROR(INDEX('Retirement Calculator'!K:K,MATCH('Lorri 401b'!N3375,'Retirement Calculator'!A:A,0),0),0)</f>
        <v>0</v>
      </c>
      <c r="K3375" s="444">
        <f t="shared" ca="1" si="148"/>
        <v>-2795819185.506691</v>
      </c>
      <c r="L3375" s="444">
        <f t="shared" ca="1" si="149"/>
        <v>-673792423707.11255</v>
      </c>
      <c r="M3375" s="460">
        <f t="shared" si="151"/>
        <v>0.05</v>
      </c>
      <c r="N3375" s="464">
        <f t="shared" si="152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50"/>
        <v>-673792423707.11255</v>
      </c>
      <c r="J3376" s="444">
        <f t="array" ref="J3376">IFERROR(INDEX('Retirement Calculator'!K:K,MATCH('Lorri 401b'!N3376,'Retirement Calculator'!A:A,0),0),0)</f>
        <v>0</v>
      </c>
      <c r="K3376" s="444">
        <f t="shared" ca="1" si="148"/>
        <v>-2807468432.1129689</v>
      </c>
      <c r="L3376" s="444">
        <f t="shared" ca="1" si="149"/>
        <v>-676599892139.22546</v>
      </c>
      <c r="M3376" s="460">
        <f t="shared" si="151"/>
        <v>0.05</v>
      </c>
      <c r="N3376" s="464">
        <f t="shared" si="152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50"/>
        <v>-676599892139.22546</v>
      </c>
      <c r="J3377" s="444">
        <f t="array" ref="J3377">IFERROR(INDEX('Retirement Calculator'!K:K,MATCH('Lorri 401b'!N3377,'Retirement Calculator'!A:A,0),0),0)</f>
        <v>0</v>
      </c>
      <c r="K3377" s="444">
        <f t="shared" ca="1" si="148"/>
        <v>-2819166217.2467728</v>
      </c>
      <c r="L3377" s="444">
        <f t="shared" ca="1" si="149"/>
        <v>-679419058356.47229</v>
      </c>
      <c r="M3377" s="460">
        <f t="shared" si="151"/>
        <v>0.05</v>
      </c>
      <c r="N3377" s="464">
        <f t="shared" si="152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50"/>
        <v>-679419058356.47229</v>
      </c>
      <c r="J3378" s="444">
        <f t="array" ref="J3378">IFERROR(INDEX('Retirement Calculator'!K:K,MATCH('Lorri 401b'!N3378,'Retirement Calculator'!A:A,0),0),0)</f>
        <v>0</v>
      </c>
      <c r="K3378" s="444">
        <f t="shared" ca="1" si="148"/>
        <v>-2830912743.151968</v>
      </c>
      <c r="L3378" s="444">
        <f t="shared" ca="1" si="149"/>
        <v>-682249971099.62427</v>
      </c>
      <c r="M3378" s="460">
        <f t="shared" si="151"/>
        <v>0.05</v>
      </c>
      <c r="N3378" s="464">
        <f t="shared" si="152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50"/>
        <v>-682249971099.62427</v>
      </c>
      <c r="J3379" s="444">
        <f t="array" ref="J3379">IFERROR(INDEX('Retirement Calculator'!K:K,MATCH('Lorri 401b'!N3379,'Retirement Calculator'!A:A,0),0),0)</f>
        <v>0</v>
      </c>
      <c r="K3379" s="444">
        <f t="shared" ca="1" si="148"/>
        <v>-2842708212.9151011</v>
      </c>
      <c r="L3379" s="444">
        <f t="shared" ca="1" si="149"/>
        <v>-685092679312.53943</v>
      </c>
      <c r="M3379" s="460">
        <f t="shared" si="151"/>
        <v>0.05</v>
      </c>
      <c r="N3379" s="464">
        <f t="shared" si="152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50"/>
        <v>-685092679312.53943</v>
      </c>
      <c r="J3380" s="444">
        <f t="array" ref="J3380">IFERROR(INDEX('Retirement Calculator'!K:K,MATCH('Lorri 401b'!N3380,'Retirement Calculator'!A:A,0),0),0)</f>
        <v>0</v>
      </c>
      <c r="K3380" s="444">
        <f t="shared" ca="1" si="148"/>
        <v>-2854552830.468914</v>
      </c>
      <c r="L3380" s="444">
        <f t="shared" ca="1" si="149"/>
        <v>-687947232143.0083</v>
      </c>
      <c r="M3380" s="460">
        <f t="shared" si="151"/>
        <v>0.05</v>
      </c>
      <c r="N3380" s="464">
        <f t="shared" si="152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50"/>
        <v>-687947232143.0083</v>
      </c>
      <c r="J3381" s="444">
        <f t="array" ref="J3381">IFERROR(INDEX('Retirement Calculator'!K:K,MATCH('Lorri 401b'!N3381,'Retirement Calculator'!A:A,0),0),0)</f>
        <v>0</v>
      </c>
      <c r="K3381" s="444">
        <f t="shared" ca="1" si="148"/>
        <v>-2866446800.5958681</v>
      </c>
      <c r="L3381" s="444">
        <f t="shared" ca="1" si="149"/>
        <v>-690813678943.60413</v>
      </c>
      <c r="M3381" s="460">
        <f t="shared" si="151"/>
        <v>0.05</v>
      </c>
      <c r="N3381" s="464">
        <f t="shared" si="152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50"/>
        <v>-690813678943.60413</v>
      </c>
      <c r="J3382" s="444">
        <f t="array" ref="J3382">IFERROR(INDEX('Retirement Calculator'!K:K,MATCH('Lorri 401b'!N3382,'Retirement Calculator'!A:A,0),0),0)</f>
        <v>0</v>
      </c>
      <c r="K3382" s="444">
        <f t="shared" ca="1" si="148"/>
        <v>-2878390328.931684</v>
      </c>
      <c r="L3382" s="444">
        <f t="shared" ca="1" si="149"/>
        <v>-693692069272.53577</v>
      </c>
      <c r="M3382" s="460">
        <f t="shared" si="151"/>
        <v>0.05</v>
      </c>
      <c r="N3382" s="464">
        <f t="shared" si="152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50"/>
        <v>-693692069272.53577</v>
      </c>
      <c r="J3383" s="444">
        <f t="array" ref="J3383">IFERROR(INDEX('Retirement Calculator'!K:K,MATCH('Lorri 401b'!N3383,'Retirement Calculator'!A:A,0),0),0)</f>
        <v>0</v>
      </c>
      <c r="K3383" s="444">
        <f t="shared" ca="1" si="148"/>
        <v>-2890383621.9688988</v>
      </c>
      <c r="L3383" s="444">
        <f t="shared" ca="1" si="149"/>
        <v>-696582452894.50464</v>
      </c>
      <c r="M3383" s="460">
        <f t="shared" si="151"/>
        <v>0.05</v>
      </c>
      <c r="N3383" s="464">
        <f t="shared" si="152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50"/>
        <v>-696582452894.50464</v>
      </c>
      <c r="J3384" s="444">
        <f t="array" ref="J3384">IFERROR(INDEX('Retirement Calculator'!K:K,MATCH('Lorri 401b'!N3384,'Retirement Calculator'!A:A,0),0),0)</f>
        <v>0</v>
      </c>
      <c r="K3384" s="444">
        <f t="shared" ca="1" si="148"/>
        <v>-2902426887.0604358</v>
      </c>
      <c r="L3384" s="444">
        <f t="shared" ca="1" si="149"/>
        <v>-699484879781.56506</v>
      </c>
      <c r="M3384" s="460">
        <f t="shared" si="151"/>
        <v>0.05</v>
      </c>
      <c r="N3384" s="464">
        <f t="shared" si="152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50"/>
        <v>-699484879781.56506</v>
      </c>
      <c r="J3385" s="444">
        <f t="array" ref="J3385">IFERROR(INDEX('Retirement Calculator'!K:K,MATCH('Lorri 401b'!N3385,'Retirement Calculator'!A:A,0),0),0)</f>
        <v>0</v>
      </c>
      <c r="K3385" s="444">
        <f t="shared" ca="1" si="148"/>
        <v>-2914520332.4231877</v>
      </c>
      <c r="L3385" s="444">
        <f t="shared" ca="1" si="149"/>
        <v>-702399400113.98828</v>
      </c>
      <c r="M3385" s="460">
        <f t="shared" si="151"/>
        <v>0.05</v>
      </c>
      <c r="N3385" s="464">
        <f t="shared" si="152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50"/>
        <v>-702399400113.98828</v>
      </c>
      <c r="J3386" s="444">
        <f t="array" ref="J3386">IFERROR(INDEX('Retirement Calculator'!K:K,MATCH('Lorri 401b'!N3386,'Retirement Calculator'!A:A,0),0),0)</f>
        <v>0</v>
      </c>
      <c r="K3386" s="444">
        <f t="shared" ca="1" si="148"/>
        <v>-2926664167.1416178</v>
      </c>
      <c r="L3386" s="444">
        <f t="shared" ca="1" si="149"/>
        <v>-705326064281.12988</v>
      </c>
      <c r="M3386" s="460">
        <f t="shared" si="151"/>
        <v>0.05</v>
      </c>
      <c r="N3386" s="464">
        <f t="shared" si="152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50"/>
        <v>-705326064281.12988</v>
      </c>
      <c r="J3387" s="444">
        <f t="array" ref="J3387">IFERROR(INDEX('Retirement Calculator'!K:K,MATCH('Lorri 401b'!N3387,'Retirement Calculator'!A:A,0),0),0)</f>
        <v>0</v>
      </c>
      <c r="K3387" s="444">
        <f t="shared" ca="1" si="148"/>
        <v>-2938858601.1713743</v>
      </c>
      <c r="L3387" s="444">
        <f t="shared" ca="1" si="149"/>
        <v>-708264922882.30127</v>
      </c>
      <c r="M3387" s="460">
        <f t="shared" si="151"/>
        <v>0.05</v>
      </c>
      <c r="N3387" s="464">
        <f t="shared" si="152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50"/>
        <v>-708264922882.30127</v>
      </c>
      <c r="J3388" s="444">
        <f t="array" ref="J3388">IFERROR(INDEX('Retirement Calculator'!K:K,MATCH('Lorri 401b'!N3388,'Retirement Calculator'!A:A,0),0),0)</f>
        <v>0</v>
      </c>
      <c r="K3388" s="444">
        <f t="shared" ca="1" si="148"/>
        <v>-2951103845.3429217</v>
      </c>
      <c r="L3388" s="444">
        <f t="shared" ca="1" si="149"/>
        <v>-711216026727.64417</v>
      </c>
      <c r="M3388" s="460">
        <f t="shared" si="151"/>
        <v>0.05</v>
      </c>
      <c r="N3388" s="464">
        <f t="shared" si="152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50"/>
        <v>-711216026727.64417</v>
      </c>
      <c r="J3389" s="444">
        <f t="array" ref="J3389">IFERROR(INDEX('Retirement Calculator'!K:K,MATCH('Lorri 401b'!N3389,'Retirement Calculator'!A:A,0),0),0)</f>
        <v>0</v>
      </c>
      <c r="K3389" s="444">
        <f t="shared" ca="1" si="148"/>
        <v>-2963400111.3651838</v>
      </c>
      <c r="L3389" s="444">
        <f t="shared" ca="1" si="149"/>
        <v>-714179426839.0094</v>
      </c>
      <c r="M3389" s="460">
        <f t="shared" si="151"/>
        <v>0.05</v>
      </c>
      <c r="N3389" s="464">
        <f t="shared" si="152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50"/>
        <v>-714179426839.0094</v>
      </c>
      <c r="J3390" s="444">
        <f t="array" ref="J3390">IFERROR(INDEX('Retirement Calculator'!K:K,MATCH('Lorri 401b'!N3390,'Retirement Calculator'!A:A,0),0),0)</f>
        <v>0</v>
      </c>
      <c r="K3390" s="444">
        <f t="shared" ca="1" si="148"/>
        <v>-2975747611.829206</v>
      </c>
      <c r="L3390" s="444">
        <f t="shared" ca="1" si="149"/>
        <v>-717155174450.83862</v>
      </c>
      <c r="M3390" s="460">
        <f t="shared" si="151"/>
        <v>0.05</v>
      </c>
      <c r="N3390" s="464">
        <f t="shared" si="152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50"/>
        <v>-717155174450.83862</v>
      </c>
      <c r="J3391" s="444">
        <f t="array" ref="J3391">IFERROR(INDEX('Retirement Calculator'!K:K,MATCH('Lorri 401b'!N3391,'Retirement Calculator'!A:A,0),0),0)</f>
        <v>0</v>
      </c>
      <c r="K3391" s="444">
        <f t="shared" ca="1" si="148"/>
        <v>-2988146560.2118278</v>
      </c>
      <c r="L3391" s="444">
        <f t="shared" ca="1" si="149"/>
        <v>-720143321011.05042</v>
      </c>
      <c r="M3391" s="460">
        <f t="shared" si="151"/>
        <v>0.05</v>
      </c>
      <c r="N3391" s="464">
        <f t="shared" si="152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50"/>
        <v>-720143321011.05042</v>
      </c>
      <c r="J3392" s="444">
        <f t="array" ref="J3392">IFERROR(INDEX('Retirement Calculator'!K:K,MATCH('Lorri 401b'!N3392,'Retirement Calculator'!A:A,0),0),0)</f>
        <v>0</v>
      </c>
      <c r="K3392" s="444">
        <f t="shared" ca="1" si="148"/>
        <v>-3000597170.8793769</v>
      </c>
      <c r="L3392" s="444">
        <f t="shared" ca="1" si="149"/>
        <v>-723143918181.92981</v>
      </c>
      <c r="M3392" s="460">
        <f t="shared" si="151"/>
        <v>0.05</v>
      </c>
      <c r="N3392" s="464">
        <f t="shared" si="152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50"/>
        <v>-723143918181.92981</v>
      </c>
      <c r="J3393" s="444">
        <f t="array" ref="J3393">IFERROR(INDEX('Retirement Calculator'!K:K,MATCH('Lorri 401b'!N3393,'Retirement Calculator'!A:A,0),0),0)</f>
        <v>0</v>
      </c>
      <c r="K3393" s="444">
        <f t="shared" ca="1" si="148"/>
        <v>-3013099659.0913744</v>
      </c>
      <c r="L3393" s="444">
        <f t="shared" ca="1" si="149"/>
        <v>-726157017841.02124</v>
      </c>
      <c r="M3393" s="460">
        <f t="shared" si="151"/>
        <v>0.05</v>
      </c>
      <c r="N3393" s="464">
        <f t="shared" si="152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50"/>
        <v>-726157017841.02124</v>
      </c>
      <c r="J3394" s="444">
        <f t="array" ref="J3394">IFERROR(INDEX('Retirement Calculator'!K:K,MATCH('Lorri 401b'!N3394,'Retirement Calculator'!A:A,0),0),0)</f>
        <v>0</v>
      </c>
      <c r="K3394" s="444">
        <f t="shared" ca="1" si="148"/>
        <v>-3025654241.0042553</v>
      </c>
      <c r="L3394" s="444">
        <f t="shared" ca="1" si="149"/>
        <v>-729182672082.02551</v>
      </c>
      <c r="M3394" s="460">
        <f t="shared" si="151"/>
        <v>0.05</v>
      </c>
      <c r="N3394" s="464">
        <f t="shared" si="152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50"/>
        <v>-729182672082.02551</v>
      </c>
      <c r="J3395" s="444">
        <f t="array" ref="J3395">IFERROR(INDEX('Retirement Calculator'!K:K,MATCH('Lorri 401b'!N3395,'Retirement Calculator'!A:A,0),0),0)</f>
        <v>0</v>
      </c>
      <c r="K3395" s="444">
        <f t="shared" ca="1" si="148"/>
        <v>-3038261133.675106</v>
      </c>
      <c r="L3395" s="444">
        <f t="shared" ca="1" si="149"/>
        <v>-732220933215.70056</v>
      </c>
      <c r="M3395" s="460">
        <f t="shared" si="151"/>
        <v>0.05</v>
      </c>
      <c r="N3395" s="464">
        <f t="shared" si="152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50"/>
        <v>-732220933215.70056</v>
      </c>
      <c r="J3396" s="444">
        <f t="array" ref="J3396">IFERROR(INDEX('Retirement Calculator'!K:K,MATCH('Lorri 401b'!N3396,'Retirement Calculator'!A:A,0),0),0)</f>
        <v>0</v>
      </c>
      <c r="K3396" s="444">
        <f t="shared" ca="1" si="148"/>
        <v>-3050920555.0654192</v>
      </c>
      <c r="L3396" s="444">
        <f t="shared" ca="1" si="149"/>
        <v>-735271853770.76599</v>
      </c>
      <c r="M3396" s="460">
        <f t="shared" si="151"/>
        <v>0.05</v>
      </c>
      <c r="N3396" s="464">
        <f t="shared" si="152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50"/>
        <v>-735271853770.76599</v>
      </c>
      <c r="J3397" s="444">
        <f t="array" ref="J3397">IFERROR(INDEX('Retirement Calculator'!K:K,MATCH('Lorri 401b'!N3397,'Retirement Calculator'!A:A,0),0),0)</f>
        <v>0</v>
      </c>
      <c r="K3397" s="444">
        <f t="shared" ca="1" si="148"/>
        <v>-3063632724.0448585</v>
      </c>
      <c r="L3397" s="444">
        <f t="shared" ca="1" si="149"/>
        <v>-738335486494.81079</v>
      </c>
      <c r="M3397" s="460">
        <f t="shared" si="151"/>
        <v>0.05</v>
      </c>
      <c r="N3397" s="464">
        <f t="shared" si="152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50"/>
        <v>-738335486494.81079</v>
      </c>
      <c r="J3398" s="444">
        <f t="array" ref="J3398">IFERROR(INDEX('Retirement Calculator'!K:K,MATCH('Lorri 401b'!N3398,'Retirement Calculator'!A:A,0),0),0)</f>
        <v>0</v>
      </c>
      <c r="K3398" s="444">
        <f t="shared" ca="1" si="148"/>
        <v>-3076397860.3950448</v>
      </c>
      <c r="L3398" s="444">
        <f t="shared" ca="1" si="149"/>
        <v>-741411884355.20581</v>
      </c>
      <c r="M3398" s="460">
        <f t="shared" si="151"/>
        <v>0.05</v>
      </c>
      <c r="N3398" s="464">
        <f t="shared" si="152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50"/>
        <v>-741411884355.20581</v>
      </c>
      <c r="J3399" s="444">
        <f t="array" ref="J3399">IFERROR(INDEX('Retirement Calculator'!K:K,MATCH('Lorri 401b'!N3399,'Retirement Calculator'!A:A,0),0),0)</f>
        <v>0</v>
      </c>
      <c r="K3399" s="444">
        <f t="shared" ca="1" si="148"/>
        <v>-3089216184.8133574</v>
      </c>
      <c r="L3399" s="444">
        <f t="shared" ca="1" si="149"/>
        <v>-744501100540.01917</v>
      </c>
      <c r="M3399" s="460">
        <f t="shared" si="151"/>
        <v>0.05</v>
      </c>
      <c r="N3399" s="464">
        <f t="shared" si="152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50"/>
        <v>-744501100540.01917</v>
      </c>
      <c r="J3400" s="444">
        <f t="array" ref="J3400">IFERROR(INDEX('Retirement Calculator'!K:K,MATCH('Lorri 401b'!N3400,'Retirement Calculator'!A:A,0),0),0)</f>
        <v>0</v>
      </c>
      <c r="K3400" s="444">
        <f t="shared" ca="1" si="148"/>
        <v>-3102087918.9167466</v>
      </c>
      <c r="L3400" s="444">
        <f t="shared" ca="1" si="149"/>
        <v>-747603188458.93591</v>
      </c>
      <c r="M3400" s="460">
        <f t="shared" si="151"/>
        <v>0.05</v>
      </c>
      <c r="N3400" s="464">
        <f t="shared" si="152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50"/>
        <v>-747603188458.93591</v>
      </c>
      <c r="J3401" s="444">
        <f t="array" ref="J3401">IFERROR(INDEX('Retirement Calculator'!K:K,MATCH('Lorri 401b'!N3401,'Retirement Calculator'!A:A,0),0),0)</f>
        <v>0</v>
      </c>
      <c r="K3401" s="444">
        <f t="shared" ca="1" si="148"/>
        <v>-3115013285.2455664</v>
      </c>
      <c r="L3401" s="444">
        <f t="shared" ca="1" si="149"/>
        <v>-750718201744.18152</v>
      </c>
      <c r="M3401" s="460">
        <f t="shared" si="151"/>
        <v>0.05</v>
      </c>
      <c r="N3401" s="464">
        <f t="shared" si="152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50"/>
        <v>-750718201744.18152</v>
      </c>
      <c r="J3402" s="444">
        <f t="array" ref="J3402">IFERROR(INDEX('Retirement Calculator'!K:K,MATCH('Lorri 401b'!N3402,'Retirement Calculator'!A:A,0),0),0)</f>
        <v>0</v>
      </c>
      <c r="K3402" s="444">
        <f t="shared" ca="1" si="148"/>
        <v>-3127992507.2674232</v>
      </c>
      <c r="L3402" s="444">
        <f t="shared" ca="1" si="149"/>
        <v>-753846194251.44897</v>
      </c>
      <c r="M3402" s="460">
        <f t="shared" si="151"/>
        <v>0.05</v>
      </c>
      <c r="N3402" s="464">
        <f t="shared" si="152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50"/>
        <v>-753846194251.44897</v>
      </c>
      <c r="J3403" s="444">
        <f t="array" ref="J3403">IFERROR(INDEX('Retirement Calculator'!K:K,MATCH('Lorri 401b'!N3403,'Retirement Calculator'!A:A,0),0),0)</f>
        <v>0</v>
      </c>
      <c r="K3403" s="444">
        <f t="shared" ca="1" si="148"/>
        <v>-3141025809.3810372</v>
      </c>
      <c r="L3403" s="444">
        <f t="shared" ca="1" si="149"/>
        <v>-756987220060.82996</v>
      </c>
      <c r="M3403" s="460">
        <f t="shared" si="151"/>
        <v>0.05</v>
      </c>
      <c r="N3403" s="464">
        <f t="shared" si="152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50"/>
        <v>-756987220060.82996</v>
      </c>
      <c r="J3404" s="444">
        <f t="array" ref="J3404">IFERROR(INDEX('Retirement Calculator'!K:K,MATCH('Lorri 401b'!N3404,'Retirement Calculator'!A:A,0),0),0)</f>
        <v>0</v>
      </c>
      <c r="K3404" s="444">
        <f t="shared" ca="1" si="148"/>
        <v>-3154113416.920125</v>
      </c>
      <c r="L3404" s="444">
        <f t="shared" ca="1" si="149"/>
        <v>-760141333477.75012</v>
      </c>
      <c r="M3404" s="460">
        <f t="shared" si="151"/>
        <v>0.05</v>
      </c>
      <c r="N3404" s="464">
        <f t="shared" si="152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50"/>
        <v>-760141333477.75012</v>
      </c>
      <c r="J3405" s="444">
        <f t="array" ref="J3405">IFERROR(INDEX('Retirement Calculator'!K:K,MATCH('Lorri 401b'!N3405,'Retirement Calculator'!A:A,0),0),0)</f>
        <v>0</v>
      </c>
      <c r="K3405" s="444">
        <f t="shared" ca="1" si="148"/>
        <v>-3167255556.1572924</v>
      </c>
      <c r="L3405" s="444">
        <f t="shared" ca="1" si="149"/>
        <v>-763308589033.90747</v>
      </c>
      <c r="M3405" s="460">
        <f t="shared" si="151"/>
        <v>0.05</v>
      </c>
      <c r="N3405" s="464">
        <f t="shared" si="152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50"/>
        <v>-763308589033.90747</v>
      </c>
      <c r="J3406" s="444">
        <f t="array" ref="J3406">IFERROR(INDEX('Retirement Calculator'!K:K,MATCH('Lorri 401b'!N3406,'Retirement Calculator'!A:A,0),0),0)</f>
        <v>0</v>
      </c>
      <c r="K3406" s="444">
        <f t="shared" ca="1" si="148"/>
        <v>-3180452454.3079476</v>
      </c>
      <c r="L3406" s="444">
        <f t="shared" ca="1" si="149"/>
        <v>-766489041488.21545</v>
      </c>
      <c r="M3406" s="460">
        <f t="shared" si="151"/>
        <v>0.05</v>
      </c>
      <c r="N3406" s="464">
        <f t="shared" si="152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50"/>
        <v>-766489041488.21545</v>
      </c>
      <c r="J3407" s="444">
        <f t="array" ref="J3407">IFERROR(INDEX('Retirement Calculator'!K:K,MATCH('Lorri 401b'!N3407,'Retirement Calculator'!A:A,0),0),0)</f>
        <v>0</v>
      </c>
      <c r="K3407" s="444">
        <f t="shared" ca="1" si="148"/>
        <v>-3193704339.5342312</v>
      </c>
      <c r="L3407" s="444">
        <f t="shared" ca="1" si="149"/>
        <v>-769682745827.74963</v>
      </c>
      <c r="M3407" s="460">
        <f t="shared" si="151"/>
        <v>0.05</v>
      </c>
      <c r="N3407" s="464">
        <f t="shared" si="152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50"/>
        <v>-769682745827.74963</v>
      </c>
      <c r="J3408" s="444">
        <f t="array" ref="J3408">IFERROR(INDEX('Retirement Calculator'!K:K,MATCH('Lorri 401b'!N3408,'Retirement Calculator'!A:A,0),0),0)</f>
        <v>0</v>
      </c>
      <c r="K3408" s="444">
        <f t="shared" ca="1" si="148"/>
        <v>-3207011440.948957</v>
      </c>
      <c r="L3408" s="444">
        <f t="shared" ca="1" si="149"/>
        <v>-772889757268.69861</v>
      </c>
      <c r="M3408" s="460">
        <f t="shared" si="151"/>
        <v>0.05</v>
      </c>
      <c r="N3408" s="464">
        <f t="shared" si="152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50"/>
        <v>-772889757268.69861</v>
      </c>
      <c r="J3409" s="444">
        <f t="array" ref="J3409">IFERROR(INDEX('Retirement Calculator'!K:K,MATCH('Lorri 401b'!N3409,'Retirement Calculator'!A:A,0),0),0)</f>
        <v>0</v>
      </c>
      <c r="K3409" s="444">
        <f t="shared" ca="1" si="148"/>
        <v>-3220373988.6195774</v>
      </c>
      <c r="L3409" s="444">
        <f t="shared" ca="1" si="149"/>
        <v>-776110131257.31824</v>
      </c>
      <c r="M3409" s="460">
        <f t="shared" si="151"/>
        <v>0.05</v>
      </c>
      <c r="N3409" s="464">
        <f t="shared" si="152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50"/>
        <v>-776110131257.31824</v>
      </c>
      <c r="J3410" s="444">
        <f t="array" ref="J3410">IFERROR(INDEX('Retirement Calculator'!K:K,MATCH('Lorri 401b'!N3410,'Retirement Calculator'!A:A,0),0),0)</f>
        <v>0</v>
      </c>
      <c r="K3410" s="444">
        <f t="shared" ca="1" si="148"/>
        <v>-3233792213.5721593</v>
      </c>
      <c r="L3410" s="444">
        <f t="shared" ca="1" si="149"/>
        <v>-779343923470.89038</v>
      </c>
      <c r="M3410" s="460">
        <f t="shared" si="151"/>
        <v>0.05</v>
      </c>
      <c r="N3410" s="464">
        <f t="shared" si="152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50"/>
        <v>-779343923470.89038</v>
      </c>
      <c r="J3411" s="444">
        <f t="array" ref="J3411">IFERROR(INDEX('Retirement Calculator'!K:K,MATCH('Lorri 401b'!N3411,'Retirement Calculator'!A:A,0),0),0)</f>
        <v>0</v>
      </c>
      <c r="K3411" s="444">
        <f t="shared" ca="1" si="148"/>
        <v>-3247266347.7953768</v>
      </c>
      <c r="L3411" s="444">
        <f t="shared" ca="1" si="149"/>
        <v>-782591189818.68579</v>
      </c>
      <c r="M3411" s="460">
        <f t="shared" si="151"/>
        <v>0.05</v>
      </c>
      <c r="N3411" s="464">
        <f t="shared" si="152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50"/>
        <v>-782591189818.68579</v>
      </c>
      <c r="J3412" s="444">
        <f t="array" ref="J3412">IFERROR(INDEX('Retirement Calculator'!K:K,MATCH('Lorri 401b'!N3412,'Retirement Calculator'!A:A,0),0),0)</f>
        <v>0</v>
      </c>
      <c r="K3412" s="444">
        <f t="shared" ca="1" si="148"/>
        <v>-3260796624.244524</v>
      </c>
      <c r="L3412" s="444">
        <f t="shared" ca="1" si="149"/>
        <v>-785851986442.9303</v>
      </c>
      <c r="M3412" s="460">
        <f t="shared" si="151"/>
        <v>0.05</v>
      </c>
      <c r="N3412" s="464">
        <f t="shared" si="152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50"/>
        <v>-785851986442.9303</v>
      </c>
      <c r="J3413" s="444">
        <f t="array" ref="J3413">IFERROR(INDEX('Retirement Calculator'!K:K,MATCH('Lorri 401b'!N3413,'Retirement Calculator'!A:A,0),0),0)</f>
        <v>0</v>
      </c>
      <c r="K3413" s="444">
        <f t="shared" ca="1" si="148"/>
        <v>-3274383276.8455429</v>
      </c>
      <c r="L3413" s="444">
        <f t="shared" ca="1" si="149"/>
        <v>-789126369719.77588</v>
      </c>
      <c r="M3413" s="460">
        <f t="shared" si="151"/>
        <v>0.05</v>
      </c>
      <c r="N3413" s="464">
        <f t="shared" si="152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50"/>
        <v>-789126369719.77588</v>
      </c>
      <c r="J3414" s="444">
        <f t="array" ref="J3414">IFERROR(INDEX('Retirement Calculator'!K:K,MATCH('Lorri 401b'!N3414,'Retirement Calculator'!A:A,0),0),0)</f>
        <v>0</v>
      </c>
      <c r="K3414" s="444">
        <f t="shared" ca="1" si="148"/>
        <v>-3288026540.4990664</v>
      </c>
      <c r="L3414" s="444">
        <f t="shared" ca="1" si="149"/>
        <v>-792414396260.2749</v>
      </c>
      <c r="M3414" s="460">
        <f t="shared" si="151"/>
        <v>0.05</v>
      </c>
      <c r="N3414" s="464">
        <f t="shared" si="152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50"/>
        <v>-792414396260.2749</v>
      </c>
      <c r="J3415" s="444">
        <f t="array" ref="J3415">IFERROR(INDEX('Retirement Calculator'!K:K,MATCH('Lorri 401b'!N3415,'Retirement Calculator'!A:A,0),0),0)</f>
        <v>0</v>
      </c>
      <c r="K3415" s="444">
        <f t="shared" ca="1" si="148"/>
        <v>-3301726651.0844789</v>
      </c>
      <c r="L3415" s="444">
        <f t="shared" ca="1" si="149"/>
        <v>-795716122911.35938</v>
      </c>
      <c r="M3415" s="460">
        <f t="shared" si="151"/>
        <v>0.05</v>
      </c>
      <c r="N3415" s="464">
        <f t="shared" si="152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50"/>
        <v>-795716122911.35938</v>
      </c>
      <c r="J3416" s="444">
        <f t="array" ref="J3416">IFERROR(INDEX('Retirement Calculator'!K:K,MATCH('Lorri 401b'!N3416,'Retirement Calculator'!A:A,0),0),0)</f>
        <v>0</v>
      </c>
      <c r="K3416" s="444">
        <f t="shared" ca="1" si="148"/>
        <v>-3315483845.4639974</v>
      </c>
      <c r="L3416" s="444">
        <f t="shared" ca="1" si="149"/>
        <v>-799031606756.82336</v>
      </c>
      <c r="M3416" s="460">
        <f t="shared" si="151"/>
        <v>0.05</v>
      </c>
      <c r="N3416" s="464">
        <f t="shared" si="152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50"/>
        <v>-799031606756.82336</v>
      </c>
      <c r="J3417" s="444">
        <f t="array" ref="J3417">IFERROR(INDEX('Retirement Calculator'!K:K,MATCH('Lorri 401b'!N3417,'Retirement Calculator'!A:A,0),0),0)</f>
        <v>0</v>
      </c>
      <c r="K3417" s="444">
        <f t="shared" ca="1" si="148"/>
        <v>-3329298361.486764</v>
      </c>
      <c r="L3417" s="444">
        <f t="shared" ca="1" si="149"/>
        <v>-802360905118.31018</v>
      </c>
      <c r="M3417" s="460">
        <f t="shared" si="151"/>
        <v>0.05</v>
      </c>
      <c r="N3417" s="464">
        <f t="shared" si="152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50"/>
        <v>-802360905118.31018</v>
      </c>
      <c r="J3418" s="444">
        <f t="array" ref="J3418">IFERROR(INDEX('Retirement Calculator'!K:K,MATCH('Lorri 401b'!N3418,'Retirement Calculator'!A:A,0),0),0)</f>
        <v>0</v>
      </c>
      <c r="K3418" s="444">
        <f t="shared" ca="1" si="148"/>
        <v>-3343170437.992959</v>
      </c>
      <c r="L3418" s="444">
        <f t="shared" ca="1" si="149"/>
        <v>-805704075556.3031</v>
      </c>
      <c r="M3418" s="460">
        <f t="shared" si="151"/>
        <v>0.05</v>
      </c>
      <c r="N3418" s="464">
        <f t="shared" si="152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50"/>
        <v>-805704075556.3031</v>
      </c>
      <c r="J3419" s="444">
        <f t="array" ref="J3419">IFERROR(INDEX('Retirement Calculator'!K:K,MATCH('Lorri 401b'!N3419,'Retirement Calculator'!A:A,0),0),0)</f>
        <v>0</v>
      </c>
      <c r="K3419" s="444">
        <f t="shared" ca="1" si="148"/>
        <v>-3357100314.8179297</v>
      </c>
      <c r="L3419" s="444">
        <f t="shared" ca="1" si="149"/>
        <v>-809061175871.12097</v>
      </c>
      <c r="M3419" s="460">
        <f t="shared" si="151"/>
        <v>0.05</v>
      </c>
      <c r="N3419" s="464">
        <f t="shared" si="152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50"/>
        <v>-809061175871.12097</v>
      </c>
      <c r="J3420" s="444">
        <f t="array" ref="J3420">IFERROR(INDEX('Retirement Calculator'!K:K,MATCH('Lorri 401b'!N3420,'Retirement Calculator'!A:A,0),0),0)</f>
        <v>0</v>
      </c>
      <c r="K3420" s="444">
        <f t="shared" ca="1" si="148"/>
        <v>-3371088232.7963371</v>
      </c>
      <c r="L3420" s="444">
        <f t="shared" ca="1" si="149"/>
        <v>-812432264103.91736</v>
      </c>
      <c r="M3420" s="460">
        <f t="shared" si="151"/>
        <v>0.05</v>
      </c>
      <c r="N3420" s="464">
        <f t="shared" si="152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50"/>
        <v>-812432264103.91736</v>
      </c>
      <c r="J3421" s="444">
        <f t="array" ref="J3421">IFERROR(INDEX('Retirement Calculator'!K:K,MATCH('Lorri 401b'!N3421,'Retirement Calculator'!A:A,0),0),0)</f>
        <v>0</v>
      </c>
      <c r="K3421" s="444">
        <f t="shared" ca="1" si="148"/>
        <v>-3385134433.7663221</v>
      </c>
      <c r="L3421" s="444">
        <f t="shared" ca="1" si="149"/>
        <v>-815817398537.68372</v>
      </c>
      <c r="M3421" s="460">
        <f t="shared" si="151"/>
        <v>0.05</v>
      </c>
      <c r="N3421" s="464">
        <f t="shared" si="152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50"/>
        <v>-815817398537.68372</v>
      </c>
      <c r="J3422" s="444">
        <f t="array" ref="J3422">IFERROR(INDEX('Retirement Calculator'!K:K,MATCH('Lorri 401b'!N3422,'Retirement Calculator'!A:A,0),0),0)</f>
        <v>0</v>
      </c>
      <c r="K3422" s="444">
        <f t="shared" ca="1" si="148"/>
        <v>-3399239160.5736823</v>
      </c>
      <c r="L3422" s="444">
        <f t="shared" ca="1" si="149"/>
        <v>-819216637698.25745</v>
      </c>
      <c r="M3422" s="460">
        <f t="shared" si="151"/>
        <v>0.05</v>
      </c>
      <c r="N3422" s="464">
        <f t="shared" si="152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50"/>
        <v>-819216637698.25745</v>
      </c>
      <c r="J3423" s="444">
        <f t="array" ref="J3423">IFERROR(INDEX('Retirement Calculator'!K:K,MATCH('Lorri 401b'!N3423,'Retirement Calculator'!A:A,0),0),0)</f>
        <v>0</v>
      </c>
      <c r="K3423" s="444">
        <f t="shared" ca="1" si="148"/>
        <v>-3413402657.0760727</v>
      </c>
      <c r="L3423" s="444">
        <f t="shared" ca="1" si="149"/>
        <v>-822630040355.3335</v>
      </c>
      <c r="M3423" s="460">
        <f t="shared" si="151"/>
        <v>0.05</v>
      </c>
      <c r="N3423" s="464">
        <f t="shared" si="152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50"/>
        <v>-822630040355.3335</v>
      </c>
      <c r="J3424" s="444">
        <f t="array" ref="J3424">IFERROR(INDEX('Retirement Calculator'!K:K,MATCH('Lorri 401b'!N3424,'Retirement Calculator'!A:A,0),0),0)</f>
        <v>0</v>
      </c>
      <c r="K3424" s="444">
        <f t="shared" ca="1" si="148"/>
        <v>-3427625168.147223</v>
      </c>
      <c r="L3424" s="444">
        <f t="shared" ca="1" si="149"/>
        <v>-826057665523.48071</v>
      </c>
      <c r="M3424" s="460">
        <f t="shared" si="151"/>
        <v>0.05</v>
      </c>
      <c r="N3424" s="464">
        <f t="shared" si="152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50"/>
        <v>-826057665523.48071</v>
      </c>
      <c r="J3425" s="444">
        <f t="array" ref="J3425">IFERROR(INDEX('Retirement Calculator'!K:K,MATCH('Lorri 401b'!N3425,'Retirement Calculator'!A:A,0),0),0)</f>
        <v>0</v>
      </c>
      <c r="K3425" s="444">
        <f t="shared" ca="1" si="148"/>
        <v>-3441906939.6811695</v>
      </c>
      <c r="L3425" s="444">
        <f t="shared" ca="1" si="149"/>
        <v>-829499572463.16187</v>
      </c>
      <c r="M3425" s="460">
        <f t="shared" si="151"/>
        <v>0.05</v>
      </c>
      <c r="N3425" s="464">
        <f t="shared" si="152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50"/>
        <v>-829499572463.16187</v>
      </c>
      <c r="J3426" s="444">
        <f t="array" ref="J3426">IFERROR(INDEX('Retirement Calculator'!K:K,MATCH('Lorri 401b'!N3426,'Retirement Calculator'!A:A,0),0),0)</f>
        <v>0</v>
      </c>
      <c r="K3426" s="444">
        <f t="shared" ca="1" si="148"/>
        <v>-3456248218.5965075</v>
      </c>
      <c r="L3426" s="444">
        <f t="shared" ca="1" si="149"/>
        <v>-832955820681.75842</v>
      </c>
      <c r="M3426" s="460">
        <f t="shared" si="151"/>
        <v>0.05</v>
      </c>
      <c r="N3426" s="464">
        <f t="shared" si="152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50"/>
        <v>-832955820681.75842</v>
      </c>
      <c r="J3427" s="444">
        <f t="array" ref="J3427">IFERROR(INDEX('Retirement Calculator'!K:K,MATCH('Lorri 401b'!N3427,'Retirement Calculator'!A:A,0),0),0)</f>
        <v>0</v>
      </c>
      <c r="K3427" s="444">
        <f t="shared" ca="1" si="148"/>
        <v>-3470649252.8406601</v>
      </c>
      <c r="L3427" s="444">
        <f t="shared" ca="1" si="149"/>
        <v>-836426469934.59912</v>
      </c>
      <c r="M3427" s="460">
        <f t="shared" si="151"/>
        <v>0.05</v>
      </c>
      <c r="N3427" s="464">
        <f t="shared" si="152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50"/>
        <v>-836426469934.59912</v>
      </c>
      <c r="J3428" s="444">
        <f t="array" ref="J3428">IFERROR(INDEX('Retirement Calculator'!K:K,MATCH('Lorri 401b'!N3428,'Retirement Calculator'!A:A,0),0),0)</f>
        <v>0</v>
      </c>
      <c r="K3428" s="444">
        <f t="shared" ca="1" si="148"/>
        <v>-3485110291.3941631</v>
      </c>
      <c r="L3428" s="444">
        <f t="shared" ca="1" si="149"/>
        <v>-839911580225.99329</v>
      </c>
      <c r="M3428" s="460">
        <f t="shared" si="151"/>
        <v>0.05</v>
      </c>
      <c r="N3428" s="464">
        <f t="shared" si="152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50"/>
        <v>-839911580225.99329</v>
      </c>
      <c r="J3429" s="444">
        <f t="array" ref="J3429">IFERROR(INDEX('Retirement Calculator'!K:K,MATCH('Lorri 401b'!N3429,'Retirement Calculator'!A:A,0),0),0)</f>
        <v>0</v>
      </c>
      <c r="K3429" s="444">
        <f t="shared" ca="1" si="148"/>
        <v>-3499631584.274972</v>
      </c>
      <c r="L3429" s="444">
        <f t="shared" ca="1" si="149"/>
        <v>-843411211810.26831</v>
      </c>
      <c r="M3429" s="460">
        <f t="shared" si="151"/>
        <v>0.05</v>
      </c>
      <c r="N3429" s="464">
        <f t="shared" si="152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50"/>
        <v>-843411211810.26831</v>
      </c>
      <c r="J3430" s="444">
        <f t="array" ref="J3430">IFERROR(INDEX('Retirement Calculator'!K:K,MATCH('Lorri 401b'!N3430,'Retirement Calculator'!A:A,0),0),0)</f>
        <v>0</v>
      </c>
      <c r="K3430" s="444">
        <f t="shared" ca="1" si="148"/>
        <v>-3514213382.5427847</v>
      </c>
      <c r="L3430" s="444">
        <f t="shared" ca="1" si="149"/>
        <v>-846925425192.81104</v>
      </c>
      <c r="M3430" s="460">
        <f t="shared" si="151"/>
        <v>0.05</v>
      </c>
      <c r="N3430" s="464">
        <f t="shared" si="152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50"/>
        <v>-846925425192.81104</v>
      </c>
      <c r="J3431" s="444">
        <f t="array" ref="J3431">IFERROR(INDEX('Retirement Calculator'!K:K,MATCH('Lorri 401b'!N3431,'Retirement Calculator'!A:A,0),0),0)</f>
        <v>0</v>
      </c>
      <c r="K3431" s="444">
        <f t="shared" ca="1" si="148"/>
        <v>-3528855938.3033791</v>
      </c>
      <c r="L3431" s="444">
        <f t="shared" ca="1" si="149"/>
        <v>-850454281131.11438</v>
      </c>
      <c r="M3431" s="460">
        <f t="shared" si="151"/>
        <v>0.05</v>
      </c>
      <c r="N3431" s="464">
        <f t="shared" si="152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50"/>
        <v>-850454281131.11438</v>
      </c>
      <c r="J3432" s="444">
        <f t="array" ref="J3432">IFERROR(INDEX('Retirement Calculator'!K:K,MATCH('Lorri 401b'!N3432,'Retirement Calculator'!A:A,0),0),0)</f>
        <v>0</v>
      </c>
      <c r="K3432" s="444">
        <f t="shared" ca="1" si="148"/>
        <v>-3543559504.7129765</v>
      </c>
      <c r="L3432" s="444">
        <f t="shared" ca="1" si="149"/>
        <v>-853997840635.82739</v>
      </c>
      <c r="M3432" s="460">
        <f t="shared" si="151"/>
        <v>0.05</v>
      </c>
      <c r="N3432" s="464">
        <f t="shared" si="152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50"/>
        <v>-853997840635.82739</v>
      </c>
      <c r="J3433" s="444">
        <f t="array" ref="J3433">IFERROR(INDEX('Retirement Calculator'!K:K,MATCH('Lorri 401b'!N3433,'Retirement Calculator'!A:A,0),0),0)</f>
        <v>0</v>
      </c>
      <c r="K3433" s="444">
        <f t="shared" ca="1" si="148"/>
        <v>-3558324335.982614</v>
      </c>
      <c r="L3433" s="444">
        <f t="shared" ca="1" si="149"/>
        <v>-857556164971.81006</v>
      </c>
      <c r="M3433" s="460">
        <f t="shared" si="151"/>
        <v>0.05</v>
      </c>
      <c r="N3433" s="464">
        <f t="shared" si="152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50"/>
        <v>-857556164971.81006</v>
      </c>
      <c r="J3434" s="444">
        <f t="array" ref="J3434">IFERROR(INDEX('Retirement Calculator'!K:K,MATCH('Lorri 401b'!N3434,'Retirement Calculator'!A:A,0),0),0)</f>
        <v>0</v>
      </c>
      <c r="K3434" s="444">
        <f t="shared" ca="1" si="148"/>
        <v>-3573150687.3825417</v>
      </c>
      <c r="L3434" s="444">
        <f t="shared" ca="1" si="149"/>
        <v>-861129315659.19263</v>
      </c>
      <c r="M3434" s="460">
        <f t="shared" si="151"/>
        <v>0.05</v>
      </c>
      <c r="N3434" s="464">
        <f t="shared" si="152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50"/>
        <v>-861129315659.19263</v>
      </c>
      <c r="J3435" s="444">
        <f t="array" ref="J3435">IFERROR(INDEX('Retirement Calculator'!K:K,MATCH('Lorri 401b'!N3435,'Retirement Calculator'!A:A,0),0),0)</f>
        <v>0</v>
      </c>
      <c r="K3435" s="444">
        <f t="shared" ca="1" si="148"/>
        <v>-3588038815.2466354</v>
      </c>
      <c r="L3435" s="444">
        <f t="shared" ca="1" si="149"/>
        <v>-864717354474.43921</v>
      </c>
      <c r="M3435" s="460">
        <f t="shared" si="151"/>
        <v>0.05</v>
      </c>
      <c r="N3435" s="464">
        <f t="shared" si="152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50"/>
        <v>-864717354474.43921</v>
      </c>
      <c r="J3436" s="444">
        <f t="array" ref="J3436">IFERROR(INDEX('Retirement Calculator'!K:K,MATCH('Lorri 401b'!N3436,'Retirement Calculator'!A:A,0),0),0)</f>
        <v>0</v>
      </c>
      <c r="K3436" s="444">
        <f t="shared" ca="1" si="148"/>
        <v>-3602988976.97683</v>
      </c>
      <c r="L3436" s="444">
        <f t="shared" ca="1" si="149"/>
        <v>-868320343451.41602</v>
      </c>
      <c r="M3436" s="460">
        <f t="shared" si="151"/>
        <v>0.05</v>
      </c>
      <c r="N3436" s="464">
        <f t="shared" si="152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50"/>
        <v>-868320343451.41602</v>
      </c>
      <c r="J3437" s="444">
        <f t="array" ref="J3437">IFERROR(INDEX('Retirement Calculator'!K:K,MATCH('Lorri 401b'!N3437,'Retirement Calculator'!A:A,0),0),0)</f>
        <v>0</v>
      </c>
      <c r="K3437" s="444">
        <f t="shared" ca="1" si="148"/>
        <v>-3618001431.0475669</v>
      </c>
      <c r="L3437" s="444">
        <f t="shared" ca="1" si="149"/>
        <v>-871938344882.46362</v>
      </c>
      <c r="M3437" s="460">
        <f t="shared" si="151"/>
        <v>0.05</v>
      </c>
      <c r="N3437" s="464">
        <f t="shared" si="152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50"/>
        <v>-871938344882.46362</v>
      </c>
      <c r="J3438" s="444">
        <f t="array" ref="J3438">IFERROR(INDEX('Retirement Calculator'!K:K,MATCH('Lorri 401b'!N3438,'Retirement Calculator'!A:A,0),0),0)</f>
        <v>0</v>
      </c>
      <c r="K3438" s="444">
        <f t="shared" ca="1" si="148"/>
        <v>-3633076437.0102654</v>
      </c>
      <c r="L3438" s="444">
        <f t="shared" ca="1" si="149"/>
        <v>-875571421319.47388</v>
      </c>
      <c r="M3438" s="460">
        <f t="shared" si="151"/>
        <v>0.05</v>
      </c>
      <c r="N3438" s="464">
        <f t="shared" si="152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50"/>
        <v>-875571421319.47388</v>
      </c>
      <c r="J3439" s="444">
        <f t="array" ref="J3439">IFERROR(INDEX('Retirement Calculator'!K:K,MATCH('Lorri 401b'!N3439,'Retirement Calculator'!A:A,0),0),0)</f>
        <v>0</v>
      </c>
      <c r="K3439" s="444">
        <f t="shared" ca="1" si="148"/>
        <v>-3648214255.4978085</v>
      </c>
      <c r="L3439" s="444">
        <f t="shared" ca="1" si="149"/>
        <v>-879219635574.97168</v>
      </c>
      <c r="M3439" s="460">
        <f t="shared" si="151"/>
        <v>0.05</v>
      </c>
      <c r="N3439" s="464">
        <f t="shared" si="152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50"/>
        <v>-879219635574.97168</v>
      </c>
      <c r="J3440" s="444">
        <f t="array" ref="J3440">IFERROR(INDEX('Retirement Calculator'!K:K,MATCH('Lorri 401b'!N3440,'Retirement Calculator'!A:A,0),0),0)</f>
        <v>0</v>
      </c>
      <c r="K3440" s="444">
        <f t="shared" ca="1" si="148"/>
        <v>-3663415148.2290483</v>
      </c>
      <c r="L3440" s="444">
        <f t="shared" ca="1" si="149"/>
        <v>-882883050723.20068</v>
      </c>
      <c r="M3440" s="460">
        <f t="shared" si="151"/>
        <v>0.05</v>
      </c>
      <c r="N3440" s="464">
        <f t="shared" si="152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50"/>
        <v>-882883050723.20068</v>
      </c>
      <c r="J3441" s="444">
        <f t="array" ref="J3441">IFERROR(INDEX('Retirement Calculator'!K:K,MATCH('Lorri 401b'!N3441,'Retirement Calculator'!A:A,0),0),0)</f>
        <v>0</v>
      </c>
      <c r="K3441" s="444">
        <f t="shared" ca="1" si="148"/>
        <v>-3678679378.0133362</v>
      </c>
      <c r="L3441" s="444">
        <f t="shared" ca="1" si="149"/>
        <v>-886561730101.21399</v>
      </c>
      <c r="M3441" s="460">
        <f t="shared" si="151"/>
        <v>0.05</v>
      </c>
      <c r="N3441" s="464">
        <f t="shared" si="152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50"/>
        <v>-886561730101.21399</v>
      </c>
      <c r="J3442" s="444">
        <f t="array" ref="J3442">IFERROR(INDEX('Retirement Calculator'!K:K,MATCH('Lorri 401b'!N3442,'Retirement Calculator'!A:A,0),0),0)</f>
        <v>0</v>
      </c>
      <c r="K3442" s="444">
        <f t="shared" ca="1" si="148"/>
        <v>-3694007208.7550583</v>
      </c>
      <c r="L3442" s="444">
        <f t="shared" ca="1" si="149"/>
        <v>-890255737309.96899</v>
      </c>
      <c r="M3442" s="460">
        <f t="shared" si="151"/>
        <v>0.05</v>
      </c>
      <c r="N3442" s="464">
        <f t="shared" si="152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50"/>
        <v>-890255737309.96899</v>
      </c>
      <c r="J3443" s="444">
        <f t="array" ref="J3443">IFERROR(INDEX('Retirement Calculator'!K:K,MATCH('Lorri 401b'!N3443,'Retirement Calculator'!A:A,0),0),0)</f>
        <v>0</v>
      </c>
      <c r="K3443" s="444">
        <f t="shared" ca="1" si="148"/>
        <v>-3709398905.4582047</v>
      </c>
      <c r="L3443" s="444">
        <f t="shared" ca="1" si="149"/>
        <v>-893965136215.42725</v>
      </c>
      <c r="M3443" s="460">
        <f t="shared" si="151"/>
        <v>0.05</v>
      </c>
      <c r="N3443" s="464">
        <f t="shared" si="152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50"/>
        <v>-893965136215.42725</v>
      </c>
      <c r="J3444" s="444">
        <f t="array" ref="J3444">IFERROR(INDEX('Retirement Calculator'!K:K,MATCH('Lorri 401b'!N3444,'Retirement Calculator'!A:A,0),0),0)</f>
        <v>0</v>
      </c>
      <c r="K3444" s="444">
        <f t="shared" ca="1" si="148"/>
        <v>-3724854734.2309461</v>
      </c>
      <c r="L3444" s="444">
        <f t="shared" ca="1" si="149"/>
        <v>-897689990949.6582</v>
      </c>
      <c r="M3444" s="460">
        <f t="shared" si="151"/>
        <v>0.05</v>
      </c>
      <c r="N3444" s="464">
        <f t="shared" si="152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50"/>
        <v>-897689990949.6582</v>
      </c>
      <c r="J3445" s="444">
        <f t="array" ref="J3445">IFERROR(INDEX('Retirement Calculator'!K:K,MATCH('Lorri 401b'!N3445,'Retirement Calculator'!A:A,0),0),0)</f>
        <v>0</v>
      </c>
      <c r="K3445" s="444">
        <f t="shared" ca="1" si="148"/>
        <v>-3740374962.2902431</v>
      </c>
      <c r="L3445" s="444">
        <f t="shared" ca="1" si="149"/>
        <v>-901430365911.94849</v>
      </c>
      <c r="M3445" s="460">
        <f t="shared" si="151"/>
        <v>0.05</v>
      </c>
      <c r="N3445" s="464">
        <f t="shared" si="152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50"/>
        <v>-901430365911.94849</v>
      </c>
      <c r="J3446" s="444">
        <f t="array" ref="J3446">IFERROR(INDEX('Retirement Calculator'!K:K,MATCH('Lorri 401b'!N3446,'Retirement Calculator'!A:A,0),0),0)</f>
        <v>0</v>
      </c>
      <c r="K3446" s="444">
        <f t="shared" ca="1" si="148"/>
        <v>-3755959857.9664516</v>
      </c>
      <c r="L3446" s="444">
        <f t="shared" ca="1" si="149"/>
        <v>-905186325769.91492</v>
      </c>
      <c r="M3446" s="460">
        <f t="shared" si="151"/>
        <v>0.05</v>
      </c>
      <c r="N3446" s="464">
        <f t="shared" si="152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50"/>
        <v>-905186325769.91492</v>
      </c>
      <c r="J3447" s="444">
        <f t="array" ref="J3447">IFERROR(INDEX('Retirement Calculator'!K:K,MATCH('Lorri 401b'!N3447,'Retirement Calculator'!A:A,0),0),0)</f>
        <v>0</v>
      </c>
      <c r="K3447" s="444">
        <f t="shared" ca="1" si="148"/>
        <v>-3771609690.7079787</v>
      </c>
      <c r="L3447" s="444">
        <f t="shared" ca="1" si="149"/>
        <v>-908957935460.62292</v>
      </c>
      <c r="M3447" s="460">
        <f t="shared" si="151"/>
        <v>0.05</v>
      </c>
      <c r="N3447" s="464">
        <f t="shared" si="152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50"/>
        <v>-908957935460.62292</v>
      </c>
      <c r="J3448" s="444">
        <f t="array" ref="J3448">IFERROR(INDEX('Retirement Calculator'!K:K,MATCH('Lorri 401b'!N3448,'Retirement Calculator'!A:A,0),0),0)</f>
        <v>0</v>
      </c>
      <c r="K3448" s="444">
        <f t="shared" ca="1" si="148"/>
        <v>-3787324731.0859289</v>
      </c>
      <c r="L3448" s="444">
        <f t="shared" ca="1" si="149"/>
        <v>-912745260191.70886</v>
      </c>
      <c r="M3448" s="460">
        <f t="shared" si="151"/>
        <v>0.05</v>
      </c>
      <c r="N3448" s="464">
        <f t="shared" si="152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50"/>
        <v>-912745260191.70886</v>
      </c>
      <c r="J3449" s="444">
        <f t="array" ref="J3449">IFERROR(INDEX('Retirement Calculator'!K:K,MATCH('Lorri 401b'!N3449,'Retirement Calculator'!A:A,0),0),0)</f>
        <v>0</v>
      </c>
      <c r="K3449" s="444">
        <f t="shared" ca="1" si="148"/>
        <v>-3803105250.7987866</v>
      </c>
      <c r="L3449" s="444">
        <f t="shared" ca="1" si="149"/>
        <v>-916548365442.50769</v>
      </c>
      <c r="M3449" s="460">
        <f t="shared" si="151"/>
        <v>0.05</v>
      </c>
      <c r="N3449" s="464">
        <f t="shared" si="152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50"/>
        <v>-916548365442.50769</v>
      </c>
      <c r="J3450" s="444">
        <f t="array" ref="J3450">IFERROR(INDEX('Retirement Calculator'!K:K,MATCH('Lorri 401b'!N3450,'Retirement Calculator'!A:A,0),0),0)</f>
        <v>0</v>
      </c>
      <c r="K3450" s="444">
        <f t="shared" ca="1" si="148"/>
        <v>-3818951522.6771159</v>
      </c>
      <c r="L3450" s="444">
        <f t="shared" ca="1" si="149"/>
        <v>-920367316965.18481</v>
      </c>
      <c r="M3450" s="460">
        <f t="shared" si="151"/>
        <v>0.05</v>
      </c>
      <c r="N3450" s="464">
        <f t="shared" si="152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50"/>
        <v>-920367316965.18481</v>
      </c>
      <c r="J3451" s="444">
        <f t="array" ref="J3451">IFERROR(INDEX('Retirement Calculator'!K:K,MATCH('Lorri 401b'!N3451,'Retirement Calculator'!A:A,0),0),0)</f>
        <v>0</v>
      </c>
      <c r="K3451" s="444">
        <f t="shared" ca="1" si="148"/>
        <v>-3834863820.6882701</v>
      </c>
      <c r="L3451" s="444">
        <f t="shared" ca="1" si="149"/>
        <v>-924202180785.87305</v>
      </c>
      <c r="M3451" s="460">
        <f t="shared" si="151"/>
        <v>0.05</v>
      </c>
      <c r="N3451" s="464">
        <f t="shared" si="152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50"/>
        <v>-924202180785.87305</v>
      </c>
      <c r="J3452" s="444">
        <f t="array" ref="J3452">IFERROR(INDEX('Retirement Calculator'!K:K,MATCH('Lorri 401b'!N3452,'Retirement Calculator'!A:A,0),0),0)</f>
        <v>0</v>
      </c>
      <c r="K3452" s="444">
        <f t="shared" ca="1" si="148"/>
        <v>-3850842419.9411378</v>
      </c>
      <c r="L3452" s="444">
        <f t="shared" ca="1" si="149"/>
        <v>-928053023205.81421</v>
      </c>
      <c r="M3452" s="460">
        <f t="shared" si="151"/>
        <v>0.05</v>
      </c>
      <c r="N3452" s="464">
        <f t="shared" si="152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50"/>
        <v>-928053023205.81421</v>
      </c>
      <c r="J3453" s="444">
        <f t="array" ref="J3453">IFERROR(INDEX('Retirement Calculator'!K:K,MATCH('Lorri 401b'!N3453,'Retirement Calculator'!A:A,0),0),0)</f>
        <v>0</v>
      </c>
      <c r="K3453" s="444">
        <f t="shared" ca="1" si="148"/>
        <v>-3866887596.6908927</v>
      </c>
      <c r="L3453" s="444">
        <f t="shared" ca="1" si="149"/>
        <v>-931919910802.50513</v>
      </c>
      <c r="M3453" s="460">
        <f t="shared" si="151"/>
        <v>0.05</v>
      </c>
      <c r="N3453" s="464">
        <f t="shared" si="152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50"/>
        <v>-931919910802.50513</v>
      </c>
      <c r="J3454" s="444">
        <f t="array" ref="J3454">IFERROR(INDEX('Retirement Calculator'!K:K,MATCH('Lorri 401b'!N3454,'Retirement Calculator'!A:A,0),0),0)</f>
        <v>0</v>
      </c>
      <c r="K3454" s="444">
        <f t="shared" ca="1" si="148"/>
        <v>-3882999628.3437715</v>
      </c>
      <c r="L3454" s="444">
        <f t="shared" ca="1" si="149"/>
        <v>-935802910430.84888</v>
      </c>
      <c r="M3454" s="460">
        <f t="shared" si="151"/>
        <v>0.05</v>
      </c>
      <c r="N3454" s="464">
        <f t="shared" si="152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50"/>
        <v>-935802910430.84888</v>
      </c>
      <c r="J3455" s="444">
        <f t="array" ref="J3455">IFERROR(INDEX('Retirement Calculator'!K:K,MATCH('Lorri 401b'!N3455,'Retirement Calculator'!A:A,0),0),0)</f>
        <v>0</v>
      </c>
      <c r="K3455" s="444">
        <f t="shared" ca="1" si="148"/>
        <v>-3899178793.4618702</v>
      </c>
      <c r="L3455" s="444">
        <f t="shared" ca="1" si="149"/>
        <v>-939702089224.31079</v>
      </c>
      <c r="M3455" s="460">
        <f t="shared" si="151"/>
        <v>0.05</v>
      </c>
      <c r="N3455" s="464">
        <f t="shared" si="152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50"/>
        <v>-939702089224.31079</v>
      </c>
      <c r="J3456" s="444">
        <f t="array" ref="J3456">IFERROR(INDEX('Retirement Calculator'!K:K,MATCH('Lorri 401b'!N3456,'Retirement Calculator'!A:A,0),0),0)</f>
        <v>0</v>
      </c>
      <c r="K3456" s="444">
        <f t="shared" ca="1" si="148"/>
        <v>-3915425371.7679615</v>
      </c>
      <c r="L3456" s="444">
        <f t="shared" ca="1" si="149"/>
        <v>-943617514596.07874</v>
      </c>
      <c r="M3456" s="460">
        <f t="shared" si="151"/>
        <v>0.05</v>
      </c>
      <c r="N3456" s="464">
        <f t="shared" si="152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50"/>
        <v>-943617514596.07874</v>
      </c>
      <c r="J3457" s="444">
        <f t="array" ref="J3457">IFERROR(INDEX('Retirement Calculator'!K:K,MATCH('Lorri 401b'!N3457,'Retirement Calculator'!A:A,0),0),0)</f>
        <v>0</v>
      </c>
      <c r="K3457" s="444">
        <f t="shared" ca="1" si="148"/>
        <v>-3931739644.1503277</v>
      </c>
      <c r="L3457" s="444">
        <f t="shared" ca="1" si="149"/>
        <v>-947549254240.229</v>
      </c>
      <c r="M3457" s="460">
        <f t="shared" si="151"/>
        <v>0.05</v>
      </c>
      <c r="N3457" s="464">
        <f t="shared" si="152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50"/>
        <v>-947549254240.229</v>
      </c>
      <c r="J3458" s="444">
        <f t="array" ref="J3458">IFERROR(INDEX('Retirement Calculator'!K:K,MATCH('Lorri 401b'!N3458,'Retirement Calculator'!A:A,0),0),0)</f>
        <v>0</v>
      </c>
      <c r="K3458" s="444">
        <f t="shared" ca="1" si="148"/>
        <v>-3948121892.6676207</v>
      </c>
      <c r="L3458" s="444">
        <f t="shared" ca="1" si="149"/>
        <v>-951497376132.89661</v>
      </c>
      <c r="M3458" s="460">
        <f t="shared" si="151"/>
        <v>0.05</v>
      </c>
      <c r="N3458" s="464">
        <f t="shared" si="152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50"/>
        <v>-951497376132.89661</v>
      </c>
      <c r="J3459" s="444">
        <f t="array" ref="J3459">IFERROR(INDEX('Retirement Calculator'!K:K,MATCH('Lorri 401b'!N3459,'Retirement Calculator'!A:A,0),0),0)</f>
        <v>0</v>
      </c>
      <c r="K3459" s="444">
        <f t="shared" ca="1" si="148"/>
        <v>-3964572400.5537357</v>
      </c>
      <c r="L3459" s="444">
        <f t="shared" ca="1" si="149"/>
        <v>-955461948533.45032</v>
      </c>
      <c r="M3459" s="460">
        <f t="shared" si="151"/>
        <v>0.05</v>
      </c>
      <c r="N3459" s="464">
        <f t="shared" si="152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50"/>
        <v>-955461948533.45032</v>
      </c>
      <c r="J3460" s="444">
        <f t="array" ref="J3460">IFERROR(INDEX('Retirement Calculator'!K:K,MATCH('Lorri 401b'!N3460,'Retirement Calculator'!A:A,0),0),0)</f>
        <v>0</v>
      </c>
      <c r="K3460" s="444">
        <f t="shared" ca="1" si="148"/>
        <v>-3981091452.2227097</v>
      </c>
      <c r="L3460" s="444">
        <f t="shared" ca="1" si="149"/>
        <v>-959443039985.67297</v>
      </c>
      <c r="M3460" s="460">
        <f t="shared" si="151"/>
        <v>0.05</v>
      </c>
      <c r="N3460" s="464">
        <f t="shared" si="152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50"/>
        <v>-959443039985.67297</v>
      </c>
      <c r="J3461" s="444">
        <f t="array" ref="J3461">IFERROR(INDEX('Retirement Calculator'!K:K,MATCH('Lorri 401b'!N3461,'Retirement Calculator'!A:A,0),0),0)</f>
        <v>0</v>
      </c>
      <c r="K3461" s="444">
        <f t="shared" ca="1" si="148"/>
        <v>-3997679333.2736373</v>
      </c>
      <c r="L3461" s="444">
        <f t="shared" ca="1" si="149"/>
        <v>-963440719318.94666</v>
      </c>
      <c r="M3461" s="460">
        <f t="shared" si="151"/>
        <v>0.05</v>
      </c>
      <c r="N3461" s="464">
        <f t="shared" si="152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50"/>
        <v>-963440719318.94666</v>
      </c>
      <c r="J3462" s="444">
        <f t="array" ref="J3462">IFERROR(INDEX('Retirement Calculator'!K:K,MATCH('Lorri 401b'!N3462,'Retirement Calculator'!A:A,0),0),0)</f>
        <v>0</v>
      </c>
      <c r="K3462" s="444">
        <f t="shared" ca="1" si="148"/>
        <v>-4014336330.4956117</v>
      </c>
      <c r="L3462" s="444">
        <f t="shared" ca="1" si="149"/>
        <v>-967455055649.44226</v>
      </c>
      <c r="M3462" s="460">
        <f t="shared" si="151"/>
        <v>0.05</v>
      </c>
      <c r="N3462" s="464">
        <f t="shared" si="152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50"/>
        <v>-967455055649.44226</v>
      </c>
      <c r="J3463" s="444">
        <f t="array" ref="J3463">IFERROR(INDEX('Retirement Calculator'!K:K,MATCH('Lorri 401b'!N3463,'Retirement Calculator'!A:A,0),0),0)</f>
        <v>0</v>
      </c>
      <c r="K3463" s="444">
        <f t="shared" ca="1" si="148"/>
        <v>-4031062731.8726759</v>
      </c>
      <c r="L3463" s="444">
        <f t="shared" ca="1" si="149"/>
        <v>-971486118381.31494</v>
      </c>
      <c r="M3463" s="460">
        <f t="shared" si="151"/>
        <v>0.05</v>
      </c>
      <c r="N3463" s="464">
        <f t="shared" si="152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50"/>
        <v>-971486118381.31494</v>
      </c>
      <c r="J3464" s="444">
        <f t="array" ref="J3464">IFERROR(INDEX('Retirement Calculator'!K:K,MATCH('Lorri 401b'!N3464,'Retirement Calculator'!A:A,0),0),0)</f>
        <v>0</v>
      </c>
      <c r="K3464" s="444">
        <f t="shared" ca="1" si="148"/>
        <v>-4047858826.5888119</v>
      </c>
      <c r="L3464" s="444">
        <f t="shared" ca="1" si="149"/>
        <v>-975533977207.90381</v>
      </c>
      <c r="M3464" s="460">
        <f t="shared" si="151"/>
        <v>0.05</v>
      </c>
      <c r="N3464" s="464">
        <f t="shared" si="152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50"/>
        <v>-975533977207.90381</v>
      </c>
      <c r="J3465" s="444">
        <f t="array" ref="J3465">IFERROR(INDEX('Retirement Calculator'!K:K,MATCH('Lorri 401b'!N3465,'Retirement Calculator'!A:A,0),0),0)</f>
        <v>0</v>
      </c>
      <c r="K3465" s="444">
        <f t="shared" ca="1" si="148"/>
        <v>-4064724905.0329318</v>
      </c>
      <c r="L3465" s="444">
        <f t="shared" ca="1" si="149"/>
        <v>-979598702112.93677</v>
      </c>
      <c r="M3465" s="460">
        <f t="shared" si="151"/>
        <v>0.05</v>
      </c>
      <c r="N3465" s="464">
        <f t="shared" si="152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50"/>
        <v>-979598702112.93677</v>
      </c>
      <c r="J3466" s="444">
        <f t="array" ref="J3466">IFERROR(INDEX('Retirement Calculator'!K:K,MATCH('Lorri 401b'!N3466,'Retirement Calculator'!A:A,0),0),0)</f>
        <v>0</v>
      </c>
      <c r="K3466" s="444">
        <f t="shared" ca="1" si="148"/>
        <v>-4081661258.8039031</v>
      </c>
      <c r="L3466" s="444">
        <f t="shared" ca="1" si="149"/>
        <v>-983680363371.74072</v>
      </c>
      <c r="M3466" s="460">
        <f t="shared" si="151"/>
        <v>0.05</v>
      </c>
      <c r="N3466" s="464">
        <f t="shared" si="152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50"/>
        <v>-983680363371.74072</v>
      </c>
      <c r="J3467" s="444">
        <f t="array" ref="J3467">IFERROR(INDEX('Retirement Calculator'!K:K,MATCH('Lorri 401b'!N3467,'Retirement Calculator'!A:A,0),0),0)</f>
        <v>0</v>
      </c>
      <c r="K3467" s="444">
        <f t="shared" ca="1" si="148"/>
        <v>-4098668180.7155862</v>
      </c>
      <c r="L3467" s="444">
        <f t="shared" ca="1" si="149"/>
        <v>-987779031552.4563</v>
      </c>
      <c r="M3467" s="460">
        <f t="shared" si="151"/>
        <v>0.05</v>
      </c>
      <c r="N3467" s="464">
        <f t="shared" si="152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50"/>
        <v>-987779031552.4563</v>
      </c>
      <c r="J3468" s="444">
        <f t="array" ref="J3468">IFERROR(INDEX('Retirement Calculator'!K:K,MATCH('Lorri 401b'!N3468,'Retirement Calculator'!A:A,0),0),0)</f>
        <v>0</v>
      </c>
      <c r="K3468" s="444">
        <f t="shared" ca="1" si="148"/>
        <v>-4115745964.8019018</v>
      </c>
      <c r="L3468" s="444">
        <f t="shared" ca="1" si="149"/>
        <v>-991894777517.25818</v>
      </c>
      <c r="M3468" s="460">
        <f t="shared" si="151"/>
        <v>0.05</v>
      </c>
      <c r="N3468" s="464">
        <f t="shared" si="152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50"/>
        <v>-991894777517.25818</v>
      </c>
      <c r="J3469" s="444">
        <f t="array" ref="J3469">IFERROR(INDEX('Retirement Calculator'!K:K,MATCH('Lorri 401b'!N3469,'Retirement Calculator'!A:A,0),0),0)</f>
        <v>0</v>
      </c>
      <c r="K3469" s="444">
        <f t="shared" ca="1" si="148"/>
        <v>-4132894906.3219094</v>
      </c>
      <c r="L3469" s="444">
        <f t="shared" ca="1" si="149"/>
        <v>-996027672423.58008</v>
      </c>
      <c r="M3469" s="460">
        <f t="shared" si="151"/>
        <v>0.05</v>
      </c>
      <c r="N3469" s="464">
        <f t="shared" si="152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50"/>
        <v>-996027672423.58008</v>
      </c>
      <c r="J3470" s="444">
        <f t="array" ref="J3470">IFERROR(INDEX('Retirement Calculator'!K:K,MATCH('Lorri 401b'!N3470,'Retirement Calculator'!A:A,0),0),0)</f>
        <v>0</v>
      </c>
      <c r="K3470" s="444">
        <f t="shared" ca="1" si="148"/>
        <v>-4150115301.7649169</v>
      </c>
      <c r="L3470" s="444">
        <f t="shared" ca="1" si="149"/>
        <v>-1000177787725.345</v>
      </c>
      <c r="M3470" s="460">
        <f t="shared" si="151"/>
        <v>0.05</v>
      </c>
      <c r="N3470" s="464">
        <f t="shared" si="152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50"/>
        <v>-1000177787725.345</v>
      </c>
      <c r="J3471" s="444">
        <f t="array" ref="J3471">IFERROR(INDEX('Retirement Calculator'!K:K,MATCH('Lorri 401b'!N3471,'Retirement Calculator'!A:A,0),0),0)</f>
        <v>0</v>
      </c>
      <c r="K3471" s="444">
        <f t="shared" ca="1" si="148"/>
        <v>-4167407448.8556037</v>
      </c>
      <c r="L3471" s="444">
        <f t="shared" ca="1" si="149"/>
        <v>-1004345195174.2006</v>
      </c>
      <c r="M3471" s="460">
        <f t="shared" si="151"/>
        <v>0.05</v>
      </c>
      <c r="N3471" s="464">
        <f t="shared" si="152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50"/>
        <v>-1004345195174.2006</v>
      </c>
      <c r="J3472" s="444">
        <f t="array" ref="J3472">IFERROR(INDEX('Retirement Calculator'!K:K,MATCH('Lorri 401b'!N3472,'Retirement Calculator'!A:A,0),0),0)</f>
        <v>0</v>
      </c>
      <c r="K3472" s="444">
        <f t="shared" ca="1" si="148"/>
        <v>-4184771646.5591693</v>
      </c>
      <c r="L3472" s="444">
        <f t="shared" ca="1" si="149"/>
        <v>-1008529966820.7598</v>
      </c>
      <c r="M3472" s="460">
        <f t="shared" si="151"/>
        <v>0.05</v>
      </c>
      <c r="N3472" s="464">
        <f t="shared" si="152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50"/>
        <v>-1008529966820.7598</v>
      </c>
      <c r="J3473" s="444">
        <f t="array" ref="J3473">IFERROR(INDEX('Retirement Calculator'!K:K,MATCH('Lorri 401b'!N3473,'Retirement Calculator'!A:A,0),0),0)</f>
        <v>0</v>
      </c>
      <c r="K3473" s="444">
        <f t="shared" ca="1" si="148"/>
        <v>-4202208195.0864983</v>
      </c>
      <c r="L3473" s="444">
        <f t="shared" ca="1" si="149"/>
        <v>-1012732175015.8463</v>
      </c>
      <c r="M3473" s="460">
        <f t="shared" si="151"/>
        <v>0.05</v>
      </c>
      <c r="N3473" s="464">
        <f t="shared" si="152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50"/>
        <v>-1012732175015.8463</v>
      </c>
      <c r="J3474" s="444">
        <f t="array" ref="J3474">IFERROR(INDEX('Retirement Calculator'!K:K,MATCH('Lorri 401b'!N3474,'Retirement Calculator'!A:A,0),0),0)</f>
        <v>0</v>
      </c>
      <c r="K3474" s="444">
        <f t="shared" ca="1" si="148"/>
        <v>-4219717395.8993597</v>
      </c>
      <c r="L3474" s="444">
        <f t="shared" ca="1" si="149"/>
        <v>-1016951892411.7457</v>
      </c>
      <c r="M3474" s="460">
        <f t="shared" si="151"/>
        <v>0.05</v>
      </c>
      <c r="N3474" s="464">
        <f t="shared" si="152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50"/>
        <v>-1016951892411.7457</v>
      </c>
      <c r="J3475" s="444">
        <f t="array" ref="J3475">IFERROR(INDEX('Retirement Calculator'!K:K,MATCH('Lorri 401b'!N3475,'Retirement Calculator'!A:A,0),0),0)</f>
        <v>0</v>
      </c>
      <c r="K3475" s="444">
        <f t="shared" ca="1" si="148"/>
        <v>-4237299551.7156072</v>
      </c>
      <c r="L3475" s="444">
        <f t="shared" ca="1" si="149"/>
        <v>-1021189191963.4613</v>
      </c>
      <c r="M3475" s="460">
        <f t="shared" si="151"/>
        <v>0.05</v>
      </c>
      <c r="N3475" s="464">
        <f t="shared" si="152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50"/>
        <v>-1021189191963.4613</v>
      </c>
      <c r="J3476" s="444">
        <f t="array" ref="J3476">IFERROR(INDEX('Retirement Calculator'!K:K,MATCH('Lorri 401b'!N3476,'Retirement Calculator'!A:A,0),0),0)</f>
        <v>0</v>
      </c>
      <c r="K3476" s="444">
        <f t="shared" ca="1" si="148"/>
        <v>-4254954966.5144215</v>
      </c>
      <c r="L3476" s="444">
        <f t="shared" ca="1" si="149"/>
        <v>-1025444146929.9757</v>
      </c>
      <c r="M3476" s="460">
        <f t="shared" si="151"/>
        <v>0.05</v>
      </c>
      <c r="N3476" s="464">
        <f t="shared" si="152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50"/>
        <v>-1025444146929.9757</v>
      </c>
      <c r="J3477" s="444">
        <f t="array" ref="J3477">IFERROR(INDEX('Retirement Calculator'!K:K,MATCH('Lorri 401b'!N3477,'Retirement Calculator'!A:A,0),0),0)</f>
        <v>0</v>
      </c>
      <c r="K3477" s="444">
        <f t="shared" ca="1" si="148"/>
        <v>-4272683945.5415659</v>
      </c>
      <c r="L3477" s="444">
        <f t="shared" ca="1" si="149"/>
        <v>-1029716830875.5173</v>
      </c>
      <c r="M3477" s="460">
        <f t="shared" si="151"/>
        <v>0.05</v>
      </c>
      <c r="N3477" s="464">
        <f t="shared" si="152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50"/>
        <v>-1029716830875.5173</v>
      </c>
      <c r="J3478" s="444">
        <f t="array" ref="J3478">IFERROR(INDEX('Retirement Calculator'!K:K,MATCH('Lorri 401b'!N3478,'Retirement Calculator'!A:A,0),0),0)</f>
        <v>0</v>
      </c>
      <c r="K3478" s="444">
        <f t="shared" ca="1" si="148"/>
        <v>-4290486795.3146553</v>
      </c>
      <c r="L3478" s="444">
        <f t="shared" ca="1" si="149"/>
        <v>-1034007317670.832</v>
      </c>
      <c r="M3478" s="460">
        <f t="shared" si="151"/>
        <v>0.05</v>
      </c>
      <c r="N3478" s="464">
        <f t="shared" si="152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50"/>
        <v>-1034007317670.832</v>
      </c>
      <c r="J3479" s="444">
        <f t="array" ref="J3479">IFERROR(INDEX('Retirement Calculator'!K:K,MATCH('Lorri 401b'!N3479,'Retirement Calculator'!A:A,0),0),0)</f>
        <v>0</v>
      </c>
      <c r="K3479" s="444">
        <f t="shared" ca="1" si="148"/>
        <v>-4308363823.6284666</v>
      </c>
      <c r="L3479" s="444">
        <f t="shared" ca="1" si="149"/>
        <v>-1038315681494.4604</v>
      </c>
      <c r="M3479" s="460">
        <f t="shared" si="151"/>
        <v>0.05</v>
      </c>
      <c r="N3479" s="464">
        <f t="shared" si="152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50"/>
        <v>-1038315681494.4604</v>
      </c>
      <c r="J3480" s="444">
        <f t="array" ref="J3480">IFERROR(INDEX('Retirement Calculator'!K:K,MATCH('Lorri 401b'!N3480,'Retirement Calculator'!A:A,0),0),0)</f>
        <v>0</v>
      </c>
      <c r="K3480" s="444">
        <f t="shared" ca="1" si="148"/>
        <v>-4326315339.5602522</v>
      </c>
      <c r="L3480" s="444">
        <f t="shared" ca="1" si="149"/>
        <v>-1042641996834.0208</v>
      </c>
      <c r="M3480" s="460">
        <f t="shared" si="151"/>
        <v>0.05</v>
      </c>
      <c r="N3480" s="464">
        <f t="shared" si="152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50"/>
        <v>-1042641996834.0208</v>
      </c>
      <c r="J3481" s="444">
        <f t="array" ref="J3481">IFERROR(INDEX('Retirement Calculator'!K:K,MATCH('Lorri 401b'!N3481,'Retirement Calculator'!A:A,0),0),0)</f>
        <v>0</v>
      </c>
      <c r="K3481" s="444">
        <f t="shared" ca="1" si="148"/>
        <v>-4344341653.4750872</v>
      </c>
      <c r="L3481" s="444">
        <f t="shared" ca="1" si="149"/>
        <v>-1046986338487.4958</v>
      </c>
      <c r="M3481" s="460">
        <f t="shared" si="151"/>
        <v>0.05</v>
      </c>
      <c r="N3481" s="464">
        <f t="shared" si="152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50"/>
        <v>-1046986338487.4958</v>
      </c>
      <c r="J3482" s="444">
        <f t="array" ref="J3482">IFERROR(INDEX('Retirement Calculator'!K:K,MATCH('Lorri 401b'!N3482,'Retirement Calculator'!A:A,0),0),0)</f>
        <v>0</v>
      </c>
      <c r="K3482" s="444">
        <f t="shared" ca="1" si="148"/>
        <v>-4362443077.0312328</v>
      </c>
      <c r="L3482" s="444">
        <f t="shared" ca="1" si="149"/>
        <v>-1051348781564.5271</v>
      </c>
      <c r="M3482" s="460">
        <f t="shared" si="151"/>
        <v>0.05</v>
      </c>
      <c r="N3482" s="464">
        <f t="shared" si="152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50"/>
        <v>-1051348781564.5271</v>
      </c>
      <c r="J3483" s="444">
        <f t="array" ref="J3483">IFERROR(INDEX('Retirement Calculator'!K:K,MATCH('Lorri 401b'!N3483,'Retirement Calculator'!A:A,0),0),0)</f>
        <v>0</v>
      </c>
      <c r="K3483" s="444">
        <f t="shared" ca="1" si="148"/>
        <v>-4380619923.1855288</v>
      </c>
      <c r="L3483" s="444">
        <f t="shared" ca="1" si="149"/>
        <v>-1055729401487.7126</v>
      </c>
      <c r="M3483" s="460">
        <f t="shared" si="151"/>
        <v>0.05</v>
      </c>
      <c r="N3483" s="464">
        <f t="shared" si="152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50"/>
        <v>-1055729401487.7126</v>
      </c>
      <c r="J3484" s="444">
        <f t="array" ref="J3484">IFERROR(INDEX('Retirement Calculator'!K:K,MATCH('Lorri 401b'!N3484,'Retirement Calculator'!A:A,0),0),0)</f>
        <v>0</v>
      </c>
      <c r="K3484" s="444">
        <f t="shared" ca="1" si="148"/>
        <v>-4398872506.1988029</v>
      </c>
      <c r="L3484" s="444">
        <f t="shared" ca="1" si="149"/>
        <v>-1060128273993.9115</v>
      </c>
      <c r="M3484" s="460">
        <f t="shared" si="151"/>
        <v>0.05</v>
      </c>
      <c r="N3484" s="464">
        <f t="shared" si="152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50"/>
        <v>-1060128273993.9115</v>
      </c>
      <c r="J3485" s="444">
        <f t="array" ref="J3485">IFERROR(INDEX('Retirement Calculator'!K:K,MATCH('Lorri 401b'!N3485,'Retirement Calculator'!A:A,0),0),0)</f>
        <v>0</v>
      </c>
      <c r="K3485" s="444">
        <f t="shared" ca="1" si="148"/>
        <v>-4417201141.6412983</v>
      </c>
      <c r="L3485" s="444">
        <f t="shared" ca="1" si="149"/>
        <v>-1064545475135.5529</v>
      </c>
      <c r="M3485" s="460">
        <f t="shared" si="151"/>
        <v>0.05</v>
      </c>
      <c r="N3485" s="464">
        <f t="shared" si="152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50"/>
        <v>-1064545475135.5529</v>
      </c>
      <c r="J3486" s="444">
        <f t="array" ref="J3486">IFERROR(INDEX('Retirement Calculator'!K:K,MATCH('Lorri 401b'!N3486,'Retirement Calculator'!A:A,0),0),0)</f>
        <v>0</v>
      </c>
      <c r="K3486" s="444">
        <f t="shared" ca="1" si="148"/>
        <v>-4435606146.3981371</v>
      </c>
      <c r="L3486" s="444">
        <f t="shared" ca="1" si="149"/>
        <v>-1068981081281.951</v>
      </c>
      <c r="M3486" s="460">
        <f t="shared" si="151"/>
        <v>0.05</v>
      </c>
      <c r="N3486" s="464">
        <f t="shared" si="152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50"/>
        <v>-1068981081281.951</v>
      </c>
      <c r="J3487" s="444">
        <f t="array" ref="J3487">IFERROR(INDEX('Retirement Calculator'!K:K,MATCH('Lorri 401b'!N3487,'Retirement Calculator'!A:A,0),0),0)</f>
        <v>0</v>
      </c>
      <c r="K3487" s="444">
        <f t="shared" ca="1" si="148"/>
        <v>-4454087838.6747961</v>
      </c>
      <c r="L3487" s="444">
        <f t="shared" ca="1" si="149"/>
        <v>-1073435169120.6259</v>
      </c>
      <c r="M3487" s="460">
        <f t="shared" si="151"/>
        <v>0.05</v>
      </c>
      <c r="N3487" s="464">
        <f t="shared" si="152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50"/>
        <v>-1073435169120.6259</v>
      </c>
      <c r="J3488" s="444">
        <f t="array" ref="J3488">IFERROR(INDEX('Retirement Calculator'!K:K,MATCH('Lorri 401b'!N3488,'Retirement Calculator'!A:A,0),0),0)</f>
        <v>0</v>
      </c>
      <c r="K3488" s="444">
        <f t="shared" ca="1" si="148"/>
        <v>-4472646538.0026073</v>
      </c>
      <c r="L3488" s="444">
        <f t="shared" ca="1" si="149"/>
        <v>-1077907815658.6284</v>
      </c>
      <c r="M3488" s="460">
        <f t="shared" si="151"/>
        <v>0.05</v>
      </c>
      <c r="N3488" s="464">
        <f t="shared" si="152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50"/>
        <v>-1077907815658.6284</v>
      </c>
      <c r="J3489" s="444">
        <f t="array" ref="J3489">IFERROR(INDEX('Retirement Calculator'!K:K,MATCH('Lorri 401b'!N3489,'Retirement Calculator'!A:A,0),0),0)</f>
        <v>0</v>
      </c>
      <c r="K3489" s="444">
        <f t="shared" ca="1" si="148"/>
        <v>-4491282565.2442846</v>
      </c>
      <c r="L3489" s="444">
        <f t="shared" ca="1" si="149"/>
        <v>-1082399098223.8727</v>
      </c>
      <c r="M3489" s="460">
        <f t="shared" si="151"/>
        <v>0.05</v>
      </c>
      <c r="N3489" s="464">
        <f t="shared" si="152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50"/>
        <v>-1082399098223.8727</v>
      </c>
      <c r="J3490" s="444">
        <f t="array" ref="J3490">IFERROR(INDEX('Retirement Calculator'!K:K,MATCH('Lorri 401b'!N3490,'Retirement Calculator'!A:A,0),0),0)</f>
        <v>0</v>
      </c>
      <c r="K3490" s="444">
        <f t="shared" ca="1" si="148"/>
        <v>-4509996242.5994692</v>
      </c>
      <c r="L3490" s="444">
        <f t="shared" ca="1" si="149"/>
        <v>-1086909094466.4722</v>
      </c>
      <c r="M3490" s="460">
        <f t="shared" si="151"/>
        <v>0.05</v>
      </c>
      <c r="N3490" s="464">
        <f t="shared" si="152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50"/>
        <v>-1086909094466.4722</v>
      </c>
      <c r="J3491" s="444">
        <f t="array" ref="J3491">IFERROR(INDEX('Retirement Calculator'!K:K,MATCH('Lorri 401b'!N3491,'Retirement Calculator'!A:A,0),0),0)</f>
        <v>0</v>
      </c>
      <c r="K3491" s="444">
        <f t="shared" ca="1" si="148"/>
        <v>-4528787893.610301</v>
      </c>
      <c r="L3491" s="444">
        <f t="shared" ca="1" si="149"/>
        <v>-1091437882360.0825</v>
      </c>
      <c r="M3491" s="460">
        <f t="shared" si="151"/>
        <v>0.05</v>
      </c>
      <c r="N3491" s="464">
        <f t="shared" si="152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50"/>
        <v>-1091437882360.0825</v>
      </c>
      <c r="J3492" s="444">
        <f t="array" ref="J3492">IFERROR(INDEX('Retirement Calculator'!K:K,MATCH('Lorri 401b'!N3492,'Retirement Calculator'!A:A,0),0),0)</f>
        <v>0</v>
      </c>
      <c r="K3492" s="444">
        <f t="shared" ca="1" si="148"/>
        <v>-4547657843.1670103</v>
      </c>
      <c r="L3492" s="444">
        <f t="shared" ca="1" si="149"/>
        <v>-1095985540203.2495</v>
      </c>
      <c r="M3492" s="460">
        <f t="shared" si="151"/>
        <v>0.05</v>
      </c>
      <c r="N3492" s="464">
        <f t="shared" si="152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50"/>
        <v>-1095985540203.2495</v>
      </c>
      <c r="J3493" s="444">
        <f t="array" ref="J3493">IFERROR(INDEX('Retirement Calculator'!K:K,MATCH('Lorri 401b'!N3493,'Retirement Calculator'!A:A,0),0),0)</f>
        <v>0</v>
      </c>
      <c r="K3493" s="444">
        <f t="shared" ca="1" si="148"/>
        <v>-4566606417.5135403</v>
      </c>
      <c r="L3493" s="444">
        <f t="shared" ca="1" si="149"/>
        <v>-1100552146620.7629</v>
      </c>
      <c r="M3493" s="460">
        <f t="shared" si="151"/>
        <v>0.05</v>
      </c>
      <c r="N3493" s="464">
        <f t="shared" si="152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50"/>
        <v>-1100552146620.7629</v>
      </c>
      <c r="J3494" s="444">
        <f t="array" ref="J3494">IFERROR(INDEX('Retirement Calculator'!K:K,MATCH('Lorri 401b'!N3494,'Retirement Calculator'!A:A,0),0),0)</f>
        <v>0</v>
      </c>
      <c r="K3494" s="444">
        <f t="shared" ca="1" si="148"/>
        <v>-4585633944.2531786</v>
      </c>
      <c r="L3494" s="444">
        <f t="shared" ca="1" si="149"/>
        <v>-1105137780565.0161</v>
      </c>
      <c r="M3494" s="460">
        <f t="shared" si="151"/>
        <v>0.05</v>
      </c>
      <c r="N3494" s="464">
        <f t="shared" si="152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50"/>
        <v>-1105137780565.0161</v>
      </c>
      <c r="J3495" s="444">
        <f t="array" ref="J3495">IFERROR(INDEX('Retirement Calculator'!K:K,MATCH('Lorri 401b'!N3495,'Retirement Calculator'!A:A,0),0),0)</f>
        <v>0</v>
      </c>
      <c r="K3495" s="444">
        <f t="shared" ca="1" si="148"/>
        <v>-4604740752.3542337</v>
      </c>
      <c r="L3495" s="444">
        <f t="shared" ca="1" si="149"/>
        <v>-1109742521317.3704</v>
      </c>
      <c r="M3495" s="460">
        <f t="shared" si="151"/>
        <v>0.05</v>
      </c>
      <c r="N3495" s="464">
        <f t="shared" si="152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50"/>
        <v>-1109742521317.3704</v>
      </c>
      <c r="J3496" s="444">
        <f t="array" ref="J3496">IFERROR(INDEX('Retirement Calculator'!K:K,MATCH('Lorri 401b'!N3496,'Retirement Calculator'!A:A,0),0),0)</f>
        <v>0</v>
      </c>
      <c r="K3496" s="444">
        <f t="shared" ca="1" si="148"/>
        <v>-4623927172.1557102</v>
      </c>
      <c r="L3496" s="444">
        <f t="shared" ca="1" si="149"/>
        <v>-1114366448489.5261</v>
      </c>
      <c r="M3496" s="460">
        <f t="shared" si="151"/>
        <v>0.05</v>
      </c>
      <c r="N3496" s="464">
        <f t="shared" si="152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50"/>
        <v>-1114366448489.5261</v>
      </c>
      <c r="J3497" s="444">
        <f t="array" ref="J3497">IFERROR(INDEX('Retirement Calculator'!K:K,MATCH('Lorri 401b'!N3497,'Retirement Calculator'!A:A,0),0),0)</f>
        <v>0</v>
      </c>
      <c r="K3497" s="444">
        <f t="shared" ca="1" si="148"/>
        <v>-4643193535.3730259</v>
      </c>
      <c r="L3497" s="444">
        <f t="shared" ca="1" si="149"/>
        <v>-1119009642024.8992</v>
      </c>
      <c r="M3497" s="460">
        <f t="shared" si="151"/>
        <v>0.05</v>
      </c>
      <c r="N3497" s="464">
        <f t="shared" si="152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50"/>
        <v>-1119009642024.8992</v>
      </c>
      <c r="J3498" s="444">
        <f t="array" ref="J3498">IFERROR(INDEX('Retirement Calculator'!K:K,MATCH('Lorri 401b'!N3498,'Retirement Calculator'!A:A,0),0),0)</f>
        <v>0</v>
      </c>
      <c r="K3498" s="444">
        <f t="shared" ca="1" si="148"/>
        <v>-4662540175.1037464</v>
      </c>
      <c r="L3498" s="444">
        <f t="shared" ca="1" si="149"/>
        <v>-1123672182200.0029</v>
      </c>
      <c r="M3498" s="460">
        <f t="shared" si="151"/>
        <v>0.05</v>
      </c>
      <c r="N3498" s="464">
        <f t="shared" si="152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50"/>
        <v>-1123672182200.0029</v>
      </c>
      <c r="J3499" s="444">
        <f t="array" ref="J3499">IFERROR(INDEX('Retirement Calculator'!K:K,MATCH('Lorri 401b'!N3499,'Retirement Calculator'!A:A,0),0),0)</f>
        <v>0</v>
      </c>
      <c r="K3499" s="444">
        <f t="shared" ca="1" si="148"/>
        <v>-4681967425.8333454</v>
      </c>
      <c r="L3499" s="444">
        <f t="shared" ca="1" si="149"/>
        <v>-1128354149625.8362</v>
      </c>
      <c r="M3499" s="460">
        <f t="shared" si="151"/>
        <v>0.05</v>
      </c>
      <c r="N3499" s="464">
        <f t="shared" si="152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50"/>
        <v>-1128354149625.8362</v>
      </c>
      <c r="J3500" s="444">
        <f t="array" ref="J3500">IFERROR(INDEX('Retirement Calculator'!K:K,MATCH('Lorri 401b'!N3500,'Retirement Calculator'!A:A,0),0),0)</f>
        <v>0</v>
      </c>
      <c r="K3500" s="444">
        <f t="shared" ca="1" si="148"/>
        <v>-4701475623.4409838</v>
      </c>
      <c r="L3500" s="444">
        <f t="shared" ca="1" si="149"/>
        <v>-1133055625249.2771</v>
      </c>
      <c r="M3500" s="460">
        <f t="shared" si="151"/>
        <v>0.05</v>
      </c>
      <c r="N3500" s="464">
        <f t="shared" si="152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50"/>
        <v>-1133055625249.2771</v>
      </c>
      <c r="J3501" s="444">
        <f t="array" ref="J3501">IFERROR(INDEX('Retirement Calculator'!K:K,MATCH('Lorri 401b'!N3501,'Retirement Calculator'!A:A,0),0),0)</f>
        <v>0</v>
      </c>
      <c r="K3501" s="444">
        <f t="shared" ca="1" si="148"/>
        <v>-4721065105.2053213</v>
      </c>
      <c r="L3501" s="444">
        <f t="shared" ca="1" si="149"/>
        <v>-1137776690354.4824</v>
      </c>
      <c r="M3501" s="460">
        <f t="shared" si="151"/>
        <v>0.05</v>
      </c>
      <c r="N3501" s="464">
        <f t="shared" si="152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50"/>
        <v>-1137776690354.4824</v>
      </c>
      <c r="J3502" s="444">
        <f t="array" ref="J3502">IFERROR(INDEX('Retirement Calculator'!K:K,MATCH('Lorri 401b'!N3502,'Retirement Calculator'!A:A,0),0),0)</f>
        <v>0</v>
      </c>
      <c r="K3502" s="444">
        <f t="shared" ca="1" si="148"/>
        <v>-4740736209.8103437</v>
      </c>
      <c r="L3502" s="444">
        <f t="shared" ca="1" si="149"/>
        <v>-1142517426564.2927</v>
      </c>
      <c r="M3502" s="460">
        <f t="shared" si="151"/>
        <v>0.05</v>
      </c>
      <c r="N3502" s="464">
        <f t="shared" si="152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50"/>
        <v>-1142517426564.2927</v>
      </c>
      <c r="J3503" s="444">
        <f t="array" ref="J3503">IFERROR(INDEX('Retirement Calculator'!K:K,MATCH('Lorri 401b'!N3503,'Retirement Calculator'!A:A,0),0),0)</f>
        <v>0</v>
      </c>
      <c r="K3503" s="444">
        <f t="shared" ca="1" si="148"/>
        <v>-4760489277.3512192</v>
      </c>
      <c r="L3503" s="444">
        <f t="shared" ca="1" si="149"/>
        <v>-1147277915841.644</v>
      </c>
      <c r="M3503" s="460">
        <f t="shared" si="151"/>
        <v>0.05</v>
      </c>
      <c r="N3503" s="464">
        <f t="shared" si="152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50"/>
        <v>-1147277915841.644</v>
      </c>
      <c r="J3504" s="444">
        <f t="array" ref="J3504">IFERROR(INDEX('Retirement Calculator'!K:K,MATCH('Lorri 401b'!N3504,'Retirement Calculator'!A:A,0),0),0)</f>
        <v>0</v>
      </c>
      <c r="K3504" s="444">
        <f t="shared" ca="1" si="148"/>
        <v>-4780324649.3401833</v>
      </c>
      <c r="L3504" s="444">
        <f t="shared" ca="1" si="149"/>
        <v>-1152058240490.9841</v>
      </c>
      <c r="M3504" s="460">
        <f t="shared" si="151"/>
        <v>0.05</v>
      </c>
      <c r="N3504" s="464">
        <f t="shared" si="152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50"/>
        <v>-1152058240490.9841</v>
      </c>
      <c r="J3505" s="444">
        <f t="array" ref="J3505">IFERROR(INDEX('Retirement Calculator'!K:K,MATCH('Lorri 401b'!N3505,'Retirement Calculator'!A:A,0),0),0)</f>
        <v>0</v>
      </c>
      <c r="K3505" s="444">
        <f t="shared" ca="1" si="148"/>
        <v>-4800242668.7124338</v>
      </c>
      <c r="L3505" s="444">
        <f t="shared" ca="1" si="149"/>
        <v>-1156858483159.6965</v>
      </c>
      <c r="M3505" s="460">
        <f t="shared" si="151"/>
        <v>0.05</v>
      </c>
      <c r="N3505" s="464">
        <f t="shared" si="152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50"/>
        <v>-1156858483159.6965</v>
      </c>
      <c r="J3506" s="444">
        <f t="array" ref="J3506">IFERROR(INDEX('Retirement Calculator'!K:K,MATCH('Lorri 401b'!N3506,'Retirement Calculator'!A:A,0),0),0)</f>
        <v>0</v>
      </c>
      <c r="K3506" s="444">
        <f t="shared" ca="1" si="148"/>
        <v>-4820243679.8320684</v>
      </c>
      <c r="L3506" s="444">
        <f t="shared" ca="1" si="149"/>
        <v>-1161678726839.5286</v>
      </c>
      <c r="M3506" s="460">
        <f t="shared" si="151"/>
        <v>0.05</v>
      </c>
      <c r="N3506" s="464">
        <f t="shared" si="152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50"/>
        <v>-1161678726839.5286</v>
      </c>
      <c r="J3507" s="444">
        <f t="array" ref="J3507">IFERROR(INDEX('Retirement Calculator'!K:K,MATCH('Lorri 401b'!N3507,'Retirement Calculator'!A:A,0),0),0)</f>
        <v>0</v>
      </c>
      <c r="K3507" s="444">
        <f t="shared" ca="1" si="148"/>
        <v>-4840328028.4980354</v>
      </c>
      <c r="L3507" s="444">
        <f t="shared" ca="1" si="149"/>
        <v>-1166519054868.0266</v>
      </c>
      <c r="M3507" s="460">
        <f t="shared" si="151"/>
        <v>0.05</v>
      </c>
      <c r="N3507" s="464">
        <f t="shared" si="152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50"/>
        <v>-1166519054868.0266</v>
      </c>
      <c r="J3508" s="444">
        <f t="array" ref="J3508">IFERROR(INDEX('Retirement Calculator'!K:K,MATCH('Lorri 401b'!N3508,'Retirement Calculator'!A:A,0),0),0)</f>
        <v>0</v>
      </c>
      <c r="K3508" s="444">
        <f t="shared" ca="1" si="148"/>
        <v>-4860496061.9501104</v>
      </c>
      <c r="L3508" s="444">
        <f t="shared" ca="1" si="149"/>
        <v>-1171379550929.9768</v>
      </c>
      <c r="M3508" s="460">
        <f t="shared" si="151"/>
        <v>0.05</v>
      </c>
      <c r="N3508" s="464">
        <f t="shared" si="152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50"/>
        <v>-1171379550929.9768</v>
      </c>
      <c r="J3509" s="444">
        <f t="array" ref="J3509">IFERROR(INDEX('Retirement Calculator'!K:K,MATCH('Lorri 401b'!N3509,'Retirement Calculator'!A:A,0),0),0)</f>
        <v>0</v>
      </c>
      <c r="K3509" s="444">
        <f t="shared" ca="1" si="148"/>
        <v>-4880748128.8749037</v>
      </c>
      <c r="L3509" s="444">
        <f t="shared" ca="1" si="149"/>
        <v>-1176260299058.8518</v>
      </c>
      <c r="M3509" s="460">
        <f t="shared" si="151"/>
        <v>0.05</v>
      </c>
      <c r="N3509" s="464">
        <f t="shared" si="152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50"/>
        <v>-1176260299058.8518</v>
      </c>
      <c r="J3510" s="444">
        <f t="array" ref="J3510">IFERROR(INDEX('Retirement Calculator'!K:K,MATCH('Lorri 401b'!N3510,'Retirement Calculator'!A:A,0),0),0)</f>
        <v>0</v>
      </c>
      <c r="K3510" s="444">
        <f t="shared" ca="1" si="148"/>
        <v>-4901084579.4118824</v>
      </c>
      <c r="L3510" s="444">
        <f t="shared" ca="1" si="149"/>
        <v>-1181161383638.2637</v>
      </c>
      <c r="M3510" s="460">
        <f t="shared" si="151"/>
        <v>0.05</v>
      </c>
      <c r="N3510" s="464">
        <f t="shared" si="152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50"/>
        <v>-1181161383638.2637</v>
      </c>
      <c r="J3511" s="444">
        <f t="array" ref="J3511">IFERROR(INDEX('Retirement Calculator'!K:K,MATCH('Lorri 401b'!N3511,'Retirement Calculator'!A:A,0),0),0)</f>
        <v>0</v>
      </c>
      <c r="K3511" s="444">
        <f t="shared" ca="1" si="148"/>
        <v>-4921505765.1594315</v>
      </c>
      <c r="L3511" s="444">
        <f t="shared" ca="1" si="149"/>
        <v>-1186082889403.4231</v>
      </c>
      <c r="M3511" s="460">
        <f t="shared" si="151"/>
        <v>0.05</v>
      </c>
      <c r="N3511" s="464">
        <f t="shared" si="152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50"/>
        <v>-1186082889403.4231</v>
      </c>
      <c r="J3512" s="444">
        <f t="array" ref="J3512">IFERROR(INDEX('Retirement Calculator'!K:K,MATCH('Lorri 401b'!N3512,'Retirement Calculator'!A:A,0),0),0)</f>
        <v>0</v>
      </c>
      <c r="K3512" s="444">
        <f t="shared" ca="1" si="148"/>
        <v>-4942012039.1809292</v>
      </c>
      <c r="L3512" s="444">
        <f t="shared" ca="1" si="149"/>
        <v>-1191024901442.604</v>
      </c>
      <c r="M3512" s="460">
        <f t="shared" si="151"/>
        <v>0.05</v>
      </c>
      <c r="N3512" s="464">
        <f t="shared" si="152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50"/>
        <v>-1191024901442.604</v>
      </c>
      <c r="J3513" s="444">
        <f t="array" ref="J3513">IFERROR(INDEX('Retirement Calculator'!K:K,MATCH('Lorri 401b'!N3513,'Retirement Calculator'!A:A,0),0),0)</f>
        <v>0</v>
      </c>
      <c r="K3513" s="444">
        <f t="shared" ca="1" si="148"/>
        <v>-4962603756.01085</v>
      </c>
      <c r="L3513" s="444">
        <f t="shared" ca="1" si="149"/>
        <v>-1195987505198.6147</v>
      </c>
      <c r="M3513" s="460">
        <f t="shared" si="151"/>
        <v>0.05</v>
      </c>
      <c r="N3513" s="464">
        <f t="shared" si="152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50"/>
        <v>-1195987505198.6147</v>
      </c>
      <c r="J3514" s="444">
        <f t="array" ref="J3514">IFERROR(INDEX('Retirement Calculator'!K:K,MATCH('Lorri 401b'!N3514,'Retirement Calculator'!A:A,0),0),0)</f>
        <v>0</v>
      </c>
      <c r="K3514" s="444">
        <f t="shared" ca="1" si="148"/>
        <v>-4983281271.6608944</v>
      </c>
      <c r="L3514" s="444">
        <f t="shared" ca="1" si="149"/>
        <v>-1200970786470.2756</v>
      </c>
      <c r="M3514" s="460">
        <f t="shared" si="151"/>
        <v>0.05</v>
      </c>
      <c r="N3514" s="464">
        <f t="shared" si="152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50"/>
        <v>-1200970786470.2756</v>
      </c>
      <c r="J3515" s="444">
        <f t="array" ref="J3515">IFERROR(INDEX('Retirement Calculator'!K:K,MATCH('Lorri 401b'!N3515,'Retirement Calculator'!A:A,0),0),0)</f>
        <v>0</v>
      </c>
      <c r="K3515" s="444">
        <f t="shared" ca="1" si="148"/>
        <v>-5004044943.6261482</v>
      </c>
      <c r="L3515" s="444">
        <f t="shared" ca="1" si="149"/>
        <v>-1205974831413.9019</v>
      </c>
      <c r="M3515" s="460">
        <f t="shared" si="151"/>
        <v>0.05</v>
      </c>
      <c r="N3515" s="464">
        <f t="shared" si="152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50"/>
        <v>-1205974831413.9019</v>
      </c>
      <c r="J3516" s="444">
        <f t="array" ref="J3516">IFERROR(INDEX('Retirement Calculator'!K:K,MATCH('Lorri 401b'!N3516,'Retirement Calculator'!A:A,0),0),0)</f>
        <v>0</v>
      </c>
      <c r="K3516" s="444">
        <f t="shared" ca="1" si="148"/>
        <v>-5024895130.8912573</v>
      </c>
      <c r="L3516" s="444">
        <f t="shared" ca="1" si="149"/>
        <v>-1210999726544.7932</v>
      </c>
      <c r="M3516" s="460">
        <f t="shared" si="151"/>
        <v>0.05</v>
      </c>
      <c r="N3516" s="464">
        <f t="shared" si="152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50"/>
        <v>-1210999726544.7932</v>
      </c>
      <c r="J3517" s="444">
        <f t="array" ref="J3517">IFERROR(INDEX('Retirement Calculator'!K:K,MATCH('Lorri 401b'!N3517,'Retirement Calculator'!A:A,0),0),0)</f>
        <v>0</v>
      </c>
      <c r="K3517" s="444">
        <f t="shared" ca="1" si="148"/>
        <v>-5045832193.9366379</v>
      </c>
      <c r="L3517" s="444">
        <f t="shared" ca="1" si="149"/>
        <v>-1216045558738.7297</v>
      </c>
      <c r="M3517" s="460">
        <f t="shared" si="151"/>
        <v>0.05</v>
      </c>
      <c r="N3517" s="464">
        <f t="shared" si="152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50"/>
        <v>-1216045558738.7297</v>
      </c>
      <c r="J3518" s="444">
        <f t="array" ref="J3518">IFERROR(INDEX('Retirement Calculator'!K:K,MATCH('Lorri 401b'!N3518,'Retirement Calculator'!A:A,0),0),0)</f>
        <v>0</v>
      </c>
      <c r="K3518" s="444">
        <f t="shared" ca="1" si="148"/>
        <v>-5066856494.7447071</v>
      </c>
      <c r="L3518" s="444">
        <f t="shared" ca="1" si="149"/>
        <v>-1221112415233.4744</v>
      </c>
      <c r="M3518" s="460">
        <f t="shared" si="151"/>
        <v>0.05</v>
      </c>
      <c r="N3518" s="464">
        <f t="shared" si="152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50"/>
        <v>-1221112415233.4744</v>
      </c>
      <c r="J3519" s="444">
        <f t="array" ref="J3519">IFERROR(INDEX('Retirement Calculator'!K:K,MATCH('Lorri 401b'!N3519,'Retirement Calculator'!A:A,0),0),0)</f>
        <v>0</v>
      </c>
      <c r="K3519" s="444">
        <f t="shared" ca="1" si="148"/>
        <v>-5087968396.8061428</v>
      </c>
      <c r="L3519" s="444">
        <f t="shared" ca="1" si="149"/>
        <v>-1226200383630.2805</v>
      </c>
      <c r="M3519" s="460">
        <f t="shared" si="151"/>
        <v>0.05</v>
      </c>
      <c r="N3519" s="464">
        <f t="shared" si="152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50"/>
        <v>-1226200383630.2805</v>
      </c>
      <c r="J3520" s="444">
        <f t="array" ref="J3520">IFERROR(INDEX('Retirement Calculator'!K:K,MATCH('Lorri 401b'!N3520,'Retirement Calculator'!A:A,0),0),0)</f>
        <v>0</v>
      </c>
      <c r="K3520" s="444">
        <f t="shared" ca="1" si="148"/>
        <v>-5109168265.1261692</v>
      </c>
      <c r="L3520" s="444">
        <f t="shared" ca="1" si="149"/>
        <v>-1231309551895.4067</v>
      </c>
      <c r="M3520" s="460">
        <f t="shared" si="151"/>
        <v>0.05</v>
      </c>
      <c r="N3520" s="464">
        <f t="shared" si="152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50"/>
        <v>-1231309551895.4067</v>
      </c>
      <c r="J3521" s="444">
        <f t="array" ref="J3521">IFERROR(INDEX('Retirement Calculator'!K:K,MATCH('Lorri 401b'!N3521,'Retirement Calculator'!A:A,0),0),0)</f>
        <v>0</v>
      </c>
      <c r="K3521" s="444">
        <f t="shared" ca="1" si="148"/>
        <v>-5130456466.2308617</v>
      </c>
      <c r="L3521" s="444">
        <f t="shared" ca="1" si="149"/>
        <v>-1236440008361.6377</v>
      </c>
      <c r="M3521" s="460">
        <f t="shared" si="151"/>
        <v>0.05</v>
      </c>
      <c r="N3521" s="464">
        <f t="shared" si="152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50"/>
        <v>-1236440008361.6377</v>
      </c>
      <c r="J3522" s="444">
        <f t="array" ref="J3522">IFERROR(INDEX('Retirement Calculator'!K:K,MATCH('Lorri 401b'!N3522,'Retirement Calculator'!A:A,0),0),0)</f>
        <v>0</v>
      </c>
      <c r="K3522" s="444">
        <f t="shared" ca="1" si="148"/>
        <v>-5151833368.1734905</v>
      </c>
      <c r="L3522" s="444">
        <f t="shared" ca="1" si="149"/>
        <v>-1241591841729.8113</v>
      </c>
      <c r="M3522" s="460">
        <f t="shared" si="151"/>
        <v>0.05</v>
      </c>
      <c r="N3522" s="464">
        <f t="shared" si="152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50"/>
        <v>-1241591841729.8113</v>
      </c>
      <c r="J3523" s="444">
        <f t="array" ref="J3523">IFERROR(INDEX('Retirement Calculator'!K:K,MATCH('Lorri 401b'!N3523,'Retirement Calculator'!A:A,0),0),0)</f>
        <v>0</v>
      </c>
      <c r="K3523" s="444">
        <f t="shared" ca="1" si="148"/>
        <v>-5173299340.5408802</v>
      </c>
      <c r="L3523" s="444">
        <f t="shared" ca="1" si="149"/>
        <v>-1246765141070.3521</v>
      </c>
      <c r="M3523" s="460">
        <f t="shared" si="151"/>
        <v>0.05</v>
      </c>
      <c r="N3523" s="464">
        <f t="shared" si="152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50"/>
        <v>-1246765141070.3521</v>
      </c>
      <c r="J3524" s="444">
        <f t="array" ref="J3524">IFERROR(INDEX('Retirement Calculator'!K:K,MATCH('Lorri 401b'!N3524,'Retirement Calculator'!A:A,0),0),0)</f>
        <v>0</v>
      </c>
      <c r="K3524" s="444">
        <f t="shared" ca="1" si="148"/>
        <v>-5194854754.4597998</v>
      </c>
      <c r="L3524" s="444">
        <f t="shared" ca="1" si="149"/>
        <v>-1251959995824.8118</v>
      </c>
      <c r="M3524" s="460">
        <f t="shared" si="151"/>
        <v>0.05</v>
      </c>
      <c r="N3524" s="464">
        <f t="shared" si="152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50"/>
        <v>-1251959995824.8118</v>
      </c>
      <c r="J3525" s="444">
        <f t="array" ref="J3525">IFERROR(INDEX('Retirement Calculator'!K:K,MATCH('Lorri 401b'!N3525,'Retirement Calculator'!A:A,0),0),0)</f>
        <v>0</v>
      </c>
      <c r="K3525" s="444">
        <f t="shared" ca="1" si="148"/>
        <v>-5216499982.6033821</v>
      </c>
      <c r="L3525" s="444">
        <f t="shared" ca="1" si="149"/>
        <v>-1257176495807.415</v>
      </c>
      <c r="M3525" s="460">
        <f t="shared" si="151"/>
        <v>0.05</v>
      </c>
      <c r="N3525" s="464">
        <f t="shared" si="152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50"/>
        <v>-1257176495807.415</v>
      </c>
      <c r="J3526" s="444">
        <f t="array" ref="J3526">IFERROR(INDEX('Retirement Calculator'!K:K,MATCH('Lorri 401b'!N3526,'Retirement Calculator'!A:A,0),0),0)</f>
        <v>0</v>
      </c>
      <c r="K3526" s="444">
        <f t="shared" ca="1" si="148"/>
        <v>-5238235399.1975622</v>
      </c>
      <c r="L3526" s="444">
        <f t="shared" ca="1" si="149"/>
        <v>-1262414731206.6125</v>
      </c>
      <c r="M3526" s="460">
        <f t="shared" si="151"/>
        <v>0.05</v>
      </c>
      <c r="N3526" s="464">
        <f t="shared" si="152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50"/>
        <v>-1262414731206.6125</v>
      </c>
      <c r="J3527" s="444">
        <f t="array" ref="J3527">IFERROR(INDEX('Retirement Calculator'!K:K,MATCH('Lorri 401b'!N3527,'Retirement Calculator'!A:A,0),0),0)</f>
        <v>0</v>
      </c>
      <c r="K3527" s="444">
        <f t="shared" ca="1" si="148"/>
        <v>-5260061380.0275526</v>
      </c>
      <c r="L3527" s="444">
        <f t="shared" ca="1" si="149"/>
        <v>-1267674792586.6401</v>
      </c>
      <c r="M3527" s="460">
        <f t="shared" si="151"/>
        <v>0.05</v>
      </c>
      <c r="N3527" s="464">
        <f t="shared" si="152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50"/>
        <v>-1267674792586.6401</v>
      </c>
      <c r="J3528" s="444">
        <f t="array" ref="J3528">IFERROR(INDEX('Retirement Calculator'!K:K,MATCH('Lorri 401b'!N3528,'Retirement Calculator'!A:A,0),0),0)</f>
        <v>0</v>
      </c>
      <c r="K3528" s="444">
        <f t="shared" ca="1" si="148"/>
        <v>-5281978302.444334</v>
      </c>
      <c r="L3528" s="444">
        <f t="shared" ca="1" si="149"/>
        <v>-1272956770889.0845</v>
      </c>
      <c r="M3528" s="460">
        <f t="shared" si="151"/>
        <v>0.05</v>
      </c>
      <c r="N3528" s="464">
        <f t="shared" si="152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50"/>
        <v>-1272956770889.0845</v>
      </c>
      <c r="J3529" s="444">
        <f t="array" ref="J3529">IFERROR(INDEX('Retirement Calculator'!K:K,MATCH('Lorri 401b'!N3529,'Retirement Calculator'!A:A,0),0),0)</f>
        <v>0</v>
      </c>
      <c r="K3529" s="444">
        <f t="shared" ca="1" si="148"/>
        <v>-5303986545.3711853</v>
      </c>
      <c r="L3529" s="444">
        <f t="shared" ca="1" si="149"/>
        <v>-1278260757434.4556</v>
      </c>
      <c r="M3529" s="460">
        <f t="shared" si="151"/>
        <v>0.05</v>
      </c>
      <c r="N3529" s="464">
        <f t="shared" si="152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50"/>
        <v>-1278260757434.4556</v>
      </c>
      <c r="J3530" s="444">
        <f t="array" ref="J3530">IFERROR(INDEX('Retirement Calculator'!K:K,MATCH('Lorri 401b'!N3530,'Retirement Calculator'!A:A,0),0),0)</f>
        <v>0</v>
      </c>
      <c r="K3530" s="444">
        <f t="shared" ca="1" si="148"/>
        <v>-5326086489.3102312</v>
      </c>
      <c r="L3530" s="444">
        <f t="shared" ca="1" si="149"/>
        <v>-1283586843923.7659</v>
      </c>
      <c r="M3530" s="460">
        <f t="shared" si="151"/>
        <v>0.05</v>
      </c>
      <c r="N3530" s="464">
        <f t="shared" si="152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50"/>
        <v>-1283586843923.7659</v>
      </c>
      <c r="J3531" s="444">
        <f t="array" ref="J3531">IFERROR(INDEX('Retirement Calculator'!K:K,MATCH('Lorri 401b'!N3531,'Retirement Calculator'!A:A,0),0),0)</f>
        <v>0</v>
      </c>
      <c r="K3531" s="444">
        <f t="shared" ca="1" si="148"/>
        <v>-5348278516.3490248</v>
      </c>
      <c r="L3531" s="444">
        <f t="shared" ca="1" si="149"/>
        <v>-1288935122440.115</v>
      </c>
      <c r="M3531" s="460">
        <f t="shared" si="151"/>
        <v>0.05</v>
      </c>
      <c r="N3531" s="464">
        <f t="shared" si="152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50"/>
        <v>-1288935122440.115</v>
      </c>
      <c r="J3532" s="444">
        <f t="array" ref="J3532">IFERROR(INDEX('Retirement Calculator'!K:K,MATCH('Lorri 401b'!N3532,'Retirement Calculator'!A:A,0),0),0)</f>
        <v>0</v>
      </c>
      <c r="K3532" s="444">
        <f t="shared" ca="1" si="148"/>
        <v>-5370563010.1671457</v>
      </c>
      <c r="L3532" s="444">
        <f t="shared" ca="1" si="149"/>
        <v>-1294305685450.2822</v>
      </c>
      <c r="M3532" s="460">
        <f t="shared" si="151"/>
        <v>0.05</v>
      </c>
      <c r="N3532" s="464">
        <f t="shared" si="152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50"/>
        <v>-1294305685450.2822</v>
      </c>
      <c r="J3533" s="444">
        <f t="array" ref="J3533">IFERROR(INDEX('Retirement Calculator'!K:K,MATCH('Lorri 401b'!N3533,'Retirement Calculator'!A:A,0),0),0)</f>
        <v>0</v>
      </c>
      <c r="K3533" s="444">
        <f t="shared" ca="1" si="148"/>
        <v>-5392940356.0428429</v>
      </c>
      <c r="L3533" s="444">
        <f t="shared" ca="1" si="149"/>
        <v>-1299698625806.325</v>
      </c>
      <c r="M3533" s="460">
        <f t="shared" si="151"/>
        <v>0.05</v>
      </c>
      <c r="N3533" s="464">
        <f t="shared" si="152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50"/>
        <v>-1299698625806.325</v>
      </c>
      <c r="J3534" s="444">
        <f t="array" ref="J3534">IFERROR(INDEX('Retirement Calculator'!K:K,MATCH('Lorri 401b'!N3534,'Retirement Calculator'!A:A,0),0),0)</f>
        <v>0</v>
      </c>
      <c r="K3534" s="444">
        <f t="shared" ca="1" si="148"/>
        <v>-5415410940.8596869</v>
      </c>
      <c r="L3534" s="444">
        <f t="shared" ca="1" si="149"/>
        <v>-1305114036747.1846</v>
      </c>
      <c r="M3534" s="460">
        <f t="shared" si="151"/>
        <v>0.05</v>
      </c>
      <c r="N3534" s="464">
        <f t="shared" si="152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50"/>
        <v>-1305114036747.1846</v>
      </c>
      <c r="J3535" s="444">
        <f t="array" ref="J3535">IFERROR(INDEX('Retirement Calculator'!K:K,MATCH('Lorri 401b'!N3535,'Retirement Calculator'!A:A,0),0),0)</f>
        <v>0</v>
      </c>
      <c r="K3535" s="444">
        <f t="shared" ca="1" si="148"/>
        <v>-5437975153.1132689</v>
      </c>
      <c r="L3535" s="444">
        <f t="shared" ca="1" si="149"/>
        <v>-1310552011900.2979</v>
      </c>
      <c r="M3535" s="460">
        <f t="shared" si="151"/>
        <v>0.05</v>
      </c>
      <c r="N3535" s="464">
        <f t="shared" si="152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50"/>
        <v>-1310552011900.2979</v>
      </c>
      <c r="J3536" s="444">
        <f t="array" ref="J3536">IFERROR(INDEX('Retirement Calculator'!K:K,MATCH('Lorri 401b'!N3536,'Retirement Calculator'!A:A,0),0),0)</f>
        <v>0</v>
      </c>
      <c r="K3536" s="444">
        <f t="shared" ca="1" si="148"/>
        <v>-5460633382.9179077</v>
      </c>
      <c r="L3536" s="444">
        <f t="shared" ca="1" si="149"/>
        <v>-1316012645283.2158</v>
      </c>
      <c r="M3536" s="460">
        <f t="shared" si="151"/>
        <v>0.05</v>
      </c>
      <c r="N3536" s="464">
        <f t="shared" si="152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50"/>
        <v>-1316012645283.2158</v>
      </c>
      <c r="J3537" s="444">
        <f t="array" ref="J3537">IFERROR(INDEX('Retirement Calculator'!K:K,MATCH('Lorri 401b'!N3537,'Retirement Calculator'!A:A,0),0),0)</f>
        <v>0</v>
      </c>
      <c r="K3537" s="444">
        <f t="shared" ca="1" si="148"/>
        <v>-5483386022.0133991</v>
      </c>
      <c r="L3537" s="444">
        <f t="shared" ca="1" si="149"/>
        <v>-1321496031305.2292</v>
      </c>
      <c r="M3537" s="460">
        <f t="shared" si="151"/>
        <v>0.05</v>
      </c>
      <c r="N3537" s="464">
        <f t="shared" si="152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50"/>
        <v>-1321496031305.2292</v>
      </c>
      <c r="J3538" s="444">
        <f t="array" ref="J3538">IFERROR(INDEX('Retirement Calculator'!K:K,MATCH('Lorri 401b'!N3538,'Retirement Calculator'!A:A,0),0),0)</f>
        <v>0</v>
      </c>
      <c r="K3538" s="444">
        <f t="shared" ca="1" si="148"/>
        <v>-5506233463.7717886</v>
      </c>
      <c r="L3538" s="444">
        <f t="shared" ca="1" si="149"/>
        <v>-1327002264769.001</v>
      </c>
      <c r="M3538" s="460">
        <f t="shared" si="151"/>
        <v>0.05</v>
      </c>
      <c r="N3538" s="464">
        <f t="shared" si="152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50"/>
        <v>-1327002264769.001</v>
      </c>
      <c r="J3539" s="444">
        <f t="array" ref="J3539">IFERROR(INDEX('Retirement Calculator'!K:K,MATCH('Lorri 401b'!N3539,'Retirement Calculator'!A:A,0),0),0)</f>
        <v>0</v>
      </c>
      <c r="K3539" s="444">
        <f t="shared" ca="1" si="148"/>
        <v>-5529176103.2041702</v>
      </c>
      <c r="L3539" s="444">
        <f t="shared" ca="1" si="149"/>
        <v>-1332531440872.2051</v>
      </c>
      <c r="M3539" s="460">
        <f t="shared" si="151"/>
        <v>0.05</v>
      </c>
      <c r="N3539" s="464">
        <f t="shared" si="152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50"/>
        <v>-1332531440872.2051</v>
      </c>
      <c r="J3540" s="444">
        <f t="array" ref="J3540">IFERROR(INDEX('Retirement Calculator'!K:K,MATCH('Lorri 401b'!N3540,'Retirement Calculator'!A:A,0),0),0)</f>
        <v>0</v>
      </c>
      <c r="K3540" s="444">
        <f t="shared" ca="1" si="148"/>
        <v>-5552214336.9675207</v>
      </c>
      <c r="L3540" s="444">
        <f t="shared" ca="1" si="149"/>
        <v>-1338083655209.1726</v>
      </c>
      <c r="M3540" s="460">
        <f t="shared" si="151"/>
        <v>0.05</v>
      </c>
      <c r="N3540" s="464">
        <f t="shared" si="152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50"/>
        <v>-1338083655209.1726</v>
      </c>
      <c r="J3541" s="444">
        <f t="array" ref="J3541">IFERROR(INDEX('Retirement Calculator'!K:K,MATCH('Lorri 401b'!N3541,'Retirement Calculator'!A:A,0),0),0)</f>
        <v>0</v>
      </c>
      <c r="K3541" s="444">
        <f t="shared" ca="1" si="148"/>
        <v>-5575348563.3715525</v>
      </c>
      <c r="L3541" s="444">
        <f t="shared" ca="1" si="149"/>
        <v>-1343659003772.5442</v>
      </c>
      <c r="M3541" s="460">
        <f t="shared" si="151"/>
        <v>0.05</v>
      </c>
      <c r="N3541" s="464">
        <f t="shared" si="152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50"/>
        <v>-1343659003772.5442</v>
      </c>
      <c r="J3542" s="444">
        <f t="array" ref="J3542">IFERROR(INDEX('Retirement Calculator'!K:K,MATCH('Lorri 401b'!N3542,'Retirement Calculator'!A:A,0),0),0)</f>
        <v>0</v>
      </c>
      <c r="K3542" s="444">
        <f t="shared" ca="1" si="148"/>
        <v>-5598579182.385601</v>
      </c>
      <c r="L3542" s="444">
        <f t="shared" ca="1" si="149"/>
        <v>-1349257582954.9297</v>
      </c>
      <c r="M3542" s="460">
        <f t="shared" si="151"/>
        <v>0.05</v>
      </c>
      <c r="N3542" s="464">
        <f t="shared" si="152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50"/>
        <v>-1349257582954.9297</v>
      </c>
      <c r="J3543" s="444">
        <f t="array" ref="J3543">IFERROR(INDEX('Retirement Calculator'!K:K,MATCH('Lorri 401b'!N3543,'Retirement Calculator'!A:A,0),0),0)</f>
        <v>0</v>
      </c>
      <c r="K3543" s="444">
        <f t="shared" ca="1" si="148"/>
        <v>-5621906595.6455402</v>
      </c>
      <c r="L3543" s="444">
        <f t="shared" ca="1" si="149"/>
        <v>-1354879489550.5752</v>
      </c>
      <c r="M3543" s="460">
        <f t="shared" si="151"/>
        <v>0.05</v>
      </c>
      <c r="N3543" s="464">
        <f t="shared" si="152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50"/>
        <v>-1354879489550.5752</v>
      </c>
      <c r="J3544" s="444">
        <f t="array" ref="J3544">IFERROR(INDEX('Retirement Calculator'!K:K,MATCH('Lorri 401b'!N3544,'Retirement Calculator'!A:A,0),0),0)</f>
        <v>0</v>
      </c>
      <c r="K3544" s="444">
        <f t="shared" ca="1" si="148"/>
        <v>-5645331206.4607296</v>
      </c>
      <c r="L3544" s="444">
        <f t="shared" ca="1" si="149"/>
        <v>-1360524820757.0359</v>
      </c>
      <c r="M3544" s="460">
        <f t="shared" si="151"/>
        <v>0.05</v>
      </c>
      <c r="N3544" s="464">
        <f t="shared" si="152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50"/>
        <v>-1360524820757.0359</v>
      </c>
      <c r="J3545" s="444">
        <f t="array" ref="J3545">IFERROR(INDEX('Retirement Calculator'!K:K,MATCH('Lorri 401b'!N3545,'Retirement Calculator'!A:A,0),0),0)</f>
        <v>0</v>
      </c>
      <c r="K3545" s="444">
        <f t="shared" ca="1" si="148"/>
        <v>-5668853419.8209829</v>
      </c>
      <c r="L3545" s="444">
        <f t="shared" ca="1" si="149"/>
        <v>-1366193674176.8569</v>
      </c>
      <c r="M3545" s="460">
        <f t="shared" si="151"/>
        <v>0.05</v>
      </c>
      <c r="N3545" s="464">
        <f t="shared" si="152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50"/>
        <v>-1366193674176.8569</v>
      </c>
      <c r="J3546" s="444">
        <f t="array" ref="J3546">IFERROR(INDEX('Retirement Calculator'!K:K,MATCH('Lorri 401b'!N3546,'Retirement Calculator'!A:A,0),0),0)</f>
        <v>0</v>
      </c>
      <c r="K3546" s="444">
        <f t="shared" ca="1" si="148"/>
        <v>-5692473642.4035702</v>
      </c>
      <c r="L3546" s="444">
        <f t="shared" ca="1" si="149"/>
        <v>-1371886147819.2605</v>
      </c>
      <c r="M3546" s="460">
        <f t="shared" si="151"/>
        <v>0.05</v>
      </c>
      <c r="N3546" s="464">
        <f t="shared" si="152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50"/>
        <v>-1371886147819.2605</v>
      </c>
      <c r="J3547" s="444">
        <f t="array" ref="J3547">IFERROR(INDEX('Retirement Calculator'!K:K,MATCH('Lorri 401b'!N3547,'Retirement Calculator'!A:A,0),0),0)</f>
        <v>0</v>
      </c>
      <c r="K3547" s="444">
        <f t="shared" ca="1" si="148"/>
        <v>-5716192282.5802517</v>
      </c>
      <c r="L3547" s="444">
        <f t="shared" ca="1" si="149"/>
        <v>-1377602340101.8408</v>
      </c>
      <c r="M3547" s="460">
        <f t="shared" si="151"/>
        <v>0.05</v>
      </c>
      <c r="N3547" s="464">
        <f t="shared" si="152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50"/>
        <v>-1377602340101.8408</v>
      </c>
      <c r="J3548" s="444">
        <f t="array" ref="J3548">IFERROR(INDEX('Retirement Calculator'!K:K,MATCH('Lorri 401b'!N3548,'Retirement Calculator'!A:A,0),0),0)</f>
        <v>0</v>
      </c>
      <c r="K3548" s="444">
        <f t="shared" ca="1" si="148"/>
        <v>-5740009750.4243364</v>
      </c>
      <c r="L3548" s="444">
        <f t="shared" ca="1" si="149"/>
        <v>-1383342349852.2651</v>
      </c>
      <c r="M3548" s="460">
        <f t="shared" si="151"/>
        <v>0.05</v>
      </c>
      <c r="N3548" s="464">
        <f t="shared" si="152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50"/>
        <v>-1383342349852.2651</v>
      </c>
      <c r="J3549" s="444">
        <f t="array" ref="J3549">IFERROR(INDEX('Retirement Calculator'!K:K,MATCH('Lorri 401b'!N3549,'Retirement Calculator'!A:A,0),0),0)</f>
        <v>0</v>
      </c>
      <c r="K3549" s="444">
        <f t="shared" ca="1" si="148"/>
        <v>-5763926457.7177715</v>
      </c>
      <c r="L3549" s="444">
        <f t="shared" ca="1" si="149"/>
        <v>-1389106276309.9829</v>
      </c>
      <c r="M3549" s="460">
        <f t="shared" si="151"/>
        <v>0.05</v>
      </c>
      <c r="N3549" s="464">
        <f t="shared" si="152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50"/>
        <v>-1389106276309.9829</v>
      </c>
      <c r="J3550" s="444">
        <f t="array" ref="J3550">IFERROR(INDEX('Retirement Calculator'!K:K,MATCH('Lorri 401b'!N3550,'Retirement Calculator'!A:A,0),0),0)</f>
        <v>0</v>
      </c>
      <c r="K3550" s="444">
        <f t="shared" ca="1" si="148"/>
        <v>-5787942817.9582624</v>
      </c>
      <c r="L3550" s="444">
        <f t="shared" ca="1" si="149"/>
        <v>-1394894219127.9412</v>
      </c>
      <c r="M3550" s="460">
        <f t="shared" si="151"/>
        <v>0.05</v>
      </c>
      <c r="N3550" s="464">
        <f t="shared" si="152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50"/>
        <v>-1394894219127.9412</v>
      </c>
      <c r="J3551" s="444">
        <f t="array" ref="J3551">IFERROR(INDEX('Retirement Calculator'!K:K,MATCH('Lorri 401b'!N3551,'Retirement Calculator'!A:A,0),0),0)</f>
        <v>0</v>
      </c>
      <c r="K3551" s="444">
        <f t="shared" ca="1" si="148"/>
        <v>-5812059246.3664217</v>
      </c>
      <c r="L3551" s="444">
        <f t="shared" ca="1" si="149"/>
        <v>-1400706278374.3076</v>
      </c>
      <c r="M3551" s="460">
        <f t="shared" si="151"/>
        <v>0.05</v>
      </c>
      <c r="N3551" s="464">
        <f t="shared" si="152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50"/>
        <v>-1400706278374.3076</v>
      </c>
      <c r="J3552" s="444">
        <f t="array" ref="J3552">IFERROR(INDEX('Retirement Calculator'!K:K,MATCH('Lorri 401b'!N3552,'Retirement Calculator'!A:A,0),0),0)</f>
        <v>0</v>
      </c>
      <c r="K3552" s="444">
        <f t="shared" ca="1" si="148"/>
        <v>-5836276159.8929482</v>
      </c>
      <c r="L3552" s="444">
        <f t="shared" ca="1" si="149"/>
        <v>-1406542554534.2007</v>
      </c>
      <c r="M3552" s="460">
        <f t="shared" si="151"/>
        <v>0.05</v>
      </c>
      <c r="N3552" s="464">
        <f t="shared" si="152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50"/>
        <v>-1406542554534.2007</v>
      </c>
      <c r="J3553" s="444">
        <f t="array" ref="J3553">IFERROR(INDEX('Retirement Calculator'!K:K,MATCH('Lorri 401b'!N3553,'Retirement Calculator'!A:A,0),0),0)</f>
        <v>0</v>
      </c>
      <c r="K3553" s="444">
        <f t="shared" ca="1" si="148"/>
        <v>-5860593977.2258358</v>
      </c>
      <c r="L3553" s="444">
        <f t="shared" ca="1" si="149"/>
        <v>-1412403148511.4265</v>
      </c>
      <c r="M3553" s="460">
        <f t="shared" si="151"/>
        <v>0.05</v>
      </c>
      <c r="N3553" s="464">
        <f t="shared" si="152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50"/>
        <v>-1412403148511.4265</v>
      </c>
      <c r="J3554" s="444">
        <f t="array" ref="J3554">IFERROR(INDEX('Retirement Calculator'!K:K,MATCH('Lorri 401b'!N3554,'Retirement Calculator'!A:A,0),0),0)</f>
        <v>0</v>
      </c>
      <c r="K3554" s="444">
        <f t="shared" ca="1" si="148"/>
        <v>-5885013118.7976103</v>
      </c>
      <c r="L3554" s="444">
        <f t="shared" ca="1" si="149"/>
        <v>-1418288161630.2241</v>
      </c>
      <c r="M3554" s="460">
        <f t="shared" si="151"/>
        <v>0.05</v>
      </c>
      <c r="N3554" s="464">
        <f t="shared" si="152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50"/>
        <v>-1418288161630.2241</v>
      </c>
      <c r="J3555" s="444">
        <f t="array" ref="J3555">IFERROR(INDEX('Retirement Calculator'!K:K,MATCH('Lorri 401b'!N3555,'Retirement Calculator'!A:A,0),0),0)</f>
        <v>0</v>
      </c>
      <c r="K3555" s="444">
        <f t="shared" ca="1" si="148"/>
        <v>-5909534006.7926006</v>
      </c>
      <c r="L3555" s="444">
        <f t="shared" ca="1" si="149"/>
        <v>-1424197695637.0166</v>
      </c>
      <c r="M3555" s="460">
        <f t="shared" si="151"/>
        <v>0.05</v>
      </c>
      <c r="N3555" s="464">
        <f t="shared" si="152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50"/>
        <v>-1424197695637.0166</v>
      </c>
      <c r="J3556" s="444">
        <f t="array" ref="J3556">IFERROR(INDEX('Retirement Calculator'!K:K,MATCH('Lorri 401b'!N3556,'Retirement Calculator'!A:A,0),0),0)</f>
        <v>0</v>
      </c>
      <c r="K3556" s="444">
        <f t="shared" ca="1" si="148"/>
        <v>-5934157065.1542358</v>
      </c>
      <c r="L3556" s="444">
        <f t="shared" ca="1" si="149"/>
        <v>-1430131852702.1709</v>
      </c>
      <c r="M3556" s="460">
        <f t="shared" si="151"/>
        <v>0.05</v>
      </c>
      <c r="N3556" s="464">
        <f t="shared" si="152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50"/>
        <v>-1430131852702.1709</v>
      </c>
      <c r="J3557" s="444">
        <f t="array" ref="J3557">IFERROR(INDEX('Retirement Calculator'!K:K,MATCH('Lorri 401b'!N3557,'Retirement Calculator'!A:A,0),0),0)</f>
        <v>0</v>
      </c>
      <c r="K3557" s="444">
        <f t="shared" ca="1" si="148"/>
        <v>-5958882719.5923786</v>
      </c>
      <c r="L3557" s="444">
        <f t="shared" ca="1" si="149"/>
        <v>-1436090735421.7632</v>
      </c>
      <c r="M3557" s="460">
        <f t="shared" si="151"/>
        <v>0.05</v>
      </c>
      <c r="N3557" s="464">
        <f t="shared" si="152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50"/>
        <v>-1436090735421.7632</v>
      </c>
      <c r="J3558" s="444">
        <f t="array" ref="J3558">IFERROR(INDEX('Retirement Calculator'!K:K,MATCH('Lorri 401b'!N3558,'Retirement Calculator'!A:A,0),0),0)</f>
        <v>0</v>
      </c>
      <c r="K3558" s="444">
        <f t="shared" ca="1" si="148"/>
        <v>-5983711397.5906801</v>
      </c>
      <c r="L3558" s="444">
        <f t="shared" ca="1" si="149"/>
        <v>-1442074446819.3538</v>
      </c>
      <c r="M3558" s="460">
        <f t="shared" si="151"/>
        <v>0.05</v>
      </c>
      <c r="N3558" s="464">
        <f t="shared" si="152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50"/>
        <v>-1442074446819.3538</v>
      </c>
      <c r="J3559" s="444">
        <f t="array" ref="J3559">IFERROR(INDEX('Retirement Calculator'!K:K,MATCH('Lorri 401b'!N3559,'Retirement Calculator'!A:A,0),0),0)</f>
        <v>0</v>
      </c>
      <c r="K3559" s="444">
        <f t="shared" ca="1" si="148"/>
        <v>-6008643528.4139738</v>
      </c>
      <c r="L3559" s="444">
        <f t="shared" ca="1" si="149"/>
        <v>-1448083090347.7678</v>
      </c>
      <c r="M3559" s="460">
        <f t="shared" si="151"/>
        <v>0.05</v>
      </c>
      <c r="N3559" s="464">
        <f t="shared" si="152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50"/>
        <v>-1448083090347.7678</v>
      </c>
      <c r="J3560" s="444">
        <f t="array" ref="J3560">IFERROR(INDEX('Retirement Calculator'!K:K,MATCH('Lorri 401b'!N3560,'Retirement Calculator'!A:A,0),0),0)</f>
        <v>0</v>
      </c>
      <c r="K3560" s="444">
        <f t="shared" ca="1" si="148"/>
        <v>-6033679543.1156988</v>
      </c>
      <c r="L3560" s="444">
        <f t="shared" ca="1" si="149"/>
        <v>-1454116769890.8835</v>
      </c>
      <c r="M3560" s="460">
        <f t="shared" si="151"/>
        <v>0.05</v>
      </c>
      <c r="N3560" s="464">
        <f t="shared" si="152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50"/>
        <v>-1454116769890.8835</v>
      </c>
      <c r="J3561" s="444">
        <f t="array" ref="J3561">IFERROR(INDEX('Retirement Calculator'!K:K,MATCH('Lorri 401b'!N3561,'Retirement Calculator'!A:A,0),0),0)</f>
        <v>0</v>
      </c>
      <c r="K3561" s="444">
        <f t="shared" ca="1" si="148"/>
        <v>-6058819874.5453482</v>
      </c>
      <c r="L3561" s="444">
        <f t="shared" ca="1" si="149"/>
        <v>-1460175589765.429</v>
      </c>
      <c r="M3561" s="460">
        <f t="shared" si="151"/>
        <v>0.05</v>
      </c>
      <c r="N3561" s="464">
        <f t="shared" si="152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50"/>
        <v>-1460175589765.429</v>
      </c>
      <c r="J3562" s="444">
        <f t="array" ref="J3562">IFERROR(INDEX('Retirement Calculator'!K:K,MATCH('Lorri 401b'!N3562,'Retirement Calculator'!A:A,0),0),0)</f>
        <v>0</v>
      </c>
      <c r="K3562" s="444">
        <f t="shared" ca="1" si="148"/>
        <v>-6084064957.3559542</v>
      </c>
      <c r="L3562" s="444">
        <f t="shared" ca="1" si="149"/>
        <v>-1466259654722.7849</v>
      </c>
      <c r="M3562" s="460">
        <f t="shared" si="151"/>
        <v>0.05</v>
      </c>
      <c r="N3562" s="464">
        <f t="shared" si="152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50"/>
        <v>-1466259654722.7849</v>
      </c>
      <c r="J3563" s="444">
        <f t="array" ref="J3563">IFERROR(INDEX('Retirement Calculator'!K:K,MATCH('Lorri 401b'!N3563,'Retirement Calculator'!A:A,0),0),0)</f>
        <v>0</v>
      </c>
      <c r="K3563" s="444">
        <f t="shared" ca="1" si="148"/>
        <v>-6109415228.0116034</v>
      </c>
      <c r="L3563" s="444">
        <f t="shared" ca="1" si="149"/>
        <v>-1472369069950.7966</v>
      </c>
      <c r="M3563" s="460">
        <f t="shared" si="151"/>
        <v>0.05</v>
      </c>
      <c r="N3563" s="464">
        <f t="shared" si="152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50"/>
        <v>-1472369069950.7966</v>
      </c>
      <c r="J3564" s="444">
        <f t="array" ref="J3564">IFERROR(INDEX('Retirement Calculator'!K:K,MATCH('Lorri 401b'!N3564,'Retirement Calculator'!A:A,0),0),0)</f>
        <v>0</v>
      </c>
      <c r="K3564" s="444">
        <f t="shared" ca="1" si="148"/>
        <v>-6134871124.7949858</v>
      </c>
      <c r="L3564" s="444">
        <f t="shared" ca="1" si="149"/>
        <v>-1478503941075.5916</v>
      </c>
      <c r="M3564" s="460">
        <f t="shared" si="151"/>
        <v>0.05</v>
      </c>
      <c r="N3564" s="464">
        <f t="shared" si="152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50"/>
        <v>-1478503941075.5916</v>
      </c>
      <c r="J3565" s="444">
        <f t="array" ref="J3565">IFERROR(INDEX('Retirement Calculator'!K:K,MATCH('Lorri 401b'!N3565,'Retirement Calculator'!A:A,0),0),0)</f>
        <v>0</v>
      </c>
      <c r="K3565" s="444">
        <f t="shared" ca="1" si="148"/>
        <v>-6160433087.8149643</v>
      </c>
      <c r="L3565" s="444">
        <f t="shared" ca="1" si="149"/>
        <v>-1484664374163.4065</v>
      </c>
      <c r="M3565" s="460">
        <f t="shared" si="151"/>
        <v>0.05</v>
      </c>
      <c r="N3565" s="464">
        <f t="shared" si="152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50"/>
        <v>-1484664374163.4065</v>
      </c>
      <c r="J3566" s="444">
        <f t="array" ref="J3566">IFERROR(INDEX('Retirement Calculator'!K:K,MATCH('Lorri 401b'!N3566,'Retirement Calculator'!A:A,0),0),0)</f>
        <v>0</v>
      </c>
      <c r="K3566" s="444">
        <f t="shared" ca="1" si="148"/>
        <v>-6186101559.0141935</v>
      </c>
      <c r="L3566" s="444">
        <f t="shared" ca="1" si="149"/>
        <v>-1490850475722.4207</v>
      </c>
      <c r="M3566" s="460">
        <f t="shared" si="151"/>
        <v>0.05</v>
      </c>
      <c r="N3566" s="464">
        <f t="shared" si="152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50"/>
        <v>-1490850475722.4207</v>
      </c>
      <c r="J3567" s="444">
        <f t="array" ref="J3567">IFERROR(INDEX('Retirement Calculator'!K:K,MATCH('Lorri 401b'!N3567,'Retirement Calculator'!A:A,0),0),0)</f>
        <v>0</v>
      </c>
      <c r="K3567" s="444">
        <f t="shared" ca="1" si="148"/>
        <v>-6211876982.176753</v>
      </c>
      <c r="L3567" s="444">
        <f t="shared" ca="1" si="149"/>
        <v>-1497062352704.5974</v>
      </c>
      <c r="M3567" s="460">
        <f t="shared" si="151"/>
        <v>0.05</v>
      </c>
      <c r="N3567" s="464">
        <f t="shared" si="152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50"/>
        <v>-1497062352704.5974</v>
      </c>
      <c r="J3568" s="444">
        <f t="array" ref="J3568">IFERROR(INDEX('Retirement Calculator'!K:K,MATCH('Lorri 401b'!N3568,'Retirement Calculator'!A:A,0),0),0)</f>
        <v>0</v>
      </c>
      <c r="K3568" s="444">
        <f t="shared" ca="1" si="148"/>
        <v>-6237759802.9358225</v>
      </c>
      <c r="L3568" s="444">
        <f t="shared" ca="1" si="149"/>
        <v>-1503300112507.5332</v>
      </c>
      <c r="M3568" s="460">
        <f t="shared" si="151"/>
        <v>0.05</v>
      </c>
      <c r="N3568" s="464">
        <f t="shared" si="152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50"/>
        <v>-1503300112507.5332</v>
      </c>
      <c r="J3569" s="444">
        <f t="array" ref="J3569">IFERROR(INDEX('Retirement Calculator'!K:K,MATCH('Lorri 401b'!N3569,'Retirement Calculator'!A:A,0),0),0)</f>
        <v>0</v>
      </c>
      <c r="K3569" s="444">
        <f t="shared" ca="1" si="148"/>
        <v>-6263750468.7813883</v>
      </c>
      <c r="L3569" s="444">
        <f t="shared" ca="1" si="149"/>
        <v>-1509563862976.3147</v>
      </c>
      <c r="M3569" s="460">
        <f t="shared" si="151"/>
        <v>0.05</v>
      </c>
      <c r="N3569" s="464">
        <f t="shared" si="152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50"/>
        <v>-1509563862976.3147</v>
      </c>
      <c r="J3570" s="444">
        <f t="array" ref="J3570">IFERROR(INDEX('Retirement Calculator'!K:K,MATCH('Lorri 401b'!N3570,'Retirement Calculator'!A:A,0),0),0)</f>
        <v>0</v>
      </c>
      <c r="K3570" s="444">
        <f t="shared" ca="1" si="148"/>
        <v>-6289849429.0679779</v>
      </c>
      <c r="L3570" s="444">
        <f t="shared" ca="1" si="149"/>
        <v>-1515853712405.3826</v>
      </c>
      <c r="M3570" s="460">
        <f t="shared" si="151"/>
        <v>0.05</v>
      </c>
      <c r="N3570" s="464">
        <f t="shared" si="152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50"/>
        <v>-1515853712405.3826</v>
      </c>
      <c r="J3571" s="444">
        <f t="array" ref="J3571">IFERROR(INDEX('Retirement Calculator'!K:K,MATCH('Lorri 401b'!N3571,'Retirement Calculator'!A:A,0),0),0)</f>
        <v>0</v>
      </c>
      <c r="K3571" s="444">
        <f t="shared" ca="1" si="148"/>
        <v>-6316057135.0224276</v>
      </c>
      <c r="L3571" s="444">
        <f t="shared" ca="1" si="149"/>
        <v>-1522169769540.405</v>
      </c>
      <c r="M3571" s="460">
        <f t="shared" si="151"/>
        <v>0.05</v>
      </c>
      <c r="N3571" s="464">
        <f t="shared" si="152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50"/>
        <v>-1522169769540.405</v>
      </c>
      <c r="J3572" s="444">
        <f t="array" ref="J3572">IFERROR(INDEX('Retirement Calculator'!K:K,MATCH('Lorri 401b'!N3572,'Retirement Calculator'!A:A,0),0),0)</f>
        <v>0</v>
      </c>
      <c r="K3572" s="444">
        <f t="shared" ca="1" si="148"/>
        <v>-6342374039.751688</v>
      </c>
      <c r="L3572" s="444">
        <f t="shared" ca="1" si="149"/>
        <v>-1528512143580.1567</v>
      </c>
      <c r="M3572" s="460">
        <f t="shared" si="151"/>
        <v>0.05</v>
      </c>
      <c r="N3572" s="464">
        <f t="shared" si="152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50"/>
        <v>-1528512143580.1567</v>
      </c>
      <c r="J3573" s="444">
        <f t="array" ref="J3573">IFERROR(INDEX('Retirement Calculator'!K:K,MATCH('Lorri 401b'!N3573,'Retirement Calculator'!A:A,0),0),0)</f>
        <v>0</v>
      </c>
      <c r="K3573" s="444">
        <f t="shared" ca="1" si="148"/>
        <v>-6368800598.2506533</v>
      </c>
      <c r="L3573" s="444">
        <f t="shared" ca="1" si="149"/>
        <v>-1534880944178.4075</v>
      </c>
      <c r="M3573" s="460">
        <f t="shared" si="151"/>
        <v>0.05</v>
      </c>
      <c r="N3573" s="464">
        <f t="shared" si="152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50"/>
        <v>-1534880944178.4075</v>
      </c>
      <c r="J3574" s="444">
        <f t="array" ref="J3574">IFERROR(INDEX('Retirement Calculator'!K:K,MATCH('Lorri 401b'!N3574,'Retirement Calculator'!A:A,0),0),0)</f>
        <v>0</v>
      </c>
      <c r="K3574" s="444">
        <f t="shared" ca="1" si="148"/>
        <v>-6395337267.4100313</v>
      </c>
      <c r="L3574" s="444">
        <f t="shared" ca="1" si="149"/>
        <v>-1541276281445.8174</v>
      </c>
      <c r="M3574" s="460">
        <f t="shared" si="151"/>
        <v>0.05</v>
      </c>
      <c r="N3574" s="464">
        <f t="shared" si="152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50"/>
        <v>-1541276281445.8174</v>
      </c>
      <c r="J3575" s="444">
        <f t="array" ref="J3575">IFERROR(INDEX('Retirement Calculator'!K:K,MATCH('Lorri 401b'!N3575,'Retirement Calculator'!A:A,0),0),0)</f>
        <v>0</v>
      </c>
      <c r="K3575" s="444">
        <f t="shared" ca="1" si="148"/>
        <v>-6421984506.0242386</v>
      </c>
      <c r="L3575" s="444">
        <f t="shared" ca="1" si="149"/>
        <v>-1547698265951.8416</v>
      </c>
      <c r="M3575" s="460">
        <f t="shared" si="151"/>
        <v>0.05</v>
      </c>
      <c r="N3575" s="464">
        <f t="shared" si="152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50"/>
        <v>-1547698265951.8416</v>
      </c>
      <c r="J3576" s="444">
        <f t="array" ref="J3576">IFERROR(INDEX('Retirement Calculator'!K:K,MATCH('Lorri 401b'!N3576,'Retirement Calculator'!A:A,0),0),0)</f>
        <v>0</v>
      </c>
      <c r="K3576" s="444">
        <f t="shared" ca="1" si="148"/>
        <v>-6448742774.7993393</v>
      </c>
      <c r="L3576" s="444">
        <f t="shared" ca="1" si="149"/>
        <v>-1554147008726.6409</v>
      </c>
      <c r="M3576" s="460">
        <f t="shared" si="151"/>
        <v>0.05</v>
      </c>
      <c r="N3576" s="464">
        <f t="shared" si="152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50"/>
        <v>-1554147008726.6409</v>
      </c>
      <c r="J3577" s="444">
        <f t="array" ref="J3577">IFERROR(INDEX('Retirement Calculator'!K:K,MATCH('Lorri 401b'!N3577,'Retirement Calculator'!A:A,0),0),0)</f>
        <v>0</v>
      </c>
      <c r="K3577" s="444">
        <f t="shared" ca="1" si="148"/>
        <v>-6475612536.3610039</v>
      </c>
      <c r="L3577" s="444">
        <f t="shared" ca="1" si="149"/>
        <v>-1560622621263.002</v>
      </c>
      <c r="M3577" s="460">
        <f t="shared" si="151"/>
        <v>0.05</v>
      </c>
      <c r="N3577" s="464">
        <f t="shared" si="152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50"/>
        <v>-1560622621263.002</v>
      </c>
      <c r="J3578" s="444">
        <f t="array" ref="J3578">IFERROR(INDEX('Retirement Calculator'!K:K,MATCH('Lorri 401b'!N3578,'Retirement Calculator'!A:A,0),0),0)</f>
        <v>0</v>
      </c>
      <c r="K3578" s="444">
        <f t="shared" ref="K3578:K3832" ca="1" si="153">IPMT(M3578/12,1,12,-I3578+J3578,,0)</f>
        <v>-6502594255.2625084</v>
      </c>
      <c r="L3578" s="444">
        <f t="shared" ref="L3578:L3832" ca="1" si="154">I3578-J3578+K3578</f>
        <v>-1567125215518.2644</v>
      </c>
      <c r="M3578" s="460">
        <f t="shared" si="151"/>
        <v>0.05</v>
      </c>
      <c r="N3578" s="464">
        <f t="shared" si="152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55">L3578</f>
        <v>-1567125215518.2644</v>
      </c>
      <c r="J3579" s="444">
        <f t="array" ref="J3579">IFERROR(INDEX('Retirement Calculator'!K:K,MATCH('Lorri 401b'!N3579,'Retirement Calculator'!A:A,0),0),0)</f>
        <v>0</v>
      </c>
      <c r="K3579" s="444">
        <f t="shared" ca="1" si="153"/>
        <v>-6529688397.9927683</v>
      </c>
      <c r="L3579" s="444">
        <f t="shared" ca="1" si="154"/>
        <v>-1573654903916.2571</v>
      </c>
      <c r="M3579" s="460">
        <f t="shared" ref="M3579:M3833" si="156">M3578</f>
        <v>0.05</v>
      </c>
      <c r="N3579" s="464">
        <f t="shared" ref="N3579:N3833" si="157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55"/>
        <v>-1573654903916.2571</v>
      </c>
      <c r="J3580" s="444">
        <f t="array" ref="J3580">IFERROR(INDEX('Retirement Calculator'!K:K,MATCH('Lorri 401b'!N3580,'Retirement Calculator'!A:A,0),0),0)</f>
        <v>0</v>
      </c>
      <c r="K3580" s="444">
        <f t="shared" ca="1" si="153"/>
        <v>-6556895432.9844046</v>
      </c>
      <c r="L3580" s="444">
        <f t="shared" ca="1" si="154"/>
        <v>-1580211799349.2415</v>
      </c>
      <c r="M3580" s="460">
        <f t="shared" si="156"/>
        <v>0.05</v>
      </c>
      <c r="N3580" s="464">
        <f t="shared" si="157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55"/>
        <v>-1580211799349.2415</v>
      </c>
      <c r="J3581" s="444">
        <f t="array" ref="J3581">IFERROR(INDEX('Retirement Calculator'!K:K,MATCH('Lorri 401b'!N3581,'Retirement Calculator'!A:A,0),0),0)</f>
        <v>0</v>
      </c>
      <c r="K3581" s="444">
        <f t="shared" ca="1" si="153"/>
        <v>-6584215830.6218395</v>
      </c>
      <c r="L3581" s="444">
        <f t="shared" ca="1" si="154"/>
        <v>-1586796015179.8633</v>
      </c>
      <c r="M3581" s="460">
        <f t="shared" si="156"/>
        <v>0.05</v>
      </c>
      <c r="N3581" s="464">
        <f t="shared" si="157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55"/>
        <v>-1586796015179.8633</v>
      </c>
      <c r="J3582" s="444">
        <f t="array" ref="J3582">IFERROR(INDEX('Retirement Calculator'!K:K,MATCH('Lorri 401b'!N3582,'Retirement Calculator'!A:A,0),0),0)</f>
        <v>0</v>
      </c>
      <c r="K3582" s="444">
        <f t="shared" ca="1" si="153"/>
        <v>-6611650063.2494307</v>
      </c>
      <c r="L3582" s="444">
        <f t="shared" ca="1" si="154"/>
        <v>-1593407665243.1128</v>
      </c>
      <c r="M3582" s="460">
        <f t="shared" si="156"/>
        <v>0.05</v>
      </c>
      <c r="N3582" s="464">
        <f t="shared" si="157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55"/>
        <v>-1593407665243.1128</v>
      </c>
      <c r="J3583" s="444">
        <f t="array" ref="J3583">IFERROR(INDEX('Retirement Calculator'!K:K,MATCH('Lorri 401b'!N3583,'Retirement Calculator'!A:A,0),0),0)</f>
        <v>0</v>
      </c>
      <c r="K3583" s="444">
        <f t="shared" ca="1" si="153"/>
        <v>-6639198605.179637</v>
      </c>
      <c r="L3583" s="444">
        <f t="shared" ca="1" si="154"/>
        <v>-1600046863848.2925</v>
      </c>
      <c r="M3583" s="460">
        <f t="shared" si="156"/>
        <v>0.05</v>
      </c>
      <c r="N3583" s="464">
        <f t="shared" si="157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55"/>
        <v>-1600046863848.2925</v>
      </c>
      <c r="J3584" s="444">
        <f t="array" ref="J3584">IFERROR(INDEX('Retirement Calculator'!K:K,MATCH('Lorri 401b'!N3584,'Retirement Calculator'!A:A,0),0),0)</f>
        <v>0</v>
      </c>
      <c r="K3584" s="444">
        <f t="shared" ca="1" si="153"/>
        <v>-6666861932.7012186</v>
      </c>
      <c r="L3584" s="444">
        <f t="shared" ca="1" si="154"/>
        <v>-1606713725780.9937</v>
      </c>
      <c r="M3584" s="460">
        <f t="shared" si="156"/>
        <v>0.05</v>
      </c>
      <c r="N3584" s="464">
        <f t="shared" si="157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55"/>
        <v>-1606713725780.9937</v>
      </c>
      <c r="J3585" s="444">
        <f t="array" ref="J3585">IFERROR(INDEX('Retirement Calculator'!K:K,MATCH('Lorri 401b'!N3585,'Retirement Calculator'!A:A,0),0),0)</f>
        <v>0</v>
      </c>
      <c r="K3585" s="444">
        <f t="shared" ca="1" si="153"/>
        <v>-6694640524.0874739</v>
      </c>
      <c r="L3585" s="444">
        <f t="shared" ca="1" si="154"/>
        <v>-1613408366305.0811</v>
      </c>
      <c r="M3585" s="460">
        <f t="shared" si="156"/>
        <v>0.05</v>
      </c>
      <c r="N3585" s="464">
        <f t="shared" si="157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55"/>
        <v>-1613408366305.0811</v>
      </c>
      <c r="J3586" s="444">
        <f t="array" ref="J3586">IFERROR(INDEX('Retirement Calculator'!K:K,MATCH('Lorri 401b'!N3586,'Retirement Calculator'!A:A,0),0),0)</f>
        <v>0</v>
      </c>
      <c r="K3586" s="444">
        <f t="shared" ca="1" si="153"/>
        <v>-6722534859.6045046</v>
      </c>
      <c r="L3586" s="444">
        <f t="shared" ca="1" si="154"/>
        <v>-1620130901164.6855</v>
      </c>
      <c r="M3586" s="460">
        <f t="shared" si="156"/>
        <v>0.05</v>
      </c>
      <c r="N3586" s="464">
        <f t="shared" si="157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55"/>
        <v>-1620130901164.6855</v>
      </c>
      <c r="J3587" s="444">
        <f t="array" ref="J3587">IFERROR(INDEX('Retirement Calculator'!K:K,MATCH('Lorri 401b'!N3587,'Retirement Calculator'!A:A,0),0),0)</f>
        <v>0</v>
      </c>
      <c r="K3587" s="444">
        <f t="shared" ca="1" si="153"/>
        <v>-6750545421.5195227</v>
      </c>
      <c r="L3587" s="444">
        <f t="shared" ca="1" si="154"/>
        <v>-1626881446586.2051</v>
      </c>
      <c r="M3587" s="460">
        <f t="shared" si="156"/>
        <v>0.05</v>
      </c>
      <c r="N3587" s="464">
        <f t="shared" si="157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55"/>
        <v>-1626881446586.2051</v>
      </c>
      <c r="J3588" s="444">
        <f t="array" ref="J3588">IFERROR(INDEX('Retirement Calculator'!K:K,MATCH('Lorri 401b'!N3588,'Retirement Calculator'!A:A,0),0),0)</f>
        <v>0</v>
      </c>
      <c r="K3588" s="444">
        <f t="shared" ca="1" si="153"/>
        <v>-6778672694.1091881</v>
      </c>
      <c r="L3588" s="444">
        <f t="shared" ca="1" si="154"/>
        <v>-1633660119280.3142</v>
      </c>
      <c r="M3588" s="460">
        <f t="shared" si="156"/>
        <v>0.05</v>
      </c>
      <c r="N3588" s="464">
        <f t="shared" si="157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55"/>
        <v>-1633660119280.3142</v>
      </c>
      <c r="J3589" s="444">
        <f t="array" ref="J3589">IFERROR(INDEX('Retirement Calculator'!K:K,MATCH('Lorri 401b'!N3589,'Retirement Calculator'!A:A,0),0),0)</f>
        <v>0</v>
      </c>
      <c r="K3589" s="444">
        <f t="shared" ca="1" si="153"/>
        <v>-6806917163.6679754</v>
      </c>
      <c r="L3589" s="444">
        <f t="shared" ca="1" si="154"/>
        <v>-1640467036443.9822</v>
      </c>
      <c r="M3589" s="460">
        <f t="shared" si="156"/>
        <v>0.05</v>
      </c>
      <c r="N3589" s="464">
        <f t="shared" si="157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55"/>
        <v>-1640467036443.9822</v>
      </c>
      <c r="J3590" s="444">
        <f t="array" ref="J3590">IFERROR(INDEX('Retirement Calculator'!K:K,MATCH('Lorri 401b'!N3590,'Retirement Calculator'!A:A,0),0),0)</f>
        <v>0</v>
      </c>
      <c r="K3590" s="444">
        <f t="shared" ca="1" si="153"/>
        <v>-6835279318.516592</v>
      </c>
      <c r="L3590" s="444">
        <f t="shared" ca="1" si="154"/>
        <v>-1647302315762.4988</v>
      </c>
      <c r="M3590" s="460">
        <f t="shared" si="156"/>
        <v>0.05</v>
      </c>
      <c r="N3590" s="464">
        <f t="shared" si="157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55"/>
        <v>-1647302315762.4988</v>
      </c>
      <c r="J3591" s="444">
        <f t="array" ref="J3591">IFERROR(INDEX('Retirement Calculator'!K:K,MATCH('Lorri 401b'!N3591,'Retirement Calculator'!A:A,0),0),0)</f>
        <v>0</v>
      </c>
      <c r="K3591" s="444">
        <f t="shared" ca="1" si="153"/>
        <v>-6863759649.0104113</v>
      </c>
      <c r="L3591" s="444">
        <f t="shared" ca="1" si="154"/>
        <v>-1654166075411.5093</v>
      </c>
      <c r="M3591" s="460">
        <f t="shared" si="156"/>
        <v>0.05</v>
      </c>
      <c r="N3591" s="464">
        <f t="shared" si="157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55"/>
        <v>-1654166075411.5093</v>
      </c>
      <c r="J3592" s="444">
        <f t="array" ref="J3592">IFERROR(INDEX('Retirement Calculator'!K:K,MATCH('Lorri 401b'!N3592,'Retirement Calculator'!A:A,0),0),0)</f>
        <v>0</v>
      </c>
      <c r="K3592" s="444">
        <f t="shared" ca="1" si="153"/>
        <v>-6892358647.5479555</v>
      </c>
      <c r="L3592" s="444">
        <f t="shared" ca="1" si="154"/>
        <v>-1661058434059.0571</v>
      </c>
      <c r="M3592" s="460">
        <f t="shared" si="156"/>
        <v>0.05</v>
      </c>
      <c r="N3592" s="464">
        <f t="shared" si="157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55"/>
        <v>-1661058434059.0571</v>
      </c>
      <c r="J3593" s="444">
        <f t="array" ref="J3593">IFERROR(INDEX('Retirement Calculator'!K:K,MATCH('Lorri 401b'!N3593,'Retirement Calculator'!A:A,0),0),0)</f>
        <v>0</v>
      </c>
      <c r="K3593" s="444">
        <f t="shared" ca="1" si="153"/>
        <v>-6921076808.5794048</v>
      </c>
      <c r="L3593" s="444">
        <f t="shared" ca="1" si="154"/>
        <v>-1667979510867.6365</v>
      </c>
      <c r="M3593" s="460">
        <f t="shared" si="156"/>
        <v>0.05</v>
      </c>
      <c r="N3593" s="464">
        <f t="shared" si="157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55"/>
        <v>-1667979510867.6365</v>
      </c>
      <c r="J3594" s="444">
        <f t="array" ref="J3594">IFERROR(INDEX('Retirement Calculator'!K:K,MATCH('Lorri 401b'!N3594,'Retirement Calculator'!A:A,0),0),0)</f>
        <v>0</v>
      </c>
      <c r="K3594" s="444">
        <f t="shared" ca="1" si="153"/>
        <v>-6949914628.6151514</v>
      </c>
      <c r="L3594" s="444">
        <f t="shared" ca="1" si="154"/>
        <v>-1674929425496.2517</v>
      </c>
      <c r="M3594" s="460">
        <f t="shared" si="156"/>
        <v>0.05</v>
      </c>
      <c r="N3594" s="464">
        <f t="shared" si="157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55"/>
        <v>-1674929425496.2517</v>
      </c>
      <c r="J3595" s="444">
        <f t="array" ref="J3595">IFERROR(INDEX('Retirement Calculator'!K:K,MATCH('Lorri 401b'!N3595,'Retirement Calculator'!A:A,0),0),0)</f>
        <v>0</v>
      </c>
      <c r="K3595" s="444">
        <f t="shared" ca="1" si="153"/>
        <v>-6978872606.2343817</v>
      </c>
      <c r="L3595" s="444">
        <f t="shared" ca="1" si="154"/>
        <v>-1681908298102.4861</v>
      </c>
      <c r="M3595" s="460">
        <f t="shared" si="156"/>
        <v>0.05</v>
      </c>
      <c r="N3595" s="464">
        <f t="shared" si="157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55"/>
        <v>-1681908298102.4861</v>
      </c>
      <c r="J3596" s="444">
        <f t="array" ref="J3596">IFERROR(INDEX('Retirement Calculator'!K:K,MATCH('Lorri 401b'!N3596,'Retirement Calculator'!A:A,0),0),0)</f>
        <v>0</v>
      </c>
      <c r="K3596" s="444">
        <f t="shared" ca="1" si="153"/>
        <v>-7007951242.0936918</v>
      </c>
      <c r="L3596" s="444">
        <f t="shared" ca="1" si="154"/>
        <v>-1688916249344.5798</v>
      </c>
      <c r="M3596" s="460">
        <f t="shared" si="156"/>
        <v>0.05</v>
      </c>
      <c r="N3596" s="464">
        <f t="shared" si="157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55"/>
        <v>-1688916249344.5798</v>
      </c>
      <c r="J3597" s="444">
        <f t="array" ref="J3597">IFERROR(INDEX('Retirement Calculator'!K:K,MATCH('Lorri 401b'!N3597,'Retirement Calculator'!A:A,0),0),0)</f>
        <v>0</v>
      </c>
      <c r="K3597" s="444">
        <f t="shared" ca="1" si="153"/>
        <v>-7037151038.9357491</v>
      </c>
      <c r="L3597" s="444">
        <f t="shared" ca="1" si="154"/>
        <v>-1695953400383.5156</v>
      </c>
      <c r="M3597" s="460">
        <f t="shared" si="156"/>
        <v>0.05</v>
      </c>
      <c r="N3597" s="464">
        <f t="shared" si="157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55"/>
        <v>-1695953400383.5156</v>
      </c>
      <c r="J3598" s="444">
        <f t="array" ref="J3598">IFERROR(INDEX('Retirement Calculator'!K:K,MATCH('Lorri 401b'!N3598,'Retirement Calculator'!A:A,0),0),0)</f>
        <v>0</v>
      </c>
      <c r="K3598" s="444">
        <f t="shared" ca="1" si="153"/>
        <v>-7066472501.5979815</v>
      </c>
      <c r="L3598" s="444">
        <f t="shared" ca="1" si="154"/>
        <v>-1703019872885.1135</v>
      </c>
      <c r="M3598" s="460">
        <f t="shared" si="156"/>
        <v>0.05</v>
      </c>
      <c r="N3598" s="464">
        <f t="shared" si="157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55"/>
        <v>-1703019872885.1135</v>
      </c>
      <c r="J3599" s="444">
        <f t="array" ref="J3599">IFERROR(INDEX('Retirement Calculator'!K:K,MATCH('Lorri 401b'!N3599,'Retirement Calculator'!A:A,0),0),0)</f>
        <v>0</v>
      </c>
      <c r="K3599" s="444">
        <f t="shared" ca="1" si="153"/>
        <v>-7095916137.021306</v>
      </c>
      <c r="L3599" s="444">
        <f t="shared" ca="1" si="154"/>
        <v>-1710115789022.1348</v>
      </c>
      <c r="M3599" s="460">
        <f t="shared" si="156"/>
        <v>0.05</v>
      </c>
      <c r="N3599" s="464">
        <f t="shared" si="157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55"/>
        <v>-1710115789022.1348</v>
      </c>
      <c r="J3600" s="444">
        <f t="array" ref="J3600">IFERROR(INDEX('Retirement Calculator'!K:K,MATCH('Lorri 401b'!N3600,'Retirement Calculator'!A:A,0),0),0)</f>
        <v>0</v>
      </c>
      <c r="K3600" s="444">
        <f t="shared" ca="1" si="153"/>
        <v>-7125482454.2588949</v>
      </c>
      <c r="L3600" s="444">
        <f t="shared" ca="1" si="154"/>
        <v>-1717241271476.3936</v>
      </c>
      <c r="M3600" s="460">
        <f t="shared" si="156"/>
        <v>0.05</v>
      </c>
      <c r="N3600" s="464">
        <f t="shared" si="157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55"/>
        <v>-1717241271476.3936</v>
      </c>
      <c r="J3601" s="444">
        <f t="array" ref="J3601">IFERROR(INDEX('Retirement Calculator'!K:K,MATCH('Lorri 401b'!N3601,'Retirement Calculator'!A:A,0),0),0)</f>
        <v>0</v>
      </c>
      <c r="K3601" s="444">
        <f t="shared" ca="1" si="153"/>
        <v>-7155171964.484973</v>
      </c>
      <c r="L3601" s="444">
        <f t="shared" ca="1" si="154"/>
        <v>-1724396443440.8784</v>
      </c>
      <c r="M3601" s="460">
        <f t="shared" si="156"/>
        <v>0.05</v>
      </c>
      <c r="N3601" s="464">
        <f t="shared" si="157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55"/>
        <v>-1724396443440.8784</v>
      </c>
      <c r="J3602" s="444">
        <f t="array" ref="J3602">IFERROR(INDEX('Retirement Calculator'!K:K,MATCH('Lorri 401b'!N3602,'Retirement Calculator'!A:A,0),0),0)</f>
        <v>0</v>
      </c>
      <c r="K3602" s="444">
        <f t="shared" ca="1" si="153"/>
        <v>-7184985181.0036612</v>
      </c>
      <c r="L3602" s="444">
        <f t="shared" ca="1" si="154"/>
        <v>-1731581428621.8821</v>
      </c>
      <c r="M3602" s="460">
        <f t="shared" si="156"/>
        <v>0.05</v>
      </c>
      <c r="N3602" s="464">
        <f t="shared" si="157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55"/>
        <v>-1731581428621.8821</v>
      </c>
      <c r="J3603" s="444">
        <f t="array" ref="J3603">IFERROR(INDEX('Retirement Calculator'!K:K,MATCH('Lorri 401b'!N3603,'Retirement Calculator'!A:A,0),0),0)</f>
        <v>0</v>
      </c>
      <c r="K3603" s="444">
        <f t="shared" ca="1" si="153"/>
        <v>-7214922619.2578421</v>
      </c>
      <c r="L3603" s="444">
        <f t="shared" ca="1" si="154"/>
        <v>-1738796351241.1399</v>
      </c>
      <c r="M3603" s="460">
        <f t="shared" si="156"/>
        <v>0.05</v>
      </c>
      <c r="N3603" s="464">
        <f t="shared" si="157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55"/>
        <v>-1738796351241.1399</v>
      </c>
      <c r="J3604" s="444">
        <f t="array" ref="J3604">IFERROR(INDEX('Retirement Calculator'!K:K,MATCH('Lorri 401b'!N3604,'Retirement Calculator'!A:A,0),0),0)</f>
        <v>0</v>
      </c>
      <c r="K3604" s="444">
        <f t="shared" ca="1" si="153"/>
        <v>-7244984796.8380823</v>
      </c>
      <c r="L3604" s="444">
        <f t="shared" ca="1" si="154"/>
        <v>-1746041336037.978</v>
      </c>
      <c r="M3604" s="460">
        <f t="shared" si="156"/>
        <v>0.05</v>
      </c>
      <c r="N3604" s="464">
        <f t="shared" si="157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55"/>
        <v>-1746041336037.978</v>
      </c>
      <c r="J3605" s="444">
        <f t="array" ref="J3605">IFERROR(INDEX('Retirement Calculator'!K:K,MATCH('Lorri 401b'!N3605,'Retirement Calculator'!A:A,0),0),0)</f>
        <v>0</v>
      </c>
      <c r="K3605" s="444">
        <f t="shared" ca="1" si="153"/>
        <v>-7275172233.4915762</v>
      </c>
      <c r="L3605" s="444">
        <f t="shared" ca="1" si="154"/>
        <v>-1753316508271.4695</v>
      </c>
      <c r="M3605" s="460">
        <f t="shared" si="156"/>
        <v>0.05</v>
      </c>
      <c r="N3605" s="464">
        <f t="shared" si="157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55"/>
        <v>-1753316508271.4695</v>
      </c>
      <c r="J3606" s="444">
        <f t="array" ref="J3606">IFERROR(INDEX('Retirement Calculator'!K:K,MATCH('Lorri 401b'!N3606,'Retirement Calculator'!A:A,0),0),0)</f>
        <v>0</v>
      </c>
      <c r="K3606" s="444">
        <f t="shared" ca="1" si="153"/>
        <v>-7305485451.1311216</v>
      </c>
      <c r="L3606" s="444">
        <f t="shared" ca="1" si="154"/>
        <v>-1760621993722.6006</v>
      </c>
      <c r="M3606" s="460">
        <f t="shared" si="156"/>
        <v>0.05</v>
      </c>
      <c r="N3606" s="464">
        <f t="shared" si="157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55"/>
        <v>-1760621993722.6006</v>
      </c>
      <c r="J3607" s="444">
        <f t="array" ref="J3607">IFERROR(INDEX('Retirement Calculator'!K:K,MATCH('Lorri 401b'!N3607,'Retirement Calculator'!A:A,0),0),0)</f>
        <v>0</v>
      </c>
      <c r="K3607" s="444">
        <f t="shared" ca="1" si="153"/>
        <v>-7335924973.8441687</v>
      </c>
      <c r="L3607" s="444">
        <f t="shared" ca="1" si="154"/>
        <v>-1767957918696.4448</v>
      </c>
      <c r="M3607" s="460">
        <f t="shared" si="156"/>
        <v>0.05</v>
      </c>
      <c r="N3607" s="464">
        <f t="shared" si="157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55"/>
        <v>-1767957918696.4448</v>
      </c>
      <c r="J3608" s="444">
        <f t="array" ref="J3608">IFERROR(INDEX('Retirement Calculator'!K:K,MATCH('Lorri 401b'!N3608,'Retirement Calculator'!A:A,0),0),0)</f>
        <v>0</v>
      </c>
      <c r="K3608" s="444">
        <f t="shared" ca="1" si="153"/>
        <v>-7366491327.9018545</v>
      </c>
      <c r="L3608" s="444">
        <f t="shared" ca="1" si="154"/>
        <v>-1775324410024.3467</v>
      </c>
      <c r="M3608" s="460">
        <f t="shared" si="156"/>
        <v>0.05</v>
      </c>
      <c r="N3608" s="464">
        <f t="shared" si="157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55"/>
        <v>-1775324410024.3467</v>
      </c>
      <c r="J3609" s="444">
        <f t="array" ref="J3609">IFERROR(INDEX('Retirement Calculator'!K:K,MATCH('Lorri 401b'!N3609,'Retirement Calculator'!A:A,0),0),0)</f>
        <v>0</v>
      </c>
      <c r="K3609" s="444">
        <f t="shared" ca="1" si="153"/>
        <v>-7397185041.7681112</v>
      </c>
      <c r="L3609" s="444">
        <f t="shared" ca="1" si="154"/>
        <v>-1782721595066.1147</v>
      </c>
      <c r="M3609" s="460">
        <f t="shared" si="156"/>
        <v>0.05</v>
      </c>
      <c r="N3609" s="464">
        <f t="shared" si="157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55"/>
        <v>-1782721595066.1147</v>
      </c>
      <c r="J3610" s="444">
        <f t="array" ref="J3610">IFERROR(INDEX('Retirement Calculator'!K:K,MATCH('Lorri 401b'!N3610,'Retirement Calculator'!A:A,0),0),0)</f>
        <v>0</v>
      </c>
      <c r="K3610" s="444">
        <f t="shared" ca="1" si="153"/>
        <v>-7428006646.1088114</v>
      </c>
      <c r="L3610" s="444">
        <f t="shared" ca="1" si="154"/>
        <v>-1790149601712.2236</v>
      </c>
      <c r="M3610" s="460">
        <f t="shared" si="156"/>
        <v>0.05</v>
      </c>
      <c r="N3610" s="464">
        <f t="shared" si="157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55"/>
        <v>-1790149601712.2236</v>
      </c>
      <c r="J3611" s="444">
        <f t="array" ref="J3611">IFERROR(INDEX('Retirement Calculator'!K:K,MATCH('Lorri 401b'!N3611,'Retirement Calculator'!A:A,0),0),0)</f>
        <v>0</v>
      </c>
      <c r="K3611" s="444">
        <f t="shared" ca="1" si="153"/>
        <v>-7458956673.8009319</v>
      </c>
      <c r="L3611" s="444">
        <f t="shared" ca="1" si="154"/>
        <v>-1797608558386.0247</v>
      </c>
      <c r="M3611" s="460">
        <f t="shared" si="156"/>
        <v>0.05</v>
      </c>
      <c r="N3611" s="464">
        <f t="shared" si="157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55"/>
        <v>-1797608558386.0247</v>
      </c>
      <c r="J3612" s="444">
        <f t="array" ref="J3612">IFERROR(INDEX('Retirement Calculator'!K:K,MATCH('Lorri 401b'!N3612,'Retirement Calculator'!A:A,0),0),0)</f>
        <v>0</v>
      </c>
      <c r="K3612" s="444">
        <f t="shared" ca="1" si="153"/>
        <v>-7490035659.9417696</v>
      </c>
      <c r="L3612" s="444">
        <f t="shared" ca="1" si="154"/>
        <v>-1805098594045.9663</v>
      </c>
      <c r="M3612" s="460">
        <f t="shared" si="156"/>
        <v>0.05</v>
      </c>
      <c r="N3612" s="464">
        <f t="shared" si="157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55"/>
        <v>-1805098594045.9663</v>
      </c>
      <c r="J3613" s="444">
        <f t="array" ref="J3613">IFERROR(INDEX('Retirement Calculator'!K:K,MATCH('Lorri 401b'!N3613,'Retirement Calculator'!A:A,0),0),0)</f>
        <v>0</v>
      </c>
      <c r="K3613" s="444">
        <f t="shared" ca="1" si="153"/>
        <v>-7521244141.8581915</v>
      </c>
      <c r="L3613" s="444">
        <f t="shared" ca="1" si="154"/>
        <v>-1812619838187.8245</v>
      </c>
      <c r="M3613" s="460">
        <f t="shared" si="156"/>
        <v>0.05</v>
      </c>
      <c r="N3613" s="464">
        <f t="shared" si="157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55"/>
        <v>-1812619838187.8245</v>
      </c>
      <c r="J3614" s="444">
        <f t="array" ref="J3614">IFERROR(INDEX('Retirement Calculator'!K:K,MATCH('Lorri 401b'!N3614,'Retirement Calculator'!A:A,0),0),0)</f>
        <v>0</v>
      </c>
      <c r="K3614" s="444">
        <f t="shared" ca="1" si="153"/>
        <v>-7552582659.1159353</v>
      </c>
      <c r="L3614" s="444">
        <f t="shared" ca="1" si="154"/>
        <v>-1820172420846.9404</v>
      </c>
      <c r="M3614" s="460">
        <f t="shared" si="156"/>
        <v>0.05</v>
      </c>
      <c r="N3614" s="464">
        <f t="shared" si="157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55"/>
        <v>-1820172420846.9404</v>
      </c>
      <c r="J3615" s="444">
        <f t="array" ref="J3615">IFERROR(INDEX('Retirement Calculator'!K:K,MATCH('Lorri 401b'!N3615,'Retirement Calculator'!A:A,0),0),0)</f>
        <v>0</v>
      </c>
      <c r="K3615" s="444">
        <f t="shared" ca="1" si="153"/>
        <v>-7584051753.5289183</v>
      </c>
      <c r="L3615" s="444">
        <f t="shared" ca="1" si="154"/>
        <v>-1827756472600.4692</v>
      </c>
      <c r="M3615" s="460">
        <f t="shared" si="156"/>
        <v>0.05</v>
      </c>
      <c r="N3615" s="464">
        <f t="shared" si="157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55"/>
        <v>-1827756472600.4692</v>
      </c>
      <c r="J3616" s="444">
        <f t="array" ref="J3616">IFERROR(INDEX('Retirement Calculator'!K:K,MATCH('Lorri 401b'!N3616,'Retirement Calculator'!A:A,0),0),0)</f>
        <v>0</v>
      </c>
      <c r="K3616" s="444">
        <f t="shared" ca="1" si="153"/>
        <v>-7615651969.168622</v>
      </c>
      <c r="L3616" s="444">
        <f t="shared" ca="1" si="154"/>
        <v>-1835372124569.6379</v>
      </c>
      <c r="M3616" s="460">
        <f t="shared" si="156"/>
        <v>0.05</v>
      </c>
      <c r="N3616" s="464">
        <f t="shared" si="157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55"/>
        <v>-1835372124569.6379</v>
      </c>
      <c r="J3617" s="444">
        <f t="array" ref="J3617">IFERROR(INDEX('Retirement Calculator'!K:K,MATCH('Lorri 401b'!N3617,'Retirement Calculator'!A:A,0),0),0)</f>
        <v>0</v>
      </c>
      <c r="K3617" s="444">
        <f t="shared" ca="1" si="153"/>
        <v>-7647383852.3734913</v>
      </c>
      <c r="L3617" s="444">
        <f t="shared" ca="1" si="154"/>
        <v>-1843019508422.0115</v>
      </c>
      <c r="M3617" s="460">
        <f t="shared" si="156"/>
        <v>0.05</v>
      </c>
      <c r="N3617" s="464">
        <f t="shared" si="157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55"/>
        <v>-1843019508422.0115</v>
      </c>
      <c r="J3618" s="444">
        <f t="array" ref="J3618">IFERROR(INDEX('Retirement Calculator'!K:K,MATCH('Lorri 401b'!N3618,'Retirement Calculator'!A:A,0),0),0)</f>
        <v>0</v>
      </c>
      <c r="K3618" s="444">
        <f t="shared" ca="1" si="153"/>
        <v>-7679247951.7583809</v>
      </c>
      <c r="L3618" s="444">
        <f t="shared" ca="1" si="154"/>
        <v>-1850698756373.7698</v>
      </c>
      <c r="M3618" s="460">
        <f t="shared" si="156"/>
        <v>0.05</v>
      </c>
      <c r="N3618" s="464">
        <f t="shared" si="157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55"/>
        <v>-1850698756373.7698</v>
      </c>
      <c r="J3619" s="444">
        <f t="array" ref="J3619">IFERROR(INDEX('Retirement Calculator'!K:K,MATCH('Lorri 401b'!N3619,'Retirement Calculator'!A:A,0),0),0)</f>
        <v>0</v>
      </c>
      <c r="K3619" s="444">
        <f t="shared" ca="1" si="153"/>
        <v>-7711244818.22404</v>
      </c>
      <c r="L3619" s="444">
        <f t="shared" ca="1" si="154"/>
        <v>-1858410001191.9939</v>
      </c>
      <c r="M3619" s="460">
        <f t="shared" si="156"/>
        <v>0.05</v>
      </c>
      <c r="N3619" s="464">
        <f t="shared" si="157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55"/>
        <v>-1858410001191.9939</v>
      </c>
      <c r="J3620" s="444">
        <f t="array" ref="J3620">IFERROR(INDEX('Retirement Calculator'!K:K,MATCH('Lorri 401b'!N3620,'Retirement Calculator'!A:A,0),0),0)</f>
        <v>0</v>
      </c>
      <c r="K3620" s="444">
        <f t="shared" ca="1" si="153"/>
        <v>-7743375004.9666414</v>
      </c>
      <c r="L3620" s="444">
        <f t="shared" ca="1" si="154"/>
        <v>-1866153376196.9604</v>
      </c>
      <c r="M3620" s="460">
        <f t="shared" si="156"/>
        <v>0.05</v>
      </c>
      <c r="N3620" s="464">
        <f t="shared" si="157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55"/>
        <v>-1866153376196.9604</v>
      </c>
      <c r="J3621" s="444">
        <f t="array" ref="J3621">IFERROR(INDEX('Retirement Calculator'!K:K,MATCH('Lorri 401b'!N3621,'Retirement Calculator'!A:A,0),0),0)</f>
        <v>0</v>
      </c>
      <c r="K3621" s="444">
        <f t="shared" ca="1" si="153"/>
        <v>-7775639067.4873352</v>
      </c>
      <c r="L3621" s="444">
        <f t="shared" ca="1" si="154"/>
        <v>-1873929015264.4478</v>
      </c>
      <c r="M3621" s="460">
        <f t="shared" si="156"/>
        <v>0.05</v>
      </c>
      <c r="N3621" s="464">
        <f t="shared" si="157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55"/>
        <v>-1873929015264.4478</v>
      </c>
      <c r="J3622" s="444">
        <f t="array" ref="J3622">IFERROR(INDEX('Retirement Calculator'!K:K,MATCH('Lorri 401b'!N3622,'Retirement Calculator'!A:A,0),0),0)</f>
        <v>0</v>
      </c>
      <c r="K3622" s="444">
        <f t="shared" ca="1" si="153"/>
        <v>-7808037563.6018658</v>
      </c>
      <c r="L3622" s="444">
        <f t="shared" ca="1" si="154"/>
        <v>-1881737052828.0496</v>
      </c>
      <c r="M3622" s="460">
        <f t="shared" si="156"/>
        <v>0.05</v>
      </c>
      <c r="N3622" s="464">
        <f t="shared" si="157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55"/>
        <v>-1881737052828.0496</v>
      </c>
      <c r="J3623" s="444">
        <f t="array" ref="J3623">IFERROR(INDEX('Retirement Calculator'!K:K,MATCH('Lorri 401b'!N3623,'Retirement Calculator'!A:A,0),0),0)</f>
        <v>0</v>
      </c>
      <c r="K3623" s="444">
        <f t="shared" ca="1" si="153"/>
        <v>-7840571053.4502068</v>
      </c>
      <c r="L3623" s="444">
        <f t="shared" ca="1" si="154"/>
        <v>-1889577623881.4998</v>
      </c>
      <c r="M3623" s="460">
        <f t="shared" si="156"/>
        <v>0.05</v>
      </c>
      <c r="N3623" s="464">
        <f t="shared" si="157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55"/>
        <v>-1889577623881.4998</v>
      </c>
      <c r="J3624" s="444">
        <f t="array" ref="J3624">IFERROR(INDEX('Retirement Calculator'!K:K,MATCH('Lorri 401b'!N3624,'Retirement Calculator'!A:A,0),0),0)</f>
        <v>0</v>
      </c>
      <c r="K3624" s="444">
        <f t="shared" ca="1" si="153"/>
        <v>-7873240099.5062475</v>
      </c>
      <c r="L3624" s="444">
        <f t="shared" ca="1" si="154"/>
        <v>-1897450863981.0061</v>
      </c>
      <c r="M3624" s="460">
        <f t="shared" si="156"/>
        <v>0.05</v>
      </c>
      <c r="N3624" s="464">
        <f t="shared" si="157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55"/>
        <v>-1897450863981.0061</v>
      </c>
      <c r="J3625" s="444">
        <f t="array" ref="J3625">IFERROR(INDEX('Retirement Calculator'!K:K,MATCH('Lorri 401b'!N3625,'Retirement Calculator'!A:A,0),0),0)</f>
        <v>0</v>
      </c>
      <c r="K3625" s="444">
        <f t="shared" ca="1" si="153"/>
        <v>-7906045266.5875254</v>
      </c>
      <c r="L3625" s="444">
        <f t="shared" ca="1" si="154"/>
        <v>-1905356909247.5938</v>
      </c>
      <c r="M3625" s="460">
        <f t="shared" si="156"/>
        <v>0.05</v>
      </c>
      <c r="N3625" s="464">
        <f t="shared" si="157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55"/>
        <v>-1905356909247.5938</v>
      </c>
      <c r="J3626" s="444">
        <f t="array" ref="J3626">IFERROR(INDEX('Retirement Calculator'!K:K,MATCH('Lorri 401b'!N3626,'Retirement Calculator'!A:A,0),0),0)</f>
        <v>0</v>
      </c>
      <c r="K3626" s="444">
        <f t="shared" ca="1" si="153"/>
        <v>-7938987121.864974</v>
      </c>
      <c r="L3626" s="444">
        <f t="shared" ca="1" si="154"/>
        <v>-1913295896369.4587</v>
      </c>
      <c r="M3626" s="460">
        <f t="shared" si="156"/>
        <v>0.05</v>
      </c>
      <c r="N3626" s="464">
        <f t="shared" si="157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55"/>
        <v>-1913295896369.4587</v>
      </c>
      <c r="J3627" s="444">
        <f t="array" ref="J3627">IFERROR(INDEX('Retirement Calculator'!K:K,MATCH('Lorri 401b'!N3627,'Retirement Calculator'!A:A,0),0),0)</f>
        <v>0</v>
      </c>
      <c r="K3627" s="444">
        <f t="shared" ca="1" si="153"/>
        <v>-7972066234.8727446</v>
      </c>
      <c r="L3627" s="444">
        <f t="shared" ca="1" si="154"/>
        <v>-1921267962604.3315</v>
      </c>
      <c r="M3627" s="460">
        <f t="shared" si="156"/>
        <v>0.05</v>
      </c>
      <c r="N3627" s="464">
        <f t="shared" si="157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55"/>
        <v>-1921267962604.3315</v>
      </c>
      <c r="J3628" s="444">
        <f t="array" ref="J3628">IFERROR(INDEX('Retirement Calculator'!K:K,MATCH('Lorri 401b'!N3628,'Retirement Calculator'!A:A,0),0),0)</f>
        <v>0</v>
      </c>
      <c r="K3628" s="444">
        <f t="shared" ca="1" si="153"/>
        <v>-8005283177.5180483</v>
      </c>
      <c r="L3628" s="444">
        <f t="shared" ca="1" si="154"/>
        <v>-1929273245781.8496</v>
      </c>
      <c r="M3628" s="460">
        <f t="shared" si="156"/>
        <v>0.05</v>
      </c>
      <c r="N3628" s="464">
        <f t="shared" si="157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55"/>
        <v>-1929273245781.8496</v>
      </c>
      <c r="J3629" s="444">
        <f t="array" ref="J3629">IFERROR(INDEX('Retirement Calculator'!K:K,MATCH('Lorri 401b'!N3629,'Retirement Calculator'!A:A,0),0),0)</f>
        <v>0</v>
      </c>
      <c r="K3629" s="444">
        <f t="shared" ca="1" si="153"/>
        <v>-8038638524.0910397</v>
      </c>
      <c r="L3629" s="444">
        <f t="shared" ca="1" si="154"/>
        <v>-1937311884305.9407</v>
      </c>
      <c r="M3629" s="460">
        <f t="shared" si="156"/>
        <v>0.05</v>
      </c>
      <c r="N3629" s="464">
        <f t="shared" si="157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55"/>
        <v>-1937311884305.9407</v>
      </c>
      <c r="J3630" s="444">
        <f t="array" ref="J3630">IFERROR(INDEX('Retirement Calculator'!K:K,MATCH('Lorri 401b'!N3630,'Retirement Calculator'!A:A,0),0),0)</f>
        <v>0</v>
      </c>
      <c r="K3630" s="444">
        <f t="shared" ca="1" si="153"/>
        <v>-8072132851.2747526</v>
      </c>
      <c r="L3630" s="444">
        <f t="shared" ca="1" si="154"/>
        <v>-1945384017157.2153</v>
      </c>
      <c r="M3630" s="460">
        <f t="shared" si="156"/>
        <v>0.05</v>
      </c>
      <c r="N3630" s="464">
        <f t="shared" si="157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55"/>
        <v>-1945384017157.2153</v>
      </c>
      <c r="J3631" s="444">
        <f t="array" ref="J3631">IFERROR(INDEX('Retirement Calculator'!K:K,MATCH('Lorri 401b'!N3631,'Retirement Calculator'!A:A,0),0),0)</f>
        <v>0</v>
      </c>
      <c r="K3631" s="444">
        <f t="shared" ca="1" si="153"/>
        <v>-8105766738.1550636</v>
      </c>
      <c r="L3631" s="444">
        <f t="shared" ca="1" si="154"/>
        <v>-1953489783895.3704</v>
      </c>
      <c r="M3631" s="460">
        <f t="shared" si="156"/>
        <v>0.05</v>
      </c>
      <c r="N3631" s="464">
        <f t="shared" si="157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55"/>
        <v>-1953489783895.3704</v>
      </c>
      <c r="J3632" s="444">
        <f t="array" ref="J3632">IFERROR(INDEX('Retirement Calculator'!K:K,MATCH('Lorri 401b'!N3632,'Retirement Calculator'!A:A,0),0),0)</f>
        <v>0</v>
      </c>
      <c r="K3632" s="444">
        <f t="shared" ca="1" si="153"/>
        <v>-8139540766.2307091</v>
      </c>
      <c r="L3632" s="444">
        <f t="shared" ca="1" si="154"/>
        <v>-1961629324661.6011</v>
      </c>
      <c r="M3632" s="460">
        <f t="shared" si="156"/>
        <v>0.05</v>
      </c>
      <c r="N3632" s="464">
        <f t="shared" si="157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55"/>
        <v>-1961629324661.6011</v>
      </c>
      <c r="J3633" s="444">
        <f t="array" ref="J3633">IFERROR(INDEX('Retirement Calculator'!K:K,MATCH('Lorri 401b'!N3633,'Retirement Calculator'!A:A,0),0),0)</f>
        <v>0</v>
      </c>
      <c r="K3633" s="444">
        <f t="shared" ca="1" si="153"/>
        <v>-8173455519.4233379</v>
      </c>
      <c r="L3633" s="444">
        <f t="shared" ca="1" si="154"/>
        <v>-1969802780181.0244</v>
      </c>
      <c r="M3633" s="460">
        <f t="shared" si="156"/>
        <v>0.05</v>
      </c>
      <c r="N3633" s="464">
        <f t="shared" si="157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55"/>
        <v>-1969802780181.0244</v>
      </c>
      <c r="J3634" s="444">
        <f t="array" ref="J3634">IFERROR(INDEX('Retirement Calculator'!K:K,MATCH('Lorri 401b'!N3634,'Retirement Calculator'!A:A,0),0),0)</f>
        <v>0</v>
      </c>
      <c r="K3634" s="444">
        <f t="shared" ca="1" si="153"/>
        <v>-8207511584.0876017</v>
      </c>
      <c r="L3634" s="444">
        <f t="shared" ca="1" si="154"/>
        <v>-1978010291765.1121</v>
      </c>
      <c r="M3634" s="460">
        <f t="shared" si="156"/>
        <v>0.05</v>
      </c>
      <c r="N3634" s="464">
        <f t="shared" si="157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55"/>
        <v>-1978010291765.1121</v>
      </c>
      <c r="J3635" s="444">
        <f t="array" ref="J3635">IFERROR(INDEX('Retirement Calculator'!K:K,MATCH('Lorri 401b'!N3635,'Retirement Calculator'!A:A,0),0),0)</f>
        <v>0</v>
      </c>
      <c r="K3635" s="444">
        <f t="shared" ca="1" si="153"/>
        <v>-8241709549.0213003</v>
      </c>
      <c r="L3635" s="444">
        <f t="shared" ca="1" si="154"/>
        <v>-1986252001314.1333</v>
      </c>
      <c r="M3635" s="460">
        <f t="shared" si="156"/>
        <v>0.05</v>
      </c>
      <c r="N3635" s="464">
        <f t="shared" si="157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55"/>
        <v>-1986252001314.1333</v>
      </c>
      <c r="J3636" s="444">
        <f t="array" ref="J3636">IFERROR(INDEX('Retirement Calculator'!K:K,MATCH('Lorri 401b'!N3636,'Retirement Calculator'!A:A,0),0),0)</f>
        <v>0</v>
      </c>
      <c r="K3636" s="444">
        <f t="shared" ca="1" si="153"/>
        <v>-8276050005.4755554</v>
      </c>
      <c r="L3636" s="444">
        <f t="shared" ca="1" si="154"/>
        <v>-1994528051319.6089</v>
      </c>
      <c r="M3636" s="460">
        <f t="shared" si="156"/>
        <v>0.05</v>
      </c>
      <c r="N3636" s="464">
        <f t="shared" si="157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55"/>
        <v>-1994528051319.6089</v>
      </c>
      <c r="J3637" s="444">
        <f t="array" ref="J3637">IFERROR(INDEX('Retirement Calculator'!K:K,MATCH('Lorri 401b'!N3637,'Retirement Calculator'!A:A,0),0),0)</f>
        <v>0</v>
      </c>
      <c r="K3637" s="444">
        <f t="shared" ca="1" si="153"/>
        <v>-8310533547.1650372</v>
      </c>
      <c r="L3637" s="444">
        <f t="shared" ca="1" si="154"/>
        <v>-2002838584866.7739</v>
      </c>
      <c r="M3637" s="460">
        <f t="shared" si="156"/>
        <v>0.05</v>
      </c>
      <c r="N3637" s="464">
        <f t="shared" si="157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55"/>
        <v>-2002838584866.7739</v>
      </c>
      <c r="J3638" s="444">
        <f t="array" ref="J3638">IFERROR(INDEX('Retirement Calculator'!K:K,MATCH('Lorri 401b'!N3638,'Retirement Calculator'!A:A,0),0),0)</f>
        <v>0</v>
      </c>
      <c r="K3638" s="444">
        <f t="shared" ca="1" si="153"/>
        <v>-8345160770.278224</v>
      </c>
      <c r="L3638" s="444">
        <f t="shared" ca="1" si="154"/>
        <v>-2011183745637.0522</v>
      </c>
      <c r="M3638" s="460">
        <f t="shared" si="156"/>
        <v>0.05</v>
      </c>
      <c r="N3638" s="464">
        <f t="shared" si="157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55"/>
        <v>-2011183745637.0522</v>
      </c>
      <c r="J3639" s="444">
        <f t="array" ref="J3639">IFERROR(INDEX('Retirement Calculator'!K:K,MATCH('Lorri 401b'!N3639,'Retirement Calculator'!A:A,0),0),0)</f>
        <v>0</v>
      </c>
      <c r="K3639" s="444">
        <f t="shared" ca="1" si="153"/>
        <v>-8379932273.4877176</v>
      </c>
      <c r="L3639" s="444">
        <f t="shared" ca="1" si="154"/>
        <v>-2019563677910.54</v>
      </c>
      <c r="M3639" s="460">
        <f t="shared" si="156"/>
        <v>0.05</v>
      </c>
      <c r="N3639" s="464">
        <f t="shared" si="157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55"/>
        <v>-2019563677910.54</v>
      </c>
      <c r="J3640" s="444">
        <f t="array" ref="J3640">IFERROR(INDEX('Retirement Calculator'!K:K,MATCH('Lorri 401b'!N3640,'Retirement Calculator'!A:A,0),0),0)</f>
        <v>0</v>
      </c>
      <c r="K3640" s="444">
        <f t="shared" ca="1" si="153"/>
        <v>-8414848657.9605827</v>
      </c>
      <c r="L3640" s="444">
        <f t="shared" ca="1" si="154"/>
        <v>-2027978526568.5007</v>
      </c>
      <c r="M3640" s="460">
        <f t="shared" si="156"/>
        <v>0.05</v>
      </c>
      <c r="N3640" s="464">
        <f t="shared" si="157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55"/>
        <v>-2027978526568.5007</v>
      </c>
      <c r="J3641" s="444">
        <f t="array" ref="J3641">IFERROR(INDEX('Retirement Calculator'!K:K,MATCH('Lorri 401b'!N3641,'Retirement Calculator'!A:A,0),0),0)</f>
        <v>0</v>
      </c>
      <c r="K3641" s="444">
        <f t="shared" ca="1" si="153"/>
        <v>-8449910527.3687525</v>
      </c>
      <c r="L3641" s="444">
        <f t="shared" ca="1" si="154"/>
        <v>-2036428437095.8694</v>
      </c>
      <c r="M3641" s="460">
        <f t="shared" si="156"/>
        <v>0.05</v>
      </c>
      <c r="N3641" s="464">
        <f t="shared" si="157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55"/>
        <v>-2036428437095.8694</v>
      </c>
      <c r="J3642" s="444">
        <f t="array" ref="J3642">IFERROR(INDEX('Retirement Calculator'!K:K,MATCH('Lorri 401b'!N3642,'Retirement Calculator'!A:A,0),0),0)</f>
        <v>0</v>
      </c>
      <c r="K3642" s="444">
        <f t="shared" ca="1" si="153"/>
        <v>-8485118487.8994551</v>
      </c>
      <c r="L3642" s="444">
        <f t="shared" ca="1" si="154"/>
        <v>-2044913555583.7688</v>
      </c>
      <c r="M3642" s="460">
        <f t="shared" si="156"/>
        <v>0.05</v>
      </c>
      <c r="N3642" s="464">
        <f t="shared" si="157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55"/>
        <v>-2044913555583.7688</v>
      </c>
      <c r="J3643" s="444">
        <f t="array" ref="J3643">IFERROR(INDEX('Retirement Calculator'!K:K,MATCH('Lorri 401b'!N3643,'Retirement Calculator'!A:A,0),0),0)</f>
        <v>0</v>
      </c>
      <c r="K3643" s="444">
        <f t="shared" ca="1" si="153"/>
        <v>-8520473148.2657032</v>
      </c>
      <c r="L3643" s="444">
        <f t="shared" ca="1" si="154"/>
        <v>-2053434028732.0344</v>
      </c>
      <c r="M3643" s="460">
        <f t="shared" si="156"/>
        <v>0.05</v>
      </c>
      <c r="N3643" s="464">
        <f t="shared" si="157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55"/>
        <v>-2053434028732.0344</v>
      </c>
      <c r="J3644" s="444">
        <f t="array" ref="J3644">IFERROR(INDEX('Retirement Calculator'!K:K,MATCH('Lorri 401b'!N3644,'Retirement Calculator'!A:A,0),0),0)</f>
        <v>0</v>
      </c>
      <c r="K3644" s="444">
        <f t="shared" ca="1" si="153"/>
        <v>-8555975119.7168102</v>
      </c>
      <c r="L3644" s="444">
        <f t="shared" ca="1" si="154"/>
        <v>-2061990003851.7512</v>
      </c>
      <c r="M3644" s="460">
        <f t="shared" si="156"/>
        <v>0.05</v>
      </c>
      <c r="N3644" s="464">
        <f t="shared" si="157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55"/>
        <v>-2061990003851.7512</v>
      </c>
      <c r="J3645" s="444">
        <f t="array" ref="J3645">IFERROR(INDEX('Retirement Calculator'!K:K,MATCH('Lorri 401b'!N3645,'Retirement Calculator'!A:A,0),0),0)</f>
        <v>0</v>
      </c>
      <c r="K3645" s="444">
        <f t="shared" ca="1" si="153"/>
        <v>-8591625016.0489635</v>
      </c>
      <c r="L3645" s="444">
        <f t="shared" ca="1" si="154"/>
        <v>-2070581628867.8003</v>
      </c>
      <c r="M3645" s="460">
        <f t="shared" si="156"/>
        <v>0.05</v>
      </c>
      <c r="N3645" s="464">
        <f t="shared" si="157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55"/>
        <v>-2070581628867.8003</v>
      </c>
      <c r="J3646" s="444">
        <f t="array" ref="J3646">IFERROR(INDEX('Retirement Calculator'!K:K,MATCH('Lorri 401b'!N3646,'Retirement Calculator'!A:A,0),0),0)</f>
        <v>0</v>
      </c>
      <c r="K3646" s="444">
        <f t="shared" ca="1" si="153"/>
        <v>-8627423453.6158352</v>
      </c>
      <c r="L3646" s="444">
        <f t="shared" ca="1" si="154"/>
        <v>-2079209052321.416</v>
      </c>
      <c r="M3646" s="460">
        <f t="shared" si="156"/>
        <v>0.05</v>
      </c>
      <c r="N3646" s="464">
        <f t="shared" si="157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55"/>
        <v>-2079209052321.416</v>
      </c>
      <c r="J3647" s="444">
        <f t="array" ref="J3647">IFERROR(INDEX('Retirement Calculator'!K:K,MATCH('Lorri 401b'!N3647,'Retirement Calculator'!A:A,0),0),0)</f>
        <v>0</v>
      </c>
      <c r="K3647" s="444">
        <f t="shared" ca="1" si="153"/>
        <v>-8663371051.3392334</v>
      </c>
      <c r="L3647" s="444">
        <f t="shared" ca="1" si="154"/>
        <v>-2087872423372.7554</v>
      </c>
      <c r="M3647" s="460">
        <f t="shared" si="156"/>
        <v>0.05</v>
      </c>
      <c r="N3647" s="464">
        <f t="shared" si="157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55"/>
        <v>-2087872423372.7554</v>
      </c>
      <c r="J3648" s="444">
        <f t="array" ref="J3648">IFERROR(INDEX('Retirement Calculator'!K:K,MATCH('Lorri 401b'!N3648,'Retirement Calculator'!A:A,0),0),0)</f>
        <v>0</v>
      </c>
      <c r="K3648" s="444">
        <f t="shared" ca="1" si="153"/>
        <v>-8699468430.7198143</v>
      </c>
      <c r="L3648" s="444">
        <f t="shared" ca="1" si="154"/>
        <v>-2096571891803.4751</v>
      </c>
      <c r="M3648" s="460">
        <f t="shared" si="156"/>
        <v>0.05</v>
      </c>
      <c r="N3648" s="464">
        <f t="shared" si="157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55"/>
        <v>-2096571891803.4751</v>
      </c>
      <c r="J3649" s="444">
        <f t="array" ref="J3649">IFERROR(INDEX('Retirement Calculator'!K:K,MATCH('Lorri 401b'!N3649,'Retirement Calculator'!A:A,0),0),0)</f>
        <v>0</v>
      </c>
      <c r="K3649" s="444">
        <f t="shared" ca="1" si="153"/>
        <v>-8735716215.8478127</v>
      </c>
      <c r="L3649" s="444">
        <f t="shared" ca="1" si="154"/>
        <v>-2105307608019.323</v>
      </c>
      <c r="M3649" s="460">
        <f t="shared" si="156"/>
        <v>0.05</v>
      </c>
      <c r="N3649" s="464">
        <f t="shared" si="157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55"/>
        <v>-2105307608019.323</v>
      </c>
      <c r="J3650" s="444">
        <f t="array" ref="J3650">IFERROR(INDEX('Retirement Calculator'!K:K,MATCH('Lorri 401b'!N3650,'Retirement Calculator'!A:A,0),0),0)</f>
        <v>0</v>
      </c>
      <c r="K3650" s="444">
        <f t="shared" ca="1" si="153"/>
        <v>-8772115033.4138451</v>
      </c>
      <c r="L3650" s="444">
        <f t="shared" ca="1" si="154"/>
        <v>-2114079723052.7368</v>
      </c>
      <c r="M3650" s="460">
        <f t="shared" si="156"/>
        <v>0.05</v>
      </c>
      <c r="N3650" s="464">
        <f t="shared" si="157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55"/>
        <v>-2114079723052.7368</v>
      </c>
      <c r="J3651" s="444">
        <f t="array" ref="J3651">IFERROR(INDEX('Retirement Calculator'!K:K,MATCH('Lorri 401b'!N3651,'Retirement Calculator'!A:A,0),0),0)</f>
        <v>0</v>
      </c>
      <c r="K3651" s="444">
        <f t="shared" ca="1" si="153"/>
        <v>-8808665512.7197361</v>
      </c>
      <c r="L3651" s="444">
        <f t="shared" ca="1" si="154"/>
        <v>-2122888388565.4565</v>
      </c>
      <c r="M3651" s="460">
        <f t="shared" si="156"/>
        <v>0.05</v>
      </c>
      <c r="N3651" s="464">
        <f t="shared" si="157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55"/>
        <v>-2122888388565.4565</v>
      </c>
      <c r="J3652" s="444">
        <f t="array" ref="J3652">IFERROR(INDEX('Retirement Calculator'!K:K,MATCH('Lorri 401b'!N3652,'Retirement Calculator'!A:A,0),0),0)</f>
        <v>0</v>
      </c>
      <c r="K3652" s="444">
        <f t="shared" ca="1" si="153"/>
        <v>-8845368285.6894016</v>
      </c>
      <c r="L3652" s="444">
        <f t="shared" ca="1" si="154"/>
        <v>-2131733756851.146</v>
      </c>
      <c r="M3652" s="460">
        <f t="shared" si="156"/>
        <v>0.05</v>
      </c>
      <c r="N3652" s="464">
        <f t="shared" si="157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55"/>
        <v>-2131733756851.146</v>
      </c>
      <c r="J3653" s="444">
        <f t="array" ref="J3653">IFERROR(INDEX('Retirement Calculator'!K:K,MATCH('Lorri 401b'!N3653,'Retirement Calculator'!A:A,0),0),0)</f>
        <v>0</v>
      </c>
      <c r="K3653" s="444">
        <f t="shared" ca="1" si="153"/>
        <v>-8882223986.8797741</v>
      </c>
      <c r="L3653" s="444">
        <f t="shared" ca="1" si="154"/>
        <v>-2140615980838.0259</v>
      </c>
      <c r="M3653" s="460">
        <f t="shared" si="156"/>
        <v>0.05</v>
      </c>
      <c r="N3653" s="464">
        <f t="shared" si="157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55"/>
        <v>-2140615980838.0259</v>
      </c>
      <c r="J3654" s="444">
        <f t="array" ref="J3654">IFERROR(INDEX('Retirement Calculator'!K:K,MATCH('Lorri 401b'!N3654,'Retirement Calculator'!A:A,0),0),0)</f>
        <v>0</v>
      </c>
      <c r="K3654" s="444">
        <f t="shared" ca="1" si="153"/>
        <v>-8919233253.4917736</v>
      </c>
      <c r="L3654" s="444">
        <f t="shared" ca="1" si="154"/>
        <v>-2149535214091.5176</v>
      </c>
      <c r="M3654" s="460">
        <f t="shared" si="156"/>
        <v>0.05</v>
      </c>
      <c r="N3654" s="464">
        <f t="shared" si="157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55"/>
        <v>-2149535214091.5176</v>
      </c>
      <c r="J3655" s="444">
        <f t="array" ref="J3655">IFERROR(INDEX('Retirement Calculator'!K:K,MATCH('Lorri 401b'!N3655,'Retirement Calculator'!A:A,0),0),0)</f>
        <v>0</v>
      </c>
      <c r="K3655" s="444">
        <f t="shared" ca="1" si="153"/>
        <v>-8956396725.3813248</v>
      </c>
      <c r="L3655" s="444">
        <f t="shared" ca="1" si="154"/>
        <v>-2158491610816.8989</v>
      </c>
      <c r="M3655" s="460">
        <f t="shared" si="156"/>
        <v>0.05</v>
      </c>
      <c r="N3655" s="464">
        <f t="shared" si="157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55"/>
        <v>-2158491610816.8989</v>
      </c>
      <c r="J3656" s="444">
        <f t="array" ref="J3656">IFERROR(INDEX('Retirement Calculator'!K:K,MATCH('Lorri 401b'!N3656,'Retirement Calculator'!A:A,0),0),0)</f>
        <v>0</v>
      </c>
      <c r="K3656" s="444">
        <f t="shared" ca="1" si="153"/>
        <v>-8993715045.0704136</v>
      </c>
      <c r="L3656" s="444">
        <f t="shared" ca="1" si="154"/>
        <v>-2167485325861.9692</v>
      </c>
      <c r="M3656" s="460">
        <f t="shared" si="156"/>
        <v>0.05</v>
      </c>
      <c r="N3656" s="464">
        <f t="shared" si="157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55"/>
        <v>-2167485325861.9692</v>
      </c>
      <c r="J3657" s="444">
        <f t="array" ref="J3657">IFERROR(INDEX('Retirement Calculator'!K:K,MATCH('Lorri 401b'!N3657,'Retirement Calculator'!A:A,0),0),0)</f>
        <v>0</v>
      </c>
      <c r="K3657" s="444">
        <f t="shared" ca="1" si="153"/>
        <v>-9031188857.7582054</v>
      </c>
      <c r="L3657" s="444">
        <f t="shared" ca="1" si="154"/>
        <v>-2176516514719.7275</v>
      </c>
      <c r="M3657" s="460">
        <f t="shared" si="156"/>
        <v>0.05</v>
      </c>
      <c r="N3657" s="464">
        <f t="shared" si="157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55"/>
        <v>-2176516514719.7275</v>
      </c>
      <c r="J3658" s="444">
        <f t="array" ref="J3658">IFERROR(INDEX('Retirement Calculator'!K:K,MATCH('Lorri 401b'!N3658,'Retirement Calculator'!A:A,0),0),0)</f>
        <v>0</v>
      </c>
      <c r="K3658" s="444">
        <f t="shared" ca="1" si="153"/>
        <v>-9068818811.3321972</v>
      </c>
      <c r="L3658" s="444">
        <f t="shared" ca="1" si="154"/>
        <v>-2185585333531.0598</v>
      </c>
      <c r="M3658" s="460">
        <f t="shared" si="156"/>
        <v>0.05</v>
      </c>
      <c r="N3658" s="464">
        <f t="shared" si="157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55"/>
        <v>-2185585333531.0598</v>
      </c>
      <c r="J3659" s="444">
        <f t="array" ref="J3659">IFERROR(INDEX('Retirement Calculator'!K:K,MATCH('Lorri 401b'!N3659,'Retirement Calculator'!A:A,0),0),0)</f>
        <v>0</v>
      </c>
      <c r="K3659" s="444">
        <f t="shared" ca="1" si="153"/>
        <v>-9106605556.3794174</v>
      </c>
      <c r="L3659" s="444">
        <f t="shared" ca="1" si="154"/>
        <v>-2194691939087.4392</v>
      </c>
      <c r="M3659" s="460">
        <f t="shared" si="156"/>
        <v>0.05</v>
      </c>
      <c r="N3659" s="464">
        <f t="shared" si="157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55"/>
        <v>-2194691939087.4392</v>
      </c>
      <c r="J3660" s="444">
        <f t="array" ref="J3660">IFERROR(INDEX('Retirement Calculator'!K:K,MATCH('Lorri 401b'!N3660,'Retirement Calculator'!A:A,0),0),0)</f>
        <v>0</v>
      </c>
      <c r="K3660" s="444">
        <f t="shared" ca="1" si="153"/>
        <v>-9144549746.1976624</v>
      </c>
      <c r="L3660" s="444">
        <f t="shared" ca="1" si="154"/>
        <v>-2203836488833.6367</v>
      </c>
      <c r="M3660" s="460">
        <f t="shared" si="156"/>
        <v>0.05</v>
      </c>
      <c r="N3660" s="464">
        <f t="shared" si="157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55"/>
        <v>-2203836488833.6367</v>
      </c>
      <c r="J3661" s="444">
        <f t="array" ref="J3661">IFERROR(INDEX('Retirement Calculator'!K:K,MATCH('Lorri 401b'!N3661,'Retirement Calculator'!A:A,0),0),0)</f>
        <v>0</v>
      </c>
      <c r="K3661" s="444">
        <f t="shared" ca="1" si="153"/>
        <v>-9182652036.8068199</v>
      </c>
      <c r="L3661" s="444">
        <f t="shared" ca="1" si="154"/>
        <v>-2213019140870.4434</v>
      </c>
      <c r="M3661" s="460">
        <f t="shared" si="156"/>
        <v>0.05</v>
      </c>
      <c r="N3661" s="464">
        <f t="shared" si="157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55"/>
        <v>-2213019140870.4434</v>
      </c>
      <c r="J3662" s="444">
        <f t="array" ref="J3662">IFERROR(INDEX('Retirement Calculator'!K:K,MATCH('Lorri 401b'!N3662,'Retirement Calculator'!A:A,0),0),0)</f>
        <v>0</v>
      </c>
      <c r="K3662" s="444">
        <f t="shared" ca="1" si="153"/>
        <v>-9220913086.9601803</v>
      </c>
      <c r="L3662" s="444">
        <f t="shared" ca="1" si="154"/>
        <v>-2222240053957.4033</v>
      </c>
      <c r="M3662" s="460">
        <f t="shared" si="156"/>
        <v>0.05</v>
      </c>
      <c r="N3662" s="464">
        <f t="shared" si="157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55"/>
        <v>-2222240053957.4033</v>
      </c>
      <c r="J3663" s="444">
        <f t="array" ref="J3663">IFERROR(INDEX('Retirement Calculator'!K:K,MATCH('Lorri 401b'!N3663,'Retirement Calculator'!A:A,0),0),0)</f>
        <v>0</v>
      </c>
      <c r="K3663" s="444">
        <f t="shared" ca="1" si="153"/>
        <v>-9259333558.1558475</v>
      </c>
      <c r="L3663" s="444">
        <f t="shared" ca="1" si="154"/>
        <v>-2231499387515.5591</v>
      </c>
      <c r="M3663" s="460">
        <f t="shared" si="156"/>
        <v>0.05</v>
      </c>
      <c r="N3663" s="464">
        <f t="shared" si="157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55"/>
        <v>-2231499387515.5591</v>
      </c>
      <c r="J3664" s="444">
        <f t="array" ref="J3664">IFERROR(INDEX('Retirement Calculator'!K:K,MATCH('Lorri 401b'!N3664,'Retirement Calculator'!A:A,0),0),0)</f>
        <v>0</v>
      </c>
      <c r="K3664" s="444">
        <f t="shared" ca="1" si="153"/>
        <v>-9297914114.6481628</v>
      </c>
      <c r="L3664" s="444">
        <f t="shared" ca="1" si="154"/>
        <v>-2240797301630.207</v>
      </c>
      <c r="M3664" s="460">
        <f t="shared" si="156"/>
        <v>0.05</v>
      </c>
      <c r="N3664" s="464">
        <f t="shared" si="157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55"/>
        <v>-2240797301630.207</v>
      </c>
      <c r="J3665" s="444">
        <f t="array" ref="J3665">IFERROR(INDEX('Retirement Calculator'!K:K,MATCH('Lorri 401b'!N3665,'Retirement Calculator'!A:A,0),0),0)</f>
        <v>0</v>
      </c>
      <c r="K3665" s="444">
        <f t="shared" ca="1" si="153"/>
        <v>-9336655423.4591961</v>
      </c>
      <c r="L3665" s="444">
        <f t="shared" ca="1" si="154"/>
        <v>-2250133957053.666</v>
      </c>
      <c r="M3665" s="460">
        <f t="shared" si="156"/>
        <v>0.05</v>
      </c>
      <c r="N3665" s="464">
        <f t="shared" si="157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55"/>
        <v>-2250133957053.666</v>
      </c>
      <c r="J3666" s="444">
        <f t="array" ref="J3666">IFERROR(INDEX('Retirement Calculator'!K:K,MATCH('Lorri 401b'!N3666,'Retirement Calculator'!A:A,0),0),0)</f>
        <v>0</v>
      </c>
      <c r="K3666" s="444">
        <f t="shared" ca="1" si="153"/>
        <v>-9375558154.390274</v>
      </c>
      <c r="L3666" s="444">
        <f t="shared" ca="1" si="154"/>
        <v>-2259509515208.0562</v>
      </c>
      <c r="M3666" s="460">
        <f t="shared" si="156"/>
        <v>0.05</v>
      </c>
      <c r="N3666" s="464">
        <f t="shared" si="157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55"/>
        <v>-2259509515208.0562</v>
      </c>
      <c r="J3667" s="444">
        <f t="array" ref="J3667">IFERROR(INDEX('Retirement Calculator'!K:K,MATCH('Lorri 401b'!N3667,'Retirement Calculator'!A:A,0),0),0)</f>
        <v>0</v>
      </c>
      <c r="K3667" s="444">
        <f t="shared" ca="1" si="153"/>
        <v>-9414622980.0335674</v>
      </c>
      <c r="L3667" s="444">
        <f t="shared" ca="1" si="154"/>
        <v>-2268924138188.0898</v>
      </c>
      <c r="M3667" s="460">
        <f t="shared" si="156"/>
        <v>0.05</v>
      </c>
      <c r="N3667" s="464">
        <f t="shared" si="157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55"/>
        <v>-2268924138188.0898</v>
      </c>
      <c r="J3668" s="444">
        <f t="array" ref="J3668">IFERROR(INDEX('Retirement Calculator'!K:K,MATCH('Lorri 401b'!N3668,'Retirement Calculator'!A:A,0),0),0)</f>
        <v>0</v>
      </c>
      <c r="K3668" s="444">
        <f t="shared" ca="1" si="153"/>
        <v>-9453850575.7837067</v>
      </c>
      <c r="L3668" s="444">
        <f t="shared" ca="1" si="154"/>
        <v>-2278377988763.8735</v>
      </c>
      <c r="M3668" s="460">
        <f t="shared" si="156"/>
        <v>0.05</v>
      </c>
      <c r="N3668" s="464">
        <f t="shared" si="157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55"/>
        <v>-2278377988763.8735</v>
      </c>
      <c r="J3669" s="444">
        <f t="array" ref="J3669">IFERROR(INDEX('Retirement Calculator'!K:K,MATCH('Lorri 401b'!N3669,'Retirement Calculator'!A:A,0),0),0)</f>
        <v>0</v>
      </c>
      <c r="K3669" s="444">
        <f t="shared" ca="1" si="153"/>
        <v>-9493241619.849472</v>
      </c>
      <c r="L3669" s="444">
        <f t="shared" ca="1" si="154"/>
        <v>-2287871230383.7231</v>
      </c>
      <c r="M3669" s="460">
        <f t="shared" si="156"/>
        <v>0.05</v>
      </c>
      <c r="N3669" s="464">
        <f t="shared" si="157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55"/>
        <v>-2287871230383.7231</v>
      </c>
      <c r="J3670" s="444">
        <f t="array" ref="J3670">IFERROR(INDEX('Retirement Calculator'!K:K,MATCH('Lorri 401b'!N3670,'Retirement Calculator'!A:A,0),0),0)</f>
        <v>0</v>
      </c>
      <c r="K3670" s="444">
        <f t="shared" ca="1" si="153"/>
        <v>-9532796793.2655125</v>
      </c>
      <c r="L3670" s="444">
        <f t="shared" ca="1" si="154"/>
        <v>-2297404027176.9888</v>
      </c>
      <c r="M3670" s="460">
        <f t="shared" si="156"/>
        <v>0.05</v>
      </c>
      <c r="N3670" s="464">
        <f t="shared" si="157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55"/>
        <v>-2297404027176.9888</v>
      </c>
      <c r="J3671" s="444">
        <f t="array" ref="J3671">IFERROR(INDEX('Retirement Calculator'!K:K,MATCH('Lorri 401b'!N3671,'Retirement Calculator'!A:A,0),0),0)</f>
        <v>0</v>
      </c>
      <c r="K3671" s="444">
        <f t="shared" ca="1" si="153"/>
        <v>-9572516779.9041195</v>
      </c>
      <c r="L3671" s="444">
        <f t="shared" ca="1" si="154"/>
        <v>-2306976543956.8931</v>
      </c>
      <c r="M3671" s="460">
        <f t="shared" si="156"/>
        <v>0.05</v>
      </c>
      <c r="N3671" s="464">
        <f t="shared" si="157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55"/>
        <v>-2306976543956.8931</v>
      </c>
      <c r="J3672" s="444">
        <f t="array" ref="J3672">IFERROR(INDEX('Retirement Calculator'!K:K,MATCH('Lorri 401b'!N3672,'Retirement Calculator'!A:A,0),0),0)</f>
        <v>0</v>
      </c>
      <c r="K3672" s="444">
        <f t="shared" ca="1" si="153"/>
        <v>-9612402266.4870548</v>
      </c>
      <c r="L3672" s="444">
        <f t="shared" ca="1" si="154"/>
        <v>-2316588946223.3799</v>
      </c>
      <c r="M3672" s="460">
        <f t="shared" si="156"/>
        <v>0.05</v>
      </c>
      <c r="N3672" s="464">
        <f t="shared" si="157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55"/>
        <v>-2316588946223.3799</v>
      </c>
      <c r="J3673" s="444">
        <f t="array" ref="J3673">IFERROR(INDEX('Retirement Calculator'!K:K,MATCH('Lorri 401b'!N3673,'Retirement Calculator'!A:A,0),0),0)</f>
        <v>0</v>
      </c>
      <c r="K3673" s="444">
        <f t="shared" ca="1" si="153"/>
        <v>-9652453942.5974159</v>
      </c>
      <c r="L3673" s="444">
        <f t="shared" ca="1" si="154"/>
        <v>-2326241400165.9775</v>
      </c>
      <c r="M3673" s="460">
        <f t="shared" si="156"/>
        <v>0.05</v>
      </c>
      <c r="N3673" s="464">
        <f t="shared" si="157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55"/>
        <v>-2326241400165.9775</v>
      </c>
      <c r="J3674" s="444">
        <f t="array" ref="J3674">IFERROR(INDEX('Retirement Calculator'!K:K,MATCH('Lorri 401b'!N3674,'Retirement Calculator'!A:A,0),0),0)</f>
        <v>0</v>
      </c>
      <c r="K3674" s="444">
        <f t="shared" ca="1" si="153"/>
        <v>-9692672500.6915722</v>
      </c>
      <c r="L3674" s="444">
        <f t="shared" ca="1" si="154"/>
        <v>-2335934072666.6689</v>
      </c>
      <c r="M3674" s="460">
        <f t="shared" si="156"/>
        <v>0.05</v>
      </c>
      <c r="N3674" s="464">
        <f t="shared" si="157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55"/>
        <v>-2335934072666.6689</v>
      </c>
      <c r="J3675" s="444">
        <f t="array" ref="J3675">IFERROR(INDEX('Retirement Calculator'!K:K,MATCH('Lorri 401b'!N3675,'Retirement Calculator'!A:A,0),0),0)</f>
        <v>0</v>
      </c>
      <c r="K3675" s="444">
        <f t="shared" ca="1" si="153"/>
        <v>-9733058636.1111202</v>
      </c>
      <c r="L3675" s="444">
        <f t="shared" ca="1" si="154"/>
        <v>-2345667131302.7803</v>
      </c>
      <c r="M3675" s="460">
        <f t="shared" si="156"/>
        <v>0.05</v>
      </c>
      <c r="N3675" s="464">
        <f t="shared" si="157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55"/>
        <v>-2345667131302.7803</v>
      </c>
      <c r="J3676" s="444">
        <f t="array" ref="J3676">IFERROR(INDEX('Retirement Calculator'!K:K,MATCH('Lorri 401b'!N3676,'Retirement Calculator'!A:A,0),0),0)</f>
        <v>0</v>
      </c>
      <c r="K3676" s="444">
        <f t="shared" ca="1" si="153"/>
        <v>-9773613047.0949173</v>
      </c>
      <c r="L3676" s="444">
        <f t="shared" ca="1" si="154"/>
        <v>-2355440744349.875</v>
      </c>
      <c r="M3676" s="460">
        <f t="shared" si="156"/>
        <v>0.05</v>
      </c>
      <c r="N3676" s="464">
        <f t="shared" si="157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55"/>
        <v>-2355440744349.875</v>
      </c>
      <c r="J3677" s="444">
        <f t="array" ref="J3677">IFERROR(INDEX('Retirement Calculator'!K:K,MATCH('Lorri 401b'!N3677,'Retirement Calculator'!A:A,0),0),0)</f>
        <v>0</v>
      </c>
      <c r="K3677" s="444">
        <f t="shared" ca="1" si="153"/>
        <v>-9814336434.7911453</v>
      </c>
      <c r="L3677" s="444">
        <f t="shared" ca="1" si="154"/>
        <v>-2365255080784.666</v>
      </c>
      <c r="M3677" s="460">
        <f t="shared" si="156"/>
        <v>0.05</v>
      </c>
      <c r="N3677" s="464">
        <f t="shared" si="157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55"/>
        <v>-2365255080784.666</v>
      </c>
      <c r="J3678" s="444">
        <f t="array" ref="J3678">IFERROR(INDEX('Retirement Calculator'!K:K,MATCH('Lorri 401b'!N3678,'Retirement Calculator'!A:A,0),0),0)</f>
        <v>0</v>
      </c>
      <c r="K3678" s="444">
        <f t="shared" ca="1" si="153"/>
        <v>-9855229503.2694416</v>
      </c>
      <c r="L3678" s="444">
        <f t="shared" ca="1" si="154"/>
        <v>-2375110310287.9355</v>
      </c>
      <c r="M3678" s="460">
        <f t="shared" si="156"/>
        <v>0.05</v>
      </c>
      <c r="N3678" s="464">
        <f t="shared" si="157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55"/>
        <v>-2375110310287.9355</v>
      </c>
      <c r="J3679" s="444">
        <f t="array" ref="J3679">IFERROR(INDEX('Retirement Calculator'!K:K,MATCH('Lorri 401b'!N3679,'Retirement Calculator'!A:A,0),0),0)</f>
        <v>0</v>
      </c>
      <c r="K3679" s="444">
        <f t="shared" ca="1" si="153"/>
        <v>-9896292959.5330639</v>
      </c>
      <c r="L3679" s="444">
        <f t="shared" ca="1" si="154"/>
        <v>-2385006603247.4688</v>
      </c>
      <c r="M3679" s="460">
        <f t="shared" si="156"/>
        <v>0.05</v>
      </c>
      <c r="N3679" s="464">
        <f t="shared" si="157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55"/>
        <v>-2385006603247.4688</v>
      </c>
      <c r="J3680" s="444">
        <f t="array" ref="J3680">IFERROR(INDEX('Retirement Calculator'!K:K,MATCH('Lorri 401b'!N3680,'Retirement Calculator'!A:A,0),0),0)</f>
        <v>0</v>
      </c>
      <c r="K3680" s="444">
        <f t="shared" ca="1" si="153"/>
        <v>-9937527513.5311203</v>
      </c>
      <c r="L3680" s="444">
        <f t="shared" ca="1" si="154"/>
        <v>-2394944130761</v>
      </c>
      <c r="M3680" s="460">
        <f t="shared" si="156"/>
        <v>0.05</v>
      </c>
      <c r="N3680" s="464">
        <f t="shared" si="157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55"/>
        <v>-2394944130761</v>
      </c>
      <c r="J3681" s="444">
        <f t="array" ref="J3681">IFERROR(INDEX('Retirement Calculator'!K:K,MATCH('Lorri 401b'!N3681,'Retirement Calculator'!A:A,0),0),0)</f>
        <v>0</v>
      </c>
      <c r="K3681" s="444">
        <f t="shared" ca="1" si="153"/>
        <v>-9978933878.1708336</v>
      </c>
      <c r="L3681" s="444">
        <f t="shared" ca="1" si="154"/>
        <v>-2404923064639.1709</v>
      </c>
      <c r="M3681" s="460">
        <f t="shared" si="156"/>
        <v>0.05</v>
      </c>
      <c r="N3681" s="464">
        <f t="shared" si="157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55"/>
        <v>-2404923064639.1709</v>
      </c>
      <c r="J3682" s="444">
        <f t="array" ref="J3682">IFERROR(INDEX('Retirement Calculator'!K:K,MATCH('Lorri 401b'!N3682,'Retirement Calculator'!A:A,0),0),0)</f>
        <v>0</v>
      </c>
      <c r="K3682" s="444">
        <f t="shared" ca="1" si="153"/>
        <v>-10020512769.329878</v>
      </c>
      <c r="L3682" s="444">
        <f t="shared" ca="1" si="154"/>
        <v>-2414943577408.501</v>
      </c>
      <c r="M3682" s="460">
        <f t="shared" si="156"/>
        <v>0.05</v>
      </c>
      <c r="N3682" s="464">
        <f t="shared" si="157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55"/>
        <v>-2414943577408.501</v>
      </c>
      <c r="J3683" s="444">
        <f t="array" ref="J3683">IFERROR(INDEX('Retirement Calculator'!K:K,MATCH('Lorri 401b'!N3683,'Retirement Calculator'!A:A,0),0),0)</f>
        <v>0</v>
      </c>
      <c r="K3683" s="444">
        <f t="shared" ca="1" si="153"/>
        <v>-10062264905.868753</v>
      </c>
      <c r="L3683" s="444">
        <f t="shared" ca="1" si="154"/>
        <v>-2425005842314.3696</v>
      </c>
      <c r="M3683" s="460">
        <f t="shared" si="156"/>
        <v>0.05</v>
      </c>
      <c r="N3683" s="464">
        <f t="shared" si="157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55"/>
        <v>-2425005842314.3696</v>
      </c>
      <c r="J3684" s="444">
        <f t="array" ref="J3684">IFERROR(INDEX('Retirement Calculator'!K:K,MATCH('Lorri 401b'!N3684,'Retirement Calculator'!A:A,0),0),0)</f>
        <v>0</v>
      </c>
      <c r="K3684" s="444">
        <f t="shared" ca="1" si="153"/>
        <v>-10104191009.643208</v>
      </c>
      <c r="L3684" s="444">
        <f t="shared" ca="1" si="154"/>
        <v>-2435110033324.0127</v>
      </c>
      <c r="M3684" s="460">
        <f t="shared" si="156"/>
        <v>0.05</v>
      </c>
      <c r="N3684" s="464">
        <f t="shared" si="157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55"/>
        <v>-2435110033324.0127</v>
      </c>
      <c r="J3685" s="444">
        <f t="array" ref="J3685">IFERROR(INDEX('Retirement Calculator'!K:K,MATCH('Lorri 401b'!N3685,'Retirement Calculator'!A:A,0),0),0)</f>
        <v>0</v>
      </c>
      <c r="K3685" s="444">
        <f t="shared" ca="1" si="153"/>
        <v>-10146291805.51672</v>
      </c>
      <c r="L3685" s="444">
        <f t="shared" ca="1" si="154"/>
        <v>-2445256325129.5293</v>
      </c>
      <c r="M3685" s="460">
        <f t="shared" si="156"/>
        <v>0.05</v>
      </c>
      <c r="N3685" s="464">
        <f t="shared" si="157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55"/>
        <v>-2445256325129.5293</v>
      </c>
      <c r="J3686" s="444">
        <f t="array" ref="J3686">IFERROR(INDEX('Retirement Calculator'!K:K,MATCH('Lorri 401b'!N3686,'Retirement Calculator'!A:A,0),0),0)</f>
        <v>0</v>
      </c>
      <c r="K3686" s="444">
        <f t="shared" ca="1" si="153"/>
        <v>-10188568021.373039</v>
      </c>
      <c r="L3686" s="444">
        <f t="shared" ca="1" si="154"/>
        <v>-2455444893150.9023</v>
      </c>
      <c r="M3686" s="460">
        <f t="shared" si="156"/>
        <v>0.05</v>
      </c>
      <c r="N3686" s="464">
        <f t="shared" si="157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55"/>
        <v>-2455444893150.9023</v>
      </c>
      <c r="J3687" s="444">
        <f t="array" ref="J3687">IFERROR(INDEX('Retirement Calculator'!K:K,MATCH('Lorri 401b'!N3687,'Retirement Calculator'!A:A,0),0),0)</f>
        <v>0</v>
      </c>
      <c r="K3687" s="444">
        <f t="shared" ca="1" si="153"/>
        <v>-10231020388.128759</v>
      </c>
      <c r="L3687" s="444">
        <f t="shared" ca="1" si="154"/>
        <v>-2465675913539.0313</v>
      </c>
      <c r="M3687" s="460">
        <f t="shared" si="156"/>
        <v>0.05</v>
      </c>
      <c r="N3687" s="464">
        <f t="shared" si="157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55"/>
        <v>-2465675913539.0313</v>
      </c>
      <c r="J3688" s="444">
        <f t="array" ref="J3688">IFERROR(INDEX('Retirement Calculator'!K:K,MATCH('Lorri 401b'!N3688,'Retirement Calculator'!A:A,0),0),0)</f>
        <v>0</v>
      </c>
      <c r="K3688" s="444">
        <f t="shared" ca="1" si="153"/>
        <v>-10273649639.745964</v>
      </c>
      <c r="L3688" s="444">
        <f t="shared" ca="1" si="154"/>
        <v>-2475949563178.7773</v>
      </c>
      <c r="M3688" s="460">
        <f t="shared" si="156"/>
        <v>0.05</v>
      </c>
      <c r="N3688" s="464">
        <f t="shared" si="157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55"/>
        <v>-2475949563178.7773</v>
      </c>
      <c r="J3689" s="444">
        <f t="array" ref="J3689">IFERROR(INDEX('Retirement Calculator'!K:K,MATCH('Lorri 401b'!N3689,'Retirement Calculator'!A:A,0),0),0)</f>
        <v>0</v>
      </c>
      <c r="K3689" s="444">
        <f t="shared" ca="1" si="153"/>
        <v>-10316456513.244905</v>
      </c>
      <c r="L3689" s="444">
        <f t="shared" ca="1" si="154"/>
        <v>-2486266019692.0225</v>
      </c>
      <c r="M3689" s="460">
        <f t="shared" si="156"/>
        <v>0.05</v>
      </c>
      <c r="N3689" s="464">
        <f t="shared" si="157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55"/>
        <v>-2486266019692.0225</v>
      </c>
      <c r="J3690" s="444">
        <f t="array" ref="J3690">IFERROR(INDEX('Retirement Calculator'!K:K,MATCH('Lorri 401b'!N3690,'Retirement Calculator'!A:A,0),0),0)</f>
        <v>0</v>
      </c>
      <c r="K3690" s="444">
        <f t="shared" ca="1" si="153"/>
        <v>-10359441748.716761</v>
      </c>
      <c r="L3690" s="444">
        <f t="shared" ca="1" si="154"/>
        <v>-2496625461440.7393</v>
      </c>
      <c r="M3690" s="460">
        <f t="shared" si="156"/>
        <v>0.05</v>
      </c>
      <c r="N3690" s="464">
        <f t="shared" si="157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55"/>
        <v>-2496625461440.7393</v>
      </c>
      <c r="J3691" s="444">
        <f t="array" ref="J3691">IFERROR(INDEX('Retirement Calculator'!K:K,MATCH('Lorri 401b'!N3691,'Retirement Calculator'!A:A,0),0),0)</f>
        <v>0</v>
      </c>
      <c r="K3691" s="444">
        <f t="shared" ca="1" si="153"/>
        <v>-10402606089.336414</v>
      </c>
      <c r="L3691" s="444">
        <f t="shared" ca="1" si="154"/>
        <v>-2507028067530.0757</v>
      </c>
      <c r="M3691" s="460">
        <f t="shared" si="156"/>
        <v>0.05</v>
      </c>
      <c r="N3691" s="464">
        <f t="shared" si="157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55"/>
        <v>-2507028067530.0757</v>
      </c>
      <c r="J3692" s="444">
        <f t="array" ref="J3692">IFERROR(INDEX('Retirement Calculator'!K:K,MATCH('Lorri 401b'!N3692,'Retirement Calculator'!A:A,0),0),0)</f>
        <v>0</v>
      </c>
      <c r="K3692" s="444">
        <f t="shared" ca="1" si="153"/>
        <v>-10445950281.375315</v>
      </c>
      <c r="L3692" s="444">
        <f t="shared" ca="1" si="154"/>
        <v>-2517474017811.4512</v>
      </c>
      <c r="M3692" s="460">
        <f t="shared" si="156"/>
        <v>0.05</v>
      </c>
      <c r="N3692" s="464">
        <f t="shared" si="157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55"/>
        <v>-2517474017811.4512</v>
      </c>
      <c r="J3693" s="444">
        <f t="array" ref="J3693">IFERROR(INDEX('Retirement Calculator'!K:K,MATCH('Lorri 401b'!N3693,'Retirement Calculator'!A:A,0),0),0)</f>
        <v>0</v>
      </c>
      <c r="K3693" s="444">
        <f t="shared" ca="1" si="153"/>
        <v>-10489475074.21438</v>
      </c>
      <c r="L3693" s="444">
        <f t="shared" ca="1" si="154"/>
        <v>-2527963492885.6655</v>
      </c>
      <c r="M3693" s="460">
        <f t="shared" si="156"/>
        <v>0.05</v>
      </c>
      <c r="N3693" s="464">
        <f t="shared" si="157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55"/>
        <v>-2527963492885.6655</v>
      </c>
      <c r="J3694" s="444">
        <f t="array" ref="J3694">IFERROR(INDEX('Retirement Calculator'!K:K,MATCH('Lorri 401b'!N3694,'Retirement Calculator'!A:A,0),0),0)</f>
        <v>0</v>
      </c>
      <c r="K3694" s="444">
        <f t="shared" ca="1" si="153"/>
        <v>-10533181220.356939</v>
      </c>
      <c r="L3694" s="444">
        <f t="shared" ca="1" si="154"/>
        <v>-2538496674106.0225</v>
      </c>
      <c r="M3694" s="460">
        <f t="shared" si="156"/>
        <v>0.05</v>
      </c>
      <c r="N3694" s="464">
        <f t="shared" si="157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55"/>
        <v>-2538496674106.0225</v>
      </c>
      <c r="J3695" s="444">
        <f t="array" ref="J3695">IFERROR(INDEX('Retirement Calculator'!K:K,MATCH('Lorri 401b'!N3695,'Retirement Calculator'!A:A,0),0),0)</f>
        <v>0</v>
      </c>
      <c r="K3695" s="444">
        <f t="shared" ca="1" si="153"/>
        <v>-10577069475.441761</v>
      </c>
      <c r="L3695" s="444">
        <f t="shared" ca="1" si="154"/>
        <v>-2549073743581.4644</v>
      </c>
      <c r="M3695" s="460">
        <f t="shared" si="156"/>
        <v>0.05</v>
      </c>
      <c r="N3695" s="464">
        <f t="shared" si="157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55"/>
        <v>-2549073743581.4644</v>
      </c>
      <c r="J3696" s="444">
        <f t="array" ref="J3696">IFERROR(INDEX('Retirement Calculator'!K:K,MATCH('Lorri 401b'!N3696,'Retirement Calculator'!A:A,0),0),0)</f>
        <v>0</v>
      </c>
      <c r="K3696" s="444">
        <f t="shared" ca="1" si="153"/>
        <v>-10621140598.256102</v>
      </c>
      <c r="L3696" s="444">
        <f t="shared" ca="1" si="154"/>
        <v>-2559694884179.7202</v>
      </c>
      <c r="M3696" s="460">
        <f t="shared" si="156"/>
        <v>0.05</v>
      </c>
      <c r="N3696" s="464">
        <f t="shared" si="157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55"/>
        <v>-2559694884179.7202</v>
      </c>
      <c r="J3697" s="444">
        <f t="array" ref="J3697">IFERROR(INDEX('Retirement Calculator'!K:K,MATCH('Lorri 401b'!N3697,'Retirement Calculator'!A:A,0),0),0)</f>
        <v>0</v>
      </c>
      <c r="K3697" s="444">
        <f t="shared" ca="1" si="153"/>
        <v>-10665395350.748835</v>
      </c>
      <c r="L3697" s="444">
        <f t="shared" ca="1" si="154"/>
        <v>-2570360279530.4692</v>
      </c>
      <c r="M3697" s="460">
        <f t="shared" si="156"/>
        <v>0.05</v>
      </c>
      <c r="N3697" s="464">
        <f t="shared" si="157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55"/>
        <v>-2570360279530.4692</v>
      </c>
      <c r="J3698" s="444">
        <f t="array" ref="J3698">IFERROR(INDEX('Retirement Calculator'!K:K,MATCH('Lorri 401b'!N3698,'Retirement Calculator'!A:A,0),0),0)</f>
        <v>0</v>
      </c>
      <c r="K3698" s="444">
        <f t="shared" ca="1" si="153"/>
        <v>-10709834498.043621</v>
      </c>
      <c r="L3698" s="444">
        <f t="shared" ca="1" si="154"/>
        <v>-2581070114028.5127</v>
      </c>
      <c r="M3698" s="460">
        <f t="shared" si="156"/>
        <v>0.05</v>
      </c>
      <c r="N3698" s="464">
        <f t="shared" si="157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55"/>
        <v>-2581070114028.5127</v>
      </c>
      <c r="J3699" s="444">
        <f t="array" ref="J3699">IFERROR(INDEX('Retirement Calculator'!K:K,MATCH('Lorri 401b'!N3699,'Retirement Calculator'!A:A,0),0),0)</f>
        <v>0</v>
      </c>
      <c r="K3699" s="444">
        <f t="shared" ca="1" si="153"/>
        <v>-10754458808.452137</v>
      </c>
      <c r="L3699" s="444">
        <f t="shared" ca="1" si="154"/>
        <v>-2591824572836.9648</v>
      </c>
      <c r="M3699" s="460">
        <f t="shared" si="156"/>
        <v>0.05</v>
      </c>
      <c r="N3699" s="464">
        <f t="shared" si="157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55"/>
        <v>-2591824572836.9648</v>
      </c>
      <c r="J3700" s="444">
        <f t="array" ref="J3700">IFERROR(INDEX('Retirement Calculator'!K:K,MATCH('Lorri 401b'!N3700,'Retirement Calculator'!A:A,0),0),0)</f>
        <v>0</v>
      </c>
      <c r="K3700" s="444">
        <f t="shared" ca="1" si="153"/>
        <v>-10799269053.487354</v>
      </c>
      <c r="L3700" s="444">
        <f t="shared" ca="1" si="154"/>
        <v>-2602623841890.4521</v>
      </c>
      <c r="M3700" s="460">
        <f t="shared" si="156"/>
        <v>0.05</v>
      </c>
      <c r="N3700" s="464">
        <f t="shared" si="157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55"/>
        <v>-2602623841890.4521</v>
      </c>
      <c r="J3701" s="444">
        <f t="array" ref="J3701">IFERROR(INDEX('Retirement Calculator'!K:K,MATCH('Lorri 401b'!N3701,'Retirement Calculator'!A:A,0),0),0)</f>
        <v>0</v>
      </c>
      <c r="K3701" s="444">
        <f t="shared" ca="1" si="153"/>
        <v>-10844266007.876884</v>
      </c>
      <c r="L3701" s="444">
        <f t="shared" ca="1" si="154"/>
        <v>-2613468107898.3291</v>
      </c>
      <c r="M3701" s="460">
        <f t="shared" si="156"/>
        <v>0.05</v>
      </c>
      <c r="N3701" s="464">
        <f t="shared" si="157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55"/>
        <v>-2613468107898.3291</v>
      </c>
      <c r="J3702" s="444">
        <f t="array" ref="J3702">IFERROR(INDEX('Retirement Calculator'!K:K,MATCH('Lorri 401b'!N3702,'Retirement Calculator'!A:A,0),0),0)</f>
        <v>0</v>
      </c>
      <c r="K3702" s="444">
        <f t="shared" ca="1" si="153"/>
        <v>-10889450449.57637</v>
      </c>
      <c r="L3702" s="444">
        <f t="shared" ca="1" si="154"/>
        <v>-2624357558347.9053</v>
      </c>
      <c r="M3702" s="460">
        <f t="shared" si="156"/>
        <v>0.05</v>
      </c>
      <c r="N3702" s="464">
        <f t="shared" si="157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55"/>
        <v>-2624357558347.9053</v>
      </c>
      <c r="J3703" s="444">
        <f t="array" ref="J3703">IFERROR(INDEX('Retirement Calculator'!K:K,MATCH('Lorri 401b'!N3703,'Retirement Calculator'!A:A,0),0),0)</f>
        <v>0</v>
      </c>
      <c r="K3703" s="444">
        <f t="shared" ca="1" si="153"/>
        <v>-10934823159.782938</v>
      </c>
      <c r="L3703" s="444">
        <f t="shared" ca="1" si="154"/>
        <v>-2635292381507.688</v>
      </c>
      <c r="M3703" s="460">
        <f t="shared" si="156"/>
        <v>0.05</v>
      </c>
      <c r="N3703" s="464">
        <f t="shared" si="157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55"/>
        <v>-2635292381507.688</v>
      </c>
      <c r="J3704" s="444">
        <f t="array" ref="J3704">IFERROR(INDEX('Retirement Calculator'!K:K,MATCH('Lorri 401b'!N3704,'Retirement Calculator'!A:A,0),0),0)</f>
        <v>0</v>
      </c>
      <c r="K3704" s="444">
        <f t="shared" ca="1" si="153"/>
        <v>-10980384922.9487</v>
      </c>
      <c r="L3704" s="444">
        <f t="shared" ca="1" si="154"/>
        <v>-2646272766430.6367</v>
      </c>
      <c r="M3704" s="460">
        <f t="shared" si="156"/>
        <v>0.05</v>
      </c>
      <c r="N3704" s="464">
        <f t="shared" si="157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55"/>
        <v>-2646272766430.6367</v>
      </c>
      <c r="J3705" s="444">
        <f t="array" ref="J3705">IFERROR(INDEX('Retirement Calculator'!K:K,MATCH('Lorri 401b'!N3705,'Retirement Calculator'!A:A,0),0),0)</f>
        <v>0</v>
      </c>
      <c r="K3705" s="444">
        <f t="shared" ca="1" si="153"/>
        <v>-11026136526.794319</v>
      </c>
      <c r="L3705" s="444">
        <f t="shared" ca="1" si="154"/>
        <v>-2657298902957.4312</v>
      </c>
      <c r="M3705" s="460">
        <f t="shared" si="156"/>
        <v>0.05</v>
      </c>
      <c r="N3705" s="464">
        <f t="shared" si="157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55"/>
        <v>-2657298902957.4312</v>
      </c>
      <c r="J3706" s="444">
        <f t="array" ref="J3706">IFERROR(INDEX('Retirement Calculator'!K:K,MATCH('Lorri 401b'!N3706,'Retirement Calculator'!A:A,0),0),0)</f>
        <v>0</v>
      </c>
      <c r="K3706" s="444">
        <f t="shared" ca="1" si="153"/>
        <v>-11072078762.32263</v>
      </c>
      <c r="L3706" s="444">
        <f t="shared" ca="1" si="154"/>
        <v>-2668370981719.7539</v>
      </c>
      <c r="M3706" s="460">
        <f t="shared" si="156"/>
        <v>0.05</v>
      </c>
      <c r="N3706" s="464">
        <f t="shared" si="157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55"/>
        <v>-2668370981719.7539</v>
      </c>
      <c r="J3707" s="444">
        <f t="array" ref="J3707">IFERROR(INDEX('Retirement Calculator'!K:K,MATCH('Lorri 401b'!N3707,'Retirement Calculator'!A:A,0),0),0)</f>
        <v>0</v>
      </c>
      <c r="K3707" s="444">
        <f t="shared" ca="1" si="153"/>
        <v>-11118212423.832308</v>
      </c>
      <c r="L3707" s="444">
        <f t="shared" ca="1" si="154"/>
        <v>-2679489194143.5864</v>
      </c>
      <c r="M3707" s="460">
        <f t="shared" si="156"/>
        <v>0.05</v>
      </c>
      <c r="N3707" s="464">
        <f t="shared" si="157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55"/>
        <v>-2679489194143.5864</v>
      </c>
      <c r="J3708" s="444">
        <f t="array" ref="J3708">IFERROR(INDEX('Retirement Calculator'!K:K,MATCH('Lorri 401b'!N3708,'Retirement Calculator'!A:A,0),0),0)</f>
        <v>0</v>
      </c>
      <c r="K3708" s="444">
        <f t="shared" ca="1" si="153"/>
        <v>-11164538308.93161</v>
      </c>
      <c r="L3708" s="444">
        <f t="shared" ca="1" si="154"/>
        <v>-2690653732452.5181</v>
      </c>
      <c r="M3708" s="460">
        <f t="shared" si="156"/>
        <v>0.05</v>
      </c>
      <c r="N3708" s="464">
        <f t="shared" si="157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55"/>
        <v>-2690653732452.5181</v>
      </c>
      <c r="J3709" s="444">
        <f t="array" ref="J3709">IFERROR(INDEX('Retirement Calculator'!K:K,MATCH('Lorri 401b'!N3709,'Retirement Calculator'!A:A,0),0),0)</f>
        <v>0</v>
      </c>
      <c r="K3709" s="444">
        <f t="shared" ca="1" si="153"/>
        <v>-11211057218.552158</v>
      </c>
      <c r="L3709" s="444">
        <f t="shared" ca="1" si="154"/>
        <v>-2701864789671.0703</v>
      </c>
      <c r="M3709" s="460">
        <f t="shared" si="156"/>
        <v>0.05</v>
      </c>
      <c r="N3709" s="464">
        <f t="shared" si="157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55"/>
        <v>-2701864789671.0703</v>
      </c>
      <c r="J3710" s="444">
        <f t="array" ref="J3710">IFERROR(INDEX('Retirement Calculator'!K:K,MATCH('Lorri 401b'!N3710,'Retirement Calculator'!A:A,0),0),0)</f>
        <v>0</v>
      </c>
      <c r="K3710" s="444">
        <f t="shared" ca="1" si="153"/>
        <v>-11257769956.962793</v>
      </c>
      <c r="L3710" s="444">
        <f t="shared" ca="1" si="154"/>
        <v>-2713122559628.0332</v>
      </c>
      <c r="M3710" s="460">
        <f t="shared" si="156"/>
        <v>0.05</v>
      </c>
      <c r="N3710" s="464">
        <f t="shared" si="157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55"/>
        <v>-2713122559628.0332</v>
      </c>
      <c r="J3711" s="444">
        <f t="array" ref="J3711">IFERROR(INDEX('Retirement Calculator'!K:K,MATCH('Lorri 401b'!N3711,'Retirement Calculator'!A:A,0),0),0)</f>
        <v>0</v>
      </c>
      <c r="K3711" s="444">
        <f t="shared" ca="1" si="153"/>
        <v>-11304677331.783472</v>
      </c>
      <c r="L3711" s="444">
        <f t="shared" ca="1" si="154"/>
        <v>-2724427236959.8169</v>
      </c>
      <c r="M3711" s="460">
        <f t="shared" si="156"/>
        <v>0.05</v>
      </c>
      <c r="N3711" s="464">
        <f t="shared" si="157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55"/>
        <v>-2724427236959.8169</v>
      </c>
      <c r="J3712" s="444">
        <f t="array" ref="J3712">IFERROR(INDEX('Retirement Calculator'!K:K,MATCH('Lorri 401b'!N3712,'Retirement Calculator'!A:A,0),0),0)</f>
        <v>0</v>
      </c>
      <c r="K3712" s="444">
        <f t="shared" ca="1" si="153"/>
        <v>-11351780153.999237</v>
      </c>
      <c r="L3712" s="444">
        <f t="shared" ca="1" si="154"/>
        <v>-2735779017113.8159</v>
      </c>
      <c r="M3712" s="460">
        <f t="shared" si="156"/>
        <v>0.05</v>
      </c>
      <c r="N3712" s="464">
        <f t="shared" si="157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55"/>
        <v>-2735779017113.8159</v>
      </c>
      <c r="J3713" s="444">
        <f t="array" ref="J3713">IFERROR(INDEX('Retirement Calculator'!K:K,MATCH('Lorri 401b'!N3713,'Retirement Calculator'!A:A,0),0),0)</f>
        <v>0</v>
      </c>
      <c r="K3713" s="444">
        <f t="shared" ca="1" si="153"/>
        <v>-11399079237.974234</v>
      </c>
      <c r="L3713" s="444">
        <f t="shared" ca="1" si="154"/>
        <v>-2747178096351.79</v>
      </c>
      <c r="M3713" s="460">
        <f t="shared" si="156"/>
        <v>0.05</v>
      </c>
      <c r="N3713" s="464">
        <f t="shared" si="157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55"/>
        <v>-2747178096351.79</v>
      </c>
      <c r="J3714" s="444">
        <f t="array" ref="J3714">IFERROR(INDEX('Retirement Calculator'!K:K,MATCH('Lorri 401b'!N3714,'Retirement Calculator'!A:A,0),0),0)</f>
        <v>0</v>
      </c>
      <c r="K3714" s="444">
        <f t="shared" ca="1" si="153"/>
        <v>-11446575401.465792</v>
      </c>
      <c r="L3714" s="444">
        <f t="shared" ca="1" si="154"/>
        <v>-2758624671753.2559</v>
      </c>
      <c r="M3714" s="460">
        <f t="shared" si="156"/>
        <v>0.05</v>
      </c>
      <c r="N3714" s="464">
        <f t="shared" si="157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55"/>
        <v>-2758624671753.2559</v>
      </c>
      <c r="J3715" s="444">
        <f t="array" ref="J3715">IFERROR(INDEX('Retirement Calculator'!K:K,MATCH('Lorri 401b'!N3715,'Retirement Calculator'!A:A,0),0),0)</f>
        <v>0</v>
      </c>
      <c r="K3715" s="444">
        <f t="shared" ca="1" si="153"/>
        <v>-11494269465.638565</v>
      </c>
      <c r="L3715" s="444">
        <f t="shared" ca="1" si="154"/>
        <v>-2770118941218.8945</v>
      </c>
      <c r="M3715" s="460">
        <f t="shared" si="156"/>
        <v>0.05</v>
      </c>
      <c r="N3715" s="464">
        <f t="shared" si="157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55"/>
        <v>-2770118941218.8945</v>
      </c>
      <c r="J3716" s="444">
        <f t="array" ref="J3716">IFERROR(INDEX('Retirement Calculator'!K:K,MATCH('Lorri 401b'!N3716,'Retirement Calculator'!A:A,0),0),0)</f>
        <v>0</v>
      </c>
      <c r="K3716" s="444">
        <f t="shared" ca="1" si="153"/>
        <v>-11542162255.078728</v>
      </c>
      <c r="L3716" s="444">
        <f t="shared" ca="1" si="154"/>
        <v>-2781661103473.9731</v>
      </c>
      <c r="M3716" s="460">
        <f t="shared" si="156"/>
        <v>0.05</v>
      </c>
      <c r="N3716" s="464">
        <f t="shared" si="157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55"/>
        <v>-2781661103473.9731</v>
      </c>
      <c r="J3717" s="444">
        <f t="array" ref="J3717">IFERROR(INDEX('Retirement Calculator'!K:K,MATCH('Lorri 401b'!N3717,'Retirement Calculator'!A:A,0),0),0)</f>
        <v>0</v>
      </c>
      <c r="K3717" s="444">
        <f t="shared" ca="1" si="153"/>
        <v>-11590254597.808222</v>
      </c>
      <c r="L3717" s="444">
        <f t="shared" ca="1" si="154"/>
        <v>-2793251358071.7813</v>
      </c>
      <c r="M3717" s="460">
        <f t="shared" si="156"/>
        <v>0.05</v>
      </c>
      <c r="N3717" s="464">
        <f t="shared" si="157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55"/>
        <v>-2793251358071.7813</v>
      </c>
      <c r="J3718" s="444">
        <f t="array" ref="J3718">IFERROR(INDEX('Retirement Calculator'!K:K,MATCH('Lorri 401b'!N3718,'Retirement Calculator'!A:A,0),0),0)</f>
        <v>0</v>
      </c>
      <c r="K3718" s="444">
        <f t="shared" ca="1" si="153"/>
        <v>-11638547325.299088</v>
      </c>
      <c r="L3718" s="444">
        <f t="shared" ca="1" si="154"/>
        <v>-2804889905397.0806</v>
      </c>
      <c r="M3718" s="460">
        <f t="shared" si="156"/>
        <v>0.05</v>
      </c>
      <c r="N3718" s="464">
        <f t="shared" si="157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55"/>
        <v>-2804889905397.0806</v>
      </c>
      <c r="J3719" s="444">
        <f t="array" ref="J3719">IFERROR(INDEX('Retirement Calculator'!K:K,MATCH('Lorri 401b'!N3719,'Retirement Calculator'!A:A,0),0),0)</f>
        <v>0</v>
      </c>
      <c r="K3719" s="444">
        <f t="shared" ca="1" si="153"/>
        <v>-11687041272.487835</v>
      </c>
      <c r="L3719" s="444">
        <f t="shared" ca="1" si="154"/>
        <v>-2816576946669.5684</v>
      </c>
      <c r="M3719" s="460">
        <f t="shared" si="156"/>
        <v>0.05</v>
      </c>
      <c r="N3719" s="464">
        <f t="shared" si="157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55"/>
        <v>-2816576946669.5684</v>
      </c>
      <c r="J3720" s="444">
        <f t="array" ref="J3720">IFERROR(INDEX('Retirement Calculator'!K:K,MATCH('Lorri 401b'!N3720,'Retirement Calculator'!A:A,0),0),0)</f>
        <v>0</v>
      </c>
      <c r="K3720" s="444">
        <f t="shared" ca="1" si="153"/>
        <v>-11735737277.789867</v>
      </c>
      <c r="L3720" s="444">
        <f t="shared" ca="1" si="154"/>
        <v>-2828312683947.3584</v>
      </c>
      <c r="M3720" s="460">
        <f t="shared" si="156"/>
        <v>0.05</v>
      </c>
      <c r="N3720" s="464">
        <f t="shared" si="157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55"/>
        <v>-2828312683947.3584</v>
      </c>
      <c r="J3721" s="444">
        <f t="array" ref="J3721">IFERROR(INDEX('Retirement Calculator'!K:K,MATCH('Lorri 401b'!N3721,'Retirement Calculator'!A:A,0),0),0)</f>
        <v>0</v>
      </c>
      <c r="K3721" s="444">
        <f t="shared" ca="1" si="153"/>
        <v>-11784636183.113993</v>
      </c>
      <c r="L3721" s="444">
        <f t="shared" ca="1" si="154"/>
        <v>-2840097320130.4722</v>
      </c>
      <c r="M3721" s="460">
        <f t="shared" si="156"/>
        <v>0.05</v>
      </c>
      <c r="N3721" s="464">
        <f t="shared" si="157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55"/>
        <v>-2840097320130.4722</v>
      </c>
      <c r="J3722" s="444">
        <f t="array" ref="J3722">IFERROR(INDEX('Retirement Calculator'!K:K,MATCH('Lorri 401b'!N3722,'Retirement Calculator'!A:A,0),0),0)</f>
        <v>0</v>
      </c>
      <c r="K3722" s="444">
        <f t="shared" ca="1" si="153"/>
        <v>-11833738833.876966</v>
      </c>
      <c r="L3722" s="444">
        <f t="shared" ca="1" si="154"/>
        <v>-2851931058964.3491</v>
      </c>
      <c r="M3722" s="460">
        <f t="shared" si="156"/>
        <v>0.05</v>
      </c>
      <c r="N3722" s="464">
        <f t="shared" si="157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55"/>
        <v>-2851931058964.3491</v>
      </c>
      <c r="J3723" s="444">
        <f t="array" ref="J3723">IFERROR(INDEX('Retirement Calculator'!K:K,MATCH('Lorri 401b'!N3723,'Retirement Calculator'!A:A,0),0),0)</f>
        <v>0</v>
      </c>
      <c r="K3723" s="444">
        <f t="shared" ca="1" si="153"/>
        <v>-11883046079.018122</v>
      </c>
      <c r="L3723" s="444">
        <f t="shared" ca="1" si="154"/>
        <v>-2863814105043.3672</v>
      </c>
      <c r="M3723" s="460">
        <f t="shared" si="156"/>
        <v>0.05</v>
      </c>
      <c r="N3723" s="464">
        <f t="shared" si="157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55"/>
        <v>-2863814105043.3672</v>
      </c>
      <c r="J3724" s="444">
        <f t="array" ref="J3724">IFERROR(INDEX('Retirement Calculator'!K:K,MATCH('Lorri 401b'!N3724,'Retirement Calculator'!A:A,0),0),0)</f>
        <v>0</v>
      </c>
      <c r="K3724" s="444">
        <f t="shared" ca="1" si="153"/>
        <v>-11932558771.01403</v>
      </c>
      <c r="L3724" s="444">
        <f t="shared" ca="1" si="154"/>
        <v>-2875746663814.3813</v>
      </c>
      <c r="M3724" s="460">
        <f t="shared" si="156"/>
        <v>0.05</v>
      </c>
      <c r="N3724" s="464">
        <f t="shared" si="157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55"/>
        <v>-2875746663814.3813</v>
      </c>
      <c r="J3725" s="444">
        <f t="array" ref="J3725">IFERROR(INDEX('Retirement Calculator'!K:K,MATCH('Lorri 401b'!N3725,'Retirement Calculator'!A:A,0),0),0)</f>
        <v>0</v>
      </c>
      <c r="K3725" s="444">
        <f t="shared" ca="1" si="153"/>
        <v>-11982277765.893255</v>
      </c>
      <c r="L3725" s="444">
        <f t="shared" ca="1" si="154"/>
        <v>-2887728941580.2744</v>
      </c>
      <c r="M3725" s="460">
        <f t="shared" si="156"/>
        <v>0.05</v>
      </c>
      <c r="N3725" s="464">
        <f t="shared" si="157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55"/>
        <v>-2887728941580.2744</v>
      </c>
      <c r="J3726" s="444">
        <f t="array" ref="J3726">IFERROR(INDEX('Retirement Calculator'!K:K,MATCH('Lorri 401b'!N3726,'Retirement Calculator'!A:A,0),0),0)</f>
        <v>0</v>
      </c>
      <c r="K3726" s="444">
        <f t="shared" ca="1" si="153"/>
        <v>-12032203923.251143</v>
      </c>
      <c r="L3726" s="444">
        <f t="shared" ca="1" si="154"/>
        <v>-2899761145503.5254</v>
      </c>
      <c r="M3726" s="460">
        <f t="shared" si="156"/>
        <v>0.05</v>
      </c>
      <c r="N3726" s="464">
        <f t="shared" si="157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55"/>
        <v>-2899761145503.5254</v>
      </c>
      <c r="J3727" s="444">
        <f t="array" ref="J3727">IFERROR(INDEX('Retirement Calculator'!K:K,MATCH('Lorri 401b'!N3727,'Retirement Calculator'!A:A,0),0),0)</f>
        <v>0</v>
      </c>
      <c r="K3727" s="444">
        <f t="shared" ca="1" si="153"/>
        <v>-12082338106.264688</v>
      </c>
      <c r="L3727" s="444">
        <f t="shared" ca="1" si="154"/>
        <v>-2911843483609.79</v>
      </c>
      <c r="M3727" s="460">
        <f t="shared" si="156"/>
        <v>0.05</v>
      </c>
      <c r="N3727" s="464">
        <f t="shared" si="157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55"/>
        <v>-2911843483609.79</v>
      </c>
      <c r="J3728" s="444">
        <f t="array" ref="J3728">IFERROR(INDEX('Retirement Calculator'!K:K,MATCH('Lorri 401b'!N3728,'Retirement Calculator'!A:A,0),0),0)</f>
        <v>0</v>
      </c>
      <c r="K3728" s="444">
        <f t="shared" ca="1" si="153"/>
        <v>-12132681181.707458</v>
      </c>
      <c r="L3728" s="444">
        <f t="shared" ca="1" si="154"/>
        <v>-2923976164791.4976</v>
      </c>
      <c r="M3728" s="460">
        <f t="shared" si="156"/>
        <v>0.05</v>
      </c>
      <c r="N3728" s="464">
        <f t="shared" si="157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55"/>
        <v>-2923976164791.4976</v>
      </c>
      <c r="J3729" s="444">
        <f t="array" ref="J3729">IFERROR(INDEX('Retirement Calculator'!K:K,MATCH('Lorri 401b'!N3729,'Retirement Calculator'!A:A,0),0),0)</f>
        <v>0</v>
      </c>
      <c r="K3729" s="444">
        <f t="shared" ca="1" si="153"/>
        <v>-12183234019.964573</v>
      </c>
      <c r="L3729" s="444">
        <f t="shared" ca="1" si="154"/>
        <v>-2936159398811.4619</v>
      </c>
      <c r="M3729" s="460">
        <f t="shared" si="156"/>
        <v>0.05</v>
      </c>
      <c r="N3729" s="464">
        <f t="shared" si="157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55"/>
        <v>-2936159398811.4619</v>
      </c>
      <c r="J3730" s="444">
        <f t="array" ref="J3730">IFERROR(INDEX('Retirement Calculator'!K:K,MATCH('Lorri 401b'!N3730,'Retirement Calculator'!A:A,0),0),0)</f>
        <v>0</v>
      </c>
      <c r="K3730" s="444">
        <f t="shared" ca="1" si="153"/>
        <v>-12233997495.047758</v>
      </c>
      <c r="L3730" s="444">
        <f t="shared" ca="1" si="154"/>
        <v>-2948393396306.5098</v>
      </c>
      <c r="M3730" s="460">
        <f t="shared" si="156"/>
        <v>0.05</v>
      </c>
      <c r="N3730" s="464">
        <f t="shared" si="157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55"/>
        <v>-2948393396306.5098</v>
      </c>
      <c r="J3731" s="444">
        <f t="array" ref="J3731">IFERROR(INDEX('Retirement Calculator'!K:K,MATCH('Lorri 401b'!N3731,'Retirement Calculator'!A:A,0),0),0)</f>
        <v>0</v>
      </c>
      <c r="K3731" s="444">
        <f t="shared" ca="1" si="153"/>
        <v>-12284972484.610456</v>
      </c>
      <c r="L3731" s="444">
        <f t="shared" ca="1" si="154"/>
        <v>-2960678368791.1201</v>
      </c>
      <c r="M3731" s="460">
        <f t="shared" si="156"/>
        <v>0.05</v>
      </c>
      <c r="N3731" s="464">
        <f t="shared" si="157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55"/>
        <v>-2960678368791.1201</v>
      </c>
      <c r="J3732" s="444">
        <f t="array" ref="J3732">IFERROR(INDEX('Retirement Calculator'!K:K,MATCH('Lorri 401b'!N3732,'Retirement Calculator'!A:A,0),0),0)</f>
        <v>0</v>
      </c>
      <c r="K3732" s="444">
        <f t="shared" ca="1" si="153"/>
        <v>-12336159869.963001</v>
      </c>
      <c r="L3732" s="444">
        <f t="shared" ca="1" si="154"/>
        <v>-2973014528661.083</v>
      </c>
      <c r="M3732" s="460">
        <f t="shared" si="156"/>
        <v>0.05</v>
      </c>
      <c r="N3732" s="464">
        <f t="shared" si="157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55"/>
        <v>-2973014528661.083</v>
      </c>
      <c r="J3733" s="444">
        <f t="array" ref="J3733">IFERROR(INDEX('Retirement Calculator'!K:K,MATCH('Lorri 401b'!N3733,'Retirement Calculator'!A:A,0),0),0)</f>
        <v>0</v>
      </c>
      <c r="K3733" s="444">
        <f t="shared" ca="1" si="153"/>
        <v>-12387560536.087845</v>
      </c>
      <c r="L3733" s="444">
        <f t="shared" ca="1" si="154"/>
        <v>-2985402089197.1709</v>
      </c>
      <c r="M3733" s="460">
        <f t="shared" si="156"/>
        <v>0.05</v>
      </c>
      <c r="N3733" s="464">
        <f t="shared" si="157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55"/>
        <v>-2985402089197.1709</v>
      </c>
      <c r="J3734" s="444">
        <f t="array" ref="J3734">IFERROR(INDEX('Retirement Calculator'!K:K,MATCH('Lorri 401b'!N3734,'Retirement Calculator'!A:A,0),0),0)</f>
        <v>0</v>
      </c>
      <c r="K3734" s="444">
        <f t="shared" ca="1" si="153"/>
        <v>-12439175371.654879</v>
      </c>
      <c r="L3734" s="444">
        <f t="shared" ca="1" si="154"/>
        <v>-2997841264568.8257</v>
      </c>
      <c r="M3734" s="460">
        <f t="shared" si="156"/>
        <v>0.05</v>
      </c>
      <c r="N3734" s="464">
        <f t="shared" si="157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55"/>
        <v>-2997841264568.8257</v>
      </c>
      <c r="J3735" s="444">
        <f t="array" ref="J3735">IFERROR(INDEX('Retirement Calculator'!K:K,MATCH('Lorri 401b'!N3735,'Retirement Calculator'!A:A,0),0),0)</f>
        <v>0</v>
      </c>
      <c r="K3735" s="444">
        <f t="shared" ca="1" si="153"/>
        <v>-12491005269.036774</v>
      </c>
      <c r="L3735" s="444">
        <f t="shared" ca="1" si="154"/>
        <v>-3010332269837.8623</v>
      </c>
      <c r="M3735" s="460">
        <f t="shared" si="156"/>
        <v>0.05</v>
      </c>
      <c r="N3735" s="464">
        <f t="shared" si="157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55"/>
        <v>-3010332269837.8623</v>
      </c>
      <c r="J3736" s="444">
        <f t="array" ref="J3736">IFERROR(INDEX('Retirement Calculator'!K:K,MATCH('Lorri 401b'!N3736,'Retirement Calculator'!A:A,0),0),0)</f>
        <v>0</v>
      </c>
      <c r="K3736" s="444">
        <f t="shared" ca="1" si="153"/>
        <v>-12543051124.324427</v>
      </c>
      <c r="L3736" s="444">
        <f t="shared" ca="1" si="154"/>
        <v>-3022875320962.1865</v>
      </c>
      <c r="M3736" s="460">
        <f t="shared" si="156"/>
        <v>0.05</v>
      </c>
      <c r="N3736" s="464">
        <f t="shared" si="157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55"/>
        <v>-3022875320962.1865</v>
      </c>
      <c r="J3737" s="444">
        <f t="array" ref="J3737">IFERROR(INDEX('Retirement Calculator'!K:K,MATCH('Lorri 401b'!N3737,'Retirement Calculator'!A:A,0),0),0)</f>
        <v>0</v>
      </c>
      <c r="K3737" s="444">
        <f t="shared" ca="1" si="153"/>
        <v>-12595313837.342443</v>
      </c>
      <c r="L3737" s="444">
        <f t="shared" ca="1" si="154"/>
        <v>-3035470634799.5288</v>
      </c>
      <c r="M3737" s="460">
        <f t="shared" si="156"/>
        <v>0.05</v>
      </c>
      <c r="N3737" s="464">
        <f t="shared" si="157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55"/>
        <v>-3035470634799.5288</v>
      </c>
      <c r="J3738" s="444">
        <f t="array" ref="J3738">IFERROR(INDEX('Retirement Calculator'!K:K,MATCH('Lorri 401b'!N3738,'Retirement Calculator'!A:A,0),0),0)</f>
        <v>0</v>
      </c>
      <c r="K3738" s="444">
        <f t="shared" ca="1" si="153"/>
        <v>-12647794311.664703</v>
      </c>
      <c r="L3738" s="444">
        <f t="shared" ca="1" si="154"/>
        <v>-3048118429111.1934</v>
      </c>
      <c r="M3738" s="460">
        <f t="shared" si="156"/>
        <v>0.05</v>
      </c>
      <c r="N3738" s="464">
        <f t="shared" si="157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55"/>
        <v>-3048118429111.1934</v>
      </c>
      <c r="J3739" s="444">
        <f t="array" ref="J3739">IFERROR(INDEX('Retirement Calculator'!K:K,MATCH('Lorri 401b'!N3739,'Retirement Calculator'!A:A,0),0),0)</f>
        <v>0</v>
      </c>
      <c r="K3739" s="444">
        <f t="shared" ca="1" si="153"/>
        <v>-12700493454.629972</v>
      </c>
      <c r="L3739" s="444">
        <f t="shared" ca="1" si="154"/>
        <v>-3060818922565.8232</v>
      </c>
      <c r="M3739" s="460">
        <f t="shared" si="156"/>
        <v>0.05</v>
      </c>
      <c r="N3739" s="464">
        <f t="shared" si="157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55"/>
        <v>-3060818922565.8232</v>
      </c>
      <c r="J3740" s="444">
        <f t="array" ref="J3740">IFERROR(INDEX('Retirement Calculator'!K:K,MATCH('Lorri 401b'!N3740,'Retirement Calculator'!A:A,0),0),0)</f>
        <v>0</v>
      </c>
      <c r="K3740" s="444">
        <f t="shared" ca="1" si="153"/>
        <v>-12753412177.357597</v>
      </c>
      <c r="L3740" s="444">
        <f t="shared" ca="1" si="154"/>
        <v>-3073572334743.1807</v>
      </c>
      <c r="M3740" s="460">
        <f t="shared" si="156"/>
        <v>0.05</v>
      </c>
      <c r="N3740" s="464">
        <f t="shared" si="157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55"/>
        <v>-3073572334743.1807</v>
      </c>
      <c r="J3741" s="444">
        <f t="array" ref="J3741">IFERROR(INDEX('Retirement Calculator'!K:K,MATCH('Lorri 401b'!N3741,'Retirement Calculator'!A:A,0),0),0)</f>
        <v>0</v>
      </c>
      <c r="K3741" s="444">
        <f t="shared" ca="1" si="153"/>
        <v>-12806551394.763252</v>
      </c>
      <c r="L3741" s="444">
        <f t="shared" ca="1" si="154"/>
        <v>-3086378886137.9438</v>
      </c>
      <c r="M3741" s="460">
        <f t="shared" si="156"/>
        <v>0.05</v>
      </c>
      <c r="N3741" s="464">
        <f t="shared" si="157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55"/>
        <v>-3086378886137.9438</v>
      </c>
      <c r="J3742" s="444">
        <f t="array" ref="J3742">IFERROR(INDEX('Retirement Calculator'!K:K,MATCH('Lorri 401b'!N3742,'Retirement Calculator'!A:A,0),0),0)</f>
        <v>0</v>
      </c>
      <c r="K3742" s="444">
        <f t="shared" ca="1" si="153"/>
        <v>-12859912025.574766</v>
      </c>
      <c r="L3742" s="444">
        <f t="shared" ca="1" si="154"/>
        <v>-3099238798163.5186</v>
      </c>
      <c r="M3742" s="460">
        <f t="shared" si="156"/>
        <v>0.05</v>
      </c>
      <c r="N3742" s="464">
        <f t="shared" si="157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55"/>
        <v>-3099238798163.5186</v>
      </c>
      <c r="J3743" s="444">
        <f t="array" ref="J3743">IFERROR(INDEX('Retirement Calculator'!K:K,MATCH('Lorri 401b'!N3743,'Retirement Calculator'!A:A,0),0),0)</f>
        <v>0</v>
      </c>
      <c r="K3743" s="444">
        <f t="shared" ca="1" si="153"/>
        <v>-12913494992.347994</v>
      </c>
      <c r="L3743" s="444">
        <f t="shared" ca="1" si="154"/>
        <v>-3112152293155.8667</v>
      </c>
      <c r="M3743" s="460">
        <f t="shared" si="156"/>
        <v>0.05</v>
      </c>
      <c r="N3743" s="464">
        <f t="shared" si="157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55"/>
        <v>-3112152293155.8667</v>
      </c>
      <c r="J3744" s="444">
        <f t="array" ref="J3744">IFERROR(INDEX('Retirement Calculator'!K:K,MATCH('Lorri 401b'!N3744,'Retirement Calculator'!A:A,0),0),0)</f>
        <v>0</v>
      </c>
      <c r="K3744" s="444">
        <f t="shared" ca="1" si="153"/>
        <v>-12967301221.482779</v>
      </c>
      <c r="L3744" s="444">
        <f t="shared" ca="1" si="154"/>
        <v>-3125119594377.3496</v>
      </c>
      <c r="M3744" s="460">
        <f t="shared" si="156"/>
        <v>0.05</v>
      </c>
      <c r="N3744" s="464">
        <f t="shared" si="157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55"/>
        <v>-3125119594377.3496</v>
      </c>
      <c r="J3745" s="444">
        <f t="array" ref="J3745">IFERROR(INDEX('Retirement Calculator'!K:K,MATCH('Lorri 401b'!N3745,'Retirement Calculator'!A:A,0),0),0)</f>
        <v>0</v>
      </c>
      <c r="K3745" s="444">
        <f t="shared" ca="1" si="153"/>
        <v>-13021331643.238956</v>
      </c>
      <c r="L3745" s="444">
        <f t="shared" ca="1" si="154"/>
        <v>-3138140926020.5884</v>
      </c>
      <c r="M3745" s="460">
        <f t="shared" si="156"/>
        <v>0.05</v>
      </c>
      <c r="N3745" s="464">
        <f t="shared" si="157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55"/>
        <v>-3138140926020.5884</v>
      </c>
      <c r="J3746" s="444">
        <f t="array" ref="J3746">IFERROR(INDEX('Retirement Calculator'!K:K,MATCH('Lorri 401b'!N3746,'Retirement Calculator'!A:A,0),0),0)</f>
        <v>0</v>
      </c>
      <c r="K3746" s="444">
        <f t="shared" ca="1" si="153"/>
        <v>-13075587191.752451</v>
      </c>
      <c r="L3746" s="444">
        <f t="shared" ca="1" si="154"/>
        <v>-3151216513212.3408</v>
      </c>
      <c r="M3746" s="460">
        <f t="shared" si="156"/>
        <v>0.05</v>
      </c>
      <c r="N3746" s="464">
        <f t="shared" si="157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55"/>
        <v>-3151216513212.3408</v>
      </c>
      <c r="J3747" s="444">
        <f t="array" ref="J3747">IFERROR(INDEX('Retirement Calculator'!K:K,MATCH('Lorri 401b'!N3747,'Retirement Calculator'!A:A,0),0),0)</f>
        <v>0</v>
      </c>
      <c r="K3747" s="444">
        <f t="shared" ca="1" si="153"/>
        <v>-13130068805.05142</v>
      </c>
      <c r="L3747" s="444">
        <f t="shared" ca="1" si="154"/>
        <v>-3164346582017.3921</v>
      </c>
      <c r="M3747" s="460">
        <f t="shared" si="156"/>
        <v>0.05</v>
      </c>
      <c r="N3747" s="464">
        <f t="shared" si="157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55"/>
        <v>-3164346582017.3921</v>
      </c>
      <c r="J3748" s="444">
        <f t="array" ref="J3748">IFERROR(INDEX('Retirement Calculator'!K:K,MATCH('Lorri 401b'!N3748,'Retirement Calculator'!A:A,0),0),0)</f>
        <v>0</v>
      </c>
      <c r="K3748" s="444">
        <f t="shared" ca="1" si="153"/>
        <v>-13184777425.072468</v>
      </c>
      <c r="L3748" s="444">
        <f t="shared" ca="1" si="154"/>
        <v>-3177531359442.4644</v>
      </c>
      <c r="M3748" s="460">
        <f t="shared" si="156"/>
        <v>0.05</v>
      </c>
      <c r="N3748" s="464">
        <f t="shared" si="157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55"/>
        <v>-3177531359442.4644</v>
      </c>
      <c r="J3749" s="444">
        <f t="array" ref="J3749">IFERROR(INDEX('Retirement Calculator'!K:K,MATCH('Lorri 401b'!N3749,'Retirement Calculator'!A:A,0),0),0)</f>
        <v>0</v>
      </c>
      <c r="K3749" s="444">
        <f t="shared" ca="1" si="153"/>
        <v>-13239713997.676935</v>
      </c>
      <c r="L3749" s="444">
        <f t="shared" ca="1" si="154"/>
        <v>-3190771073440.1411</v>
      </c>
      <c r="M3749" s="460">
        <f t="shared" si="156"/>
        <v>0.05</v>
      </c>
      <c r="N3749" s="464">
        <f t="shared" si="157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55"/>
        <v>-3190771073440.1411</v>
      </c>
      <c r="J3750" s="444">
        <f t="array" ref="J3750">IFERROR(INDEX('Retirement Calculator'!K:K,MATCH('Lorri 401b'!N3750,'Retirement Calculator'!A:A,0),0),0)</f>
        <v>0</v>
      </c>
      <c r="K3750" s="444">
        <f t="shared" ca="1" si="153"/>
        <v>-13294879472.667255</v>
      </c>
      <c r="L3750" s="444">
        <f t="shared" ca="1" si="154"/>
        <v>-3204065952912.8086</v>
      </c>
      <c r="M3750" s="460">
        <f t="shared" si="156"/>
        <v>0.05</v>
      </c>
      <c r="N3750" s="464">
        <f t="shared" si="157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55"/>
        <v>-3204065952912.8086</v>
      </c>
      <c r="J3751" s="444">
        <f t="array" ref="J3751">IFERROR(INDEX('Retirement Calculator'!K:K,MATCH('Lorri 401b'!N3751,'Retirement Calculator'!A:A,0),0),0)</f>
        <v>0</v>
      </c>
      <c r="K3751" s="444">
        <f t="shared" ca="1" si="153"/>
        <v>-13350274803.80337</v>
      </c>
      <c r="L3751" s="444">
        <f t="shared" ca="1" si="154"/>
        <v>-3217416227716.6118</v>
      </c>
      <c r="M3751" s="460">
        <f t="shared" si="156"/>
        <v>0.05</v>
      </c>
      <c r="N3751" s="464">
        <f t="shared" si="157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55"/>
        <v>-3217416227716.6118</v>
      </c>
      <c r="J3752" s="444">
        <f t="array" ref="J3752">IFERROR(INDEX('Retirement Calculator'!K:K,MATCH('Lorri 401b'!N3752,'Retirement Calculator'!A:A,0),0),0)</f>
        <v>0</v>
      </c>
      <c r="K3752" s="444">
        <f t="shared" ca="1" si="153"/>
        <v>-13405900948.819216</v>
      </c>
      <c r="L3752" s="444">
        <f t="shared" ca="1" si="154"/>
        <v>-3230822128665.4312</v>
      </c>
      <c r="M3752" s="460">
        <f t="shared" si="156"/>
        <v>0.05</v>
      </c>
      <c r="N3752" s="464">
        <f t="shared" si="157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55"/>
        <v>-3230822128665.4312</v>
      </c>
      <c r="J3753" s="444">
        <f t="array" ref="J3753">IFERROR(INDEX('Retirement Calculator'!K:K,MATCH('Lorri 401b'!N3753,'Retirement Calculator'!A:A,0),0),0)</f>
        <v>0</v>
      </c>
      <c r="K3753" s="444">
        <f t="shared" ca="1" si="153"/>
        <v>-13461758869.439297</v>
      </c>
      <c r="L3753" s="444">
        <f t="shared" ca="1" si="154"/>
        <v>-3244283887534.8706</v>
      </c>
      <c r="M3753" s="460">
        <f t="shared" si="156"/>
        <v>0.05</v>
      </c>
      <c r="N3753" s="464">
        <f t="shared" si="157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55"/>
        <v>-3244283887534.8706</v>
      </c>
      <c r="J3754" s="444">
        <f t="array" ref="J3754">IFERROR(INDEX('Retirement Calculator'!K:K,MATCH('Lorri 401b'!N3754,'Retirement Calculator'!A:A,0),0),0)</f>
        <v>0</v>
      </c>
      <c r="K3754" s="444">
        <f t="shared" ca="1" si="153"/>
        <v>-13517849531.395294</v>
      </c>
      <c r="L3754" s="444">
        <f t="shared" ca="1" si="154"/>
        <v>-3257801737066.2661</v>
      </c>
      <c r="M3754" s="460">
        <f t="shared" si="156"/>
        <v>0.05</v>
      </c>
      <c r="N3754" s="464">
        <f t="shared" si="157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55"/>
        <v>-3257801737066.2661</v>
      </c>
      <c r="J3755" s="444">
        <f t="array" ref="J3755">IFERROR(INDEX('Retirement Calculator'!K:K,MATCH('Lorri 401b'!N3755,'Retirement Calculator'!A:A,0),0),0)</f>
        <v>0</v>
      </c>
      <c r="K3755" s="444">
        <f t="shared" ca="1" si="153"/>
        <v>-13574173904.442776</v>
      </c>
      <c r="L3755" s="444">
        <f t="shared" ca="1" si="154"/>
        <v>-3271375910970.709</v>
      </c>
      <c r="M3755" s="460">
        <f t="shared" si="156"/>
        <v>0.05</v>
      </c>
      <c r="N3755" s="464">
        <f t="shared" si="157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55"/>
        <v>-3271375910970.709</v>
      </c>
      <c r="J3756" s="444">
        <f t="array" ref="J3756">IFERROR(INDEX('Retirement Calculator'!K:K,MATCH('Lorri 401b'!N3756,'Retirement Calculator'!A:A,0),0),0)</f>
        <v>0</v>
      </c>
      <c r="K3756" s="444">
        <f t="shared" ca="1" si="153"/>
        <v>-13630732962.377954</v>
      </c>
      <c r="L3756" s="444">
        <f t="shared" ca="1" si="154"/>
        <v>-3285006643933.0869</v>
      </c>
      <c r="M3756" s="460">
        <f t="shared" si="156"/>
        <v>0.05</v>
      </c>
      <c r="N3756" s="464">
        <f t="shared" si="157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55"/>
        <v>-3285006643933.0869</v>
      </c>
      <c r="J3757" s="444">
        <f t="array" ref="J3757">IFERROR(INDEX('Retirement Calculator'!K:K,MATCH('Lorri 401b'!N3757,'Retirement Calculator'!A:A,0),0),0)</f>
        <v>0</v>
      </c>
      <c r="K3757" s="444">
        <f t="shared" ca="1" si="153"/>
        <v>-13687527683.054529</v>
      </c>
      <c r="L3757" s="444">
        <f t="shared" ca="1" si="154"/>
        <v>-3298694171616.1416</v>
      </c>
      <c r="M3757" s="460">
        <f t="shared" si="156"/>
        <v>0.05</v>
      </c>
      <c r="N3757" s="464">
        <f t="shared" si="157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55"/>
        <v>-3298694171616.1416</v>
      </c>
      <c r="J3758" s="444">
        <f t="array" ref="J3758">IFERROR(INDEX('Retirement Calculator'!K:K,MATCH('Lorri 401b'!N3758,'Retirement Calculator'!A:A,0),0),0)</f>
        <v>0</v>
      </c>
      <c r="K3758" s="444">
        <f t="shared" ca="1" si="153"/>
        <v>-13744559048.400589</v>
      </c>
      <c r="L3758" s="444">
        <f t="shared" ca="1" si="154"/>
        <v>-3312438730664.542</v>
      </c>
      <c r="M3758" s="460">
        <f t="shared" si="156"/>
        <v>0.05</v>
      </c>
      <c r="N3758" s="464">
        <f t="shared" si="157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55"/>
        <v>-3312438730664.542</v>
      </c>
      <c r="J3759" s="444">
        <f t="array" ref="J3759">IFERROR(INDEX('Retirement Calculator'!K:K,MATCH('Lorri 401b'!N3759,'Retirement Calculator'!A:A,0),0),0)</f>
        <v>0</v>
      </c>
      <c r="K3759" s="444">
        <f t="shared" ca="1" si="153"/>
        <v>-13801828044.435591</v>
      </c>
      <c r="L3759" s="444">
        <f t="shared" ca="1" si="154"/>
        <v>-3326240558708.9775</v>
      </c>
      <c r="M3759" s="460">
        <f t="shared" si="156"/>
        <v>0.05</v>
      </c>
      <c r="N3759" s="464">
        <f t="shared" si="157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55"/>
        <v>-3326240558708.9775</v>
      </c>
      <c r="J3760" s="444">
        <f t="array" ref="J3760">IFERROR(INDEX('Retirement Calculator'!K:K,MATCH('Lorri 401b'!N3760,'Retirement Calculator'!A:A,0),0),0)</f>
        <v>0</v>
      </c>
      <c r="K3760" s="444">
        <f t="shared" ca="1" si="153"/>
        <v>-13859335661.287407</v>
      </c>
      <c r="L3760" s="444">
        <f t="shared" ca="1" si="154"/>
        <v>-3340099894370.2651</v>
      </c>
      <c r="M3760" s="460">
        <f t="shared" si="156"/>
        <v>0.05</v>
      </c>
      <c r="N3760" s="464">
        <f t="shared" si="157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55"/>
        <v>-3340099894370.2651</v>
      </c>
      <c r="J3761" s="444">
        <f t="array" ref="J3761">IFERROR(INDEX('Retirement Calculator'!K:K,MATCH('Lorri 401b'!N3761,'Retirement Calculator'!A:A,0),0),0)</f>
        <v>0</v>
      </c>
      <c r="K3761" s="444">
        <f t="shared" ca="1" si="153"/>
        <v>-13917082893.209438</v>
      </c>
      <c r="L3761" s="444">
        <f t="shared" ca="1" si="154"/>
        <v>-3354016977263.4746</v>
      </c>
      <c r="M3761" s="460">
        <f t="shared" si="156"/>
        <v>0.05</v>
      </c>
      <c r="N3761" s="464">
        <f t="shared" si="157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55"/>
        <v>-3354016977263.4746</v>
      </c>
      <c r="J3762" s="444">
        <f t="array" ref="J3762">IFERROR(INDEX('Retirement Calculator'!K:K,MATCH('Lorri 401b'!N3762,'Retirement Calculator'!A:A,0),0),0)</f>
        <v>0</v>
      </c>
      <c r="K3762" s="444">
        <f t="shared" ca="1" si="153"/>
        <v>-13975070738.597811</v>
      </c>
      <c r="L3762" s="444">
        <f t="shared" ca="1" si="154"/>
        <v>-3367992048002.0723</v>
      </c>
      <c r="M3762" s="460">
        <f t="shared" si="156"/>
        <v>0.05</v>
      </c>
      <c r="N3762" s="464">
        <f t="shared" si="157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55"/>
        <v>-3367992048002.0723</v>
      </c>
      <c r="J3763" s="444">
        <f t="array" ref="J3763">IFERROR(INDEX('Retirement Calculator'!K:K,MATCH('Lorri 401b'!N3763,'Retirement Calculator'!A:A,0),0),0)</f>
        <v>0</v>
      </c>
      <c r="K3763" s="444">
        <f t="shared" ca="1" si="153"/>
        <v>-14033300200.008635</v>
      </c>
      <c r="L3763" s="444">
        <f t="shared" ca="1" si="154"/>
        <v>-3382025348202.0811</v>
      </c>
      <c r="M3763" s="460">
        <f t="shared" si="156"/>
        <v>0.05</v>
      </c>
      <c r="N3763" s="464">
        <f t="shared" si="157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55"/>
        <v>-3382025348202.0811</v>
      </c>
      <c r="J3764" s="444">
        <f t="array" ref="J3764">IFERROR(INDEX('Retirement Calculator'!K:K,MATCH('Lorri 401b'!N3764,'Retirement Calculator'!A:A,0),0),0)</f>
        <v>0</v>
      </c>
      <c r="K3764" s="444">
        <f t="shared" ca="1" si="153"/>
        <v>-14091772284.175337</v>
      </c>
      <c r="L3764" s="444">
        <f t="shared" ca="1" si="154"/>
        <v>-3396117120486.2563</v>
      </c>
      <c r="M3764" s="460">
        <f t="shared" si="156"/>
        <v>0.05</v>
      </c>
      <c r="N3764" s="464">
        <f t="shared" si="157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55"/>
        <v>-3396117120486.2563</v>
      </c>
      <c r="J3765" s="444">
        <f t="array" ref="J3765">IFERROR(INDEX('Retirement Calculator'!K:K,MATCH('Lorri 401b'!N3765,'Retirement Calculator'!A:A,0),0),0)</f>
        <v>0</v>
      </c>
      <c r="K3765" s="444">
        <f t="shared" ca="1" si="153"/>
        <v>-14150488002.026068</v>
      </c>
      <c r="L3765" s="444">
        <f t="shared" ca="1" si="154"/>
        <v>-3410267608488.2822</v>
      </c>
      <c r="M3765" s="460">
        <f t="shared" si="156"/>
        <v>0.05</v>
      </c>
      <c r="N3765" s="464">
        <f t="shared" si="157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55"/>
        <v>-3410267608488.2822</v>
      </c>
      <c r="J3766" s="444">
        <f t="array" ref="J3766">IFERROR(INDEX('Retirement Calculator'!K:K,MATCH('Lorri 401b'!N3766,'Retirement Calculator'!A:A,0),0),0)</f>
        <v>0</v>
      </c>
      <c r="K3766" s="444">
        <f t="shared" ca="1" si="153"/>
        <v>-14209448368.701176</v>
      </c>
      <c r="L3766" s="444">
        <f t="shared" ca="1" si="154"/>
        <v>-3424477056856.9834</v>
      </c>
      <c r="M3766" s="460">
        <f t="shared" si="156"/>
        <v>0.05</v>
      </c>
      <c r="N3766" s="464">
        <f t="shared" si="157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55"/>
        <v>-3424477056856.9834</v>
      </c>
      <c r="J3767" s="444">
        <f t="array" ref="J3767">IFERROR(INDEX('Retirement Calculator'!K:K,MATCH('Lorri 401b'!N3767,'Retirement Calculator'!A:A,0),0),0)</f>
        <v>0</v>
      </c>
      <c r="K3767" s="444">
        <f t="shared" ca="1" si="153"/>
        <v>-14268654403.570765</v>
      </c>
      <c r="L3767" s="444">
        <f t="shared" ca="1" si="154"/>
        <v>-3438745711260.5542</v>
      </c>
      <c r="M3767" s="460">
        <f t="shared" si="156"/>
        <v>0.05</v>
      </c>
      <c r="N3767" s="464">
        <f t="shared" si="157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55"/>
        <v>-3438745711260.5542</v>
      </c>
      <c r="J3768" s="444">
        <f t="array" ref="J3768">IFERROR(INDEX('Retirement Calculator'!K:K,MATCH('Lorri 401b'!N3768,'Retirement Calculator'!A:A,0),0),0)</f>
        <v>0</v>
      </c>
      <c r="K3768" s="444">
        <f t="shared" ca="1" si="153"/>
        <v>-14328107130.25231</v>
      </c>
      <c r="L3768" s="444">
        <f t="shared" ca="1" si="154"/>
        <v>-3453073818390.8066</v>
      </c>
      <c r="M3768" s="460">
        <f t="shared" si="156"/>
        <v>0.05</v>
      </c>
      <c r="N3768" s="464">
        <f t="shared" si="157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55"/>
        <v>-3453073818390.8066</v>
      </c>
      <c r="J3769" s="444">
        <f t="array" ref="J3769">IFERROR(INDEX('Retirement Calculator'!K:K,MATCH('Lorri 401b'!N3769,'Retirement Calculator'!A:A,0),0),0)</f>
        <v>0</v>
      </c>
      <c r="K3769" s="444">
        <f t="shared" ca="1" si="153"/>
        <v>-14387807576.628361</v>
      </c>
      <c r="L3769" s="444">
        <f t="shared" ca="1" si="154"/>
        <v>-3467461625967.4351</v>
      </c>
      <c r="M3769" s="460">
        <f t="shared" si="156"/>
        <v>0.05</v>
      </c>
      <c r="N3769" s="464">
        <f t="shared" si="157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55"/>
        <v>-3467461625967.4351</v>
      </c>
      <c r="J3770" s="444">
        <f t="array" ref="J3770">IFERROR(INDEX('Retirement Calculator'!K:K,MATCH('Lorri 401b'!N3770,'Retirement Calculator'!A:A,0),0),0)</f>
        <v>0</v>
      </c>
      <c r="K3770" s="444">
        <f t="shared" ca="1" si="153"/>
        <v>-14447756774.864313</v>
      </c>
      <c r="L3770" s="444">
        <f t="shared" ca="1" si="154"/>
        <v>-3481909382742.2993</v>
      </c>
      <c r="M3770" s="460">
        <f t="shared" si="156"/>
        <v>0.05</v>
      </c>
      <c r="N3770" s="464">
        <f t="shared" si="157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55"/>
        <v>-3481909382742.2993</v>
      </c>
      <c r="J3771" s="444">
        <f t="array" ref="J3771">IFERROR(INDEX('Retirement Calculator'!K:K,MATCH('Lorri 401b'!N3771,'Retirement Calculator'!A:A,0),0),0)</f>
        <v>0</v>
      </c>
      <c r="K3771" s="444">
        <f t="shared" ca="1" si="153"/>
        <v>-14507955761.426247</v>
      </c>
      <c r="L3771" s="444">
        <f t="shared" ca="1" si="154"/>
        <v>-3496417338503.7256</v>
      </c>
      <c r="M3771" s="460">
        <f t="shared" si="156"/>
        <v>0.05</v>
      </c>
      <c r="N3771" s="464">
        <f t="shared" si="157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55"/>
        <v>-3496417338503.7256</v>
      </c>
      <c r="J3772" s="444">
        <f t="array" ref="J3772">IFERROR(INDEX('Retirement Calculator'!K:K,MATCH('Lorri 401b'!N3772,'Retirement Calculator'!A:A,0),0),0)</f>
        <v>0</v>
      </c>
      <c r="K3772" s="444">
        <f t="shared" ca="1" si="153"/>
        <v>-14568405577.098856</v>
      </c>
      <c r="L3772" s="444">
        <f t="shared" ca="1" si="154"/>
        <v>-3510985744080.8242</v>
      </c>
      <c r="M3772" s="460">
        <f t="shared" si="156"/>
        <v>0.05</v>
      </c>
      <c r="N3772" s="464">
        <f t="shared" si="157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55"/>
        <v>-3510985744080.8242</v>
      </c>
      <c r="J3773" s="444">
        <f t="array" ref="J3773">IFERROR(INDEX('Retirement Calculator'!K:K,MATCH('Lorri 401b'!N3773,'Retirement Calculator'!A:A,0),0),0)</f>
        <v>0</v>
      </c>
      <c r="K3773" s="444">
        <f t="shared" ca="1" si="153"/>
        <v>-14629107267.003433</v>
      </c>
      <c r="L3773" s="444">
        <f t="shared" ca="1" si="154"/>
        <v>-3525614851347.8276</v>
      </c>
      <c r="M3773" s="460">
        <f t="shared" si="156"/>
        <v>0.05</v>
      </c>
      <c r="N3773" s="464">
        <f t="shared" si="157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55"/>
        <v>-3525614851347.8276</v>
      </c>
      <c r="J3774" s="444">
        <f t="array" ref="J3774">IFERROR(INDEX('Retirement Calculator'!K:K,MATCH('Lorri 401b'!N3774,'Retirement Calculator'!A:A,0),0),0)</f>
        <v>0</v>
      </c>
      <c r="K3774" s="444">
        <f t="shared" ca="1" si="153"/>
        <v>-14690061880.615948</v>
      </c>
      <c r="L3774" s="444">
        <f t="shared" ca="1" si="154"/>
        <v>-3540304913228.4434</v>
      </c>
      <c r="M3774" s="460">
        <f t="shared" si="156"/>
        <v>0.05</v>
      </c>
      <c r="N3774" s="464">
        <f t="shared" si="157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55"/>
        <v>-3540304913228.4434</v>
      </c>
      <c r="J3775" s="444">
        <f t="array" ref="J3775">IFERROR(INDEX('Retirement Calculator'!K:K,MATCH('Lorri 401b'!N3775,'Retirement Calculator'!A:A,0),0),0)</f>
        <v>0</v>
      </c>
      <c r="K3775" s="444">
        <f t="shared" ca="1" si="153"/>
        <v>-14751270471.785181</v>
      </c>
      <c r="L3775" s="444">
        <f t="shared" ca="1" si="154"/>
        <v>-3555056183700.2285</v>
      </c>
      <c r="M3775" s="460">
        <f t="shared" si="156"/>
        <v>0.05</v>
      </c>
      <c r="N3775" s="464">
        <f t="shared" si="157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55"/>
        <v>-3555056183700.2285</v>
      </c>
      <c r="J3776" s="444">
        <f t="array" ref="J3776">IFERROR(INDEX('Retirement Calculator'!K:K,MATCH('Lorri 401b'!N3776,'Retirement Calculator'!A:A,0),0),0)</f>
        <v>0</v>
      </c>
      <c r="K3776" s="444">
        <f t="shared" ca="1" si="153"/>
        <v>-14812734098.750954</v>
      </c>
      <c r="L3776" s="444">
        <f t="shared" ca="1" si="154"/>
        <v>-3569868917798.9795</v>
      </c>
      <c r="M3776" s="460">
        <f t="shared" si="156"/>
        <v>0.05</v>
      </c>
      <c r="N3776" s="464">
        <f t="shared" si="157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55"/>
        <v>-3569868917798.9795</v>
      </c>
      <c r="J3777" s="444">
        <f t="array" ref="J3777">IFERROR(INDEX('Retirement Calculator'!K:K,MATCH('Lorri 401b'!N3777,'Retirement Calculator'!A:A,0),0),0)</f>
        <v>0</v>
      </c>
      <c r="K3777" s="444">
        <f t="shared" ca="1" si="153"/>
        <v>-14874453824.162415</v>
      </c>
      <c r="L3777" s="444">
        <f t="shared" ca="1" si="154"/>
        <v>-3584743371623.1421</v>
      </c>
      <c r="M3777" s="460">
        <f t="shared" si="156"/>
        <v>0.05</v>
      </c>
      <c r="N3777" s="464">
        <f t="shared" si="157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55"/>
        <v>-3584743371623.1421</v>
      </c>
      <c r="J3778" s="444">
        <f t="array" ref="J3778">IFERROR(INDEX('Retirement Calculator'!K:K,MATCH('Lorri 401b'!N3778,'Retirement Calculator'!A:A,0),0),0)</f>
        <v>0</v>
      </c>
      <c r="K3778" s="444">
        <f t="shared" ca="1" si="153"/>
        <v>-14936430715.096426</v>
      </c>
      <c r="L3778" s="444">
        <f t="shared" ca="1" si="154"/>
        <v>-3599679802338.2383</v>
      </c>
      <c r="M3778" s="460">
        <f t="shared" si="156"/>
        <v>0.05</v>
      </c>
      <c r="N3778" s="464">
        <f t="shared" si="157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55"/>
        <v>-3599679802338.2383</v>
      </c>
      <c r="J3779" s="444">
        <f t="array" ref="J3779">IFERROR(INDEX('Retirement Calculator'!K:K,MATCH('Lorri 401b'!N3779,'Retirement Calculator'!A:A,0),0),0)</f>
        <v>0</v>
      </c>
      <c r="K3779" s="444">
        <f t="shared" ca="1" si="153"/>
        <v>-14998665843.075991</v>
      </c>
      <c r="L3779" s="444">
        <f t="shared" ca="1" si="154"/>
        <v>-3614678468181.3145</v>
      </c>
      <c r="M3779" s="460">
        <f t="shared" si="156"/>
        <v>0.05</v>
      </c>
      <c r="N3779" s="464">
        <f t="shared" si="157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55"/>
        <v>-3614678468181.3145</v>
      </c>
      <c r="J3780" s="444">
        <f t="array" ref="J3780">IFERROR(INDEX('Retirement Calculator'!K:K,MATCH('Lorri 401b'!N3780,'Retirement Calculator'!A:A,0),0),0)</f>
        <v>0</v>
      </c>
      <c r="K3780" s="444">
        <f t="shared" ca="1" si="153"/>
        <v>-15061160284.088812</v>
      </c>
      <c r="L3780" s="444">
        <f t="shared" ca="1" si="154"/>
        <v>-3629739628465.4033</v>
      </c>
      <c r="M3780" s="460">
        <f t="shared" si="156"/>
        <v>0.05</v>
      </c>
      <c r="N3780" s="464">
        <f t="shared" si="157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55"/>
        <v>-3629739628465.4033</v>
      </c>
      <c r="J3781" s="444">
        <f t="array" ref="J3781">IFERROR(INDEX('Retirement Calculator'!K:K,MATCH('Lorri 401b'!N3781,'Retirement Calculator'!A:A,0),0),0)</f>
        <v>0</v>
      </c>
      <c r="K3781" s="444">
        <f t="shared" ca="1" si="153"/>
        <v>-15123915118.605844</v>
      </c>
      <c r="L3781" s="444">
        <f t="shared" ca="1" si="154"/>
        <v>-3644863543584.0093</v>
      </c>
      <c r="M3781" s="460">
        <f t="shared" si="156"/>
        <v>0.05</v>
      </c>
      <c r="N3781" s="464">
        <f t="shared" si="157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55"/>
        <v>-3644863543584.0093</v>
      </c>
      <c r="J3782" s="444">
        <f t="array" ref="J3782">IFERROR(INDEX('Retirement Calculator'!K:K,MATCH('Lorri 401b'!N3782,'Retirement Calculator'!A:A,0),0),0)</f>
        <v>0</v>
      </c>
      <c r="K3782" s="444">
        <f t="shared" ca="1" si="153"/>
        <v>-15186931431.600037</v>
      </c>
      <c r="L3782" s="444">
        <f t="shared" ca="1" si="154"/>
        <v>-3660050475015.6094</v>
      </c>
      <c r="M3782" s="460">
        <f t="shared" si="156"/>
        <v>0.05</v>
      </c>
      <c r="N3782" s="464">
        <f t="shared" si="157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55"/>
        <v>-3660050475015.6094</v>
      </c>
      <c r="J3783" s="444">
        <f t="array" ref="J3783">IFERROR(INDEX('Retirement Calculator'!K:K,MATCH('Lorri 401b'!N3783,'Retirement Calculator'!A:A,0),0),0)</f>
        <v>0</v>
      </c>
      <c r="K3783" s="444">
        <f t="shared" ca="1" si="153"/>
        <v>-15250210312.565041</v>
      </c>
      <c r="L3783" s="444">
        <f t="shared" ca="1" si="154"/>
        <v>-3675300685328.1743</v>
      </c>
      <c r="M3783" s="460">
        <f t="shared" si="156"/>
        <v>0.05</v>
      </c>
      <c r="N3783" s="464">
        <f t="shared" si="157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55"/>
        <v>-3675300685328.1743</v>
      </c>
      <c r="J3784" s="444">
        <f t="array" ref="J3784">IFERROR(INDEX('Retirement Calculator'!K:K,MATCH('Lorri 401b'!N3784,'Retirement Calculator'!A:A,0),0),0)</f>
        <v>0</v>
      </c>
      <c r="K3784" s="444">
        <f t="shared" ca="1" si="153"/>
        <v>-15313752855.53406</v>
      </c>
      <c r="L3784" s="444">
        <f t="shared" ca="1" si="154"/>
        <v>-3690614438183.7085</v>
      </c>
      <c r="M3784" s="460">
        <f t="shared" si="156"/>
        <v>0.05</v>
      </c>
      <c r="N3784" s="464">
        <f t="shared" si="157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55"/>
        <v>-3690614438183.7085</v>
      </c>
      <c r="J3785" s="444">
        <f t="array" ref="J3785">IFERROR(INDEX('Retirement Calculator'!K:K,MATCH('Lorri 401b'!N3785,'Retirement Calculator'!A:A,0),0),0)</f>
        <v>0</v>
      </c>
      <c r="K3785" s="444">
        <f t="shared" ca="1" si="153"/>
        <v>-15377560159.098785</v>
      </c>
      <c r="L3785" s="444">
        <f t="shared" ca="1" si="154"/>
        <v>-3705991998342.8071</v>
      </c>
      <c r="M3785" s="460">
        <f t="shared" si="156"/>
        <v>0.05</v>
      </c>
      <c r="N3785" s="464">
        <f t="shared" si="157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55"/>
        <v>-3705991998342.8071</v>
      </c>
      <c r="J3786" s="444">
        <f t="array" ref="J3786">IFERROR(INDEX('Retirement Calculator'!K:K,MATCH('Lorri 401b'!N3786,'Retirement Calculator'!A:A,0),0),0)</f>
        <v>0</v>
      </c>
      <c r="K3786" s="444">
        <f t="shared" ca="1" si="153"/>
        <v>-15441633326.428362</v>
      </c>
      <c r="L3786" s="444">
        <f t="shared" ca="1" si="154"/>
        <v>-3721433631669.2354</v>
      </c>
      <c r="M3786" s="460">
        <f t="shared" si="156"/>
        <v>0.05</v>
      </c>
      <c r="N3786" s="464">
        <f t="shared" si="157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55"/>
        <v>-3721433631669.2354</v>
      </c>
      <c r="J3787" s="444">
        <f t="array" ref="J3787">IFERROR(INDEX('Retirement Calculator'!K:K,MATCH('Lorri 401b'!N3787,'Retirement Calculator'!A:A,0),0),0)</f>
        <v>0</v>
      </c>
      <c r="K3787" s="444">
        <f t="shared" ca="1" si="153"/>
        <v>-15505973465.288481</v>
      </c>
      <c r="L3787" s="444">
        <f t="shared" ca="1" si="154"/>
        <v>-3736939605134.5239</v>
      </c>
      <c r="M3787" s="460">
        <f t="shared" si="156"/>
        <v>0.05</v>
      </c>
      <c r="N3787" s="464">
        <f t="shared" si="157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55"/>
        <v>-3736939605134.5239</v>
      </c>
      <c r="J3788" s="444">
        <f t="array" ref="J3788">IFERROR(INDEX('Retirement Calculator'!K:K,MATCH('Lorri 401b'!N3788,'Retirement Calculator'!A:A,0),0),0)</f>
        <v>0</v>
      </c>
      <c r="K3788" s="444">
        <f t="shared" ca="1" si="153"/>
        <v>-15570581688.060514</v>
      </c>
      <c r="L3788" s="444">
        <f t="shared" ca="1" si="154"/>
        <v>-3752510186822.5845</v>
      </c>
      <c r="M3788" s="460">
        <f t="shared" si="156"/>
        <v>0.05</v>
      </c>
      <c r="N3788" s="464">
        <f t="shared" si="157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55"/>
        <v>-3752510186822.5845</v>
      </c>
      <c r="J3789" s="444">
        <f t="array" ref="J3789">IFERROR(INDEX('Retirement Calculator'!K:K,MATCH('Lorri 401b'!N3789,'Retirement Calculator'!A:A,0),0),0)</f>
        <v>0</v>
      </c>
      <c r="K3789" s="444">
        <f t="shared" ca="1" si="153"/>
        <v>-15635459111.760767</v>
      </c>
      <c r="L3789" s="444">
        <f t="shared" ca="1" si="154"/>
        <v>-3768145645934.3452</v>
      </c>
      <c r="M3789" s="460">
        <f t="shared" si="156"/>
        <v>0.05</v>
      </c>
      <c r="N3789" s="464">
        <f t="shared" si="157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55"/>
        <v>-3768145645934.3452</v>
      </c>
      <c r="J3790" s="444">
        <f t="array" ref="J3790">IFERROR(INDEX('Retirement Calculator'!K:K,MATCH('Lorri 401b'!N3790,'Retirement Calculator'!A:A,0),0),0)</f>
        <v>0</v>
      </c>
      <c r="K3790" s="444">
        <f t="shared" ca="1" si="153"/>
        <v>-15700606858.059771</v>
      </c>
      <c r="L3790" s="444">
        <f t="shared" ca="1" si="154"/>
        <v>-3783846252792.4048</v>
      </c>
      <c r="M3790" s="460">
        <f t="shared" si="156"/>
        <v>0.05</v>
      </c>
      <c r="N3790" s="464">
        <f t="shared" si="157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55"/>
        <v>-3783846252792.4048</v>
      </c>
      <c r="J3791" s="444">
        <f t="array" ref="J3791">IFERROR(INDEX('Retirement Calculator'!K:K,MATCH('Lorri 401b'!N3791,'Retirement Calculator'!A:A,0),0),0)</f>
        <v>0</v>
      </c>
      <c r="K3791" s="444">
        <f t="shared" ca="1" si="153"/>
        <v>-15766026053.301683</v>
      </c>
      <c r="L3791" s="444">
        <f t="shared" ca="1" si="154"/>
        <v>-3799612278845.7065</v>
      </c>
      <c r="M3791" s="460">
        <f t="shared" si="156"/>
        <v>0.05</v>
      </c>
      <c r="N3791" s="464">
        <f t="shared" si="157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55"/>
        <v>-3799612278845.7065</v>
      </c>
      <c r="J3792" s="444">
        <f t="array" ref="J3792">IFERROR(INDEX('Retirement Calculator'!K:K,MATCH('Lorri 401b'!N3792,'Retirement Calculator'!A:A,0),0),0)</f>
        <v>0</v>
      </c>
      <c r="K3792" s="444">
        <f t="shared" ca="1" si="153"/>
        <v>-15831717828.523777</v>
      </c>
      <c r="L3792" s="444">
        <f t="shared" ca="1" si="154"/>
        <v>-3815443996674.2305</v>
      </c>
      <c r="M3792" s="460">
        <f t="shared" si="156"/>
        <v>0.05</v>
      </c>
      <c r="N3792" s="464">
        <f t="shared" si="157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55"/>
        <v>-3815443996674.2305</v>
      </c>
      <c r="J3793" s="444">
        <f t="array" ref="J3793">IFERROR(INDEX('Retirement Calculator'!K:K,MATCH('Lorri 401b'!N3793,'Retirement Calculator'!A:A,0),0),0)</f>
        <v>0</v>
      </c>
      <c r="K3793" s="444">
        <f t="shared" ca="1" si="153"/>
        <v>-15897683319.47596</v>
      </c>
      <c r="L3793" s="444">
        <f t="shared" ca="1" si="154"/>
        <v>-3831341679993.7065</v>
      </c>
      <c r="M3793" s="460">
        <f t="shared" si="156"/>
        <v>0.05</v>
      </c>
      <c r="N3793" s="464">
        <f t="shared" si="157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55"/>
        <v>-3831341679993.7065</v>
      </c>
      <c r="J3794" s="444">
        <f t="array" ref="J3794">IFERROR(INDEX('Retirement Calculator'!K:K,MATCH('Lorri 401b'!N3794,'Retirement Calculator'!A:A,0),0),0)</f>
        <v>0</v>
      </c>
      <c r="K3794" s="444">
        <f t="shared" ca="1" si="153"/>
        <v>-15963923666.640446</v>
      </c>
      <c r="L3794" s="444">
        <f t="shared" ca="1" si="154"/>
        <v>-3847305603660.3472</v>
      </c>
      <c r="M3794" s="460">
        <f t="shared" si="156"/>
        <v>0.05</v>
      </c>
      <c r="N3794" s="464">
        <f t="shared" si="157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55"/>
        <v>-3847305603660.3472</v>
      </c>
      <c r="J3795" s="444">
        <f t="array" ref="J3795">IFERROR(INDEX('Retirement Calculator'!K:K,MATCH('Lorri 401b'!N3795,'Retirement Calculator'!A:A,0),0),0)</f>
        <v>0</v>
      </c>
      <c r="K3795" s="444">
        <f t="shared" ca="1" si="153"/>
        <v>-16030440015.251446</v>
      </c>
      <c r="L3795" s="444">
        <f t="shared" ca="1" si="154"/>
        <v>-3863336043675.5986</v>
      </c>
      <c r="M3795" s="460">
        <f t="shared" si="156"/>
        <v>0.05</v>
      </c>
      <c r="N3795" s="464">
        <f t="shared" si="157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55"/>
        <v>-3863336043675.5986</v>
      </c>
      <c r="J3796" s="444">
        <f t="array" ref="J3796">IFERROR(INDEX('Retirement Calculator'!K:K,MATCH('Lorri 401b'!N3796,'Retirement Calculator'!A:A,0),0),0)</f>
        <v>0</v>
      </c>
      <c r="K3796" s="444">
        <f t="shared" ca="1" si="153"/>
        <v>-16097233515.314993</v>
      </c>
      <c r="L3796" s="444">
        <f t="shared" ca="1" si="154"/>
        <v>-3879433277190.9136</v>
      </c>
      <c r="M3796" s="460">
        <f t="shared" si="156"/>
        <v>0.05</v>
      </c>
      <c r="N3796" s="464">
        <f t="shared" si="157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55"/>
        <v>-3879433277190.9136</v>
      </c>
      <c r="J3797" s="444">
        <f t="array" ref="J3797">IFERROR(INDEX('Retirement Calculator'!K:K,MATCH('Lorri 401b'!N3797,'Retirement Calculator'!A:A,0),0),0)</f>
        <v>0</v>
      </c>
      <c r="K3797" s="444">
        <f t="shared" ca="1" si="153"/>
        <v>-16164305321.628805</v>
      </c>
      <c r="L3797" s="444">
        <f t="shared" ca="1" si="154"/>
        <v>-3895597582512.5425</v>
      </c>
      <c r="M3797" s="460">
        <f t="shared" si="156"/>
        <v>0.05</v>
      </c>
      <c r="N3797" s="464">
        <f t="shared" si="157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55"/>
        <v>-3895597582512.5425</v>
      </c>
      <c r="J3798" s="444">
        <f t="array" ref="J3798">IFERROR(INDEX('Retirement Calculator'!K:K,MATCH('Lorri 401b'!N3798,'Retirement Calculator'!A:A,0),0),0)</f>
        <v>0</v>
      </c>
      <c r="K3798" s="444">
        <f t="shared" ca="1" si="153"/>
        <v>-16231656593.802259</v>
      </c>
      <c r="L3798" s="444">
        <f t="shared" ca="1" si="154"/>
        <v>-3911829239106.3447</v>
      </c>
      <c r="M3798" s="460">
        <f t="shared" si="156"/>
        <v>0.05</v>
      </c>
      <c r="N3798" s="464">
        <f t="shared" si="157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55"/>
        <v>-3911829239106.3447</v>
      </c>
      <c r="J3799" s="444">
        <f t="array" ref="J3799">IFERROR(INDEX('Retirement Calculator'!K:K,MATCH('Lorri 401b'!N3799,'Retirement Calculator'!A:A,0),0),0)</f>
        <v>0</v>
      </c>
      <c r="K3799" s="444">
        <f t="shared" ca="1" si="153"/>
        <v>-16299288496.276436</v>
      </c>
      <c r="L3799" s="444">
        <f t="shared" ca="1" si="154"/>
        <v>-3928128527602.6211</v>
      </c>
      <c r="M3799" s="460">
        <f t="shared" si="156"/>
        <v>0.05</v>
      </c>
      <c r="N3799" s="464">
        <f t="shared" si="157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55"/>
        <v>-3928128527602.6211</v>
      </c>
      <c r="J3800" s="444">
        <f t="array" ref="J3800">IFERROR(INDEX('Retirement Calculator'!K:K,MATCH('Lorri 401b'!N3800,'Retirement Calculator'!A:A,0),0),0)</f>
        <v>0</v>
      </c>
      <c r="K3800" s="444">
        <f t="shared" ca="1" si="153"/>
        <v>-16367202198.344255</v>
      </c>
      <c r="L3800" s="444">
        <f t="shared" ca="1" si="154"/>
        <v>-3944495729800.9653</v>
      </c>
      <c r="M3800" s="460">
        <f t="shared" si="156"/>
        <v>0.05</v>
      </c>
      <c r="N3800" s="464">
        <f t="shared" si="157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55"/>
        <v>-3944495729800.9653</v>
      </c>
      <c r="J3801" s="444">
        <f t="array" ref="J3801">IFERROR(INDEX('Retirement Calculator'!K:K,MATCH('Lorri 401b'!N3801,'Retirement Calculator'!A:A,0),0),0)</f>
        <v>0</v>
      </c>
      <c r="K3801" s="444">
        <f t="shared" ca="1" si="153"/>
        <v>-16435398874.170691</v>
      </c>
      <c r="L3801" s="444">
        <f t="shared" ca="1" si="154"/>
        <v>-3960931128675.1362</v>
      </c>
      <c r="M3801" s="460">
        <f t="shared" si="156"/>
        <v>0.05</v>
      </c>
      <c r="N3801" s="464">
        <f t="shared" si="157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55"/>
        <v>-3960931128675.1362</v>
      </c>
      <c r="J3802" s="444">
        <f t="array" ref="J3802">IFERROR(INDEX('Retirement Calculator'!K:K,MATCH('Lorri 401b'!N3802,'Retirement Calculator'!A:A,0),0),0)</f>
        <v>0</v>
      </c>
      <c r="K3802" s="444">
        <f t="shared" ca="1" si="153"/>
        <v>-16503879702.813066</v>
      </c>
      <c r="L3802" s="444">
        <f t="shared" ca="1" si="154"/>
        <v>-3977435008377.9492</v>
      </c>
      <c r="M3802" s="460">
        <f t="shared" si="156"/>
        <v>0.05</v>
      </c>
      <c r="N3802" s="464">
        <f t="shared" si="157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55"/>
        <v>-3977435008377.9492</v>
      </c>
      <c r="J3803" s="444">
        <f t="array" ref="J3803">IFERROR(INDEX('Retirement Calculator'!K:K,MATCH('Lorri 401b'!N3803,'Retirement Calculator'!A:A,0),0),0)</f>
        <v>0</v>
      </c>
      <c r="K3803" s="444">
        <f t="shared" ca="1" si="153"/>
        <v>-16572645868.241455</v>
      </c>
      <c r="L3803" s="444">
        <f t="shared" ca="1" si="154"/>
        <v>-3994007654246.1904</v>
      </c>
      <c r="M3803" s="460">
        <f t="shared" si="156"/>
        <v>0.05</v>
      </c>
      <c r="N3803" s="464">
        <f t="shared" si="157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55"/>
        <v>-3994007654246.1904</v>
      </c>
      <c r="J3804" s="444">
        <f t="array" ref="J3804">IFERROR(INDEX('Retirement Calculator'!K:K,MATCH('Lorri 401b'!N3804,'Retirement Calculator'!A:A,0),0),0)</f>
        <v>0</v>
      </c>
      <c r="K3804" s="444">
        <f t="shared" ca="1" si="153"/>
        <v>-16641698559.359125</v>
      </c>
      <c r="L3804" s="444">
        <f t="shared" ca="1" si="154"/>
        <v>-4010649352805.5493</v>
      </c>
      <c r="M3804" s="460">
        <f t="shared" si="156"/>
        <v>0.05</v>
      </c>
      <c r="N3804" s="464">
        <f t="shared" si="157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55"/>
        <v>-4010649352805.5493</v>
      </c>
      <c r="J3805" s="444">
        <f t="array" ref="J3805">IFERROR(INDEX('Retirement Calculator'!K:K,MATCH('Lorri 401b'!N3805,'Retirement Calculator'!A:A,0),0),0)</f>
        <v>0</v>
      </c>
      <c r="K3805" s="444">
        <f t="shared" ca="1" si="153"/>
        <v>-16711038970.023119</v>
      </c>
      <c r="L3805" s="444">
        <f t="shared" ca="1" si="154"/>
        <v>-4027360391775.5723</v>
      </c>
      <c r="M3805" s="460">
        <f t="shared" si="156"/>
        <v>0.05</v>
      </c>
      <c r="N3805" s="464">
        <f t="shared" si="157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55"/>
        <v>-4027360391775.5723</v>
      </c>
      <c r="J3806" s="444">
        <f t="array" ref="J3806">IFERROR(INDEX('Retirement Calculator'!K:K,MATCH('Lorri 401b'!N3806,'Retirement Calculator'!A:A,0),0),0)</f>
        <v>0</v>
      </c>
      <c r="K3806" s="444">
        <f t="shared" ca="1" si="153"/>
        <v>-16780668299.064884</v>
      </c>
      <c r="L3806" s="444">
        <f t="shared" ca="1" si="154"/>
        <v>-4044141060074.6372</v>
      </c>
      <c r="M3806" s="460">
        <f t="shared" si="156"/>
        <v>0.05</v>
      </c>
      <c r="N3806" s="464">
        <f t="shared" si="157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55"/>
        <v>-4044141060074.6372</v>
      </c>
      <c r="J3807" s="444">
        <f t="array" ref="J3807">IFERROR(INDEX('Retirement Calculator'!K:K,MATCH('Lorri 401b'!N3807,'Retirement Calculator'!A:A,0),0),0)</f>
        <v>0</v>
      </c>
      <c r="K3807" s="444">
        <f t="shared" ca="1" si="153"/>
        <v>-16850587750.310987</v>
      </c>
      <c r="L3807" s="444">
        <f t="shared" ca="1" si="154"/>
        <v>-4060991647824.9482</v>
      </c>
      <c r="M3807" s="460">
        <f t="shared" si="156"/>
        <v>0.05</v>
      </c>
      <c r="N3807" s="464">
        <f t="shared" si="157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55"/>
        <v>-4060991647824.9482</v>
      </c>
      <c r="J3808" s="444">
        <f t="array" ref="J3808">IFERROR(INDEX('Retirement Calculator'!K:K,MATCH('Lorri 401b'!N3808,'Retirement Calculator'!A:A,0),0),0)</f>
        <v>0</v>
      </c>
      <c r="K3808" s="444">
        <f t="shared" ca="1" si="153"/>
        <v>-16920798532.603952</v>
      </c>
      <c r="L3808" s="444">
        <f t="shared" ca="1" si="154"/>
        <v>-4077912446357.5522</v>
      </c>
      <c r="M3808" s="460">
        <f t="shared" si="156"/>
        <v>0.05</v>
      </c>
      <c r="N3808" s="464">
        <f t="shared" si="157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55"/>
        <v>-4077912446357.5522</v>
      </c>
      <c r="J3809" s="444">
        <f t="array" ref="J3809">IFERROR(INDEX('Retirement Calculator'!K:K,MATCH('Lorri 401b'!N3809,'Retirement Calculator'!A:A,0),0),0)</f>
        <v>0</v>
      </c>
      <c r="K3809" s="444">
        <f t="shared" ca="1" si="153"/>
        <v>-16991301859.823133</v>
      </c>
      <c r="L3809" s="444">
        <f t="shared" ca="1" si="154"/>
        <v>-4094903748217.3755</v>
      </c>
      <c r="M3809" s="460">
        <f t="shared" si="156"/>
        <v>0.05</v>
      </c>
      <c r="N3809" s="464">
        <f t="shared" si="157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55"/>
        <v>-4094903748217.3755</v>
      </c>
      <c r="J3810" s="444">
        <f t="array" ref="J3810">IFERROR(INDEX('Retirement Calculator'!K:K,MATCH('Lorri 401b'!N3810,'Retirement Calculator'!A:A,0),0),0)</f>
        <v>0</v>
      </c>
      <c r="K3810" s="444">
        <f t="shared" ca="1" si="153"/>
        <v>-17062098950.905733</v>
      </c>
      <c r="L3810" s="444">
        <f t="shared" ca="1" si="154"/>
        <v>-4111965847168.2813</v>
      </c>
      <c r="M3810" s="460">
        <f t="shared" si="156"/>
        <v>0.05</v>
      </c>
      <c r="N3810" s="464">
        <f t="shared" si="157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55"/>
        <v>-4111965847168.2813</v>
      </c>
      <c r="J3811" s="444">
        <f t="array" ref="J3811">IFERROR(INDEX('Retirement Calculator'!K:K,MATCH('Lorri 401b'!N3811,'Retirement Calculator'!A:A,0),0),0)</f>
        <v>0</v>
      </c>
      <c r="K3811" s="444">
        <f t="shared" ca="1" si="153"/>
        <v>-17133191029.867836</v>
      </c>
      <c r="L3811" s="444">
        <f t="shared" ca="1" si="154"/>
        <v>-4129099038198.1489</v>
      </c>
      <c r="M3811" s="460">
        <f t="shared" si="156"/>
        <v>0.05</v>
      </c>
      <c r="N3811" s="464">
        <f t="shared" si="157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55"/>
        <v>-4129099038198.1489</v>
      </c>
      <c r="J3812" s="444">
        <f t="array" ref="J3812">IFERROR(INDEX('Retirement Calculator'!K:K,MATCH('Lorri 401b'!N3812,'Retirement Calculator'!A:A,0),0),0)</f>
        <v>0</v>
      </c>
      <c r="K3812" s="444">
        <f t="shared" ca="1" si="153"/>
        <v>-17204579325.825623</v>
      </c>
      <c r="L3812" s="444">
        <f t="shared" ca="1" si="154"/>
        <v>-4146303617523.9746</v>
      </c>
      <c r="M3812" s="460">
        <f t="shared" si="156"/>
        <v>0.05</v>
      </c>
      <c r="N3812" s="464">
        <f t="shared" si="157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55"/>
        <v>-4146303617523.9746</v>
      </c>
      <c r="J3813" s="444">
        <f t="array" ref="J3813">IFERROR(INDEX('Retirement Calculator'!K:K,MATCH('Lorri 401b'!N3813,'Retirement Calculator'!A:A,0),0),0)</f>
        <v>0</v>
      </c>
      <c r="K3813" s="444">
        <f t="shared" ca="1" si="153"/>
        <v>-17276265073.016563</v>
      </c>
      <c r="L3813" s="444">
        <f t="shared" ca="1" si="154"/>
        <v>-4163579882596.9912</v>
      </c>
      <c r="M3813" s="460">
        <f t="shared" si="156"/>
        <v>0.05</v>
      </c>
      <c r="N3813" s="464">
        <f t="shared" si="157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55"/>
        <v>-4163579882596.9912</v>
      </c>
      <c r="J3814" s="444">
        <f t="array" ref="J3814">IFERROR(INDEX('Retirement Calculator'!K:K,MATCH('Lorri 401b'!N3814,'Retirement Calculator'!A:A,0),0),0)</f>
        <v>0</v>
      </c>
      <c r="K3814" s="444">
        <f t="shared" ca="1" si="153"/>
        <v>-17348249510.820797</v>
      </c>
      <c r="L3814" s="444">
        <f t="shared" ca="1" si="154"/>
        <v>-4180928132107.812</v>
      </c>
      <c r="M3814" s="460">
        <f t="shared" si="156"/>
        <v>0.05</v>
      </c>
      <c r="N3814" s="464">
        <f t="shared" si="157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55"/>
        <v>-4180928132107.812</v>
      </c>
      <c r="J3815" s="444">
        <f t="array" ref="J3815">IFERROR(INDEX('Retirement Calculator'!K:K,MATCH('Lorri 401b'!N3815,'Retirement Calculator'!A:A,0),0),0)</f>
        <v>0</v>
      </c>
      <c r="K3815" s="444">
        <f t="shared" ca="1" si="153"/>
        <v>-17420533883.782551</v>
      </c>
      <c r="L3815" s="444">
        <f t="shared" ca="1" si="154"/>
        <v>-4198348665991.5947</v>
      </c>
      <c r="M3815" s="460">
        <f t="shared" si="156"/>
        <v>0.05</v>
      </c>
      <c r="N3815" s="464">
        <f t="shared" si="157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55"/>
        <v>-4198348665991.5947</v>
      </c>
      <c r="J3816" s="444">
        <f t="array" ref="J3816">IFERROR(INDEX('Retirement Calculator'!K:K,MATCH('Lorri 401b'!N3816,'Retirement Calculator'!A:A,0),0),0)</f>
        <v>0</v>
      </c>
      <c r="K3816" s="444">
        <f t="shared" ca="1" si="153"/>
        <v>-17493119441.631645</v>
      </c>
      <c r="L3816" s="444">
        <f t="shared" ca="1" si="154"/>
        <v>-4215841785433.2266</v>
      </c>
      <c r="M3816" s="460">
        <f t="shared" si="156"/>
        <v>0.05</v>
      </c>
      <c r="N3816" s="464">
        <f t="shared" si="157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55"/>
        <v>-4215841785433.2266</v>
      </c>
      <c r="J3817" s="444">
        <f t="array" ref="J3817">IFERROR(INDEX('Retirement Calculator'!K:K,MATCH('Lorri 401b'!N3817,'Retirement Calculator'!A:A,0),0),0)</f>
        <v>0</v>
      </c>
      <c r="K3817" s="444">
        <f t="shared" ca="1" si="153"/>
        <v>-17566007439.305107</v>
      </c>
      <c r="L3817" s="444">
        <f t="shared" ca="1" si="154"/>
        <v>-4233407792872.5317</v>
      </c>
      <c r="M3817" s="460">
        <f t="shared" si="156"/>
        <v>0.05</v>
      </c>
      <c r="N3817" s="464">
        <f t="shared" si="157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55"/>
        <v>-4233407792872.5317</v>
      </c>
      <c r="J3818" s="444">
        <f t="array" ref="J3818">IFERROR(INDEX('Retirement Calculator'!K:K,MATCH('Lorri 401b'!N3818,'Retirement Calculator'!A:A,0),0),0)</f>
        <v>0</v>
      </c>
      <c r="K3818" s="444">
        <f t="shared" ca="1" si="153"/>
        <v>-17639199136.968884</v>
      </c>
      <c r="L3818" s="444">
        <f t="shared" ca="1" si="154"/>
        <v>-4251046992009.5005</v>
      </c>
      <c r="M3818" s="460">
        <f t="shared" si="156"/>
        <v>0.05</v>
      </c>
      <c r="N3818" s="464">
        <f t="shared" si="157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55"/>
        <v>-4251046992009.5005</v>
      </c>
      <c r="J3819" s="444">
        <f t="array" ref="J3819">IFERROR(INDEX('Retirement Calculator'!K:K,MATCH('Lorri 401b'!N3819,'Retirement Calculator'!A:A,0),0),0)</f>
        <v>0</v>
      </c>
      <c r="K3819" s="444">
        <f t="shared" ca="1" si="153"/>
        <v>-17712695800.039585</v>
      </c>
      <c r="L3819" s="444">
        <f t="shared" ca="1" si="154"/>
        <v>-4268759687809.54</v>
      </c>
      <c r="M3819" s="460">
        <f t="shared" si="156"/>
        <v>0.05</v>
      </c>
      <c r="N3819" s="464">
        <f t="shared" si="157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55"/>
        <v>-4268759687809.54</v>
      </c>
      <c r="J3820" s="444">
        <f t="array" ref="J3820">IFERROR(INDEX('Retirement Calculator'!K:K,MATCH('Lorri 401b'!N3820,'Retirement Calculator'!A:A,0),0),0)</f>
        <v>0</v>
      </c>
      <c r="K3820" s="444">
        <f t="shared" ca="1" si="153"/>
        <v>-17786498699.206417</v>
      </c>
      <c r="L3820" s="444">
        <f t="shared" ca="1" si="154"/>
        <v>-4286546186508.7466</v>
      </c>
      <c r="M3820" s="460">
        <f t="shared" si="156"/>
        <v>0.05</v>
      </c>
      <c r="N3820" s="464">
        <f t="shared" si="157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55"/>
        <v>-4286546186508.7466</v>
      </c>
      <c r="J3821" s="444">
        <f t="array" ref="J3821">IFERROR(INDEX('Retirement Calculator'!K:K,MATCH('Lorri 401b'!N3821,'Retirement Calculator'!A:A,0),0),0)</f>
        <v>0</v>
      </c>
      <c r="K3821" s="444">
        <f t="shared" ca="1" si="153"/>
        <v>-17860609110.453114</v>
      </c>
      <c r="L3821" s="444">
        <f t="shared" ca="1" si="154"/>
        <v>-4304406795619.1997</v>
      </c>
      <c r="M3821" s="460">
        <f t="shared" si="156"/>
        <v>0.05</v>
      </c>
      <c r="N3821" s="464">
        <f t="shared" si="157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55"/>
        <v>-4304406795619.1997</v>
      </c>
      <c r="J3822" s="444">
        <f t="array" ref="J3822">IFERROR(INDEX('Retirement Calculator'!K:K,MATCH('Lorri 401b'!N3822,'Retirement Calculator'!A:A,0),0),0)</f>
        <v>0</v>
      </c>
      <c r="K3822" s="444">
        <f t="shared" ca="1" si="153"/>
        <v>-17935028315.079998</v>
      </c>
      <c r="L3822" s="444">
        <f t="shared" ca="1" si="154"/>
        <v>-4322341823934.2798</v>
      </c>
      <c r="M3822" s="460">
        <f t="shared" si="156"/>
        <v>0.05</v>
      </c>
      <c r="N3822" s="464">
        <f t="shared" si="157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55"/>
        <v>-4322341823934.2798</v>
      </c>
      <c r="J3823" s="444">
        <f t="array" ref="J3823">IFERROR(INDEX('Retirement Calculator'!K:K,MATCH('Lorri 401b'!N3823,'Retirement Calculator'!A:A,0),0),0)</f>
        <v>0</v>
      </c>
      <c r="K3823" s="444">
        <f t="shared" ca="1" si="153"/>
        <v>-18009757599.726166</v>
      </c>
      <c r="L3823" s="444">
        <f t="shared" ca="1" si="154"/>
        <v>-4340351581534.0059</v>
      </c>
      <c r="M3823" s="460">
        <f t="shared" si="156"/>
        <v>0.05</v>
      </c>
      <c r="N3823" s="464">
        <f t="shared" si="157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55"/>
        <v>-4340351581534.0059</v>
      </c>
      <c r="J3824" s="444">
        <f t="array" ref="J3824">IFERROR(INDEX('Retirement Calculator'!K:K,MATCH('Lorri 401b'!N3824,'Retirement Calculator'!A:A,0),0),0)</f>
        <v>0</v>
      </c>
      <c r="K3824" s="444">
        <f t="shared" ca="1" si="153"/>
        <v>-18084798256.391689</v>
      </c>
      <c r="L3824" s="444">
        <f t="shared" ca="1" si="154"/>
        <v>-4358436379790.3975</v>
      </c>
      <c r="M3824" s="460">
        <f t="shared" si="156"/>
        <v>0.05</v>
      </c>
      <c r="N3824" s="464">
        <f t="shared" si="157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55"/>
        <v>-4358436379790.3975</v>
      </c>
      <c r="J3825" s="444">
        <f t="array" ref="J3825">IFERROR(INDEX('Retirement Calculator'!K:K,MATCH('Lorri 401b'!N3825,'Retirement Calculator'!A:A,0),0),0)</f>
        <v>0</v>
      </c>
      <c r="K3825" s="444">
        <f t="shared" ca="1" si="153"/>
        <v>-18160151582.459988</v>
      </c>
      <c r="L3825" s="444">
        <f t="shared" ca="1" si="154"/>
        <v>-4376596531372.8574</v>
      </c>
      <c r="M3825" s="460">
        <f t="shared" si="156"/>
        <v>0.05</v>
      </c>
      <c r="N3825" s="464">
        <f t="shared" si="157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55"/>
        <v>-4376596531372.8574</v>
      </c>
      <c r="J3826" s="444">
        <f t="array" ref="J3826">IFERROR(INDEX('Retirement Calculator'!K:K,MATCH('Lorri 401b'!N3826,'Retirement Calculator'!A:A,0),0),0)</f>
        <v>0</v>
      </c>
      <c r="K3826" s="444">
        <f t="shared" ca="1" si="153"/>
        <v>-18235818880.720238</v>
      </c>
      <c r="L3826" s="444">
        <f t="shared" ca="1" si="154"/>
        <v>-4394832350253.5776</v>
      </c>
      <c r="M3826" s="460">
        <f t="shared" si="156"/>
        <v>0.05</v>
      </c>
      <c r="N3826" s="464">
        <f t="shared" si="157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55"/>
        <v>-4394832350253.5776</v>
      </c>
      <c r="J3827" s="444">
        <f t="array" ref="J3827">IFERROR(INDEX('Retirement Calculator'!K:K,MATCH('Lorri 401b'!N3827,'Retirement Calculator'!A:A,0),0),0)</f>
        <v>0</v>
      </c>
      <c r="K3827" s="444">
        <f t="shared" ca="1" si="153"/>
        <v>-18311801459.389908</v>
      </c>
      <c r="L3827" s="444">
        <f t="shared" ca="1" si="154"/>
        <v>-4413144151712.9678</v>
      </c>
      <c r="M3827" s="460">
        <f t="shared" si="156"/>
        <v>0.05</v>
      </c>
      <c r="N3827" s="464">
        <f t="shared" si="157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55"/>
        <v>-4413144151712.9678</v>
      </c>
      <c r="J3828" s="444">
        <f t="array" ref="J3828">IFERROR(INDEX('Retirement Calculator'!K:K,MATCH('Lorri 401b'!N3828,'Retirement Calculator'!A:A,0),0),0)</f>
        <v>0</v>
      </c>
      <c r="K3828" s="444">
        <f t="shared" ca="1" si="153"/>
        <v>-18388100632.137367</v>
      </c>
      <c r="L3828" s="444">
        <f t="shared" ca="1" si="154"/>
        <v>-4431532252345.1055</v>
      </c>
      <c r="M3828" s="460">
        <f t="shared" si="156"/>
        <v>0.05</v>
      </c>
      <c r="N3828" s="464">
        <f t="shared" si="157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55"/>
        <v>-4431532252345.1055</v>
      </c>
      <c r="J3829" s="444">
        <f t="array" ref="J3829">IFERROR(INDEX('Retirement Calculator'!K:K,MATCH('Lorri 401b'!N3829,'Retirement Calculator'!A:A,0),0),0)</f>
        <v>0</v>
      </c>
      <c r="K3829" s="444">
        <f t="shared" ca="1" si="153"/>
        <v>-18464717718.104607</v>
      </c>
      <c r="L3829" s="444">
        <f t="shared" ca="1" si="154"/>
        <v>-4449996970063.21</v>
      </c>
      <c r="M3829" s="460">
        <f t="shared" si="156"/>
        <v>0.05</v>
      </c>
      <c r="N3829" s="464">
        <f t="shared" si="157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55"/>
        <v>-4449996970063.21</v>
      </c>
      <c r="J3830" s="444">
        <f t="array" ref="J3830">IFERROR(INDEX('Retirement Calculator'!K:K,MATCH('Lorri 401b'!N3830,'Retirement Calculator'!A:A,0),0),0)</f>
        <v>0</v>
      </c>
      <c r="K3830" s="444">
        <f t="shared" ca="1" si="153"/>
        <v>-18541654041.930042</v>
      </c>
      <c r="L3830" s="444">
        <f t="shared" ca="1" si="154"/>
        <v>-4468538624105.1396</v>
      </c>
      <c r="M3830" s="460">
        <f t="shared" si="156"/>
        <v>0.05</v>
      </c>
      <c r="N3830" s="464">
        <f t="shared" si="157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55"/>
        <v>-4468538624105.1396</v>
      </c>
      <c r="J3831" s="444">
        <f t="array" ref="J3831">IFERROR(INDEX('Retirement Calculator'!K:K,MATCH('Lorri 401b'!N3831,'Retirement Calculator'!A:A,0),0),0)</f>
        <v>0</v>
      </c>
      <c r="K3831" s="444">
        <f t="shared" ca="1" si="153"/>
        <v>-18618910933.771416</v>
      </c>
      <c r="L3831" s="444">
        <f t="shared" ca="1" si="154"/>
        <v>-4487157535038.9111</v>
      </c>
      <c r="M3831" s="460">
        <f t="shared" si="156"/>
        <v>0.05</v>
      </c>
      <c r="N3831" s="464">
        <f t="shared" si="157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55"/>
        <v>-4487157535038.9111</v>
      </c>
      <c r="J3832" s="444">
        <f t="array" ref="J3832">IFERROR(INDEX('Retirement Calculator'!K:K,MATCH('Lorri 401b'!N3832,'Retirement Calculator'!A:A,0),0),0)</f>
        <v>0</v>
      </c>
      <c r="K3832" s="444">
        <f t="shared" ca="1" si="153"/>
        <v>-18696489729.328796</v>
      </c>
      <c r="L3832" s="444">
        <f t="shared" ca="1" si="154"/>
        <v>-4505854024768.2402</v>
      </c>
      <c r="M3832" s="460">
        <f t="shared" si="156"/>
        <v>0.05</v>
      </c>
      <c r="N3832" s="464">
        <f t="shared" si="157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55"/>
        <v>-4505854024768.2402</v>
      </c>
      <c r="J3833" s="444">
        <f t="array" ref="J3833">IFERROR(INDEX('Retirement Calculator'!K:K,MATCH('Lorri 401b'!N3833,'Retirement Calculator'!A:A,0),0),0)</f>
        <v>0</v>
      </c>
      <c r="K3833" s="444">
        <f t="shared" ref="K3833:K4087" ca="1" si="158">IPMT(M3833/12,1,12,-I3833+J3833,,0)</f>
        <v>-18774391769.867668</v>
      </c>
      <c r="L3833" s="444">
        <f t="shared" ref="L3833:L4087" ca="1" si="159">I3833-J3833+K3833</f>
        <v>-4524628416538.1074</v>
      </c>
      <c r="M3833" s="460">
        <f t="shared" si="156"/>
        <v>0.05</v>
      </c>
      <c r="N3833" s="464">
        <f t="shared" si="157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60">L3833</f>
        <v>-4524628416538.1074</v>
      </c>
      <c r="J3834" s="444">
        <f t="array" ref="J3834">IFERROR(INDEX('Retirement Calculator'!K:K,MATCH('Lorri 401b'!N3834,'Retirement Calculator'!A:A,0),0),0)</f>
        <v>0</v>
      </c>
      <c r="K3834" s="444">
        <f t="shared" ca="1" si="158"/>
        <v>-18852618402.242115</v>
      </c>
      <c r="L3834" s="444">
        <f t="shared" ca="1" si="159"/>
        <v>-4543481034940.3496</v>
      </c>
      <c r="M3834" s="460">
        <f t="shared" ref="M3834:M4088" si="161">M3833</f>
        <v>0.05</v>
      </c>
      <c r="N3834" s="464">
        <f t="shared" ref="N3834:N4088" si="162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60"/>
        <v>-4543481034940.3496</v>
      </c>
      <c r="J3835" s="444">
        <f t="array" ref="J3835">IFERROR(INDEX('Retirement Calculator'!K:K,MATCH('Lorri 401b'!N3835,'Retirement Calculator'!A:A,0),0),0)</f>
        <v>0</v>
      </c>
      <c r="K3835" s="444">
        <f t="shared" ca="1" si="158"/>
        <v>-18931170978.918121</v>
      </c>
      <c r="L3835" s="444">
        <f t="shared" ca="1" si="159"/>
        <v>-4562412205919.2676</v>
      </c>
      <c r="M3835" s="460">
        <f t="shared" si="161"/>
        <v>0.05</v>
      </c>
      <c r="N3835" s="464">
        <f t="shared" si="162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60"/>
        <v>-4562412205919.2676</v>
      </c>
      <c r="J3836" s="444">
        <f t="array" ref="J3836">IFERROR(INDEX('Retirement Calculator'!K:K,MATCH('Lorri 401b'!N3836,'Retirement Calculator'!A:A,0),0),0)</f>
        <v>0</v>
      </c>
      <c r="K3836" s="444">
        <f t="shared" ca="1" si="158"/>
        <v>-19010050857.996948</v>
      </c>
      <c r="L3836" s="444">
        <f t="shared" ca="1" si="159"/>
        <v>-4581422256777.2646</v>
      </c>
      <c r="M3836" s="460">
        <f t="shared" si="161"/>
        <v>0.05</v>
      </c>
      <c r="N3836" s="464">
        <f t="shared" si="162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60"/>
        <v>-4581422256777.2646</v>
      </c>
      <c r="J3837" s="444">
        <f t="array" ref="J3837">IFERROR(INDEX('Retirement Calculator'!K:K,MATCH('Lorri 401b'!N3837,'Retirement Calculator'!A:A,0),0),0)</f>
        <v>0</v>
      </c>
      <c r="K3837" s="444">
        <f t="shared" ca="1" si="158"/>
        <v>-19089259403.238602</v>
      </c>
      <c r="L3837" s="444">
        <f t="shared" ca="1" si="159"/>
        <v>-4600511516180.5029</v>
      </c>
      <c r="M3837" s="460">
        <f t="shared" si="161"/>
        <v>0.05</v>
      </c>
      <c r="N3837" s="464">
        <f t="shared" si="162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60"/>
        <v>-4600511516180.5029</v>
      </c>
      <c r="J3838" s="444">
        <f t="array" ref="J3838">IFERROR(INDEX('Retirement Calculator'!K:K,MATCH('Lorri 401b'!N3838,'Retirement Calculator'!A:A,0),0),0)</f>
        <v>0</v>
      </c>
      <c r="K3838" s="444">
        <f t="shared" ca="1" si="158"/>
        <v>-19168797984.08543</v>
      </c>
      <c r="L3838" s="444">
        <f t="shared" ca="1" si="159"/>
        <v>-4619680314164.5879</v>
      </c>
      <c r="M3838" s="460">
        <f t="shared" si="161"/>
        <v>0.05</v>
      </c>
      <c r="N3838" s="464">
        <f t="shared" si="162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60"/>
        <v>-4619680314164.5879</v>
      </c>
      <c r="J3839" s="444">
        <f t="array" ref="J3839">IFERROR(INDEX('Retirement Calculator'!K:K,MATCH('Lorri 401b'!N3839,'Retirement Calculator'!A:A,0),0),0)</f>
        <v>0</v>
      </c>
      <c r="K3839" s="444">
        <f t="shared" ca="1" si="158"/>
        <v>-19248667975.685783</v>
      </c>
      <c r="L3839" s="444">
        <f t="shared" ca="1" si="159"/>
        <v>-4638928982140.2734</v>
      </c>
      <c r="M3839" s="460">
        <f t="shared" si="161"/>
        <v>0.05</v>
      </c>
      <c r="N3839" s="464">
        <f t="shared" si="162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60"/>
        <v>-4638928982140.2734</v>
      </c>
      <c r="J3840" s="444">
        <f t="array" ref="J3840">IFERROR(INDEX('Retirement Calculator'!K:K,MATCH('Lorri 401b'!N3840,'Retirement Calculator'!A:A,0),0),0)</f>
        <v>0</v>
      </c>
      <c r="K3840" s="444">
        <f t="shared" ca="1" si="158"/>
        <v>-19328870758.917805</v>
      </c>
      <c r="L3840" s="444">
        <f t="shared" ca="1" si="159"/>
        <v>-4658257852899.1914</v>
      </c>
      <c r="M3840" s="460">
        <f t="shared" si="161"/>
        <v>0.05</v>
      </c>
      <c r="N3840" s="464">
        <f t="shared" si="162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60"/>
        <v>-4658257852899.1914</v>
      </c>
      <c r="J3841" s="444">
        <f t="array" ref="J3841">IFERROR(INDEX('Retirement Calculator'!K:K,MATCH('Lorri 401b'!N3841,'Retirement Calculator'!A:A,0),0),0)</f>
        <v>0</v>
      </c>
      <c r="K3841" s="444">
        <f t="shared" ca="1" si="158"/>
        <v>-19409407720.413296</v>
      </c>
      <c r="L3841" s="444">
        <f t="shared" ca="1" si="159"/>
        <v>-4677667260619.6045</v>
      </c>
      <c r="M3841" s="460">
        <f t="shared" si="161"/>
        <v>0.05</v>
      </c>
      <c r="N3841" s="464">
        <f t="shared" si="162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60"/>
        <v>-4677667260619.6045</v>
      </c>
      <c r="J3842" s="444">
        <f t="array" ref="J3842">IFERROR(INDEX('Retirement Calculator'!K:K,MATCH('Lorri 401b'!N3842,'Retirement Calculator'!A:A,0),0),0)</f>
        <v>0</v>
      </c>
      <c r="K3842" s="444">
        <f t="shared" ca="1" si="158"/>
        <v>-19490280252.581684</v>
      </c>
      <c r="L3842" s="444">
        <f t="shared" ca="1" si="159"/>
        <v>-4697157540872.1865</v>
      </c>
      <c r="M3842" s="460">
        <f t="shared" si="161"/>
        <v>0.05</v>
      </c>
      <c r="N3842" s="464">
        <f t="shared" si="162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60"/>
        <v>-4697157540872.1865</v>
      </c>
      <c r="J3843" s="444">
        <f t="array" ref="J3843">IFERROR(INDEX('Retirement Calculator'!K:K,MATCH('Lorri 401b'!N3843,'Retirement Calculator'!A:A,0),0),0)</f>
        <v>0</v>
      </c>
      <c r="K3843" s="444">
        <f t="shared" ca="1" si="158"/>
        <v>-19571489753.634109</v>
      </c>
      <c r="L3843" s="444">
        <f t="shared" ca="1" si="159"/>
        <v>-4716729030625.8203</v>
      </c>
      <c r="M3843" s="460">
        <f t="shared" si="161"/>
        <v>0.05</v>
      </c>
      <c r="N3843" s="464">
        <f t="shared" si="162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60"/>
        <v>-4716729030625.8203</v>
      </c>
      <c r="J3844" s="444">
        <f t="array" ref="J3844">IFERROR(INDEX('Retirement Calculator'!K:K,MATCH('Lorri 401b'!N3844,'Retirement Calculator'!A:A,0),0),0)</f>
        <v>0</v>
      </c>
      <c r="K3844" s="444">
        <f t="shared" ca="1" si="158"/>
        <v>-19653037627.607586</v>
      </c>
      <c r="L3844" s="444">
        <f t="shared" ca="1" si="159"/>
        <v>-4736382068253.4277</v>
      </c>
      <c r="M3844" s="460">
        <f t="shared" si="161"/>
        <v>0.05</v>
      </c>
      <c r="N3844" s="464">
        <f t="shared" si="162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60"/>
        <v>-4736382068253.4277</v>
      </c>
      <c r="J3845" s="444">
        <f t="array" ref="J3845">IFERROR(INDEX('Retirement Calculator'!K:K,MATCH('Lorri 401b'!N3845,'Retirement Calculator'!A:A,0),0),0)</f>
        <v>0</v>
      </c>
      <c r="K3845" s="444">
        <f t="shared" ca="1" si="158"/>
        <v>-19734925284.389282</v>
      </c>
      <c r="L3845" s="444">
        <f t="shared" ca="1" si="159"/>
        <v>-4756116993537.8174</v>
      </c>
      <c r="M3845" s="460">
        <f t="shared" si="161"/>
        <v>0.05</v>
      </c>
      <c r="N3845" s="464">
        <f t="shared" si="162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60"/>
        <v>-4756116993537.8174</v>
      </c>
      <c r="J3846" s="444">
        <f t="array" ref="J3846">IFERROR(INDEX('Retirement Calculator'!K:K,MATCH('Lorri 401b'!N3846,'Retirement Calculator'!A:A,0),0),0)</f>
        <v>0</v>
      </c>
      <c r="K3846" s="444">
        <f t="shared" ca="1" si="158"/>
        <v>-19817154139.740906</v>
      </c>
      <c r="L3846" s="444">
        <f t="shared" ca="1" si="159"/>
        <v>-4775934147677.5586</v>
      </c>
      <c r="M3846" s="460">
        <f t="shared" si="161"/>
        <v>0.05</v>
      </c>
      <c r="N3846" s="464">
        <f t="shared" si="162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60"/>
        <v>-4775934147677.5586</v>
      </c>
      <c r="J3847" s="444">
        <f t="array" ref="J3847">IFERROR(INDEX('Retirement Calculator'!K:K,MATCH('Lorri 401b'!N3847,'Retirement Calculator'!A:A,0),0),0)</f>
        <v>0</v>
      </c>
      <c r="K3847" s="444">
        <f t="shared" ca="1" si="158"/>
        <v>-19899725615.323162</v>
      </c>
      <c r="L3847" s="444">
        <f t="shared" ca="1" si="159"/>
        <v>-4795833873292.8818</v>
      </c>
      <c r="M3847" s="460">
        <f t="shared" si="161"/>
        <v>0.05</v>
      </c>
      <c r="N3847" s="464">
        <f t="shared" si="162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60"/>
        <v>-4795833873292.8818</v>
      </c>
      <c r="J3848" s="444">
        <f t="array" ref="J3848">IFERROR(INDEX('Retirement Calculator'!K:K,MATCH('Lorri 401b'!N3848,'Retirement Calculator'!A:A,0),0),0)</f>
        <v>0</v>
      </c>
      <c r="K3848" s="444">
        <f t="shared" ca="1" si="158"/>
        <v>-19982641138.720341</v>
      </c>
      <c r="L3848" s="444">
        <f t="shared" ca="1" si="159"/>
        <v>-4815816514431.6025</v>
      </c>
      <c r="M3848" s="460">
        <f t="shared" si="161"/>
        <v>0.05</v>
      </c>
      <c r="N3848" s="464">
        <f t="shared" si="162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60"/>
        <v>-4815816514431.6025</v>
      </c>
      <c r="J3849" s="444">
        <f t="array" ref="J3849">IFERROR(INDEX('Retirement Calculator'!K:K,MATCH('Lorri 401b'!N3849,'Retirement Calculator'!A:A,0),0),0)</f>
        <v>0</v>
      </c>
      <c r="K3849" s="444">
        <f t="shared" ca="1" si="158"/>
        <v>-20065902143.465012</v>
      </c>
      <c r="L3849" s="444">
        <f t="shared" ca="1" si="159"/>
        <v>-4835882416575.0674</v>
      </c>
      <c r="M3849" s="460">
        <f t="shared" si="161"/>
        <v>0.05</v>
      </c>
      <c r="N3849" s="464">
        <f t="shared" si="162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60"/>
        <v>-4835882416575.0674</v>
      </c>
      <c r="J3850" s="444">
        <f t="array" ref="J3850">IFERROR(INDEX('Retirement Calculator'!K:K,MATCH('Lorri 401b'!N3850,'Retirement Calculator'!A:A,0),0),0)</f>
        <v>0</v>
      </c>
      <c r="K3850" s="444">
        <f t="shared" ca="1" si="158"/>
        <v>-20149510069.062782</v>
      </c>
      <c r="L3850" s="444">
        <f t="shared" ca="1" si="159"/>
        <v>-4856031926644.1299</v>
      </c>
      <c r="M3850" s="460">
        <f t="shared" si="161"/>
        <v>0.05</v>
      </c>
      <c r="N3850" s="464">
        <f t="shared" si="162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60"/>
        <v>-4856031926644.1299</v>
      </c>
      <c r="J3851" s="444">
        <f t="array" ref="J3851">IFERROR(INDEX('Retirement Calculator'!K:K,MATCH('Lorri 401b'!N3851,'Retirement Calculator'!A:A,0),0),0)</f>
        <v>0</v>
      </c>
      <c r="K3851" s="444">
        <f t="shared" ca="1" si="158"/>
        <v>-20233466361.017208</v>
      </c>
      <c r="L3851" s="444">
        <f t="shared" ca="1" si="159"/>
        <v>-4876265393005.1475</v>
      </c>
      <c r="M3851" s="460">
        <f t="shared" si="161"/>
        <v>0.05</v>
      </c>
      <c r="N3851" s="464">
        <f t="shared" si="162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60"/>
        <v>-4876265393005.1475</v>
      </c>
      <c r="J3852" s="444">
        <f t="array" ref="J3852">IFERROR(INDEX('Retirement Calculator'!K:K,MATCH('Lorri 401b'!N3852,'Retirement Calculator'!A:A,0),0),0)</f>
        <v>0</v>
      </c>
      <c r="K3852" s="444">
        <f t="shared" ca="1" si="158"/>
        <v>-20317772470.854782</v>
      </c>
      <c r="L3852" s="444">
        <f t="shared" ca="1" si="159"/>
        <v>-4896583165476.002</v>
      </c>
      <c r="M3852" s="460">
        <f t="shared" si="161"/>
        <v>0.05</v>
      </c>
      <c r="N3852" s="464">
        <f t="shared" si="162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60"/>
        <v>-4896583165476.002</v>
      </c>
      <c r="J3853" s="444">
        <f t="array" ref="J3853">IFERROR(INDEX('Retirement Calculator'!K:K,MATCH('Lorri 401b'!N3853,'Retirement Calculator'!A:A,0),0),0)</f>
        <v>0</v>
      </c>
      <c r="K3853" s="444">
        <f t="shared" ca="1" si="158"/>
        <v>-20402429856.150009</v>
      </c>
      <c r="L3853" s="444">
        <f t="shared" ca="1" si="159"/>
        <v>-4916985595332.1523</v>
      </c>
      <c r="M3853" s="460">
        <f t="shared" si="161"/>
        <v>0.05</v>
      </c>
      <c r="N3853" s="464">
        <f t="shared" si="162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60"/>
        <v>-4916985595332.1523</v>
      </c>
      <c r="J3854" s="444">
        <f t="array" ref="J3854">IFERROR(INDEX('Retirement Calculator'!K:K,MATCH('Lorri 401b'!N3854,'Retirement Calculator'!A:A,0),0),0)</f>
        <v>0</v>
      </c>
      <c r="K3854" s="444">
        <f t="shared" ca="1" si="158"/>
        <v>-20487439980.550636</v>
      </c>
      <c r="L3854" s="444">
        <f t="shared" ca="1" si="159"/>
        <v>-4937473035312.7031</v>
      </c>
      <c r="M3854" s="460">
        <f t="shared" si="161"/>
        <v>0.05</v>
      </c>
      <c r="N3854" s="464">
        <f t="shared" si="162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60"/>
        <v>-4937473035312.7031</v>
      </c>
      <c r="J3855" s="444">
        <f t="array" ref="J3855">IFERROR(INDEX('Retirement Calculator'!K:K,MATCH('Lorri 401b'!N3855,'Retirement Calculator'!A:A,0),0),0)</f>
        <v>0</v>
      </c>
      <c r="K3855" s="444">
        <f t="shared" ca="1" si="158"/>
        <v>-20572804313.802929</v>
      </c>
      <c r="L3855" s="444">
        <f t="shared" ca="1" si="159"/>
        <v>-4958045839626.5059</v>
      </c>
      <c r="M3855" s="460">
        <f t="shared" si="161"/>
        <v>0.05</v>
      </c>
      <c r="N3855" s="464">
        <f t="shared" si="162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60"/>
        <v>-4958045839626.5059</v>
      </c>
      <c r="J3856" s="444">
        <f t="array" ref="J3856">IFERROR(INDEX('Retirement Calculator'!K:K,MATCH('Lorri 401b'!N3856,'Retirement Calculator'!A:A,0),0),0)</f>
        <v>0</v>
      </c>
      <c r="K3856" s="444">
        <f t="shared" ca="1" si="158"/>
        <v>-20658524331.777107</v>
      </c>
      <c r="L3856" s="444">
        <f t="shared" ca="1" si="159"/>
        <v>-4978704363958.2832</v>
      </c>
      <c r="M3856" s="460">
        <f t="shared" si="161"/>
        <v>0.05</v>
      </c>
      <c r="N3856" s="464">
        <f t="shared" si="162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60"/>
        <v>-4978704363958.2832</v>
      </c>
      <c r="J3857" s="444">
        <f t="array" ref="J3857">IFERROR(INDEX('Retirement Calculator'!K:K,MATCH('Lorri 401b'!N3857,'Retirement Calculator'!A:A,0),0),0)</f>
        <v>0</v>
      </c>
      <c r="K3857" s="444">
        <f t="shared" ca="1" si="158"/>
        <v>-20744601516.492847</v>
      </c>
      <c r="L3857" s="444">
        <f t="shared" ca="1" si="159"/>
        <v>-4999448965474.7764</v>
      </c>
      <c r="M3857" s="460">
        <f t="shared" si="161"/>
        <v>0.05</v>
      </c>
      <c r="N3857" s="464">
        <f t="shared" si="162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60"/>
        <v>-4999448965474.7764</v>
      </c>
      <c r="J3858" s="444">
        <f t="array" ref="J3858">IFERROR(INDEX('Retirement Calculator'!K:K,MATCH('Lorri 401b'!N3858,'Retirement Calculator'!A:A,0),0),0)</f>
        <v>0</v>
      </c>
      <c r="K3858" s="444">
        <f t="shared" ca="1" si="158"/>
        <v>-20831037356.144901</v>
      </c>
      <c r="L3858" s="444">
        <f t="shared" ca="1" si="159"/>
        <v>-5020280002830.9209</v>
      </c>
      <c r="M3858" s="460">
        <f t="shared" si="161"/>
        <v>0.05</v>
      </c>
      <c r="N3858" s="464">
        <f t="shared" si="162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60"/>
        <v>-5020280002830.9209</v>
      </c>
      <c r="J3859" s="444">
        <f t="array" ref="J3859">IFERROR(INDEX('Retirement Calculator'!K:K,MATCH('Lorri 401b'!N3859,'Retirement Calculator'!A:A,0),0),0)</f>
        <v>0</v>
      </c>
      <c r="K3859" s="444">
        <f t="shared" ca="1" si="158"/>
        <v>-20917833345.128838</v>
      </c>
      <c r="L3859" s="444">
        <f t="shared" ca="1" si="159"/>
        <v>-5041197836176.0498</v>
      </c>
      <c r="M3859" s="460">
        <f t="shared" si="161"/>
        <v>0.05</v>
      </c>
      <c r="N3859" s="464">
        <f t="shared" si="162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60"/>
        <v>-5041197836176.0498</v>
      </c>
      <c r="J3860" s="444">
        <f t="array" ref="J3860">IFERROR(INDEX('Retirement Calculator'!K:K,MATCH('Lorri 401b'!N3860,'Retirement Calculator'!A:A,0),0),0)</f>
        <v>0</v>
      </c>
      <c r="K3860" s="444">
        <f t="shared" ca="1" si="158"/>
        <v>-21004990984.066875</v>
      </c>
      <c r="L3860" s="444">
        <f t="shared" ca="1" si="159"/>
        <v>-5062202827160.1162</v>
      </c>
      <c r="M3860" s="460">
        <f t="shared" si="161"/>
        <v>0.05</v>
      </c>
      <c r="N3860" s="464">
        <f t="shared" si="162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60"/>
        <v>-5062202827160.1162</v>
      </c>
      <c r="J3861" s="444">
        <f t="array" ref="J3861">IFERROR(INDEX('Retirement Calculator'!K:K,MATCH('Lorri 401b'!N3861,'Retirement Calculator'!A:A,0),0),0)</f>
        <v>0</v>
      </c>
      <c r="K3861" s="444">
        <f t="shared" ca="1" si="158"/>
        <v>-21092511779.833817</v>
      </c>
      <c r="L3861" s="444">
        <f t="shared" ca="1" si="159"/>
        <v>-5083295338939.9502</v>
      </c>
      <c r="M3861" s="460">
        <f t="shared" si="161"/>
        <v>0.05</v>
      </c>
      <c r="N3861" s="464">
        <f t="shared" si="162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60"/>
        <v>-5083295338939.9502</v>
      </c>
      <c r="J3862" s="444">
        <f t="array" ref="J3862">IFERROR(INDEX('Retirement Calculator'!K:K,MATCH('Lorri 401b'!N3862,'Retirement Calculator'!A:A,0),0),0)</f>
        <v>0</v>
      </c>
      <c r="K3862" s="444">
        <f t="shared" ca="1" si="158"/>
        <v>-21180397245.583126</v>
      </c>
      <c r="L3862" s="444">
        <f t="shared" ca="1" si="159"/>
        <v>-5104475736185.5332</v>
      </c>
      <c r="M3862" s="460">
        <f t="shared" si="161"/>
        <v>0.05</v>
      </c>
      <c r="N3862" s="464">
        <f t="shared" si="162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60"/>
        <v>-5104475736185.5332</v>
      </c>
      <c r="J3863" s="444">
        <f t="array" ref="J3863">IFERROR(INDEX('Retirement Calculator'!K:K,MATCH('Lorri 401b'!N3863,'Retirement Calculator'!A:A,0),0),0)</f>
        <v>0</v>
      </c>
      <c r="K3863" s="444">
        <f t="shared" ca="1" si="158"/>
        <v>-21268648900.773056</v>
      </c>
      <c r="L3863" s="444">
        <f t="shared" ca="1" si="159"/>
        <v>-5125744385086.3066</v>
      </c>
      <c r="M3863" s="460">
        <f t="shared" si="161"/>
        <v>0.05</v>
      </c>
      <c r="N3863" s="464">
        <f t="shared" si="162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60"/>
        <v>-5125744385086.3066</v>
      </c>
      <c r="J3864" s="444">
        <f t="array" ref="J3864">IFERROR(INDEX('Retirement Calculator'!K:K,MATCH('Lorri 401b'!N3864,'Retirement Calculator'!A:A,0),0),0)</f>
        <v>0</v>
      </c>
      <c r="K3864" s="444">
        <f t="shared" ca="1" si="158"/>
        <v>-21357268271.192944</v>
      </c>
      <c r="L3864" s="444">
        <f t="shared" ca="1" si="159"/>
        <v>-5147101653357.5</v>
      </c>
      <c r="M3864" s="460">
        <f t="shared" si="161"/>
        <v>0.05</v>
      </c>
      <c r="N3864" s="464">
        <f t="shared" si="162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60"/>
        <v>-5147101653357.5</v>
      </c>
      <c r="J3865" s="444">
        <f t="array" ref="J3865">IFERROR(INDEX('Retirement Calculator'!K:K,MATCH('Lorri 401b'!N3865,'Retirement Calculator'!A:A,0),0),0)</f>
        <v>0</v>
      </c>
      <c r="K3865" s="444">
        <f t="shared" ca="1" si="158"/>
        <v>-21446256888.989582</v>
      </c>
      <c r="L3865" s="444">
        <f t="shared" ca="1" si="159"/>
        <v>-5168547910246.4893</v>
      </c>
      <c r="M3865" s="460">
        <f t="shared" si="161"/>
        <v>0.05</v>
      </c>
      <c r="N3865" s="464">
        <f t="shared" si="162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60"/>
        <v>-5168547910246.4893</v>
      </c>
      <c r="J3866" s="444">
        <f t="array" ref="J3866">IFERROR(INDEX('Retirement Calculator'!K:K,MATCH('Lorri 401b'!N3866,'Retirement Calculator'!A:A,0),0),0)</f>
        <v>0</v>
      </c>
      <c r="K3866" s="444">
        <f t="shared" ca="1" si="158"/>
        <v>-21535616292.693707</v>
      </c>
      <c r="L3866" s="444">
        <f t="shared" ca="1" si="159"/>
        <v>-5190083526539.1826</v>
      </c>
      <c r="M3866" s="460">
        <f t="shared" si="161"/>
        <v>0.05</v>
      </c>
      <c r="N3866" s="464">
        <f t="shared" si="162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60"/>
        <v>-5190083526539.1826</v>
      </c>
      <c r="J3867" s="444">
        <f t="array" ref="J3867">IFERROR(INDEX('Retirement Calculator'!K:K,MATCH('Lorri 401b'!N3867,'Retirement Calculator'!A:A,0),0),0)</f>
        <v>0</v>
      </c>
      <c r="K3867" s="444">
        <f t="shared" ca="1" si="158"/>
        <v>-21625348027.246593</v>
      </c>
      <c r="L3867" s="444">
        <f t="shared" ca="1" si="159"/>
        <v>-5211708874566.4297</v>
      </c>
      <c r="M3867" s="460">
        <f t="shared" si="161"/>
        <v>0.05</v>
      </c>
      <c r="N3867" s="464">
        <f t="shared" si="162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60"/>
        <v>-5211708874566.4297</v>
      </c>
      <c r="J3868" s="444">
        <f t="array" ref="J3868">IFERROR(INDEX('Retirement Calculator'!K:K,MATCH('Lorri 401b'!N3868,'Retirement Calculator'!A:A,0),0),0)</f>
        <v>0</v>
      </c>
      <c r="K3868" s="444">
        <f t="shared" ca="1" si="158"/>
        <v>-21715453644.026791</v>
      </c>
      <c r="L3868" s="444">
        <f t="shared" ca="1" si="159"/>
        <v>-5233424328210.4561</v>
      </c>
      <c r="M3868" s="460">
        <f t="shared" si="161"/>
        <v>0.05</v>
      </c>
      <c r="N3868" s="464">
        <f t="shared" si="162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60"/>
        <v>-5233424328210.4561</v>
      </c>
      <c r="J3869" s="444">
        <f t="array" ref="J3869">IFERROR(INDEX('Retirement Calculator'!K:K,MATCH('Lorri 401b'!N3869,'Retirement Calculator'!A:A,0),0),0)</f>
        <v>0</v>
      </c>
      <c r="K3869" s="444">
        <f t="shared" ca="1" si="158"/>
        <v>-21805934700.8769</v>
      </c>
      <c r="L3869" s="444">
        <f t="shared" ca="1" si="159"/>
        <v>-5255230262911.333</v>
      </c>
      <c r="M3869" s="460">
        <f t="shared" si="161"/>
        <v>0.05</v>
      </c>
      <c r="N3869" s="464">
        <f t="shared" si="162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60"/>
        <v>-5255230262911.333</v>
      </c>
      <c r="J3870" s="444">
        <f t="array" ref="J3870">IFERROR(INDEX('Retirement Calculator'!K:K,MATCH('Lorri 401b'!N3870,'Retirement Calculator'!A:A,0),0),0)</f>
        <v>0</v>
      </c>
      <c r="K3870" s="444">
        <f t="shared" ca="1" si="158"/>
        <v>-21896792762.130554</v>
      </c>
      <c r="L3870" s="444">
        <f t="shared" ca="1" si="159"/>
        <v>-5277127055673.4639</v>
      </c>
      <c r="M3870" s="460">
        <f t="shared" si="161"/>
        <v>0.05</v>
      </c>
      <c r="N3870" s="464">
        <f t="shared" si="162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60"/>
        <v>-5277127055673.4639</v>
      </c>
      <c r="J3871" s="444">
        <f t="array" ref="J3871">IFERROR(INDEX('Retirement Calculator'!K:K,MATCH('Lorri 401b'!N3871,'Retirement Calculator'!A:A,0),0),0)</f>
        <v>0</v>
      </c>
      <c r="K3871" s="444">
        <f t="shared" ca="1" si="158"/>
        <v>-21988029398.639431</v>
      </c>
      <c r="L3871" s="444">
        <f t="shared" ca="1" si="159"/>
        <v>-5299115085072.1035</v>
      </c>
      <c r="M3871" s="460">
        <f t="shared" si="161"/>
        <v>0.05</v>
      </c>
      <c r="N3871" s="464">
        <f t="shared" si="162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60"/>
        <v>-5299115085072.1035</v>
      </c>
      <c r="J3872" s="444">
        <f t="array" ref="J3872">IFERROR(INDEX('Retirement Calculator'!K:K,MATCH('Lorri 401b'!N3872,'Retirement Calculator'!A:A,0),0),0)</f>
        <v>0</v>
      </c>
      <c r="K3872" s="444">
        <f t="shared" ca="1" si="158"/>
        <v>-22079646187.80043</v>
      </c>
      <c r="L3872" s="444">
        <f t="shared" ca="1" si="159"/>
        <v>-5321194731259.9043</v>
      </c>
      <c r="M3872" s="460">
        <f t="shared" si="161"/>
        <v>0.05</v>
      </c>
      <c r="N3872" s="464">
        <f t="shared" si="162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60"/>
        <v>-5321194731259.9043</v>
      </c>
      <c r="J3873" s="444">
        <f t="array" ref="J3873">IFERROR(INDEX('Retirement Calculator'!K:K,MATCH('Lorri 401b'!N3873,'Retirement Calculator'!A:A,0),0),0)</f>
        <v>0</v>
      </c>
      <c r="K3873" s="444">
        <f t="shared" ca="1" si="158"/>
        <v>-22171644713.582935</v>
      </c>
      <c r="L3873" s="444">
        <f t="shared" ca="1" si="159"/>
        <v>-5343366375973.4873</v>
      </c>
      <c r="M3873" s="460">
        <f t="shared" si="161"/>
        <v>0.05</v>
      </c>
      <c r="N3873" s="464">
        <f t="shared" si="162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60"/>
        <v>-5343366375973.4873</v>
      </c>
      <c r="J3874" s="444">
        <f t="array" ref="J3874">IFERROR(INDEX('Retirement Calculator'!K:K,MATCH('Lorri 401b'!N3874,'Retirement Calculator'!A:A,0),0),0)</f>
        <v>0</v>
      </c>
      <c r="K3874" s="444">
        <f t="shared" ca="1" si="158"/>
        <v>-22264026566.556198</v>
      </c>
      <c r="L3874" s="444">
        <f t="shared" ca="1" si="159"/>
        <v>-5365630402540.0439</v>
      </c>
      <c r="M3874" s="460">
        <f t="shared" si="161"/>
        <v>0.05</v>
      </c>
      <c r="N3874" s="464">
        <f t="shared" si="162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60"/>
        <v>-5365630402540.0439</v>
      </c>
      <c r="J3875" s="444">
        <f t="array" ref="J3875">IFERROR(INDEX('Retirement Calculator'!K:K,MATCH('Lorri 401b'!N3875,'Retirement Calculator'!A:A,0),0),0)</f>
        <v>0</v>
      </c>
      <c r="K3875" s="444">
        <f t="shared" ca="1" si="158"/>
        <v>-22356793343.916851</v>
      </c>
      <c r="L3875" s="444">
        <f t="shared" ca="1" si="159"/>
        <v>-5387987195883.9609</v>
      </c>
      <c r="M3875" s="460">
        <f t="shared" si="161"/>
        <v>0.05</v>
      </c>
      <c r="N3875" s="464">
        <f t="shared" si="162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60"/>
        <v>-5387987195883.9609</v>
      </c>
      <c r="J3876" s="444">
        <f t="array" ref="J3876">IFERROR(INDEX('Retirement Calculator'!K:K,MATCH('Lorri 401b'!N3876,'Retirement Calculator'!A:A,0),0),0)</f>
        <v>0</v>
      </c>
      <c r="K3876" s="444">
        <f t="shared" ca="1" si="158"/>
        <v>-22449946649.516502</v>
      </c>
      <c r="L3876" s="444">
        <f t="shared" ca="1" si="159"/>
        <v>-5410437142533.4775</v>
      </c>
      <c r="M3876" s="460">
        <f t="shared" si="161"/>
        <v>0.05</v>
      </c>
      <c r="N3876" s="464">
        <f t="shared" si="162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60"/>
        <v>-5410437142533.4775</v>
      </c>
      <c r="J3877" s="444">
        <f t="array" ref="J3877">IFERROR(INDEX('Retirement Calculator'!K:K,MATCH('Lorri 401b'!N3877,'Retirement Calculator'!A:A,0),0),0)</f>
        <v>0</v>
      </c>
      <c r="K3877" s="444">
        <f t="shared" ca="1" si="158"/>
        <v>-22543488093.889488</v>
      </c>
      <c r="L3877" s="444">
        <f t="shared" ca="1" si="159"/>
        <v>-5432980630627.3672</v>
      </c>
      <c r="M3877" s="460">
        <f t="shared" si="161"/>
        <v>0.05</v>
      </c>
      <c r="N3877" s="464">
        <f t="shared" si="162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60"/>
        <v>-5432980630627.3672</v>
      </c>
      <c r="J3878" s="444">
        <f t="array" ref="J3878">IFERROR(INDEX('Retirement Calculator'!K:K,MATCH('Lorri 401b'!N3878,'Retirement Calculator'!A:A,0),0),0)</f>
        <v>0</v>
      </c>
      <c r="K3878" s="444">
        <f t="shared" ca="1" si="158"/>
        <v>-22637419294.280697</v>
      </c>
      <c r="L3878" s="444">
        <f t="shared" ca="1" si="159"/>
        <v>-5455618049921.6475</v>
      </c>
      <c r="M3878" s="460">
        <f t="shared" si="161"/>
        <v>0.05</v>
      </c>
      <c r="N3878" s="464">
        <f t="shared" si="162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60"/>
        <v>-5455618049921.6475</v>
      </c>
      <c r="J3879" s="444">
        <f t="array" ref="J3879">IFERROR(INDEX('Retirement Calculator'!K:K,MATCH('Lorri 401b'!N3879,'Retirement Calculator'!A:A,0),0),0)</f>
        <v>0</v>
      </c>
      <c r="K3879" s="444">
        <f t="shared" ca="1" si="158"/>
        <v>-22731741874.673531</v>
      </c>
      <c r="L3879" s="444">
        <f t="shared" ca="1" si="159"/>
        <v>-5478349791796.3213</v>
      </c>
      <c r="M3879" s="460">
        <f t="shared" si="161"/>
        <v>0.05</v>
      </c>
      <c r="N3879" s="464">
        <f t="shared" si="162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60"/>
        <v>-5478349791796.3213</v>
      </c>
      <c r="J3880" s="444">
        <f t="array" ref="J3880">IFERROR(INDEX('Retirement Calculator'!K:K,MATCH('Lorri 401b'!N3880,'Retirement Calculator'!A:A,0),0),0)</f>
        <v>0</v>
      </c>
      <c r="K3880" s="444">
        <f t="shared" ca="1" si="158"/>
        <v>-22826457465.818005</v>
      </c>
      <c r="L3880" s="444">
        <f t="shared" ca="1" si="159"/>
        <v>-5501176249262.1396</v>
      </c>
      <c r="M3880" s="460">
        <f t="shared" si="161"/>
        <v>0.05</v>
      </c>
      <c r="N3880" s="464">
        <f t="shared" si="162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60"/>
        <v>-5501176249262.1396</v>
      </c>
      <c r="J3881" s="444">
        <f t="array" ref="J3881">IFERROR(INDEX('Retirement Calculator'!K:K,MATCH('Lorri 401b'!N3881,'Retirement Calculator'!A:A,0),0),0)</f>
        <v>0</v>
      </c>
      <c r="K3881" s="444">
        <f t="shared" ca="1" si="158"/>
        <v>-22921567705.258915</v>
      </c>
      <c r="L3881" s="444">
        <f t="shared" ca="1" si="159"/>
        <v>-5524097816967.3984</v>
      </c>
      <c r="M3881" s="460">
        <f t="shared" si="161"/>
        <v>0.05</v>
      </c>
      <c r="N3881" s="464">
        <f t="shared" si="162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60"/>
        <v>-5524097816967.3984</v>
      </c>
      <c r="J3882" s="444">
        <f t="array" ref="J3882">IFERROR(INDEX('Retirement Calculator'!K:K,MATCH('Lorri 401b'!N3882,'Retirement Calculator'!A:A,0),0),0)</f>
        <v>0</v>
      </c>
      <c r="K3882" s="444">
        <f t="shared" ca="1" si="158"/>
        <v>-23017074237.364159</v>
      </c>
      <c r="L3882" s="444">
        <f t="shared" ca="1" si="159"/>
        <v>-5547114891204.7627</v>
      </c>
      <c r="M3882" s="460">
        <f t="shared" si="161"/>
        <v>0.05</v>
      </c>
      <c r="N3882" s="464">
        <f t="shared" si="162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60"/>
        <v>-5547114891204.7627</v>
      </c>
      <c r="J3883" s="444">
        <f t="array" ref="J3883">IFERROR(INDEX('Retirement Calculator'!K:K,MATCH('Lorri 401b'!N3883,'Retirement Calculator'!A:A,0),0),0)</f>
        <v>0</v>
      </c>
      <c r="K3883" s="444">
        <f t="shared" ca="1" si="158"/>
        <v>-23112978713.353176</v>
      </c>
      <c r="L3883" s="444">
        <f t="shared" ca="1" si="159"/>
        <v>-5570227869918.1162</v>
      </c>
      <c r="M3883" s="460">
        <f t="shared" si="161"/>
        <v>0.05</v>
      </c>
      <c r="N3883" s="464">
        <f t="shared" si="162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60"/>
        <v>-5570227869918.1162</v>
      </c>
      <c r="J3884" s="444">
        <f t="array" ref="J3884">IFERROR(INDEX('Retirement Calculator'!K:K,MATCH('Lorri 401b'!N3884,'Retirement Calculator'!A:A,0),0),0)</f>
        <v>0</v>
      </c>
      <c r="K3884" s="444">
        <f t="shared" ca="1" si="158"/>
        <v>-23209282791.325485</v>
      </c>
      <c r="L3884" s="444">
        <f t="shared" ca="1" si="159"/>
        <v>-5593437152709.4414</v>
      </c>
      <c r="M3884" s="460">
        <f t="shared" si="161"/>
        <v>0.05</v>
      </c>
      <c r="N3884" s="464">
        <f t="shared" si="162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60"/>
        <v>-5593437152709.4414</v>
      </c>
      <c r="J3885" s="444">
        <f t="array" ref="J3885">IFERROR(INDEX('Retirement Calculator'!K:K,MATCH('Lorri 401b'!N3885,'Retirement Calculator'!A:A,0),0),0)</f>
        <v>0</v>
      </c>
      <c r="K3885" s="444">
        <f t="shared" ca="1" si="158"/>
        <v>-23305988136.289337</v>
      </c>
      <c r="L3885" s="444">
        <f t="shared" ca="1" si="159"/>
        <v>-5616743140845.7305</v>
      </c>
      <c r="M3885" s="460">
        <f t="shared" si="161"/>
        <v>0.05</v>
      </c>
      <c r="N3885" s="464">
        <f t="shared" si="162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60"/>
        <v>-5616743140845.7305</v>
      </c>
      <c r="J3886" s="444">
        <f t="array" ref="J3886">IFERROR(INDEX('Retirement Calculator'!K:K,MATCH('Lorri 401b'!N3886,'Retirement Calculator'!A:A,0),0),0)</f>
        <v>0</v>
      </c>
      <c r="K3886" s="444">
        <f t="shared" ca="1" si="158"/>
        <v>-23403096420.190544</v>
      </c>
      <c r="L3886" s="444">
        <f t="shared" ca="1" si="159"/>
        <v>-5640146237265.9209</v>
      </c>
      <c r="M3886" s="460">
        <f t="shared" si="161"/>
        <v>0.05</v>
      </c>
      <c r="N3886" s="464">
        <f t="shared" si="162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60"/>
        <v>-5640146237265.9209</v>
      </c>
      <c r="J3887" s="444">
        <f t="array" ref="J3887">IFERROR(INDEX('Retirement Calculator'!K:K,MATCH('Lorri 401b'!N3887,'Retirement Calculator'!A:A,0),0),0)</f>
        <v>0</v>
      </c>
      <c r="K3887" s="444">
        <f t="shared" ca="1" si="158"/>
        <v>-23500609321.941338</v>
      </c>
      <c r="L3887" s="444">
        <f t="shared" ca="1" si="159"/>
        <v>-5663646846587.8623</v>
      </c>
      <c r="M3887" s="460">
        <f t="shared" si="161"/>
        <v>0.05</v>
      </c>
      <c r="N3887" s="464">
        <f t="shared" si="162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60"/>
        <v>-5663646846587.8623</v>
      </c>
      <c r="J3888" s="444">
        <f t="array" ref="J3888">IFERROR(INDEX('Retirement Calculator'!K:K,MATCH('Lorri 401b'!N3888,'Retirement Calculator'!A:A,0),0),0)</f>
        <v>0</v>
      </c>
      <c r="K3888" s="444">
        <f t="shared" ca="1" si="158"/>
        <v>-23598528527.449425</v>
      </c>
      <c r="L3888" s="444">
        <f t="shared" ca="1" si="159"/>
        <v>-5687245375115.3115</v>
      </c>
      <c r="M3888" s="460">
        <f t="shared" si="161"/>
        <v>0.05</v>
      </c>
      <c r="N3888" s="464">
        <f t="shared" si="162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60"/>
        <v>-5687245375115.3115</v>
      </c>
      <c r="J3889" s="444">
        <f t="array" ref="J3889">IFERROR(INDEX('Retirement Calculator'!K:K,MATCH('Lorri 401b'!N3889,'Retirement Calculator'!A:A,0),0),0)</f>
        <v>0</v>
      </c>
      <c r="K3889" s="444">
        <f t="shared" ca="1" si="158"/>
        <v>-23696855729.647133</v>
      </c>
      <c r="L3889" s="444">
        <f t="shared" ca="1" si="159"/>
        <v>-5710942230844.959</v>
      </c>
      <c r="M3889" s="460">
        <f t="shared" si="161"/>
        <v>0.05</v>
      </c>
      <c r="N3889" s="464">
        <f t="shared" si="162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60"/>
        <v>-5710942230844.959</v>
      </c>
      <c r="J3890" s="444">
        <f t="array" ref="J3890">IFERROR(INDEX('Retirement Calculator'!K:K,MATCH('Lorri 401b'!N3890,'Retirement Calculator'!A:A,0),0),0)</f>
        <v>0</v>
      </c>
      <c r="K3890" s="444">
        <f t="shared" ca="1" si="158"/>
        <v>-23795592628.52066</v>
      </c>
      <c r="L3890" s="444">
        <f t="shared" ca="1" si="159"/>
        <v>-5734737823473.4795</v>
      </c>
      <c r="M3890" s="460">
        <f t="shared" si="161"/>
        <v>0.05</v>
      </c>
      <c r="N3890" s="464">
        <f t="shared" si="162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60"/>
        <v>-5734737823473.4795</v>
      </c>
      <c r="J3891" s="444">
        <f t="array" ref="J3891">IFERROR(INDEX('Retirement Calculator'!K:K,MATCH('Lorri 401b'!N3891,'Retirement Calculator'!A:A,0),0),0)</f>
        <v>0</v>
      </c>
      <c r="K3891" s="444">
        <f t="shared" ca="1" si="158"/>
        <v>-23894740931.139496</v>
      </c>
      <c r="L3891" s="444">
        <f t="shared" ca="1" si="159"/>
        <v>-5758632564404.6191</v>
      </c>
      <c r="M3891" s="460">
        <f t="shared" si="161"/>
        <v>0.05</v>
      </c>
      <c r="N3891" s="464">
        <f t="shared" si="162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60"/>
        <v>-5758632564404.6191</v>
      </c>
      <c r="J3892" s="444">
        <f t="array" ref="J3892">IFERROR(INDEX('Retirement Calculator'!K:K,MATCH('Lorri 401b'!N3892,'Retirement Calculator'!A:A,0),0),0)</f>
        <v>0</v>
      </c>
      <c r="K3892" s="444">
        <f t="shared" ca="1" si="158"/>
        <v>-23994302351.685913</v>
      </c>
      <c r="L3892" s="444">
        <f t="shared" ca="1" si="159"/>
        <v>-5782626866756.3047</v>
      </c>
      <c r="M3892" s="460">
        <f t="shared" si="161"/>
        <v>0.05</v>
      </c>
      <c r="N3892" s="464">
        <f t="shared" si="162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60"/>
        <v>-5782626866756.3047</v>
      </c>
      <c r="J3893" s="444">
        <f t="array" ref="J3893">IFERROR(INDEX('Retirement Calculator'!K:K,MATCH('Lorri 401b'!N3893,'Retirement Calculator'!A:A,0),0),0)</f>
        <v>0</v>
      </c>
      <c r="K3893" s="444">
        <f t="shared" ca="1" si="158"/>
        <v>-24094278611.484604</v>
      </c>
      <c r="L3893" s="444">
        <f t="shared" ca="1" si="159"/>
        <v>-5806721145367.7891</v>
      </c>
      <c r="M3893" s="460">
        <f t="shared" si="161"/>
        <v>0.05</v>
      </c>
      <c r="N3893" s="464">
        <f t="shared" si="162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60"/>
        <v>-5806721145367.7891</v>
      </c>
      <c r="J3894" s="444">
        <f t="array" ref="J3894">IFERROR(INDEX('Retirement Calculator'!K:K,MATCH('Lorri 401b'!N3894,'Retirement Calculator'!A:A,0),0),0)</f>
        <v>0</v>
      </c>
      <c r="K3894" s="444">
        <f t="shared" ca="1" si="158"/>
        <v>-24194671439.032455</v>
      </c>
      <c r="L3894" s="444">
        <f t="shared" ca="1" si="159"/>
        <v>-5830915816806.8213</v>
      </c>
      <c r="M3894" s="460">
        <f t="shared" si="161"/>
        <v>0.05</v>
      </c>
      <c r="N3894" s="464">
        <f t="shared" si="162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60"/>
        <v>-5830915816806.8213</v>
      </c>
      <c r="J3895" s="444">
        <f t="array" ref="J3895">IFERROR(INDEX('Retirement Calculator'!K:K,MATCH('Lorri 401b'!N3895,'Retirement Calculator'!A:A,0),0),0)</f>
        <v>0</v>
      </c>
      <c r="K3895" s="444">
        <f t="shared" ca="1" si="158"/>
        <v>-24295482570.028423</v>
      </c>
      <c r="L3895" s="444">
        <f t="shared" ca="1" si="159"/>
        <v>-5855211299376.8496</v>
      </c>
      <c r="M3895" s="460">
        <f t="shared" si="161"/>
        <v>0.05</v>
      </c>
      <c r="N3895" s="464">
        <f t="shared" si="162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60"/>
        <v>-5855211299376.8496</v>
      </c>
      <c r="J3896" s="444">
        <f t="array" ref="J3896">IFERROR(INDEX('Retirement Calculator'!K:K,MATCH('Lorri 401b'!N3896,'Retirement Calculator'!A:A,0),0),0)</f>
        <v>0</v>
      </c>
      <c r="K3896" s="444">
        <f t="shared" ca="1" si="158"/>
        <v>-24396713747.403542</v>
      </c>
      <c r="L3896" s="444">
        <f t="shared" ca="1" si="159"/>
        <v>-5879608013124.2529</v>
      </c>
      <c r="M3896" s="460">
        <f t="shared" si="161"/>
        <v>0.05</v>
      </c>
      <c r="N3896" s="464">
        <f t="shared" si="162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60"/>
        <v>-5879608013124.2529</v>
      </c>
      <c r="J3897" s="444">
        <f t="array" ref="J3897">IFERROR(INDEX('Retirement Calculator'!K:K,MATCH('Lorri 401b'!N3897,'Retirement Calculator'!A:A,0),0),0)</f>
        <v>0</v>
      </c>
      <c r="K3897" s="444">
        <f t="shared" ca="1" si="158"/>
        <v>-24498366721.351055</v>
      </c>
      <c r="L3897" s="444">
        <f t="shared" ca="1" si="159"/>
        <v>-5904106379845.6035</v>
      </c>
      <c r="M3897" s="460">
        <f t="shared" si="161"/>
        <v>0.05</v>
      </c>
      <c r="N3897" s="464">
        <f t="shared" si="162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60"/>
        <v>-5904106379845.6035</v>
      </c>
      <c r="J3898" s="444">
        <f t="array" ref="J3898">IFERROR(INDEX('Retirement Calculator'!K:K,MATCH('Lorri 401b'!N3898,'Retirement Calculator'!A:A,0),0),0)</f>
        <v>0</v>
      </c>
      <c r="K3898" s="444">
        <f t="shared" ca="1" si="158"/>
        <v>-24600443249.356682</v>
      </c>
      <c r="L3898" s="444">
        <f t="shared" ca="1" si="159"/>
        <v>-5928706823094.96</v>
      </c>
      <c r="M3898" s="460">
        <f t="shared" si="161"/>
        <v>0.05</v>
      </c>
      <c r="N3898" s="464">
        <f t="shared" si="162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60"/>
        <v>-5928706823094.96</v>
      </c>
      <c r="J3899" s="444">
        <f t="array" ref="J3899">IFERROR(INDEX('Retirement Calculator'!K:K,MATCH('Lorri 401b'!N3899,'Retirement Calculator'!A:A,0),0),0)</f>
        <v>0</v>
      </c>
      <c r="K3899" s="444">
        <f t="shared" ca="1" si="158"/>
        <v>-24702945096.229</v>
      </c>
      <c r="L3899" s="444">
        <f t="shared" ca="1" si="159"/>
        <v>-5953409768191.1885</v>
      </c>
      <c r="M3899" s="460">
        <f t="shared" si="161"/>
        <v>0.05</v>
      </c>
      <c r="N3899" s="464">
        <f t="shared" si="162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60"/>
        <v>-5953409768191.1885</v>
      </c>
      <c r="J3900" s="444">
        <f t="array" ref="J3900">IFERROR(INDEX('Retirement Calculator'!K:K,MATCH('Lorri 401b'!N3900,'Retirement Calculator'!A:A,0),0),0)</f>
        <v>0</v>
      </c>
      <c r="K3900" s="444">
        <f t="shared" ca="1" si="158"/>
        <v>-24805874034.129951</v>
      </c>
      <c r="L3900" s="444">
        <f t="shared" ca="1" si="159"/>
        <v>-5978215642225.3184</v>
      </c>
      <c r="M3900" s="460">
        <f t="shared" si="161"/>
        <v>0.05</v>
      </c>
      <c r="N3900" s="464">
        <f t="shared" si="162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60"/>
        <v>-5978215642225.3184</v>
      </c>
      <c r="J3901" s="444">
        <f t="array" ref="J3901">IFERROR(INDEX('Retirement Calculator'!K:K,MATCH('Lorri 401b'!N3901,'Retirement Calculator'!A:A,0),0),0)</f>
        <v>0</v>
      </c>
      <c r="K3901" s="444">
        <f t="shared" ca="1" si="158"/>
        <v>-24909231842.605492</v>
      </c>
      <c r="L3901" s="444">
        <f t="shared" ca="1" si="159"/>
        <v>-6003124874067.9238</v>
      </c>
      <c r="M3901" s="460">
        <f t="shared" si="161"/>
        <v>0.05</v>
      </c>
      <c r="N3901" s="464">
        <f t="shared" si="162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60"/>
        <v>-6003124874067.9238</v>
      </c>
      <c r="J3902" s="444">
        <f t="array" ref="J3902">IFERROR(INDEX('Retirement Calculator'!K:K,MATCH('Lorri 401b'!N3902,'Retirement Calculator'!A:A,0),0),0)</f>
        <v>0</v>
      </c>
      <c r="K3902" s="444">
        <f t="shared" ca="1" si="158"/>
        <v>-25013020308.616348</v>
      </c>
      <c r="L3902" s="444">
        <f t="shared" ca="1" si="159"/>
        <v>-6028137894376.54</v>
      </c>
      <c r="M3902" s="460">
        <f t="shared" si="161"/>
        <v>0.05</v>
      </c>
      <c r="N3902" s="464">
        <f t="shared" si="162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60"/>
        <v>-6028137894376.54</v>
      </c>
      <c r="J3903" s="444">
        <f t="array" ref="J3903">IFERROR(INDEX('Retirement Calculator'!K:K,MATCH('Lorri 401b'!N3903,'Retirement Calculator'!A:A,0),0),0)</f>
        <v>0</v>
      </c>
      <c r="K3903" s="444">
        <f t="shared" ca="1" si="158"/>
        <v>-25117241226.568916</v>
      </c>
      <c r="L3903" s="444">
        <f t="shared" ca="1" si="159"/>
        <v>-6053255135603.1094</v>
      </c>
      <c r="M3903" s="460">
        <f t="shared" si="161"/>
        <v>0.05</v>
      </c>
      <c r="N3903" s="464">
        <f t="shared" si="162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60"/>
        <v>-6053255135603.1094</v>
      </c>
      <c r="J3904" s="444">
        <f t="array" ref="J3904">IFERROR(INDEX('Retirement Calculator'!K:K,MATCH('Lorri 401b'!N3904,'Retirement Calculator'!A:A,0),0),0)</f>
        <v>0</v>
      </c>
      <c r="K3904" s="444">
        <f t="shared" ca="1" si="158"/>
        <v>-25221896398.346291</v>
      </c>
      <c r="L3904" s="444">
        <f t="shared" ca="1" si="159"/>
        <v>-6078477032001.4561</v>
      </c>
      <c r="M3904" s="460">
        <f t="shared" si="161"/>
        <v>0.05</v>
      </c>
      <c r="N3904" s="464">
        <f t="shared" si="162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60"/>
        <v>-6078477032001.4561</v>
      </c>
      <c r="J3905" s="444">
        <f t="array" ref="J3905">IFERROR(INDEX('Retirement Calculator'!K:K,MATCH('Lorri 401b'!N3905,'Retirement Calculator'!A:A,0),0),0)</f>
        <v>0</v>
      </c>
      <c r="K3905" s="444">
        <f t="shared" ca="1" si="158"/>
        <v>-25326987633.339401</v>
      </c>
      <c r="L3905" s="444">
        <f t="shared" ca="1" si="159"/>
        <v>-6103804019634.7959</v>
      </c>
      <c r="M3905" s="460">
        <f t="shared" si="161"/>
        <v>0.05</v>
      </c>
      <c r="N3905" s="464">
        <f t="shared" si="162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60"/>
        <v>-6103804019634.7959</v>
      </c>
      <c r="J3906" s="444">
        <f t="array" ref="J3906">IFERROR(INDEX('Retirement Calculator'!K:K,MATCH('Lorri 401b'!N3906,'Retirement Calculator'!A:A,0),0),0)</f>
        <v>0</v>
      </c>
      <c r="K3906" s="444">
        <f t="shared" ca="1" si="158"/>
        <v>-25432516748.478317</v>
      </c>
      <c r="L3906" s="444">
        <f t="shared" ca="1" si="159"/>
        <v>-6129236536383.2744</v>
      </c>
      <c r="M3906" s="460">
        <f t="shared" si="161"/>
        <v>0.05</v>
      </c>
      <c r="N3906" s="464">
        <f t="shared" si="162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60"/>
        <v>-6129236536383.2744</v>
      </c>
      <c r="J3907" s="444">
        <f t="array" ref="J3907">IFERROR(INDEX('Retirement Calculator'!K:K,MATCH('Lorri 401b'!N3907,'Retirement Calculator'!A:A,0),0),0)</f>
        <v>0</v>
      </c>
      <c r="K3907" s="444">
        <f t="shared" ca="1" si="158"/>
        <v>-25538485568.263641</v>
      </c>
      <c r="L3907" s="444">
        <f t="shared" ca="1" si="159"/>
        <v>-6154775021951.5381</v>
      </c>
      <c r="M3907" s="460">
        <f t="shared" si="161"/>
        <v>0.05</v>
      </c>
      <c r="N3907" s="464">
        <f t="shared" si="162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60"/>
        <v>-6154775021951.5381</v>
      </c>
      <c r="J3908" s="444">
        <f t="array" ref="J3908">IFERROR(INDEX('Retirement Calculator'!K:K,MATCH('Lorri 401b'!N3908,'Retirement Calculator'!A:A,0),0),0)</f>
        <v>0</v>
      </c>
      <c r="K3908" s="444">
        <f t="shared" ca="1" si="158"/>
        <v>-25644895924.798077</v>
      </c>
      <c r="L3908" s="444">
        <f t="shared" ca="1" si="159"/>
        <v>-6180419917876.3359</v>
      </c>
      <c r="M3908" s="460">
        <f t="shared" si="161"/>
        <v>0.05</v>
      </c>
      <c r="N3908" s="464">
        <f t="shared" si="162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60"/>
        <v>-6180419917876.3359</v>
      </c>
      <c r="J3909" s="444">
        <f t="array" ref="J3909">IFERROR(INDEX('Retirement Calculator'!K:K,MATCH('Lorri 401b'!N3909,'Retirement Calculator'!A:A,0),0),0)</f>
        <v>0</v>
      </c>
      <c r="K3909" s="444">
        <f t="shared" ca="1" si="158"/>
        <v>-25751749657.818066</v>
      </c>
      <c r="L3909" s="444">
        <f t="shared" ca="1" si="159"/>
        <v>-6206171667534.1543</v>
      </c>
      <c r="M3909" s="460">
        <f t="shared" si="161"/>
        <v>0.05</v>
      </c>
      <c r="N3909" s="464">
        <f t="shared" si="162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60"/>
        <v>-6206171667534.1543</v>
      </c>
      <c r="J3910" s="444">
        <f t="array" ref="J3910">IFERROR(INDEX('Retirement Calculator'!K:K,MATCH('Lorri 401b'!N3910,'Retirement Calculator'!A:A,0),0),0)</f>
        <v>0</v>
      </c>
      <c r="K3910" s="444">
        <f t="shared" ca="1" si="158"/>
        <v>-25859048614.725643</v>
      </c>
      <c r="L3910" s="444">
        <f t="shared" ca="1" si="159"/>
        <v>-6232030716148.8799</v>
      </c>
      <c r="M3910" s="460">
        <f t="shared" si="161"/>
        <v>0.05</v>
      </c>
      <c r="N3910" s="464">
        <f t="shared" si="162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60"/>
        <v>-6232030716148.8799</v>
      </c>
      <c r="J3911" s="444">
        <f t="array" ref="J3911">IFERROR(INDEX('Retirement Calculator'!K:K,MATCH('Lorri 401b'!N3911,'Retirement Calculator'!A:A,0),0),0)</f>
        <v>0</v>
      </c>
      <c r="K3911" s="444">
        <f t="shared" ca="1" si="158"/>
        <v>-25966794650.620331</v>
      </c>
      <c r="L3911" s="444">
        <f t="shared" ca="1" si="159"/>
        <v>-6257997510799.5</v>
      </c>
      <c r="M3911" s="460">
        <f t="shared" si="161"/>
        <v>0.05</v>
      </c>
      <c r="N3911" s="464">
        <f t="shared" si="162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60"/>
        <v>-6257997510799.5</v>
      </c>
      <c r="J3912" s="444">
        <f t="array" ref="J3912">IFERROR(INDEX('Retirement Calculator'!K:K,MATCH('Lorri 401b'!N3912,'Retirement Calculator'!A:A,0),0),0)</f>
        <v>0</v>
      </c>
      <c r="K3912" s="444">
        <f t="shared" ca="1" si="158"/>
        <v>-26074989628.331249</v>
      </c>
      <c r="L3912" s="444">
        <f t="shared" ca="1" si="159"/>
        <v>-6284072500427.8311</v>
      </c>
      <c r="M3912" s="460">
        <f t="shared" si="161"/>
        <v>0.05</v>
      </c>
      <c r="N3912" s="464">
        <f t="shared" si="162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60"/>
        <v>-6284072500427.8311</v>
      </c>
      <c r="J3913" s="444">
        <f t="array" ref="J3913">IFERROR(INDEX('Retirement Calculator'!K:K,MATCH('Lorri 401b'!N3913,'Retirement Calculator'!A:A,0),0),0)</f>
        <v>0</v>
      </c>
      <c r="K3913" s="444">
        <f t="shared" ca="1" si="158"/>
        <v>-26183635418.449295</v>
      </c>
      <c r="L3913" s="444">
        <f t="shared" ca="1" si="159"/>
        <v>-6310256135846.2803</v>
      </c>
      <c r="M3913" s="460">
        <f t="shared" si="161"/>
        <v>0.05</v>
      </c>
      <c r="N3913" s="464">
        <f t="shared" si="162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60"/>
        <v>-6310256135846.2803</v>
      </c>
      <c r="J3914" s="444">
        <f t="array" ref="J3914">IFERROR(INDEX('Retirement Calculator'!K:K,MATCH('Lorri 401b'!N3914,'Retirement Calculator'!A:A,0),0),0)</f>
        <v>0</v>
      </c>
      <c r="K3914" s="444">
        <f t="shared" ca="1" si="158"/>
        <v>-26292733899.359501</v>
      </c>
      <c r="L3914" s="444">
        <f t="shared" ca="1" si="159"/>
        <v>-6336548869745.6396</v>
      </c>
      <c r="M3914" s="460">
        <f t="shared" si="161"/>
        <v>0.05</v>
      </c>
      <c r="N3914" s="464">
        <f t="shared" si="162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60"/>
        <v>-6336548869745.6396</v>
      </c>
      <c r="J3915" s="444">
        <f t="array" ref="J3915">IFERROR(INDEX('Retirement Calculator'!K:K,MATCH('Lorri 401b'!N3915,'Retirement Calculator'!A:A,0),0),0)</f>
        <v>0</v>
      </c>
      <c r="K3915" s="444">
        <f t="shared" ca="1" si="158"/>
        <v>-26402286957.273499</v>
      </c>
      <c r="L3915" s="444">
        <f t="shared" ca="1" si="159"/>
        <v>-6362951156702.9131</v>
      </c>
      <c r="M3915" s="460">
        <f t="shared" si="161"/>
        <v>0.05</v>
      </c>
      <c r="N3915" s="464">
        <f t="shared" si="162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60"/>
        <v>-6362951156702.9131</v>
      </c>
      <c r="J3916" s="444">
        <f t="array" ref="J3916">IFERROR(INDEX('Retirement Calculator'!K:K,MATCH('Lorri 401b'!N3916,'Retirement Calculator'!A:A,0),0),0)</f>
        <v>0</v>
      </c>
      <c r="K3916" s="444">
        <f t="shared" ca="1" si="158"/>
        <v>-26512296486.262138</v>
      </c>
      <c r="L3916" s="444">
        <f t="shared" ca="1" si="159"/>
        <v>-6389463453189.1748</v>
      </c>
      <c r="M3916" s="460">
        <f t="shared" si="161"/>
        <v>0.05</v>
      </c>
      <c r="N3916" s="464">
        <f t="shared" si="162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60"/>
        <v>-6389463453189.1748</v>
      </c>
      <c r="J3917" s="444">
        <f t="array" ref="J3917">IFERROR(INDEX('Retirement Calculator'!K:K,MATCH('Lorri 401b'!N3917,'Retirement Calculator'!A:A,0),0),0)</f>
        <v>0</v>
      </c>
      <c r="K3917" s="444">
        <f t="shared" ca="1" si="158"/>
        <v>-26622764388.288227</v>
      </c>
      <c r="L3917" s="444">
        <f t="shared" ca="1" si="159"/>
        <v>-6416086217577.4629</v>
      </c>
      <c r="M3917" s="460">
        <f t="shared" si="161"/>
        <v>0.05</v>
      </c>
      <c r="N3917" s="464">
        <f t="shared" si="162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60"/>
        <v>-6416086217577.4629</v>
      </c>
      <c r="J3918" s="444">
        <f t="array" ref="J3918">IFERROR(INDEX('Retirement Calculator'!K:K,MATCH('Lorri 401b'!N3918,'Retirement Calculator'!A:A,0),0),0)</f>
        <v>0</v>
      </c>
      <c r="K3918" s="444">
        <f t="shared" ca="1" si="158"/>
        <v>-26733692573.239429</v>
      </c>
      <c r="L3918" s="444">
        <f t="shared" ca="1" si="159"/>
        <v>-6442819910150.7021</v>
      </c>
      <c r="M3918" s="460">
        <f t="shared" si="161"/>
        <v>0.05</v>
      </c>
      <c r="N3918" s="464">
        <f t="shared" si="162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60"/>
        <v>-6442819910150.7021</v>
      </c>
      <c r="J3919" s="444">
        <f t="array" ref="J3919">IFERROR(INDEX('Retirement Calculator'!K:K,MATCH('Lorri 401b'!N3919,'Retirement Calculator'!A:A,0),0),0)</f>
        <v>0</v>
      </c>
      <c r="K3919" s="444">
        <f t="shared" ca="1" si="158"/>
        <v>-26845082958.961258</v>
      </c>
      <c r="L3919" s="444">
        <f t="shared" ca="1" si="159"/>
        <v>-6469664993109.6631</v>
      </c>
      <c r="M3919" s="460">
        <f t="shared" si="161"/>
        <v>0.05</v>
      </c>
      <c r="N3919" s="464">
        <f t="shared" si="162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60"/>
        <v>-6469664993109.6631</v>
      </c>
      <c r="J3920" s="444">
        <f t="array" ref="J3920">IFERROR(INDEX('Retirement Calculator'!K:K,MATCH('Lorri 401b'!N3920,'Retirement Calculator'!A:A,0),0),0)</f>
        <v>0</v>
      </c>
      <c r="K3920" s="444">
        <f t="shared" ca="1" si="158"/>
        <v>-26956937471.290264</v>
      </c>
      <c r="L3920" s="444">
        <f t="shared" ca="1" si="159"/>
        <v>-6496621930580.9531</v>
      </c>
      <c r="M3920" s="460">
        <f t="shared" si="161"/>
        <v>0.05</v>
      </c>
      <c r="N3920" s="464">
        <f t="shared" si="162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60"/>
        <v>-6496621930580.9531</v>
      </c>
      <c r="J3921" s="444">
        <f t="array" ref="J3921">IFERROR(INDEX('Retirement Calculator'!K:K,MATCH('Lorri 401b'!N3921,'Retirement Calculator'!A:A,0),0),0)</f>
        <v>0</v>
      </c>
      <c r="K3921" s="444">
        <f t="shared" ca="1" si="158"/>
        <v>-27069258044.087303</v>
      </c>
      <c r="L3921" s="444">
        <f t="shared" ca="1" si="159"/>
        <v>-6523691188625.04</v>
      </c>
      <c r="M3921" s="460">
        <f t="shared" si="161"/>
        <v>0.05</v>
      </c>
      <c r="N3921" s="464">
        <f t="shared" si="162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60"/>
        <v>-6523691188625.04</v>
      </c>
      <c r="J3922" s="444">
        <f t="array" ref="J3922">IFERROR(INDEX('Retirement Calculator'!K:K,MATCH('Lorri 401b'!N3922,'Retirement Calculator'!A:A,0),0),0)</f>
        <v>0</v>
      </c>
      <c r="K3922" s="444">
        <f t="shared" ca="1" si="158"/>
        <v>-27182046619.271</v>
      </c>
      <c r="L3922" s="444">
        <f t="shared" ca="1" si="159"/>
        <v>-6550873235244.3115</v>
      </c>
      <c r="M3922" s="460">
        <f t="shared" si="161"/>
        <v>0.05</v>
      </c>
      <c r="N3922" s="464">
        <f t="shared" si="162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60"/>
        <v>-6550873235244.3115</v>
      </c>
      <c r="J3923" s="444">
        <f t="array" ref="J3923">IFERROR(INDEX('Retirement Calculator'!K:K,MATCH('Lorri 401b'!N3923,'Retirement Calculator'!A:A,0),0),0)</f>
        <v>0</v>
      </c>
      <c r="K3923" s="444">
        <f t="shared" ca="1" si="158"/>
        <v>-27295305146.851299</v>
      </c>
      <c r="L3923" s="444">
        <f t="shared" ca="1" si="159"/>
        <v>-6578168540391.1631</v>
      </c>
      <c r="M3923" s="460">
        <f t="shared" si="161"/>
        <v>0.05</v>
      </c>
      <c r="N3923" s="464">
        <f t="shared" si="162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60"/>
        <v>-6578168540391.1631</v>
      </c>
      <c r="J3924" s="444">
        <f t="array" ref="J3924">IFERROR(INDEX('Retirement Calculator'!K:K,MATCH('Lorri 401b'!N3924,'Retirement Calculator'!A:A,0),0),0)</f>
        <v>0</v>
      </c>
      <c r="K3924" s="444">
        <f t="shared" ca="1" si="158"/>
        <v>-27409035584.963181</v>
      </c>
      <c r="L3924" s="444">
        <f t="shared" ca="1" si="159"/>
        <v>-6605577575976.126</v>
      </c>
      <c r="M3924" s="460">
        <f t="shared" si="161"/>
        <v>0.05</v>
      </c>
      <c r="N3924" s="464">
        <f t="shared" si="162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60"/>
        <v>-6605577575976.126</v>
      </c>
      <c r="J3925" s="444">
        <f t="array" ref="J3925">IFERROR(INDEX('Retirement Calculator'!K:K,MATCH('Lorri 401b'!N3925,'Retirement Calculator'!A:A,0),0),0)</f>
        <v>0</v>
      </c>
      <c r="K3925" s="444">
        <f t="shared" ca="1" si="158"/>
        <v>-27523239899.900524</v>
      </c>
      <c r="L3925" s="444">
        <f t="shared" ca="1" si="159"/>
        <v>-6633100815876.0264</v>
      </c>
      <c r="M3925" s="460">
        <f t="shared" si="161"/>
        <v>0.05</v>
      </c>
      <c r="N3925" s="464">
        <f t="shared" si="162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60"/>
        <v>-6633100815876.0264</v>
      </c>
      <c r="J3926" s="444">
        <f t="array" ref="J3926">IFERROR(INDEX('Retirement Calculator'!K:K,MATCH('Lorri 401b'!N3926,'Retirement Calculator'!A:A,0),0),0)</f>
        <v>0</v>
      </c>
      <c r="K3926" s="444">
        <f t="shared" ca="1" si="158"/>
        <v>-27637920066.150108</v>
      </c>
      <c r="L3926" s="444">
        <f t="shared" ca="1" si="159"/>
        <v>-6660738735942.1768</v>
      </c>
      <c r="M3926" s="460">
        <f t="shared" si="161"/>
        <v>0.05</v>
      </c>
      <c r="N3926" s="464">
        <f t="shared" si="162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60"/>
        <v>-6660738735942.1768</v>
      </c>
      <c r="J3927" s="444">
        <f t="array" ref="J3927">IFERROR(INDEX('Retirement Calculator'!K:K,MATCH('Lorri 401b'!N3927,'Retirement Calculator'!A:A,0),0),0)</f>
        <v>0</v>
      </c>
      <c r="K3927" s="444">
        <f t="shared" ca="1" si="158"/>
        <v>-27753078066.425735</v>
      </c>
      <c r="L3927" s="444">
        <f t="shared" ca="1" si="159"/>
        <v>-6688491814008.6025</v>
      </c>
      <c r="M3927" s="460">
        <f t="shared" si="161"/>
        <v>0.05</v>
      </c>
      <c r="N3927" s="464">
        <f t="shared" si="162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60"/>
        <v>-6688491814008.6025</v>
      </c>
      <c r="J3928" s="444">
        <f t="array" ref="J3928">IFERROR(INDEX('Retirement Calculator'!K:K,MATCH('Lorri 401b'!N3928,'Retirement Calculator'!A:A,0),0),0)</f>
        <v>0</v>
      </c>
      <c r="K3928" s="444">
        <f t="shared" ca="1" si="158"/>
        <v>-27868715891.702511</v>
      </c>
      <c r="L3928" s="444">
        <f t="shared" ca="1" si="159"/>
        <v>-6716360529900.3047</v>
      </c>
      <c r="M3928" s="460">
        <f t="shared" si="161"/>
        <v>0.05</v>
      </c>
      <c r="N3928" s="464">
        <f t="shared" si="162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60"/>
        <v>-6716360529900.3047</v>
      </c>
      <c r="J3929" s="444">
        <f t="array" ref="J3929">IFERROR(INDEX('Retirement Calculator'!K:K,MATCH('Lorri 401b'!N3929,'Retirement Calculator'!A:A,0),0),0)</f>
        <v>0</v>
      </c>
      <c r="K3929" s="444">
        <f t="shared" ca="1" si="158"/>
        <v>-27984835541.25127</v>
      </c>
      <c r="L3929" s="444">
        <f t="shared" ca="1" si="159"/>
        <v>-6744345365441.5557</v>
      </c>
      <c r="M3929" s="460">
        <f t="shared" si="161"/>
        <v>0.05</v>
      </c>
      <c r="N3929" s="464">
        <f t="shared" si="162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60"/>
        <v>-6744345365441.5557</v>
      </c>
      <c r="J3930" s="444">
        <f t="array" ref="J3930">IFERROR(INDEX('Retirement Calculator'!K:K,MATCH('Lorri 401b'!N3930,'Retirement Calculator'!A:A,0),0),0)</f>
        <v>0</v>
      </c>
      <c r="K3930" s="444">
        <f t="shared" ca="1" si="158"/>
        <v>-28101439022.673149</v>
      </c>
      <c r="L3930" s="444">
        <f t="shared" ca="1" si="159"/>
        <v>-6772446804464.2285</v>
      </c>
      <c r="M3930" s="460">
        <f t="shared" si="161"/>
        <v>0.05</v>
      </c>
      <c r="N3930" s="464">
        <f t="shared" si="162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60"/>
        <v>-6772446804464.2285</v>
      </c>
      <c r="J3931" s="444">
        <f t="array" ref="J3931">IFERROR(INDEX('Retirement Calculator'!K:K,MATCH('Lorri 401b'!N3931,'Retirement Calculator'!A:A,0),0),0)</f>
        <v>0</v>
      </c>
      <c r="K3931" s="444">
        <f t="shared" ca="1" si="158"/>
        <v>-28218528351.934284</v>
      </c>
      <c r="L3931" s="444">
        <f t="shared" ca="1" si="159"/>
        <v>-6800665332816.1631</v>
      </c>
      <c r="M3931" s="460">
        <f t="shared" si="161"/>
        <v>0.05</v>
      </c>
      <c r="N3931" s="464">
        <f t="shared" si="162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60"/>
        <v>-6800665332816.1631</v>
      </c>
      <c r="J3932" s="444">
        <f t="array" ref="J3932">IFERROR(INDEX('Retirement Calculator'!K:K,MATCH('Lorri 401b'!N3932,'Retirement Calculator'!A:A,0),0),0)</f>
        <v>0</v>
      </c>
      <c r="K3932" s="444">
        <f t="shared" ca="1" si="158"/>
        <v>-28336105553.400681</v>
      </c>
      <c r="L3932" s="444">
        <f t="shared" ca="1" si="159"/>
        <v>-6829001438369.5635</v>
      </c>
      <c r="M3932" s="460">
        <f t="shared" si="161"/>
        <v>0.05</v>
      </c>
      <c r="N3932" s="464">
        <f t="shared" si="162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60"/>
        <v>-6829001438369.5635</v>
      </c>
      <c r="J3933" s="444">
        <f t="array" ref="J3933">IFERROR(INDEX('Retirement Calculator'!K:K,MATCH('Lorri 401b'!N3933,'Retirement Calculator'!A:A,0),0),0)</f>
        <v>0</v>
      </c>
      <c r="K3933" s="444">
        <f t="shared" ca="1" si="158"/>
        <v>-28454172659.87318</v>
      </c>
      <c r="L3933" s="444">
        <f t="shared" ca="1" si="159"/>
        <v>-6857455611029.4365</v>
      </c>
      <c r="M3933" s="460">
        <f t="shared" si="161"/>
        <v>0.05</v>
      </c>
      <c r="N3933" s="464">
        <f t="shared" si="162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60"/>
        <v>-6857455611029.4365</v>
      </c>
      <c r="J3934" s="444">
        <f t="array" ref="J3934">IFERROR(INDEX('Retirement Calculator'!K:K,MATCH('Lorri 401b'!N3934,'Retirement Calculator'!A:A,0),0),0)</f>
        <v>0</v>
      </c>
      <c r="K3934" s="444">
        <f t="shared" ca="1" si="158"/>
        <v>-28572731712.62265</v>
      </c>
      <c r="L3934" s="444">
        <f t="shared" ca="1" si="159"/>
        <v>-6886028342742.0596</v>
      </c>
      <c r="M3934" s="460">
        <f t="shared" si="161"/>
        <v>0.05</v>
      </c>
      <c r="N3934" s="464">
        <f t="shared" si="162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60"/>
        <v>-6886028342742.0596</v>
      </c>
      <c r="J3935" s="444">
        <f t="array" ref="J3935">IFERROR(INDEX('Retirement Calculator'!K:K,MATCH('Lorri 401b'!N3935,'Retirement Calculator'!A:A,0),0),0)</f>
        <v>0</v>
      </c>
      <c r="K3935" s="444">
        <f t="shared" ca="1" si="158"/>
        <v>-28691784761.425247</v>
      </c>
      <c r="L3935" s="444">
        <f t="shared" ca="1" si="159"/>
        <v>-6914720127503.4844</v>
      </c>
      <c r="M3935" s="460">
        <f t="shared" si="161"/>
        <v>0.05</v>
      </c>
      <c r="N3935" s="464">
        <f t="shared" si="162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60"/>
        <v>-6914720127503.4844</v>
      </c>
      <c r="J3936" s="444">
        <f t="array" ref="J3936">IFERROR(INDEX('Retirement Calculator'!K:K,MATCH('Lorri 401b'!N3936,'Retirement Calculator'!A:A,0),0),0)</f>
        <v>0</v>
      </c>
      <c r="K3936" s="444">
        <f t="shared" ca="1" si="158"/>
        <v>-28811333864.597855</v>
      </c>
      <c r="L3936" s="444">
        <f t="shared" ca="1" si="159"/>
        <v>-6943531461368.082</v>
      </c>
      <c r="M3936" s="460">
        <f t="shared" si="161"/>
        <v>0.05</v>
      </c>
      <c r="N3936" s="464">
        <f t="shared" si="162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60"/>
        <v>-6943531461368.082</v>
      </c>
      <c r="J3937" s="444">
        <f t="array" ref="J3937">IFERROR(INDEX('Retirement Calculator'!K:K,MATCH('Lorri 401b'!N3937,'Retirement Calculator'!A:A,0),0),0)</f>
        <v>0</v>
      </c>
      <c r="K3937" s="444">
        <f t="shared" ca="1" si="158"/>
        <v>-28931381089.033676</v>
      </c>
      <c r="L3937" s="444">
        <f t="shared" ca="1" si="159"/>
        <v>-6972462842457.1152</v>
      </c>
      <c r="M3937" s="460">
        <f t="shared" si="161"/>
        <v>0.05</v>
      </c>
      <c r="N3937" s="464">
        <f t="shared" si="162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60"/>
        <v>-6972462842457.1152</v>
      </c>
      <c r="J3938" s="444">
        <f t="array" ref="J3938">IFERROR(INDEX('Retirement Calculator'!K:K,MATCH('Lorri 401b'!N3938,'Retirement Calculator'!A:A,0),0),0)</f>
        <v>0</v>
      </c>
      <c r="K3938" s="444">
        <f t="shared" ca="1" si="158"/>
        <v>-29051928510.237976</v>
      </c>
      <c r="L3938" s="444">
        <f t="shared" ca="1" si="159"/>
        <v>-7001514770967.3535</v>
      </c>
      <c r="M3938" s="460">
        <f t="shared" si="161"/>
        <v>0.05</v>
      </c>
      <c r="N3938" s="464">
        <f t="shared" si="162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60"/>
        <v>-7001514770967.3535</v>
      </c>
      <c r="J3939" s="444">
        <f t="array" ref="J3939">IFERROR(INDEX('Retirement Calculator'!K:K,MATCH('Lorri 401b'!N3939,'Retirement Calculator'!A:A,0),0),0)</f>
        <v>0</v>
      </c>
      <c r="K3939" s="444">
        <f t="shared" ca="1" si="158"/>
        <v>-29172978212.363972</v>
      </c>
      <c r="L3939" s="444">
        <f t="shared" ca="1" si="159"/>
        <v>-7030687749179.7178</v>
      </c>
      <c r="M3939" s="460">
        <f t="shared" si="161"/>
        <v>0.05</v>
      </c>
      <c r="N3939" s="464">
        <f t="shared" si="162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60"/>
        <v>-7030687749179.7178</v>
      </c>
      <c r="J3940" s="444">
        <f t="array" ref="J3940">IFERROR(INDEX('Retirement Calculator'!K:K,MATCH('Lorri 401b'!N3940,'Retirement Calculator'!A:A,0),0),0)</f>
        <v>0</v>
      </c>
      <c r="K3940" s="444">
        <f t="shared" ca="1" si="158"/>
        <v>-29294532288.248829</v>
      </c>
      <c r="L3940" s="444">
        <f t="shared" ca="1" si="159"/>
        <v>-7059982281467.9668</v>
      </c>
      <c r="M3940" s="460">
        <f t="shared" si="161"/>
        <v>0.05</v>
      </c>
      <c r="N3940" s="464">
        <f t="shared" si="162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60"/>
        <v>-7059982281467.9668</v>
      </c>
      <c r="J3941" s="444">
        <f t="array" ref="J3941">IFERROR(INDEX('Retirement Calculator'!K:K,MATCH('Lorri 401b'!N3941,'Retirement Calculator'!A:A,0),0),0)</f>
        <v>0</v>
      </c>
      <c r="K3941" s="444">
        <f t="shared" ca="1" si="158"/>
        <v>-29416592839.449856</v>
      </c>
      <c r="L3941" s="444">
        <f t="shared" ca="1" si="159"/>
        <v>-7089398874307.417</v>
      </c>
      <c r="M3941" s="460">
        <f t="shared" si="161"/>
        <v>0.05</v>
      </c>
      <c r="N3941" s="464">
        <f t="shared" si="162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60"/>
        <v>-7089398874307.417</v>
      </c>
      <c r="J3942" s="444">
        <f t="array" ref="J3942">IFERROR(INDEX('Retirement Calculator'!K:K,MATCH('Lorri 401b'!N3942,'Retirement Calculator'!A:A,0),0),0)</f>
        <v>0</v>
      </c>
      <c r="K3942" s="444">
        <f t="shared" ca="1" si="158"/>
        <v>-29539161976.280903</v>
      </c>
      <c r="L3942" s="444">
        <f t="shared" ca="1" si="159"/>
        <v>-7118938036283.6982</v>
      </c>
      <c r="M3942" s="460">
        <f t="shared" si="161"/>
        <v>0.05</v>
      </c>
      <c r="N3942" s="464">
        <f t="shared" si="162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60"/>
        <v>-7118938036283.6982</v>
      </c>
      <c r="J3943" s="444">
        <f t="array" ref="J3943">IFERROR(INDEX('Retirement Calculator'!K:K,MATCH('Lorri 401b'!N3943,'Retirement Calculator'!A:A,0),0),0)</f>
        <v>0</v>
      </c>
      <c r="K3943" s="444">
        <f t="shared" ca="1" si="158"/>
        <v>-29662241817.848743</v>
      </c>
      <c r="L3943" s="444">
        <f t="shared" ca="1" si="159"/>
        <v>-7148600278101.5469</v>
      </c>
      <c r="M3943" s="460">
        <f t="shared" si="161"/>
        <v>0.05</v>
      </c>
      <c r="N3943" s="464">
        <f t="shared" si="162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60"/>
        <v>-7148600278101.5469</v>
      </c>
      <c r="J3944" s="444">
        <f t="array" ref="J3944">IFERROR(INDEX('Retirement Calculator'!K:K,MATCH('Lorri 401b'!N3944,'Retirement Calculator'!A:A,0),0),0)</f>
        <v>0</v>
      </c>
      <c r="K3944" s="444">
        <f t="shared" ca="1" si="158"/>
        <v>-29785834492.089779</v>
      </c>
      <c r="L3944" s="444">
        <f t="shared" ca="1" si="159"/>
        <v>-7178386112593.6367</v>
      </c>
      <c r="M3944" s="460">
        <f t="shared" si="161"/>
        <v>0.05</v>
      </c>
      <c r="N3944" s="464">
        <f t="shared" si="162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60"/>
        <v>-7178386112593.6367</v>
      </c>
      <c r="J3945" s="444">
        <f t="array" ref="J3945">IFERROR(INDEX('Retirement Calculator'!K:K,MATCH('Lorri 401b'!N3945,'Retirement Calculator'!A:A,0),0),0)</f>
        <v>0</v>
      </c>
      <c r="K3945" s="444">
        <f t="shared" ca="1" si="158"/>
        <v>-29909942135.806816</v>
      </c>
      <c r="L3945" s="444">
        <f t="shared" ca="1" si="159"/>
        <v>-7208296054729.4434</v>
      </c>
      <c r="M3945" s="460">
        <f t="shared" si="161"/>
        <v>0.05</v>
      </c>
      <c r="N3945" s="464">
        <f t="shared" si="162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60"/>
        <v>-7208296054729.4434</v>
      </c>
      <c r="J3946" s="444">
        <f t="array" ref="J3946">IFERROR(INDEX('Retirement Calculator'!K:K,MATCH('Lorri 401b'!N3946,'Retirement Calculator'!A:A,0),0),0)</f>
        <v>0</v>
      </c>
      <c r="K3946" s="444">
        <f t="shared" ca="1" si="158"/>
        <v>-30034566894.706017</v>
      </c>
      <c r="L3946" s="444">
        <f t="shared" ca="1" si="159"/>
        <v>-7238330621624.1494</v>
      </c>
      <c r="M3946" s="460">
        <f t="shared" si="161"/>
        <v>0.05</v>
      </c>
      <c r="N3946" s="464">
        <f t="shared" si="162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60"/>
        <v>-7238330621624.1494</v>
      </c>
      <c r="J3947" s="444">
        <f t="array" ref="J3947">IFERROR(INDEX('Retirement Calculator'!K:K,MATCH('Lorri 401b'!N3947,'Retirement Calculator'!A:A,0),0),0)</f>
        <v>0</v>
      </c>
      <c r="K3947" s="444">
        <f t="shared" ca="1" si="158"/>
        <v>-30159710923.433956</v>
      </c>
      <c r="L3947" s="444">
        <f t="shared" ca="1" si="159"/>
        <v>-7268490332547.583</v>
      </c>
      <c r="M3947" s="460">
        <f t="shared" si="161"/>
        <v>0.05</v>
      </c>
      <c r="N3947" s="464">
        <f t="shared" si="162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60"/>
        <v>-7268490332547.583</v>
      </c>
      <c r="J3948" s="444">
        <f t="array" ref="J3948">IFERROR(INDEX('Retirement Calculator'!K:K,MATCH('Lorri 401b'!N3948,'Retirement Calculator'!A:A,0),0),0)</f>
        <v>0</v>
      </c>
      <c r="K3948" s="444">
        <f t="shared" ca="1" si="158"/>
        <v>-30285376385.614933</v>
      </c>
      <c r="L3948" s="444">
        <f t="shared" ca="1" si="159"/>
        <v>-7298775708933.1982</v>
      </c>
      <c r="M3948" s="460">
        <f t="shared" si="161"/>
        <v>0.05</v>
      </c>
      <c r="N3948" s="464">
        <f t="shared" si="162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60"/>
        <v>-7298775708933.1982</v>
      </c>
      <c r="J3949" s="444">
        <f t="array" ref="J3949">IFERROR(INDEX('Retirement Calculator'!K:K,MATCH('Lorri 401b'!N3949,'Retirement Calculator'!A:A,0),0),0)</f>
        <v>0</v>
      </c>
      <c r="K3949" s="444">
        <f t="shared" ca="1" si="158"/>
        <v>-30411565453.888329</v>
      </c>
      <c r="L3949" s="444">
        <f t="shared" ca="1" si="159"/>
        <v>-7329187274387.0869</v>
      </c>
      <c r="M3949" s="460">
        <f t="shared" si="161"/>
        <v>0.05</v>
      </c>
      <c r="N3949" s="464">
        <f t="shared" si="162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60"/>
        <v>-7329187274387.0869</v>
      </c>
      <c r="J3950" s="444">
        <f t="array" ref="J3950">IFERROR(INDEX('Retirement Calculator'!K:K,MATCH('Lorri 401b'!N3950,'Retirement Calculator'!A:A,0),0),0)</f>
        <v>0</v>
      </c>
      <c r="K3950" s="444">
        <f t="shared" ca="1" si="158"/>
        <v>-30538280309.946194</v>
      </c>
      <c r="L3950" s="444">
        <f t="shared" ca="1" si="159"/>
        <v>-7359725554697.0332</v>
      </c>
      <c r="M3950" s="460">
        <f t="shared" si="161"/>
        <v>0.05</v>
      </c>
      <c r="N3950" s="464">
        <f t="shared" si="162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60"/>
        <v>-7359725554697.0332</v>
      </c>
      <c r="J3951" s="444">
        <f t="array" ref="J3951">IFERROR(INDEX('Retirement Calculator'!K:K,MATCH('Lorri 401b'!N3951,'Retirement Calculator'!A:A,0),0),0)</f>
        <v>0</v>
      </c>
      <c r="K3951" s="444">
        <f t="shared" ca="1" si="158"/>
        <v>-30665523144.570972</v>
      </c>
      <c r="L3951" s="444">
        <f t="shared" ca="1" si="159"/>
        <v>-7390391077841.6045</v>
      </c>
      <c r="M3951" s="460">
        <f t="shared" si="161"/>
        <v>0.05</v>
      </c>
      <c r="N3951" s="464">
        <f t="shared" si="162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60"/>
        <v>-7390391077841.6045</v>
      </c>
      <c r="J3952" s="444">
        <f t="array" ref="J3952">IFERROR(INDEX('Retirement Calculator'!K:K,MATCH('Lorri 401b'!N3952,'Retirement Calculator'!A:A,0),0),0)</f>
        <v>0</v>
      </c>
      <c r="K3952" s="444">
        <f t="shared" ca="1" si="158"/>
        <v>-30793296157.673351</v>
      </c>
      <c r="L3952" s="444">
        <f t="shared" ca="1" si="159"/>
        <v>-7421184373999.2783</v>
      </c>
      <c r="M3952" s="460">
        <f t="shared" si="161"/>
        <v>0.05</v>
      </c>
      <c r="N3952" s="464">
        <f t="shared" si="162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60"/>
        <v>-7421184373999.2783</v>
      </c>
      <c r="J3953" s="444">
        <f t="array" ref="J3953">IFERROR(INDEX('Retirement Calculator'!K:K,MATCH('Lorri 401b'!N3953,'Retirement Calculator'!A:A,0),0),0)</f>
        <v>0</v>
      </c>
      <c r="K3953" s="444">
        <f t="shared" ca="1" si="158"/>
        <v>-30921601558.330322</v>
      </c>
      <c r="L3953" s="444">
        <f t="shared" ca="1" si="159"/>
        <v>-7452105975557.6084</v>
      </c>
      <c r="M3953" s="460">
        <f t="shared" si="161"/>
        <v>0.05</v>
      </c>
      <c r="N3953" s="464">
        <f t="shared" si="162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60"/>
        <v>-7452105975557.6084</v>
      </c>
      <c r="J3954" s="444">
        <f t="array" ref="J3954">IFERROR(INDEX('Retirement Calculator'!K:K,MATCH('Lorri 401b'!N3954,'Retirement Calculator'!A:A,0),0),0)</f>
        <v>0</v>
      </c>
      <c r="K3954" s="444">
        <f t="shared" ca="1" si="158"/>
        <v>-31050441564.823368</v>
      </c>
      <c r="L3954" s="444">
        <f t="shared" ca="1" si="159"/>
        <v>-7483156417122.4316</v>
      </c>
      <c r="M3954" s="460">
        <f t="shared" si="161"/>
        <v>0.05</v>
      </c>
      <c r="N3954" s="464">
        <f t="shared" si="162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60"/>
        <v>-7483156417122.4316</v>
      </c>
      <c r="J3955" s="444">
        <f t="array" ref="J3955">IFERROR(INDEX('Retirement Calculator'!K:K,MATCH('Lorri 401b'!N3955,'Retirement Calculator'!A:A,0),0),0)</f>
        <v>0</v>
      </c>
      <c r="K3955" s="444">
        <f t="shared" ca="1" si="158"/>
        <v>-31179818404.6768</v>
      </c>
      <c r="L3955" s="444">
        <f t="shared" ca="1" si="159"/>
        <v>-7514336235527.1084</v>
      </c>
      <c r="M3955" s="460">
        <f t="shared" si="161"/>
        <v>0.05</v>
      </c>
      <c r="N3955" s="464">
        <f t="shared" si="162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60"/>
        <v>-7514336235527.1084</v>
      </c>
      <c r="J3956" s="444">
        <f t="array" ref="J3956">IFERROR(INDEX('Retirement Calculator'!K:K,MATCH('Lorri 401b'!N3956,'Retirement Calculator'!A:A,0),0),0)</f>
        <v>0</v>
      </c>
      <c r="K3956" s="444">
        <f t="shared" ca="1" si="158"/>
        <v>-31309734314.696285</v>
      </c>
      <c r="L3956" s="444">
        <f t="shared" ca="1" si="159"/>
        <v>-7545645969841.8047</v>
      </c>
      <c r="M3956" s="460">
        <f t="shared" si="161"/>
        <v>0.05</v>
      </c>
      <c r="N3956" s="464">
        <f t="shared" si="162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60"/>
        <v>-7545645969841.8047</v>
      </c>
      <c r="J3957" s="444">
        <f t="array" ref="J3957">IFERROR(INDEX('Retirement Calculator'!K:K,MATCH('Lorri 401b'!N3957,'Retirement Calculator'!A:A,0),0),0)</f>
        <v>0</v>
      </c>
      <c r="K3957" s="444">
        <f t="shared" ca="1" si="158"/>
        <v>-31440191541.007523</v>
      </c>
      <c r="L3957" s="444">
        <f t="shared" ca="1" si="159"/>
        <v>-7577086161382.8125</v>
      </c>
      <c r="M3957" s="460">
        <f t="shared" si="161"/>
        <v>0.05</v>
      </c>
      <c r="N3957" s="464">
        <f t="shared" si="162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60"/>
        <v>-7577086161382.8125</v>
      </c>
      <c r="J3958" s="444">
        <f t="array" ref="J3958">IFERROR(INDEX('Retirement Calculator'!K:K,MATCH('Lorri 401b'!N3958,'Retirement Calculator'!A:A,0),0),0)</f>
        <v>0</v>
      </c>
      <c r="K3958" s="444">
        <f t="shared" ca="1" si="158"/>
        <v>-31571192339.095051</v>
      </c>
      <c r="L3958" s="444">
        <f t="shared" ca="1" si="159"/>
        <v>-7608657353721.9072</v>
      </c>
      <c r="M3958" s="460">
        <f t="shared" si="161"/>
        <v>0.05</v>
      </c>
      <c r="N3958" s="464">
        <f t="shared" si="162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60"/>
        <v>-7608657353721.9072</v>
      </c>
      <c r="J3959" s="444">
        <f t="array" ref="J3959">IFERROR(INDEX('Retirement Calculator'!K:K,MATCH('Lorri 401b'!N3959,'Retirement Calculator'!A:A,0),0),0)</f>
        <v>0</v>
      </c>
      <c r="K3959" s="444">
        <f t="shared" ca="1" si="158"/>
        <v>-31702738973.841278</v>
      </c>
      <c r="L3959" s="444">
        <f t="shared" ca="1" si="159"/>
        <v>-7640360092695.748</v>
      </c>
      <c r="M3959" s="460">
        <f t="shared" si="161"/>
        <v>0.05</v>
      </c>
      <c r="N3959" s="464">
        <f t="shared" si="162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60"/>
        <v>-7640360092695.748</v>
      </c>
      <c r="J3960" s="444">
        <f t="array" ref="J3960">IFERROR(INDEX('Retirement Calculator'!K:K,MATCH('Lorri 401b'!N3960,'Retirement Calculator'!A:A,0),0),0)</f>
        <v>0</v>
      </c>
      <c r="K3960" s="444">
        <f t="shared" ca="1" si="158"/>
        <v>-31834833719.565617</v>
      </c>
      <c r="L3960" s="444">
        <f t="shared" ca="1" si="159"/>
        <v>-7672194926415.3135</v>
      </c>
      <c r="M3960" s="460">
        <f t="shared" si="161"/>
        <v>0.05</v>
      </c>
      <c r="N3960" s="464">
        <f t="shared" si="162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60"/>
        <v>-7672194926415.3135</v>
      </c>
      <c r="J3961" s="444">
        <f t="array" ref="J3961">IFERROR(INDEX('Retirement Calculator'!K:K,MATCH('Lorri 401b'!N3961,'Retirement Calculator'!A:A,0),0),0)</f>
        <v>0</v>
      </c>
      <c r="K3961" s="444">
        <f t="shared" ca="1" si="158"/>
        <v>-31967478860.063805</v>
      </c>
      <c r="L3961" s="444">
        <f t="shared" ca="1" si="159"/>
        <v>-7704162405275.377</v>
      </c>
      <c r="M3961" s="460">
        <f t="shared" si="161"/>
        <v>0.05</v>
      </c>
      <c r="N3961" s="464">
        <f t="shared" si="162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60"/>
        <v>-7704162405275.377</v>
      </c>
      <c r="J3962" s="444">
        <f t="array" ref="J3962">IFERROR(INDEX('Retirement Calculator'!K:K,MATCH('Lorri 401b'!N3962,'Retirement Calculator'!A:A,0),0),0)</f>
        <v>0</v>
      </c>
      <c r="K3962" s="444">
        <f t="shared" ca="1" si="158"/>
        <v>-32100676688.647404</v>
      </c>
      <c r="L3962" s="444">
        <f t="shared" ca="1" si="159"/>
        <v>-7736263081964.0244</v>
      </c>
      <c r="M3962" s="460">
        <f t="shared" si="161"/>
        <v>0.05</v>
      </c>
      <c r="N3962" s="464">
        <f t="shared" si="162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60"/>
        <v>-7736263081964.0244</v>
      </c>
      <c r="J3963" s="444">
        <f t="array" ref="J3963">IFERROR(INDEX('Retirement Calculator'!K:K,MATCH('Lorri 401b'!N3963,'Retirement Calculator'!A:A,0),0),0)</f>
        <v>0</v>
      </c>
      <c r="K3963" s="444">
        <f t="shared" ca="1" si="158"/>
        <v>-32234429508.183434</v>
      </c>
      <c r="L3963" s="444">
        <f t="shared" ca="1" si="159"/>
        <v>-7768497511472.208</v>
      </c>
      <c r="M3963" s="460">
        <f t="shared" si="161"/>
        <v>0.05</v>
      </c>
      <c r="N3963" s="464">
        <f t="shared" si="162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60"/>
        <v>-7768497511472.208</v>
      </c>
      <c r="J3964" s="444">
        <f t="array" ref="J3964">IFERROR(INDEX('Retirement Calculator'!K:K,MATCH('Lorri 401b'!N3964,'Retirement Calculator'!A:A,0),0),0)</f>
        <v>0</v>
      </c>
      <c r="K3964" s="444">
        <f t="shared" ca="1" si="158"/>
        <v>-32368739631.134201</v>
      </c>
      <c r="L3964" s="444">
        <f t="shared" ca="1" si="159"/>
        <v>-7800866251103.3418</v>
      </c>
      <c r="M3964" s="460">
        <f t="shared" si="161"/>
        <v>0.05</v>
      </c>
      <c r="N3964" s="464">
        <f t="shared" si="162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60"/>
        <v>-7800866251103.3418</v>
      </c>
      <c r="J3965" s="444">
        <f t="array" ref="J3965">IFERROR(INDEX('Retirement Calculator'!K:K,MATCH('Lorri 401b'!N3965,'Retirement Calculator'!A:A,0),0),0)</f>
        <v>0</v>
      </c>
      <c r="K3965" s="444">
        <f t="shared" ca="1" si="158"/>
        <v>-32503609379.597252</v>
      </c>
      <c r="L3965" s="444">
        <f t="shared" ca="1" si="159"/>
        <v>-7833369860482.9395</v>
      </c>
      <c r="M3965" s="460">
        <f t="shared" si="161"/>
        <v>0.05</v>
      </c>
      <c r="N3965" s="464">
        <f t="shared" si="162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60"/>
        <v>-7833369860482.9395</v>
      </c>
      <c r="J3966" s="444">
        <f t="array" ref="J3966">IFERROR(INDEX('Retirement Calculator'!K:K,MATCH('Lorri 401b'!N3966,'Retirement Calculator'!A:A,0),0),0)</f>
        <v>0</v>
      </c>
      <c r="K3966" s="444">
        <f t="shared" ca="1" si="158"/>
        <v>-32639041085.345581</v>
      </c>
      <c r="L3966" s="444">
        <f t="shared" ca="1" si="159"/>
        <v>-7866008901568.2852</v>
      </c>
      <c r="M3966" s="460">
        <f t="shared" si="161"/>
        <v>0.05</v>
      </c>
      <c r="N3966" s="464">
        <f t="shared" si="162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60"/>
        <v>-7866008901568.2852</v>
      </c>
      <c r="J3967" s="444">
        <f t="array" ref="J3967">IFERROR(INDEX('Retirement Calculator'!K:K,MATCH('Lorri 401b'!N3967,'Retirement Calculator'!A:A,0),0),0)</f>
        <v>0</v>
      </c>
      <c r="K3967" s="444">
        <f t="shared" ca="1" si="158"/>
        <v>-32775037089.867859</v>
      </c>
      <c r="L3967" s="444">
        <f t="shared" ca="1" si="159"/>
        <v>-7898783938658.1533</v>
      </c>
      <c r="M3967" s="460">
        <f t="shared" si="161"/>
        <v>0.05</v>
      </c>
      <c r="N3967" s="464">
        <f t="shared" si="162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60"/>
        <v>-7898783938658.1533</v>
      </c>
      <c r="J3968" s="444">
        <f t="array" ref="J3968">IFERROR(INDEX('Retirement Calculator'!K:K,MATCH('Lorri 401b'!N3968,'Retirement Calculator'!A:A,0),0),0)</f>
        <v>0</v>
      </c>
      <c r="K3968" s="444">
        <f t="shared" ca="1" si="158"/>
        <v>-32911599744.408978</v>
      </c>
      <c r="L3968" s="444">
        <f t="shared" ca="1" si="159"/>
        <v>-7931695538402.5625</v>
      </c>
      <c r="M3968" s="460">
        <f t="shared" si="161"/>
        <v>0.05</v>
      </c>
      <c r="N3968" s="464">
        <f t="shared" si="162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60"/>
        <v>-7931695538402.5625</v>
      </c>
      <c r="J3969" s="444">
        <f t="array" ref="J3969">IFERROR(INDEX('Retirement Calculator'!K:K,MATCH('Lorri 401b'!N3969,'Retirement Calculator'!A:A,0),0),0)</f>
        <v>0</v>
      </c>
      <c r="K3969" s="444">
        <f t="shared" ca="1" si="158"/>
        <v>-33048731410.010681</v>
      </c>
      <c r="L3969" s="444">
        <f t="shared" ca="1" si="159"/>
        <v>-7964744269812.5732</v>
      </c>
      <c r="M3969" s="460">
        <f t="shared" si="161"/>
        <v>0.05</v>
      </c>
      <c r="N3969" s="464">
        <f t="shared" si="162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60"/>
        <v>-7964744269812.5732</v>
      </c>
      <c r="J3970" s="444">
        <f t="array" ref="J3970">IFERROR(INDEX('Retirement Calculator'!K:K,MATCH('Lorri 401b'!N3970,'Retirement Calculator'!A:A,0),0),0)</f>
        <v>0</v>
      </c>
      <c r="K3970" s="444">
        <f t="shared" ca="1" si="158"/>
        <v>-33186434457.552383</v>
      </c>
      <c r="L3970" s="444">
        <f t="shared" ca="1" si="159"/>
        <v>-7997930704270.126</v>
      </c>
      <c r="M3970" s="460">
        <f t="shared" si="161"/>
        <v>0.05</v>
      </c>
      <c r="N3970" s="464">
        <f t="shared" si="162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60"/>
        <v>-7997930704270.126</v>
      </c>
      <c r="J3971" s="444">
        <f t="array" ref="J3971">IFERROR(INDEX('Retirement Calculator'!K:K,MATCH('Lorri 401b'!N3971,'Retirement Calculator'!A:A,0),0),0)</f>
        <v>0</v>
      </c>
      <c r="K3971" s="444">
        <f t="shared" ca="1" si="158"/>
        <v>-33324711267.792194</v>
      </c>
      <c r="L3971" s="444">
        <f t="shared" ca="1" si="159"/>
        <v>-8031255415537.918</v>
      </c>
      <c r="M3971" s="460">
        <f t="shared" si="161"/>
        <v>0.05</v>
      </c>
      <c r="N3971" s="464">
        <f t="shared" si="162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60"/>
        <v>-8031255415537.918</v>
      </c>
      <c r="J3972" s="444">
        <f t="array" ref="J3972">IFERROR(INDEX('Retirement Calculator'!K:K,MATCH('Lorri 401b'!N3972,'Retirement Calculator'!A:A,0),0),0)</f>
        <v>0</v>
      </c>
      <c r="K3972" s="444">
        <f t="shared" ca="1" si="158"/>
        <v>-33463564231.407993</v>
      </c>
      <c r="L3972" s="444">
        <f t="shared" ca="1" si="159"/>
        <v>-8064718979769.3262</v>
      </c>
      <c r="M3972" s="460">
        <f t="shared" si="161"/>
        <v>0.05</v>
      </c>
      <c r="N3972" s="464">
        <f t="shared" si="162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60"/>
        <v>-8064718979769.3262</v>
      </c>
      <c r="J3973" s="444">
        <f t="array" ref="J3973">IFERROR(INDEX('Retirement Calculator'!K:K,MATCH('Lorri 401b'!N3973,'Retirement Calculator'!A:A,0),0),0)</f>
        <v>0</v>
      </c>
      <c r="K3973" s="444">
        <f t="shared" ca="1" si="158"/>
        <v>-33602995749.03886</v>
      </c>
      <c r="L3973" s="444">
        <f t="shared" ca="1" si="159"/>
        <v>-8098321975518.3652</v>
      </c>
      <c r="M3973" s="460">
        <f t="shared" si="161"/>
        <v>0.05</v>
      </c>
      <c r="N3973" s="464">
        <f t="shared" si="162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60"/>
        <v>-8098321975518.3652</v>
      </c>
      <c r="J3974" s="444">
        <f t="array" ref="J3974">IFERROR(INDEX('Retirement Calculator'!K:K,MATCH('Lorri 401b'!N3974,'Retirement Calculator'!A:A,0),0),0)</f>
        <v>0</v>
      </c>
      <c r="K3974" s="444">
        <f t="shared" ca="1" si="158"/>
        <v>-33743008231.326527</v>
      </c>
      <c r="L3974" s="444">
        <f t="shared" ca="1" si="159"/>
        <v>-8132064983749.6914</v>
      </c>
      <c r="M3974" s="460">
        <f t="shared" si="161"/>
        <v>0.05</v>
      </c>
      <c r="N3974" s="464">
        <f t="shared" si="162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60"/>
        <v>-8132064983749.6914</v>
      </c>
      <c r="J3975" s="444">
        <f t="array" ref="J3975">IFERROR(INDEX('Retirement Calculator'!K:K,MATCH('Lorri 401b'!N3975,'Retirement Calculator'!A:A,0),0),0)</f>
        <v>0</v>
      </c>
      <c r="K3975" s="444">
        <f t="shared" ca="1" si="158"/>
        <v>-33883604098.957047</v>
      </c>
      <c r="L3975" s="444">
        <f t="shared" ca="1" si="159"/>
        <v>-8165948587848.6484</v>
      </c>
      <c r="M3975" s="460">
        <f t="shared" si="161"/>
        <v>0.05</v>
      </c>
      <c r="N3975" s="464">
        <f t="shared" si="162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60"/>
        <v>-8165948587848.6484</v>
      </c>
      <c r="J3976" s="444">
        <f t="array" ref="J3976">IFERROR(INDEX('Retirement Calculator'!K:K,MATCH('Lorri 401b'!N3976,'Retirement Calculator'!A:A,0),0),0)</f>
        <v>0</v>
      </c>
      <c r="K3976" s="444">
        <f t="shared" ca="1" si="158"/>
        <v>-34024785782.702698</v>
      </c>
      <c r="L3976" s="444">
        <f t="shared" ca="1" si="159"/>
        <v>-8199973373631.3516</v>
      </c>
      <c r="M3976" s="460">
        <f t="shared" si="161"/>
        <v>0.05</v>
      </c>
      <c r="N3976" s="464">
        <f t="shared" si="162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60"/>
        <v>-8199973373631.3516</v>
      </c>
      <c r="J3977" s="444">
        <f t="array" ref="J3977">IFERROR(INDEX('Retirement Calculator'!K:K,MATCH('Lorri 401b'!N3977,'Retirement Calculator'!A:A,0),0),0)</f>
        <v>0</v>
      </c>
      <c r="K3977" s="444">
        <f t="shared" ca="1" si="158"/>
        <v>-34166555723.463963</v>
      </c>
      <c r="L3977" s="444">
        <f t="shared" ca="1" si="159"/>
        <v>-8234139929354.8154</v>
      </c>
      <c r="M3977" s="460">
        <f t="shared" si="161"/>
        <v>0.05</v>
      </c>
      <c r="N3977" s="464">
        <f t="shared" si="162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60"/>
        <v>-8234139929354.8154</v>
      </c>
      <c r="J3978" s="444">
        <f t="array" ref="J3978">IFERROR(INDEX('Retirement Calculator'!K:K,MATCH('Lorri 401b'!N3978,'Retirement Calculator'!A:A,0),0),0)</f>
        <v>0</v>
      </c>
      <c r="K3978" s="444">
        <f t="shared" ca="1" si="158"/>
        <v>-34308916372.311733</v>
      </c>
      <c r="L3978" s="444">
        <f t="shared" ca="1" si="159"/>
        <v>-8268448845727.127</v>
      </c>
      <c r="M3978" s="460">
        <f t="shared" si="161"/>
        <v>0.05</v>
      </c>
      <c r="N3978" s="464">
        <f t="shared" si="162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60"/>
        <v>-8268448845727.127</v>
      </c>
      <c r="J3979" s="444">
        <f t="array" ref="J3979">IFERROR(INDEX('Retirement Calculator'!K:K,MATCH('Lorri 401b'!N3979,'Retirement Calculator'!A:A,0),0),0)</f>
        <v>0</v>
      </c>
      <c r="K3979" s="444">
        <f t="shared" ca="1" si="158"/>
        <v>-34451870190.529694</v>
      </c>
      <c r="L3979" s="444">
        <f t="shared" ca="1" si="159"/>
        <v>-8302900715917.6563</v>
      </c>
      <c r="M3979" s="460">
        <f t="shared" si="161"/>
        <v>0.05</v>
      </c>
      <c r="N3979" s="464">
        <f t="shared" si="162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60"/>
        <v>-8302900715917.6563</v>
      </c>
      <c r="J3980" s="444">
        <f t="array" ref="J3980">IFERROR(INDEX('Retirement Calculator'!K:K,MATCH('Lorri 401b'!N3980,'Retirement Calculator'!A:A,0),0),0)</f>
        <v>0</v>
      </c>
      <c r="K3980" s="444">
        <f t="shared" ca="1" si="158"/>
        <v>-34595419649.656898</v>
      </c>
      <c r="L3980" s="444">
        <f t="shared" ca="1" si="159"/>
        <v>-8337496135567.3135</v>
      </c>
      <c r="M3980" s="460">
        <f t="shared" si="161"/>
        <v>0.05</v>
      </c>
      <c r="N3980" s="464">
        <f t="shared" si="162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60"/>
        <v>-8337496135567.3135</v>
      </c>
      <c r="J3981" s="444">
        <f t="array" ref="J3981">IFERROR(INDEX('Retirement Calculator'!K:K,MATCH('Lorri 401b'!N3981,'Retirement Calculator'!A:A,0),0),0)</f>
        <v>0</v>
      </c>
      <c r="K3981" s="444">
        <f t="shared" ca="1" si="158"/>
        <v>-34739567231.530472</v>
      </c>
      <c r="L3981" s="444">
        <f t="shared" ca="1" si="159"/>
        <v>-8372235702798.8438</v>
      </c>
      <c r="M3981" s="460">
        <f t="shared" si="161"/>
        <v>0.05</v>
      </c>
      <c r="N3981" s="464">
        <f t="shared" si="162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60"/>
        <v>-8372235702798.8438</v>
      </c>
      <c r="J3982" s="444">
        <f t="array" ref="J3982">IFERROR(INDEX('Retirement Calculator'!K:K,MATCH('Lorri 401b'!N3982,'Retirement Calculator'!A:A,0),0),0)</f>
        <v>0</v>
      </c>
      <c r="K3982" s="444">
        <f t="shared" ca="1" si="158"/>
        <v>-34884315428.328514</v>
      </c>
      <c r="L3982" s="444">
        <f t="shared" ca="1" si="159"/>
        <v>-8407120018227.1719</v>
      </c>
      <c r="M3982" s="460">
        <f t="shared" si="161"/>
        <v>0.05</v>
      </c>
      <c r="N3982" s="464">
        <f t="shared" si="162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60"/>
        <v>-8407120018227.1719</v>
      </c>
      <c r="J3983" s="444">
        <f t="array" ref="J3983">IFERROR(INDEX('Retirement Calculator'!K:K,MATCH('Lorri 401b'!N3983,'Retirement Calculator'!A:A,0),0),0)</f>
        <v>0</v>
      </c>
      <c r="K3983" s="444">
        <f t="shared" ca="1" si="158"/>
        <v>-35029666742.61322</v>
      </c>
      <c r="L3983" s="444">
        <f t="shared" ca="1" si="159"/>
        <v>-8442149684969.7852</v>
      </c>
      <c r="M3983" s="460">
        <f t="shared" si="161"/>
        <v>0.05</v>
      </c>
      <c r="N3983" s="464">
        <f t="shared" si="162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60"/>
        <v>-8442149684969.7852</v>
      </c>
      <c r="J3984" s="444">
        <f t="array" ref="J3984">IFERROR(INDEX('Retirement Calculator'!K:K,MATCH('Lorri 401b'!N3984,'Retirement Calculator'!A:A,0),0),0)</f>
        <v>0</v>
      </c>
      <c r="K3984" s="444">
        <f t="shared" ca="1" si="158"/>
        <v>-35175623687.374107</v>
      </c>
      <c r="L3984" s="444">
        <f t="shared" ca="1" si="159"/>
        <v>-8477325308657.1592</v>
      </c>
      <c r="M3984" s="460">
        <f t="shared" si="161"/>
        <v>0.05</v>
      </c>
      <c r="N3984" s="464">
        <f t="shared" si="162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60"/>
        <v>-8477325308657.1592</v>
      </c>
      <c r="J3985" s="444">
        <f t="array" ref="J3985">IFERROR(INDEX('Retirement Calculator'!K:K,MATCH('Lorri 401b'!N3985,'Retirement Calculator'!A:A,0),0),0)</f>
        <v>0</v>
      </c>
      <c r="K3985" s="444">
        <f t="shared" ca="1" si="158"/>
        <v>-35322188786.071503</v>
      </c>
      <c r="L3985" s="444">
        <f t="shared" ca="1" si="159"/>
        <v>-8512647497443.2305</v>
      </c>
      <c r="M3985" s="460">
        <f t="shared" si="161"/>
        <v>0.05</v>
      </c>
      <c r="N3985" s="464">
        <f t="shared" si="162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60"/>
        <v>-8512647497443.2305</v>
      </c>
      <c r="J3986" s="444">
        <f t="array" ref="J3986">IFERROR(INDEX('Retirement Calculator'!K:K,MATCH('Lorri 401b'!N3986,'Retirement Calculator'!A:A,0),0),0)</f>
        <v>0</v>
      </c>
      <c r="K3986" s="444">
        <f t="shared" ca="1" si="158"/>
        <v>-35469364572.680122</v>
      </c>
      <c r="L3986" s="444">
        <f t="shared" ca="1" si="159"/>
        <v>-8548116862015.9102</v>
      </c>
      <c r="M3986" s="460">
        <f t="shared" si="161"/>
        <v>0.05</v>
      </c>
      <c r="N3986" s="464">
        <f t="shared" si="162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60"/>
        <v>-8548116862015.9102</v>
      </c>
      <c r="J3987" s="444">
        <f t="array" ref="J3987">IFERROR(INDEX('Retirement Calculator'!K:K,MATCH('Lorri 401b'!N3987,'Retirement Calculator'!A:A,0),0),0)</f>
        <v>0</v>
      </c>
      <c r="K3987" s="444">
        <f t="shared" ca="1" si="158"/>
        <v>-35617153591.732956</v>
      </c>
      <c r="L3987" s="444">
        <f t="shared" ca="1" si="159"/>
        <v>-8583734015607.6436</v>
      </c>
      <c r="M3987" s="460">
        <f t="shared" si="161"/>
        <v>0.05</v>
      </c>
      <c r="N3987" s="464">
        <f t="shared" si="162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60"/>
        <v>-8583734015607.6436</v>
      </c>
      <c r="J3988" s="444">
        <f t="array" ref="J3988">IFERROR(INDEX('Retirement Calculator'!K:K,MATCH('Lorri 401b'!N3988,'Retirement Calculator'!A:A,0),0),0)</f>
        <v>0</v>
      </c>
      <c r="K3988" s="444">
        <f t="shared" ca="1" si="158"/>
        <v>-35765558398.365189</v>
      </c>
      <c r="L3988" s="444">
        <f t="shared" ca="1" si="159"/>
        <v>-8619499574006.0088</v>
      </c>
      <c r="M3988" s="460">
        <f t="shared" si="161"/>
        <v>0.05</v>
      </c>
      <c r="N3988" s="464">
        <f t="shared" si="162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60"/>
        <v>-8619499574006.0088</v>
      </c>
      <c r="J3989" s="444">
        <f t="array" ref="J3989">IFERROR(INDEX('Retirement Calculator'!K:K,MATCH('Lorri 401b'!N3989,'Retirement Calculator'!A:A,0),0),0)</f>
        <v>0</v>
      </c>
      <c r="K3989" s="444">
        <f t="shared" ca="1" si="158"/>
        <v>-35914581558.358368</v>
      </c>
      <c r="L3989" s="444">
        <f t="shared" ca="1" si="159"/>
        <v>-8655414155564.3672</v>
      </c>
      <c r="M3989" s="460">
        <f t="shared" si="161"/>
        <v>0.05</v>
      </c>
      <c r="N3989" s="464">
        <f t="shared" si="162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60"/>
        <v>-8655414155564.3672</v>
      </c>
      <c r="J3990" s="444">
        <f t="array" ref="J3990">IFERROR(INDEX('Retirement Calculator'!K:K,MATCH('Lorri 401b'!N3990,'Retirement Calculator'!A:A,0),0),0)</f>
        <v>0</v>
      </c>
      <c r="K3990" s="444">
        <f t="shared" ca="1" si="158"/>
        <v>-36064225648.18486</v>
      </c>
      <c r="L3990" s="444">
        <f t="shared" ca="1" si="159"/>
        <v>-8691478381212.5518</v>
      </c>
      <c r="M3990" s="460">
        <f t="shared" si="161"/>
        <v>0.05</v>
      </c>
      <c r="N3990" s="464">
        <f t="shared" si="162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60"/>
        <v>-8691478381212.5518</v>
      </c>
      <c r="J3991" s="444">
        <f t="array" ref="J3991">IFERROR(INDEX('Retirement Calculator'!K:K,MATCH('Lorri 401b'!N3991,'Retirement Calculator'!A:A,0),0),0)</f>
        <v>0</v>
      </c>
      <c r="K3991" s="444">
        <f t="shared" ca="1" si="158"/>
        <v>-36214493255.052292</v>
      </c>
      <c r="L3991" s="444">
        <f t="shared" ca="1" si="159"/>
        <v>-8727692874467.6045</v>
      </c>
      <c r="M3991" s="460">
        <f t="shared" si="161"/>
        <v>0.05</v>
      </c>
      <c r="N3991" s="464">
        <f t="shared" si="162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60"/>
        <v>-8727692874467.6045</v>
      </c>
      <c r="J3992" s="444">
        <f t="array" ref="J3992">IFERROR(INDEX('Retirement Calculator'!K:K,MATCH('Lorri 401b'!N3992,'Retirement Calculator'!A:A,0),0),0)</f>
        <v>0</v>
      </c>
      <c r="K3992" s="444">
        <f t="shared" ca="1" si="158"/>
        <v>-36365386976.948349</v>
      </c>
      <c r="L3992" s="444">
        <f t="shared" ca="1" si="159"/>
        <v>-8764058261444.5527</v>
      </c>
      <c r="M3992" s="460">
        <f t="shared" si="161"/>
        <v>0.05</v>
      </c>
      <c r="N3992" s="464">
        <f t="shared" si="162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60"/>
        <v>-8764058261444.5527</v>
      </c>
      <c r="J3993" s="444">
        <f t="array" ref="J3993">IFERROR(INDEX('Retirement Calculator'!K:K,MATCH('Lorri 401b'!N3993,'Retirement Calculator'!A:A,0),0),0)</f>
        <v>0</v>
      </c>
      <c r="K3993" s="444">
        <f t="shared" ca="1" si="158"/>
        <v>-36516909422.685638</v>
      </c>
      <c r="L3993" s="444">
        <f t="shared" ca="1" si="159"/>
        <v>-8800575170867.2383</v>
      </c>
      <c r="M3993" s="460">
        <f t="shared" si="161"/>
        <v>0.05</v>
      </c>
      <c r="N3993" s="464">
        <f t="shared" si="162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60"/>
        <v>-8800575170867.2383</v>
      </c>
      <c r="J3994" s="444">
        <f t="array" ref="J3994">IFERROR(INDEX('Retirement Calculator'!K:K,MATCH('Lorri 401b'!N3994,'Retirement Calculator'!A:A,0),0),0)</f>
        <v>0</v>
      </c>
      <c r="K3994" s="444">
        <f t="shared" ca="1" si="158"/>
        <v>-36669063211.946823</v>
      </c>
      <c r="L3994" s="444">
        <f t="shared" ca="1" si="159"/>
        <v>-8837244234079.1855</v>
      </c>
      <c r="M3994" s="460">
        <f t="shared" si="161"/>
        <v>0.05</v>
      </c>
      <c r="N3994" s="464">
        <f t="shared" si="162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60"/>
        <v>-8837244234079.1855</v>
      </c>
      <c r="J3995" s="444">
        <f t="array" ref="J3995">IFERROR(INDEX('Retirement Calculator'!K:K,MATCH('Lorri 401b'!N3995,'Retirement Calculator'!A:A,0),0),0)</f>
        <v>0</v>
      </c>
      <c r="K3995" s="444">
        <f t="shared" ca="1" si="158"/>
        <v>-36821850975.329941</v>
      </c>
      <c r="L3995" s="444">
        <f t="shared" ca="1" si="159"/>
        <v>-8874066085054.5156</v>
      </c>
      <c r="M3995" s="460">
        <f t="shared" si="161"/>
        <v>0.05</v>
      </c>
      <c r="N3995" s="464">
        <f t="shared" si="162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60"/>
        <v>-8874066085054.5156</v>
      </c>
      <c r="J3996" s="444">
        <f t="array" ref="J3996">IFERROR(INDEX('Retirement Calculator'!K:K,MATCH('Lorri 401b'!N3996,'Retirement Calculator'!A:A,0),0),0)</f>
        <v>0</v>
      </c>
      <c r="K3996" s="444">
        <f t="shared" ca="1" si="158"/>
        <v>-36975275354.393814</v>
      </c>
      <c r="L3996" s="444">
        <f t="shared" ca="1" si="159"/>
        <v>-8911041360408.9102</v>
      </c>
      <c r="M3996" s="460">
        <f t="shared" si="161"/>
        <v>0.05</v>
      </c>
      <c r="N3996" s="464">
        <f t="shared" si="162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60"/>
        <v>-8911041360408.9102</v>
      </c>
      <c r="J3997" s="444">
        <f t="array" ref="J3997">IFERROR(INDEX('Retirement Calculator'!K:K,MATCH('Lorri 401b'!N3997,'Retirement Calculator'!A:A,0),0),0)</f>
        <v>0</v>
      </c>
      <c r="K3997" s="444">
        <f t="shared" ca="1" si="158"/>
        <v>-37129339001.703789</v>
      </c>
      <c r="L3997" s="444">
        <f t="shared" ca="1" si="159"/>
        <v>-8948170699410.6133</v>
      </c>
      <c r="M3997" s="460">
        <f t="shared" si="161"/>
        <v>0.05</v>
      </c>
      <c r="N3997" s="464">
        <f t="shared" si="162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60"/>
        <v>-8948170699410.6133</v>
      </c>
      <c r="J3998" s="444">
        <f t="array" ref="J3998">IFERROR(INDEX('Retirement Calculator'!K:K,MATCH('Lorri 401b'!N3998,'Retirement Calculator'!A:A,0),0),0)</f>
        <v>0</v>
      </c>
      <c r="K3998" s="444">
        <f t="shared" ca="1" si="158"/>
        <v>-37284044580.877556</v>
      </c>
      <c r="L3998" s="444">
        <f t="shared" ca="1" si="159"/>
        <v>-8985454743991.4902</v>
      </c>
      <c r="M3998" s="460">
        <f t="shared" si="161"/>
        <v>0.05</v>
      </c>
      <c r="N3998" s="464">
        <f t="shared" si="162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60"/>
        <v>-8985454743991.4902</v>
      </c>
      <c r="J3999" s="444">
        <f t="array" ref="J3999">IFERROR(INDEX('Retirement Calculator'!K:K,MATCH('Lorri 401b'!N3999,'Retirement Calculator'!A:A,0),0),0)</f>
        <v>0</v>
      </c>
      <c r="K3999" s="444">
        <f t="shared" ca="1" si="158"/>
        <v>-37439394766.63121</v>
      </c>
      <c r="L3999" s="444">
        <f t="shared" ca="1" si="159"/>
        <v>-9022894138758.1211</v>
      </c>
      <c r="M3999" s="460">
        <f t="shared" si="161"/>
        <v>0.05</v>
      </c>
      <c r="N3999" s="464">
        <f t="shared" si="162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60"/>
        <v>-9022894138758.1211</v>
      </c>
      <c r="J4000" s="444">
        <f t="array" ref="J4000">IFERROR(INDEX('Retirement Calculator'!K:K,MATCH('Lorri 401b'!N4000,'Retirement Calculator'!A:A,0),0),0)</f>
        <v>0</v>
      </c>
      <c r="K4000" s="444">
        <f t="shared" ca="1" si="158"/>
        <v>-37595392244.8255</v>
      </c>
      <c r="L4000" s="444">
        <f t="shared" ca="1" si="159"/>
        <v>-9060489531002.9473</v>
      </c>
      <c r="M4000" s="460">
        <f t="shared" si="161"/>
        <v>0.05</v>
      </c>
      <c r="N4000" s="464">
        <f t="shared" si="162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60"/>
        <v>-9060489531002.9473</v>
      </c>
      <c r="J4001" s="444">
        <f t="array" ref="J4001">IFERROR(INDEX('Retirement Calculator'!K:K,MATCH('Lorri 401b'!N4001,'Retirement Calculator'!A:A,0),0),0)</f>
        <v>0</v>
      </c>
      <c r="K4001" s="444">
        <f t="shared" ca="1" si="158"/>
        <v>-37752039712.512283</v>
      </c>
      <c r="L4001" s="444">
        <f t="shared" ca="1" si="159"/>
        <v>-9098241570715.459</v>
      </c>
      <c r="M4001" s="460">
        <f t="shared" si="161"/>
        <v>0.05</v>
      </c>
      <c r="N4001" s="464">
        <f t="shared" si="162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60"/>
        <v>-9098241570715.459</v>
      </c>
      <c r="J4002" s="444">
        <f t="array" ref="J4002">IFERROR(INDEX('Retirement Calculator'!K:K,MATCH('Lorri 401b'!N4002,'Retirement Calculator'!A:A,0),0),0)</f>
        <v>0</v>
      </c>
      <c r="K4002" s="444">
        <f t="shared" ca="1" si="158"/>
        <v>-37909339877.981079</v>
      </c>
      <c r="L4002" s="444">
        <f t="shared" ca="1" si="159"/>
        <v>-9136150910593.4395</v>
      </c>
      <c r="M4002" s="460">
        <f t="shared" si="161"/>
        <v>0.05</v>
      </c>
      <c r="N4002" s="464">
        <f t="shared" si="162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60"/>
        <v>-9136150910593.4395</v>
      </c>
      <c r="J4003" s="444">
        <f t="array" ref="J4003">IFERROR(INDEX('Retirement Calculator'!K:K,MATCH('Lorri 401b'!N4003,'Retirement Calculator'!A:A,0),0),0)</f>
        <v>0</v>
      </c>
      <c r="K4003" s="444">
        <f t="shared" ca="1" si="158"/>
        <v>-38067295460.806</v>
      </c>
      <c r="L4003" s="444">
        <f t="shared" ca="1" si="159"/>
        <v>-9174218206054.2461</v>
      </c>
      <c r="M4003" s="460">
        <f t="shared" si="161"/>
        <v>0.05</v>
      </c>
      <c r="N4003" s="464">
        <f t="shared" si="162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60"/>
        <v>-9174218206054.2461</v>
      </c>
      <c r="J4004" s="444">
        <f t="array" ref="J4004">IFERROR(INDEX('Retirement Calculator'!K:K,MATCH('Lorri 401b'!N4004,'Retirement Calculator'!A:A,0),0),0)</f>
        <v>0</v>
      </c>
      <c r="K4004" s="444">
        <f t="shared" ca="1" si="158"/>
        <v>-38225909191.892693</v>
      </c>
      <c r="L4004" s="444">
        <f t="shared" ca="1" si="159"/>
        <v>-9212444115246.1387</v>
      </c>
      <c r="M4004" s="460">
        <f t="shared" si="161"/>
        <v>0.05</v>
      </c>
      <c r="N4004" s="464">
        <f t="shared" si="162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60"/>
        <v>-9212444115246.1387</v>
      </c>
      <c r="J4005" s="444">
        <f t="array" ref="J4005">IFERROR(INDEX('Retirement Calculator'!K:K,MATCH('Lorri 401b'!N4005,'Retirement Calculator'!A:A,0),0),0)</f>
        <v>0</v>
      </c>
      <c r="K4005" s="444">
        <f t="shared" ca="1" si="158"/>
        <v>-38385183813.525574</v>
      </c>
      <c r="L4005" s="444">
        <f t="shared" ca="1" si="159"/>
        <v>-9250829299059.6641</v>
      </c>
      <c r="M4005" s="460">
        <f t="shared" si="161"/>
        <v>0.05</v>
      </c>
      <c r="N4005" s="464">
        <f t="shared" si="162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60"/>
        <v>-9250829299059.6641</v>
      </c>
      <c r="J4006" s="444">
        <f t="array" ref="J4006">IFERROR(INDEX('Retirement Calculator'!K:K,MATCH('Lorri 401b'!N4006,'Retirement Calculator'!A:A,0),0),0)</f>
        <v>0</v>
      </c>
      <c r="K4006" s="444">
        <f t="shared" ca="1" si="158"/>
        <v>-38545122079.415268</v>
      </c>
      <c r="L4006" s="444">
        <f t="shared" ca="1" si="159"/>
        <v>-9289374421139.0801</v>
      </c>
      <c r="M4006" s="460">
        <f t="shared" si="161"/>
        <v>0.05</v>
      </c>
      <c r="N4006" s="464">
        <f t="shared" si="162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60"/>
        <v>-9289374421139.0801</v>
      </c>
      <c r="J4007" s="444">
        <f t="array" ref="J4007">IFERROR(INDEX('Retirement Calculator'!K:K,MATCH('Lorri 401b'!N4007,'Retirement Calculator'!A:A,0),0),0)</f>
        <v>0</v>
      </c>
      <c r="K4007" s="444">
        <f t="shared" ca="1" si="158"/>
        <v>-38705726754.74617</v>
      </c>
      <c r="L4007" s="444">
        <f t="shared" ca="1" si="159"/>
        <v>-9328080147893.8262</v>
      </c>
      <c r="M4007" s="460">
        <f t="shared" si="161"/>
        <v>0.05</v>
      </c>
      <c r="N4007" s="464">
        <f t="shared" si="162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60"/>
        <v>-9328080147893.8262</v>
      </c>
      <c r="J4008" s="444">
        <f t="array" ref="J4008">IFERROR(INDEX('Retirement Calculator'!K:K,MATCH('Lorri 401b'!N4008,'Retirement Calculator'!A:A,0),0),0)</f>
        <v>0</v>
      </c>
      <c r="K4008" s="444">
        <f t="shared" ca="1" si="158"/>
        <v>-38867000616.224274</v>
      </c>
      <c r="L4008" s="444">
        <f t="shared" ca="1" si="159"/>
        <v>-9366947148510.0508</v>
      </c>
      <c r="M4008" s="460">
        <f t="shared" si="161"/>
        <v>0.05</v>
      </c>
      <c r="N4008" s="464">
        <f t="shared" si="162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60"/>
        <v>-9366947148510.0508</v>
      </c>
      <c r="J4009" s="444">
        <f t="array" ref="J4009">IFERROR(INDEX('Retirement Calculator'!K:K,MATCH('Lorri 401b'!N4009,'Retirement Calculator'!A:A,0),0),0)</f>
        <v>0</v>
      </c>
      <c r="K4009" s="444">
        <f t="shared" ca="1" si="158"/>
        <v>-39028946452.125214</v>
      </c>
      <c r="L4009" s="444">
        <f t="shared" ca="1" si="159"/>
        <v>-9405976094962.1758</v>
      </c>
      <c r="M4009" s="460">
        <f t="shared" si="161"/>
        <v>0.05</v>
      </c>
      <c r="N4009" s="464">
        <f t="shared" si="162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60"/>
        <v>-9405976094962.1758</v>
      </c>
      <c r="J4010" s="444">
        <f t="array" ref="J4010">IFERROR(INDEX('Retirement Calculator'!K:K,MATCH('Lorri 401b'!N4010,'Retirement Calculator'!A:A,0),0),0)</f>
        <v>0</v>
      </c>
      <c r="K4010" s="444">
        <f t="shared" ca="1" si="158"/>
        <v>-39191567062.3424</v>
      </c>
      <c r="L4010" s="444">
        <f t="shared" ca="1" si="159"/>
        <v>-9445167662024.5176</v>
      </c>
      <c r="M4010" s="460">
        <f t="shared" si="161"/>
        <v>0.05</v>
      </c>
      <c r="N4010" s="464">
        <f t="shared" si="162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60"/>
        <v>-9445167662024.5176</v>
      </c>
      <c r="J4011" s="444">
        <f t="array" ref="J4011">IFERROR(INDEX('Retirement Calculator'!K:K,MATCH('Lorri 401b'!N4011,'Retirement Calculator'!A:A,0),0),0)</f>
        <v>0</v>
      </c>
      <c r="K4011" s="444">
        <f t="shared" ca="1" si="158"/>
        <v>-39354865258.435486</v>
      </c>
      <c r="L4011" s="444">
        <f t="shared" ca="1" si="159"/>
        <v>-9484522527282.9531</v>
      </c>
      <c r="M4011" s="460">
        <f t="shared" si="161"/>
        <v>0.05</v>
      </c>
      <c r="N4011" s="464">
        <f t="shared" si="162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60"/>
        <v>-9484522527282.9531</v>
      </c>
      <c r="J4012" s="444">
        <f t="array" ref="J4012">IFERROR(INDEX('Retirement Calculator'!K:K,MATCH('Lorri 401b'!N4012,'Retirement Calculator'!A:A,0),0),0)</f>
        <v>0</v>
      </c>
      <c r="K4012" s="444">
        <f t="shared" ca="1" si="158"/>
        <v>-39518843863.67897</v>
      </c>
      <c r="L4012" s="444">
        <f t="shared" ca="1" si="159"/>
        <v>-9524041371146.6328</v>
      </c>
      <c r="M4012" s="460">
        <f t="shared" si="161"/>
        <v>0.05</v>
      </c>
      <c r="N4012" s="464">
        <f t="shared" si="162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60"/>
        <v>-9524041371146.6328</v>
      </c>
      <c r="J4013" s="444">
        <f t="array" ref="J4013">IFERROR(INDEX('Retirement Calculator'!K:K,MATCH('Lorri 401b'!N4013,'Retirement Calculator'!A:A,0),0),0)</f>
        <v>0</v>
      </c>
      <c r="K4013" s="444">
        <f t="shared" ca="1" si="158"/>
        <v>-39683505713.11097</v>
      </c>
      <c r="L4013" s="444">
        <f t="shared" ca="1" si="159"/>
        <v>-9563724876859.7441</v>
      </c>
      <c r="M4013" s="460">
        <f t="shared" si="161"/>
        <v>0.05</v>
      </c>
      <c r="N4013" s="464">
        <f t="shared" si="162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60"/>
        <v>-9563724876859.7441</v>
      </c>
      <c r="J4014" s="444">
        <f t="array" ref="J4014">IFERROR(INDEX('Retirement Calculator'!K:K,MATCH('Lorri 401b'!N4014,'Retirement Calculator'!A:A,0),0),0)</f>
        <v>0</v>
      </c>
      <c r="K4014" s="444">
        <f t="shared" ca="1" si="158"/>
        <v>-39848853653.582268</v>
      </c>
      <c r="L4014" s="444">
        <f t="shared" ca="1" si="159"/>
        <v>-9603573730513.3262</v>
      </c>
      <c r="M4014" s="460">
        <f t="shared" si="161"/>
        <v>0.05</v>
      </c>
      <c r="N4014" s="464">
        <f t="shared" si="162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60"/>
        <v>-9603573730513.3262</v>
      </c>
      <c r="J4015" s="444">
        <f t="array" ref="J4015">IFERROR(INDEX('Retirement Calculator'!K:K,MATCH('Lorri 401b'!N4015,'Retirement Calculator'!A:A,0),0),0)</f>
        <v>0</v>
      </c>
      <c r="K4015" s="444">
        <f t="shared" ca="1" si="158"/>
        <v>-40014890543.805527</v>
      </c>
      <c r="L4015" s="444">
        <f t="shared" ca="1" si="159"/>
        <v>-9643588621057.1309</v>
      </c>
      <c r="M4015" s="460">
        <f t="shared" si="161"/>
        <v>0.05</v>
      </c>
      <c r="N4015" s="464">
        <f t="shared" si="162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60"/>
        <v>-9643588621057.1309</v>
      </c>
      <c r="J4016" s="444">
        <f t="array" ref="J4016">IFERROR(INDEX('Retirement Calculator'!K:K,MATCH('Lorri 401b'!N4016,'Retirement Calculator'!A:A,0),0),0)</f>
        <v>0</v>
      </c>
      <c r="K4016" s="444">
        <f t="shared" ca="1" si="158"/>
        <v>-40181619254.404709</v>
      </c>
      <c r="L4016" s="444">
        <f t="shared" ca="1" si="159"/>
        <v>-9683770240311.5352</v>
      </c>
      <c r="M4016" s="460">
        <f t="shared" si="161"/>
        <v>0.05</v>
      </c>
      <c r="N4016" s="464">
        <f t="shared" si="162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60"/>
        <v>-9683770240311.5352</v>
      </c>
      <c r="J4017" s="444">
        <f t="array" ref="J4017">IFERROR(INDEX('Retirement Calculator'!K:K,MATCH('Lorri 401b'!N4017,'Retirement Calculator'!A:A,0),0),0)</f>
        <v>0</v>
      </c>
      <c r="K4017" s="444">
        <f t="shared" ca="1" si="158"/>
        <v>-40349042667.964729</v>
      </c>
      <c r="L4017" s="444">
        <f t="shared" ca="1" si="159"/>
        <v>-9724119282979.5</v>
      </c>
      <c r="M4017" s="460">
        <f t="shared" si="161"/>
        <v>0.05</v>
      </c>
      <c r="N4017" s="464">
        <f t="shared" si="162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60"/>
        <v>-9724119282979.5</v>
      </c>
      <c r="J4018" s="444">
        <f t="array" ref="J4018">IFERROR(INDEX('Retirement Calculator'!K:K,MATCH('Lorri 401b'!N4018,'Retirement Calculator'!A:A,0),0),0)</f>
        <v>0</v>
      </c>
      <c r="K4018" s="444">
        <f t="shared" ca="1" si="158"/>
        <v>-40517163679.081253</v>
      </c>
      <c r="L4018" s="444">
        <f t="shared" ca="1" si="159"/>
        <v>-9764636446658.582</v>
      </c>
      <c r="M4018" s="460">
        <f t="shared" si="161"/>
        <v>0.05</v>
      </c>
      <c r="N4018" s="464">
        <f t="shared" si="162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60"/>
        <v>-9764636446658.582</v>
      </c>
      <c r="J4019" s="444">
        <f t="array" ref="J4019">IFERROR(INDEX('Retirement Calculator'!K:K,MATCH('Lorri 401b'!N4019,'Retirement Calculator'!A:A,0),0),0)</f>
        <v>0</v>
      </c>
      <c r="K4019" s="444">
        <f t="shared" ca="1" si="158"/>
        <v>-40685985194.410759</v>
      </c>
      <c r="L4019" s="444">
        <f t="shared" ca="1" si="159"/>
        <v>-9805322431852.9922</v>
      </c>
      <c r="M4019" s="460">
        <f t="shared" si="161"/>
        <v>0.05</v>
      </c>
      <c r="N4019" s="464">
        <f t="shared" si="162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60"/>
        <v>-9805322431852.9922</v>
      </c>
      <c r="J4020" s="444">
        <f t="array" ref="J4020">IFERROR(INDEX('Retirement Calculator'!K:K,MATCH('Lorri 401b'!N4020,'Retirement Calculator'!A:A,0),0),0)</f>
        <v>0</v>
      </c>
      <c r="K4020" s="444">
        <f t="shared" ca="1" si="158"/>
        <v>-40855510132.720802</v>
      </c>
      <c r="L4020" s="444">
        <f t="shared" ca="1" si="159"/>
        <v>-9846177941985.7129</v>
      </c>
      <c r="M4020" s="460">
        <f t="shared" si="161"/>
        <v>0.05</v>
      </c>
      <c r="N4020" s="464">
        <f t="shared" si="162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60"/>
        <v>-9846177941985.7129</v>
      </c>
      <c r="J4021" s="444">
        <f t="array" ref="J4021">IFERROR(INDEX('Retirement Calculator'!K:K,MATCH('Lorri 401b'!N4021,'Retirement Calculator'!A:A,0),0),0)</f>
        <v>0</v>
      </c>
      <c r="K4021" s="444">
        <f t="shared" ca="1" si="158"/>
        <v>-41025741424.940468</v>
      </c>
      <c r="L4021" s="444">
        <f t="shared" ca="1" si="159"/>
        <v>-9887203683410.6543</v>
      </c>
      <c r="M4021" s="460">
        <f t="shared" si="161"/>
        <v>0.05</v>
      </c>
      <c r="N4021" s="464">
        <f t="shared" si="162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60"/>
        <v>-9887203683410.6543</v>
      </c>
      <c r="J4022" s="444">
        <f t="array" ref="J4022">IFERROR(INDEX('Retirement Calculator'!K:K,MATCH('Lorri 401b'!N4022,'Retirement Calculator'!A:A,0),0),0)</f>
        <v>0</v>
      </c>
      <c r="K4022" s="444">
        <f t="shared" ca="1" si="158"/>
        <v>-41196682014.21106</v>
      </c>
      <c r="L4022" s="444">
        <f t="shared" ca="1" si="159"/>
        <v>-9928400365424.8652</v>
      </c>
      <c r="M4022" s="460">
        <f t="shared" si="161"/>
        <v>0.05</v>
      </c>
      <c r="N4022" s="464">
        <f t="shared" si="162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60"/>
        <v>-9928400365424.8652</v>
      </c>
      <c r="J4023" s="444">
        <f t="array" ref="J4023">IFERROR(INDEX('Retirement Calculator'!K:K,MATCH('Lorri 401b'!N4023,'Retirement Calculator'!A:A,0),0),0)</f>
        <v>0</v>
      </c>
      <c r="K4023" s="444">
        <f t="shared" ca="1" si="158"/>
        <v>-41368334855.936935</v>
      </c>
      <c r="L4023" s="444">
        <f t="shared" ca="1" si="159"/>
        <v>-9969768700280.8027</v>
      </c>
      <c r="M4023" s="460">
        <f t="shared" si="161"/>
        <v>0.05</v>
      </c>
      <c r="N4023" s="464">
        <f t="shared" si="162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60"/>
        <v>-9969768700280.8027</v>
      </c>
      <c r="J4024" s="444">
        <f t="array" ref="J4024">IFERROR(INDEX('Retirement Calculator'!K:K,MATCH('Lorri 401b'!N4024,'Retirement Calculator'!A:A,0),0),0)</f>
        <v>0</v>
      </c>
      <c r="K4024" s="444">
        <f t="shared" ca="1" si="158"/>
        <v>-41540702917.836678</v>
      </c>
      <c r="L4024" s="444">
        <f t="shared" ca="1" si="159"/>
        <v>-10011309403198.639</v>
      </c>
      <c r="M4024" s="460">
        <f t="shared" si="161"/>
        <v>0.05</v>
      </c>
      <c r="N4024" s="464">
        <f t="shared" si="162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60"/>
        <v>-10011309403198.639</v>
      </c>
      <c r="J4025" s="444">
        <f t="array" ref="J4025">IFERROR(INDEX('Retirement Calculator'!K:K,MATCH('Lorri 401b'!N4025,'Retirement Calculator'!A:A,0),0),0)</f>
        <v>0</v>
      </c>
      <c r="K4025" s="444">
        <f t="shared" ca="1" si="158"/>
        <v>-41713789179.994324</v>
      </c>
      <c r="L4025" s="444">
        <f t="shared" ca="1" si="159"/>
        <v>-10053023192378.633</v>
      </c>
      <c r="M4025" s="460">
        <f t="shared" si="161"/>
        <v>0.05</v>
      </c>
      <c r="N4025" s="464">
        <f t="shared" si="162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60"/>
        <v>-10053023192378.633</v>
      </c>
      <c r="J4026" s="444">
        <f t="array" ref="J4026">IFERROR(INDEX('Retirement Calculator'!K:K,MATCH('Lorri 401b'!N4026,'Retirement Calculator'!A:A,0),0),0)</f>
        <v>0</v>
      </c>
      <c r="K4026" s="444">
        <f t="shared" ca="1" si="158"/>
        <v>-41887596634.910973</v>
      </c>
      <c r="L4026" s="444">
        <f t="shared" ca="1" si="159"/>
        <v>-10094910789013.543</v>
      </c>
      <c r="M4026" s="460">
        <f t="shared" si="161"/>
        <v>0.05</v>
      </c>
      <c r="N4026" s="464">
        <f t="shared" si="162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60"/>
        <v>-10094910789013.543</v>
      </c>
      <c r="J4027" s="444">
        <f t="array" ref="J4027">IFERROR(INDEX('Retirement Calculator'!K:K,MATCH('Lorri 401b'!N4027,'Retirement Calculator'!A:A,0),0),0)</f>
        <v>0</v>
      </c>
      <c r="K4027" s="444">
        <f t="shared" ca="1" si="158"/>
        <v>-42062128287.556427</v>
      </c>
      <c r="L4027" s="444">
        <f t="shared" ca="1" si="159"/>
        <v>-10136972917301.1</v>
      </c>
      <c r="M4027" s="460">
        <f t="shared" si="161"/>
        <v>0.05</v>
      </c>
      <c r="N4027" s="464">
        <f t="shared" si="162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60"/>
        <v>-10136972917301.1</v>
      </c>
      <c r="J4028" s="444">
        <f t="array" ref="J4028">IFERROR(INDEX('Retirement Calculator'!K:K,MATCH('Lorri 401b'!N4028,'Retirement Calculator'!A:A,0),0),0)</f>
        <v>0</v>
      </c>
      <c r="K4028" s="444">
        <f t="shared" ca="1" si="158"/>
        <v>-42237387155.421249</v>
      </c>
      <c r="L4028" s="444">
        <f t="shared" ca="1" si="159"/>
        <v>-10179210304456.521</v>
      </c>
      <c r="M4028" s="460">
        <f t="shared" si="161"/>
        <v>0.05</v>
      </c>
      <c r="N4028" s="464">
        <f t="shared" si="162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60"/>
        <v>-10179210304456.521</v>
      </c>
      <c r="J4029" s="444">
        <f t="array" ref="J4029">IFERROR(INDEX('Retirement Calculator'!K:K,MATCH('Lorri 401b'!N4029,'Retirement Calculator'!A:A,0),0),0)</f>
        <v>0</v>
      </c>
      <c r="K4029" s="444">
        <f t="shared" ca="1" si="158"/>
        <v>-42413376268.56884</v>
      </c>
      <c r="L4029" s="444">
        <f t="shared" ca="1" si="159"/>
        <v>-10221623680725.09</v>
      </c>
      <c r="M4029" s="460">
        <f t="shared" si="161"/>
        <v>0.05</v>
      </c>
      <c r="N4029" s="464">
        <f t="shared" si="162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60"/>
        <v>-10221623680725.09</v>
      </c>
      <c r="J4030" s="444">
        <f t="array" ref="J4030">IFERROR(INDEX('Retirement Calculator'!K:K,MATCH('Lorri 401b'!N4030,'Retirement Calculator'!A:A,0),0),0)</f>
        <v>0</v>
      </c>
      <c r="K4030" s="444">
        <f t="shared" ca="1" si="158"/>
        <v>-42590098669.687874</v>
      </c>
      <c r="L4030" s="444">
        <f t="shared" ca="1" si="159"/>
        <v>-10264213779394.777</v>
      </c>
      <c r="M4030" s="460">
        <f t="shared" si="161"/>
        <v>0.05</v>
      </c>
      <c r="N4030" s="464">
        <f t="shared" si="162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60"/>
        <v>-10264213779394.777</v>
      </c>
      <c r="J4031" s="444">
        <f t="array" ref="J4031">IFERROR(INDEX('Retirement Calculator'!K:K,MATCH('Lorri 401b'!N4031,'Retirement Calculator'!A:A,0),0),0)</f>
        <v>0</v>
      </c>
      <c r="K4031" s="444">
        <f t="shared" ca="1" si="158"/>
        <v>-42767557414.144905</v>
      </c>
      <c r="L4031" s="444">
        <f t="shared" ca="1" si="159"/>
        <v>-10306981336808.922</v>
      </c>
      <c r="M4031" s="460">
        <f t="shared" si="161"/>
        <v>0.05</v>
      </c>
      <c r="N4031" s="464">
        <f t="shared" si="162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60"/>
        <v>-10306981336808.922</v>
      </c>
      <c r="J4032" s="444">
        <f t="array" ref="J4032">IFERROR(INDEX('Retirement Calculator'!K:K,MATCH('Lorri 401b'!N4032,'Retirement Calculator'!A:A,0),0),0)</f>
        <v>0</v>
      </c>
      <c r="K4032" s="444">
        <f t="shared" ca="1" si="158"/>
        <v>-42945755570.03717</v>
      </c>
      <c r="L4032" s="444">
        <f t="shared" ca="1" si="159"/>
        <v>-10349927092378.959</v>
      </c>
      <c r="M4032" s="460">
        <f t="shared" si="161"/>
        <v>0.05</v>
      </c>
      <c r="N4032" s="464">
        <f t="shared" si="162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60"/>
        <v>-10349927092378.959</v>
      </c>
      <c r="J4033" s="444">
        <f t="array" ref="J4033">IFERROR(INDEX('Retirement Calculator'!K:K,MATCH('Lorri 401b'!N4033,'Retirement Calculator'!A:A,0),0),0)</f>
        <v>0</v>
      </c>
      <c r="K4033" s="444">
        <f t="shared" ca="1" si="158"/>
        <v>-43124696218.245659</v>
      </c>
      <c r="L4033" s="444">
        <f t="shared" ca="1" si="159"/>
        <v>-10393051788597.205</v>
      </c>
      <c r="M4033" s="460">
        <f t="shared" si="161"/>
        <v>0.05</v>
      </c>
      <c r="N4033" s="464">
        <f t="shared" si="162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60"/>
        <v>-10393051788597.205</v>
      </c>
      <c r="J4034" s="444">
        <f t="array" ref="J4034">IFERROR(INDEX('Retirement Calculator'!K:K,MATCH('Lorri 401b'!N4034,'Retirement Calculator'!A:A,0),0),0)</f>
        <v>0</v>
      </c>
      <c r="K4034" s="444">
        <f t="shared" ca="1" si="158"/>
        <v>-43304382452.488358</v>
      </c>
      <c r="L4034" s="444">
        <f t="shared" ca="1" si="159"/>
        <v>-10436356171049.693</v>
      </c>
      <c r="M4034" s="460">
        <f t="shared" si="161"/>
        <v>0.05</v>
      </c>
      <c r="N4034" s="464">
        <f t="shared" si="162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60"/>
        <v>-10436356171049.693</v>
      </c>
      <c r="J4035" s="444">
        <f t="array" ref="J4035">IFERROR(INDEX('Retirement Calculator'!K:K,MATCH('Lorri 401b'!N4035,'Retirement Calculator'!A:A,0),0),0)</f>
        <v>0</v>
      </c>
      <c r="K4035" s="444">
        <f t="shared" ca="1" si="158"/>
        <v>-43484817379.373718</v>
      </c>
      <c r="L4035" s="444">
        <f t="shared" ca="1" si="159"/>
        <v>-10479840988429.066</v>
      </c>
      <c r="M4035" s="460">
        <f t="shared" si="161"/>
        <v>0.05</v>
      </c>
      <c r="N4035" s="464">
        <f t="shared" si="162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60"/>
        <v>-10479840988429.066</v>
      </c>
      <c r="J4036" s="444">
        <f t="array" ref="J4036">IFERROR(INDEX('Retirement Calculator'!K:K,MATCH('Lorri 401b'!N4036,'Retirement Calculator'!A:A,0),0),0)</f>
        <v>0</v>
      </c>
      <c r="K4036" s="444">
        <f t="shared" ca="1" si="158"/>
        <v>-43666004118.454445</v>
      </c>
      <c r="L4036" s="444">
        <f t="shared" ca="1" si="159"/>
        <v>-10523506992547.521</v>
      </c>
      <c r="M4036" s="460">
        <f t="shared" si="161"/>
        <v>0.05</v>
      </c>
      <c r="N4036" s="464">
        <f t="shared" si="162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60"/>
        <v>-10523506992547.521</v>
      </c>
      <c r="J4037" s="444">
        <f t="array" ref="J4037">IFERROR(INDEX('Retirement Calculator'!K:K,MATCH('Lorri 401b'!N4037,'Retirement Calculator'!A:A,0),0),0)</f>
        <v>0</v>
      </c>
      <c r="K4037" s="444">
        <f t="shared" ca="1" si="158"/>
        <v>-43847945802.281342</v>
      </c>
      <c r="L4037" s="444">
        <f t="shared" ca="1" si="159"/>
        <v>-10567354938349.803</v>
      </c>
      <c r="M4037" s="460">
        <f t="shared" si="161"/>
        <v>0.05</v>
      </c>
      <c r="N4037" s="464">
        <f t="shared" si="162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60"/>
        <v>-10567354938349.803</v>
      </c>
      <c r="J4038" s="444">
        <f t="array" ref="J4038">IFERROR(INDEX('Retirement Calculator'!K:K,MATCH('Lorri 401b'!N4038,'Retirement Calculator'!A:A,0),0),0)</f>
        <v>0</v>
      </c>
      <c r="K4038" s="444">
        <f t="shared" ca="1" si="158"/>
        <v>-44030645576.457512</v>
      </c>
      <c r="L4038" s="444">
        <f t="shared" ca="1" si="159"/>
        <v>-10611385583926.26</v>
      </c>
      <c r="M4038" s="460">
        <f t="shared" si="161"/>
        <v>0.05</v>
      </c>
      <c r="N4038" s="464">
        <f t="shared" si="162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60"/>
        <v>-10611385583926.26</v>
      </c>
      <c r="J4039" s="444">
        <f t="array" ref="J4039">IFERROR(INDEX('Retirement Calculator'!K:K,MATCH('Lorri 401b'!N4039,'Retirement Calculator'!A:A,0),0),0)</f>
        <v>0</v>
      </c>
      <c r="K4039" s="444">
        <f t="shared" ca="1" si="158"/>
        <v>-44214106599.692749</v>
      </c>
      <c r="L4039" s="444">
        <f t="shared" ca="1" si="159"/>
        <v>-10655599690525.953</v>
      </c>
      <c r="M4039" s="460">
        <f t="shared" si="161"/>
        <v>0.05</v>
      </c>
      <c r="N4039" s="464">
        <f t="shared" si="162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60"/>
        <v>-10655599690525.953</v>
      </c>
      <c r="J4040" s="444">
        <f t="array" ref="J4040">IFERROR(INDEX('Retirement Calculator'!K:K,MATCH('Lorri 401b'!N4040,'Retirement Calculator'!A:A,0),0),0)</f>
        <v>0</v>
      </c>
      <c r="K4040" s="444">
        <f t="shared" ca="1" si="158"/>
        <v>-44398332043.858139</v>
      </c>
      <c r="L4040" s="444">
        <f t="shared" ca="1" si="159"/>
        <v>-10699998022569.811</v>
      </c>
      <c r="M4040" s="460">
        <f t="shared" si="161"/>
        <v>0.05</v>
      </c>
      <c r="N4040" s="464">
        <f t="shared" si="162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60"/>
        <v>-10699998022569.811</v>
      </c>
      <c r="J4041" s="444">
        <f t="array" ref="J4041">IFERROR(INDEX('Retirement Calculator'!K:K,MATCH('Lorri 401b'!N4041,'Retirement Calculator'!A:A,0),0),0)</f>
        <v>0</v>
      </c>
      <c r="K4041" s="444">
        <f t="shared" ca="1" si="158"/>
        <v>-44583325094.040878</v>
      </c>
      <c r="L4041" s="444">
        <f t="shared" ca="1" si="159"/>
        <v>-10744581347663.852</v>
      </c>
      <c r="M4041" s="460">
        <f t="shared" si="161"/>
        <v>0.05</v>
      </c>
      <c r="N4041" s="464">
        <f t="shared" si="162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60"/>
        <v>-10744581347663.852</v>
      </c>
      <c r="J4042" s="444">
        <f t="array" ref="J4042">IFERROR(INDEX('Retirement Calculator'!K:K,MATCH('Lorri 401b'!N4042,'Retirement Calculator'!A:A,0),0),0)</f>
        <v>0</v>
      </c>
      <c r="K4042" s="444">
        <f t="shared" ca="1" si="158"/>
        <v>-44769088948.59938</v>
      </c>
      <c r="L4042" s="444">
        <f t="shared" ca="1" si="159"/>
        <v>-10789350436612.451</v>
      </c>
      <c r="M4042" s="460">
        <f t="shared" si="161"/>
        <v>0.05</v>
      </c>
      <c r="N4042" s="464">
        <f t="shared" si="162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60"/>
        <v>-10789350436612.451</v>
      </c>
      <c r="J4043" s="444">
        <f t="array" ref="J4043">IFERROR(INDEX('Retirement Calculator'!K:K,MATCH('Lorri 401b'!N4043,'Retirement Calculator'!A:A,0),0),0)</f>
        <v>0</v>
      </c>
      <c r="K4043" s="444">
        <f t="shared" ca="1" si="158"/>
        <v>-44955626819.218544</v>
      </c>
      <c r="L4043" s="444">
        <f t="shared" ca="1" si="159"/>
        <v>-10834306063431.67</v>
      </c>
      <c r="M4043" s="460">
        <f t="shared" si="161"/>
        <v>0.05</v>
      </c>
      <c r="N4043" s="464">
        <f t="shared" si="162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60"/>
        <v>-10834306063431.67</v>
      </c>
      <c r="J4044" s="444">
        <f t="array" ref="J4044">IFERROR(INDEX('Retirement Calculator'!K:K,MATCH('Lorri 401b'!N4044,'Retirement Calculator'!A:A,0),0),0)</f>
        <v>0</v>
      </c>
      <c r="K4044" s="444">
        <f t="shared" ca="1" si="158"/>
        <v>-45142941930.965294</v>
      </c>
      <c r="L4044" s="444">
        <f t="shared" ca="1" si="159"/>
        <v>-10879449005362.635</v>
      </c>
      <c r="M4044" s="460">
        <f t="shared" si="161"/>
        <v>0.05</v>
      </c>
      <c r="N4044" s="464">
        <f t="shared" si="162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60"/>
        <v>-10879449005362.635</v>
      </c>
      <c r="J4045" s="444">
        <f t="array" ref="J4045">IFERROR(INDEX('Retirement Calculator'!K:K,MATCH('Lorri 401b'!N4045,'Retirement Calculator'!A:A,0),0),0)</f>
        <v>0</v>
      </c>
      <c r="K4045" s="444">
        <f t="shared" ca="1" si="158"/>
        <v>-45331037522.344315</v>
      </c>
      <c r="L4045" s="444">
        <f t="shared" ca="1" si="159"/>
        <v>-10924780042884.979</v>
      </c>
      <c r="M4045" s="460">
        <f t="shared" si="161"/>
        <v>0.05</v>
      </c>
      <c r="N4045" s="464">
        <f t="shared" si="162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60"/>
        <v>-10924780042884.979</v>
      </c>
      <c r="J4046" s="444">
        <f t="array" ref="J4046">IFERROR(INDEX('Retirement Calculator'!K:K,MATCH('Lorri 401b'!N4046,'Retirement Calculator'!A:A,0),0),0)</f>
        <v>0</v>
      </c>
      <c r="K4046" s="444">
        <f t="shared" ca="1" si="158"/>
        <v>-45519916845.35408</v>
      </c>
      <c r="L4046" s="444">
        <f t="shared" ca="1" si="159"/>
        <v>-10970299959730.332</v>
      </c>
      <c r="M4046" s="460">
        <f t="shared" si="161"/>
        <v>0.05</v>
      </c>
      <c r="N4046" s="464">
        <f t="shared" si="162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60"/>
        <v>-10970299959730.332</v>
      </c>
      <c r="J4047" s="444">
        <f t="array" ref="J4047">IFERROR(INDEX('Retirement Calculator'!K:K,MATCH('Lorri 401b'!N4047,'Retirement Calculator'!A:A,0),0),0)</f>
        <v>0</v>
      </c>
      <c r="K4047" s="444">
        <f t="shared" ca="1" si="158"/>
        <v>-45709583165.543053</v>
      </c>
      <c r="L4047" s="444">
        <f t="shared" ca="1" si="159"/>
        <v>-11016009542895.875</v>
      </c>
      <c r="M4047" s="460">
        <f t="shared" si="161"/>
        <v>0.05</v>
      </c>
      <c r="N4047" s="464">
        <f t="shared" si="162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60"/>
        <v>-11016009542895.875</v>
      </c>
      <c r="J4048" s="444">
        <f t="array" ref="J4048">IFERROR(INDEX('Retirement Calculator'!K:K,MATCH('Lorri 401b'!N4048,'Retirement Calculator'!A:A,0),0),0)</f>
        <v>0</v>
      </c>
      <c r="K4048" s="444">
        <f t="shared" ca="1" si="158"/>
        <v>-45900039762.066147</v>
      </c>
      <c r="L4048" s="444">
        <f t="shared" ca="1" si="159"/>
        <v>-11061909582657.941</v>
      </c>
      <c r="M4048" s="460">
        <f t="shared" si="161"/>
        <v>0.05</v>
      </c>
      <c r="N4048" s="464">
        <f t="shared" si="162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60"/>
        <v>-11061909582657.941</v>
      </c>
      <c r="J4049" s="444">
        <f t="array" ref="J4049">IFERROR(INDEX('Retirement Calculator'!K:K,MATCH('Lorri 401b'!N4049,'Retirement Calculator'!A:A,0),0),0)</f>
        <v>0</v>
      </c>
      <c r="K4049" s="444">
        <f t="shared" ca="1" si="158"/>
        <v>-46091289927.741425</v>
      </c>
      <c r="L4049" s="444">
        <f t="shared" ca="1" si="159"/>
        <v>-11108000872585.684</v>
      </c>
      <c r="M4049" s="460">
        <f t="shared" si="161"/>
        <v>0.05</v>
      </c>
      <c r="N4049" s="464">
        <f t="shared" si="162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60"/>
        <v>-11108000872585.684</v>
      </c>
      <c r="J4050" s="444">
        <f t="array" ref="J4050">IFERROR(INDEX('Retirement Calculator'!K:K,MATCH('Lorri 401b'!N4050,'Retirement Calculator'!A:A,0),0),0)</f>
        <v>0</v>
      </c>
      <c r="K4050" s="444">
        <f t="shared" ca="1" si="158"/>
        <v>-46283336969.107018</v>
      </c>
      <c r="L4050" s="444">
        <f t="shared" ca="1" si="159"/>
        <v>-11154284209554.791</v>
      </c>
      <c r="M4050" s="460">
        <f t="shared" si="161"/>
        <v>0.05</v>
      </c>
      <c r="N4050" s="464">
        <f t="shared" si="162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60"/>
        <v>-11154284209554.791</v>
      </c>
      <c r="J4051" s="444">
        <f t="array" ref="J4051">IFERROR(INDEX('Retirement Calculator'!K:K,MATCH('Lorri 401b'!N4051,'Retirement Calculator'!A:A,0),0),0)</f>
        <v>0</v>
      </c>
      <c r="K4051" s="444">
        <f t="shared" ca="1" si="158"/>
        <v>-46476184206.478294</v>
      </c>
      <c r="L4051" s="444">
        <f t="shared" ca="1" si="159"/>
        <v>-11200760393761.27</v>
      </c>
      <c r="M4051" s="460">
        <f t="shared" si="161"/>
        <v>0.05</v>
      </c>
      <c r="N4051" s="464">
        <f t="shared" si="162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60"/>
        <v>-11200760393761.27</v>
      </c>
      <c r="J4052" s="444">
        <f t="array" ref="J4052">IFERROR(INDEX('Retirement Calculator'!K:K,MATCH('Lorri 401b'!N4052,'Retirement Calculator'!A:A,0),0),0)</f>
        <v>0</v>
      </c>
      <c r="K4052" s="444">
        <f t="shared" ca="1" si="158"/>
        <v>-46669834974.005287</v>
      </c>
      <c r="L4052" s="444">
        <f t="shared" ca="1" si="159"/>
        <v>-11247430228735.275</v>
      </c>
      <c r="M4052" s="460">
        <f t="shared" si="161"/>
        <v>0.05</v>
      </c>
      <c r="N4052" s="464">
        <f t="shared" si="162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60"/>
        <v>-11247430228735.275</v>
      </c>
      <c r="J4053" s="444">
        <f t="array" ref="J4053">IFERROR(INDEX('Retirement Calculator'!K:K,MATCH('Lorri 401b'!N4053,'Retirement Calculator'!A:A,0),0),0)</f>
        <v>0</v>
      </c>
      <c r="K4053" s="444">
        <f t="shared" ca="1" si="158"/>
        <v>-46864292619.730316</v>
      </c>
      <c r="L4053" s="444">
        <f t="shared" ca="1" si="159"/>
        <v>-11294294521355.006</v>
      </c>
      <c r="M4053" s="460">
        <f t="shared" si="161"/>
        <v>0.05</v>
      </c>
      <c r="N4053" s="464">
        <f t="shared" si="162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60"/>
        <v>-11294294521355.006</v>
      </c>
      <c r="J4054" s="444">
        <f t="array" ref="J4054">IFERROR(INDEX('Retirement Calculator'!K:K,MATCH('Lorri 401b'!N4054,'Retirement Calculator'!A:A,0),0),0)</f>
        <v>0</v>
      </c>
      <c r="K4054" s="444">
        <f t="shared" ca="1" si="158"/>
        <v>-47059560505.645859</v>
      </c>
      <c r="L4054" s="444">
        <f t="shared" ca="1" si="159"/>
        <v>-11341354081860.652</v>
      </c>
      <c r="M4054" s="460">
        <f t="shared" si="161"/>
        <v>0.05</v>
      </c>
      <c r="N4054" s="464">
        <f t="shared" si="162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60"/>
        <v>-11341354081860.652</v>
      </c>
      <c r="J4055" s="444">
        <f t="array" ref="J4055">IFERROR(INDEX('Retirement Calculator'!K:K,MATCH('Lorri 401b'!N4055,'Retirement Calculator'!A:A,0),0),0)</f>
        <v>0</v>
      </c>
      <c r="K4055" s="444">
        <f t="shared" ca="1" si="158"/>
        <v>-47255642007.752716</v>
      </c>
      <c r="L4055" s="444">
        <f t="shared" ca="1" si="159"/>
        <v>-11388609723868.404</v>
      </c>
      <c r="M4055" s="460">
        <f t="shared" si="161"/>
        <v>0.05</v>
      </c>
      <c r="N4055" s="464">
        <f t="shared" si="162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60"/>
        <v>-11388609723868.404</v>
      </c>
      <c r="J4056" s="444">
        <f t="array" ref="J4056">IFERROR(INDEX('Retirement Calculator'!K:K,MATCH('Lorri 401b'!N4056,'Retirement Calculator'!A:A,0),0),0)</f>
        <v>0</v>
      </c>
      <c r="K4056" s="444">
        <f t="shared" ca="1" si="158"/>
        <v>-47452540516.118347</v>
      </c>
      <c r="L4056" s="444">
        <f t="shared" ca="1" si="159"/>
        <v>-11436062264384.523</v>
      </c>
      <c r="M4056" s="460">
        <f t="shared" si="161"/>
        <v>0.05</v>
      </c>
      <c r="N4056" s="464">
        <f t="shared" si="162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60"/>
        <v>-11436062264384.523</v>
      </c>
      <c r="J4057" s="444">
        <f t="array" ref="J4057">IFERROR(INDEX('Retirement Calculator'!K:K,MATCH('Lorri 401b'!N4057,'Retirement Calculator'!A:A,0),0),0)</f>
        <v>0</v>
      </c>
      <c r="K4057" s="444">
        <f t="shared" ca="1" si="158"/>
        <v>-47650259434.935516</v>
      </c>
      <c r="L4057" s="444">
        <f t="shared" ca="1" si="159"/>
        <v>-11483712523819.459</v>
      </c>
      <c r="M4057" s="460">
        <f t="shared" si="161"/>
        <v>0.05</v>
      </c>
      <c r="N4057" s="464">
        <f t="shared" si="162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60"/>
        <v>-11483712523819.459</v>
      </c>
      <c r="J4058" s="444">
        <f t="array" ref="J4058">IFERROR(INDEX('Retirement Calculator'!K:K,MATCH('Lorri 401b'!N4058,'Retirement Calculator'!A:A,0),0),0)</f>
        <v>0</v>
      </c>
      <c r="K4058" s="444">
        <f t="shared" ca="1" si="158"/>
        <v>-47848802182.581078</v>
      </c>
      <c r="L4058" s="444">
        <f t="shared" ca="1" si="159"/>
        <v>-11531561326002.041</v>
      </c>
      <c r="M4058" s="460">
        <f t="shared" si="161"/>
        <v>0.05</v>
      </c>
      <c r="N4058" s="464">
        <f t="shared" si="162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60"/>
        <v>-11531561326002.041</v>
      </c>
      <c r="J4059" s="444">
        <f t="array" ref="J4059">IFERROR(INDEX('Retirement Calculator'!K:K,MATCH('Lorri 401b'!N4059,'Retirement Calculator'!A:A,0),0),0)</f>
        <v>0</v>
      </c>
      <c r="K4059" s="444">
        <f t="shared" ca="1" si="158"/>
        <v>-48048172191.675171</v>
      </c>
      <c r="L4059" s="444">
        <f t="shared" ca="1" si="159"/>
        <v>-11579609498193.717</v>
      </c>
      <c r="M4059" s="460">
        <f t="shared" si="161"/>
        <v>0.05</v>
      </c>
      <c r="N4059" s="464">
        <f t="shared" si="162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60"/>
        <v>-11579609498193.717</v>
      </c>
      <c r="J4060" s="444">
        <f t="array" ref="J4060">IFERROR(INDEX('Retirement Calculator'!K:K,MATCH('Lorri 401b'!N4060,'Retirement Calculator'!A:A,0),0),0)</f>
        <v>0</v>
      </c>
      <c r="K4060" s="444">
        <f t="shared" ca="1" si="158"/>
        <v>-48248372909.140488</v>
      </c>
      <c r="L4060" s="444">
        <f t="shared" ca="1" si="159"/>
        <v>-11627857871102.857</v>
      </c>
      <c r="M4060" s="460">
        <f t="shared" si="161"/>
        <v>0.05</v>
      </c>
      <c r="N4060" s="464">
        <f t="shared" si="162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60"/>
        <v>-11627857871102.857</v>
      </c>
      <c r="J4061" s="444">
        <f t="array" ref="J4061">IFERROR(INDEX('Retirement Calculator'!K:K,MATCH('Lorri 401b'!N4061,'Retirement Calculator'!A:A,0),0),0)</f>
        <v>0</v>
      </c>
      <c r="K4061" s="444">
        <f t="shared" ca="1" si="158"/>
        <v>-48449407796.261902</v>
      </c>
      <c r="L4061" s="444">
        <f t="shared" ca="1" si="159"/>
        <v>-11676307278899.119</v>
      </c>
      <c r="M4061" s="460">
        <f t="shared" si="161"/>
        <v>0.05</v>
      </c>
      <c r="N4061" s="464">
        <f t="shared" si="162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60"/>
        <v>-11676307278899.119</v>
      </c>
      <c r="J4062" s="444">
        <f t="array" ref="J4062">IFERROR(INDEX('Retirement Calculator'!K:K,MATCH('Lorri 401b'!N4062,'Retirement Calculator'!A:A,0),0),0)</f>
        <v>0</v>
      </c>
      <c r="K4062" s="444">
        <f t="shared" ca="1" si="158"/>
        <v>-48651280328.74633</v>
      </c>
      <c r="L4062" s="444">
        <f t="shared" ca="1" si="159"/>
        <v>-11724958559227.865</v>
      </c>
      <c r="M4062" s="460">
        <f t="shared" si="161"/>
        <v>0.05</v>
      </c>
      <c r="N4062" s="464">
        <f t="shared" si="162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60"/>
        <v>-11724958559227.865</v>
      </c>
      <c r="J4063" s="444">
        <f t="array" ref="J4063">IFERROR(INDEX('Retirement Calculator'!K:K,MATCH('Lorri 401b'!N4063,'Retirement Calculator'!A:A,0),0),0)</f>
        <v>0</v>
      </c>
      <c r="K4063" s="444">
        <f t="shared" ca="1" si="158"/>
        <v>-48853993996.782768</v>
      </c>
      <c r="L4063" s="444">
        <f t="shared" ca="1" si="159"/>
        <v>-11773812553224.648</v>
      </c>
      <c r="M4063" s="460">
        <f t="shared" si="161"/>
        <v>0.05</v>
      </c>
      <c r="N4063" s="464">
        <f t="shared" si="162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60"/>
        <v>-11773812553224.648</v>
      </c>
      <c r="J4064" s="444">
        <f t="array" ref="J4064">IFERROR(INDEX('Retirement Calculator'!K:K,MATCH('Lorri 401b'!N4064,'Retirement Calculator'!A:A,0),0),0)</f>
        <v>0</v>
      </c>
      <c r="K4064" s="444">
        <f t="shared" ca="1" si="158"/>
        <v>-49057552305.102699</v>
      </c>
      <c r="L4064" s="444">
        <f t="shared" ca="1" si="159"/>
        <v>-11822870105529.752</v>
      </c>
      <c r="M4064" s="460">
        <f t="shared" si="161"/>
        <v>0.05</v>
      </c>
      <c r="N4064" s="464">
        <f t="shared" si="162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60"/>
        <v>-11822870105529.752</v>
      </c>
      <c r="J4065" s="444">
        <f t="array" ref="J4065">IFERROR(INDEX('Retirement Calculator'!K:K,MATCH('Lorri 401b'!N4065,'Retirement Calculator'!A:A,0),0),0)</f>
        <v>0</v>
      </c>
      <c r="K4065" s="444">
        <f t="shared" ca="1" si="158"/>
        <v>-49261958773.040634</v>
      </c>
      <c r="L4065" s="444">
        <f t="shared" ca="1" si="159"/>
        <v>-11872132064302.793</v>
      </c>
      <c r="M4065" s="460">
        <f t="shared" si="161"/>
        <v>0.05</v>
      </c>
      <c r="N4065" s="464">
        <f t="shared" si="162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60"/>
        <v>-11872132064302.793</v>
      </c>
      <c r="J4066" s="444">
        <f t="array" ref="J4066">IFERROR(INDEX('Retirement Calculator'!K:K,MATCH('Lorri 401b'!N4066,'Retirement Calculator'!A:A,0),0),0)</f>
        <v>0</v>
      </c>
      <c r="K4066" s="444">
        <f t="shared" ca="1" si="158"/>
        <v>-49467216934.594971</v>
      </c>
      <c r="L4066" s="444">
        <f t="shared" ca="1" si="159"/>
        <v>-11921599281237.389</v>
      </c>
      <c r="M4066" s="460">
        <f t="shared" si="161"/>
        <v>0.05</v>
      </c>
      <c r="N4066" s="464">
        <f t="shared" si="162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60"/>
        <v>-11921599281237.389</v>
      </c>
      <c r="J4067" s="444">
        <f t="array" ref="J4067">IFERROR(INDEX('Retirement Calculator'!K:K,MATCH('Lorri 401b'!N4067,'Retirement Calculator'!A:A,0),0),0)</f>
        <v>0</v>
      </c>
      <c r="K4067" s="444">
        <f t="shared" ca="1" si="158"/>
        <v>-49673330338.48912</v>
      </c>
      <c r="L4067" s="444">
        <f t="shared" ca="1" si="159"/>
        <v>-11971272611575.877</v>
      </c>
      <c r="M4067" s="460">
        <f t="shared" si="161"/>
        <v>0.05</v>
      </c>
      <c r="N4067" s="464">
        <f t="shared" si="162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60"/>
        <v>-11971272611575.877</v>
      </c>
      <c r="J4068" s="444">
        <f t="array" ref="J4068">IFERROR(INDEX('Retirement Calculator'!K:K,MATCH('Lorri 401b'!N4068,'Retirement Calculator'!A:A,0),0),0)</f>
        <v>0</v>
      </c>
      <c r="K4068" s="444">
        <f t="shared" ca="1" si="158"/>
        <v>-49880302548.232819</v>
      </c>
      <c r="L4068" s="444">
        <f t="shared" ca="1" si="159"/>
        <v>-12021152914124.109</v>
      </c>
      <c r="M4068" s="460">
        <f t="shared" si="161"/>
        <v>0.05</v>
      </c>
      <c r="N4068" s="464">
        <f t="shared" si="162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60"/>
        <v>-12021152914124.109</v>
      </c>
      <c r="J4069" s="444">
        <f t="array" ref="J4069">IFERROR(INDEX('Retirement Calculator'!K:K,MATCH('Lorri 401b'!N4069,'Retirement Calculator'!A:A,0),0),0)</f>
        <v>0</v>
      </c>
      <c r="K4069" s="444">
        <f t="shared" ca="1" si="158"/>
        <v>-50088137142.183792</v>
      </c>
      <c r="L4069" s="444">
        <f t="shared" ca="1" si="159"/>
        <v>-12071241051266.293</v>
      </c>
      <c r="M4069" s="460">
        <f t="shared" si="161"/>
        <v>0.05</v>
      </c>
      <c r="N4069" s="464">
        <f t="shared" si="162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60"/>
        <v>-12071241051266.293</v>
      </c>
      <c r="J4070" s="444">
        <f t="array" ref="J4070">IFERROR(INDEX('Retirement Calculator'!K:K,MATCH('Lorri 401b'!N4070,'Retirement Calculator'!A:A,0),0),0)</f>
        <v>0</v>
      </c>
      <c r="K4070" s="444">
        <f t="shared" ca="1" si="158"/>
        <v>-50296837713.60955</v>
      </c>
      <c r="L4070" s="444">
        <f t="shared" ca="1" si="159"/>
        <v>-12121537888979.902</v>
      </c>
      <c r="M4070" s="460">
        <f t="shared" si="161"/>
        <v>0.05</v>
      </c>
      <c r="N4070" s="464">
        <f t="shared" si="162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60"/>
        <v>-12121537888979.902</v>
      </c>
      <c r="J4071" s="444">
        <f t="array" ref="J4071">IFERROR(INDEX('Retirement Calculator'!K:K,MATCH('Lorri 401b'!N4071,'Retirement Calculator'!A:A,0),0),0)</f>
        <v>0</v>
      </c>
      <c r="K4071" s="444">
        <f t="shared" ca="1" si="158"/>
        <v>-50506407870.749596</v>
      </c>
      <c r="L4071" s="444">
        <f t="shared" ca="1" si="159"/>
        <v>-12172044296850.652</v>
      </c>
      <c r="M4071" s="460">
        <f t="shared" si="161"/>
        <v>0.05</v>
      </c>
      <c r="N4071" s="464">
        <f t="shared" si="162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60"/>
        <v>-12172044296850.652</v>
      </c>
      <c r="J4072" s="444">
        <f t="array" ref="J4072">IFERROR(INDEX('Retirement Calculator'!K:K,MATCH('Lorri 401b'!N4072,'Retirement Calculator'!A:A,0),0),0)</f>
        <v>0</v>
      </c>
      <c r="K4072" s="444">
        <f t="shared" ca="1" si="158"/>
        <v>-50716851236.877716</v>
      </c>
      <c r="L4072" s="444">
        <f t="shared" ca="1" si="159"/>
        <v>-12222761148087.529</v>
      </c>
      <c r="M4072" s="460">
        <f t="shared" si="161"/>
        <v>0.05</v>
      </c>
      <c r="N4072" s="464">
        <f t="shared" si="162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60"/>
        <v>-12222761148087.529</v>
      </c>
      <c r="J4073" s="444">
        <f t="array" ref="J4073">IFERROR(INDEX('Retirement Calculator'!K:K,MATCH('Lorri 401b'!N4073,'Retirement Calculator'!A:A,0),0),0)</f>
        <v>0</v>
      </c>
      <c r="K4073" s="444">
        <f t="shared" ca="1" si="158"/>
        <v>-50928171450.364708</v>
      </c>
      <c r="L4073" s="444">
        <f t="shared" ca="1" si="159"/>
        <v>-12273689319537.895</v>
      </c>
      <c r="M4073" s="460">
        <f t="shared" si="161"/>
        <v>0.05</v>
      </c>
      <c r="N4073" s="464">
        <f t="shared" si="162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60"/>
        <v>-12273689319537.895</v>
      </c>
      <c r="J4074" s="444">
        <f t="array" ref="J4074">IFERROR(INDEX('Retirement Calculator'!K:K,MATCH('Lorri 401b'!N4074,'Retirement Calculator'!A:A,0),0),0)</f>
        <v>0</v>
      </c>
      <c r="K4074" s="444">
        <f t="shared" ca="1" si="158"/>
        <v>-51140372164.741226</v>
      </c>
      <c r="L4074" s="444">
        <f t="shared" ca="1" si="159"/>
        <v>-12324829691702.637</v>
      </c>
      <c r="M4074" s="460">
        <f t="shared" si="161"/>
        <v>0.05</v>
      </c>
      <c r="N4074" s="464">
        <f t="shared" si="162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60"/>
        <v>-12324829691702.637</v>
      </c>
      <c r="J4075" s="444">
        <f t="array" ref="J4075">IFERROR(INDEX('Retirement Calculator'!K:K,MATCH('Lorri 401b'!N4075,'Retirement Calculator'!A:A,0),0),0)</f>
        <v>0</v>
      </c>
      <c r="K4075" s="444">
        <f t="shared" ca="1" si="158"/>
        <v>-51353457048.760986</v>
      </c>
      <c r="L4075" s="444">
        <f t="shared" ca="1" si="159"/>
        <v>-12376183148751.398</v>
      </c>
      <c r="M4075" s="460">
        <f t="shared" si="161"/>
        <v>0.05</v>
      </c>
      <c r="N4075" s="464">
        <f t="shared" si="162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60"/>
        <v>-12376183148751.398</v>
      </c>
      <c r="J4076" s="444">
        <f t="array" ref="J4076">IFERROR(INDEX('Retirement Calculator'!K:K,MATCH('Lorri 401b'!N4076,'Retirement Calculator'!A:A,0),0),0)</f>
        <v>0</v>
      </c>
      <c r="K4076" s="444">
        <f t="shared" ca="1" si="158"/>
        <v>-51567429786.464157</v>
      </c>
      <c r="L4076" s="444">
        <f t="shared" ca="1" si="159"/>
        <v>-12427750578537.863</v>
      </c>
      <c r="M4076" s="460">
        <f t="shared" si="161"/>
        <v>0.05</v>
      </c>
      <c r="N4076" s="464">
        <f t="shared" si="162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60"/>
        <v>-12427750578537.863</v>
      </c>
      <c r="J4077" s="444">
        <f t="array" ref="J4077">IFERROR(INDEX('Retirement Calculator'!K:K,MATCH('Lorri 401b'!N4077,'Retirement Calculator'!A:A,0),0),0)</f>
        <v>0</v>
      </c>
      <c r="K4077" s="444">
        <f t="shared" ca="1" si="158"/>
        <v>-51782294077.241096</v>
      </c>
      <c r="L4077" s="444">
        <f t="shared" ca="1" si="159"/>
        <v>-12479532872615.104</v>
      </c>
      <c r="M4077" s="460">
        <f t="shared" si="161"/>
        <v>0.05</v>
      </c>
      <c r="N4077" s="464">
        <f t="shared" si="162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60"/>
        <v>-12479532872615.104</v>
      </c>
      <c r="J4078" s="444">
        <f t="array" ref="J4078">IFERROR(INDEX('Retirement Calculator'!K:K,MATCH('Lorri 401b'!N4078,'Retirement Calculator'!A:A,0),0),0)</f>
        <v>0</v>
      </c>
      <c r="K4078" s="444">
        <f t="shared" ca="1" si="158"/>
        <v>-51998053635.896263</v>
      </c>
      <c r="L4078" s="444">
        <f t="shared" ca="1" si="159"/>
        <v>-12531530926251</v>
      </c>
      <c r="M4078" s="460">
        <f t="shared" si="161"/>
        <v>0.05</v>
      </c>
      <c r="N4078" s="464">
        <f t="shared" si="162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60"/>
        <v>-12531530926251</v>
      </c>
      <c r="J4079" s="444">
        <f t="array" ref="J4079">IFERROR(INDEX('Retirement Calculator'!K:K,MATCH('Lorri 401b'!N4079,'Retirement Calculator'!A:A,0),0),0)</f>
        <v>0</v>
      </c>
      <c r="K4079" s="444">
        <f t="shared" ca="1" si="158"/>
        <v>-52214712192.712502</v>
      </c>
      <c r="L4079" s="444">
        <f t="shared" ca="1" si="159"/>
        <v>-12583745638443.713</v>
      </c>
      <c r="M4079" s="460">
        <f t="shared" si="161"/>
        <v>0.05</v>
      </c>
      <c r="N4079" s="464">
        <f t="shared" si="162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60"/>
        <v>-12583745638443.713</v>
      </c>
      <c r="J4080" s="444">
        <f t="array" ref="J4080">IFERROR(INDEX('Retirement Calculator'!K:K,MATCH('Lorri 401b'!N4080,'Retirement Calculator'!A:A,0),0),0)</f>
        <v>0</v>
      </c>
      <c r="K4080" s="444">
        <f t="shared" ca="1" si="158"/>
        <v>-52432273493.515472</v>
      </c>
      <c r="L4080" s="444">
        <f t="shared" ca="1" si="159"/>
        <v>-12636177911937.229</v>
      </c>
      <c r="M4080" s="460">
        <f t="shared" si="161"/>
        <v>0.05</v>
      </c>
      <c r="N4080" s="464">
        <f t="shared" si="162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60"/>
        <v>-12636177911937.229</v>
      </c>
      <c r="J4081" s="444">
        <f t="array" ref="J4081">IFERROR(INDEX('Retirement Calculator'!K:K,MATCH('Lorri 401b'!N4081,'Retirement Calculator'!A:A,0),0),0)</f>
        <v>0</v>
      </c>
      <c r="K4081" s="444">
        <f t="shared" ca="1" si="158"/>
        <v>-52650741299.738449</v>
      </c>
      <c r="L4081" s="444">
        <f t="shared" ca="1" si="159"/>
        <v>-12688828653236.967</v>
      </c>
      <c r="M4081" s="460">
        <f t="shared" si="161"/>
        <v>0.05</v>
      </c>
      <c r="N4081" s="464">
        <f t="shared" si="162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60"/>
        <v>-12688828653236.967</v>
      </c>
      <c r="J4082" s="444">
        <f t="array" ref="J4082">IFERROR(INDEX('Retirement Calculator'!K:K,MATCH('Lorri 401b'!N4082,'Retirement Calculator'!A:A,0),0),0)</f>
        <v>0</v>
      </c>
      <c r="K4082" s="444">
        <f t="shared" ca="1" si="158"/>
        <v>-52870119388.487358</v>
      </c>
      <c r="L4082" s="444">
        <f t="shared" ca="1" si="159"/>
        <v>-12741698772625.455</v>
      </c>
      <c r="M4082" s="460">
        <f t="shared" si="161"/>
        <v>0.05</v>
      </c>
      <c r="N4082" s="464">
        <f t="shared" si="162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60"/>
        <v>-12741698772625.455</v>
      </c>
      <c r="J4083" s="444">
        <f t="array" ref="J4083">IFERROR(INDEX('Retirement Calculator'!K:K,MATCH('Lorri 401b'!N4083,'Retirement Calculator'!A:A,0),0),0)</f>
        <v>0</v>
      </c>
      <c r="K4083" s="444">
        <f t="shared" ca="1" si="158"/>
        <v>-53090411552.606064</v>
      </c>
      <c r="L4083" s="444">
        <f t="shared" ca="1" si="159"/>
        <v>-12794789184178.061</v>
      </c>
      <c r="M4083" s="460">
        <f t="shared" si="161"/>
        <v>0.05</v>
      </c>
      <c r="N4083" s="464">
        <f t="shared" si="162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60"/>
        <v>-12794789184178.061</v>
      </c>
      <c r="J4084" s="444">
        <f t="array" ref="J4084">IFERROR(INDEX('Retirement Calculator'!K:K,MATCH('Lorri 401b'!N4084,'Retirement Calculator'!A:A,0),0),0)</f>
        <v>0</v>
      </c>
      <c r="K4084" s="444">
        <f t="shared" ca="1" si="158"/>
        <v>-53311621600.74192</v>
      </c>
      <c r="L4084" s="444">
        <f t="shared" ca="1" si="159"/>
        <v>-12848100805778.803</v>
      </c>
      <c r="M4084" s="460">
        <f t="shared" si="161"/>
        <v>0.05</v>
      </c>
      <c r="N4084" s="464">
        <f t="shared" si="162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60"/>
        <v>-12848100805778.803</v>
      </c>
      <c r="J4085" s="444">
        <f t="array" ref="J4085">IFERROR(INDEX('Retirement Calculator'!K:K,MATCH('Lorri 401b'!N4085,'Retirement Calculator'!A:A,0),0),0)</f>
        <v>0</v>
      </c>
      <c r="K4085" s="444">
        <f t="shared" ca="1" si="158"/>
        <v>-53533753357.411674</v>
      </c>
      <c r="L4085" s="444">
        <f t="shared" ca="1" si="159"/>
        <v>-12901634559136.215</v>
      </c>
      <c r="M4085" s="460">
        <f t="shared" si="161"/>
        <v>0.05</v>
      </c>
      <c r="N4085" s="464">
        <f t="shared" si="162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60"/>
        <v>-12901634559136.215</v>
      </c>
      <c r="J4086" s="444">
        <f t="array" ref="J4086">IFERROR(INDEX('Retirement Calculator'!K:K,MATCH('Lorri 401b'!N4086,'Retirement Calculator'!A:A,0),0),0)</f>
        <v>0</v>
      </c>
      <c r="K4086" s="444">
        <f t="shared" ca="1" si="158"/>
        <v>-53756810663.067558</v>
      </c>
      <c r="L4086" s="444">
        <f t="shared" ca="1" si="159"/>
        <v>-12955391369799.283</v>
      </c>
      <c r="M4086" s="460">
        <f t="shared" si="161"/>
        <v>0.05</v>
      </c>
      <c r="N4086" s="464">
        <f t="shared" si="162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60"/>
        <v>-12955391369799.283</v>
      </c>
      <c r="J4087" s="444">
        <f t="array" ref="J4087">IFERROR(INDEX('Retirement Calculator'!K:K,MATCH('Lorri 401b'!N4087,'Retirement Calculator'!A:A,0),0),0)</f>
        <v>0</v>
      </c>
      <c r="K4087" s="444">
        <f t="shared" ca="1" si="158"/>
        <v>-53980797374.163681</v>
      </c>
      <c r="L4087" s="444">
        <f t="shared" ca="1" si="159"/>
        <v>-13009372167173.447</v>
      </c>
      <c r="M4087" s="460">
        <f t="shared" si="161"/>
        <v>0.05</v>
      </c>
      <c r="N4087" s="464">
        <f t="shared" si="162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60"/>
        <v>-13009372167173.447</v>
      </c>
      <c r="J4088" s="444">
        <f t="array" ref="J4088">IFERROR(INDEX('Retirement Calculator'!K:K,MATCH('Lorri 401b'!N4088,'Retirement Calculator'!A:A,0),0),0)</f>
        <v>0</v>
      </c>
      <c r="K4088" s="444">
        <f t="shared" ref="K4088:K4342" ca="1" si="163">IPMT(M4088/12,1,12,-I4088+J4088,,0)</f>
        <v>-54205717363.222694</v>
      </c>
      <c r="L4088" s="444">
        <f t="shared" ref="L4088:L4342" ca="1" si="164">I4088-J4088+K4088</f>
        <v>-13063577884536.67</v>
      </c>
      <c r="M4088" s="460">
        <f t="shared" si="161"/>
        <v>0.05</v>
      </c>
      <c r="N4088" s="464">
        <f t="shared" si="162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65">L4088</f>
        <v>-13063577884536.67</v>
      </c>
      <c r="J4089" s="444">
        <f t="array" ref="J4089">IFERROR(INDEX('Retirement Calculator'!K:K,MATCH('Lorri 401b'!N4089,'Retirement Calculator'!A:A,0),0),0)</f>
        <v>0</v>
      </c>
      <c r="K4089" s="444">
        <f t="shared" ca="1" si="163"/>
        <v>-54431574518.902794</v>
      </c>
      <c r="L4089" s="444">
        <f t="shared" ca="1" si="164"/>
        <v>-13118009459055.572</v>
      </c>
      <c r="M4089" s="460">
        <f t="shared" ref="M4089:M4343" si="166">M4088</f>
        <v>0.05</v>
      </c>
      <c r="N4089" s="464">
        <f t="shared" ref="N4089:N4343" si="167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65"/>
        <v>-13118009459055.572</v>
      </c>
      <c r="J4090" s="444">
        <f t="array" ref="J4090">IFERROR(INDEX('Retirement Calculator'!K:K,MATCH('Lorri 401b'!N4090,'Retirement Calculator'!A:A,0),0),0)</f>
        <v>0</v>
      </c>
      <c r="K4090" s="444">
        <f t="shared" ca="1" si="163"/>
        <v>-54658372746.06488</v>
      </c>
      <c r="L4090" s="444">
        <f t="shared" ca="1" si="164"/>
        <v>-13172667831801.637</v>
      </c>
      <c r="M4090" s="460">
        <f t="shared" si="166"/>
        <v>0.05</v>
      </c>
      <c r="N4090" s="464">
        <f t="shared" si="167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65"/>
        <v>-13172667831801.637</v>
      </c>
      <c r="J4091" s="444">
        <f t="array" ref="J4091">IFERROR(INDEX('Retirement Calculator'!K:K,MATCH('Lorri 401b'!N4091,'Retirement Calculator'!A:A,0),0),0)</f>
        <v>0</v>
      </c>
      <c r="K4091" s="444">
        <f t="shared" ca="1" si="163"/>
        <v>-54886115965.840149</v>
      </c>
      <c r="L4091" s="444">
        <f t="shared" ca="1" si="164"/>
        <v>-13227553947767.477</v>
      </c>
      <c r="M4091" s="460">
        <f t="shared" si="166"/>
        <v>0.05</v>
      </c>
      <c r="N4091" s="464">
        <f t="shared" si="167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65"/>
        <v>-13227553947767.477</v>
      </c>
      <c r="J4092" s="444">
        <f t="array" ref="J4092">IFERROR(INDEX('Retirement Calculator'!K:K,MATCH('Lorri 401b'!N4092,'Retirement Calculator'!A:A,0),0),0)</f>
        <v>0</v>
      </c>
      <c r="K4092" s="444">
        <f t="shared" ca="1" si="163"/>
        <v>-55114808115.697815</v>
      </c>
      <c r="L4092" s="444">
        <f t="shared" ca="1" si="164"/>
        <v>-13282668755883.174</v>
      </c>
      <c r="M4092" s="460">
        <f t="shared" si="166"/>
        <v>0.05</v>
      </c>
      <c r="N4092" s="464">
        <f t="shared" si="167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65"/>
        <v>-13282668755883.174</v>
      </c>
      <c r="J4093" s="444">
        <f t="array" ref="J4093">IFERROR(INDEX('Retirement Calculator'!K:K,MATCH('Lorri 401b'!N4093,'Retirement Calculator'!A:A,0),0),0)</f>
        <v>0</v>
      </c>
      <c r="K4093" s="444">
        <f t="shared" ca="1" si="163"/>
        <v>-55344453149.513222</v>
      </c>
      <c r="L4093" s="444">
        <f t="shared" ca="1" si="164"/>
        <v>-13338013209032.688</v>
      </c>
      <c r="M4093" s="460">
        <f t="shared" si="166"/>
        <v>0.05</v>
      </c>
      <c r="N4093" s="464">
        <f t="shared" si="167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65"/>
        <v>-13338013209032.688</v>
      </c>
      <c r="J4094" s="444">
        <f t="array" ref="J4094">IFERROR(INDEX('Retirement Calculator'!K:K,MATCH('Lorri 401b'!N4094,'Retirement Calculator'!A:A,0),0),0)</f>
        <v>0</v>
      </c>
      <c r="K4094" s="444">
        <f t="shared" ca="1" si="163"/>
        <v>-55575055037.6362</v>
      </c>
      <c r="L4094" s="444">
        <f t="shared" ca="1" si="164"/>
        <v>-13393588264070.324</v>
      </c>
      <c r="M4094" s="460">
        <f t="shared" si="166"/>
        <v>0.05</v>
      </c>
      <c r="N4094" s="464">
        <f t="shared" si="167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65"/>
        <v>-13393588264070.324</v>
      </c>
      <c r="J4095" s="444">
        <f t="array" ref="J4095">IFERROR(INDEX('Retirement Calculator'!K:K,MATCH('Lorri 401b'!N4095,'Retirement Calculator'!A:A,0),0),0)</f>
        <v>0</v>
      </c>
      <c r="K4095" s="444">
        <f t="shared" ca="1" si="163"/>
        <v>-55806617766.959686</v>
      </c>
      <c r="L4095" s="444">
        <f t="shared" ca="1" si="164"/>
        <v>-13449394881837.283</v>
      </c>
      <c r="M4095" s="460">
        <f t="shared" si="166"/>
        <v>0.05</v>
      </c>
      <c r="N4095" s="464">
        <f t="shared" si="167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65"/>
        <v>-13449394881837.283</v>
      </c>
      <c r="J4096" s="444">
        <f t="array" ref="J4096">IFERROR(INDEX('Retirement Calculator'!K:K,MATCH('Lorri 401b'!N4096,'Retirement Calculator'!A:A,0),0),0)</f>
        <v>0</v>
      </c>
      <c r="K4096" s="444">
        <f t="shared" ca="1" si="163"/>
        <v>-56039145340.988678</v>
      </c>
      <c r="L4096" s="444">
        <f t="shared" ca="1" si="164"/>
        <v>-13505434027178.271</v>
      </c>
      <c r="M4096" s="460">
        <f t="shared" si="166"/>
        <v>0.05</v>
      </c>
      <c r="N4096" s="464">
        <f t="shared" si="167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65"/>
        <v>-13505434027178.271</v>
      </c>
      <c r="J4097" s="444">
        <f t="array" ref="J4097">IFERROR(INDEX('Retirement Calculator'!K:K,MATCH('Lorri 401b'!N4097,'Retirement Calculator'!A:A,0),0),0)</f>
        <v>0</v>
      </c>
      <c r="K4097" s="444">
        <f t="shared" ca="1" si="163"/>
        <v>-56272641779.909462</v>
      </c>
      <c r="L4097" s="444">
        <f t="shared" ca="1" si="164"/>
        <v>-13561706668958.182</v>
      </c>
      <c r="M4097" s="460">
        <f t="shared" si="166"/>
        <v>0.05</v>
      </c>
      <c r="N4097" s="464">
        <f t="shared" si="167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65"/>
        <v>-13561706668958.182</v>
      </c>
      <c r="J4098" s="444">
        <f t="array" ref="J4098">IFERROR(INDEX('Retirement Calculator'!K:K,MATCH('Lorri 401b'!N4098,'Retirement Calculator'!A:A,0),0),0)</f>
        <v>0</v>
      </c>
      <c r="K4098" s="444">
        <f t="shared" ca="1" si="163"/>
        <v>-56507111120.659088</v>
      </c>
      <c r="L4098" s="444">
        <f t="shared" ca="1" si="164"/>
        <v>-13618213780078.84</v>
      </c>
      <c r="M4098" s="460">
        <f t="shared" si="166"/>
        <v>0.05</v>
      </c>
      <c r="N4098" s="464">
        <f t="shared" si="167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65"/>
        <v>-13618213780078.84</v>
      </c>
      <c r="J4099" s="444">
        <f t="array" ref="J4099">IFERROR(INDEX('Retirement Calculator'!K:K,MATCH('Lorri 401b'!N4099,'Retirement Calculator'!A:A,0),0),0)</f>
        <v>0</v>
      </c>
      <c r="K4099" s="444">
        <f t="shared" ca="1" si="163"/>
        <v>-56742557416.995163</v>
      </c>
      <c r="L4099" s="444">
        <f t="shared" ca="1" si="164"/>
        <v>-13674956337495.836</v>
      </c>
      <c r="M4099" s="460">
        <f t="shared" si="166"/>
        <v>0.05</v>
      </c>
      <c r="N4099" s="464">
        <f t="shared" si="167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65"/>
        <v>-13674956337495.836</v>
      </c>
      <c r="J4100" s="444">
        <f t="array" ref="J4100">IFERROR(INDEX('Retirement Calculator'!K:K,MATCH('Lorri 401b'!N4100,'Retirement Calculator'!A:A,0),0),0)</f>
        <v>0</v>
      </c>
      <c r="K4100" s="444">
        <f t="shared" ca="1" si="163"/>
        <v>-56978984739.565979</v>
      </c>
      <c r="L4100" s="444">
        <f t="shared" ca="1" si="164"/>
        <v>-13731935322235.402</v>
      </c>
      <c r="M4100" s="460">
        <f t="shared" si="166"/>
        <v>0.05</v>
      </c>
      <c r="N4100" s="464">
        <f t="shared" si="167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65"/>
        <v>-13731935322235.402</v>
      </c>
      <c r="J4101" s="444">
        <f t="array" ref="J4101">IFERROR(INDEX('Retirement Calculator'!K:K,MATCH('Lorri 401b'!N4101,'Retirement Calculator'!A:A,0),0),0)</f>
        <v>0</v>
      </c>
      <c r="K4101" s="444">
        <f t="shared" ca="1" si="163"/>
        <v>-57216397175.980843</v>
      </c>
      <c r="L4101" s="444">
        <f t="shared" ca="1" si="164"/>
        <v>-13789151719411.383</v>
      </c>
      <c r="M4101" s="460">
        <f t="shared" si="166"/>
        <v>0.05</v>
      </c>
      <c r="N4101" s="464">
        <f t="shared" si="167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65"/>
        <v>-13789151719411.383</v>
      </c>
      <c r="J4102" s="444">
        <f t="array" ref="J4102">IFERROR(INDEX('Retirement Calculator'!K:K,MATCH('Lorri 401b'!N4102,'Retirement Calculator'!A:A,0),0),0)</f>
        <v>0</v>
      </c>
      <c r="K4102" s="444">
        <f t="shared" ca="1" si="163"/>
        <v>-57454798830.880753</v>
      </c>
      <c r="L4102" s="444">
        <f t="shared" ca="1" si="164"/>
        <v>-13846606518242.264</v>
      </c>
      <c r="M4102" s="460">
        <f t="shared" si="166"/>
        <v>0.05</v>
      </c>
      <c r="N4102" s="464">
        <f t="shared" si="167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65"/>
        <v>-13846606518242.264</v>
      </c>
      <c r="J4103" s="444">
        <f t="array" ref="J4103">IFERROR(INDEX('Retirement Calculator'!K:K,MATCH('Lorri 401b'!N4103,'Retirement Calculator'!A:A,0),0),0)</f>
        <v>0</v>
      </c>
      <c r="K4103" s="444">
        <f t="shared" ca="1" si="163"/>
        <v>-57694193826.00943</v>
      </c>
      <c r="L4103" s="444">
        <f t="shared" ca="1" si="164"/>
        <v>-13904300712068.273</v>
      </c>
      <c r="M4103" s="460">
        <f t="shared" si="166"/>
        <v>0.05</v>
      </c>
      <c r="N4103" s="464">
        <f t="shared" si="167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65"/>
        <v>-13904300712068.273</v>
      </c>
      <c r="J4104" s="444">
        <f t="array" ref="J4104">IFERROR(INDEX('Retirement Calculator'!K:K,MATCH('Lorri 401b'!N4104,'Retirement Calculator'!A:A,0),0),0)</f>
        <v>0</v>
      </c>
      <c r="K4104" s="444">
        <f t="shared" ca="1" si="163"/>
        <v>-57934586300.28447</v>
      </c>
      <c r="L4104" s="444">
        <f t="shared" ca="1" si="164"/>
        <v>-13962235298368.559</v>
      </c>
      <c r="M4104" s="460">
        <f t="shared" si="166"/>
        <v>0.05</v>
      </c>
      <c r="N4104" s="464">
        <f t="shared" si="167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65"/>
        <v>-13962235298368.559</v>
      </c>
      <c r="J4105" s="444">
        <f t="array" ref="J4105">IFERROR(INDEX('Retirement Calculator'!K:K,MATCH('Lorri 401b'!N4105,'Retirement Calculator'!A:A,0),0),0)</f>
        <v>0</v>
      </c>
      <c r="K4105" s="444">
        <f t="shared" ca="1" si="163"/>
        <v>-58175980409.868988</v>
      </c>
      <c r="L4105" s="444">
        <f t="shared" ca="1" si="164"/>
        <v>-14020411278778.428</v>
      </c>
      <c r="M4105" s="460">
        <f t="shared" si="166"/>
        <v>0.05</v>
      </c>
      <c r="N4105" s="464">
        <f t="shared" si="167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65"/>
        <v>-14020411278778.428</v>
      </c>
      <c r="J4106" s="444">
        <f t="array" ref="J4106">IFERROR(INDEX('Retirement Calculator'!K:K,MATCH('Lorri 401b'!N4106,'Retirement Calculator'!A:A,0),0),0)</f>
        <v>0</v>
      </c>
      <c r="K4106" s="444">
        <f t="shared" ca="1" si="163"/>
        <v>-58418380328.243454</v>
      </c>
      <c r="L4106" s="444">
        <f t="shared" ca="1" si="164"/>
        <v>-14078829659106.672</v>
      </c>
      <c r="M4106" s="460">
        <f t="shared" si="166"/>
        <v>0.05</v>
      </c>
      <c r="N4106" s="464">
        <f t="shared" si="167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65"/>
        <v>-14078829659106.672</v>
      </c>
      <c r="J4107" s="444">
        <f t="array" ref="J4107">IFERROR(INDEX('Retirement Calculator'!K:K,MATCH('Lorri 401b'!N4107,'Retirement Calculator'!A:A,0),0),0)</f>
        <v>0</v>
      </c>
      <c r="K4107" s="444">
        <f t="shared" ca="1" si="163"/>
        <v>-58661790246.277794</v>
      </c>
      <c r="L4107" s="444">
        <f t="shared" ca="1" si="164"/>
        <v>-14137491449352.949</v>
      </c>
      <c r="M4107" s="460">
        <f t="shared" si="166"/>
        <v>0.05</v>
      </c>
      <c r="N4107" s="464">
        <f t="shared" si="167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65"/>
        <v>-14137491449352.949</v>
      </c>
      <c r="J4108" s="444">
        <f t="array" ref="J4108">IFERROR(INDEX('Retirement Calculator'!K:K,MATCH('Lorri 401b'!N4108,'Retirement Calculator'!A:A,0),0),0)</f>
        <v>0</v>
      </c>
      <c r="K4108" s="444">
        <f t="shared" ca="1" si="163"/>
        <v>-58906214372.303963</v>
      </c>
      <c r="L4108" s="444">
        <f t="shared" ca="1" si="164"/>
        <v>-14196397663725.254</v>
      </c>
      <c r="M4108" s="460">
        <f t="shared" si="166"/>
        <v>0.05</v>
      </c>
      <c r="N4108" s="464">
        <f t="shared" si="167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65"/>
        <v>-14196397663725.254</v>
      </c>
      <c r="J4109" s="444">
        <f t="array" ref="J4109">IFERROR(INDEX('Retirement Calculator'!K:K,MATCH('Lorri 401b'!N4109,'Retirement Calculator'!A:A,0),0),0)</f>
        <v>0</v>
      </c>
      <c r="K4109" s="444">
        <f t="shared" ca="1" si="163"/>
        <v>-59151656932.188545</v>
      </c>
      <c r="L4109" s="444">
        <f t="shared" ca="1" si="164"/>
        <v>-14255549320657.443</v>
      </c>
      <c r="M4109" s="460">
        <f t="shared" si="166"/>
        <v>0.05</v>
      </c>
      <c r="N4109" s="464">
        <f t="shared" si="167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65"/>
        <v>-14255549320657.443</v>
      </c>
      <c r="J4110" s="444">
        <f t="array" ref="J4110">IFERROR(INDEX('Retirement Calculator'!K:K,MATCH('Lorri 401b'!N4110,'Retirement Calculator'!A:A,0),0),0)</f>
        <v>0</v>
      </c>
      <c r="K4110" s="444">
        <f t="shared" ca="1" si="163"/>
        <v>-59398122169.406013</v>
      </c>
      <c r="L4110" s="444">
        <f t="shared" ca="1" si="164"/>
        <v>-14314947442826.85</v>
      </c>
      <c r="M4110" s="460">
        <f t="shared" si="166"/>
        <v>0.05</v>
      </c>
      <c r="N4110" s="464">
        <f t="shared" si="167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65"/>
        <v>-14314947442826.85</v>
      </c>
      <c r="J4111" s="444">
        <f t="array" ref="J4111">IFERROR(INDEX('Retirement Calculator'!K:K,MATCH('Lorri 401b'!N4111,'Retirement Calculator'!A:A,0),0),0)</f>
        <v>0</v>
      </c>
      <c r="K4111" s="444">
        <f t="shared" ca="1" si="163"/>
        <v>-59645614345.111862</v>
      </c>
      <c r="L4111" s="444">
        <f t="shared" ca="1" si="164"/>
        <v>-14374593057171.961</v>
      </c>
      <c r="M4111" s="460">
        <f t="shared" si="166"/>
        <v>0.05</v>
      </c>
      <c r="N4111" s="464">
        <f t="shared" si="167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65"/>
        <v>-14374593057171.961</v>
      </c>
      <c r="J4112" s="444">
        <f t="array" ref="J4112">IFERROR(INDEX('Retirement Calculator'!K:K,MATCH('Lorri 401b'!N4112,'Retirement Calculator'!A:A,0),0),0)</f>
        <v>0</v>
      </c>
      <c r="K4112" s="444">
        <f t="shared" ca="1" si="163"/>
        <v>-59894137738.216499</v>
      </c>
      <c r="L4112" s="444">
        <f t="shared" ca="1" si="164"/>
        <v>-14434487194910.178</v>
      </c>
      <c r="M4112" s="460">
        <f t="shared" si="166"/>
        <v>0.05</v>
      </c>
      <c r="N4112" s="464">
        <f t="shared" si="167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65"/>
        <v>-14434487194910.178</v>
      </c>
      <c r="J4113" s="444">
        <f t="array" ref="J4113">IFERROR(INDEX('Retirement Calculator'!K:K,MATCH('Lorri 401b'!N4113,'Retirement Calculator'!A:A,0),0),0)</f>
        <v>0</v>
      </c>
      <c r="K4113" s="444">
        <f t="shared" ca="1" si="163"/>
        <v>-60143696645.459068</v>
      </c>
      <c r="L4113" s="444">
        <f t="shared" ca="1" si="164"/>
        <v>-14494630891555.637</v>
      </c>
      <c r="M4113" s="460">
        <f t="shared" si="166"/>
        <v>0.05</v>
      </c>
      <c r="N4113" s="464">
        <f t="shared" si="167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65"/>
        <v>-14494630891555.637</v>
      </c>
      <c r="J4114" s="444">
        <f t="array" ref="J4114">IFERROR(INDEX('Retirement Calculator'!K:K,MATCH('Lorri 401b'!N4114,'Retirement Calculator'!A:A,0),0),0)</f>
        <v>0</v>
      </c>
      <c r="K4114" s="444">
        <f t="shared" ca="1" si="163"/>
        <v>-60394295381.481827</v>
      </c>
      <c r="L4114" s="444">
        <f t="shared" ca="1" si="164"/>
        <v>-14555025186937.119</v>
      </c>
      <c r="M4114" s="460">
        <f t="shared" si="166"/>
        <v>0.05</v>
      </c>
      <c r="N4114" s="464">
        <f t="shared" si="167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65"/>
        <v>-14555025186937.119</v>
      </c>
      <c r="J4115" s="444">
        <f t="array" ref="J4115">IFERROR(INDEX('Retirement Calculator'!K:K,MATCH('Lorri 401b'!N4115,'Retirement Calculator'!A:A,0),0),0)</f>
        <v>0</v>
      </c>
      <c r="K4115" s="444">
        <f t="shared" ca="1" si="163"/>
        <v>-60645938278.904663</v>
      </c>
      <c r="L4115" s="444">
        <f t="shared" ca="1" si="164"/>
        <v>-14615671125216.023</v>
      </c>
      <c r="M4115" s="460">
        <f t="shared" si="166"/>
        <v>0.05</v>
      </c>
      <c r="N4115" s="464">
        <f t="shared" si="167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65"/>
        <v>-14615671125216.023</v>
      </c>
      <c r="J4116" s="444">
        <f t="array" ref="J4116">IFERROR(INDEX('Retirement Calculator'!K:K,MATCH('Lorri 401b'!N4116,'Retirement Calculator'!A:A,0),0),0)</f>
        <v>0</v>
      </c>
      <c r="K4116" s="444">
        <f t="shared" ca="1" si="163"/>
        <v>-60898629688.400108</v>
      </c>
      <c r="L4116" s="444">
        <f t="shared" ca="1" si="164"/>
        <v>-14676569754904.424</v>
      </c>
      <c r="M4116" s="460">
        <f t="shared" si="166"/>
        <v>0.05</v>
      </c>
      <c r="N4116" s="464">
        <f t="shared" si="167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65"/>
        <v>-14676569754904.424</v>
      </c>
      <c r="J4117" s="444">
        <f t="array" ref="J4117">IFERROR(INDEX('Retirement Calculator'!K:K,MATCH('Lorri 401b'!N4117,'Retirement Calculator'!A:A,0),0),0)</f>
        <v>0</v>
      </c>
      <c r="K4117" s="444">
        <f t="shared" ca="1" si="163"/>
        <v>-61152373978.768433</v>
      </c>
      <c r="L4117" s="444">
        <f t="shared" ca="1" si="164"/>
        <v>-14737722128883.191</v>
      </c>
      <c r="M4117" s="460">
        <f t="shared" si="166"/>
        <v>0.05</v>
      </c>
      <c r="N4117" s="464">
        <f t="shared" si="167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65"/>
        <v>-14737722128883.191</v>
      </c>
      <c r="J4118" s="444">
        <f t="array" ref="J4118">IFERROR(INDEX('Retirement Calculator'!K:K,MATCH('Lorri 401b'!N4118,'Retirement Calculator'!A:A,0),0),0)</f>
        <v>0</v>
      </c>
      <c r="K4118" s="444">
        <f t="shared" ca="1" si="163"/>
        <v>-61407175537.013298</v>
      </c>
      <c r="L4118" s="444">
        <f t="shared" ca="1" si="164"/>
        <v>-14799129304420.205</v>
      </c>
      <c r="M4118" s="460">
        <f t="shared" si="166"/>
        <v>0.05</v>
      </c>
      <c r="N4118" s="464">
        <f t="shared" si="167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65"/>
        <v>-14799129304420.205</v>
      </c>
      <c r="J4119" s="444">
        <f t="array" ref="J4119">IFERROR(INDEX('Retirement Calculator'!K:K,MATCH('Lorri 401b'!N4119,'Retirement Calculator'!A:A,0),0),0)</f>
        <v>0</v>
      </c>
      <c r="K4119" s="444">
        <f t="shared" ca="1" si="163"/>
        <v>-61663038768.417519</v>
      </c>
      <c r="L4119" s="444">
        <f t="shared" ca="1" si="164"/>
        <v>-14860792343188.623</v>
      </c>
      <c r="M4119" s="460">
        <f t="shared" si="166"/>
        <v>0.05</v>
      </c>
      <c r="N4119" s="464">
        <f t="shared" si="167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65"/>
        <v>-14860792343188.623</v>
      </c>
      <c r="J4120" s="444">
        <f t="array" ref="J4120">IFERROR(INDEX('Retirement Calculator'!K:K,MATCH('Lorri 401b'!N4120,'Retirement Calculator'!A:A,0),0),0)</f>
        <v>0</v>
      </c>
      <c r="K4120" s="444">
        <f t="shared" ca="1" si="163"/>
        <v>-61919968096.619255</v>
      </c>
      <c r="L4120" s="444">
        <f t="shared" ca="1" si="164"/>
        <v>-14922712311285.242</v>
      </c>
      <c r="M4120" s="460">
        <f t="shared" si="166"/>
        <v>0.05</v>
      </c>
      <c r="N4120" s="464">
        <f t="shared" si="167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65"/>
        <v>-14922712311285.242</v>
      </c>
      <c r="J4121" s="444">
        <f t="array" ref="J4121">IFERROR(INDEX('Retirement Calculator'!K:K,MATCH('Lorri 401b'!N4121,'Retirement Calculator'!A:A,0),0),0)</f>
        <v>0</v>
      </c>
      <c r="K4121" s="444">
        <f t="shared" ca="1" si="163"/>
        <v>-62177967963.688507</v>
      </c>
      <c r="L4121" s="444">
        <f t="shared" ca="1" si="164"/>
        <v>-14984890279248.932</v>
      </c>
      <c r="M4121" s="460">
        <f t="shared" si="166"/>
        <v>0.05</v>
      </c>
      <c r="N4121" s="464">
        <f t="shared" si="167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65"/>
        <v>-14984890279248.932</v>
      </c>
      <c r="J4122" s="444">
        <f t="array" ref="J4122">IFERROR(INDEX('Retirement Calculator'!K:K,MATCH('Lorri 401b'!N4122,'Retirement Calculator'!A:A,0),0),0)</f>
        <v>0</v>
      </c>
      <c r="K4122" s="444">
        <f t="shared" ca="1" si="163"/>
        <v>-62437042830.20388</v>
      </c>
      <c r="L4122" s="444">
        <f t="shared" ca="1" si="164"/>
        <v>-15047327322079.135</v>
      </c>
      <c r="M4122" s="460">
        <f t="shared" si="166"/>
        <v>0.05</v>
      </c>
      <c r="N4122" s="464">
        <f t="shared" si="167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65"/>
        <v>-15047327322079.135</v>
      </c>
      <c r="J4123" s="444">
        <f t="array" ref="J4123">IFERROR(INDEX('Retirement Calculator'!K:K,MATCH('Lorri 401b'!N4123,'Retirement Calculator'!A:A,0),0),0)</f>
        <v>0</v>
      </c>
      <c r="K4123" s="444">
        <f t="shared" ca="1" si="163"/>
        <v>-62697197175.329735</v>
      </c>
      <c r="L4123" s="444">
        <f t="shared" ca="1" si="164"/>
        <v>-15110024519254.465</v>
      </c>
      <c r="M4123" s="460">
        <f t="shared" si="166"/>
        <v>0.05</v>
      </c>
      <c r="N4123" s="464">
        <f t="shared" si="167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65"/>
        <v>-15110024519254.465</v>
      </c>
      <c r="J4124" s="444">
        <f t="array" ref="J4124">IFERROR(INDEX('Retirement Calculator'!K:K,MATCH('Lorri 401b'!N4124,'Retirement Calculator'!A:A,0),0),0)</f>
        <v>0</v>
      </c>
      <c r="K4124" s="444">
        <f t="shared" ca="1" si="163"/>
        <v>-62958435496.893608</v>
      </c>
      <c r="L4124" s="444">
        <f t="shared" ca="1" si="164"/>
        <v>-15172982954751.359</v>
      </c>
      <c r="M4124" s="460">
        <f t="shared" si="166"/>
        <v>0.05</v>
      </c>
      <c r="N4124" s="464">
        <f t="shared" si="167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65"/>
        <v>-15172982954751.359</v>
      </c>
      <c r="J4125" s="444">
        <f t="array" ref="J4125">IFERROR(INDEX('Retirement Calculator'!K:K,MATCH('Lorri 401b'!N4125,'Retirement Calculator'!A:A,0),0),0)</f>
        <v>0</v>
      </c>
      <c r="K4125" s="444">
        <f t="shared" ca="1" si="163"/>
        <v>-63220762311.463997</v>
      </c>
      <c r="L4125" s="444">
        <f t="shared" ca="1" si="164"/>
        <v>-15236203717062.824</v>
      </c>
      <c r="M4125" s="460">
        <f t="shared" si="166"/>
        <v>0.05</v>
      </c>
      <c r="N4125" s="464">
        <f t="shared" si="167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65"/>
        <v>-15236203717062.824</v>
      </c>
      <c r="J4126" s="444">
        <f t="array" ref="J4126">IFERROR(INDEX('Retirement Calculator'!K:K,MATCH('Lorri 401b'!N4126,'Retirement Calculator'!A:A,0),0),0)</f>
        <v>0</v>
      </c>
      <c r="K4126" s="444">
        <f t="shared" ca="1" si="163"/>
        <v>-63484182154.428436</v>
      </c>
      <c r="L4126" s="444">
        <f t="shared" ca="1" si="164"/>
        <v>-15299687899217.252</v>
      </c>
      <c r="M4126" s="460">
        <f t="shared" si="166"/>
        <v>0.05</v>
      </c>
      <c r="N4126" s="464">
        <f t="shared" si="167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65"/>
        <v>-15299687899217.252</v>
      </c>
      <c r="J4127" s="444">
        <f t="array" ref="J4127">IFERROR(INDEX('Retirement Calculator'!K:K,MATCH('Lorri 401b'!N4127,'Retirement Calculator'!A:A,0),0),0)</f>
        <v>0</v>
      </c>
      <c r="K4127" s="444">
        <f t="shared" ca="1" si="163"/>
        <v>-63748699580.071884</v>
      </c>
      <c r="L4127" s="444">
        <f t="shared" ca="1" si="164"/>
        <v>-15363436598797.324</v>
      </c>
      <c r="M4127" s="460">
        <f t="shared" si="166"/>
        <v>0.05</v>
      </c>
      <c r="N4127" s="464">
        <f t="shared" si="167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65"/>
        <v>-15363436598797.324</v>
      </c>
      <c r="J4128" s="444">
        <f t="array" ref="J4128">IFERROR(INDEX('Retirement Calculator'!K:K,MATCH('Lorri 401b'!N4128,'Retirement Calculator'!A:A,0),0),0)</f>
        <v>0</v>
      </c>
      <c r="K4128" s="444">
        <f t="shared" ca="1" si="163"/>
        <v>-64014319161.65551</v>
      </c>
      <c r="L4128" s="444">
        <f t="shared" ca="1" si="164"/>
        <v>-15427450917958.98</v>
      </c>
      <c r="M4128" s="460">
        <f t="shared" si="166"/>
        <v>0.05</v>
      </c>
      <c r="N4128" s="464">
        <f t="shared" si="167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65"/>
        <v>-15427450917958.98</v>
      </c>
      <c r="J4129" s="444">
        <f t="array" ref="J4129">IFERROR(INDEX('Retirement Calculator'!K:K,MATCH('Lorri 401b'!N4129,'Retirement Calculator'!A:A,0),0),0)</f>
        <v>0</v>
      </c>
      <c r="K4129" s="444">
        <f t="shared" ca="1" si="163"/>
        <v>-64281045491.495758</v>
      </c>
      <c r="L4129" s="444">
        <f t="shared" ca="1" si="164"/>
        <v>-15491731963450.477</v>
      </c>
      <c r="M4129" s="460">
        <f t="shared" si="166"/>
        <v>0.05</v>
      </c>
      <c r="N4129" s="464">
        <f t="shared" si="167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65"/>
        <v>-15491731963450.477</v>
      </c>
      <c r="J4130" s="444">
        <f t="array" ref="J4130">IFERROR(INDEX('Retirement Calculator'!K:K,MATCH('Lorri 401b'!N4130,'Retirement Calculator'!A:A,0),0),0)</f>
        <v>0</v>
      </c>
      <c r="K4130" s="444">
        <f t="shared" ca="1" si="163"/>
        <v>-64548883181.043648</v>
      </c>
      <c r="L4130" s="444">
        <f t="shared" ca="1" si="164"/>
        <v>-15556280846631.52</v>
      </c>
      <c r="M4130" s="460">
        <f t="shared" si="166"/>
        <v>0.05</v>
      </c>
      <c r="N4130" s="464">
        <f t="shared" si="167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65"/>
        <v>-15556280846631.52</v>
      </c>
      <c r="J4131" s="444">
        <f t="array" ref="J4131">IFERROR(INDEX('Retirement Calculator'!K:K,MATCH('Lorri 401b'!N4131,'Retirement Calculator'!A:A,0),0),0)</f>
        <v>0</v>
      </c>
      <c r="K4131" s="444">
        <f t="shared" ca="1" si="163"/>
        <v>-64817836860.964661</v>
      </c>
      <c r="L4131" s="444">
        <f t="shared" ca="1" si="164"/>
        <v>-15621098683492.484</v>
      </c>
      <c r="M4131" s="460">
        <f t="shared" si="166"/>
        <v>0.05</v>
      </c>
      <c r="N4131" s="464">
        <f t="shared" si="167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65"/>
        <v>-15621098683492.484</v>
      </c>
      <c r="J4132" s="444">
        <f t="array" ref="J4132">IFERROR(INDEX('Retirement Calculator'!K:K,MATCH('Lorri 401b'!N4132,'Retirement Calculator'!A:A,0),0),0)</f>
        <v>0</v>
      </c>
      <c r="K4132" s="444">
        <f t="shared" ca="1" si="163"/>
        <v>-65087911181.218681</v>
      </c>
      <c r="L4132" s="444">
        <f t="shared" ca="1" si="164"/>
        <v>-15686186594673.703</v>
      </c>
      <c r="M4132" s="460">
        <f t="shared" si="166"/>
        <v>0.05</v>
      </c>
      <c r="N4132" s="464">
        <f t="shared" si="167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65"/>
        <v>-15686186594673.703</v>
      </c>
      <c r="J4133" s="444">
        <f t="array" ref="J4133">IFERROR(INDEX('Retirement Calculator'!K:K,MATCH('Lorri 401b'!N4133,'Retirement Calculator'!A:A,0),0),0)</f>
        <v>0</v>
      </c>
      <c r="K4133" s="444">
        <f t="shared" ca="1" si="163"/>
        <v>-65359110811.140427</v>
      </c>
      <c r="L4133" s="444">
        <f t="shared" ca="1" si="164"/>
        <v>-15751545705484.844</v>
      </c>
      <c r="M4133" s="460">
        <f t="shared" si="166"/>
        <v>0.05</v>
      </c>
      <c r="N4133" s="464">
        <f t="shared" si="167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65"/>
        <v>-15751545705484.844</v>
      </c>
      <c r="J4134" s="444">
        <f t="array" ref="J4134">IFERROR(INDEX('Retirement Calculator'!K:K,MATCH('Lorri 401b'!N4134,'Retirement Calculator'!A:A,0),0),0)</f>
        <v>0</v>
      </c>
      <c r="K4134" s="444">
        <f t="shared" ca="1" si="163"/>
        <v>-65631440439.52018</v>
      </c>
      <c r="L4134" s="444">
        <f t="shared" ca="1" si="164"/>
        <v>-15817177145924.363</v>
      </c>
      <c r="M4134" s="460">
        <f t="shared" si="166"/>
        <v>0.05</v>
      </c>
      <c r="N4134" s="464">
        <f t="shared" si="167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65"/>
        <v>-15817177145924.363</v>
      </c>
      <c r="J4135" s="444">
        <f t="array" ref="J4135">IFERROR(INDEX('Retirement Calculator'!K:K,MATCH('Lorri 401b'!N4135,'Retirement Calculator'!A:A,0),0),0)</f>
        <v>0</v>
      </c>
      <c r="K4135" s="444">
        <f t="shared" ca="1" si="163"/>
        <v>-65904904774.684845</v>
      </c>
      <c r="L4135" s="444">
        <f t="shared" ca="1" si="164"/>
        <v>-15883082050699.049</v>
      </c>
      <c r="M4135" s="460">
        <f t="shared" si="166"/>
        <v>0.05</v>
      </c>
      <c r="N4135" s="464">
        <f t="shared" si="167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65"/>
        <v>-15883082050699.049</v>
      </c>
      <c r="J4136" s="444">
        <f t="array" ref="J4136">IFERROR(INDEX('Retirement Calculator'!K:K,MATCH('Lorri 401b'!N4136,'Retirement Calculator'!A:A,0),0),0)</f>
        <v>0</v>
      </c>
      <c r="K4136" s="444">
        <f t="shared" ca="1" si="163"/>
        <v>-66179508544.579369</v>
      </c>
      <c r="L4136" s="444">
        <f t="shared" ca="1" si="164"/>
        <v>-15949261559243.629</v>
      </c>
      <c r="M4136" s="460">
        <f t="shared" si="166"/>
        <v>0.05</v>
      </c>
      <c r="N4136" s="464">
        <f t="shared" si="167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65"/>
        <v>-15949261559243.629</v>
      </c>
      <c r="J4137" s="444">
        <f t="array" ref="J4137">IFERROR(INDEX('Retirement Calculator'!K:K,MATCH('Lorri 401b'!N4137,'Retirement Calculator'!A:A,0),0),0)</f>
        <v>0</v>
      </c>
      <c r="K4137" s="444">
        <f t="shared" ca="1" si="163"/>
        <v>-66455256496.848457</v>
      </c>
      <c r="L4137" s="444">
        <f t="shared" ca="1" si="164"/>
        <v>-16015716815740.477</v>
      </c>
      <c r="M4137" s="460">
        <f t="shared" si="166"/>
        <v>0.05</v>
      </c>
      <c r="N4137" s="464">
        <f t="shared" si="167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65"/>
        <v>-16015716815740.477</v>
      </c>
      <c r="J4138" s="444">
        <f t="array" ref="J4138">IFERROR(INDEX('Retirement Calculator'!K:K,MATCH('Lorri 401b'!N4138,'Retirement Calculator'!A:A,0),0),0)</f>
        <v>0</v>
      </c>
      <c r="K4138" s="444">
        <f t="shared" ca="1" si="163"/>
        <v>-66732153398.918663</v>
      </c>
      <c r="L4138" s="444">
        <f t="shared" ca="1" si="164"/>
        <v>-16082448969139.395</v>
      </c>
      <c r="M4138" s="460">
        <f t="shared" si="166"/>
        <v>0.05</v>
      </c>
      <c r="N4138" s="464">
        <f t="shared" si="167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65"/>
        <v>-16082448969139.395</v>
      </c>
      <c r="J4139" s="444">
        <f t="array" ref="J4139">IFERROR(INDEX('Retirement Calculator'!K:K,MATCH('Lorri 401b'!N4139,'Retirement Calculator'!A:A,0),0),0)</f>
        <v>0</v>
      </c>
      <c r="K4139" s="444">
        <f t="shared" ca="1" si="163"/>
        <v>-67010204038.080811</v>
      </c>
      <c r="L4139" s="444">
        <f t="shared" ca="1" si="164"/>
        <v>-16149459173177.475</v>
      </c>
      <c r="M4139" s="460">
        <f t="shared" si="166"/>
        <v>0.05</v>
      </c>
      <c r="N4139" s="464">
        <f t="shared" si="167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65"/>
        <v>-16149459173177.475</v>
      </c>
      <c r="J4140" s="444">
        <f t="array" ref="J4140">IFERROR(INDEX('Retirement Calculator'!K:K,MATCH('Lorri 401b'!N4140,'Retirement Calculator'!A:A,0),0),0)</f>
        <v>0</v>
      </c>
      <c r="K4140" s="444">
        <f t="shared" ca="1" si="163"/>
        <v>-67289413221.572807</v>
      </c>
      <c r="L4140" s="444">
        <f t="shared" ca="1" si="164"/>
        <v>-16216748586399.047</v>
      </c>
      <c r="M4140" s="460">
        <f t="shared" si="166"/>
        <v>0.05</v>
      </c>
      <c r="N4140" s="464">
        <f t="shared" si="167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65"/>
        <v>-16216748586399.047</v>
      </c>
      <c r="J4141" s="444">
        <f t="array" ref="J4141">IFERROR(INDEX('Retirement Calculator'!K:K,MATCH('Lorri 401b'!N4141,'Retirement Calculator'!A:A,0),0),0)</f>
        <v>0</v>
      </c>
      <c r="K4141" s="444">
        <f t="shared" ca="1" si="163"/>
        <v>-67569785776.662697</v>
      </c>
      <c r="L4141" s="444">
        <f t="shared" ca="1" si="164"/>
        <v>-16284318372175.709</v>
      </c>
      <c r="M4141" s="460">
        <f t="shared" si="166"/>
        <v>0.05</v>
      </c>
      <c r="N4141" s="464">
        <f t="shared" si="167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65"/>
        <v>-16284318372175.709</v>
      </c>
      <c r="J4142" s="444">
        <f t="array" ref="J4142">IFERROR(INDEX('Retirement Calculator'!K:K,MATCH('Lorri 401b'!N4142,'Retirement Calculator'!A:A,0),0),0)</f>
        <v>0</v>
      </c>
      <c r="K4142" s="444">
        <f t="shared" ca="1" si="163"/>
        <v>-67851326550.732124</v>
      </c>
      <c r="L4142" s="444">
        <f t="shared" ca="1" si="164"/>
        <v>-16352169698726.441</v>
      </c>
      <c r="M4142" s="460">
        <f t="shared" si="166"/>
        <v>0.05</v>
      </c>
      <c r="N4142" s="464">
        <f t="shared" si="167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65"/>
        <v>-16352169698726.441</v>
      </c>
      <c r="J4143" s="444">
        <f t="array" ref="J4143">IFERROR(INDEX('Retirement Calculator'!K:K,MATCH('Lorri 401b'!N4143,'Retirement Calculator'!A:A,0),0),0)</f>
        <v>0</v>
      </c>
      <c r="K4143" s="444">
        <f t="shared" ca="1" si="163"/>
        <v>-68134040411.360168</v>
      </c>
      <c r="L4143" s="444">
        <f t="shared" ca="1" si="164"/>
        <v>-16420303739137.801</v>
      </c>
      <c r="M4143" s="460">
        <f t="shared" si="166"/>
        <v>0.05</v>
      </c>
      <c r="N4143" s="464">
        <f t="shared" si="167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65"/>
        <v>-16420303739137.801</v>
      </c>
      <c r="J4144" s="444">
        <f t="array" ref="J4144">IFERROR(INDEX('Retirement Calculator'!K:K,MATCH('Lorri 401b'!N4144,'Retirement Calculator'!A:A,0),0),0)</f>
        <v>0</v>
      </c>
      <c r="K4144" s="444">
        <f t="shared" ca="1" si="163"/>
        <v>-68417932246.407501</v>
      </c>
      <c r="L4144" s="444">
        <f t="shared" ca="1" si="164"/>
        <v>-16488721671384.209</v>
      </c>
      <c r="M4144" s="460">
        <f t="shared" si="166"/>
        <v>0.05</v>
      </c>
      <c r="N4144" s="464">
        <f t="shared" si="167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65"/>
        <v>-16488721671384.209</v>
      </c>
      <c r="J4145" s="444">
        <f t="array" ref="J4145">IFERROR(INDEX('Retirement Calculator'!K:K,MATCH('Lorri 401b'!N4145,'Retirement Calculator'!A:A,0),0),0)</f>
        <v>0</v>
      </c>
      <c r="K4145" s="444">
        <f t="shared" ca="1" si="163"/>
        <v>-68703006964.100876</v>
      </c>
      <c r="L4145" s="444">
        <f t="shared" ca="1" si="164"/>
        <v>-16557424678348.311</v>
      </c>
      <c r="M4145" s="460">
        <f t="shared" si="166"/>
        <v>0.05</v>
      </c>
      <c r="N4145" s="464">
        <f t="shared" si="167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65"/>
        <v>-16557424678348.311</v>
      </c>
      <c r="J4146" s="444">
        <f t="array" ref="J4146">IFERROR(INDEX('Retirement Calculator'!K:K,MATCH('Lorri 401b'!N4146,'Retirement Calculator'!A:A,0),0),0)</f>
        <v>0</v>
      </c>
      <c r="K4146" s="444">
        <f t="shared" ca="1" si="163"/>
        <v>-68989269493.117966</v>
      </c>
      <c r="L4146" s="444">
        <f t="shared" ca="1" si="164"/>
        <v>-16626413947841.428</v>
      </c>
      <c r="M4146" s="460">
        <f t="shared" si="166"/>
        <v>0.05</v>
      </c>
      <c r="N4146" s="464">
        <f t="shared" si="167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65"/>
        <v>-16626413947841.428</v>
      </c>
      <c r="J4147" s="444">
        <f t="array" ref="J4147">IFERROR(INDEX('Retirement Calculator'!K:K,MATCH('Lorri 401b'!N4147,'Retirement Calculator'!A:A,0),0),0)</f>
        <v>0</v>
      </c>
      <c r="K4147" s="444">
        <f t="shared" ca="1" si="163"/>
        <v>-69276724782.672607</v>
      </c>
      <c r="L4147" s="444">
        <f t="shared" ca="1" si="164"/>
        <v>-16695690672624.1</v>
      </c>
      <c r="M4147" s="460">
        <f t="shared" si="166"/>
        <v>0.05</v>
      </c>
      <c r="N4147" s="464">
        <f t="shared" si="167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65"/>
        <v>-16695690672624.1</v>
      </c>
      <c r="J4148" s="444">
        <f t="array" ref="J4148">IFERROR(INDEX('Retirement Calculator'!K:K,MATCH('Lorri 401b'!N4148,'Retirement Calculator'!A:A,0),0),0)</f>
        <v>0</v>
      </c>
      <c r="K4148" s="444">
        <f t="shared" ca="1" si="163"/>
        <v>-69565377802.600418</v>
      </c>
      <c r="L4148" s="444">
        <f t="shared" ca="1" si="164"/>
        <v>-16765256050426.699</v>
      </c>
      <c r="M4148" s="460">
        <f t="shared" si="166"/>
        <v>0.05</v>
      </c>
      <c r="N4148" s="464">
        <f t="shared" si="167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65"/>
        <v>-16765256050426.699</v>
      </c>
      <c r="J4149" s="444">
        <f t="array" ref="J4149">IFERROR(INDEX('Retirement Calculator'!K:K,MATCH('Lorri 401b'!N4149,'Retirement Calculator'!A:A,0),0),0)</f>
        <v>0</v>
      </c>
      <c r="K4149" s="444">
        <f t="shared" ca="1" si="163"/>
        <v>-69855233543.44458</v>
      </c>
      <c r="L4149" s="444">
        <f t="shared" ca="1" si="164"/>
        <v>-16835111283970.145</v>
      </c>
      <c r="M4149" s="460">
        <f t="shared" si="166"/>
        <v>0.05</v>
      </c>
      <c r="N4149" s="464">
        <f t="shared" si="167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65"/>
        <v>-16835111283970.145</v>
      </c>
      <c r="J4150" s="444">
        <f t="array" ref="J4150">IFERROR(INDEX('Retirement Calculator'!K:K,MATCH('Lorri 401b'!N4150,'Retirement Calculator'!A:A,0),0),0)</f>
        <v>0</v>
      </c>
      <c r="K4150" s="444">
        <f t="shared" ca="1" si="163"/>
        <v>-70146297016.542267</v>
      </c>
      <c r="L4150" s="444">
        <f t="shared" ca="1" si="164"/>
        <v>-16905257580986.688</v>
      </c>
      <c r="M4150" s="460">
        <f t="shared" si="166"/>
        <v>0.05</v>
      </c>
      <c r="N4150" s="464">
        <f t="shared" si="167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65"/>
        <v>-16905257580986.688</v>
      </c>
      <c r="J4151" s="444">
        <f t="array" ref="J4151">IFERROR(INDEX('Retirement Calculator'!K:K,MATCH('Lorri 401b'!N4151,'Retirement Calculator'!A:A,0),0),0)</f>
        <v>0</v>
      </c>
      <c r="K4151" s="444">
        <f t="shared" ca="1" si="163"/>
        <v>-70438573254.111191</v>
      </c>
      <c r="L4151" s="444">
        <f t="shared" ca="1" si="164"/>
        <v>-16975696154240.799</v>
      </c>
      <c r="M4151" s="460">
        <f t="shared" si="166"/>
        <v>0.05</v>
      </c>
      <c r="N4151" s="464">
        <f t="shared" si="167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65"/>
        <v>-16975696154240.799</v>
      </c>
      <c r="J4152" s="444">
        <f t="array" ref="J4152">IFERROR(INDEX('Retirement Calculator'!K:K,MATCH('Lorri 401b'!N4152,'Retirement Calculator'!A:A,0),0),0)</f>
        <v>0</v>
      </c>
      <c r="K4152" s="444">
        <f t="shared" ca="1" si="163"/>
        <v>-70732067309.336655</v>
      </c>
      <c r="L4152" s="444">
        <f t="shared" ca="1" si="164"/>
        <v>-17046428221550.135</v>
      </c>
      <c r="M4152" s="460">
        <f t="shared" si="166"/>
        <v>0.05</v>
      </c>
      <c r="N4152" s="464">
        <f t="shared" si="167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65"/>
        <v>-17046428221550.135</v>
      </c>
      <c r="J4153" s="444">
        <f t="array" ref="J4153">IFERROR(INDEX('Retirement Calculator'!K:K,MATCH('Lorri 401b'!N4153,'Retirement Calculator'!A:A,0),0),0)</f>
        <v>0</v>
      </c>
      <c r="K4153" s="444">
        <f t="shared" ca="1" si="163"/>
        <v>-71026784256.458908</v>
      </c>
      <c r="L4153" s="444">
        <f t="shared" ca="1" si="164"/>
        <v>-17117455005806.594</v>
      </c>
      <c r="M4153" s="460">
        <f t="shared" si="166"/>
        <v>0.05</v>
      </c>
      <c r="N4153" s="464">
        <f t="shared" si="167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65"/>
        <v>-17117455005806.594</v>
      </c>
      <c r="J4154" s="444">
        <f t="array" ref="J4154">IFERROR(INDEX('Retirement Calculator'!K:K,MATCH('Lorri 401b'!N4154,'Retirement Calculator'!A:A,0),0),0)</f>
        <v>0</v>
      </c>
      <c r="K4154" s="444">
        <f t="shared" ca="1" si="163"/>
        <v>-71322729190.860809</v>
      </c>
      <c r="L4154" s="444">
        <f t="shared" ca="1" si="164"/>
        <v>-17188777734997.455</v>
      </c>
      <c r="M4154" s="460">
        <f t="shared" si="166"/>
        <v>0.05</v>
      </c>
      <c r="N4154" s="464">
        <f t="shared" si="167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65"/>
        <v>-17188777734997.455</v>
      </c>
      <c r="J4155" s="444">
        <f t="array" ref="J4155">IFERROR(INDEX('Retirement Calculator'!K:K,MATCH('Lorri 401b'!N4155,'Retirement Calculator'!A:A,0),0),0)</f>
        <v>0</v>
      </c>
      <c r="K4155" s="444">
        <f t="shared" ca="1" si="163"/>
        <v>-71619907229.156067</v>
      </c>
      <c r="L4155" s="444">
        <f t="shared" ca="1" si="164"/>
        <v>-17260397642226.611</v>
      </c>
      <c r="M4155" s="460">
        <f t="shared" si="166"/>
        <v>0.05</v>
      </c>
      <c r="N4155" s="464">
        <f t="shared" si="167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65"/>
        <v>-17260397642226.611</v>
      </c>
      <c r="J4156" s="444">
        <f t="array" ref="J4156">IFERROR(INDEX('Retirement Calculator'!K:K,MATCH('Lorri 401b'!N4156,'Retirement Calculator'!A:A,0),0),0)</f>
        <v>0</v>
      </c>
      <c r="K4156" s="444">
        <f t="shared" ca="1" si="163"/>
        <v>-71918323509.277542</v>
      </c>
      <c r="L4156" s="444">
        <f t="shared" ca="1" si="164"/>
        <v>-17332315965735.889</v>
      </c>
      <c r="M4156" s="460">
        <f t="shared" si="166"/>
        <v>0.05</v>
      </c>
      <c r="N4156" s="464">
        <f t="shared" si="167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65"/>
        <v>-17332315965735.889</v>
      </c>
      <c r="J4157" s="444">
        <f t="array" ref="J4157">IFERROR(INDEX('Retirement Calculator'!K:K,MATCH('Lorri 401b'!N4157,'Retirement Calculator'!A:A,0),0),0)</f>
        <v>0</v>
      </c>
      <c r="K4157" s="444">
        <f t="shared" ca="1" si="163"/>
        <v>-72217983190.566208</v>
      </c>
      <c r="L4157" s="444">
        <f t="shared" ca="1" si="164"/>
        <v>-17404533948926.455</v>
      </c>
      <c r="M4157" s="460">
        <f t="shared" si="166"/>
        <v>0.05</v>
      </c>
      <c r="N4157" s="464">
        <f t="shared" si="167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65"/>
        <v>-17404533948926.455</v>
      </c>
      <c r="J4158" s="444">
        <f t="array" ref="J4158">IFERROR(INDEX('Retirement Calculator'!K:K,MATCH('Lorri 401b'!N4158,'Retirement Calculator'!A:A,0),0),0)</f>
        <v>0</v>
      </c>
      <c r="K4158" s="444">
        <f t="shared" ca="1" si="163"/>
        <v>-72518891453.860229</v>
      </c>
      <c r="L4158" s="444">
        <f t="shared" ca="1" si="164"/>
        <v>-17477052840380.314</v>
      </c>
      <c r="M4158" s="460">
        <f t="shared" si="166"/>
        <v>0.05</v>
      </c>
      <c r="N4158" s="464">
        <f t="shared" si="167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65"/>
        <v>-17477052840380.314</v>
      </c>
      <c r="J4159" s="444">
        <f t="array" ref="J4159">IFERROR(INDEX('Retirement Calculator'!K:K,MATCH('Lorri 401b'!N4159,'Retirement Calculator'!A:A,0),0),0)</f>
        <v>0</v>
      </c>
      <c r="K4159" s="444">
        <f t="shared" ca="1" si="163"/>
        <v>-72821053501.584641</v>
      </c>
      <c r="L4159" s="444">
        <f t="shared" ca="1" si="164"/>
        <v>-17549873893881.898</v>
      </c>
      <c r="M4159" s="460">
        <f t="shared" si="166"/>
        <v>0.05</v>
      </c>
      <c r="N4159" s="464">
        <f t="shared" si="167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65"/>
        <v>-17549873893881.898</v>
      </c>
      <c r="J4160" s="444">
        <f t="array" ref="J4160">IFERROR(INDEX('Retirement Calculator'!K:K,MATCH('Lorri 401b'!N4160,'Retirement Calculator'!A:A,0),0),0)</f>
        <v>0</v>
      </c>
      <c r="K4160" s="444">
        <f t="shared" ca="1" si="163"/>
        <v>-73124474557.841248</v>
      </c>
      <c r="L4160" s="444">
        <f t="shared" ca="1" si="164"/>
        <v>-17622998368439.738</v>
      </c>
      <c r="M4160" s="460">
        <f t="shared" si="166"/>
        <v>0.05</v>
      </c>
      <c r="N4160" s="464">
        <f t="shared" si="167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65"/>
        <v>-17622998368439.738</v>
      </c>
      <c r="J4161" s="444">
        <f t="array" ref="J4161">IFERROR(INDEX('Retirement Calculator'!K:K,MATCH('Lorri 401b'!N4161,'Retirement Calculator'!A:A,0),0),0)</f>
        <v>0</v>
      </c>
      <c r="K4161" s="444">
        <f t="shared" ca="1" si="163"/>
        <v>-73429159868.498901</v>
      </c>
      <c r="L4161" s="444">
        <f t="shared" ca="1" si="164"/>
        <v>-17696427528308.238</v>
      </c>
      <c r="M4161" s="460">
        <f t="shared" si="166"/>
        <v>0.05</v>
      </c>
      <c r="N4161" s="464">
        <f t="shared" si="167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65"/>
        <v>-17696427528308.238</v>
      </c>
      <c r="J4162" s="444">
        <f t="array" ref="J4162">IFERROR(INDEX('Retirement Calculator'!K:K,MATCH('Lorri 401b'!N4162,'Retirement Calculator'!A:A,0),0),0)</f>
        <v>0</v>
      </c>
      <c r="K4162" s="444">
        <f t="shared" ca="1" si="163"/>
        <v>-73735114701.284332</v>
      </c>
      <c r="L4162" s="444">
        <f t="shared" ca="1" si="164"/>
        <v>-17770162643009.523</v>
      </c>
      <c r="M4162" s="460">
        <f t="shared" si="166"/>
        <v>0.05</v>
      </c>
      <c r="N4162" s="464">
        <f t="shared" si="167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65"/>
        <v>-17770162643009.523</v>
      </c>
      <c r="J4163" s="444">
        <f t="array" ref="J4163">IFERROR(INDEX('Retirement Calculator'!K:K,MATCH('Lorri 401b'!N4163,'Retirement Calculator'!A:A,0),0),0)</f>
        <v>0</v>
      </c>
      <c r="K4163" s="444">
        <f t="shared" ca="1" si="163"/>
        <v>-74042344345.873016</v>
      </c>
      <c r="L4163" s="444">
        <f t="shared" ca="1" si="164"/>
        <v>-17844204987355.395</v>
      </c>
      <c r="M4163" s="460">
        <f t="shared" si="166"/>
        <v>0.05</v>
      </c>
      <c r="N4163" s="464">
        <f t="shared" si="167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65"/>
        <v>-17844204987355.395</v>
      </c>
      <c r="J4164" s="444">
        <f t="array" ref="J4164">IFERROR(INDEX('Retirement Calculator'!K:K,MATCH('Lorri 401b'!N4164,'Retirement Calculator'!A:A,0),0),0)</f>
        <v>0</v>
      </c>
      <c r="K4164" s="444">
        <f t="shared" ca="1" si="163"/>
        <v>-74350854113.980804</v>
      </c>
      <c r="L4164" s="444">
        <f t="shared" ca="1" si="164"/>
        <v>-17918555841469.375</v>
      </c>
      <c r="M4164" s="460">
        <f t="shared" si="166"/>
        <v>0.05</v>
      </c>
      <c r="N4164" s="464">
        <f t="shared" si="167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65"/>
        <v>-17918555841469.375</v>
      </c>
      <c r="J4165" s="444">
        <f t="array" ref="J4165">IFERROR(INDEX('Retirement Calculator'!K:K,MATCH('Lorri 401b'!N4165,'Retirement Calculator'!A:A,0),0),0)</f>
        <v>0</v>
      </c>
      <c r="K4165" s="444">
        <f t="shared" ca="1" si="163"/>
        <v>-74660649339.455734</v>
      </c>
      <c r="L4165" s="444">
        <f t="shared" ca="1" si="164"/>
        <v>-17993216490808.832</v>
      </c>
      <c r="M4165" s="460">
        <f t="shared" si="166"/>
        <v>0.05</v>
      </c>
      <c r="N4165" s="464">
        <f t="shared" si="167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65"/>
        <v>-17993216490808.832</v>
      </c>
      <c r="J4166" s="444">
        <f t="array" ref="J4166">IFERROR(INDEX('Retirement Calculator'!K:K,MATCH('Lorri 401b'!N4166,'Retirement Calculator'!A:A,0),0),0)</f>
        <v>0</v>
      </c>
      <c r="K4166" s="444">
        <f t="shared" ca="1" si="163"/>
        <v>-74971735378.370132</v>
      </c>
      <c r="L4166" s="444">
        <f t="shared" ca="1" si="164"/>
        <v>-18068188226187.203</v>
      </c>
      <c r="M4166" s="460">
        <f t="shared" si="166"/>
        <v>0.05</v>
      </c>
      <c r="N4166" s="464">
        <f t="shared" si="167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65"/>
        <v>-18068188226187.203</v>
      </c>
      <c r="J4167" s="444">
        <f t="array" ref="J4167">IFERROR(INDEX('Retirement Calculator'!K:K,MATCH('Lorri 401b'!N4167,'Retirement Calculator'!A:A,0),0),0)</f>
        <v>0</v>
      </c>
      <c r="K4167" s="444">
        <f t="shared" ca="1" si="163"/>
        <v>-75284117609.113342</v>
      </c>
      <c r="L4167" s="444">
        <f t="shared" ca="1" si="164"/>
        <v>-18143472343796.316</v>
      </c>
      <c r="M4167" s="460">
        <f t="shared" si="166"/>
        <v>0.05</v>
      </c>
      <c r="N4167" s="464">
        <f t="shared" si="167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65"/>
        <v>-18143472343796.316</v>
      </c>
      <c r="J4168" s="444">
        <f t="array" ref="J4168">IFERROR(INDEX('Retirement Calculator'!K:K,MATCH('Lorri 401b'!N4168,'Retirement Calculator'!A:A,0),0),0)</f>
        <v>0</v>
      </c>
      <c r="K4168" s="444">
        <f t="shared" ca="1" si="163"/>
        <v>-75597801432.48465</v>
      </c>
      <c r="L4168" s="444">
        <f t="shared" ca="1" si="164"/>
        <v>-18219070145228.801</v>
      </c>
      <c r="M4168" s="460">
        <f t="shared" si="166"/>
        <v>0.05</v>
      </c>
      <c r="N4168" s="464">
        <f t="shared" si="167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65"/>
        <v>-18219070145228.801</v>
      </c>
      <c r="J4169" s="444">
        <f t="array" ref="J4169">IFERROR(INDEX('Retirement Calculator'!K:K,MATCH('Lorri 401b'!N4169,'Retirement Calculator'!A:A,0),0),0)</f>
        <v>0</v>
      </c>
      <c r="K4169" s="444">
        <f t="shared" ca="1" si="163"/>
        <v>-75912792271.786667</v>
      </c>
      <c r="L4169" s="444">
        <f t="shared" ca="1" si="164"/>
        <v>-18294982937500.586</v>
      </c>
      <c r="M4169" s="460">
        <f t="shared" si="166"/>
        <v>0.05</v>
      </c>
      <c r="N4169" s="464">
        <f t="shared" si="167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65"/>
        <v>-18294982937500.586</v>
      </c>
      <c r="J4170" s="444">
        <f t="array" ref="J4170">IFERROR(INDEX('Retirement Calculator'!K:K,MATCH('Lorri 401b'!N4170,'Retirement Calculator'!A:A,0),0),0)</f>
        <v>0</v>
      </c>
      <c r="K4170" s="444">
        <f t="shared" ca="1" si="163"/>
        <v>-76229095572.919113</v>
      </c>
      <c r="L4170" s="444">
        <f t="shared" ca="1" si="164"/>
        <v>-18371212033073.504</v>
      </c>
      <c r="M4170" s="460">
        <f t="shared" si="166"/>
        <v>0.05</v>
      </c>
      <c r="N4170" s="464">
        <f t="shared" si="167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65"/>
        <v>-18371212033073.504</v>
      </c>
      <c r="J4171" s="444">
        <f t="array" ref="J4171">IFERROR(INDEX('Retirement Calculator'!K:K,MATCH('Lorri 401b'!N4171,'Retirement Calculator'!A:A,0),0),0)</f>
        <v>0</v>
      </c>
      <c r="K4171" s="444">
        <f t="shared" ca="1" si="163"/>
        <v>-76546716804.472931</v>
      </c>
      <c r="L4171" s="444">
        <f t="shared" ca="1" si="164"/>
        <v>-18447758749877.977</v>
      </c>
      <c r="M4171" s="460">
        <f t="shared" si="166"/>
        <v>0.05</v>
      </c>
      <c r="N4171" s="464">
        <f t="shared" si="167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65"/>
        <v>-18447758749877.977</v>
      </c>
      <c r="J4172" s="444">
        <f t="array" ref="J4172">IFERROR(INDEX('Retirement Calculator'!K:K,MATCH('Lorri 401b'!N4172,'Retirement Calculator'!A:A,0),0),0)</f>
        <v>0</v>
      </c>
      <c r="K4172" s="444">
        <f t="shared" ca="1" si="163"/>
        <v>-76865661457.824905</v>
      </c>
      <c r="L4172" s="444">
        <f t="shared" ca="1" si="164"/>
        <v>-18524624411335.801</v>
      </c>
      <c r="M4172" s="460">
        <f t="shared" si="166"/>
        <v>0.05</v>
      </c>
      <c r="N4172" s="464">
        <f t="shared" si="167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65"/>
        <v>-18524624411335.801</v>
      </c>
      <c r="J4173" s="444">
        <f t="array" ref="J4173">IFERROR(INDEX('Retirement Calculator'!K:K,MATCH('Lorri 401b'!N4173,'Retirement Calculator'!A:A,0),0),0)</f>
        <v>0</v>
      </c>
      <c r="K4173" s="444">
        <f t="shared" ca="1" si="163"/>
        <v>-77185935047.232498</v>
      </c>
      <c r="L4173" s="444">
        <f t="shared" ca="1" si="164"/>
        <v>-18601810346383.035</v>
      </c>
      <c r="M4173" s="460">
        <f t="shared" si="166"/>
        <v>0.05</v>
      </c>
      <c r="N4173" s="464">
        <f t="shared" si="167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65"/>
        <v>-18601810346383.035</v>
      </c>
      <c r="J4174" s="444">
        <f t="array" ref="J4174">IFERROR(INDEX('Retirement Calculator'!K:K,MATCH('Lorri 401b'!N4174,'Retirement Calculator'!A:A,0),0),0)</f>
        <v>0</v>
      </c>
      <c r="K4174" s="444">
        <f t="shared" ca="1" si="163"/>
        <v>-77507543109.929306</v>
      </c>
      <c r="L4174" s="444">
        <f t="shared" ca="1" si="164"/>
        <v>-18679317889492.965</v>
      </c>
      <c r="M4174" s="460">
        <f t="shared" si="166"/>
        <v>0.05</v>
      </c>
      <c r="N4174" s="464">
        <f t="shared" si="167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65"/>
        <v>-18679317889492.965</v>
      </c>
      <c r="J4175" s="444">
        <f t="array" ref="J4175">IFERROR(INDEX('Retirement Calculator'!K:K,MATCH('Lorri 401b'!N4175,'Retirement Calculator'!A:A,0),0),0)</f>
        <v>0</v>
      </c>
      <c r="K4175" s="444">
        <f t="shared" ca="1" si="163"/>
        <v>-77830491206.220688</v>
      </c>
      <c r="L4175" s="444">
        <f t="shared" ca="1" si="164"/>
        <v>-18757148380699.184</v>
      </c>
      <c r="M4175" s="460">
        <f t="shared" si="166"/>
        <v>0.05</v>
      </c>
      <c r="N4175" s="464">
        <f t="shared" si="167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65"/>
        <v>-18757148380699.184</v>
      </c>
      <c r="J4176" s="444">
        <f t="array" ref="J4176">IFERROR(INDEX('Retirement Calculator'!K:K,MATCH('Lorri 401b'!N4176,'Retirement Calculator'!A:A,0),0),0)</f>
        <v>0</v>
      </c>
      <c r="K4176" s="444">
        <f t="shared" ca="1" si="163"/>
        <v>-78154784919.579926</v>
      </c>
      <c r="L4176" s="444">
        <f t="shared" ca="1" si="164"/>
        <v>-18835303165618.762</v>
      </c>
      <c r="M4176" s="460">
        <f t="shared" si="166"/>
        <v>0.05</v>
      </c>
      <c r="N4176" s="464">
        <f t="shared" si="167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65"/>
        <v>-18835303165618.762</v>
      </c>
      <c r="J4177" s="444">
        <f t="array" ref="J4177">IFERROR(INDEX('Retirement Calculator'!K:K,MATCH('Lorri 401b'!N4177,'Retirement Calculator'!A:A,0),0),0)</f>
        <v>0</v>
      </c>
      <c r="K4177" s="444">
        <f t="shared" ca="1" si="163"/>
        <v>-78480429856.744843</v>
      </c>
      <c r="L4177" s="444">
        <f t="shared" ca="1" si="164"/>
        <v>-18913783595475.508</v>
      </c>
      <c r="M4177" s="460">
        <f t="shared" si="166"/>
        <v>0.05</v>
      </c>
      <c r="N4177" s="464">
        <f t="shared" si="167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65"/>
        <v>-18913783595475.508</v>
      </c>
      <c r="J4178" s="444">
        <f t="array" ref="J4178">IFERROR(INDEX('Retirement Calculator'!K:K,MATCH('Lorri 401b'!N4178,'Retirement Calculator'!A:A,0),0),0)</f>
        <v>0</v>
      </c>
      <c r="K4178" s="444">
        <f t="shared" ca="1" si="163"/>
        <v>-78807431647.814621</v>
      </c>
      <c r="L4178" s="444">
        <f t="shared" ca="1" si="164"/>
        <v>-18992591027123.324</v>
      </c>
      <c r="M4178" s="460">
        <f t="shared" si="166"/>
        <v>0.05</v>
      </c>
      <c r="N4178" s="464">
        <f t="shared" si="167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65"/>
        <v>-18992591027123.324</v>
      </c>
      <c r="J4179" s="444">
        <f t="array" ref="J4179">IFERROR(INDEX('Retirement Calculator'!K:K,MATCH('Lorri 401b'!N4179,'Retirement Calculator'!A:A,0),0),0)</f>
        <v>0</v>
      </c>
      <c r="K4179" s="444">
        <f t="shared" ca="1" si="163"/>
        <v>-79135795946.347183</v>
      </c>
      <c r="L4179" s="444">
        <f t="shared" ca="1" si="164"/>
        <v>-19071726823069.672</v>
      </c>
      <c r="M4179" s="460">
        <f t="shared" si="166"/>
        <v>0.05</v>
      </c>
      <c r="N4179" s="464">
        <f t="shared" si="167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65"/>
        <v>-19071726823069.672</v>
      </c>
      <c r="J4180" s="444">
        <f t="array" ref="J4180">IFERROR(INDEX('Retirement Calculator'!K:K,MATCH('Lorri 401b'!N4180,'Retirement Calculator'!A:A,0),0),0)</f>
        <v>0</v>
      </c>
      <c r="K4180" s="444">
        <f t="shared" ca="1" si="163"/>
        <v>-79465528429.45697</v>
      </c>
      <c r="L4180" s="444">
        <f t="shared" ca="1" si="164"/>
        <v>-19151192351499.129</v>
      </c>
      <c r="M4180" s="460">
        <f t="shared" si="166"/>
        <v>0.05</v>
      </c>
      <c r="N4180" s="464">
        <f t="shared" si="167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65"/>
        <v>-19151192351499.129</v>
      </c>
      <c r="J4181" s="444">
        <f t="array" ref="J4181">IFERROR(INDEX('Retirement Calculator'!K:K,MATCH('Lorri 401b'!N4181,'Retirement Calculator'!A:A,0),0),0)</f>
        <v>0</v>
      </c>
      <c r="K4181" s="444">
        <f t="shared" ca="1" si="163"/>
        <v>-79796634797.91304</v>
      </c>
      <c r="L4181" s="444">
        <f t="shared" ca="1" si="164"/>
        <v>-19230988986297.043</v>
      </c>
      <c r="M4181" s="460">
        <f t="shared" si="166"/>
        <v>0.05</v>
      </c>
      <c r="N4181" s="464">
        <f t="shared" si="167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65"/>
        <v>-19230988986297.043</v>
      </c>
      <c r="J4182" s="444">
        <f t="array" ref="J4182">IFERROR(INDEX('Retirement Calculator'!K:K,MATCH('Lorri 401b'!N4182,'Retirement Calculator'!A:A,0),0),0)</f>
        <v>0</v>
      </c>
      <c r="K4182" s="444">
        <f t="shared" ca="1" si="163"/>
        <v>-80129120776.237671</v>
      </c>
      <c r="L4182" s="444">
        <f t="shared" ca="1" si="164"/>
        <v>-19311118107073.281</v>
      </c>
      <c r="M4182" s="460">
        <f t="shared" si="166"/>
        <v>0.05</v>
      </c>
      <c r="N4182" s="464">
        <f t="shared" si="167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65"/>
        <v>-19311118107073.281</v>
      </c>
      <c r="J4183" s="444">
        <f t="array" ref="J4183">IFERROR(INDEX('Retirement Calculator'!K:K,MATCH('Lorri 401b'!N4183,'Retirement Calculator'!A:A,0),0),0)</f>
        <v>0</v>
      </c>
      <c r="K4183" s="444">
        <f t="shared" ca="1" si="163"/>
        <v>-80462992112.805344</v>
      </c>
      <c r="L4183" s="444">
        <f t="shared" ca="1" si="164"/>
        <v>-19391581099186.086</v>
      </c>
      <c r="M4183" s="460">
        <f t="shared" si="166"/>
        <v>0.05</v>
      </c>
      <c r="N4183" s="464">
        <f t="shared" si="167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65"/>
        <v>-19391581099186.086</v>
      </c>
      <c r="J4184" s="444">
        <f t="array" ref="J4184">IFERROR(INDEX('Retirement Calculator'!K:K,MATCH('Lorri 401b'!N4184,'Retirement Calculator'!A:A,0),0),0)</f>
        <v>0</v>
      </c>
      <c r="K4184" s="444">
        <f t="shared" ca="1" si="163"/>
        <v>-80798254579.942017</v>
      </c>
      <c r="L4184" s="444">
        <f t="shared" ca="1" si="164"/>
        <v>-19472379353766.027</v>
      </c>
      <c r="M4184" s="460">
        <f t="shared" si="166"/>
        <v>0.05</v>
      </c>
      <c r="N4184" s="464">
        <f t="shared" si="167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65"/>
        <v>-19472379353766.027</v>
      </c>
      <c r="J4185" s="444">
        <f t="array" ref="J4185">IFERROR(INDEX('Retirement Calculator'!K:K,MATCH('Lorri 401b'!N4185,'Retirement Calculator'!A:A,0),0),0)</f>
        <v>0</v>
      </c>
      <c r="K4185" s="444">
        <f t="shared" ca="1" si="163"/>
        <v>-81134913974.025116</v>
      </c>
      <c r="L4185" s="444">
        <f t="shared" ca="1" si="164"/>
        <v>-19553514267740.051</v>
      </c>
      <c r="M4185" s="460">
        <f t="shared" si="166"/>
        <v>0.05</v>
      </c>
      <c r="N4185" s="464">
        <f t="shared" si="167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65"/>
        <v>-19553514267740.051</v>
      </c>
      <c r="J4186" s="444">
        <f t="array" ref="J4186">IFERROR(INDEX('Retirement Calculator'!K:K,MATCH('Lorri 401b'!N4186,'Retirement Calculator'!A:A,0),0),0)</f>
        <v>0</v>
      </c>
      <c r="K4186" s="444">
        <f t="shared" ca="1" si="163"/>
        <v>-81472976115.583542</v>
      </c>
      <c r="L4186" s="444">
        <f t="shared" ca="1" si="164"/>
        <v>-19634987243855.633</v>
      </c>
      <c r="M4186" s="460">
        <f t="shared" si="166"/>
        <v>0.05</v>
      </c>
      <c r="N4186" s="464">
        <f t="shared" si="167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65"/>
        <v>-19634987243855.633</v>
      </c>
      <c r="J4187" s="444">
        <f t="array" ref="J4187">IFERROR(INDEX('Retirement Calculator'!K:K,MATCH('Lorri 401b'!N4187,'Retirement Calculator'!A:A,0),0),0)</f>
        <v>0</v>
      </c>
      <c r="K4187" s="444">
        <f t="shared" ca="1" si="163"/>
        <v>-81812446849.398468</v>
      </c>
      <c r="L4187" s="444">
        <f t="shared" ca="1" si="164"/>
        <v>-19716799690705.031</v>
      </c>
      <c r="M4187" s="460">
        <f t="shared" si="166"/>
        <v>0.05</v>
      </c>
      <c r="N4187" s="464">
        <f t="shared" si="167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65"/>
        <v>-19716799690705.031</v>
      </c>
      <c r="J4188" s="444">
        <f t="array" ref="J4188">IFERROR(INDEX('Retirement Calculator'!K:K,MATCH('Lorri 401b'!N4188,'Retirement Calculator'!A:A,0),0),0)</f>
        <v>0</v>
      </c>
      <c r="K4188" s="444">
        <f t="shared" ca="1" si="163"/>
        <v>-82153332044.604294</v>
      </c>
      <c r="L4188" s="444">
        <f t="shared" ca="1" si="164"/>
        <v>-19798953022749.637</v>
      </c>
      <c r="M4188" s="460">
        <f t="shared" si="166"/>
        <v>0.05</v>
      </c>
      <c r="N4188" s="464">
        <f t="shared" si="167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65"/>
        <v>-19798953022749.637</v>
      </c>
      <c r="J4189" s="444">
        <f t="array" ref="J4189">IFERROR(INDEX('Retirement Calculator'!K:K,MATCH('Lorri 401b'!N4189,'Retirement Calculator'!A:A,0),0),0)</f>
        <v>0</v>
      </c>
      <c r="K4189" s="444">
        <f t="shared" ca="1" si="163"/>
        <v>-82495637594.790146</v>
      </c>
      <c r="L4189" s="444">
        <f t="shared" ca="1" si="164"/>
        <v>-19881448660344.426</v>
      </c>
      <c r="M4189" s="460">
        <f t="shared" si="166"/>
        <v>0.05</v>
      </c>
      <c r="N4189" s="464">
        <f t="shared" si="167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65"/>
        <v>-19881448660344.426</v>
      </c>
      <c r="J4190" s="444">
        <f t="array" ref="J4190">IFERROR(INDEX('Retirement Calculator'!K:K,MATCH('Lorri 401b'!N4190,'Retirement Calculator'!A:A,0),0),0)</f>
        <v>0</v>
      </c>
      <c r="K4190" s="444">
        <f t="shared" ca="1" si="163"/>
        <v>-82839369418.101776</v>
      </c>
      <c r="L4190" s="444">
        <f t="shared" ca="1" si="164"/>
        <v>-19964288029762.527</v>
      </c>
      <c r="M4190" s="460">
        <f t="shared" si="166"/>
        <v>0.05</v>
      </c>
      <c r="N4190" s="464">
        <f t="shared" si="167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65"/>
        <v>-19964288029762.527</v>
      </c>
      <c r="J4191" s="444">
        <f t="array" ref="J4191">IFERROR(INDEX('Retirement Calculator'!K:K,MATCH('Lorri 401b'!N4191,'Retirement Calculator'!A:A,0),0),0)</f>
        <v>0</v>
      </c>
      <c r="K4191" s="444">
        <f t="shared" ca="1" si="163"/>
        <v>-83184533457.343857</v>
      </c>
      <c r="L4191" s="444">
        <f t="shared" ca="1" si="164"/>
        <v>-20047472563219.871</v>
      </c>
      <c r="M4191" s="460">
        <f t="shared" si="166"/>
        <v>0.05</v>
      </c>
      <c r="N4191" s="464">
        <f t="shared" si="167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65"/>
        <v>-20047472563219.871</v>
      </c>
      <c r="J4192" s="444">
        <f t="array" ref="J4192">IFERROR(INDEX('Retirement Calculator'!K:K,MATCH('Lorri 401b'!N4192,'Retirement Calculator'!A:A,0),0),0)</f>
        <v>0</v>
      </c>
      <c r="K4192" s="444">
        <f t="shared" ca="1" si="163"/>
        <v>-83531135680.082794</v>
      </c>
      <c r="L4192" s="444">
        <f t="shared" ca="1" si="164"/>
        <v>-20131003698899.953</v>
      </c>
      <c r="M4192" s="460">
        <f t="shared" si="166"/>
        <v>0.05</v>
      </c>
      <c r="N4192" s="464">
        <f t="shared" si="167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65"/>
        <v>-20131003698899.953</v>
      </c>
      <c r="J4193" s="444">
        <f t="array" ref="J4193">IFERROR(INDEX('Retirement Calculator'!K:K,MATCH('Lorri 401b'!N4193,'Retirement Calculator'!A:A,0),0),0)</f>
        <v>0</v>
      </c>
      <c r="K4193" s="444">
        <f t="shared" ca="1" si="163"/>
        <v>-83879182078.749802</v>
      </c>
      <c r="L4193" s="444">
        <f t="shared" ca="1" si="164"/>
        <v>-20214882880978.703</v>
      </c>
      <c r="M4193" s="460">
        <f t="shared" si="166"/>
        <v>0.05</v>
      </c>
      <c r="N4193" s="464">
        <f t="shared" si="167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65"/>
        <v>-20214882880978.703</v>
      </c>
      <c r="J4194" s="444">
        <f t="array" ref="J4194">IFERROR(INDEX('Retirement Calculator'!K:K,MATCH('Lorri 401b'!N4194,'Retirement Calculator'!A:A,0),0),0)</f>
        <v>0</v>
      </c>
      <c r="K4194" s="444">
        <f t="shared" ca="1" si="163"/>
        <v>-84228678670.744598</v>
      </c>
      <c r="L4194" s="444">
        <f t="shared" ca="1" si="164"/>
        <v>-20299111559649.449</v>
      </c>
      <c r="M4194" s="460">
        <f t="shared" si="166"/>
        <v>0.05</v>
      </c>
      <c r="N4194" s="464">
        <f t="shared" si="167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65"/>
        <v>-20299111559649.449</v>
      </c>
      <c r="J4195" s="444">
        <f t="array" ref="J4195">IFERROR(INDEX('Retirement Calculator'!K:K,MATCH('Lorri 401b'!N4195,'Retirement Calculator'!A:A,0),0),0)</f>
        <v>0</v>
      </c>
      <c r="K4195" s="444">
        <f t="shared" ca="1" si="163"/>
        <v>-84579631498.539368</v>
      </c>
      <c r="L4195" s="444">
        <f t="shared" ca="1" si="164"/>
        <v>-20383691191147.988</v>
      </c>
      <c r="M4195" s="460">
        <f t="shared" si="166"/>
        <v>0.05</v>
      </c>
      <c r="N4195" s="464">
        <f t="shared" si="167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65"/>
        <v>-20383691191147.988</v>
      </c>
      <c r="J4196" s="444">
        <f t="array" ref="J4196">IFERROR(INDEX('Retirement Calculator'!K:K,MATCH('Lorri 401b'!N4196,'Retirement Calculator'!A:A,0),0),0)</f>
        <v>0</v>
      </c>
      <c r="K4196" s="444">
        <f t="shared" ca="1" si="163"/>
        <v>-84932046629.783279</v>
      </c>
      <c r="L4196" s="444">
        <f t="shared" ca="1" si="164"/>
        <v>-20468623237777.773</v>
      </c>
      <c r="M4196" s="460">
        <f t="shared" si="166"/>
        <v>0.05</v>
      </c>
      <c r="N4196" s="464">
        <f t="shared" si="167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65"/>
        <v>-20468623237777.773</v>
      </c>
      <c r="J4197" s="444">
        <f t="array" ref="J4197">IFERROR(INDEX('Retirement Calculator'!K:K,MATCH('Lorri 401b'!N4197,'Retirement Calculator'!A:A,0),0),0)</f>
        <v>0</v>
      </c>
      <c r="K4197" s="444">
        <f t="shared" ca="1" si="163"/>
        <v>-85285930157.407394</v>
      </c>
      <c r="L4197" s="444">
        <f t="shared" ca="1" si="164"/>
        <v>-20553909167935.18</v>
      </c>
      <c r="M4197" s="460">
        <f t="shared" si="166"/>
        <v>0.05</v>
      </c>
      <c r="N4197" s="464">
        <f t="shared" si="167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65"/>
        <v>-20553909167935.18</v>
      </c>
      <c r="J4198" s="444">
        <f t="array" ref="J4198">IFERROR(INDEX('Retirement Calculator'!K:K,MATCH('Lorri 401b'!N4198,'Retirement Calculator'!A:A,0),0),0)</f>
        <v>0</v>
      </c>
      <c r="K4198" s="444">
        <f t="shared" ca="1" si="163"/>
        <v>-85641288199.729919</v>
      </c>
      <c r="L4198" s="444">
        <f t="shared" ca="1" si="164"/>
        <v>-20639550456134.91</v>
      </c>
      <c r="M4198" s="460">
        <f t="shared" si="166"/>
        <v>0.05</v>
      </c>
      <c r="N4198" s="464">
        <f t="shared" si="167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65"/>
        <v>-20639550456134.91</v>
      </c>
      <c r="J4199" s="444">
        <f t="array" ref="J4199">IFERROR(INDEX('Retirement Calculator'!K:K,MATCH('Lorri 401b'!N4199,'Retirement Calculator'!A:A,0),0),0)</f>
        <v>0</v>
      </c>
      <c r="K4199" s="444">
        <f t="shared" ca="1" si="163"/>
        <v>-85998126900.562119</v>
      </c>
      <c r="L4199" s="444">
        <f t="shared" ca="1" si="164"/>
        <v>-20725548583035.473</v>
      </c>
      <c r="M4199" s="460">
        <f t="shared" si="166"/>
        <v>0.05</v>
      </c>
      <c r="N4199" s="464">
        <f t="shared" si="167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65"/>
        <v>-20725548583035.473</v>
      </c>
      <c r="J4200" s="444">
        <f t="array" ref="J4200">IFERROR(INDEX('Retirement Calculator'!K:K,MATCH('Lorri 401b'!N4200,'Retirement Calculator'!A:A,0),0),0)</f>
        <v>0</v>
      </c>
      <c r="K4200" s="444">
        <f t="shared" ca="1" si="163"/>
        <v>-86356452429.314468</v>
      </c>
      <c r="L4200" s="444">
        <f t="shared" ca="1" si="164"/>
        <v>-20811905035464.789</v>
      </c>
      <c r="M4200" s="460">
        <f t="shared" si="166"/>
        <v>0.05</v>
      </c>
      <c r="N4200" s="464">
        <f t="shared" si="167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65"/>
        <v>-20811905035464.789</v>
      </c>
      <c r="J4201" s="444">
        <f t="array" ref="J4201">IFERROR(INDEX('Retirement Calculator'!K:K,MATCH('Lorri 401b'!N4201,'Retirement Calculator'!A:A,0),0),0)</f>
        <v>0</v>
      </c>
      <c r="K4201" s="444">
        <f t="shared" ca="1" si="163"/>
        <v>-86716270981.103287</v>
      </c>
      <c r="L4201" s="444">
        <f t="shared" ca="1" si="164"/>
        <v>-20898621306445.891</v>
      </c>
      <c r="M4201" s="460">
        <f t="shared" si="166"/>
        <v>0.05</v>
      </c>
      <c r="N4201" s="464">
        <f t="shared" si="167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65"/>
        <v>-20898621306445.891</v>
      </c>
      <c r="J4202" s="444">
        <f t="array" ref="J4202">IFERROR(INDEX('Retirement Calculator'!K:K,MATCH('Lorri 401b'!N4202,'Retirement Calculator'!A:A,0),0),0)</f>
        <v>0</v>
      </c>
      <c r="K4202" s="444">
        <f t="shared" ca="1" si="163"/>
        <v>-87077588776.85788</v>
      </c>
      <c r="L4202" s="444">
        <f t="shared" ca="1" si="164"/>
        <v>-20985698895222.75</v>
      </c>
      <c r="M4202" s="460">
        <f t="shared" si="166"/>
        <v>0.05</v>
      </c>
      <c r="N4202" s="464">
        <f t="shared" si="167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65"/>
        <v>-20985698895222.75</v>
      </c>
      <c r="J4203" s="444">
        <f t="array" ref="J4203">IFERROR(INDEX('Retirement Calculator'!K:K,MATCH('Lorri 401b'!N4203,'Retirement Calculator'!A:A,0),0),0)</f>
        <v>0</v>
      </c>
      <c r="K4203" s="444">
        <f t="shared" ca="1" si="163"/>
        <v>-87440412063.428131</v>
      </c>
      <c r="L4203" s="444">
        <f t="shared" ca="1" si="164"/>
        <v>-21073139307286.18</v>
      </c>
      <c r="M4203" s="460">
        <f t="shared" si="166"/>
        <v>0.05</v>
      </c>
      <c r="N4203" s="464">
        <f t="shared" si="167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65"/>
        <v>-21073139307286.18</v>
      </c>
      <c r="J4204" s="444">
        <f t="array" ref="J4204">IFERROR(INDEX('Retirement Calculator'!K:K,MATCH('Lorri 401b'!N4204,'Retirement Calculator'!A:A,0),0),0)</f>
        <v>0</v>
      </c>
      <c r="K4204" s="444">
        <f t="shared" ca="1" si="163"/>
        <v>-87804747113.692413</v>
      </c>
      <c r="L4204" s="444">
        <f t="shared" ca="1" si="164"/>
        <v>-21160944054399.871</v>
      </c>
      <c r="M4204" s="460">
        <f t="shared" si="166"/>
        <v>0.05</v>
      </c>
      <c r="N4204" s="464">
        <f t="shared" si="167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65"/>
        <v>-21160944054399.871</v>
      </c>
      <c r="J4205" s="444">
        <f t="array" ref="J4205">IFERROR(INDEX('Retirement Calculator'!K:K,MATCH('Lorri 401b'!N4205,'Retirement Calculator'!A:A,0),0),0)</f>
        <v>0</v>
      </c>
      <c r="K4205" s="444">
        <f t="shared" ca="1" si="163"/>
        <v>-88170600226.666122</v>
      </c>
      <c r="L4205" s="444">
        <f t="shared" ca="1" si="164"/>
        <v>-21249114654626.539</v>
      </c>
      <c r="M4205" s="460">
        <f t="shared" si="166"/>
        <v>0.05</v>
      </c>
      <c r="N4205" s="464">
        <f t="shared" si="167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65"/>
        <v>-21249114654626.539</v>
      </c>
      <c r="J4206" s="444">
        <f t="array" ref="J4206">IFERROR(INDEX('Retirement Calculator'!K:K,MATCH('Lorri 401b'!N4206,'Retirement Calculator'!A:A,0),0),0)</f>
        <v>0</v>
      </c>
      <c r="K4206" s="444">
        <f t="shared" ca="1" si="163"/>
        <v>-88537977727.61058</v>
      </c>
      <c r="L4206" s="444">
        <f t="shared" ca="1" si="164"/>
        <v>-21337652632354.148</v>
      </c>
      <c r="M4206" s="460">
        <f t="shared" si="166"/>
        <v>0.05</v>
      </c>
      <c r="N4206" s="464">
        <f t="shared" si="167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65"/>
        <v>-21337652632354.148</v>
      </c>
      <c r="J4207" s="444">
        <f t="array" ref="J4207">IFERROR(INDEX('Retirement Calculator'!K:K,MATCH('Lorri 401b'!N4207,'Retirement Calculator'!A:A,0),0),0)</f>
        <v>0</v>
      </c>
      <c r="K4207" s="444">
        <f t="shared" ca="1" si="163"/>
        <v>-88906885968.142288</v>
      </c>
      <c r="L4207" s="444">
        <f t="shared" ca="1" si="164"/>
        <v>-21426559518322.289</v>
      </c>
      <c r="M4207" s="460">
        <f t="shared" si="166"/>
        <v>0.05</v>
      </c>
      <c r="N4207" s="464">
        <f t="shared" si="167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65"/>
        <v>-21426559518322.289</v>
      </c>
      <c r="J4208" s="444">
        <f t="array" ref="J4208">IFERROR(INDEX('Retirement Calculator'!K:K,MATCH('Lorri 401b'!N4208,'Retirement Calculator'!A:A,0),0),0)</f>
        <v>0</v>
      </c>
      <c r="K4208" s="444">
        <f t="shared" ca="1" si="163"/>
        <v>-89277331326.342865</v>
      </c>
      <c r="L4208" s="444">
        <f t="shared" ca="1" si="164"/>
        <v>-21515836849648.633</v>
      </c>
      <c r="M4208" s="460">
        <f t="shared" si="166"/>
        <v>0.05</v>
      </c>
      <c r="N4208" s="464">
        <f t="shared" si="167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65"/>
        <v>-21515836849648.633</v>
      </c>
      <c r="J4209" s="444">
        <f t="array" ref="J4209">IFERROR(INDEX('Retirement Calculator'!K:K,MATCH('Lorri 401b'!N4209,'Retirement Calculator'!A:A,0),0),0)</f>
        <v>0</v>
      </c>
      <c r="K4209" s="444">
        <f t="shared" ca="1" si="163"/>
        <v>-89649320206.869308</v>
      </c>
      <c r="L4209" s="444">
        <f t="shared" ca="1" si="164"/>
        <v>-21605486169855.504</v>
      </c>
      <c r="M4209" s="460">
        <f t="shared" si="166"/>
        <v>0.05</v>
      </c>
      <c r="N4209" s="464">
        <f t="shared" si="167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65"/>
        <v>-21605486169855.504</v>
      </c>
      <c r="J4210" s="444">
        <f t="array" ref="J4210">IFERROR(INDEX('Retirement Calculator'!K:K,MATCH('Lorri 401b'!N4210,'Retirement Calculator'!A:A,0),0),0)</f>
        <v>0</v>
      </c>
      <c r="K4210" s="444">
        <f t="shared" ca="1" si="163"/>
        <v>-90022859041.064606</v>
      </c>
      <c r="L4210" s="444">
        <f t="shared" ca="1" si="164"/>
        <v>-21695509028896.57</v>
      </c>
      <c r="M4210" s="460">
        <f t="shared" si="166"/>
        <v>0.05</v>
      </c>
      <c r="N4210" s="464">
        <f t="shared" si="167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65"/>
        <v>-21695509028896.57</v>
      </c>
      <c r="J4211" s="444">
        <f t="array" ref="J4211">IFERROR(INDEX('Retirement Calculator'!K:K,MATCH('Lorri 401b'!N4211,'Retirement Calculator'!A:A,0),0),0)</f>
        <v>0</v>
      </c>
      <c r="K4211" s="444">
        <f t="shared" ca="1" si="163"/>
        <v>-90397954287.069046</v>
      </c>
      <c r="L4211" s="444">
        <f t="shared" ca="1" si="164"/>
        <v>-21785906983183.641</v>
      </c>
      <c r="M4211" s="460">
        <f t="shared" si="166"/>
        <v>0.05</v>
      </c>
      <c r="N4211" s="464">
        <f t="shared" si="167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65"/>
        <v>-21785906983183.641</v>
      </c>
      <c r="J4212" s="444">
        <f t="array" ref="J4212">IFERROR(INDEX('Retirement Calculator'!K:K,MATCH('Lorri 401b'!N4212,'Retirement Calculator'!A:A,0),0),0)</f>
        <v>0</v>
      </c>
      <c r="K4212" s="444">
        <f t="shared" ca="1" si="163"/>
        <v>-90774612429.931839</v>
      </c>
      <c r="L4212" s="444">
        <f t="shared" ca="1" si="164"/>
        <v>-21876681595613.574</v>
      </c>
      <c r="M4212" s="460">
        <f t="shared" si="166"/>
        <v>0.05</v>
      </c>
      <c r="N4212" s="464">
        <f t="shared" si="167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65"/>
        <v>-21876681595613.574</v>
      </c>
      <c r="J4213" s="444">
        <f t="array" ref="J4213">IFERROR(INDEX('Retirement Calculator'!K:K,MATCH('Lorri 401b'!N4213,'Retirement Calculator'!A:A,0),0),0)</f>
        <v>0</v>
      </c>
      <c r="K4213" s="444">
        <f t="shared" ca="1" si="163"/>
        <v>-91152839981.723221</v>
      </c>
      <c r="L4213" s="444">
        <f t="shared" ca="1" si="164"/>
        <v>-21967834435595.297</v>
      </c>
      <c r="M4213" s="460">
        <f t="shared" si="166"/>
        <v>0.05</v>
      </c>
      <c r="N4213" s="464">
        <f t="shared" si="167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65"/>
        <v>-21967834435595.297</v>
      </c>
      <c r="J4214" s="444">
        <f t="array" ref="J4214">IFERROR(INDEX('Retirement Calculator'!K:K,MATCH('Lorri 401b'!N4214,'Retirement Calculator'!A:A,0),0),0)</f>
        <v>0</v>
      </c>
      <c r="K4214" s="444">
        <f t="shared" ca="1" si="163"/>
        <v>-91532643481.647064</v>
      </c>
      <c r="L4214" s="444">
        <f t="shared" ca="1" si="164"/>
        <v>-22059367079076.945</v>
      </c>
      <c r="M4214" s="460">
        <f t="shared" si="166"/>
        <v>0.05</v>
      </c>
      <c r="N4214" s="464">
        <f t="shared" si="167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65"/>
        <v>-22059367079076.945</v>
      </c>
      <c r="J4215" s="444">
        <f t="array" ref="J4215">IFERROR(INDEX('Retirement Calculator'!K:K,MATCH('Lorri 401b'!N4215,'Retirement Calculator'!A:A,0),0),0)</f>
        <v>0</v>
      </c>
      <c r="K4215" s="444">
        <f t="shared" ca="1" si="163"/>
        <v>-91914029496.153931</v>
      </c>
      <c r="L4215" s="444">
        <f t="shared" ca="1" si="164"/>
        <v>-22151281108573.098</v>
      </c>
      <c r="M4215" s="460">
        <f t="shared" si="166"/>
        <v>0.05</v>
      </c>
      <c r="N4215" s="464">
        <f t="shared" si="167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65"/>
        <v>-22151281108573.098</v>
      </c>
      <c r="J4216" s="444">
        <f t="array" ref="J4216">IFERROR(INDEX('Retirement Calculator'!K:K,MATCH('Lorri 401b'!N4216,'Retirement Calculator'!A:A,0),0),0)</f>
        <v>0</v>
      </c>
      <c r="K4216" s="444">
        <f t="shared" ca="1" si="163"/>
        <v>-92297004619.054565</v>
      </c>
      <c r="L4216" s="444">
        <f t="shared" ca="1" si="164"/>
        <v>-22243578113192.152</v>
      </c>
      <c r="M4216" s="460">
        <f t="shared" si="166"/>
        <v>0.05</v>
      </c>
      <c r="N4216" s="464">
        <f t="shared" si="167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65"/>
        <v>-22243578113192.152</v>
      </c>
      <c r="J4217" s="444">
        <f t="array" ref="J4217">IFERROR(INDEX('Retirement Calculator'!K:K,MATCH('Lorri 401b'!N4217,'Retirement Calculator'!A:A,0),0),0)</f>
        <v>0</v>
      </c>
      <c r="K4217" s="444">
        <f t="shared" ca="1" si="163"/>
        <v>-92681575471.633972</v>
      </c>
      <c r="L4217" s="444">
        <f t="shared" ca="1" si="164"/>
        <v>-22336259688663.785</v>
      </c>
      <c r="M4217" s="460">
        <f t="shared" si="166"/>
        <v>0.05</v>
      </c>
      <c r="N4217" s="464">
        <f t="shared" si="167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65"/>
        <v>-22336259688663.785</v>
      </c>
      <c r="J4218" s="444">
        <f t="array" ref="J4218">IFERROR(INDEX('Retirement Calculator'!K:K,MATCH('Lorri 401b'!N4218,'Retirement Calculator'!A:A,0),0),0)</f>
        <v>0</v>
      </c>
      <c r="K4218" s="444">
        <f t="shared" ca="1" si="163"/>
        <v>-93067748702.765778</v>
      </c>
      <c r="L4218" s="444">
        <f t="shared" ca="1" si="164"/>
        <v>-22429327437366.551</v>
      </c>
      <c r="M4218" s="460">
        <f t="shared" si="166"/>
        <v>0.05</v>
      </c>
      <c r="N4218" s="464">
        <f t="shared" si="167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65"/>
        <v>-22429327437366.551</v>
      </c>
      <c r="J4219" s="444">
        <f t="array" ref="J4219">IFERROR(INDEX('Retirement Calculator'!K:K,MATCH('Lorri 401b'!N4219,'Retirement Calculator'!A:A,0),0),0)</f>
        <v>0</v>
      </c>
      <c r="K4219" s="444">
        <f t="shared" ca="1" si="163"/>
        <v>-93455530989.027298</v>
      </c>
      <c r="L4219" s="444">
        <f t="shared" ca="1" si="164"/>
        <v>-22522782968355.578</v>
      </c>
      <c r="M4219" s="460">
        <f t="shared" si="166"/>
        <v>0.05</v>
      </c>
      <c r="N4219" s="464">
        <f t="shared" si="167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65"/>
        <v>-22522782968355.578</v>
      </c>
      <c r="J4220" s="444">
        <f t="array" ref="J4220">IFERROR(INDEX('Retirement Calculator'!K:K,MATCH('Lorri 401b'!N4220,'Retirement Calculator'!A:A,0),0),0)</f>
        <v>0</v>
      </c>
      <c r="K4220" s="444">
        <f t="shared" ca="1" si="163"/>
        <v>-93844929034.814911</v>
      </c>
      <c r="L4220" s="444">
        <f t="shared" ca="1" si="164"/>
        <v>-22616627897390.395</v>
      </c>
      <c r="M4220" s="460">
        <f t="shared" si="166"/>
        <v>0.05</v>
      </c>
      <c r="N4220" s="464">
        <f t="shared" si="167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65"/>
        <v>-22616627897390.395</v>
      </c>
      <c r="J4221" s="444">
        <f t="array" ref="J4221">IFERROR(INDEX('Retirement Calculator'!K:K,MATCH('Lorri 401b'!N4221,'Retirement Calculator'!A:A,0),0),0)</f>
        <v>0</v>
      </c>
      <c r="K4221" s="444">
        <f t="shared" ca="1" si="163"/>
        <v>-94235949572.459976</v>
      </c>
      <c r="L4221" s="444">
        <f t="shared" ca="1" si="164"/>
        <v>-22710863846962.855</v>
      </c>
      <c r="M4221" s="460">
        <f t="shared" si="166"/>
        <v>0.05</v>
      </c>
      <c r="N4221" s="464">
        <f t="shared" si="167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65"/>
        <v>-22710863846962.855</v>
      </c>
      <c r="J4222" s="444">
        <f t="array" ref="J4222">IFERROR(INDEX('Retirement Calculator'!K:K,MATCH('Lorri 401b'!N4222,'Retirement Calculator'!A:A,0),0),0)</f>
        <v>0</v>
      </c>
      <c r="K4222" s="444">
        <f t="shared" ca="1" si="163"/>
        <v>-94628599362.34523</v>
      </c>
      <c r="L4222" s="444">
        <f t="shared" ca="1" si="164"/>
        <v>-22805492446325.199</v>
      </c>
      <c r="M4222" s="460">
        <f t="shared" si="166"/>
        <v>0.05</v>
      </c>
      <c r="N4222" s="464">
        <f t="shared" si="167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65"/>
        <v>-22805492446325.199</v>
      </c>
      <c r="J4223" s="444">
        <f t="array" ref="J4223">IFERROR(INDEX('Retirement Calculator'!K:K,MATCH('Lorri 401b'!N4223,'Retirement Calculator'!A:A,0),0),0)</f>
        <v>0</v>
      </c>
      <c r="K4223" s="444">
        <f t="shared" ca="1" si="163"/>
        <v>-95022885193.021667</v>
      </c>
      <c r="L4223" s="444">
        <f t="shared" ca="1" si="164"/>
        <v>-22900515331518.223</v>
      </c>
      <c r="M4223" s="460">
        <f t="shared" si="166"/>
        <v>0.05</v>
      </c>
      <c r="N4223" s="464">
        <f t="shared" si="167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65"/>
        <v>-22900515331518.223</v>
      </c>
      <c r="J4224" s="444">
        <f t="array" ref="J4224">IFERROR(INDEX('Retirement Calculator'!K:K,MATCH('Lorri 401b'!N4224,'Retirement Calculator'!A:A,0),0),0)</f>
        <v>0</v>
      </c>
      <c r="K4224" s="444">
        <f t="shared" ca="1" si="163"/>
        <v>-95418813881.325928</v>
      </c>
      <c r="L4224" s="444">
        <f t="shared" ca="1" si="164"/>
        <v>-22995934145399.547</v>
      </c>
      <c r="M4224" s="460">
        <f t="shared" si="166"/>
        <v>0.05</v>
      </c>
      <c r="N4224" s="464">
        <f t="shared" si="167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65"/>
        <v>-22995934145399.547</v>
      </c>
      <c r="J4225" s="444">
        <f t="array" ref="J4225">IFERROR(INDEX('Retirement Calculator'!K:K,MATCH('Lorri 401b'!N4225,'Retirement Calculator'!A:A,0),0),0)</f>
        <v>0</v>
      </c>
      <c r="K4225" s="444">
        <f t="shared" ca="1" si="163"/>
        <v>-95816392272.498108</v>
      </c>
      <c r="L4225" s="444">
        <f t="shared" ca="1" si="164"/>
        <v>-23091750537672.047</v>
      </c>
      <c r="M4225" s="460">
        <f t="shared" si="166"/>
        <v>0.05</v>
      </c>
      <c r="N4225" s="464">
        <f t="shared" si="167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65"/>
        <v>-23091750537672.047</v>
      </c>
      <c r="J4226" s="444">
        <f t="array" ref="J4226">IFERROR(INDEX('Retirement Calculator'!K:K,MATCH('Lorri 401b'!N4226,'Retirement Calculator'!A:A,0),0),0)</f>
        <v>0</v>
      </c>
      <c r="K4226" s="444">
        <f t="shared" ca="1" si="163"/>
        <v>-96215627240.300201</v>
      </c>
      <c r="L4226" s="444">
        <f t="shared" ca="1" si="164"/>
        <v>-23187966164912.348</v>
      </c>
      <c r="M4226" s="460">
        <f t="shared" si="166"/>
        <v>0.05</v>
      </c>
      <c r="N4226" s="464">
        <f t="shared" si="167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65"/>
        <v>-23187966164912.348</v>
      </c>
      <c r="J4227" s="444">
        <f t="array" ref="J4227">IFERROR(INDEX('Retirement Calculator'!K:K,MATCH('Lorri 401b'!N4227,'Retirement Calculator'!A:A,0),0),0)</f>
        <v>0</v>
      </c>
      <c r="K4227" s="444">
        <f t="shared" ca="1" si="163"/>
        <v>-96616525687.134781</v>
      </c>
      <c r="L4227" s="444">
        <f t="shared" ca="1" si="164"/>
        <v>-23284582690599.484</v>
      </c>
      <c r="M4227" s="460">
        <f t="shared" si="166"/>
        <v>0.05</v>
      </c>
      <c r="N4227" s="464">
        <f t="shared" si="167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65"/>
        <v>-23284582690599.484</v>
      </c>
      <c r="J4228" s="444">
        <f t="array" ref="J4228">IFERROR(INDEX('Retirement Calculator'!K:K,MATCH('Lorri 401b'!N4228,'Retirement Calculator'!A:A,0),0),0)</f>
        <v>0</v>
      </c>
      <c r="K4228" s="444">
        <f t="shared" ca="1" si="163"/>
        <v>-97019094544.16452</v>
      </c>
      <c r="L4228" s="444">
        <f t="shared" ca="1" si="164"/>
        <v>-23381601785143.648</v>
      </c>
      <c r="M4228" s="460">
        <f t="shared" si="166"/>
        <v>0.05</v>
      </c>
      <c r="N4228" s="464">
        <f t="shared" si="167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65"/>
        <v>-23381601785143.648</v>
      </c>
      <c r="J4229" s="444">
        <f t="array" ref="J4229">IFERROR(INDEX('Retirement Calculator'!K:K,MATCH('Lorri 401b'!N4229,'Retirement Calculator'!A:A,0),0),0)</f>
        <v>0</v>
      </c>
      <c r="K4229" s="444">
        <f t="shared" ca="1" si="163"/>
        <v>-97423340771.43187</v>
      </c>
      <c r="L4229" s="444">
        <f t="shared" ca="1" si="164"/>
        <v>-23479025125915.082</v>
      </c>
      <c r="M4229" s="460">
        <f t="shared" si="166"/>
        <v>0.05</v>
      </c>
      <c r="N4229" s="464">
        <f t="shared" si="167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65"/>
        <v>-23479025125915.082</v>
      </c>
      <c r="J4230" s="444">
        <f t="array" ref="J4230">IFERROR(INDEX('Retirement Calculator'!K:K,MATCH('Lorri 401b'!N4230,'Retirement Calculator'!A:A,0),0),0)</f>
        <v>0</v>
      </c>
      <c r="K4230" s="444">
        <f t="shared" ca="1" si="163"/>
        <v>-97829271357.979507</v>
      </c>
      <c r="L4230" s="444">
        <f t="shared" ca="1" si="164"/>
        <v>-23576854397273.063</v>
      </c>
      <c r="M4230" s="460">
        <f t="shared" si="166"/>
        <v>0.05</v>
      </c>
      <c r="N4230" s="464">
        <f t="shared" si="167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65"/>
        <v>-23576854397273.063</v>
      </c>
      <c r="J4231" s="444">
        <f t="array" ref="J4231">IFERROR(INDEX('Retirement Calculator'!K:K,MATCH('Lorri 401b'!N4231,'Retirement Calculator'!A:A,0),0),0)</f>
        <v>0</v>
      </c>
      <c r="K4231" s="444">
        <f t="shared" ca="1" si="163"/>
        <v>-98236893321.9711</v>
      </c>
      <c r="L4231" s="444">
        <f t="shared" ca="1" si="164"/>
        <v>-23675091290595.035</v>
      </c>
      <c r="M4231" s="460">
        <f t="shared" si="166"/>
        <v>0.05</v>
      </c>
      <c r="N4231" s="464">
        <f t="shared" si="167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65"/>
        <v>-23675091290595.035</v>
      </c>
      <c r="J4232" s="444">
        <f t="array" ref="J4232">IFERROR(INDEX('Retirement Calculator'!K:K,MATCH('Lorri 401b'!N4232,'Retirement Calculator'!A:A,0),0),0)</f>
        <v>0</v>
      </c>
      <c r="K4232" s="444">
        <f t="shared" ca="1" si="163"/>
        <v>-98646213710.812653</v>
      </c>
      <c r="L4232" s="444">
        <f t="shared" ca="1" si="164"/>
        <v>-23773737504305.848</v>
      </c>
      <c r="M4232" s="460">
        <f t="shared" si="166"/>
        <v>0.05</v>
      </c>
      <c r="N4232" s="464">
        <f t="shared" si="167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65"/>
        <v>-23773737504305.848</v>
      </c>
      <c r="J4233" s="444">
        <f t="array" ref="J4233">IFERROR(INDEX('Retirement Calculator'!K:K,MATCH('Lorri 401b'!N4233,'Retirement Calculator'!A:A,0),0),0)</f>
        <v>0</v>
      </c>
      <c r="K4233" s="444">
        <f t="shared" ca="1" si="163"/>
        <v>-99057239601.274368</v>
      </c>
      <c r="L4233" s="444">
        <f t="shared" ca="1" si="164"/>
        <v>-23872794743907.121</v>
      </c>
      <c r="M4233" s="460">
        <f t="shared" si="166"/>
        <v>0.05</v>
      </c>
      <c r="N4233" s="464">
        <f t="shared" si="167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65"/>
        <v>-23872794743907.121</v>
      </c>
      <c r="J4234" s="444">
        <f t="array" ref="J4234">IFERROR(INDEX('Retirement Calculator'!K:K,MATCH('Lorri 401b'!N4234,'Retirement Calculator'!A:A,0),0),0)</f>
        <v>0</v>
      </c>
      <c r="K4234" s="444">
        <f t="shared" ca="1" si="163"/>
        <v>-99469978099.613007</v>
      </c>
      <c r="L4234" s="444">
        <f t="shared" ca="1" si="164"/>
        <v>-23972264722006.734</v>
      </c>
      <c r="M4234" s="460">
        <f t="shared" si="166"/>
        <v>0.05</v>
      </c>
      <c r="N4234" s="464">
        <f t="shared" si="167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65"/>
        <v>-23972264722006.734</v>
      </c>
      <c r="J4235" s="444">
        <f t="array" ref="J4235">IFERROR(INDEX('Retirement Calculator'!K:K,MATCH('Lorri 401b'!N4235,'Retirement Calculator'!A:A,0),0),0)</f>
        <v>0</v>
      </c>
      <c r="K4235" s="444">
        <f t="shared" ca="1" si="163"/>
        <v>-99884436341.694733</v>
      </c>
      <c r="L4235" s="444">
        <f t="shared" ca="1" si="164"/>
        <v>-24072149158348.43</v>
      </c>
      <c r="M4235" s="460">
        <f t="shared" si="166"/>
        <v>0.05</v>
      </c>
      <c r="N4235" s="464">
        <f t="shared" si="167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65"/>
        <v>-24072149158348.43</v>
      </c>
      <c r="J4236" s="444">
        <f t="array" ref="J4236">IFERROR(INDEX('Retirement Calculator'!K:K,MATCH('Lorri 401b'!N4236,'Retirement Calculator'!A:A,0),0),0)</f>
        <v>0</v>
      </c>
      <c r="K4236" s="444">
        <f t="shared" ca="1" si="163"/>
        <v>-100300621493.11845</v>
      </c>
      <c r="L4236" s="444">
        <f t="shared" ca="1" si="164"/>
        <v>-24172449779841.547</v>
      </c>
      <c r="M4236" s="460">
        <f t="shared" si="166"/>
        <v>0.05</v>
      </c>
      <c r="N4236" s="464">
        <f t="shared" si="167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65"/>
        <v>-24172449779841.547</v>
      </c>
      <c r="J4237" s="444">
        <f t="array" ref="J4237">IFERROR(INDEX('Retirement Calculator'!K:K,MATCH('Lorri 401b'!N4237,'Retirement Calculator'!A:A,0),0),0)</f>
        <v>0</v>
      </c>
      <c r="K4237" s="444">
        <f t="shared" ca="1" si="163"/>
        <v>-100718540749.33978</v>
      </c>
      <c r="L4237" s="444">
        <f t="shared" ca="1" si="164"/>
        <v>-24273168320590.887</v>
      </c>
      <c r="M4237" s="460">
        <f t="shared" si="166"/>
        <v>0.05</v>
      </c>
      <c r="N4237" s="464">
        <f t="shared" si="167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65"/>
        <v>-24273168320590.887</v>
      </c>
      <c r="J4238" s="444">
        <f t="array" ref="J4238">IFERROR(INDEX('Retirement Calculator'!K:K,MATCH('Lorri 401b'!N4238,'Retirement Calculator'!A:A,0),0),0)</f>
        <v>0</v>
      </c>
      <c r="K4238" s="444">
        <f t="shared" ca="1" si="163"/>
        <v>-101138201335.79536</v>
      </c>
      <c r="L4238" s="444">
        <f t="shared" ca="1" si="164"/>
        <v>-24374306521926.684</v>
      </c>
      <c r="M4238" s="460">
        <f t="shared" si="166"/>
        <v>0.05</v>
      </c>
      <c r="N4238" s="464">
        <f t="shared" si="167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65"/>
        <v>-24374306521926.684</v>
      </c>
      <c r="J4239" s="444">
        <f t="array" ref="J4239">IFERROR(INDEX('Retirement Calculator'!K:K,MATCH('Lorri 401b'!N4239,'Retirement Calculator'!A:A,0),0),0)</f>
        <v>0</v>
      </c>
      <c r="K4239" s="444">
        <f t="shared" ca="1" si="163"/>
        <v>-101559610508.02785</v>
      </c>
      <c r="L4239" s="444">
        <f t="shared" ca="1" si="164"/>
        <v>-24475866132434.711</v>
      </c>
      <c r="M4239" s="460">
        <f t="shared" si="166"/>
        <v>0.05</v>
      </c>
      <c r="N4239" s="464">
        <f t="shared" si="167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65"/>
        <v>-24475866132434.711</v>
      </c>
      <c r="J4240" s="444">
        <f t="array" ref="J4240">IFERROR(INDEX('Retirement Calculator'!K:K,MATCH('Lorri 401b'!N4240,'Retirement Calculator'!A:A,0),0),0)</f>
        <v>0</v>
      </c>
      <c r="K4240" s="444">
        <f t="shared" ca="1" si="163"/>
        <v>-101982775551.81129</v>
      </c>
      <c r="L4240" s="444">
        <f t="shared" ca="1" si="164"/>
        <v>-24577848907986.523</v>
      </c>
      <c r="M4240" s="460">
        <f t="shared" si="166"/>
        <v>0.05</v>
      </c>
      <c r="N4240" s="464">
        <f t="shared" si="167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65"/>
        <v>-24577848907986.523</v>
      </c>
      <c r="J4241" s="444">
        <f t="array" ref="J4241">IFERROR(INDEX('Retirement Calculator'!K:K,MATCH('Lorri 401b'!N4241,'Retirement Calculator'!A:A,0),0),0)</f>
        <v>0</v>
      </c>
      <c r="K4241" s="444">
        <f t="shared" ca="1" si="163"/>
        <v>-102407703783.27718</v>
      </c>
      <c r="L4241" s="444">
        <f t="shared" ca="1" si="164"/>
        <v>-24680256611769.801</v>
      </c>
      <c r="M4241" s="460">
        <f t="shared" si="166"/>
        <v>0.05</v>
      </c>
      <c r="N4241" s="464">
        <f t="shared" si="167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65"/>
        <v>-24680256611769.801</v>
      </c>
      <c r="J4242" s="444">
        <f t="array" ref="J4242">IFERROR(INDEX('Retirement Calculator'!K:K,MATCH('Lorri 401b'!N4242,'Retirement Calculator'!A:A,0),0),0)</f>
        <v>0</v>
      </c>
      <c r="K4242" s="444">
        <f t="shared" ca="1" si="163"/>
        <v>-102834402549.04083</v>
      </c>
      <c r="L4242" s="444">
        <f t="shared" ca="1" si="164"/>
        <v>-24783091014318.84</v>
      </c>
      <c r="M4242" s="460">
        <f t="shared" si="166"/>
        <v>0.05</v>
      </c>
      <c r="N4242" s="464">
        <f t="shared" si="167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65"/>
        <v>-24783091014318.84</v>
      </c>
      <c r="J4243" s="444">
        <f t="array" ref="J4243">IFERROR(INDEX('Retirement Calculator'!K:K,MATCH('Lorri 401b'!N4243,'Retirement Calculator'!A:A,0),0),0)</f>
        <v>0</v>
      </c>
      <c r="K4243" s="444">
        <f t="shared" ca="1" si="163"/>
        <v>-103262879226.32849</v>
      </c>
      <c r="L4243" s="444">
        <f t="shared" ca="1" si="164"/>
        <v>-24886353893545.168</v>
      </c>
      <c r="M4243" s="460">
        <f t="shared" si="166"/>
        <v>0.05</v>
      </c>
      <c r="N4243" s="464">
        <f t="shared" si="167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65"/>
        <v>-24886353893545.168</v>
      </c>
      <c r="J4244" s="444">
        <f t="array" ref="J4244">IFERROR(INDEX('Retirement Calculator'!K:K,MATCH('Lorri 401b'!N4244,'Retirement Calculator'!A:A,0),0),0)</f>
        <v>0</v>
      </c>
      <c r="K4244" s="444">
        <f t="shared" ca="1" si="163"/>
        <v>-103693141223.10486</v>
      </c>
      <c r="L4244" s="444">
        <f t="shared" ca="1" si="164"/>
        <v>-24990047034768.273</v>
      </c>
      <c r="M4244" s="460">
        <f t="shared" si="166"/>
        <v>0.05</v>
      </c>
      <c r="N4244" s="464">
        <f t="shared" si="167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65"/>
        <v>-24990047034768.273</v>
      </c>
      <c r="J4245" s="444">
        <f t="array" ref="J4245">IFERROR(INDEX('Retirement Calculator'!K:K,MATCH('Lorri 401b'!N4245,'Retirement Calculator'!A:A,0),0),0)</f>
        <v>0</v>
      </c>
      <c r="K4245" s="444">
        <f t="shared" ca="1" si="163"/>
        <v>-104125195978.20114</v>
      </c>
      <c r="L4245" s="444">
        <f t="shared" ca="1" si="164"/>
        <v>-25094172230746.473</v>
      </c>
      <c r="M4245" s="460">
        <f t="shared" si="166"/>
        <v>0.05</v>
      </c>
      <c r="N4245" s="464">
        <f t="shared" si="167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65"/>
        <v>-25094172230746.473</v>
      </c>
      <c r="J4246" s="444">
        <f t="array" ref="J4246">IFERROR(INDEX('Retirement Calculator'!K:K,MATCH('Lorri 401b'!N4246,'Retirement Calculator'!A:A,0),0),0)</f>
        <v>0</v>
      </c>
      <c r="K4246" s="444">
        <f t="shared" ca="1" si="163"/>
        <v>-104559050961.44363</v>
      </c>
      <c r="L4246" s="444">
        <f t="shared" ca="1" si="164"/>
        <v>-25198731281707.918</v>
      </c>
      <c r="M4246" s="460">
        <f t="shared" si="166"/>
        <v>0.05</v>
      </c>
      <c r="N4246" s="464">
        <f t="shared" si="167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65"/>
        <v>-25198731281707.918</v>
      </c>
      <c r="J4247" s="444">
        <f t="array" ref="J4247">IFERROR(INDEX('Retirement Calculator'!K:K,MATCH('Lorri 401b'!N4247,'Retirement Calculator'!A:A,0),0),0)</f>
        <v>0</v>
      </c>
      <c r="K4247" s="444">
        <f t="shared" ca="1" si="163"/>
        <v>-104994713673.78299</v>
      </c>
      <c r="L4247" s="444">
        <f t="shared" ca="1" si="164"/>
        <v>-25303725995381.699</v>
      </c>
      <c r="M4247" s="460">
        <f t="shared" si="166"/>
        <v>0.05</v>
      </c>
      <c r="N4247" s="464">
        <f t="shared" si="167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65"/>
        <v>-25303725995381.699</v>
      </c>
      <c r="J4248" s="444">
        <f t="array" ref="J4248">IFERROR(INDEX('Retirement Calculator'!K:K,MATCH('Lorri 401b'!N4248,'Retirement Calculator'!A:A,0),0),0)</f>
        <v>0</v>
      </c>
      <c r="K4248" s="444">
        <f t="shared" ca="1" si="163"/>
        <v>-105432191647.42375</v>
      </c>
      <c r="L4248" s="444">
        <f t="shared" ca="1" si="164"/>
        <v>-25409158187029.121</v>
      </c>
      <c r="M4248" s="460">
        <f t="shared" si="166"/>
        <v>0.05</v>
      </c>
      <c r="N4248" s="464">
        <f t="shared" si="167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65"/>
        <v>-25409158187029.121</v>
      </c>
      <c r="J4249" s="444">
        <f t="array" ref="J4249">IFERROR(INDEX('Retirement Calculator'!K:K,MATCH('Lorri 401b'!N4249,'Retirement Calculator'!A:A,0),0),0)</f>
        <v>0</v>
      </c>
      <c r="K4249" s="444">
        <f t="shared" ca="1" si="163"/>
        <v>-105871492445.95467</v>
      </c>
      <c r="L4249" s="444">
        <f t="shared" ca="1" si="164"/>
        <v>-25515029679475.074</v>
      </c>
      <c r="M4249" s="460">
        <f t="shared" si="166"/>
        <v>0.05</v>
      </c>
      <c r="N4249" s="464">
        <f t="shared" si="167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65"/>
        <v>-25515029679475.074</v>
      </c>
      <c r="J4250" s="444">
        <f t="array" ref="J4250">IFERROR(INDEX('Retirement Calculator'!K:K,MATCH('Lorri 401b'!N4250,'Retirement Calculator'!A:A,0),0),0)</f>
        <v>0</v>
      </c>
      <c r="K4250" s="444">
        <f t="shared" ca="1" si="163"/>
        <v>-106312623664.47948</v>
      </c>
      <c r="L4250" s="444">
        <f t="shared" ca="1" si="164"/>
        <v>-25621342303139.555</v>
      </c>
      <c r="M4250" s="460">
        <f t="shared" si="166"/>
        <v>0.05</v>
      </c>
      <c r="N4250" s="464">
        <f t="shared" si="167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65"/>
        <v>-25621342303139.555</v>
      </c>
      <c r="J4251" s="444">
        <f t="array" ref="J4251">IFERROR(INDEX('Retirement Calculator'!K:K,MATCH('Lorri 401b'!N4251,'Retirement Calculator'!A:A,0),0),0)</f>
        <v>0</v>
      </c>
      <c r="K4251" s="444">
        <f t="shared" ca="1" si="163"/>
        <v>-106755592929.74814</v>
      </c>
      <c r="L4251" s="444">
        <f t="shared" ca="1" si="164"/>
        <v>-25728097896069.305</v>
      </c>
      <c r="M4251" s="460">
        <f t="shared" si="166"/>
        <v>0.05</v>
      </c>
      <c r="N4251" s="464">
        <f t="shared" si="167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65"/>
        <v>-25728097896069.305</v>
      </c>
      <c r="J4252" s="444">
        <f t="array" ref="J4252">IFERROR(INDEX('Retirement Calculator'!K:K,MATCH('Lorri 401b'!N4252,'Retirement Calculator'!A:A,0),0),0)</f>
        <v>0</v>
      </c>
      <c r="K4252" s="444">
        <f t="shared" ca="1" si="163"/>
        <v>-107200407900.28877</v>
      </c>
      <c r="L4252" s="444">
        <f t="shared" ca="1" si="164"/>
        <v>-25835298303969.594</v>
      </c>
      <c r="M4252" s="460">
        <f t="shared" si="166"/>
        <v>0.05</v>
      </c>
      <c r="N4252" s="464">
        <f t="shared" si="167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65"/>
        <v>-25835298303969.594</v>
      </c>
      <c r="J4253" s="444">
        <f t="array" ref="J4253">IFERROR(INDEX('Retirement Calculator'!K:K,MATCH('Lorri 401b'!N4253,'Retirement Calculator'!A:A,0),0),0)</f>
        <v>0</v>
      </c>
      <c r="K4253" s="444">
        <f t="shared" ca="1" si="163"/>
        <v>-107647076266.53998</v>
      </c>
      <c r="L4253" s="444">
        <f t="shared" ca="1" si="164"/>
        <v>-25942945380236.133</v>
      </c>
      <c r="M4253" s="460">
        <f t="shared" si="166"/>
        <v>0.05</v>
      </c>
      <c r="N4253" s="464">
        <f t="shared" si="167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65"/>
        <v>-25942945380236.133</v>
      </c>
      <c r="J4254" s="444">
        <f t="array" ref="J4254">IFERROR(INDEX('Retirement Calculator'!K:K,MATCH('Lorri 401b'!N4254,'Retirement Calculator'!A:A,0),0),0)</f>
        <v>0</v>
      </c>
      <c r="K4254" s="444">
        <f t="shared" ca="1" si="163"/>
        <v>-108095605750.98389</v>
      </c>
      <c r="L4254" s="444">
        <f t="shared" ca="1" si="164"/>
        <v>-26051040985987.117</v>
      </c>
      <c r="M4254" s="460">
        <f t="shared" si="166"/>
        <v>0.05</v>
      </c>
      <c r="N4254" s="464">
        <f t="shared" si="167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65"/>
        <v>-26051040985987.117</v>
      </c>
      <c r="J4255" s="444">
        <f t="array" ref="J4255">IFERROR(INDEX('Retirement Calculator'!K:K,MATCH('Lorri 401b'!N4255,'Retirement Calculator'!A:A,0),0),0)</f>
        <v>0</v>
      </c>
      <c r="K4255" s="444">
        <f t="shared" ca="1" si="163"/>
        <v>-108546004108.27965</v>
      </c>
      <c r="L4255" s="444">
        <f t="shared" ca="1" si="164"/>
        <v>-26159586990095.398</v>
      </c>
      <c r="M4255" s="460">
        <f t="shared" si="166"/>
        <v>0.05</v>
      </c>
      <c r="N4255" s="464">
        <f t="shared" si="167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65"/>
        <v>-26159586990095.398</v>
      </c>
      <c r="J4256" s="444">
        <f t="array" ref="J4256">IFERROR(INDEX('Retirement Calculator'!K:K,MATCH('Lorri 401b'!N4256,'Retirement Calculator'!A:A,0),0),0)</f>
        <v>0</v>
      </c>
      <c r="K4256" s="444">
        <f t="shared" ca="1" si="163"/>
        <v>-108998279125.39749</v>
      </c>
      <c r="L4256" s="444">
        <f t="shared" ca="1" si="164"/>
        <v>-26268585269220.797</v>
      </c>
      <c r="M4256" s="460">
        <f t="shared" si="166"/>
        <v>0.05</v>
      </c>
      <c r="N4256" s="464">
        <f t="shared" si="167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65"/>
        <v>-26268585269220.797</v>
      </c>
      <c r="J4257" s="444">
        <f t="array" ref="J4257">IFERROR(INDEX('Retirement Calculator'!K:K,MATCH('Lorri 401b'!N4257,'Retirement Calculator'!A:A,0),0),0)</f>
        <v>0</v>
      </c>
      <c r="K4257" s="444">
        <f t="shared" ca="1" si="163"/>
        <v>-109452438621.75333</v>
      </c>
      <c r="L4257" s="444">
        <f t="shared" ca="1" si="164"/>
        <v>-26378037707842.551</v>
      </c>
      <c r="M4257" s="460">
        <f t="shared" si="166"/>
        <v>0.05</v>
      </c>
      <c r="N4257" s="464">
        <f t="shared" si="167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65"/>
        <v>-26378037707842.551</v>
      </c>
      <c r="J4258" s="444">
        <f t="array" ref="J4258">IFERROR(INDEX('Retirement Calculator'!K:K,MATCH('Lorri 401b'!N4258,'Retirement Calculator'!A:A,0),0),0)</f>
        <v>0</v>
      </c>
      <c r="K4258" s="444">
        <f t="shared" ca="1" si="163"/>
        <v>-109908490449.34396</v>
      </c>
      <c r="L4258" s="444">
        <f t="shared" ca="1" si="164"/>
        <v>-26487946198291.895</v>
      </c>
      <c r="M4258" s="460">
        <f t="shared" si="166"/>
        <v>0.05</v>
      </c>
      <c r="N4258" s="464">
        <f t="shared" si="167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65"/>
        <v>-26487946198291.895</v>
      </c>
      <c r="J4259" s="444">
        <f t="array" ref="J4259">IFERROR(INDEX('Retirement Calculator'!K:K,MATCH('Lorri 401b'!N4259,'Retirement Calculator'!A:A,0),0),0)</f>
        <v>0</v>
      </c>
      <c r="K4259" s="444">
        <f t="shared" ca="1" si="163"/>
        <v>-110366442492.88289</v>
      </c>
      <c r="L4259" s="444">
        <f t="shared" ca="1" si="164"/>
        <v>-26598312640784.777</v>
      </c>
      <c r="M4259" s="460">
        <f t="shared" si="166"/>
        <v>0.05</v>
      </c>
      <c r="N4259" s="464">
        <f t="shared" si="167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65"/>
        <v>-26598312640784.777</v>
      </c>
      <c r="J4260" s="444">
        <f t="array" ref="J4260">IFERROR(INDEX('Retirement Calculator'!K:K,MATCH('Lorri 401b'!N4260,'Retirement Calculator'!A:A,0),0),0)</f>
        <v>0</v>
      </c>
      <c r="K4260" s="444">
        <f t="shared" ca="1" si="163"/>
        <v>-110826302669.93657</v>
      </c>
      <c r="L4260" s="444">
        <f t="shared" ca="1" si="164"/>
        <v>-26709138943454.715</v>
      </c>
      <c r="M4260" s="460">
        <f t="shared" si="166"/>
        <v>0.05</v>
      </c>
      <c r="N4260" s="464">
        <f t="shared" si="167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65"/>
        <v>-26709138943454.715</v>
      </c>
      <c r="J4261" s="444">
        <f t="array" ref="J4261">IFERROR(INDEX('Retirement Calculator'!K:K,MATCH('Lorri 401b'!N4261,'Retirement Calculator'!A:A,0),0),0)</f>
        <v>0</v>
      </c>
      <c r="K4261" s="444">
        <f t="shared" ca="1" si="163"/>
        <v>-111288078931.06131</v>
      </c>
      <c r="L4261" s="444">
        <f t="shared" ca="1" si="164"/>
        <v>-26820427022385.777</v>
      </c>
      <c r="M4261" s="460">
        <f t="shared" si="166"/>
        <v>0.05</v>
      </c>
      <c r="N4261" s="464">
        <f t="shared" si="167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65"/>
        <v>-26820427022385.777</v>
      </c>
      <c r="J4262" s="444">
        <f t="array" ref="J4262">IFERROR(INDEX('Retirement Calculator'!K:K,MATCH('Lorri 401b'!N4262,'Retirement Calculator'!A:A,0),0),0)</f>
        <v>0</v>
      </c>
      <c r="K4262" s="444">
        <f t="shared" ca="1" si="163"/>
        <v>-111751779259.94073</v>
      </c>
      <c r="L4262" s="444">
        <f t="shared" ca="1" si="164"/>
        <v>-26932178801645.719</v>
      </c>
      <c r="M4262" s="460">
        <f t="shared" si="166"/>
        <v>0.05</v>
      </c>
      <c r="N4262" s="464">
        <f t="shared" si="167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65"/>
        <v>-26932178801645.719</v>
      </c>
      <c r="J4263" s="444">
        <f t="array" ref="J4263">IFERROR(INDEX('Retirement Calculator'!K:K,MATCH('Lorri 401b'!N4263,'Retirement Calculator'!A:A,0),0),0)</f>
        <v>0</v>
      </c>
      <c r="K4263" s="444">
        <f t="shared" ca="1" si="163"/>
        <v>-112217411673.52382</v>
      </c>
      <c r="L4263" s="444">
        <f t="shared" ca="1" si="164"/>
        <v>-27044396213319.242</v>
      </c>
      <c r="M4263" s="460">
        <f t="shared" si="166"/>
        <v>0.05</v>
      </c>
      <c r="N4263" s="464">
        <f t="shared" si="167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65"/>
        <v>-27044396213319.242</v>
      </c>
      <c r="J4264" s="444">
        <f t="array" ref="J4264">IFERROR(INDEX('Retirement Calculator'!K:K,MATCH('Lorri 401b'!N4264,'Retirement Calculator'!A:A,0),0),0)</f>
        <v>0</v>
      </c>
      <c r="K4264" s="444">
        <f t="shared" ca="1" si="163"/>
        <v>-112684984222.16351</v>
      </c>
      <c r="L4264" s="444">
        <f t="shared" ca="1" si="164"/>
        <v>-27157081197541.406</v>
      </c>
      <c r="M4264" s="460">
        <f t="shared" si="166"/>
        <v>0.05</v>
      </c>
      <c r="N4264" s="464">
        <f t="shared" si="167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65"/>
        <v>-27157081197541.406</v>
      </c>
      <c r="J4265" s="444">
        <f t="array" ref="J4265">IFERROR(INDEX('Retirement Calculator'!K:K,MATCH('Lorri 401b'!N4265,'Retirement Calculator'!A:A,0),0),0)</f>
        <v>0</v>
      </c>
      <c r="K4265" s="444">
        <f t="shared" ca="1" si="163"/>
        <v>-113154504989.75586</v>
      </c>
      <c r="L4265" s="444">
        <f t="shared" ca="1" si="164"/>
        <v>-27270235702531.164</v>
      </c>
      <c r="M4265" s="460">
        <f t="shared" si="166"/>
        <v>0.05</v>
      </c>
      <c r="N4265" s="464">
        <f t="shared" si="167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65"/>
        <v>-27270235702531.164</v>
      </c>
      <c r="J4266" s="444">
        <f t="array" ref="J4266">IFERROR(INDEX('Retirement Calculator'!K:K,MATCH('Lorri 401b'!N4266,'Retirement Calculator'!A:A,0),0),0)</f>
        <v>0</v>
      </c>
      <c r="K4266" s="444">
        <f t="shared" ca="1" si="163"/>
        <v>-113625982093.87985</v>
      </c>
      <c r="L4266" s="444">
        <f t="shared" ca="1" si="164"/>
        <v>-27383861684625.043</v>
      </c>
      <c r="M4266" s="460">
        <f t="shared" si="166"/>
        <v>0.05</v>
      </c>
      <c r="N4266" s="464">
        <f t="shared" si="167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65"/>
        <v>-27383861684625.043</v>
      </c>
      <c r="J4267" s="444">
        <f t="array" ref="J4267">IFERROR(INDEX('Retirement Calculator'!K:K,MATCH('Lorri 401b'!N4267,'Retirement Calculator'!A:A,0),0),0)</f>
        <v>0</v>
      </c>
      <c r="K4267" s="444">
        <f t="shared" ca="1" si="163"/>
        <v>-114099423685.93768</v>
      </c>
      <c r="L4267" s="444">
        <f t="shared" ca="1" si="164"/>
        <v>-27497961108310.98</v>
      </c>
      <c r="M4267" s="460">
        <f t="shared" si="166"/>
        <v>0.05</v>
      </c>
      <c r="N4267" s="464">
        <f t="shared" si="167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65"/>
        <v>-27497961108310.98</v>
      </c>
      <c r="J4268" s="444">
        <f t="array" ref="J4268">IFERROR(INDEX('Retirement Calculator'!K:K,MATCH('Lorri 401b'!N4268,'Retirement Calculator'!A:A,0),0),0)</f>
        <v>0</v>
      </c>
      <c r="K4268" s="444">
        <f t="shared" ca="1" si="163"/>
        <v>-114574837951.29576</v>
      </c>
      <c r="L4268" s="444">
        <f t="shared" ca="1" si="164"/>
        <v>-27612535946262.277</v>
      </c>
      <c r="M4268" s="460">
        <f t="shared" si="166"/>
        <v>0.05</v>
      </c>
      <c r="N4268" s="464">
        <f t="shared" si="167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65"/>
        <v>-27612535946262.277</v>
      </c>
      <c r="J4269" s="444">
        <f t="array" ref="J4269">IFERROR(INDEX('Retirement Calculator'!K:K,MATCH('Lorri 401b'!N4269,'Retirement Calculator'!A:A,0),0),0)</f>
        <v>0</v>
      </c>
      <c r="K4269" s="444">
        <f t="shared" ca="1" si="163"/>
        <v>-115052233109.42613</v>
      </c>
      <c r="L4269" s="444">
        <f t="shared" ca="1" si="164"/>
        <v>-27727588179371.703</v>
      </c>
      <c r="M4269" s="460">
        <f t="shared" si="166"/>
        <v>0.05</v>
      </c>
      <c r="N4269" s="464">
        <f t="shared" si="167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65"/>
        <v>-27727588179371.703</v>
      </c>
      <c r="J4270" s="444">
        <f t="array" ref="J4270">IFERROR(INDEX('Retirement Calculator'!K:K,MATCH('Lorri 401b'!N4270,'Retirement Calculator'!A:A,0),0),0)</f>
        <v>0</v>
      </c>
      <c r="K4270" s="444">
        <f t="shared" ca="1" si="163"/>
        <v>-115531617414.04877</v>
      </c>
      <c r="L4270" s="444">
        <f t="shared" ca="1" si="164"/>
        <v>-27843119796785.75</v>
      </c>
      <c r="M4270" s="460">
        <f t="shared" si="166"/>
        <v>0.05</v>
      </c>
      <c r="N4270" s="464">
        <f t="shared" si="167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65"/>
        <v>-27843119796785.75</v>
      </c>
      <c r="J4271" s="444">
        <f t="array" ref="J4271">IFERROR(INDEX('Retirement Calculator'!K:K,MATCH('Lorri 401b'!N4271,'Retirement Calculator'!A:A,0),0),0)</f>
        <v>0</v>
      </c>
      <c r="K4271" s="444">
        <f t="shared" ca="1" si="163"/>
        <v>-116012999153.27396</v>
      </c>
      <c r="L4271" s="444">
        <f t="shared" ca="1" si="164"/>
        <v>-27959132795939.023</v>
      </c>
      <c r="M4271" s="460">
        <f t="shared" si="166"/>
        <v>0.05</v>
      </c>
      <c r="N4271" s="464">
        <f t="shared" si="167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65"/>
        <v>-27959132795939.023</v>
      </c>
      <c r="J4272" s="444">
        <f t="array" ref="J4272">IFERROR(INDEX('Retirement Calculator'!K:K,MATCH('Lorri 401b'!N4272,'Retirement Calculator'!A:A,0),0),0)</f>
        <v>0</v>
      </c>
      <c r="K4272" s="444">
        <f t="shared" ca="1" si="163"/>
        <v>-116496386649.74593</v>
      </c>
      <c r="L4272" s="444">
        <f t="shared" ca="1" si="164"/>
        <v>-28075629182588.77</v>
      </c>
      <c r="M4272" s="460">
        <f t="shared" si="166"/>
        <v>0.05</v>
      </c>
      <c r="N4272" s="464">
        <f t="shared" si="167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65"/>
        <v>-28075629182588.77</v>
      </c>
      <c r="J4273" s="444">
        <f t="array" ref="J4273">IFERROR(INDEX('Retirement Calculator'!K:K,MATCH('Lorri 401b'!N4273,'Retirement Calculator'!A:A,0),0),0)</f>
        <v>0</v>
      </c>
      <c r="K4273" s="444">
        <f t="shared" ca="1" si="163"/>
        <v>-116981788260.78654</v>
      </c>
      <c r="L4273" s="444">
        <f t="shared" ca="1" si="164"/>
        <v>-28192610970849.555</v>
      </c>
      <c r="M4273" s="460">
        <f t="shared" si="166"/>
        <v>0.05</v>
      </c>
      <c r="N4273" s="464">
        <f t="shared" si="167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65"/>
        <v>-28192610970849.555</v>
      </c>
      <c r="J4274" s="444">
        <f t="array" ref="J4274">IFERROR(INDEX('Retirement Calculator'!K:K,MATCH('Lorri 401b'!N4274,'Retirement Calculator'!A:A,0),0),0)</f>
        <v>0</v>
      </c>
      <c r="K4274" s="444">
        <f t="shared" ca="1" si="163"/>
        <v>-117469212378.53979</v>
      </c>
      <c r="L4274" s="444">
        <f t="shared" ca="1" si="164"/>
        <v>-28310080183228.094</v>
      </c>
      <c r="M4274" s="460">
        <f t="shared" si="166"/>
        <v>0.05</v>
      </c>
      <c r="N4274" s="464">
        <f t="shared" si="167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65"/>
        <v>-28310080183228.094</v>
      </c>
      <c r="J4275" s="444">
        <f t="array" ref="J4275">IFERROR(INDEX('Retirement Calculator'!K:K,MATCH('Lorri 401b'!N4275,'Retirement Calculator'!A:A,0),0),0)</f>
        <v>0</v>
      </c>
      <c r="K4275" s="444">
        <f t="shared" ca="1" si="163"/>
        <v>-117958667430.11705</v>
      </c>
      <c r="L4275" s="444">
        <f t="shared" ca="1" si="164"/>
        <v>-28428038850658.211</v>
      </c>
      <c r="M4275" s="460">
        <f t="shared" si="166"/>
        <v>0.05</v>
      </c>
      <c r="N4275" s="464">
        <f t="shared" si="167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65"/>
        <v>-28428038850658.211</v>
      </c>
      <c r="J4276" s="444">
        <f t="array" ref="J4276">IFERROR(INDEX('Retirement Calculator'!K:K,MATCH('Lorri 401b'!N4276,'Retirement Calculator'!A:A,0),0),0)</f>
        <v>0</v>
      </c>
      <c r="K4276" s="444">
        <f t="shared" ca="1" si="163"/>
        <v>-118450161877.74254</v>
      </c>
      <c r="L4276" s="444">
        <f t="shared" ca="1" si="164"/>
        <v>-28546489012535.953</v>
      </c>
      <c r="M4276" s="460">
        <f t="shared" si="166"/>
        <v>0.05</v>
      </c>
      <c r="N4276" s="464">
        <f t="shared" si="167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65"/>
        <v>-28546489012535.953</v>
      </c>
      <c r="J4277" s="444">
        <f t="array" ref="J4277">IFERROR(INDEX('Retirement Calculator'!K:K,MATCH('Lorri 401b'!N4277,'Retirement Calculator'!A:A,0),0),0)</f>
        <v>0</v>
      </c>
      <c r="K4277" s="444">
        <f t="shared" ca="1" si="163"/>
        <v>-118943704218.89978</v>
      </c>
      <c r="L4277" s="444">
        <f t="shared" ca="1" si="164"/>
        <v>-28665432716754.852</v>
      </c>
      <c r="M4277" s="460">
        <f t="shared" si="166"/>
        <v>0.05</v>
      </c>
      <c r="N4277" s="464">
        <f t="shared" si="167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65"/>
        <v>-28665432716754.852</v>
      </c>
      <c r="J4278" s="444">
        <f t="array" ref="J4278">IFERROR(INDEX('Retirement Calculator'!K:K,MATCH('Lorri 401b'!N4278,'Retirement Calculator'!A:A,0),0),0)</f>
        <v>0</v>
      </c>
      <c r="K4278" s="444">
        <f t="shared" ca="1" si="163"/>
        <v>-119439302986.47855</v>
      </c>
      <c r="L4278" s="444">
        <f t="shared" ca="1" si="164"/>
        <v>-28784872019741.332</v>
      </c>
      <c r="M4278" s="460">
        <f t="shared" si="166"/>
        <v>0.05</v>
      </c>
      <c r="N4278" s="464">
        <f t="shared" si="167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65"/>
        <v>-28784872019741.332</v>
      </c>
      <c r="J4279" s="444">
        <f t="array" ref="J4279">IFERROR(INDEX('Retirement Calculator'!K:K,MATCH('Lorri 401b'!N4279,'Retirement Calculator'!A:A,0),0),0)</f>
        <v>0</v>
      </c>
      <c r="K4279" s="444">
        <f t="shared" ca="1" si="163"/>
        <v>-119936966748.92221</v>
      </c>
      <c r="L4279" s="444">
        <f t="shared" ca="1" si="164"/>
        <v>-28904808986490.254</v>
      </c>
      <c r="M4279" s="460">
        <f t="shared" si="166"/>
        <v>0.05</v>
      </c>
      <c r="N4279" s="464">
        <f t="shared" si="167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65"/>
        <v>-28904808986490.254</v>
      </c>
      <c r="J4280" s="444">
        <f t="array" ref="J4280">IFERROR(INDEX('Retirement Calculator'!K:K,MATCH('Lorri 401b'!N4280,'Retirement Calculator'!A:A,0),0),0)</f>
        <v>0</v>
      </c>
      <c r="K4280" s="444">
        <f t="shared" ca="1" si="163"/>
        <v>-120436704110.37605</v>
      </c>
      <c r="L4280" s="444">
        <f t="shared" ca="1" si="164"/>
        <v>-29025245690600.629</v>
      </c>
      <c r="M4280" s="460">
        <f t="shared" si="166"/>
        <v>0.05</v>
      </c>
      <c r="N4280" s="464">
        <f t="shared" si="167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65"/>
        <v>-29025245690600.629</v>
      </c>
      <c r="J4281" s="444">
        <f t="array" ref="J4281">IFERROR(INDEX('Retirement Calculator'!K:K,MATCH('Lorri 401b'!N4281,'Retirement Calculator'!A:A,0),0),0)</f>
        <v>0</v>
      </c>
      <c r="K4281" s="444">
        <f t="shared" ca="1" si="163"/>
        <v>-120938523710.83597</v>
      </c>
      <c r="L4281" s="444">
        <f t="shared" ca="1" si="164"/>
        <v>-29146184214311.465</v>
      </c>
      <c r="M4281" s="460">
        <f t="shared" si="166"/>
        <v>0.05</v>
      </c>
      <c r="N4281" s="464">
        <f t="shared" si="167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65"/>
        <v>-29146184214311.465</v>
      </c>
      <c r="J4282" s="444">
        <f t="array" ref="J4282">IFERROR(INDEX('Retirement Calculator'!K:K,MATCH('Lorri 401b'!N4282,'Retirement Calculator'!A:A,0),0),0)</f>
        <v>0</v>
      </c>
      <c r="K4282" s="444">
        <f t="shared" ca="1" si="163"/>
        <v>-121442434226.29779</v>
      </c>
      <c r="L4282" s="444">
        <f t="shared" ca="1" si="164"/>
        <v>-29267626648537.762</v>
      </c>
      <c r="M4282" s="460">
        <f t="shared" si="166"/>
        <v>0.05</v>
      </c>
      <c r="N4282" s="464">
        <f t="shared" si="167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65"/>
        <v>-29267626648537.762</v>
      </c>
      <c r="J4283" s="444">
        <f t="array" ref="J4283">IFERROR(INDEX('Retirement Calculator'!K:K,MATCH('Lorri 401b'!N4283,'Retirement Calculator'!A:A,0),0),0)</f>
        <v>0</v>
      </c>
      <c r="K4283" s="444">
        <f t="shared" ca="1" si="163"/>
        <v>-121948444368.90733</v>
      </c>
      <c r="L4283" s="444">
        <f t="shared" ca="1" si="164"/>
        <v>-29389575092906.668</v>
      </c>
      <c r="M4283" s="460">
        <f t="shared" si="166"/>
        <v>0.05</v>
      </c>
      <c r="N4283" s="464">
        <f t="shared" si="167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65"/>
        <v>-29389575092906.668</v>
      </c>
      <c r="J4284" s="444">
        <f t="array" ref="J4284">IFERROR(INDEX('Retirement Calculator'!K:K,MATCH('Lorri 401b'!N4284,'Retirement Calculator'!A:A,0),0),0)</f>
        <v>0</v>
      </c>
      <c r="K4284" s="444">
        <f t="shared" ca="1" si="163"/>
        <v>-122456562887.11111</v>
      </c>
      <c r="L4284" s="444">
        <f t="shared" ca="1" si="164"/>
        <v>-29512031655793.777</v>
      </c>
      <c r="M4284" s="460">
        <f t="shared" si="166"/>
        <v>0.05</v>
      </c>
      <c r="N4284" s="464">
        <f t="shared" si="167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65"/>
        <v>-29512031655793.777</v>
      </c>
      <c r="J4285" s="444">
        <f t="array" ref="J4285">IFERROR(INDEX('Retirement Calculator'!K:K,MATCH('Lorri 401b'!N4285,'Retirement Calculator'!A:A,0),0),0)</f>
        <v>0</v>
      </c>
      <c r="K4285" s="444">
        <f t="shared" ca="1" si="163"/>
        <v>-122966798565.8074</v>
      </c>
      <c r="L4285" s="444">
        <f t="shared" ca="1" si="164"/>
        <v>-29634998454359.586</v>
      </c>
      <c r="M4285" s="460">
        <f t="shared" si="166"/>
        <v>0.05</v>
      </c>
      <c r="N4285" s="464">
        <f t="shared" si="167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65"/>
        <v>-29634998454359.586</v>
      </c>
      <c r="J4286" s="444">
        <f t="array" ref="J4286">IFERROR(INDEX('Retirement Calculator'!K:K,MATCH('Lorri 401b'!N4286,'Retirement Calculator'!A:A,0),0),0)</f>
        <v>0</v>
      </c>
      <c r="K4286" s="444">
        <f t="shared" ca="1" si="163"/>
        <v>-123479160226.49826</v>
      </c>
      <c r="L4286" s="444">
        <f t="shared" ca="1" si="164"/>
        <v>-29758477614586.086</v>
      </c>
      <c r="M4286" s="460">
        <f t="shared" si="166"/>
        <v>0.05</v>
      </c>
      <c r="N4286" s="464">
        <f t="shared" si="167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65"/>
        <v>-29758477614586.086</v>
      </c>
      <c r="J4287" s="444">
        <f t="array" ref="J4287">IFERROR(INDEX('Retirement Calculator'!K:K,MATCH('Lorri 401b'!N4287,'Retirement Calculator'!A:A,0),0),0)</f>
        <v>0</v>
      </c>
      <c r="K4287" s="444">
        <f t="shared" ca="1" si="163"/>
        <v>-123993656727.442</v>
      </c>
      <c r="L4287" s="444">
        <f t="shared" ca="1" si="164"/>
        <v>-29882471271313.527</v>
      </c>
      <c r="M4287" s="460">
        <f t="shared" si="166"/>
        <v>0.05</v>
      </c>
      <c r="N4287" s="464">
        <f t="shared" si="167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65"/>
        <v>-29882471271313.527</v>
      </c>
      <c r="J4288" s="444">
        <f t="array" ref="J4288">IFERROR(INDEX('Retirement Calculator'!K:K,MATCH('Lorri 401b'!N4288,'Retirement Calculator'!A:A,0),0),0)</f>
        <v>0</v>
      </c>
      <c r="K4288" s="444">
        <f t="shared" ca="1" si="163"/>
        <v>-124510296963.80637</v>
      </c>
      <c r="L4288" s="444">
        <f t="shared" ca="1" si="164"/>
        <v>-30006981568277.332</v>
      </c>
      <c r="M4288" s="460">
        <f t="shared" si="166"/>
        <v>0.05</v>
      </c>
      <c r="N4288" s="464">
        <f t="shared" si="167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65"/>
        <v>-30006981568277.332</v>
      </c>
      <c r="J4289" s="444">
        <f t="array" ref="J4289">IFERROR(INDEX('Retirement Calculator'!K:K,MATCH('Lorri 401b'!N4289,'Retirement Calculator'!A:A,0),0),0)</f>
        <v>0</v>
      </c>
      <c r="K4289" s="444">
        <f t="shared" ca="1" si="163"/>
        <v>-125029089867.8222</v>
      </c>
      <c r="L4289" s="444">
        <f t="shared" ca="1" si="164"/>
        <v>-30132010658145.152</v>
      </c>
      <c r="M4289" s="460">
        <f t="shared" si="166"/>
        <v>0.05</v>
      </c>
      <c r="N4289" s="464">
        <f t="shared" si="167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65"/>
        <v>-30132010658145.152</v>
      </c>
      <c r="J4290" s="444">
        <f t="array" ref="J4290">IFERROR(INDEX('Retirement Calculator'!K:K,MATCH('Lorri 401b'!N4290,'Retirement Calculator'!A:A,0),0),0)</f>
        <v>0</v>
      </c>
      <c r="K4290" s="444">
        <f t="shared" ca="1" si="163"/>
        <v>-125550044408.93811</v>
      </c>
      <c r="L4290" s="444">
        <f t="shared" ca="1" si="164"/>
        <v>-30257560702554.09</v>
      </c>
      <c r="M4290" s="460">
        <f t="shared" si="166"/>
        <v>0.05</v>
      </c>
      <c r="N4290" s="464">
        <f t="shared" si="167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65"/>
        <v>-30257560702554.09</v>
      </c>
      <c r="J4291" s="444">
        <f t="array" ref="J4291">IFERROR(INDEX('Retirement Calculator'!K:K,MATCH('Lorri 401b'!N4291,'Retirement Calculator'!A:A,0),0),0)</f>
        <v>0</v>
      </c>
      <c r="K4291" s="444">
        <f t="shared" ca="1" si="163"/>
        <v>-126073169593.97537</v>
      </c>
      <c r="L4291" s="444">
        <f t="shared" ca="1" si="164"/>
        <v>-30383633872148.066</v>
      </c>
      <c r="M4291" s="460">
        <f t="shared" si="166"/>
        <v>0.05</v>
      </c>
      <c r="N4291" s="464">
        <f t="shared" si="167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65"/>
        <v>-30383633872148.066</v>
      </c>
      <c r="J4292" s="444">
        <f t="array" ref="J4292">IFERROR(INDEX('Retirement Calculator'!K:K,MATCH('Lorri 401b'!N4292,'Retirement Calculator'!A:A,0),0),0)</f>
        <v>0</v>
      </c>
      <c r="K4292" s="444">
        <f t="shared" ca="1" si="163"/>
        <v>-126598474467.28362</v>
      </c>
      <c r="L4292" s="444">
        <f t="shared" ca="1" si="164"/>
        <v>-30510232346615.352</v>
      </c>
      <c r="M4292" s="460">
        <f t="shared" si="166"/>
        <v>0.05</v>
      </c>
      <c r="N4292" s="464">
        <f t="shared" si="167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65"/>
        <v>-30510232346615.352</v>
      </c>
      <c r="J4293" s="444">
        <f t="array" ref="J4293">IFERROR(INDEX('Retirement Calculator'!K:K,MATCH('Lorri 401b'!N4293,'Retirement Calculator'!A:A,0),0),0)</f>
        <v>0</v>
      </c>
      <c r="K4293" s="444">
        <f t="shared" ca="1" si="163"/>
        <v>-127125968110.89729</v>
      </c>
      <c r="L4293" s="444">
        <f t="shared" ca="1" si="164"/>
        <v>-30637358314726.25</v>
      </c>
      <c r="M4293" s="460">
        <f t="shared" si="166"/>
        <v>0.05</v>
      </c>
      <c r="N4293" s="464">
        <f t="shared" si="167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65"/>
        <v>-30637358314726.25</v>
      </c>
      <c r="J4294" s="444">
        <f t="array" ref="J4294">IFERROR(INDEX('Retirement Calculator'!K:K,MATCH('Lorri 401b'!N4294,'Retirement Calculator'!A:A,0),0),0)</f>
        <v>0</v>
      </c>
      <c r="K4294" s="444">
        <f t="shared" ca="1" si="163"/>
        <v>-127655659644.6927</v>
      </c>
      <c r="L4294" s="444">
        <f t="shared" ca="1" si="164"/>
        <v>-30765013974370.941</v>
      </c>
      <c r="M4294" s="460">
        <f t="shared" si="166"/>
        <v>0.05</v>
      </c>
      <c r="N4294" s="464">
        <f t="shared" si="167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65"/>
        <v>-30765013974370.941</v>
      </c>
      <c r="J4295" s="444">
        <f t="array" ref="J4295">IFERROR(INDEX('Retirement Calculator'!K:K,MATCH('Lorri 401b'!N4295,'Retirement Calculator'!A:A,0),0),0)</f>
        <v>0</v>
      </c>
      <c r="K4295" s="444">
        <f t="shared" ca="1" si="163"/>
        <v>-128187558226.54558</v>
      </c>
      <c r="L4295" s="444">
        <f t="shared" ca="1" si="164"/>
        <v>-30893201532597.488</v>
      </c>
      <c r="M4295" s="460">
        <f t="shared" si="166"/>
        <v>0.05</v>
      </c>
      <c r="N4295" s="464">
        <f t="shared" si="167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65"/>
        <v>-30893201532597.488</v>
      </c>
      <c r="J4296" s="444">
        <f t="array" ref="J4296">IFERROR(INDEX('Retirement Calculator'!K:K,MATCH('Lorri 401b'!N4296,'Retirement Calculator'!A:A,0),0),0)</f>
        <v>0</v>
      </c>
      <c r="K4296" s="444">
        <f t="shared" ca="1" si="163"/>
        <v>-128721673052.48953</v>
      </c>
      <c r="L4296" s="444">
        <f t="shared" ca="1" si="164"/>
        <v>-31021923205649.977</v>
      </c>
      <c r="M4296" s="460">
        <f t="shared" si="166"/>
        <v>0.05</v>
      </c>
      <c r="N4296" s="464">
        <f t="shared" si="167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65"/>
        <v>-31021923205649.977</v>
      </c>
      <c r="J4297" s="444">
        <f t="array" ref="J4297">IFERROR(INDEX('Retirement Calculator'!K:K,MATCH('Lorri 401b'!N4297,'Retirement Calculator'!A:A,0),0),0)</f>
        <v>0</v>
      </c>
      <c r="K4297" s="444">
        <f t="shared" ca="1" si="163"/>
        <v>-129258013356.87489</v>
      </c>
      <c r="L4297" s="444">
        <f t="shared" ca="1" si="164"/>
        <v>-31151181219006.852</v>
      </c>
      <c r="M4297" s="460">
        <f t="shared" si="166"/>
        <v>0.05</v>
      </c>
      <c r="N4297" s="464">
        <f t="shared" si="167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65"/>
        <v>-31151181219006.852</v>
      </c>
      <c r="J4298" s="444">
        <f t="array" ref="J4298">IFERROR(INDEX('Retirement Calculator'!K:K,MATCH('Lorri 401b'!N4298,'Retirement Calculator'!A:A,0),0),0)</f>
        <v>0</v>
      </c>
      <c r="K4298" s="444">
        <f t="shared" ca="1" si="163"/>
        <v>-129796588412.52855</v>
      </c>
      <c r="L4298" s="444">
        <f t="shared" ca="1" si="164"/>
        <v>-31280977807419.379</v>
      </c>
      <c r="M4298" s="460">
        <f t="shared" si="166"/>
        <v>0.05</v>
      </c>
      <c r="N4298" s="464">
        <f t="shared" si="167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65"/>
        <v>-31280977807419.379</v>
      </c>
      <c r="J4299" s="444">
        <f t="array" ref="J4299">IFERROR(INDEX('Retirement Calculator'!K:K,MATCH('Lorri 401b'!N4299,'Retirement Calculator'!A:A,0),0),0)</f>
        <v>0</v>
      </c>
      <c r="K4299" s="444">
        <f t="shared" ca="1" si="163"/>
        <v>-130337407530.91408</v>
      </c>
      <c r="L4299" s="444">
        <f t="shared" ca="1" si="164"/>
        <v>-31411315214950.293</v>
      </c>
      <c r="M4299" s="460">
        <f t="shared" si="166"/>
        <v>0.05</v>
      </c>
      <c r="N4299" s="464">
        <f t="shared" si="167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65"/>
        <v>-31411315214950.293</v>
      </c>
      <c r="J4300" s="444">
        <f t="array" ref="J4300">IFERROR(INDEX('Retirement Calculator'!K:K,MATCH('Lorri 401b'!N4300,'Retirement Calculator'!A:A,0),0),0)</f>
        <v>0</v>
      </c>
      <c r="K4300" s="444">
        <f t="shared" ca="1" si="163"/>
        <v>-130880480062.29289</v>
      </c>
      <c r="L4300" s="444">
        <f t="shared" ca="1" si="164"/>
        <v>-31542195695012.586</v>
      </c>
      <c r="M4300" s="460">
        <f t="shared" si="166"/>
        <v>0.05</v>
      </c>
      <c r="N4300" s="464">
        <f t="shared" si="167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65"/>
        <v>-31542195695012.586</v>
      </c>
      <c r="J4301" s="444">
        <f t="array" ref="J4301">IFERROR(INDEX('Retirement Calculator'!K:K,MATCH('Lorri 401b'!N4301,'Retirement Calculator'!A:A,0),0),0)</f>
        <v>0</v>
      </c>
      <c r="K4301" s="444">
        <f t="shared" ca="1" si="163"/>
        <v>-131425815395.88577</v>
      </c>
      <c r="L4301" s="444">
        <f t="shared" ca="1" si="164"/>
        <v>-31673621510408.473</v>
      </c>
      <c r="M4301" s="460">
        <f t="shared" si="166"/>
        <v>0.05</v>
      </c>
      <c r="N4301" s="464">
        <f t="shared" si="167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65"/>
        <v>-31673621510408.473</v>
      </c>
      <c r="J4302" s="444">
        <f t="array" ref="J4302">IFERROR(INDEX('Retirement Calculator'!K:K,MATCH('Lorri 401b'!N4302,'Retirement Calculator'!A:A,0),0),0)</f>
        <v>0</v>
      </c>
      <c r="K4302" s="444">
        <f t="shared" ca="1" si="163"/>
        <v>-131973422960.03532</v>
      </c>
      <c r="L4302" s="444">
        <f t="shared" ca="1" si="164"/>
        <v>-31805594933368.508</v>
      </c>
      <c r="M4302" s="460">
        <f t="shared" si="166"/>
        <v>0.05</v>
      </c>
      <c r="N4302" s="464">
        <f t="shared" si="167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65"/>
        <v>-31805594933368.508</v>
      </c>
      <c r="J4303" s="444">
        <f t="array" ref="J4303">IFERROR(INDEX('Retirement Calculator'!K:K,MATCH('Lorri 401b'!N4303,'Retirement Calculator'!A:A,0),0),0)</f>
        <v>0</v>
      </c>
      <c r="K4303" s="444">
        <f t="shared" ca="1" si="163"/>
        <v>-132523312222.36877</v>
      </c>
      <c r="L4303" s="444">
        <f t="shared" ca="1" si="164"/>
        <v>-31938118245590.875</v>
      </c>
      <c r="M4303" s="460">
        <f t="shared" si="166"/>
        <v>0.05</v>
      </c>
      <c r="N4303" s="464">
        <f t="shared" si="167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65"/>
        <v>-31938118245590.875</v>
      </c>
      <c r="J4304" s="444">
        <f t="array" ref="J4304">IFERROR(INDEX('Retirement Calculator'!K:K,MATCH('Lorri 401b'!N4304,'Retirement Calculator'!A:A,0),0),0)</f>
        <v>0</v>
      </c>
      <c r="K4304" s="444">
        <f t="shared" ca="1" si="163"/>
        <v>-133075492689.96198</v>
      </c>
      <c r="L4304" s="444">
        <f t="shared" ca="1" si="164"/>
        <v>-32071193738280.836</v>
      </c>
      <c r="M4304" s="460">
        <f t="shared" si="166"/>
        <v>0.05</v>
      </c>
      <c r="N4304" s="464">
        <f t="shared" si="167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65"/>
        <v>-32071193738280.836</v>
      </c>
      <c r="J4305" s="444">
        <f t="array" ref="J4305">IFERROR(INDEX('Retirement Calculator'!K:K,MATCH('Lorri 401b'!N4305,'Retirement Calculator'!A:A,0),0),0)</f>
        <v>0</v>
      </c>
      <c r="K4305" s="444">
        <f t="shared" ca="1" si="163"/>
        <v>-133629973909.50348</v>
      </c>
      <c r="L4305" s="444">
        <f t="shared" ca="1" si="164"/>
        <v>-32204823712190.34</v>
      </c>
      <c r="M4305" s="460">
        <f t="shared" si="166"/>
        <v>0.05</v>
      </c>
      <c r="N4305" s="464">
        <f t="shared" si="167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65"/>
        <v>-32204823712190.34</v>
      </c>
      <c r="J4306" s="444">
        <f t="array" ref="J4306">IFERROR(INDEX('Retirement Calculator'!K:K,MATCH('Lorri 401b'!N4306,'Retirement Calculator'!A:A,0),0),0)</f>
        <v>0</v>
      </c>
      <c r="K4306" s="444">
        <f t="shared" ca="1" si="163"/>
        <v>-134186765467.45973</v>
      </c>
      <c r="L4306" s="444">
        <f t="shared" ca="1" si="164"/>
        <v>-32339010477657.801</v>
      </c>
      <c r="M4306" s="460">
        <f t="shared" si="166"/>
        <v>0.05</v>
      </c>
      <c r="N4306" s="464">
        <f t="shared" si="167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65"/>
        <v>-32339010477657.801</v>
      </c>
      <c r="J4307" s="444">
        <f t="array" ref="J4307">IFERROR(INDEX('Retirement Calculator'!K:K,MATCH('Lorri 401b'!N4307,'Retirement Calculator'!A:A,0),0),0)</f>
        <v>0</v>
      </c>
      <c r="K4307" s="444">
        <f t="shared" ca="1" si="163"/>
        <v>-134745876990.24083</v>
      </c>
      <c r="L4307" s="444">
        <f t="shared" ca="1" si="164"/>
        <v>-32473756354648.043</v>
      </c>
      <c r="M4307" s="460">
        <f t="shared" si="166"/>
        <v>0.05</v>
      </c>
      <c r="N4307" s="464">
        <f t="shared" si="167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65"/>
        <v>-32473756354648.043</v>
      </c>
      <c r="J4308" s="444">
        <f t="array" ref="J4308">IFERROR(INDEX('Retirement Calculator'!K:K,MATCH('Lorri 401b'!N4308,'Retirement Calculator'!A:A,0),0),0)</f>
        <v>0</v>
      </c>
      <c r="K4308" s="444">
        <f t="shared" ca="1" si="163"/>
        <v>-135307318144.36684</v>
      </c>
      <c r="L4308" s="444">
        <f t="shared" ca="1" si="164"/>
        <v>-32609063672792.41</v>
      </c>
      <c r="M4308" s="460">
        <f t="shared" si="166"/>
        <v>0.05</v>
      </c>
      <c r="N4308" s="464">
        <f t="shared" si="167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65"/>
        <v>-32609063672792.41</v>
      </c>
      <c r="J4309" s="444">
        <f t="array" ref="J4309">IFERROR(INDEX('Retirement Calculator'!K:K,MATCH('Lorri 401b'!N4309,'Retirement Calculator'!A:A,0),0),0)</f>
        <v>0</v>
      </c>
      <c r="K4309" s="444">
        <f t="shared" ca="1" si="163"/>
        <v>-135871098636.63504</v>
      </c>
      <c r="L4309" s="444">
        <f t="shared" ca="1" si="164"/>
        <v>-32744934771429.047</v>
      </c>
      <c r="M4309" s="460">
        <f t="shared" si="166"/>
        <v>0.05</v>
      </c>
      <c r="N4309" s="464">
        <f t="shared" si="167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65"/>
        <v>-32744934771429.047</v>
      </c>
      <c r="J4310" s="444">
        <f t="array" ref="J4310">IFERROR(INDEX('Retirement Calculator'!K:K,MATCH('Lorri 401b'!N4310,'Retirement Calculator'!A:A,0),0),0)</f>
        <v>0</v>
      </c>
      <c r="K4310" s="444">
        <f t="shared" ca="1" si="163"/>
        <v>-136437228214.28769</v>
      </c>
      <c r="L4310" s="444">
        <f t="shared" ca="1" si="164"/>
        <v>-32881371999643.336</v>
      </c>
      <c r="M4310" s="460">
        <f t="shared" si="166"/>
        <v>0.05</v>
      </c>
      <c r="N4310" s="464">
        <f t="shared" si="167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65"/>
        <v>-32881371999643.336</v>
      </c>
      <c r="J4311" s="444">
        <f t="array" ref="J4311">IFERROR(INDEX('Retirement Calculator'!K:K,MATCH('Lorri 401b'!N4311,'Retirement Calculator'!A:A,0),0),0)</f>
        <v>0</v>
      </c>
      <c r="K4311" s="444">
        <f t="shared" ca="1" si="163"/>
        <v>-137005716665.18054</v>
      </c>
      <c r="L4311" s="444">
        <f t="shared" ca="1" si="164"/>
        <v>-33018377716308.516</v>
      </c>
      <c r="M4311" s="460">
        <f t="shared" si="166"/>
        <v>0.05</v>
      </c>
      <c r="N4311" s="464">
        <f t="shared" si="167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65"/>
        <v>-33018377716308.516</v>
      </c>
      <c r="J4312" s="444">
        <f t="array" ref="J4312">IFERROR(INDEX('Retirement Calculator'!K:K,MATCH('Lorri 401b'!N4312,'Retirement Calculator'!A:A,0),0),0)</f>
        <v>0</v>
      </c>
      <c r="K4312" s="444">
        <f t="shared" ca="1" si="163"/>
        <v>-137576573817.95212</v>
      </c>
      <c r="L4312" s="444">
        <f t="shared" ca="1" si="164"/>
        <v>-33155954290126.469</v>
      </c>
      <c r="M4312" s="460">
        <f t="shared" si="166"/>
        <v>0.05</v>
      </c>
      <c r="N4312" s="464">
        <f t="shared" si="167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65"/>
        <v>-33155954290126.469</v>
      </c>
      <c r="J4313" s="444">
        <f t="array" ref="J4313">IFERROR(INDEX('Retirement Calculator'!K:K,MATCH('Lorri 401b'!N4313,'Retirement Calculator'!A:A,0),0),0)</f>
        <v>0</v>
      </c>
      <c r="K4313" s="444">
        <f t="shared" ca="1" si="163"/>
        <v>-138149809542.19363</v>
      </c>
      <c r="L4313" s="444">
        <f t="shared" ca="1" si="164"/>
        <v>-33294104099668.664</v>
      </c>
      <c r="M4313" s="460">
        <f t="shared" si="166"/>
        <v>0.05</v>
      </c>
      <c r="N4313" s="464">
        <f t="shared" si="167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65"/>
        <v>-33294104099668.664</v>
      </c>
      <c r="J4314" s="444">
        <f t="array" ref="J4314">IFERROR(INDEX('Retirement Calculator'!K:K,MATCH('Lorri 401b'!N4314,'Retirement Calculator'!A:A,0),0),0)</f>
        <v>0</v>
      </c>
      <c r="K4314" s="444">
        <f t="shared" ca="1" si="163"/>
        <v>-138725433748.61945</v>
      </c>
      <c r="L4314" s="444">
        <f t="shared" ca="1" si="164"/>
        <v>-33432829533417.285</v>
      </c>
      <c r="M4314" s="460">
        <f t="shared" si="166"/>
        <v>0.05</v>
      </c>
      <c r="N4314" s="464">
        <f t="shared" si="167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65"/>
        <v>-33432829533417.285</v>
      </c>
      <c r="J4315" s="444">
        <f t="array" ref="J4315">IFERROR(INDEX('Retirement Calculator'!K:K,MATCH('Lorri 401b'!N4315,'Retirement Calculator'!A:A,0),0),0)</f>
        <v>0</v>
      </c>
      <c r="K4315" s="444">
        <f t="shared" ca="1" si="163"/>
        <v>-139303456389.23868</v>
      </c>
      <c r="L4315" s="444">
        <f t="shared" ca="1" si="164"/>
        <v>-33572132989806.523</v>
      </c>
      <c r="M4315" s="460">
        <f t="shared" si="166"/>
        <v>0.05</v>
      </c>
      <c r="N4315" s="464">
        <f t="shared" si="167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65"/>
        <v>-33572132989806.523</v>
      </c>
      <c r="J4316" s="444">
        <f t="array" ref="J4316">IFERROR(INDEX('Retirement Calculator'!K:K,MATCH('Lorri 401b'!N4316,'Retirement Calculator'!A:A,0),0),0)</f>
        <v>0</v>
      </c>
      <c r="K4316" s="444">
        <f t="shared" ca="1" si="163"/>
        <v>-139883887457.52719</v>
      </c>
      <c r="L4316" s="444">
        <f t="shared" ca="1" si="164"/>
        <v>-33712016877264.051</v>
      </c>
      <c r="M4316" s="460">
        <f t="shared" si="166"/>
        <v>0.05</v>
      </c>
      <c r="N4316" s="464">
        <f t="shared" si="167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65"/>
        <v>-33712016877264.051</v>
      </c>
      <c r="J4317" s="444">
        <f t="array" ref="J4317">IFERROR(INDEX('Retirement Calculator'!K:K,MATCH('Lorri 401b'!N4317,'Retirement Calculator'!A:A,0),0),0)</f>
        <v>0</v>
      </c>
      <c r="K4317" s="444">
        <f t="shared" ca="1" si="163"/>
        <v>-140466736988.60022</v>
      </c>
      <c r="L4317" s="444">
        <f t="shared" ca="1" si="164"/>
        <v>-33852483614252.652</v>
      </c>
      <c r="M4317" s="460">
        <f t="shared" si="166"/>
        <v>0.05</v>
      </c>
      <c r="N4317" s="464">
        <f t="shared" si="167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65"/>
        <v>-33852483614252.652</v>
      </c>
      <c r="J4318" s="444">
        <f t="array" ref="J4318">IFERROR(INDEX('Retirement Calculator'!K:K,MATCH('Lorri 401b'!N4318,'Retirement Calculator'!A:A,0),0),0)</f>
        <v>0</v>
      </c>
      <c r="K4318" s="444">
        <f t="shared" ca="1" si="163"/>
        <v>-141052015059.38605</v>
      </c>
      <c r="L4318" s="444">
        <f t="shared" ca="1" si="164"/>
        <v>-33993535629312.039</v>
      </c>
      <c r="M4318" s="460">
        <f t="shared" si="166"/>
        <v>0.05</v>
      </c>
      <c r="N4318" s="464">
        <f t="shared" si="167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65"/>
        <v>-33993535629312.039</v>
      </c>
      <c r="J4319" s="444">
        <f t="array" ref="J4319">IFERROR(INDEX('Retirement Calculator'!K:K,MATCH('Lorri 401b'!N4319,'Retirement Calculator'!A:A,0),0),0)</f>
        <v>0</v>
      </c>
      <c r="K4319" s="444">
        <f t="shared" ca="1" si="163"/>
        <v>-141639731788.80017</v>
      </c>
      <c r="L4319" s="444">
        <f t="shared" ca="1" si="164"/>
        <v>-34135175361100.84</v>
      </c>
      <c r="M4319" s="460">
        <f t="shared" si="166"/>
        <v>0.05</v>
      </c>
      <c r="N4319" s="464">
        <f t="shared" si="167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65"/>
        <v>-34135175361100.84</v>
      </c>
      <c r="J4320" s="444">
        <f t="array" ref="J4320">IFERROR(INDEX('Retirement Calculator'!K:K,MATCH('Lorri 401b'!N4320,'Retirement Calculator'!A:A,0),0),0)</f>
        <v>0</v>
      </c>
      <c r="K4320" s="444">
        <f t="shared" ca="1" si="163"/>
        <v>-142229897337.92017</v>
      </c>
      <c r="L4320" s="444">
        <f t="shared" ca="1" si="164"/>
        <v>-34277405258438.762</v>
      </c>
      <c r="M4320" s="460">
        <f t="shared" si="166"/>
        <v>0.05</v>
      </c>
      <c r="N4320" s="464">
        <f t="shared" si="167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65"/>
        <v>-34277405258438.762</v>
      </c>
      <c r="J4321" s="444">
        <f t="array" ref="J4321">IFERROR(INDEX('Retirement Calculator'!K:K,MATCH('Lorri 401b'!N4321,'Retirement Calculator'!A:A,0),0),0)</f>
        <v>0</v>
      </c>
      <c r="K4321" s="444">
        <f t="shared" ca="1" si="163"/>
        <v>-142822521910.1615</v>
      </c>
      <c r="L4321" s="444">
        <f t="shared" ca="1" si="164"/>
        <v>-34420227780348.922</v>
      </c>
      <c r="M4321" s="460">
        <f t="shared" si="166"/>
        <v>0.05</v>
      </c>
      <c r="N4321" s="464">
        <f t="shared" si="167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65"/>
        <v>-34420227780348.922</v>
      </c>
      <c r="J4322" s="444">
        <f t="array" ref="J4322">IFERROR(INDEX('Retirement Calculator'!K:K,MATCH('Lorri 401b'!N4322,'Retirement Calculator'!A:A,0),0),0)</f>
        <v>0</v>
      </c>
      <c r="K4322" s="444">
        <f t="shared" ca="1" si="163"/>
        <v>-143417615751.45386</v>
      </c>
      <c r="L4322" s="444">
        <f t="shared" ca="1" si="164"/>
        <v>-34563645396100.375</v>
      </c>
      <c r="M4322" s="460">
        <f t="shared" si="166"/>
        <v>0.05</v>
      </c>
      <c r="N4322" s="464">
        <f t="shared" si="167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65"/>
        <v>-34563645396100.375</v>
      </c>
      <c r="J4323" s="444">
        <f t="array" ref="J4323">IFERROR(INDEX('Retirement Calculator'!K:K,MATCH('Lorri 401b'!N4323,'Retirement Calculator'!A:A,0),0),0)</f>
        <v>0</v>
      </c>
      <c r="K4323" s="444">
        <f t="shared" ca="1" si="163"/>
        <v>-144015189150.41821</v>
      </c>
      <c r="L4323" s="444">
        <f t="shared" ca="1" si="164"/>
        <v>-34707660585250.793</v>
      </c>
      <c r="M4323" s="460">
        <f t="shared" si="166"/>
        <v>0.05</v>
      </c>
      <c r="N4323" s="464">
        <f t="shared" si="167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65"/>
        <v>-34707660585250.793</v>
      </c>
      <c r="J4324" s="444">
        <f t="array" ref="J4324">IFERROR(INDEX('Retirement Calculator'!K:K,MATCH('Lorri 401b'!N4324,'Retirement Calculator'!A:A,0),0),0)</f>
        <v>0</v>
      </c>
      <c r="K4324" s="444">
        <f t="shared" ca="1" si="163"/>
        <v>-144615252438.54498</v>
      </c>
      <c r="L4324" s="444">
        <f t="shared" ca="1" si="164"/>
        <v>-34852275837689.34</v>
      </c>
      <c r="M4324" s="460">
        <f t="shared" si="166"/>
        <v>0.05</v>
      </c>
      <c r="N4324" s="464">
        <f t="shared" si="167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65"/>
        <v>-34852275837689.34</v>
      </c>
      <c r="J4325" s="444">
        <f t="array" ref="J4325">IFERROR(INDEX('Retirement Calculator'!K:K,MATCH('Lorri 401b'!N4325,'Retirement Calculator'!A:A,0),0),0)</f>
        <v>0</v>
      </c>
      <c r="K4325" s="444">
        <f t="shared" ca="1" si="163"/>
        <v>-145217815990.37222</v>
      </c>
      <c r="L4325" s="444">
        <f t="shared" ca="1" si="164"/>
        <v>-34997493653679.711</v>
      </c>
      <c r="M4325" s="460">
        <f t="shared" si="166"/>
        <v>0.05</v>
      </c>
      <c r="N4325" s="464">
        <f t="shared" si="167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65"/>
        <v>-34997493653679.711</v>
      </c>
      <c r="J4326" s="444">
        <f t="array" ref="J4326">IFERROR(INDEX('Retirement Calculator'!K:K,MATCH('Lorri 401b'!N4326,'Retirement Calculator'!A:A,0),0),0)</f>
        <v>0</v>
      </c>
      <c r="K4326" s="444">
        <f t="shared" ca="1" si="163"/>
        <v>-145822890223.66547</v>
      </c>
      <c r="L4326" s="444">
        <f t="shared" ca="1" si="164"/>
        <v>-35143316543903.375</v>
      </c>
      <c r="M4326" s="460">
        <f t="shared" si="166"/>
        <v>0.05</v>
      </c>
      <c r="N4326" s="464">
        <f t="shared" si="167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65"/>
        <v>-35143316543903.375</v>
      </c>
      <c r="J4327" s="444">
        <f t="array" ref="J4327">IFERROR(INDEX('Retirement Calculator'!K:K,MATCH('Lorri 401b'!N4327,'Retirement Calculator'!A:A,0),0),0)</f>
        <v>0</v>
      </c>
      <c r="K4327" s="444">
        <f t="shared" ca="1" si="163"/>
        <v>-146430485599.59738</v>
      </c>
      <c r="L4327" s="444">
        <f t="shared" ca="1" si="164"/>
        <v>-35289747029502.969</v>
      </c>
      <c r="M4327" s="460">
        <f t="shared" si="166"/>
        <v>0.05</v>
      </c>
      <c r="N4327" s="464">
        <f t="shared" si="167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65"/>
        <v>-35289747029502.969</v>
      </c>
      <c r="J4328" s="444">
        <f t="array" ref="J4328">IFERROR(INDEX('Retirement Calculator'!K:K,MATCH('Lorri 401b'!N4328,'Retirement Calculator'!A:A,0),0),0)</f>
        <v>0</v>
      </c>
      <c r="K4328" s="444">
        <f t="shared" ca="1" si="163"/>
        <v>-147040612622.92905</v>
      </c>
      <c r="L4328" s="444">
        <f t="shared" ca="1" si="164"/>
        <v>-35436787642125.898</v>
      </c>
      <c r="M4328" s="460">
        <f t="shared" si="166"/>
        <v>0.05</v>
      </c>
      <c r="N4328" s="464">
        <f t="shared" si="167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65"/>
        <v>-35436787642125.898</v>
      </c>
      <c r="J4329" s="444">
        <f t="array" ref="J4329">IFERROR(INDEX('Retirement Calculator'!K:K,MATCH('Lorri 401b'!N4329,'Retirement Calculator'!A:A,0),0),0)</f>
        <v>0</v>
      </c>
      <c r="K4329" s="444">
        <f t="shared" ca="1" si="163"/>
        <v>-147653281842.19125</v>
      </c>
      <c r="L4329" s="444">
        <f t="shared" ca="1" si="164"/>
        <v>-35584440923968.086</v>
      </c>
      <c r="M4329" s="460">
        <f t="shared" si="166"/>
        <v>0.05</v>
      </c>
      <c r="N4329" s="464">
        <f t="shared" si="167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65"/>
        <v>-35584440923968.086</v>
      </c>
      <c r="J4330" s="444">
        <f t="array" ref="J4330">IFERROR(INDEX('Retirement Calculator'!K:K,MATCH('Lorri 401b'!N4330,'Retirement Calculator'!A:A,0),0),0)</f>
        <v>0</v>
      </c>
      <c r="K4330" s="444">
        <f t="shared" ca="1" si="163"/>
        <v>-148268503849.86703</v>
      </c>
      <c r="L4330" s="444">
        <f t="shared" ca="1" si="164"/>
        <v>-35732709427817.953</v>
      </c>
      <c r="M4330" s="460">
        <f t="shared" si="166"/>
        <v>0.05</v>
      </c>
      <c r="N4330" s="464">
        <f t="shared" si="167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65"/>
        <v>-35732709427817.953</v>
      </c>
      <c r="J4331" s="444">
        <f t="array" ref="J4331">IFERROR(INDEX('Retirement Calculator'!K:K,MATCH('Lorri 401b'!N4331,'Retirement Calculator'!A:A,0),0),0)</f>
        <v>0</v>
      </c>
      <c r="K4331" s="444">
        <f t="shared" ca="1" si="163"/>
        <v>-148886289282.5748</v>
      </c>
      <c r="L4331" s="444">
        <f t="shared" ca="1" si="164"/>
        <v>-35881595717100.531</v>
      </c>
      <c r="M4331" s="460">
        <f t="shared" si="166"/>
        <v>0.05</v>
      </c>
      <c r="N4331" s="464">
        <f t="shared" si="167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65"/>
        <v>-35881595717100.531</v>
      </c>
      <c r="J4332" s="444">
        <f t="array" ref="J4332">IFERROR(INDEX('Retirement Calculator'!K:K,MATCH('Lorri 401b'!N4332,'Retirement Calculator'!A:A,0),0),0)</f>
        <v>0</v>
      </c>
      <c r="K4332" s="444">
        <f t="shared" ca="1" si="163"/>
        <v>-149506648821.2522</v>
      </c>
      <c r="L4332" s="444">
        <f t="shared" ca="1" si="164"/>
        <v>-36031102365921.781</v>
      </c>
      <c r="M4332" s="460">
        <f t="shared" si="166"/>
        <v>0.05</v>
      </c>
      <c r="N4332" s="464">
        <f t="shared" si="167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65"/>
        <v>-36031102365921.781</v>
      </c>
      <c r="J4333" s="444">
        <f t="array" ref="J4333">IFERROR(INDEX('Retirement Calculator'!K:K,MATCH('Lorri 401b'!N4333,'Retirement Calculator'!A:A,0),0),0)</f>
        <v>0</v>
      </c>
      <c r="K4333" s="444">
        <f t="shared" ca="1" si="163"/>
        <v>-150129593191.34076</v>
      </c>
      <c r="L4333" s="444">
        <f t="shared" ca="1" si="164"/>
        <v>-36181231959113.125</v>
      </c>
      <c r="M4333" s="460">
        <f t="shared" si="166"/>
        <v>0.05</v>
      </c>
      <c r="N4333" s="464">
        <f t="shared" si="167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65"/>
        <v>-36181231959113.125</v>
      </c>
      <c r="J4334" s="444">
        <f t="array" ref="J4334">IFERROR(INDEX('Retirement Calculator'!K:K,MATCH('Lorri 401b'!N4334,'Retirement Calculator'!A:A,0),0),0)</f>
        <v>0</v>
      </c>
      <c r="K4334" s="444">
        <f t="shared" ca="1" si="163"/>
        <v>-150755133162.97134</v>
      </c>
      <c r="L4334" s="444">
        <f t="shared" ca="1" si="164"/>
        <v>-36331987092276.094</v>
      </c>
      <c r="M4334" s="460">
        <f t="shared" si="166"/>
        <v>0.05</v>
      </c>
      <c r="N4334" s="464">
        <f t="shared" si="167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65"/>
        <v>-36331987092276.094</v>
      </c>
      <c r="J4335" s="444">
        <f t="array" ref="J4335">IFERROR(INDEX('Retirement Calculator'!K:K,MATCH('Lorri 401b'!N4335,'Retirement Calculator'!A:A,0),0),0)</f>
        <v>0</v>
      </c>
      <c r="K4335" s="444">
        <f t="shared" ca="1" si="163"/>
        <v>-151383279551.15039</v>
      </c>
      <c r="L4335" s="444">
        <f t="shared" ca="1" si="164"/>
        <v>-36483370371827.242</v>
      </c>
      <c r="M4335" s="460">
        <f t="shared" si="166"/>
        <v>0.05</v>
      </c>
      <c r="N4335" s="464">
        <f t="shared" si="167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65"/>
        <v>-36483370371827.242</v>
      </c>
      <c r="J4336" s="444">
        <f t="array" ref="J4336">IFERROR(INDEX('Retirement Calculator'!K:K,MATCH('Lorri 401b'!N4336,'Retirement Calculator'!A:A,0),0),0)</f>
        <v>0</v>
      </c>
      <c r="K4336" s="444">
        <f t="shared" ca="1" si="163"/>
        <v>-152014043215.94684</v>
      </c>
      <c r="L4336" s="444">
        <f t="shared" ca="1" si="164"/>
        <v>-36635384415043.188</v>
      </c>
      <c r="M4336" s="460">
        <f t="shared" si="166"/>
        <v>0.05</v>
      </c>
      <c r="N4336" s="464">
        <f t="shared" si="167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65"/>
        <v>-36635384415043.188</v>
      </c>
      <c r="J4337" s="444">
        <f t="array" ref="J4337">IFERROR(INDEX('Retirement Calculator'!K:K,MATCH('Lorri 401b'!N4337,'Retirement Calculator'!A:A,0),0),0)</f>
        <v>0</v>
      </c>
      <c r="K4337" s="444">
        <f t="shared" ca="1" si="163"/>
        <v>-152647435062.67993</v>
      </c>
      <c r="L4337" s="444">
        <f t="shared" ca="1" si="164"/>
        <v>-36788031850105.867</v>
      </c>
      <c r="M4337" s="460">
        <f t="shared" si="166"/>
        <v>0.05</v>
      </c>
      <c r="N4337" s="464">
        <f t="shared" si="167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65"/>
        <v>-36788031850105.867</v>
      </c>
      <c r="J4338" s="444">
        <f t="array" ref="J4338">IFERROR(INDEX('Retirement Calculator'!K:K,MATCH('Lorri 401b'!N4338,'Retirement Calculator'!A:A,0),0),0)</f>
        <v>0</v>
      </c>
      <c r="K4338" s="444">
        <f t="shared" ca="1" si="163"/>
        <v>-153283466042.10779</v>
      </c>
      <c r="L4338" s="444">
        <f t="shared" ca="1" si="164"/>
        <v>-36941315316147.977</v>
      </c>
      <c r="M4338" s="460">
        <f t="shared" si="166"/>
        <v>0.05</v>
      </c>
      <c r="N4338" s="464">
        <f t="shared" si="167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65"/>
        <v>-36941315316147.977</v>
      </c>
      <c r="J4339" s="444">
        <f t="array" ref="J4339">IFERROR(INDEX('Retirement Calculator'!K:K,MATCH('Lorri 401b'!N4339,'Retirement Calculator'!A:A,0),0),0)</f>
        <v>0</v>
      </c>
      <c r="K4339" s="444">
        <f t="shared" ca="1" si="163"/>
        <v>-153922147150.61658</v>
      </c>
      <c r="L4339" s="444">
        <f t="shared" ca="1" si="164"/>
        <v>-37095237463298.594</v>
      </c>
      <c r="M4339" s="460">
        <f t="shared" si="166"/>
        <v>0.05</v>
      </c>
      <c r="N4339" s="464">
        <f t="shared" si="167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65"/>
        <v>-37095237463298.594</v>
      </c>
      <c r="J4340" s="444">
        <f t="array" ref="J4340">IFERROR(INDEX('Retirement Calculator'!K:K,MATCH('Lorri 401b'!N4340,'Retirement Calculator'!A:A,0),0),0)</f>
        <v>0</v>
      </c>
      <c r="K4340" s="444">
        <f t="shared" ca="1" si="163"/>
        <v>-154563489430.4108</v>
      </c>
      <c r="L4340" s="444">
        <f t="shared" ca="1" si="164"/>
        <v>-37249800952729.008</v>
      </c>
      <c r="M4340" s="460">
        <f t="shared" si="166"/>
        <v>0.05</v>
      </c>
      <c r="N4340" s="464">
        <f t="shared" si="167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65"/>
        <v>-37249800952729.008</v>
      </c>
      <c r="J4341" s="444">
        <f t="array" ref="J4341">IFERROR(INDEX('Retirement Calculator'!K:K,MATCH('Lorri 401b'!N4341,'Retirement Calculator'!A:A,0),0),0)</f>
        <v>0</v>
      </c>
      <c r="K4341" s="444">
        <f t="shared" ca="1" si="163"/>
        <v>-155207503969.70419</v>
      </c>
      <c r="L4341" s="444">
        <f t="shared" ca="1" si="164"/>
        <v>-37405008456698.711</v>
      </c>
      <c r="M4341" s="460">
        <f t="shared" si="166"/>
        <v>0.05</v>
      </c>
      <c r="N4341" s="464">
        <f t="shared" si="167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65"/>
        <v>-37405008456698.711</v>
      </c>
      <c r="J4342" s="444">
        <f t="array" ref="J4342">IFERROR(INDEX('Retirement Calculator'!K:K,MATCH('Lorri 401b'!N4342,'Retirement Calculator'!A:A,0),0),0)</f>
        <v>0</v>
      </c>
      <c r="K4342" s="444">
        <f t="shared" ca="1" si="163"/>
        <v>-155854201902.91129</v>
      </c>
      <c r="L4342" s="444">
        <f t="shared" ca="1" si="164"/>
        <v>-37560862658601.625</v>
      </c>
      <c r="M4342" s="460">
        <f t="shared" si="166"/>
        <v>0.05</v>
      </c>
      <c r="N4342" s="464">
        <f t="shared" si="167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65"/>
        <v>-37560862658601.625</v>
      </c>
      <c r="J4343" s="444">
        <f t="array" ref="J4343">IFERROR(INDEX('Retirement Calculator'!K:K,MATCH('Lorri 401b'!N4343,'Retirement Calculator'!A:A,0),0),0)</f>
        <v>0</v>
      </c>
      <c r="K4343" s="444">
        <f t="shared" ref="K4343:K4597" ca="1" si="168">IPMT(M4343/12,1,12,-I4343+J4343,,0)</f>
        <v>-156503594410.84009</v>
      </c>
      <c r="L4343" s="444">
        <f t="shared" ref="L4343:L4597" ca="1" si="169">I4343-J4343+K4343</f>
        <v>-37717366253012.469</v>
      </c>
      <c r="M4343" s="460">
        <f t="shared" si="166"/>
        <v>0.05</v>
      </c>
      <c r="N4343" s="464">
        <f t="shared" si="167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70">L4343</f>
        <v>-37717366253012.469</v>
      </c>
      <c r="J4344" s="444">
        <f t="array" ref="J4344">IFERROR(INDEX('Retirement Calculator'!K:K,MATCH('Lorri 401b'!N4344,'Retirement Calculator'!A:A,0),0),0)</f>
        <v>0</v>
      </c>
      <c r="K4344" s="444">
        <f t="shared" ca="1" si="168"/>
        <v>-157155692720.88528</v>
      </c>
      <c r="L4344" s="444">
        <f t="shared" ca="1" si="169"/>
        <v>-37874521945733.352</v>
      </c>
      <c r="M4344" s="460">
        <f t="shared" ref="M4344:M4598" si="171">M4343</f>
        <v>0.05</v>
      </c>
      <c r="N4344" s="464">
        <f t="shared" ref="N4344:N4598" si="172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70"/>
        <v>-37874521945733.352</v>
      </c>
      <c r="J4345" s="444">
        <f t="array" ref="J4345">IFERROR(INDEX('Retirement Calculator'!K:K,MATCH('Lorri 401b'!N4345,'Retirement Calculator'!A:A,0),0),0)</f>
        <v>0</v>
      </c>
      <c r="K4345" s="444">
        <f t="shared" ca="1" si="168"/>
        <v>-157810508107.22229</v>
      </c>
      <c r="L4345" s="444">
        <f t="shared" ca="1" si="169"/>
        <v>-38032332453840.57</v>
      </c>
      <c r="M4345" s="460">
        <f t="shared" si="171"/>
        <v>0.05</v>
      </c>
      <c r="N4345" s="464">
        <f t="shared" si="172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70"/>
        <v>-38032332453840.57</v>
      </c>
      <c r="J4346" s="444">
        <f t="array" ref="J4346">IFERROR(INDEX('Retirement Calculator'!K:K,MATCH('Lorri 401b'!N4346,'Retirement Calculator'!A:A,0),0),0)</f>
        <v>0</v>
      </c>
      <c r="K4346" s="444">
        <f t="shared" ca="1" si="168"/>
        <v>-158468051891.00238</v>
      </c>
      <c r="L4346" s="444">
        <f t="shared" ca="1" si="169"/>
        <v>-38190800505731.57</v>
      </c>
      <c r="M4346" s="460">
        <f t="shared" si="171"/>
        <v>0.05</v>
      </c>
      <c r="N4346" s="464">
        <f t="shared" si="172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70"/>
        <v>-38190800505731.57</v>
      </c>
      <c r="J4347" s="444">
        <f t="array" ref="J4347">IFERROR(INDEX('Retirement Calculator'!K:K,MATCH('Lorri 401b'!N4347,'Retirement Calculator'!A:A,0),0),0)</f>
        <v>0</v>
      </c>
      <c r="K4347" s="444">
        <f t="shared" ca="1" si="168"/>
        <v>-159128335440.54822</v>
      </c>
      <c r="L4347" s="444">
        <f t="shared" ca="1" si="169"/>
        <v>-38349928841172.117</v>
      </c>
      <c r="M4347" s="460">
        <f t="shared" si="171"/>
        <v>0.05</v>
      </c>
      <c r="N4347" s="464">
        <f t="shared" si="172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70"/>
        <v>-38349928841172.117</v>
      </c>
      <c r="J4348" s="444">
        <f t="array" ref="J4348">IFERROR(INDEX('Retirement Calculator'!K:K,MATCH('Lorri 401b'!N4348,'Retirement Calculator'!A:A,0),0),0)</f>
        <v>0</v>
      </c>
      <c r="K4348" s="444">
        <f t="shared" ca="1" si="168"/>
        <v>-159791370171.55048</v>
      </c>
      <c r="L4348" s="444">
        <f t="shared" ca="1" si="169"/>
        <v>-38509720211343.664</v>
      </c>
      <c r="M4348" s="460">
        <f t="shared" si="171"/>
        <v>0.05</v>
      </c>
      <c r="N4348" s="464">
        <f t="shared" si="172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70"/>
        <v>-38509720211343.664</v>
      </c>
      <c r="J4349" s="444">
        <f t="array" ref="J4349">IFERROR(INDEX('Retirement Calculator'!K:K,MATCH('Lorri 401b'!N4349,'Retirement Calculator'!A:A,0),0),0)</f>
        <v>0</v>
      </c>
      <c r="K4349" s="444">
        <f t="shared" ca="1" si="168"/>
        <v>-160457167547.26526</v>
      </c>
      <c r="L4349" s="444">
        <f t="shared" ca="1" si="169"/>
        <v>-38670177378890.93</v>
      </c>
      <c r="M4349" s="460">
        <f t="shared" si="171"/>
        <v>0.05</v>
      </c>
      <c r="N4349" s="464">
        <f t="shared" si="172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70"/>
        <v>-38670177378890.93</v>
      </c>
      <c r="J4350" s="444">
        <f t="array" ref="J4350">IFERROR(INDEX('Retirement Calculator'!K:K,MATCH('Lorri 401b'!N4350,'Retirement Calculator'!A:A,0),0),0)</f>
        <v>0</v>
      </c>
      <c r="K4350" s="444">
        <f t="shared" ca="1" si="168"/>
        <v>-161125739078.71222</v>
      </c>
      <c r="L4350" s="444">
        <f t="shared" ca="1" si="169"/>
        <v>-38831303117969.641</v>
      </c>
      <c r="M4350" s="460">
        <f t="shared" si="171"/>
        <v>0.05</v>
      </c>
      <c r="N4350" s="464">
        <f t="shared" si="172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70"/>
        <v>-38831303117969.641</v>
      </c>
      <c r="J4351" s="444">
        <f t="array" ref="J4351">IFERROR(INDEX('Retirement Calculator'!K:K,MATCH('Lorri 401b'!N4351,'Retirement Calculator'!A:A,0),0),0)</f>
        <v>0</v>
      </c>
      <c r="K4351" s="444">
        <f t="shared" ca="1" si="168"/>
        <v>-161797096324.8735</v>
      </c>
      <c r="L4351" s="444">
        <f t="shared" ca="1" si="169"/>
        <v>-38993100214294.516</v>
      </c>
      <c r="M4351" s="460">
        <f t="shared" si="171"/>
        <v>0.05</v>
      </c>
      <c r="N4351" s="464">
        <f t="shared" si="172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70"/>
        <v>-38993100214294.516</v>
      </c>
      <c r="J4352" s="444">
        <f t="array" ref="J4352">IFERROR(INDEX('Retirement Calculator'!K:K,MATCH('Lorri 401b'!N4352,'Retirement Calculator'!A:A,0),0),0)</f>
        <v>0</v>
      </c>
      <c r="K4352" s="444">
        <f t="shared" ca="1" si="168"/>
        <v>-162471250892.8938</v>
      </c>
      <c r="L4352" s="444">
        <f t="shared" ca="1" si="169"/>
        <v>-39155571465187.406</v>
      </c>
      <c r="M4352" s="460">
        <f t="shared" si="171"/>
        <v>0.05</v>
      </c>
      <c r="N4352" s="464">
        <f t="shared" si="172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70"/>
        <v>-39155571465187.406</v>
      </c>
      <c r="J4353" s="444">
        <f t="array" ref="J4353">IFERROR(INDEX('Retirement Calculator'!K:K,MATCH('Lorri 401b'!N4353,'Retirement Calculator'!A:A,0),0),0)</f>
        <v>0</v>
      </c>
      <c r="K4353" s="444">
        <f t="shared" ca="1" si="168"/>
        <v>-163148214438.28085</v>
      </c>
      <c r="L4353" s="444">
        <f t="shared" ca="1" si="169"/>
        <v>-39318719679625.688</v>
      </c>
      <c r="M4353" s="460">
        <f t="shared" si="171"/>
        <v>0.05</v>
      </c>
      <c r="N4353" s="464">
        <f t="shared" si="172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70"/>
        <v>-39318719679625.688</v>
      </c>
      <c r="J4354" s="444">
        <f t="array" ref="J4354">IFERROR(INDEX('Retirement Calculator'!K:K,MATCH('Lorri 401b'!N4354,'Retirement Calculator'!A:A,0),0),0)</f>
        <v>0</v>
      </c>
      <c r="K4354" s="444">
        <f t="shared" ca="1" si="168"/>
        <v>-163827998665.10703</v>
      </c>
      <c r="L4354" s="444">
        <f t="shared" ca="1" si="169"/>
        <v>-39482547678290.797</v>
      </c>
      <c r="M4354" s="460">
        <f t="shared" si="171"/>
        <v>0.05</v>
      </c>
      <c r="N4354" s="464">
        <f t="shared" si="172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70"/>
        <v>-39482547678290.797</v>
      </c>
      <c r="J4355" s="444">
        <f t="array" ref="J4355">IFERROR(INDEX('Retirement Calculator'!K:K,MATCH('Lorri 401b'!N4355,'Retirement Calculator'!A:A,0),0),0)</f>
        <v>0</v>
      </c>
      <c r="K4355" s="444">
        <f t="shared" ca="1" si="168"/>
        <v>-164510615326.21164</v>
      </c>
      <c r="L4355" s="444">
        <f t="shared" ca="1" si="169"/>
        <v>-39647058293617.008</v>
      </c>
      <c r="M4355" s="460">
        <f t="shared" si="171"/>
        <v>0.05</v>
      </c>
      <c r="N4355" s="464">
        <f t="shared" si="172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70"/>
        <v>-39647058293617.008</v>
      </c>
      <c r="J4356" s="444">
        <f t="array" ref="J4356">IFERROR(INDEX('Retirement Calculator'!K:K,MATCH('Lorri 401b'!N4356,'Retirement Calculator'!A:A,0),0),0)</f>
        <v>0</v>
      </c>
      <c r="K4356" s="444">
        <f t="shared" ca="1" si="168"/>
        <v>-165196076223.40421</v>
      </c>
      <c r="L4356" s="444">
        <f t="shared" ca="1" si="169"/>
        <v>-39812254369840.414</v>
      </c>
      <c r="M4356" s="460">
        <f t="shared" si="171"/>
        <v>0.05</v>
      </c>
      <c r="N4356" s="464">
        <f t="shared" si="172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70"/>
        <v>-39812254369840.414</v>
      </c>
      <c r="J4357" s="444">
        <f t="array" ref="J4357">IFERROR(INDEX('Retirement Calculator'!K:K,MATCH('Lorri 401b'!N4357,'Retirement Calculator'!A:A,0),0),0)</f>
        <v>0</v>
      </c>
      <c r="K4357" s="444">
        <f t="shared" ca="1" si="168"/>
        <v>-165884393207.6684</v>
      </c>
      <c r="L4357" s="444">
        <f t="shared" ca="1" si="169"/>
        <v>-39978138763048.086</v>
      </c>
      <c r="M4357" s="460">
        <f t="shared" si="171"/>
        <v>0.05</v>
      </c>
      <c r="N4357" s="464">
        <f t="shared" si="172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70"/>
        <v>-39978138763048.086</v>
      </c>
      <c r="J4358" s="444">
        <f t="array" ref="J4358">IFERROR(INDEX('Retirement Calculator'!K:K,MATCH('Lorri 401b'!N4358,'Retirement Calculator'!A:A,0),0),0)</f>
        <v>0</v>
      </c>
      <c r="K4358" s="444">
        <f t="shared" ca="1" si="168"/>
        <v>-166575578179.36703</v>
      </c>
      <c r="L4358" s="444">
        <f t="shared" ca="1" si="169"/>
        <v>-40144714341227.453</v>
      </c>
      <c r="M4358" s="460">
        <f t="shared" si="171"/>
        <v>0.05</v>
      </c>
      <c r="N4358" s="464">
        <f t="shared" si="172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70"/>
        <v>-40144714341227.453</v>
      </c>
      <c r="J4359" s="444">
        <f t="array" ref="J4359">IFERROR(INDEX('Retirement Calculator'!K:K,MATCH('Lorri 401b'!N4359,'Retirement Calculator'!A:A,0),0),0)</f>
        <v>0</v>
      </c>
      <c r="K4359" s="444">
        <f t="shared" ca="1" si="168"/>
        <v>-167269643088.44772</v>
      </c>
      <c r="L4359" s="444">
        <f t="shared" ca="1" si="169"/>
        <v>-40311983984315.898</v>
      </c>
      <c r="M4359" s="460">
        <f t="shared" si="171"/>
        <v>0.05</v>
      </c>
      <c r="N4359" s="464">
        <f t="shared" si="172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70"/>
        <v>-40311983984315.898</v>
      </c>
      <c r="J4360" s="444">
        <f t="array" ref="J4360">IFERROR(INDEX('Retirement Calculator'!K:K,MATCH('Lorri 401b'!N4360,'Retirement Calculator'!A:A,0),0),0)</f>
        <v>0</v>
      </c>
      <c r="K4360" s="444">
        <f t="shared" ca="1" si="168"/>
        <v>-167966599934.64957</v>
      </c>
      <c r="L4360" s="444">
        <f t="shared" ca="1" si="169"/>
        <v>-40479950584250.547</v>
      </c>
      <c r="M4360" s="460">
        <f t="shared" si="171"/>
        <v>0.05</v>
      </c>
      <c r="N4360" s="464">
        <f t="shared" si="172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70"/>
        <v>-40479950584250.547</v>
      </c>
      <c r="J4361" s="444">
        <f t="array" ref="J4361">IFERROR(INDEX('Retirement Calculator'!K:K,MATCH('Lorri 401b'!N4361,'Retirement Calculator'!A:A,0),0),0)</f>
        <v>0</v>
      </c>
      <c r="K4361" s="444">
        <f t="shared" ca="1" si="168"/>
        <v>-168666460767.7106</v>
      </c>
      <c r="L4361" s="444">
        <f t="shared" ca="1" si="169"/>
        <v>-40648617045018.258</v>
      </c>
      <c r="M4361" s="460">
        <f t="shared" si="171"/>
        <v>0.05</v>
      </c>
      <c r="N4361" s="464">
        <f t="shared" si="172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70"/>
        <v>-40648617045018.258</v>
      </c>
      <c r="J4362" s="444">
        <f t="array" ref="J4362">IFERROR(INDEX('Retirement Calculator'!K:K,MATCH('Lorri 401b'!N4362,'Retirement Calculator'!A:A,0),0),0)</f>
        <v>0</v>
      </c>
      <c r="K4362" s="444">
        <f t="shared" ca="1" si="168"/>
        <v>-169369237687.57608</v>
      </c>
      <c r="L4362" s="444">
        <f t="shared" ca="1" si="169"/>
        <v>-40817986282705.836</v>
      </c>
      <c r="M4362" s="460">
        <f t="shared" si="171"/>
        <v>0.05</v>
      </c>
      <c r="N4362" s="464">
        <f t="shared" si="172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70"/>
        <v>-40817986282705.836</v>
      </c>
      <c r="J4363" s="444">
        <f t="array" ref="J4363">IFERROR(INDEX('Retirement Calculator'!K:K,MATCH('Lorri 401b'!N4363,'Retirement Calculator'!A:A,0),0),0)</f>
        <v>0</v>
      </c>
      <c r="K4363" s="444">
        <f t="shared" ca="1" si="168"/>
        <v>-170074942844.60764</v>
      </c>
      <c r="L4363" s="444">
        <f t="shared" ca="1" si="169"/>
        <v>-40988061225550.445</v>
      </c>
      <c r="M4363" s="460">
        <f t="shared" si="171"/>
        <v>0.05</v>
      </c>
      <c r="N4363" s="464">
        <f t="shared" si="172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70"/>
        <v>-40988061225550.445</v>
      </c>
      <c r="J4364" s="444">
        <f t="array" ref="J4364">IFERROR(INDEX('Retirement Calculator'!K:K,MATCH('Lorri 401b'!N4364,'Retirement Calculator'!A:A,0),0),0)</f>
        <v>0</v>
      </c>
      <c r="K4364" s="444">
        <f t="shared" ca="1" si="168"/>
        <v>-170783588439.79352</v>
      </c>
      <c r="L4364" s="444">
        <f t="shared" ca="1" si="169"/>
        <v>-41158844813990.242</v>
      </c>
      <c r="M4364" s="460">
        <f t="shared" si="171"/>
        <v>0.05</v>
      </c>
      <c r="N4364" s="464">
        <f t="shared" si="172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70"/>
        <v>-41158844813990.242</v>
      </c>
      <c r="J4365" s="444">
        <f t="array" ref="J4365">IFERROR(INDEX('Retirement Calculator'!K:K,MATCH('Lorri 401b'!N4365,'Retirement Calculator'!A:A,0),0),0)</f>
        <v>0</v>
      </c>
      <c r="K4365" s="444">
        <f t="shared" ca="1" si="168"/>
        <v>-171495186724.95935</v>
      </c>
      <c r="L4365" s="444">
        <f t="shared" ca="1" si="169"/>
        <v>-41330340000715.203</v>
      </c>
      <c r="M4365" s="460">
        <f t="shared" si="171"/>
        <v>0.05</v>
      </c>
      <c r="N4365" s="464">
        <f t="shared" si="172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70"/>
        <v>-41330340000715.203</v>
      </c>
      <c r="J4366" s="444">
        <f t="array" ref="J4366">IFERROR(INDEX('Retirement Calculator'!K:K,MATCH('Lorri 401b'!N4366,'Retirement Calculator'!A:A,0),0),0)</f>
        <v>0</v>
      </c>
      <c r="K4366" s="444">
        <f t="shared" ca="1" si="168"/>
        <v>-172209750002.98001</v>
      </c>
      <c r="L4366" s="444">
        <f t="shared" ca="1" si="169"/>
        <v>-41502549750718.18</v>
      </c>
      <c r="M4366" s="460">
        <f t="shared" si="171"/>
        <v>0.05</v>
      </c>
      <c r="N4366" s="464">
        <f t="shared" si="172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70"/>
        <v>-41502549750718.18</v>
      </c>
      <c r="J4367" s="444">
        <f t="array" ref="J4367">IFERROR(INDEX('Retirement Calculator'!K:K,MATCH('Lorri 401b'!N4367,'Retirement Calculator'!A:A,0),0),0)</f>
        <v>0</v>
      </c>
      <c r="K4367" s="444">
        <f t="shared" ca="1" si="168"/>
        <v>-172927290627.9924</v>
      </c>
      <c r="L4367" s="444">
        <f t="shared" ca="1" si="169"/>
        <v>-41675477041346.172</v>
      </c>
      <c r="M4367" s="460">
        <f t="shared" si="171"/>
        <v>0.05</v>
      </c>
      <c r="N4367" s="464">
        <f t="shared" si="172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70"/>
        <v>-41675477041346.172</v>
      </c>
      <c r="J4368" s="444">
        <f t="array" ref="J4368">IFERROR(INDEX('Retirement Calculator'!K:K,MATCH('Lorri 401b'!N4368,'Retirement Calculator'!A:A,0),0),0)</f>
        <v>0</v>
      </c>
      <c r="K4368" s="444">
        <f t="shared" ca="1" si="168"/>
        <v>-173647821005.60904</v>
      </c>
      <c r="L4368" s="444">
        <f t="shared" ca="1" si="169"/>
        <v>-41849124862351.781</v>
      </c>
      <c r="M4368" s="460">
        <f t="shared" si="171"/>
        <v>0.05</v>
      </c>
      <c r="N4368" s="464">
        <f t="shared" si="172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70"/>
        <v>-41849124862351.781</v>
      </c>
      <c r="J4369" s="444">
        <f t="array" ref="J4369">IFERROR(INDEX('Retirement Calculator'!K:K,MATCH('Lorri 401b'!N4369,'Retirement Calculator'!A:A,0),0),0)</f>
        <v>0</v>
      </c>
      <c r="K4369" s="444">
        <f t="shared" ca="1" si="168"/>
        <v>-174371353593.13242</v>
      </c>
      <c r="L4369" s="444">
        <f t="shared" ca="1" si="169"/>
        <v>-42023496215944.914</v>
      </c>
      <c r="M4369" s="460">
        <f t="shared" si="171"/>
        <v>0.05</v>
      </c>
      <c r="N4369" s="464">
        <f t="shared" si="172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70"/>
        <v>-42023496215944.914</v>
      </c>
      <c r="J4370" s="444">
        <f t="array" ref="J4370">IFERROR(INDEX('Retirement Calculator'!K:K,MATCH('Lorri 401b'!N4370,'Retirement Calculator'!A:A,0),0),0)</f>
        <v>0</v>
      </c>
      <c r="K4370" s="444">
        <f t="shared" ca="1" si="168"/>
        <v>-175097900899.77048</v>
      </c>
      <c r="L4370" s="444">
        <f t="shared" ca="1" si="169"/>
        <v>-42198594116844.688</v>
      </c>
      <c r="M4370" s="460">
        <f t="shared" si="171"/>
        <v>0.05</v>
      </c>
      <c r="N4370" s="464">
        <f t="shared" si="172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70"/>
        <v>-42198594116844.688</v>
      </c>
      <c r="J4371" s="444">
        <f t="array" ref="J4371">IFERROR(INDEX('Retirement Calculator'!K:K,MATCH('Lorri 401b'!N4371,'Retirement Calculator'!A:A,0),0),0)</f>
        <v>0</v>
      </c>
      <c r="K4371" s="444">
        <f t="shared" ca="1" si="168"/>
        <v>-175827475486.85287</v>
      </c>
      <c r="L4371" s="444">
        <f t="shared" ca="1" si="169"/>
        <v>-42374421592331.539</v>
      </c>
      <c r="M4371" s="460">
        <f t="shared" si="171"/>
        <v>0.05</v>
      </c>
      <c r="N4371" s="464">
        <f t="shared" si="172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70"/>
        <v>-42374421592331.539</v>
      </c>
      <c r="J4372" s="444">
        <f t="array" ref="J4372">IFERROR(INDEX('Retirement Calculator'!K:K,MATCH('Lorri 401b'!N4372,'Retirement Calculator'!A:A,0),0),0)</f>
        <v>0</v>
      </c>
      <c r="K4372" s="444">
        <f t="shared" ca="1" si="168"/>
        <v>-176560089968.04807</v>
      </c>
      <c r="L4372" s="444">
        <f t="shared" ca="1" si="169"/>
        <v>-42550981682299.586</v>
      </c>
      <c r="M4372" s="460">
        <f t="shared" si="171"/>
        <v>0.05</v>
      </c>
      <c r="N4372" s="464">
        <f t="shared" si="172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70"/>
        <v>-42550981682299.586</v>
      </c>
      <c r="J4373" s="444">
        <f t="array" ref="J4373">IFERROR(INDEX('Retirement Calculator'!K:K,MATCH('Lorri 401b'!N4373,'Retirement Calculator'!A:A,0),0),0)</f>
        <v>0</v>
      </c>
      <c r="K4373" s="444">
        <f t="shared" ca="1" si="168"/>
        <v>-177295757009.5816</v>
      </c>
      <c r="L4373" s="444">
        <f t="shared" ca="1" si="169"/>
        <v>-42728277439309.164</v>
      </c>
      <c r="M4373" s="460">
        <f t="shared" si="171"/>
        <v>0.05</v>
      </c>
      <c r="N4373" s="464">
        <f t="shared" si="172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70"/>
        <v>-42728277439309.164</v>
      </c>
      <c r="J4374" s="444">
        <f t="array" ref="J4374">IFERROR(INDEX('Retirement Calculator'!K:K,MATCH('Lorri 401b'!N4374,'Retirement Calculator'!A:A,0),0),0)</f>
        <v>0</v>
      </c>
      <c r="K4374" s="444">
        <f t="shared" ca="1" si="168"/>
        <v>-178034489330.45483</v>
      </c>
      <c r="L4374" s="444">
        <f t="shared" ca="1" si="169"/>
        <v>-42906311928639.617</v>
      </c>
      <c r="M4374" s="460">
        <f t="shared" si="171"/>
        <v>0.05</v>
      </c>
      <c r="N4374" s="464">
        <f t="shared" si="172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70"/>
        <v>-42906311928639.617</v>
      </c>
      <c r="J4375" s="444">
        <f t="array" ref="J4375">IFERROR(INDEX('Retirement Calculator'!K:K,MATCH('Lorri 401b'!N4375,'Retirement Calculator'!A:A,0),0),0)</f>
        <v>0</v>
      </c>
      <c r="K4375" s="444">
        <f t="shared" ca="1" si="168"/>
        <v>-178776299702.66507</v>
      </c>
      <c r="L4375" s="444">
        <f t="shared" ca="1" si="169"/>
        <v>-43085088228342.281</v>
      </c>
      <c r="M4375" s="460">
        <f t="shared" si="171"/>
        <v>0.05</v>
      </c>
      <c r="N4375" s="464">
        <f t="shared" si="172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70"/>
        <v>-43085088228342.281</v>
      </c>
      <c r="J4376" s="444">
        <f t="array" ref="J4376">IFERROR(INDEX('Retirement Calculator'!K:K,MATCH('Lorri 401b'!N4376,'Retirement Calculator'!A:A,0),0),0)</f>
        <v>0</v>
      </c>
      <c r="K4376" s="444">
        <f t="shared" ca="1" si="168"/>
        <v>-179521200951.42618</v>
      </c>
      <c r="L4376" s="444">
        <f t="shared" ca="1" si="169"/>
        <v>-43264609429293.711</v>
      </c>
      <c r="M4376" s="460">
        <f t="shared" si="171"/>
        <v>0.05</v>
      </c>
      <c r="N4376" s="464">
        <f t="shared" si="172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70"/>
        <v>-43264609429293.711</v>
      </c>
      <c r="J4377" s="444">
        <f t="array" ref="J4377">IFERROR(INDEX('Retirement Calculator'!K:K,MATCH('Lorri 401b'!N4377,'Retirement Calculator'!A:A,0),0),0)</f>
        <v>0</v>
      </c>
      <c r="K4377" s="444">
        <f t="shared" ca="1" si="168"/>
        <v>-180269205955.39047</v>
      </c>
      <c r="L4377" s="444">
        <f t="shared" ca="1" si="169"/>
        <v>-43444878635249.102</v>
      </c>
      <c r="M4377" s="460">
        <f t="shared" si="171"/>
        <v>0.05</v>
      </c>
      <c r="N4377" s="464">
        <f t="shared" si="172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70"/>
        <v>-43444878635249.102</v>
      </c>
      <c r="J4378" s="444">
        <f t="array" ref="J4378">IFERROR(INDEX('Retirement Calculator'!K:K,MATCH('Lorri 401b'!N4378,'Retirement Calculator'!A:A,0),0),0)</f>
        <v>0</v>
      </c>
      <c r="K4378" s="444">
        <f t="shared" ca="1" si="168"/>
        <v>-181020327646.87125</v>
      </c>
      <c r="L4378" s="444">
        <f t="shared" ca="1" si="169"/>
        <v>-43625898962895.977</v>
      </c>
      <c r="M4378" s="460">
        <f t="shared" si="171"/>
        <v>0.05</v>
      </c>
      <c r="N4378" s="464">
        <f t="shared" si="172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70"/>
        <v>-43625898962895.977</v>
      </c>
      <c r="J4379" s="444">
        <f t="array" ref="J4379">IFERROR(INDEX('Retirement Calculator'!K:K,MATCH('Lorri 401b'!N4379,'Retirement Calculator'!A:A,0),0),0)</f>
        <v>0</v>
      </c>
      <c r="K4379" s="444">
        <f t="shared" ca="1" si="168"/>
        <v>-181774579012.06656</v>
      </c>
      <c r="L4379" s="444">
        <f t="shared" ca="1" si="169"/>
        <v>-43807673541908.047</v>
      </c>
      <c r="M4379" s="460">
        <f t="shared" si="171"/>
        <v>0.05</v>
      </c>
      <c r="N4379" s="464">
        <f t="shared" si="172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70"/>
        <v>-43807673541908.047</v>
      </c>
      <c r="J4380" s="444">
        <f t="array" ref="J4380">IFERROR(INDEX('Retirement Calculator'!K:K,MATCH('Lorri 401b'!N4380,'Retirement Calculator'!A:A,0),0),0)</f>
        <v>0</v>
      </c>
      <c r="K4380" s="444">
        <f t="shared" ca="1" si="168"/>
        <v>-182531973091.28354</v>
      </c>
      <c r="L4380" s="444">
        <f t="shared" ca="1" si="169"/>
        <v>-43990205514999.328</v>
      </c>
      <c r="M4380" s="460">
        <f t="shared" si="171"/>
        <v>0.05</v>
      </c>
      <c r="N4380" s="464">
        <f t="shared" si="172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70"/>
        <v>-43990205514999.328</v>
      </c>
      <c r="J4381" s="444">
        <f t="array" ref="J4381">IFERROR(INDEX('Retirement Calculator'!K:K,MATCH('Lorri 401b'!N4381,'Retirement Calculator'!A:A,0),0),0)</f>
        <v>0</v>
      </c>
      <c r="K4381" s="444">
        <f t="shared" ca="1" si="168"/>
        <v>-183292522979.16388</v>
      </c>
      <c r="L4381" s="444">
        <f t="shared" ca="1" si="169"/>
        <v>-44173498037978.492</v>
      </c>
      <c r="M4381" s="460">
        <f t="shared" si="171"/>
        <v>0.05</v>
      </c>
      <c r="N4381" s="464">
        <f t="shared" si="172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70"/>
        <v>-44173498037978.492</v>
      </c>
      <c r="J4382" s="444">
        <f t="array" ref="J4382">IFERROR(INDEX('Retirement Calculator'!K:K,MATCH('Lorri 401b'!N4382,'Retirement Calculator'!A:A,0),0),0)</f>
        <v>0</v>
      </c>
      <c r="K4382" s="444">
        <f t="shared" ca="1" si="168"/>
        <v>-184056241824.91037</v>
      </c>
      <c r="L4382" s="444">
        <f t="shared" ca="1" si="169"/>
        <v>-44357554279803.406</v>
      </c>
      <c r="M4382" s="460">
        <f t="shared" si="171"/>
        <v>0.05</v>
      </c>
      <c r="N4382" s="464">
        <f t="shared" si="172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70"/>
        <v>-44357554279803.406</v>
      </c>
      <c r="J4383" s="444">
        <f t="array" ref="J4383">IFERROR(INDEX('Retirement Calculator'!K:K,MATCH('Lorri 401b'!N4383,'Retirement Calculator'!A:A,0),0),0)</f>
        <v>0</v>
      </c>
      <c r="K4383" s="444">
        <f t="shared" ca="1" si="168"/>
        <v>-184823142832.51419</v>
      </c>
      <c r="L4383" s="444">
        <f t="shared" ca="1" si="169"/>
        <v>-44542377422635.922</v>
      </c>
      <c r="M4383" s="460">
        <f t="shared" si="171"/>
        <v>0.05</v>
      </c>
      <c r="N4383" s="464">
        <f t="shared" si="172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70"/>
        <v>-44542377422635.922</v>
      </c>
      <c r="J4384" s="444">
        <f t="array" ref="J4384">IFERROR(INDEX('Retirement Calculator'!K:K,MATCH('Lorri 401b'!N4384,'Retirement Calculator'!A:A,0),0),0)</f>
        <v>0</v>
      </c>
      <c r="K4384" s="444">
        <f t="shared" ca="1" si="168"/>
        <v>-185593239260.983</v>
      </c>
      <c r="L4384" s="444">
        <f t="shared" ca="1" si="169"/>
        <v>-44727970661896.906</v>
      </c>
      <c r="M4384" s="460">
        <f t="shared" si="171"/>
        <v>0.05</v>
      </c>
      <c r="N4384" s="464">
        <f t="shared" si="172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70"/>
        <v>-44727970661896.906</v>
      </c>
      <c r="J4385" s="444">
        <f t="array" ref="J4385">IFERROR(INDEX('Retirement Calculator'!K:K,MATCH('Lorri 401b'!N4385,'Retirement Calculator'!A:A,0),0),0)</f>
        <v>0</v>
      </c>
      <c r="K4385" s="444">
        <f t="shared" ca="1" si="168"/>
        <v>-186366544424.57043</v>
      </c>
      <c r="L4385" s="444">
        <f t="shared" ca="1" si="169"/>
        <v>-44914337206321.477</v>
      </c>
      <c r="M4385" s="460">
        <f t="shared" si="171"/>
        <v>0.05</v>
      </c>
      <c r="N4385" s="464">
        <f t="shared" si="172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70"/>
        <v>-44914337206321.477</v>
      </c>
      <c r="J4386" s="444">
        <f t="array" ref="J4386">IFERROR(INDEX('Retirement Calculator'!K:K,MATCH('Lorri 401b'!N4386,'Retirement Calculator'!A:A,0),0),0)</f>
        <v>0</v>
      </c>
      <c r="K4386" s="444">
        <f t="shared" ca="1" si="168"/>
        <v>-187143071693.00616</v>
      </c>
      <c r="L4386" s="444">
        <f t="shared" ca="1" si="169"/>
        <v>-45101480278014.484</v>
      </c>
      <c r="M4386" s="460">
        <f t="shared" si="171"/>
        <v>0.05</v>
      </c>
      <c r="N4386" s="464">
        <f t="shared" si="172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70"/>
        <v>-45101480278014.484</v>
      </c>
      <c r="J4387" s="444">
        <f t="array" ref="J4387">IFERROR(INDEX('Retirement Calculator'!K:K,MATCH('Lorri 401b'!N4387,'Retirement Calculator'!A:A,0),0),0)</f>
        <v>0</v>
      </c>
      <c r="K4387" s="444">
        <f t="shared" ca="1" si="168"/>
        <v>-187922834491.72702</v>
      </c>
      <c r="L4387" s="444">
        <f t="shared" ca="1" si="169"/>
        <v>-45289403112506.211</v>
      </c>
      <c r="M4387" s="460">
        <f t="shared" si="171"/>
        <v>0.05</v>
      </c>
      <c r="N4387" s="464">
        <f t="shared" si="172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70"/>
        <v>-45289403112506.211</v>
      </c>
      <c r="J4388" s="444">
        <f t="array" ref="J4388">IFERROR(INDEX('Retirement Calculator'!K:K,MATCH('Lorri 401b'!N4388,'Retirement Calculator'!A:A,0),0),0)</f>
        <v>0</v>
      </c>
      <c r="K4388" s="444">
        <f t="shared" ca="1" si="168"/>
        <v>-188705846302.10922</v>
      </c>
      <c r="L4388" s="444">
        <f t="shared" ca="1" si="169"/>
        <v>-45478108958808.32</v>
      </c>
      <c r="M4388" s="460">
        <f t="shared" si="171"/>
        <v>0.05</v>
      </c>
      <c r="N4388" s="464">
        <f t="shared" si="172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70"/>
        <v>-45478108958808.32</v>
      </c>
      <c r="J4389" s="444">
        <f t="array" ref="J4389">IFERROR(INDEX('Retirement Calculator'!K:K,MATCH('Lorri 401b'!N4389,'Retirement Calculator'!A:A,0),0),0)</f>
        <v>0</v>
      </c>
      <c r="K4389" s="444">
        <f t="shared" ca="1" si="168"/>
        <v>-189492120661.70132</v>
      </c>
      <c r="L4389" s="444">
        <f t="shared" ca="1" si="169"/>
        <v>-45667601079470.023</v>
      </c>
      <c r="M4389" s="460">
        <f t="shared" si="171"/>
        <v>0.05</v>
      </c>
      <c r="N4389" s="464">
        <f t="shared" si="172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70"/>
        <v>-45667601079470.023</v>
      </c>
      <c r="J4390" s="444">
        <f t="array" ref="J4390">IFERROR(INDEX('Retirement Calculator'!K:K,MATCH('Lorri 401b'!N4390,'Retirement Calculator'!A:A,0),0),0)</f>
        <v>0</v>
      </c>
      <c r="K4390" s="444">
        <f t="shared" ca="1" si="168"/>
        <v>-190281671164.45844</v>
      </c>
      <c r="L4390" s="444">
        <f t="shared" ca="1" si="169"/>
        <v>-45857882750634.484</v>
      </c>
      <c r="M4390" s="460">
        <f t="shared" si="171"/>
        <v>0.05</v>
      </c>
      <c r="N4390" s="464">
        <f t="shared" si="172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70"/>
        <v>-45857882750634.484</v>
      </c>
      <c r="J4391" s="444">
        <f t="array" ref="J4391">IFERROR(INDEX('Retirement Calculator'!K:K,MATCH('Lorri 401b'!N4391,'Retirement Calculator'!A:A,0),0),0)</f>
        <v>0</v>
      </c>
      <c r="K4391" s="444">
        <f t="shared" ca="1" si="168"/>
        <v>-191074511460.97702</v>
      </c>
      <c r="L4391" s="444">
        <f t="shared" ca="1" si="169"/>
        <v>-46048957262095.461</v>
      </c>
      <c r="M4391" s="460">
        <f t="shared" si="171"/>
        <v>0.05</v>
      </c>
      <c r="N4391" s="464">
        <f t="shared" si="172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70"/>
        <v>-46048957262095.461</v>
      </c>
      <c r="J4392" s="444">
        <f t="array" ref="J4392">IFERROR(INDEX('Retirement Calculator'!K:K,MATCH('Lorri 401b'!N4392,'Retirement Calculator'!A:A,0),0),0)</f>
        <v>0</v>
      </c>
      <c r="K4392" s="444">
        <f t="shared" ca="1" si="168"/>
        <v>-191870655258.73108</v>
      </c>
      <c r="L4392" s="444">
        <f t="shared" ca="1" si="169"/>
        <v>-46240827917354.195</v>
      </c>
      <c r="M4392" s="460">
        <f t="shared" si="171"/>
        <v>0.05</v>
      </c>
      <c r="N4392" s="464">
        <f t="shared" si="172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70"/>
        <v>-46240827917354.195</v>
      </c>
      <c r="J4393" s="444">
        <f t="array" ref="J4393">IFERROR(INDEX('Retirement Calculator'!K:K,MATCH('Lorri 401b'!N4393,'Retirement Calculator'!A:A,0),0),0)</f>
        <v>0</v>
      </c>
      <c r="K4393" s="444">
        <f t="shared" ca="1" si="168"/>
        <v>-192670116322.30914</v>
      </c>
      <c r="L4393" s="444">
        <f t="shared" ca="1" si="169"/>
        <v>-46433498033676.508</v>
      </c>
      <c r="M4393" s="460">
        <f t="shared" si="171"/>
        <v>0.05</v>
      </c>
      <c r="N4393" s="464">
        <f t="shared" si="172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70"/>
        <v>-46433498033676.508</v>
      </c>
      <c r="J4394" s="444">
        <f t="array" ref="J4394">IFERROR(INDEX('Retirement Calculator'!K:K,MATCH('Lorri 401b'!N4394,'Retirement Calculator'!A:A,0),0),0)</f>
        <v>0</v>
      </c>
      <c r="K4394" s="444">
        <f t="shared" ca="1" si="168"/>
        <v>-193472908473.6521</v>
      </c>
      <c r="L4394" s="444">
        <f t="shared" ca="1" si="169"/>
        <v>-46626970942150.156</v>
      </c>
      <c r="M4394" s="460">
        <f t="shared" si="171"/>
        <v>0.05</v>
      </c>
      <c r="N4394" s="464">
        <f t="shared" si="172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70"/>
        <v>-46626970942150.156</v>
      </c>
      <c r="J4395" s="444">
        <f t="array" ref="J4395">IFERROR(INDEX('Retirement Calculator'!K:K,MATCH('Lorri 401b'!N4395,'Retirement Calculator'!A:A,0),0),0)</f>
        <v>0</v>
      </c>
      <c r="K4395" s="444">
        <f t="shared" ca="1" si="168"/>
        <v>-194279045592.29233</v>
      </c>
      <c r="L4395" s="444">
        <f t="shared" ca="1" si="169"/>
        <v>-46821249987742.445</v>
      </c>
      <c r="M4395" s="460">
        <f t="shared" si="171"/>
        <v>0.05</v>
      </c>
      <c r="N4395" s="464">
        <f t="shared" si="172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70"/>
        <v>-46821249987742.445</v>
      </c>
      <c r="J4396" s="444">
        <f t="array" ref="J4396">IFERROR(INDEX('Retirement Calculator'!K:K,MATCH('Lorri 401b'!N4396,'Retirement Calculator'!A:A,0),0),0)</f>
        <v>0</v>
      </c>
      <c r="K4396" s="444">
        <f t="shared" ca="1" si="168"/>
        <v>-195088541615.59351</v>
      </c>
      <c r="L4396" s="444">
        <f t="shared" ca="1" si="169"/>
        <v>-47016338529358.039</v>
      </c>
      <c r="M4396" s="460">
        <f t="shared" si="171"/>
        <v>0.05</v>
      </c>
      <c r="N4396" s="464">
        <f t="shared" si="172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70"/>
        <v>-47016338529358.039</v>
      </c>
      <c r="J4397" s="444">
        <f t="array" ref="J4397">IFERROR(INDEX('Retirement Calculator'!K:K,MATCH('Lorri 401b'!N4397,'Retirement Calculator'!A:A,0),0),0)</f>
        <v>0</v>
      </c>
      <c r="K4397" s="444">
        <f t="shared" ca="1" si="168"/>
        <v>-195901410538.99182</v>
      </c>
      <c r="L4397" s="444">
        <f t="shared" ca="1" si="169"/>
        <v>-47212239939897.031</v>
      </c>
      <c r="M4397" s="460">
        <f t="shared" si="171"/>
        <v>0.05</v>
      </c>
      <c r="N4397" s="464">
        <f t="shared" si="172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70"/>
        <v>-47212239939897.031</v>
      </c>
      <c r="J4398" s="444">
        <f t="array" ref="J4398">IFERROR(INDEX('Retirement Calculator'!K:K,MATCH('Lorri 401b'!N4398,'Retirement Calculator'!A:A,0),0),0)</f>
        <v>0</v>
      </c>
      <c r="K4398" s="444">
        <f t="shared" ca="1" si="168"/>
        <v>-196717666416.23764</v>
      </c>
      <c r="L4398" s="444">
        <f t="shared" ca="1" si="169"/>
        <v>-47408957606313.266</v>
      </c>
      <c r="M4398" s="460">
        <f t="shared" si="171"/>
        <v>0.05</v>
      </c>
      <c r="N4398" s="464">
        <f t="shared" si="172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70"/>
        <v>-47408957606313.266</v>
      </c>
      <c r="J4399" s="444">
        <f t="array" ref="J4399">IFERROR(INDEX('Retirement Calculator'!K:K,MATCH('Lorri 401b'!N4399,'Retirement Calculator'!A:A,0),0),0)</f>
        <v>0</v>
      </c>
      <c r="K4399" s="444">
        <f t="shared" ca="1" si="168"/>
        <v>-197537323359.63861</v>
      </c>
      <c r="L4399" s="444">
        <f t="shared" ca="1" si="169"/>
        <v>-47606494929672.906</v>
      </c>
      <c r="M4399" s="460">
        <f t="shared" si="171"/>
        <v>0.05</v>
      </c>
      <c r="N4399" s="464">
        <f t="shared" si="172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70"/>
        <v>-47606494929672.906</v>
      </c>
      <c r="J4400" s="444">
        <f t="array" ref="J4400">IFERROR(INDEX('Retirement Calculator'!K:K,MATCH('Lorri 401b'!N4400,'Retirement Calculator'!A:A,0),0),0)</f>
        <v>0</v>
      </c>
      <c r="K4400" s="444">
        <f t="shared" ca="1" si="168"/>
        <v>-198360395540.30377</v>
      </c>
      <c r="L4400" s="444">
        <f t="shared" ca="1" si="169"/>
        <v>-47804855325213.211</v>
      </c>
      <c r="M4400" s="460">
        <f t="shared" si="171"/>
        <v>0.05</v>
      </c>
      <c r="N4400" s="464">
        <f t="shared" si="172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70"/>
        <v>-47804855325213.211</v>
      </c>
      <c r="J4401" s="444">
        <f t="array" ref="J4401">IFERROR(INDEX('Retirement Calculator'!K:K,MATCH('Lorri 401b'!N4401,'Retirement Calculator'!A:A,0),0),0)</f>
        <v>0</v>
      </c>
      <c r="K4401" s="444">
        <f t="shared" ca="1" si="168"/>
        <v>-199186897188.38837</v>
      </c>
      <c r="L4401" s="444">
        <f t="shared" ca="1" si="169"/>
        <v>-48004042222401.602</v>
      </c>
      <c r="M4401" s="460">
        <f t="shared" si="171"/>
        <v>0.05</v>
      </c>
      <c r="N4401" s="464">
        <f t="shared" si="172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70"/>
        <v>-48004042222401.602</v>
      </c>
      <c r="J4402" s="444">
        <f t="array" ref="J4402">IFERROR(INDEX('Retirement Calculator'!K:K,MATCH('Lorri 401b'!N4402,'Retirement Calculator'!A:A,0),0),0)</f>
        <v>0</v>
      </c>
      <c r="K4402" s="444">
        <f t="shared" ca="1" si="168"/>
        <v>-200016842593.34</v>
      </c>
      <c r="L4402" s="444">
        <f t="shared" ca="1" si="169"/>
        <v>-48204059064994.945</v>
      </c>
      <c r="M4402" s="460">
        <f t="shared" si="171"/>
        <v>0.05</v>
      </c>
      <c r="N4402" s="464">
        <f t="shared" si="172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70"/>
        <v>-48204059064994.945</v>
      </c>
      <c r="J4403" s="444">
        <f t="array" ref="J4403">IFERROR(INDEX('Retirement Calculator'!K:K,MATCH('Lorri 401b'!N4403,'Retirement Calculator'!A:A,0),0),0)</f>
        <v>0</v>
      </c>
      <c r="K4403" s="444">
        <f t="shared" ca="1" si="168"/>
        <v>-200850246104.1456</v>
      </c>
      <c r="L4403" s="444">
        <f t="shared" ca="1" si="169"/>
        <v>-48404909311099.094</v>
      </c>
      <c r="M4403" s="460">
        <f t="shared" si="171"/>
        <v>0.05</v>
      </c>
      <c r="N4403" s="464">
        <f t="shared" si="172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70"/>
        <v>-48404909311099.094</v>
      </c>
      <c r="J4404" s="444">
        <f t="array" ref="J4404">IFERROR(INDEX('Retirement Calculator'!K:K,MATCH('Lorri 401b'!N4404,'Retirement Calculator'!A:A,0),0),0)</f>
        <v>0</v>
      </c>
      <c r="K4404" s="444">
        <f t="shared" ca="1" si="168"/>
        <v>-201687122129.57956</v>
      </c>
      <c r="L4404" s="444">
        <f t="shared" ca="1" si="169"/>
        <v>-48606596433228.672</v>
      </c>
      <c r="M4404" s="460">
        <f t="shared" si="171"/>
        <v>0.05</v>
      </c>
      <c r="N4404" s="464">
        <f t="shared" si="172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70"/>
        <v>-48606596433228.672</v>
      </c>
      <c r="J4405" s="444">
        <f t="array" ref="J4405">IFERROR(INDEX('Retirement Calculator'!K:K,MATCH('Lorri 401b'!N4405,'Retirement Calculator'!A:A,0),0),0)</f>
        <v>0</v>
      </c>
      <c r="K4405" s="444">
        <f t="shared" ca="1" si="168"/>
        <v>-202527485138.45279</v>
      </c>
      <c r="L4405" s="444">
        <f t="shared" ca="1" si="169"/>
        <v>-48809123918367.125</v>
      </c>
      <c r="M4405" s="460">
        <f t="shared" si="171"/>
        <v>0.05</v>
      </c>
      <c r="N4405" s="464">
        <f t="shared" si="172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70"/>
        <v>-48809123918367.125</v>
      </c>
      <c r="J4406" s="444">
        <f t="array" ref="J4406">IFERROR(INDEX('Retirement Calculator'!K:K,MATCH('Lorri 401b'!N4406,'Retirement Calculator'!A:A,0),0),0)</f>
        <v>0</v>
      </c>
      <c r="K4406" s="444">
        <f t="shared" ca="1" si="168"/>
        <v>-203371349659.86301</v>
      </c>
      <c r="L4406" s="444">
        <f t="shared" ca="1" si="169"/>
        <v>-49012495268026.984</v>
      </c>
      <c r="M4406" s="460">
        <f t="shared" si="171"/>
        <v>0.05</v>
      </c>
      <c r="N4406" s="464">
        <f t="shared" si="172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70"/>
        <v>-49012495268026.984</v>
      </c>
      <c r="J4407" s="444">
        <f t="array" ref="J4407">IFERROR(INDEX('Retirement Calculator'!K:K,MATCH('Lorri 401b'!N4407,'Retirement Calculator'!A:A,0),0),0)</f>
        <v>0</v>
      </c>
      <c r="K4407" s="444">
        <f t="shared" ca="1" si="168"/>
        <v>-204218730283.44577</v>
      </c>
      <c r="L4407" s="444">
        <f t="shared" ca="1" si="169"/>
        <v>-49216713998310.43</v>
      </c>
      <c r="M4407" s="460">
        <f t="shared" si="171"/>
        <v>0.05</v>
      </c>
      <c r="N4407" s="464">
        <f t="shared" si="172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70"/>
        <v>-49216713998310.43</v>
      </c>
      <c r="J4408" s="444">
        <f t="array" ref="J4408">IFERROR(INDEX('Retirement Calculator'!K:K,MATCH('Lorri 401b'!N4408,'Retirement Calculator'!A:A,0),0),0)</f>
        <v>0</v>
      </c>
      <c r="K4408" s="444">
        <f t="shared" ca="1" si="168"/>
        <v>-205069641659.6268</v>
      </c>
      <c r="L4408" s="444">
        <f t="shared" ca="1" si="169"/>
        <v>-49421783639970.055</v>
      </c>
      <c r="M4408" s="460">
        <f t="shared" si="171"/>
        <v>0.05</v>
      </c>
      <c r="N4408" s="464">
        <f t="shared" si="172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70"/>
        <v>-49421783639970.055</v>
      </c>
      <c r="J4409" s="444">
        <f t="array" ref="J4409">IFERROR(INDEX('Retirement Calculator'!K:K,MATCH('Lorri 401b'!N4409,'Retirement Calculator'!A:A,0),0),0)</f>
        <v>0</v>
      </c>
      <c r="K4409" s="444">
        <f t="shared" ca="1" si="168"/>
        <v>-205924098499.87521</v>
      </c>
      <c r="L4409" s="444">
        <f t="shared" ca="1" si="169"/>
        <v>-49627707738469.93</v>
      </c>
      <c r="M4409" s="460">
        <f t="shared" si="171"/>
        <v>0.05</v>
      </c>
      <c r="N4409" s="464">
        <f t="shared" si="172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70"/>
        <v>-49627707738469.93</v>
      </c>
      <c r="J4410" s="444">
        <f t="array" ref="J4410">IFERROR(INDEX('Retirement Calculator'!K:K,MATCH('Lorri 401b'!N4410,'Retirement Calculator'!A:A,0),0),0)</f>
        <v>0</v>
      </c>
      <c r="K4410" s="444">
        <f t="shared" ca="1" si="168"/>
        <v>-206782115576.95804</v>
      </c>
      <c r="L4410" s="444">
        <f t="shared" ca="1" si="169"/>
        <v>-49834489854046.891</v>
      </c>
      <c r="M4410" s="460">
        <f t="shared" si="171"/>
        <v>0.05</v>
      </c>
      <c r="N4410" s="464">
        <f t="shared" si="172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70"/>
        <v>-49834489854046.891</v>
      </c>
      <c r="J4411" s="444">
        <f t="array" ref="J4411">IFERROR(INDEX('Retirement Calculator'!K:K,MATCH('Lorri 401b'!N4411,'Retirement Calculator'!A:A,0),0),0)</f>
        <v>0</v>
      </c>
      <c r="K4411" s="444">
        <f t="shared" ca="1" si="168"/>
        <v>-207643707725.19537</v>
      </c>
      <c r="L4411" s="444">
        <f t="shared" ca="1" si="169"/>
        <v>-50042133561772.086</v>
      </c>
      <c r="M4411" s="460">
        <f t="shared" si="171"/>
        <v>0.05</v>
      </c>
      <c r="N4411" s="464">
        <f t="shared" si="172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70"/>
        <v>-50042133561772.086</v>
      </c>
      <c r="J4412" s="444">
        <f t="array" ref="J4412">IFERROR(INDEX('Retirement Calculator'!K:K,MATCH('Lorri 401b'!N4412,'Retirement Calculator'!A:A,0),0),0)</f>
        <v>0</v>
      </c>
      <c r="K4412" s="444">
        <f t="shared" ca="1" si="168"/>
        <v>-208508889840.71701</v>
      </c>
      <c r="L4412" s="444">
        <f t="shared" ca="1" si="169"/>
        <v>-50250642451612.805</v>
      </c>
      <c r="M4412" s="460">
        <f t="shared" si="171"/>
        <v>0.05</v>
      </c>
      <c r="N4412" s="464">
        <f t="shared" si="172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70"/>
        <v>-50250642451612.805</v>
      </c>
      <c r="J4413" s="444">
        <f t="array" ref="J4413">IFERROR(INDEX('Retirement Calculator'!K:K,MATCH('Lorri 401b'!N4413,'Retirement Calculator'!A:A,0),0),0)</f>
        <v>0</v>
      </c>
      <c r="K4413" s="444">
        <f t="shared" ca="1" si="168"/>
        <v>-209377676881.72003</v>
      </c>
      <c r="L4413" s="444">
        <f t="shared" ca="1" si="169"/>
        <v>-50460020128494.523</v>
      </c>
      <c r="M4413" s="460">
        <f t="shared" si="171"/>
        <v>0.05</v>
      </c>
      <c r="N4413" s="464">
        <f t="shared" si="172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70"/>
        <v>-50460020128494.523</v>
      </c>
      <c r="J4414" s="444">
        <f t="array" ref="J4414">IFERROR(INDEX('Retirement Calculator'!K:K,MATCH('Lorri 401b'!N4414,'Retirement Calculator'!A:A,0),0),0)</f>
        <v>0</v>
      </c>
      <c r="K4414" s="444">
        <f t="shared" ca="1" si="168"/>
        <v>-210250083868.72717</v>
      </c>
      <c r="L4414" s="444">
        <f t="shared" ca="1" si="169"/>
        <v>-50670270212363.25</v>
      </c>
      <c r="M4414" s="460">
        <f t="shared" si="171"/>
        <v>0.05</v>
      </c>
      <c r="N4414" s="464">
        <f t="shared" si="172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70"/>
        <v>-50670270212363.25</v>
      </c>
      <c r="J4415" s="444">
        <f t="array" ref="J4415">IFERROR(INDEX('Retirement Calculator'!K:K,MATCH('Lorri 401b'!N4415,'Retirement Calculator'!A:A,0),0),0)</f>
        <v>0</v>
      </c>
      <c r="K4415" s="444">
        <f t="shared" ca="1" si="168"/>
        <v>-211126125884.84686</v>
      </c>
      <c r="L4415" s="444">
        <f t="shared" ca="1" si="169"/>
        <v>-50881396338248.094</v>
      </c>
      <c r="M4415" s="460">
        <f t="shared" si="171"/>
        <v>0.05</v>
      </c>
      <c r="N4415" s="464">
        <f t="shared" si="172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70"/>
        <v>-50881396338248.094</v>
      </c>
      <c r="J4416" s="444">
        <f t="array" ref="J4416">IFERROR(INDEX('Retirement Calculator'!K:K,MATCH('Lorri 401b'!N4416,'Retirement Calculator'!A:A,0),0),0)</f>
        <v>0</v>
      </c>
      <c r="K4416" s="444">
        <f t="shared" ca="1" si="168"/>
        <v>-212005818076.03372</v>
      </c>
      <c r="L4416" s="444">
        <f t="shared" ca="1" si="169"/>
        <v>-51093402156324.125</v>
      </c>
      <c r="M4416" s="460">
        <f t="shared" si="171"/>
        <v>0.05</v>
      </c>
      <c r="N4416" s="464">
        <f t="shared" si="172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70"/>
        <v>-51093402156324.125</v>
      </c>
      <c r="J4417" s="444">
        <f t="array" ref="J4417">IFERROR(INDEX('Retirement Calculator'!K:K,MATCH('Lorri 401b'!N4417,'Retirement Calculator'!A:A,0),0),0)</f>
        <v>0</v>
      </c>
      <c r="K4417" s="444">
        <f t="shared" ca="1" si="168"/>
        <v>-212889175651.35052</v>
      </c>
      <c r="L4417" s="444">
        <f t="shared" ca="1" si="169"/>
        <v>-51306291331975.477</v>
      </c>
      <c r="M4417" s="460">
        <f t="shared" si="171"/>
        <v>0.05</v>
      </c>
      <c r="N4417" s="464">
        <f t="shared" si="172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70"/>
        <v>-51306291331975.477</v>
      </c>
      <c r="J4418" s="444">
        <f t="array" ref="J4418">IFERROR(INDEX('Retirement Calculator'!K:K,MATCH('Lorri 401b'!N4418,'Retirement Calculator'!A:A,0),0),0)</f>
        <v>0</v>
      </c>
      <c r="K4418" s="444">
        <f t="shared" ca="1" si="168"/>
        <v>-213776213883.23114</v>
      </c>
      <c r="L4418" s="444">
        <f t="shared" ca="1" si="169"/>
        <v>-51520067545858.711</v>
      </c>
      <c r="M4418" s="460">
        <f t="shared" si="171"/>
        <v>0.05</v>
      </c>
      <c r="N4418" s="464">
        <f t="shared" si="172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70"/>
        <v>-51520067545858.711</v>
      </c>
      <c r="J4419" s="444">
        <f t="array" ref="J4419">IFERROR(INDEX('Retirement Calculator'!K:K,MATCH('Lorri 401b'!N4419,'Retirement Calculator'!A:A,0),0),0)</f>
        <v>0</v>
      </c>
      <c r="K4419" s="444">
        <f t="shared" ca="1" si="168"/>
        <v>-214666948107.74463</v>
      </c>
      <c r="L4419" s="444">
        <f t="shared" ca="1" si="169"/>
        <v>-51734734493966.453</v>
      </c>
      <c r="M4419" s="460">
        <f t="shared" si="171"/>
        <v>0.05</v>
      </c>
      <c r="N4419" s="464">
        <f t="shared" si="172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70"/>
        <v>-51734734493966.453</v>
      </c>
      <c r="J4420" s="444">
        <f t="array" ref="J4420">IFERROR(INDEX('Retirement Calculator'!K:K,MATCH('Lorri 401b'!N4420,'Retirement Calculator'!A:A,0),0),0)</f>
        <v>0</v>
      </c>
      <c r="K4420" s="444">
        <f t="shared" ca="1" si="168"/>
        <v>-215561393724.86023</v>
      </c>
      <c r="L4420" s="444">
        <f t="shared" ca="1" si="169"/>
        <v>-51950295887691.313</v>
      </c>
      <c r="M4420" s="460">
        <f t="shared" si="171"/>
        <v>0.05</v>
      </c>
      <c r="N4420" s="464">
        <f t="shared" si="172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70"/>
        <v>-51950295887691.313</v>
      </c>
      <c r="J4421" s="444">
        <f t="array" ref="J4421">IFERROR(INDEX('Retirement Calculator'!K:K,MATCH('Lorri 401b'!N4421,'Retirement Calculator'!A:A,0),0),0)</f>
        <v>0</v>
      </c>
      <c r="K4421" s="444">
        <f t="shared" ca="1" si="168"/>
        <v>-216459566198.71381</v>
      </c>
      <c r="L4421" s="444">
        <f t="shared" ca="1" si="169"/>
        <v>-52166755453890.023</v>
      </c>
      <c r="M4421" s="460">
        <f t="shared" si="171"/>
        <v>0.05</v>
      </c>
      <c r="N4421" s="464">
        <f t="shared" si="172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70"/>
        <v>-52166755453890.023</v>
      </c>
      <c r="J4422" s="444">
        <f t="array" ref="J4422">IFERROR(INDEX('Retirement Calculator'!K:K,MATCH('Lorri 401b'!N4422,'Retirement Calculator'!A:A,0),0),0)</f>
        <v>0</v>
      </c>
      <c r="K4422" s="444">
        <f t="shared" ca="1" si="168"/>
        <v>-217361481057.87509</v>
      </c>
      <c r="L4422" s="444">
        <f t="shared" ca="1" si="169"/>
        <v>-52384116934947.898</v>
      </c>
      <c r="M4422" s="460">
        <f t="shared" si="171"/>
        <v>0.05</v>
      </c>
      <c r="N4422" s="464">
        <f t="shared" si="172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70"/>
        <v>-52384116934947.898</v>
      </c>
      <c r="J4423" s="444">
        <f t="array" ref="J4423">IFERROR(INDEX('Retirement Calculator'!K:K,MATCH('Lorri 401b'!N4423,'Retirement Calculator'!A:A,0),0),0)</f>
        <v>0</v>
      </c>
      <c r="K4423" s="444">
        <f t="shared" ca="1" si="168"/>
        <v>-218267153895.61624</v>
      </c>
      <c r="L4423" s="444">
        <f t="shared" ca="1" si="169"/>
        <v>-52602384088843.516</v>
      </c>
      <c r="M4423" s="460">
        <f t="shared" si="171"/>
        <v>0.05</v>
      </c>
      <c r="N4423" s="464">
        <f t="shared" si="172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70"/>
        <v>-52602384088843.516</v>
      </c>
      <c r="J4424" s="444">
        <f t="array" ref="J4424">IFERROR(INDEX('Retirement Calculator'!K:K,MATCH('Lorri 401b'!N4424,'Retirement Calculator'!A:A,0),0),0)</f>
        <v>0</v>
      </c>
      <c r="K4424" s="444">
        <f t="shared" ca="1" si="168"/>
        <v>-219176600370.1813</v>
      </c>
      <c r="L4424" s="444">
        <f t="shared" ca="1" si="169"/>
        <v>-52821560689213.695</v>
      </c>
      <c r="M4424" s="460">
        <f t="shared" si="171"/>
        <v>0.05</v>
      </c>
      <c r="N4424" s="464">
        <f t="shared" si="172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70"/>
        <v>-52821560689213.695</v>
      </c>
      <c r="J4425" s="444">
        <f t="array" ref="J4425">IFERROR(INDEX('Retirement Calculator'!K:K,MATCH('Lorri 401b'!N4425,'Retirement Calculator'!A:A,0),0),0)</f>
        <v>0</v>
      </c>
      <c r="K4425" s="444">
        <f t="shared" ca="1" si="168"/>
        <v>-220089836205.05707</v>
      </c>
      <c r="L4425" s="444">
        <f t="shared" ca="1" si="169"/>
        <v>-53041650525418.75</v>
      </c>
      <c r="M4425" s="460">
        <f t="shared" si="171"/>
        <v>0.05</v>
      </c>
      <c r="N4425" s="464">
        <f t="shared" si="172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70"/>
        <v>-53041650525418.75</v>
      </c>
      <c r="J4426" s="444">
        <f t="array" ref="J4426">IFERROR(INDEX('Retirement Calculator'!K:K,MATCH('Lorri 401b'!N4426,'Retirement Calculator'!A:A,0),0),0)</f>
        <v>0</v>
      </c>
      <c r="K4426" s="444">
        <f t="shared" ca="1" si="168"/>
        <v>-221006877189.24478</v>
      </c>
      <c r="L4426" s="444">
        <f t="shared" ca="1" si="169"/>
        <v>-53262657402607.992</v>
      </c>
      <c r="M4426" s="460">
        <f t="shared" si="171"/>
        <v>0.05</v>
      </c>
      <c r="N4426" s="464">
        <f t="shared" si="172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70"/>
        <v>-53262657402607.992</v>
      </c>
      <c r="J4427" s="444">
        <f t="array" ref="J4427">IFERROR(INDEX('Retirement Calculator'!K:K,MATCH('Lorri 401b'!N4427,'Retirement Calculator'!A:A,0),0),0)</f>
        <v>0</v>
      </c>
      <c r="K4427" s="444">
        <f t="shared" ca="1" si="168"/>
        <v>-221927739177.53329</v>
      </c>
      <c r="L4427" s="444">
        <f t="shared" ca="1" si="169"/>
        <v>-53484585141785.523</v>
      </c>
      <c r="M4427" s="460">
        <f t="shared" si="171"/>
        <v>0.05</v>
      </c>
      <c r="N4427" s="464">
        <f t="shared" si="172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70"/>
        <v>-53484585141785.523</v>
      </c>
      <c r="J4428" s="444">
        <f t="array" ref="J4428">IFERROR(INDEX('Retirement Calculator'!K:K,MATCH('Lorri 401b'!N4428,'Retirement Calculator'!A:A,0),0),0)</f>
        <v>0</v>
      </c>
      <c r="K4428" s="444">
        <f t="shared" ca="1" si="168"/>
        <v>-222852438090.77301</v>
      </c>
      <c r="L4428" s="444">
        <f t="shared" ca="1" si="169"/>
        <v>-53707437579876.297</v>
      </c>
      <c r="M4428" s="460">
        <f t="shared" si="171"/>
        <v>0.05</v>
      </c>
      <c r="N4428" s="464">
        <f t="shared" si="172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70"/>
        <v>-53707437579876.297</v>
      </c>
      <c r="J4429" s="444">
        <f t="array" ref="J4429">IFERROR(INDEX('Retirement Calculator'!K:K,MATCH('Lorri 401b'!N4429,'Retirement Calculator'!A:A,0),0),0)</f>
        <v>0</v>
      </c>
      <c r="K4429" s="444">
        <f t="shared" ca="1" si="168"/>
        <v>-223780989916.15125</v>
      </c>
      <c r="L4429" s="444">
        <f t="shared" ca="1" si="169"/>
        <v>-53931218569792.445</v>
      </c>
      <c r="M4429" s="460">
        <f t="shared" si="171"/>
        <v>0.05</v>
      </c>
      <c r="N4429" s="464">
        <f t="shared" si="172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70"/>
        <v>-53931218569792.445</v>
      </c>
      <c r="J4430" s="444">
        <f t="array" ref="J4430">IFERROR(INDEX('Retirement Calculator'!K:K,MATCH('Lorri 401b'!N4430,'Retirement Calculator'!A:A,0),0),0)</f>
        <v>0</v>
      </c>
      <c r="K4430" s="444">
        <f t="shared" ca="1" si="168"/>
        <v>-224713410707.46851</v>
      </c>
      <c r="L4430" s="444">
        <f t="shared" ca="1" si="169"/>
        <v>-54155931980499.914</v>
      </c>
      <c r="M4430" s="460">
        <f t="shared" si="171"/>
        <v>0.05</v>
      </c>
      <c r="N4430" s="464">
        <f t="shared" si="172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70"/>
        <v>-54155931980499.914</v>
      </c>
      <c r="J4431" s="444">
        <f t="array" ref="J4431">IFERROR(INDEX('Retirement Calculator'!K:K,MATCH('Lorri 401b'!N4431,'Retirement Calculator'!A:A,0),0),0)</f>
        <v>0</v>
      </c>
      <c r="K4431" s="444">
        <f t="shared" ca="1" si="168"/>
        <v>-225649716585.41629</v>
      </c>
      <c r="L4431" s="444">
        <f t="shared" ca="1" si="169"/>
        <v>-54381581697085.328</v>
      </c>
      <c r="M4431" s="460">
        <f t="shared" si="171"/>
        <v>0.05</v>
      </c>
      <c r="N4431" s="464">
        <f t="shared" si="172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70"/>
        <v>-54381581697085.328</v>
      </c>
      <c r="J4432" s="444">
        <f t="array" ref="J4432">IFERROR(INDEX('Retirement Calculator'!K:K,MATCH('Lorri 401b'!N4432,'Retirement Calculator'!A:A,0),0),0)</f>
        <v>0</v>
      </c>
      <c r="K4432" s="444">
        <f t="shared" ca="1" si="168"/>
        <v>-226589923737.85553</v>
      </c>
      <c r="L4432" s="444">
        <f t="shared" ca="1" si="169"/>
        <v>-54608171620823.188</v>
      </c>
      <c r="M4432" s="460">
        <f t="shared" si="171"/>
        <v>0.05</v>
      </c>
      <c r="N4432" s="464">
        <f t="shared" si="172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70"/>
        <v>-54608171620823.188</v>
      </c>
      <c r="J4433" s="444">
        <f t="array" ref="J4433">IFERROR(INDEX('Retirement Calculator'!K:K,MATCH('Lorri 401b'!N4433,'Retirement Calculator'!A:A,0),0),0)</f>
        <v>0</v>
      </c>
      <c r="K4433" s="444">
        <f t="shared" ca="1" si="168"/>
        <v>-227534048420.09662</v>
      </c>
      <c r="L4433" s="444">
        <f t="shared" ca="1" si="169"/>
        <v>-54835705669243.281</v>
      </c>
      <c r="M4433" s="460">
        <f t="shared" si="171"/>
        <v>0.05</v>
      </c>
      <c r="N4433" s="464">
        <f t="shared" si="172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70"/>
        <v>-54835705669243.281</v>
      </c>
      <c r="J4434" s="444">
        <f t="array" ref="J4434">IFERROR(INDEX('Retirement Calculator'!K:K,MATCH('Lorri 401b'!N4434,'Retirement Calculator'!A:A,0),0),0)</f>
        <v>0</v>
      </c>
      <c r="K4434" s="444">
        <f t="shared" ca="1" si="168"/>
        <v>-228482106955.1803</v>
      </c>
      <c r="L4434" s="444">
        <f t="shared" ca="1" si="169"/>
        <v>-55064187776198.461</v>
      </c>
      <c r="M4434" s="460">
        <f t="shared" si="171"/>
        <v>0.05</v>
      </c>
      <c r="N4434" s="464">
        <f t="shared" si="172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70"/>
        <v>-55064187776198.461</v>
      </c>
      <c r="J4435" s="444">
        <f t="array" ref="J4435">IFERROR(INDEX('Retirement Calculator'!K:K,MATCH('Lorri 401b'!N4435,'Retirement Calculator'!A:A,0),0),0)</f>
        <v>0</v>
      </c>
      <c r="K4435" s="444">
        <f t="shared" ca="1" si="168"/>
        <v>-229434115734.16025</v>
      </c>
      <c r="L4435" s="444">
        <f t="shared" ca="1" si="169"/>
        <v>-55293621891932.625</v>
      </c>
      <c r="M4435" s="460">
        <f t="shared" si="171"/>
        <v>0.05</v>
      </c>
      <c r="N4435" s="464">
        <f t="shared" si="172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70"/>
        <v>-55293621891932.625</v>
      </c>
      <c r="J4436" s="444">
        <f t="array" ref="J4436">IFERROR(INDEX('Retirement Calculator'!K:K,MATCH('Lorri 401b'!N4436,'Retirement Calculator'!A:A,0),0),0)</f>
        <v>0</v>
      </c>
      <c r="K4436" s="444">
        <f t="shared" ca="1" si="168"/>
        <v>-230390091216.38593</v>
      </c>
      <c r="L4436" s="444">
        <f t="shared" ca="1" si="169"/>
        <v>-55524011983149.008</v>
      </c>
      <c r="M4436" s="460">
        <f t="shared" si="171"/>
        <v>0.05</v>
      </c>
      <c r="N4436" s="464">
        <f t="shared" si="172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70"/>
        <v>-55524011983149.008</v>
      </c>
      <c r="J4437" s="444">
        <f t="array" ref="J4437">IFERROR(INDEX('Retirement Calculator'!K:K,MATCH('Lorri 401b'!N4437,'Retirement Calculator'!A:A,0),0),0)</f>
        <v>0</v>
      </c>
      <c r="K4437" s="444">
        <f t="shared" ca="1" si="168"/>
        <v>-231350049929.78754</v>
      </c>
      <c r="L4437" s="444">
        <f t="shared" ca="1" si="169"/>
        <v>-55755362033078.797</v>
      </c>
      <c r="M4437" s="460">
        <f t="shared" si="171"/>
        <v>0.05</v>
      </c>
      <c r="N4437" s="464">
        <f t="shared" si="172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70"/>
        <v>-55755362033078.797</v>
      </c>
      <c r="J4438" s="444">
        <f t="array" ref="J4438">IFERROR(INDEX('Retirement Calculator'!K:K,MATCH('Lorri 401b'!N4438,'Retirement Calculator'!A:A,0),0),0)</f>
        <v>0</v>
      </c>
      <c r="K4438" s="444">
        <f t="shared" ca="1" si="168"/>
        <v>-232314008471.16162</v>
      </c>
      <c r="L4438" s="444">
        <f t="shared" ca="1" si="169"/>
        <v>-55987676041549.961</v>
      </c>
      <c r="M4438" s="460">
        <f t="shared" si="171"/>
        <v>0.05</v>
      </c>
      <c r="N4438" s="464">
        <f t="shared" si="172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70"/>
        <v>-55987676041549.961</v>
      </c>
      <c r="J4439" s="444">
        <f t="array" ref="J4439">IFERROR(INDEX('Retirement Calculator'!K:K,MATCH('Lorri 401b'!N4439,'Retirement Calculator'!A:A,0),0),0)</f>
        <v>0</v>
      </c>
      <c r="K4439" s="444">
        <f t="shared" ca="1" si="168"/>
        <v>-233281983506.45816</v>
      </c>
      <c r="L4439" s="444">
        <f t="shared" ca="1" si="169"/>
        <v>-56220958025056.422</v>
      </c>
      <c r="M4439" s="460">
        <f t="shared" si="171"/>
        <v>0.05</v>
      </c>
      <c r="N4439" s="464">
        <f t="shared" si="172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70"/>
        <v>-56220958025056.422</v>
      </c>
      <c r="J4440" s="444">
        <f t="array" ref="J4440">IFERROR(INDEX('Retirement Calculator'!K:K,MATCH('Lorri 401b'!N4440,'Retirement Calculator'!A:A,0),0),0)</f>
        <v>0</v>
      </c>
      <c r="K4440" s="444">
        <f t="shared" ca="1" si="168"/>
        <v>-234253991771.06842</v>
      </c>
      <c r="L4440" s="444">
        <f t="shared" ca="1" si="169"/>
        <v>-56455212016827.492</v>
      </c>
      <c r="M4440" s="460">
        <f t="shared" si="171"/>
        <v>0.05</v>
      </c>
      <c r="N4440" s="464">
        <f t="shared" si="172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70"/>
        <v>-56455212016827.492</v>
      </c>
      <c r="J4441" s="444">
        <f t="array" ref="J4441">IFERROR(INDEX('Retirement Calculator'!K:K,MATCH('Lorri 401b'!N4441,'Retirement Calculator'!A:A,0),0),0)</f>
        <v>0</v>
      </c>
      <c r="K4441" s="444">
        <f t="shared" ca="1" si="168"/>
        <v>-235230050070.11453</v>
      </c>
      <c r="L4441" s="444">
        <f t="shared" ca="1" si="169"/>
        <v>-56690442066897.609</v>
      </c>
      <c r="M4441" s="460">
        <f t="shared" si="171"/>
        <v>0.05</v>
      </c>
      <c r="N4441" s="464">
        <f t="shared" si="172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70"/>
        <v>-56690442066897.609</v>
      </c>
      <c r="J4442" s="444">
        <f t="array" ref="J4442">IFERROR(INDEX('Retirement Calculator'!K:K,MATCH('Lorri 401b'!N4442,'Retirement Calculator'!A:A,0),0),0)</f>
        <v>0</v>
      </c>
      <c r="K4442" s="444">
        <f t="shared" ca="1" si="168"/>
        <v>-236210175278.73999</v>
      </c>
      <c r="L4442" s="444">
        <f t="shared" ca="1" si="169"/>
        <v>-56926652242176.352</v>
      </c>
      <c r="M4442" s="460">
        <f t="shared" si="171"/>
        <v>0.05</v>
      </c>
      <c r="N4442" s="464">
        <f t="shared" si="172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70"/>
        <v>-56926652242176.352</v>
      </c>
      <c r="J4443" s="444">
        <f t="array" ref="J4443">IFERROR(INDEX('Retirement Calculator'!K:K,MATCH('Lorri 401b'!N4443,'Retirement Calculator'!A:A,0),0),0)</f>
        <v>0</v>
      </c>
      <c r="K4443" s="444">
        <f t="shared" ca="1" si="168"/>
        <v>-237194384342.40146</v>
      </c>
      <c r="L4443" s="444">
        <f t="shared" ca="1" si="169"/>
        <v>-57163846626518.75</v>
      </c>
      <c r="M4443" s="460">
        <f t="shared" si="171"/>
        <v>0.05</v>
      </c>
      <c r="N4443" s="464">
        <f t="shared" si="172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70"/>
        <v>-57163846626518.75</v>
      </c>
      <c r="J4444" s="444">
        <f t="array" ref="J4444">IFERROR(INDEX('Retirement Calculator'!K:K,MATCH('Lorri 401b'!N4444,'Retirement Calculator'!A:A,0),0),0)</f>
        <v>0</v>
      </c>
      <c r="K4444" s="444">
        <f t="shared" ca="1" si="168"/>
        <v>-238182694277.16147</v>
      </c>
      <c r="L4444" s="444">
        <f t="shared" ca="1" si="169"/>
        <v>-57402029320795.914</v>
      </c>
      <c r="M4444" s="460">
        <f t="shared" si="171"/>
        <v>0.05</v>
      </c>
      <c r="N4444" s="464">
        <f t="shared" si="172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70"/>
        <v>-57402029320795.914</v>
      </c>
      <c r="J4445" s="444">
        <f t="array" ref="J4445">IFERROR(INDEX('Retirement Calculator'!K:K,MATCH('Lorri 401b'!N4445,'Retirement Calculator'!A:A,0),0),0)</f>
        <v>0</v>
      </c>
      <c r="K4445" s="444">
        <f t="shared" ca="1" si="168"/>
        <v>-239175122169.98297</v>
      </c>
      <c r="L4445" s="444">
        <f t="shared" ca="1" si="169"/>
        <v>-57641204442965.898</v>
      </c>
      <c r="M4445" s="460">
        <f t="shared" si="171"/>
        <v>0.05</v>
      </c>
      <c r="N4445" s="464">
        <f t="shared" si="172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70"/>
        <v>-57641204442965.898</v>
      </c>
      <c r="J4446" s="444">
        <f t="array" ref="J4446">IFERROR(INDEX('Retirement Calculator'!K:K,MATCH('Lorri 401b'!N4446,'Retirement Calculator'!A:A,0),0),0)</f>
        <v>0</v>
      </c>
      <c r="K4446" s="444">
        <f t="shared" ca="1" si="168"/>
        <v>-240171685179.02457</v>
      </c>
      <c r="L4446" s="444">
        <f t="shared" ca="1" si="169"/>
        <v>-57881376128144.922</v>
      </c>
      <c r="M4446" s="460">
        <f t="shared" si="171"/>
        <v>0.05</v>
      </c>
      <c r="N4446" s="464">
        <f t="shared" si="172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70"/>
        <v>-57881376128144.922</v>
      </c>
      <c r="J4447" s="444">
        <f t="array" ref="J4447">IFERROR(INDEX('Retirement Calculator'!K:K,MATCH('Lorri 401b'!N4447,'Retirement Calculator'!A:A,0),0),0)</f>
        <v>0</v>
      </c>
      <c r="K4447" s="444">
        <f t="shared" ca="1" si="168"/>
        <v>-241172400533.93716</v>
      </c>
      <c r="L4447" s="444">
        <f t="shared" ca="1" si="169"/>
        <v>-58122548528678.859</v>
      </c>
      <c r="M4447" s="460">
        <f t="shared" si="171"/>
        <v>0.05</v>
      </c>
      <c r="N4447" s="464">
        <f t="shared" si="172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70"/>
        <v>-58122548528678.859</v>
      </c>
      <c r="J4448" s="444">
        <f t="array" ref="J4448">IFERROR(INDEX('Retirement Calculator'!K:K,MATCH('Lorri 401b'!N4448,'Retirement Calculator'!A:A,0),0),0)</f>
        <v>0</v>
      </c>
      <c r="K4448" s="444">
        <f t="shared" ca="1" si="168"/>
        <v>-242177285536.16196</v>
      </c>
      <c r="L4448" s="444">
        <f t="shared" ca="1" si="169"/>
        <v>-58364725814215.023</v>
      </c>
      <c r="M4448" s="460">
        <f t="shared" si="171"/>
        <v>0.05</v>
      </c>
      <c r="N4448" s="464">
        <f t="shared" si="172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70"/>
        <v>-58364725814215.023</v>
      </c>
      <c r="J4449" s="444">
        <f t="array" ref="J4449">IFERROR(INDEX('Retirement Calculator'!K:K,MATCH('Lorri 401b'!N4449,'Retirement Calculator'!A:A,0),0),0)</f>
        <v>0</v>
      </c>
      <c r="K4449" s="444">
        <f t="shared" ca="1" si="168"/>
        <v>-243186357559.22922</v>
      </c>
      <c r="L4449" s="444">
        <f t="shared" ca="1" si="169"/>
        <v>-58607912171774.25</v>
      </c>
      <c r="M4449" s="460">
        <f t="shared" si="171"/>
        <v>0.05</v>
      </c>
      <c r="N4449" s="464">
        <f t="shared" si="172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70"/>
        <v>-58607912171774.25</v>
      </c>
      <c r="J4450" s="444">
        <f t="array" ref="J4450">IFERROR(INDEX('Retirement Calculator'!K:K,MATCH('Lorri 401b'!N4450,'Retirement Calculator'!A:A,0),0),0)</f>
        <v>0</v>
      </c>
      <c r="K4450" s="444">
        <f t="shared" ca="1" si="168"/>
        <v>-244199634049.05936</v>
      </c>
      <c r="L4450" s="444">
        <f t="shared" ca="1" si="169"/>
        <v>-58852111805823.313</v>
      </c>
      <c r="M4450" s="460">
        <f t="shared" si="171"/>
        <v>0.05</v>
      </c>
      <c r="N4450" s="464">
        <f t="shared" si="172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70"/>
        <v>-58852111805823.313</v>
      </c>
      <c r="J4451" s="444">
        <f t="array" ref="J4451">IFERROR(INDEX('Retirement Calculator'!K:K,MATCH('Lorri 401b'!N4451,'Retirement Calculator'!A:A,0),0),0)</f>
        <v>0</v>
      </c>
      <c r="K4451" s="444">
        <f t="shared" ca="1" si="168"/>
        <v>-245217132524.26382</v>
      </c>
      <c r="L4451" s="444">
        <f t="shared" ca="1" si="169"/>
        <v>-59097328938347.578</v>
      </c>
      <c r="M4451" s="460">
        <f t="shared" si="171"/>
        <v>0.05</v>
      </c>
      <c r="N4451" s="464">
        <f t="shared" si="172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70"/>
        <v>-59097328938347.578</v>
      </c>
      <c r="J4452" s="444">
        <f t="array" ref="J4452">IFERROR(INDEX('Retirement Calculator'!K:K,MATCH('Lorri 401b'!N4452,'Retirement Calculator'!A:A,0),0),0)</f>
        <v>0</v>
      </c>
      <c r="K4452" s="444">
        <f t="shared" ca="1" si="168"/>
        <v>-246238870576.44824</v>
      </c>
      <c r="L4452" s="444">
        <f t="shared" ca="1" si="169"/>
        <v>-59343567808924.023</v>
      </c>
      <c r="M4452" s="460">
        <f t="shared" si="171"/>
        <v>0.05</v>
      </c>
      <c r="N4452" s="464">
        <f t="shared" si="172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70"/>
        <v>-59343567808924.023</v>
      </c>
      <c r="J4453" s="444">
        <f t="array" ref="J4453">IFERROR(INDEX('Retirement Calculator'!K:K,MATCH('Lorri 401b'!N4453,'Retirement Calculator'!A:A,0),0),0)</f>
        <v>0</v>
      </c>
      <c r="K4453" s="444">
        <f t="shared" ca="1" si="168"/>
        <v>-247264865870.51672</v>
      </c>
      <c r="L4453" s="444">
        <f t="shared" ca="1" si="169"/>
        <v>-59590832674794.539</v>
      </c>
      <c r="M4453" s="460">
        <f t="shared" si="171"/>
        <v>0.05</v>
      </c>
      <c r="N4453" s="464">
        <f t="shared" si="172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70"/>
        <v>-59590832674794.539</v>
      </c>
      <c r="J4454" s="444">
        <f t="array" ref="J4454">IFERROR(INDEX('Retirement Calculator'!K:K,MATCH('Lorri 401b'!N4454,'Retirement Calculator'!A:A,0),0),0)</f>
        <v>0</v>
      </c>
      <c r="K4454" s="444">
        <f t="shared" ca="1" si="168"/>
        <v>-248295136144.97723</v>
      </c>
      <c r="L4454" s="444">
        <f t="shared" ca="1" si="169"/>
        <v>-59839127810939.516</v>
      </c>
      <c r="M4454" s="460">
        <f t="shared" si="171"/>
        <v>0.05</v>
      </c>
      <c r="N4454" s="464">
        <f t="shared" si="172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70"/>
        <v>-59839127810939.516</v>
      </c>
      <c r="J4455" s="444">
        <f t="array" ref="J4455">IFERROR(INDEX('Retirement Calculator'!K:K,MATCH('Lorri 401b'!N4455,'Retirement Calculator'!A:A,0),0),0)</f>
        <v>0</v>
      </c>
      <c r="K4455" s="444">
        <f t="shared" ca="1" si="168"/>
        <v>-249329699212.24799</v>
      </c>
      <c r="L4455" s="444">
        <f t="shared" ca="1" si="169"/>
        <v>-60088457510151.766</v>
      </c>
      <c r="M4455" s="460">
        <f t="shared" si="171"/>
        <v>0.05</v>
      </c>
      <c r="N4455" s="464">
        <f t="shared" si="172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70"/>
        <v>-60088457510151.766</v>
      </c>
      <c r="J4456" s="444">
        <f t="array" ref="J4456">IFERROR(INDEX('Retirement Calculator'!K:K,MATCH('Lorri 401b'!N4456,'Retirement Calculator'!A:A,0),0),0)</f>
        <v>0</v>
      </c>
      <c r="K4456" s="444">
        <f t="shared" ca="1" si="168"/>
        <v>-250368572958.9657</v>
      </c>
      <c r="L4456" s="444">
        <f t="shared" ca="1" si="169"/>
        <v>-60338826083110.734</v>
      </c>
      <c r="M4456" s="460">
        <f t="shared" si="171"/>
        <v>0.05</v>
      </c>
      <c r="N4456" s="464">
        <f t="shared" si="172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70"/>
        <v>-60338826083110.734</v>
      </c>
      <c r="J4457" s="444">
        <f t="array" ref="J4457">IFERROR(INDEX('Retirement Calculator'!K:K,MATCH('Lorri 401b'!N4457,'Retirement Calculator'!A:A,0),0),0)</f>
        <v>0</v>
      </c>
      <c r="K4457" s="444">
        <f t="shared" ca="1" si="168"/>
        <v>-251411775346.29471</v>
      </c>
      <c r="L4457" s="444">
        <f t="shared" ca="1" si="169"/>
        <v>-60590237858457.031</v>
      </c>
      <c r="M4457" s="460">
        <f t="shared" si="171"/>
        <v>0.05</v>
      </c>
      <c r="N4457" s="464">
        <f t="shared" si="172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70"/>
        <v>-60590237858457.031</v>
      </c>
      <c r="J4458" s="444">
        <f t="array" ref="J4458">IFERROR(INDEX('Retirement Calculator'!K:K,MATCH('Lorri 401b'!N4458,'Retirement Calculator'!A:A,0),0),0)</f>
        <v>0</v>
      </c>
      <c r="K4458" s="444">
        <f t="shared" ca="1" si="168"/>
        <v>-252459324410.23764</v>
      </c>
      <c r="L4458" s="444">
        <f t="shared" ca="1" si="169"/>
        <v>-60842697182867.266</v>
      </c>
      <c r="M4458" s="460">
        <f t="shared" si="171"/>
        <v>0.05</v>
      </c>
      <c r="N4458" s="464">
        <f t="shared" si="172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70"/>
        <v>-60842697182867.266</v>
      </c>
      <c r="J4459" s="444">
        <f t="array" ref="J4459">IFERROR(INDEX('Retirement Calculator'!K:K,MATCH('Lorri 401b'!N4459,'Retirement Calculator'!A:A,0),0),0)</f>
        <v>0</v>
      </c>
      <c r="K4459" s="444">
        <f t="shared" ca="1" si="168"/>
        <v>-253511238261.94696</v>
      </c>
      <c r="L4459" s="444">
        <f t="shared" ca="1" si="169"/>
        <v>-61096208421129.211</v>
      </c>
      <c r="M4459" s="460">
        <f t="shared" si="171"/>
        <v>0.05</v>
      </c>
      <c r="N4459" s="464">
        <f t="shared" si="172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70"/>
        <v>-61096208421129.211</v>
      </c>
      <c r="J4460" s="444">
        <f t="array" ref="J4460">IFERROR(INDEX('Retirement Calculator'!K:K,MATCH('Lorri 401b'!N4460,'Retirement Calculator'!A:A,0),0),0)</f>
        <v>0</v>
      </c>
      <c r="K4460" s="444">
        <f t="shared" ca="1" si="168"/>
        <v>-254567535088.03842</v>
      </c>
      <c r="L4460" s="444">
        <f t="shared" ca="1" si="169"/>
        <v>-61350775956217.25</v>
      </c>
      <c r="M4460" s="460">
        <f t="shared" si="171"/>
        <v>0.05</v>
      </c>
      <c r="N4460" s="464">
        <f t="shared" si="172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70"/>
        <v>-61350775956217.25</v>
      </c>
      <c r="J4461" s="444">
        <f t="array" ref="J4461">IFERROR(INDEX('Retirement Calculator'!K:K,MATCH('Lorri 401b'!N4461,'Retirement Calculator'!A:A,0),0),0)</f>
        <v>0</v>
      </c>
      <c r="K4461" s="444">
        <f t="shared" ca="1" si="168"/>
        <v>-255628233150.90518</v>
      </c>
      <c r="L4461" s="444">
        <f t="shared" ca="1" si="169"/>
        <v>-61606404189368.156</v>
      </c>
      <c r="M4461" s="460">
        <f t="shared" si="171"/>
        <v>0.05</v>
      </c>
      <c r="N4461" s="464">
        <f t="shared" si="172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70"/>
        <v>-61606404189368.156</v>
      </c>
      <c r="J4462" s="444">
        <f t="array" ref="J4462">IFERROR(INDEX('Retirement Calculator'!K:K,MATCH('Lorri 401b'!N4462,'Retirement Calculator'!A:A,0),0),0)</f>
        <v>0</v>
      </c>
      <c r="K4462" s="444">
        <f t="shared" ca="1" si="168"/>
        <v>-256693350789.03394</v>
      </c>
      <c r="L4462" s="444">
        <f t="shared" ca="1" si="169"/>
        <v>-61863097540157.188</v>
      </c>
      <c r="M4462" s="460">
        <f t="shared" si="171"/>
        <v>0.05</v>
      </c>
      <c r="N4462" s="464">
        <f t="shared" si="172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70"/>
        <v>-61863097540157.188</v>
      </c>
      <c r="J4463" s="444">
        <f t="array" ref="J4463">IFERROR(INDEX('Retirement Calculator'!K:K,MATCH('Lorri 401b'!N4463,'Retirement Calculator'!A:A,0),0),0)</f>
        <v>0</v>
      </c>
      <c r="K4463" s="444">
        <f t="shared" ca="1" si="168"/>
        <v>-257762906417.32162</v>
      </c>
      <c r="L4463" s="444">
        <f t="shared" ca="1" si="169"/>
        <v>-62120860446574.508</v>
      </c>
      <c r="M4463" s="460">
        <f t="shared" si="171"/>
        <v>0.05</v>
      </c>
      <c r="N4463" s="464">
        <f t="shared" si="172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70"/>
        <v>-62120860446574.508</v>
      </c>
      <c r="J4464" s="444">
        <f t="array" ref="J4464">IFERROR(INDEX('Retirement Calculator'!K:K,MATCH('Lorri 401b'!N4464,'Retirement Calculator'!A:A,0),0),0)</f>
        <v>0</v>
      </c>
      <c r="K4464" s="444">
        <f t="shared" ca="1" si="168"/>
        <v>-258836918527.39377</v>
      </c>
      <c r="L4464" s="444">
        <f t="shared" ca="1" si="169"/>
        <v>-62379697365101.898</v>
      </c>
      <c r="M4464" s="460">
        <f t="shared" si="171"/>
        <v>0.05</v>
      </c>
      <c r="N4464" s="464">
        <f t="shared" si="172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70"/>
        <v>-62379697365101.898</v>
      </c>
      <c r="J4465" s="444">
        <f t="array" ref="J4465">IFERROR(INDEX('Retirement Calculator'!K:K,MATCH('Lorri 401b'!N4465,'Retirement Calculator'!A:A,0),0),0)</f>
        <v>0</v>
      </c>
      <c r="K4465" s="444">
        <f t="shared" ca="1" si="168"/>
        <v>-259915405687.92456</v>
      </c>
      <c r="L4465" s="444">
        <f t="shared" ca="1" si="169"/>
        <v>-62639612770789.82</v>
      </c>
      <c r="M4465" s="460">
        <f t="shared" si="171"/>
        <v>0.05</v>
      </c>
      <c r="N4465" s="464">
        <f t="shared" si="172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70"/>
        <v>-62639612770789.82</v>
      </c>
      <c r="J4466" s="444">
        <f t="array" ref="J4466">IFERROR(INDEX('Retirement Calculator'!K:K,MATCH('Lorri 401b'!N4466,'Retirement Calculator'!A:A,0),0),0)</f>
        <v>0</v>
      </c>
      <c r="K4466" s="444">
        <f t="shared" ca="1" si="168"/>
        <v>-260998386544.95761</v>
      </c>
      <c r="L4466" s="444">
        <f t="shared" ca="1" si="169"/>
        <v>-62900611157334.781</v>
      </c>
      <c r="M4466" s="460">
        <f t="shared" si="171"/>
        <v>0.05</v>
      </c>
      <c r="N4466" s="464">
        <f t="shared" si="172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70"/>
        <v>-62900611157334.781</v>
      </c>
      <c r="J4467" s="444">
        <f t="array" ref="J4467">IFERROR(INDEX('Retirement Calculator'!K:K,MATCH('Lorri 401b'!N4467,'Retirement Calculator'!A:A,0),0),0)</f>
        <v>0</v>
      </c>
      <c r="K4467" s="444">
        <f t="shared" ca="1" si="168"/>
        <v>-262085879822.22824</v>
      </c>
      <c r="L4467" s="444">
        <f t="shared" ca="1" si="169"/>
        <v>-63162697037157.008</v>
      </c>
      <c r="M4467" s="460">
        <f t="shared" si="171"/>
        <v>0.05</v>
      </c>
      <c r="N4467" s="464">
        <f t="shared" si="172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70"/>
        <v>-63162697037157.008</v>
      </c>
      <c r="J4468" s="444">
        <f t="array" ref="J4468">IFERROR(INDEX('Retirement Calculator'!K:K,MATCH('Lorri 401b'!N4468,'Retirement Calculator'!A:A,0),0),0)</f>
        <v>0</v>
      </c>
      <c r="K4468" s="444">
        <f t="shared" ca="1" si="168"/>
        <v>-263177904321.48752</v>
      </c>
      <c r="L4468" s="444">
        <f t="shared" ca="1" si="169"/>
        <v>-63425874941478.492</v>
      </c>
      <c r="M4468" s="460">
        <f t="shared" si="171"/>
        <v>0.05</v>
      </c>
      <c r="N4468" s="464">
        <f t="shared" si="172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70"/>
        <v>-63425874941478.492</v>
      </c>
      <c r="J4469" s="444">
        <f t="array" ref="J4469">IFERROR(INDEX('Retirement Calculator'!K:K,MATCH('Lorri 401b'!N4469,'Retirement Calculator'!A:A,0),0),0)</f>
        <v>0</v>
      </c>
      <c r="K4469" s="444">
        <f t="shared" ca="1" si="168"/>
        <v>-264274478922.82706</v>
      </c>
      <c r="L4469" s="444">
        <f t="shared" ca="1" si="169"/>
        <v>-63690149420401.32</v>
      </c>
      <c r="M4469" s="460">
        <f t="shared" si="171"/>
        <v>0.05</v>
      </c>
      <c r="N4469" s="464">
        <f t="shared" si="172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70"/>
        <v>-63690149420401.32</v>
      </c>
      <c r="J4470" s="444">
        <f t="array" ref="J4470">IFERROR(INDEX('Retirement Calculator'!K:K,MATCH('Lorri 401b'!N4470,'Retirement Calculator'!A:A,0),0),0)</f>
        <v>0</v>
      </c>
      <c r="K4470" s="444">
        <f t="shared" ca="1" si="168"/>
        <v>-265375622585.00549</v>
      </c>
      <c r="L4470" s="444">
        <f t="shared" ca="1" si="169"/>
        <v>-63955525042986.328</v>
      </c>
      <c r="M4470" s="460">
        <f t="shared" si="171"/>
        <v>0.05</v>
      </c>
      <c r="N4470" s="464">
        <f t="shared" si="172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70"/>
        <v>-63955525042986.328</v>
      </c>
      <c r="J4471" s="444">
        <f t="array" ref="J4471">IFERROR(INDEX('Retirement Calculator'!K:K,MATCH('Lorri 401b'!N4471,'Retirement Calculator'!A:A,0),0),0)</f>
        <v>0</v>
      </c>
      <c r="K4471" s="444">
        <f t="shared" ca="1" si="168"/>
        <v>-266481354345.77637</v>
      </c>
      <c r="L4471" s="444">
        <f t="shared" ca="1" si="169"/>
        <v>-64222006397332.102</v>
      </c>
      <c r="M4471" s="460">
        <f t="shared" si="171"/>
        <v>0.05</v>
      </c>
      <c r="N4471" s="464">
        <f t="shared" si="172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70"/>
        <v>-64222006397332.102</v>
      </c>
      <c r="J4472" s="444">
        <f t="array" ref="J4472">IFERROR(INDEX('Retirement Calculator'!K:K,MATCH('Lorri 401b'!N4472,'Retirement Calculator'!A:A,0),0),0)</f>
        <v>0</v>
      </c>
      <c r="K4472" s="444">
        <f t="shared" ca="1" si="168"/>
        <v>-267591693322.21707</v>
      </c>
      <c r="L4472" s="444">
        <f t="shared" ca="1" si="169"/>
        <v>-64489598090654.32</v>
      </c>
      <c r="M4472" s="460">
        <f t="shared" si="171"/>
        <v>0.05</v>
      </c>
      <c r="N4472" s="464">
        <f t="shared" si="172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70"/>
        <v>-64489598090654.32</v>
      </c>
      <c r="J4473" s="444">
        <f t="array" ref="J4473">IFERROR(INDEX('Retirement Calculator'!K:K,MATCH('Lorri 401b'!N4473,'Retirement Calculator'!A:A,0),0),0)</f>
        <v>0</v>
      </c>
      <c r="K4473" s="444">
        <f t="shared" ca="1" si="168"/>
        <v>-268706658711.05966</v>
      </c>
      <c r="L4473" s="444">
        <f t="shared" ca="1" si="169"/>
        <v>-64758304749365.383</v>
      </c>
      <c r="M4473" s="460">
        <f t="shared" si="171"/>
        <v>0.05</v>
      </c>
      <c r="N4473" s="464">
        <f t="shared" si="172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70"/>
        <v>-64758304749365.383</v>
      </c>
      <c r="J4474" s="444">
        <f t="array" ref="J4474">IFERROR(INDEX('Retirement Calculator'!K:K,MATCH('Lorri 401b'!N4474,'Retirement Calculator'!A:A,0),0),0)</f>
        <v>0</v>
      </c>
      <c r="K4474" s="444">
        <f t="shared" ca="1" si="168"/>
        <v>-269826269789.0224</v>
      </c>
      <c r="L4474" s="444">
        <f t="shared" ca="1" si="169"/>
        <v>-65028131019154.406</v>
      </c>
      <c r="M4474" s="460">
        <f t="shared" si="171"/>
        <v>0.05</v>
      </c>
      <c r="N4474" s="464">
        <f t="shared" si="172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70"/>
        <v>-65028131019154.406</v>
      </c>
      <c r="J4475" s="444">
        <f t="array" ref="J4475">IFERROR(INDEX('Retirement Calculator'!K:K,MATCH('Lorri 401b'!N4475,'Retirement Calculator'!A:A,0),0),0)</f>
        <v>0</v>
      </c>
      <c r="K4475" s="444">
        <f t="shared" ca="1" si="168"/>
        <v>-270950545913.1434</v>
      </c>
      <c r="L4475" s="444">
        <f t="shared" ca="1" si="169"/>
        <v>-65299081565067.547</v>
      </c>
      <c r="M4475" s="460">
        <f t="shared" si="171"/>
        <v>0.05</v>
      </c>
      <c r="N4475" s="464">
        <f t="shared" si="172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70"/>
        <v>-65299081565067.547</v>
      </c>
      <c r="J4476" s="444">
        <f t="array" ref="J4476">IFERROR(INDEX('Retirement Calculator'!K:K,MATCH('Lorri 401b'!N4476,'Retirement Calculator'!A:A,0),0),0)</f>
        <v>0</v>
      </c>
      <c r="K4476" s="444">
        <f t="shared" ca="1" si="168"/>
        <v>-272079506521.11478</v>
      </c>
      <c r="L4476" s="444">
        <f t="shared" ca="1" si="169"/>
        <v>-65571161071588.664</v>
      </c>
      <c r="M4476" s="460">
        <f t="shared" si="171"/>
        <v>0.05</v>
      </c>
      <c r="N4476" s="464">
        <f t="shared" si="172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70"/>
        <v>-65571161071588.664</v>
      </c>
      <c r="J4477" s="444">
        <f t="array" ref="J4477">IFERROR(INDEX('Retirement Calculator'!K:K,MATCH('Lorri 401b'!N4477,'Retirement Calculator'!A:A,0),0),0)</f>
        <v>0</v>
      </c>
      <c r="K4477" s="444">
        <f t="shared" ca="1" si="168"/>
        <v>-273213171131.61938</v>
      </c>
      <c r="L4477" s="444">
        <f t="shared" ca="1" si="169"/>
        <v>-65844374242720.281</v>
      </c>
      <c r="M4477" s="460">
        <f t="shared" si="171"/>
        <v>0.05</v>
      </c>
      <c r="N4477" s="464">
        <f t="shared" si="172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70"/>
        <v>-65844374242720.281</v>
      </c>
      <c r="J4478" s="444">
        <f t="array" ref="J4478">IFERROR(INDEX('Retirement Calculator'!K:K,MATCH('Lorri 401b'!N4478,'Retirement Calculator'!A:A,0),0),0)</f>
        <v>0</v>
      </c>
      <c r="K4478" s="444">
        <f t="shared" ca="1" si="168"/>
        <v>-274351559344.66785</v>
      </c>
      <c r="L4478" s="444">
        <f t="shared" ca="1" si="169"/>
        <v>-66118725802064.945</v>
      </c>
      <c r="M4478" s="460">
        <f t="shared" si="171"/>
        <v>0.05</v>
      </c>
      <c r="N4478" s="464">
        <f t="shared" si="172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70"/>
        <v>-66118725802064.945</v>
      </c>
      <c r="J4479" s="444">
        <f t="array" ref="J4479">IFERROR(INDEX('Retirement Calculator'!K:K,MATCH('Lorri 401b'!N4479,'Retirement Calculator'!A:A,0),0),0)</f>
        <v>0</v>
      </c>
      <c r="K4479" s="444">
        <f t="shared" ca="1" si="168"/>
        <v>-275494690841.93726</v>
      </c>
      <c r="L4479" s="444">
        <f t="shared" ca="1" si="169"/>
        <v>-66394220492906.883</v>
      </c>
      <c r="M4479" s="460">
        <f t="shared" si="171"/>
        <v>0.05</v>
      </c>
      <c r="N4479" s="464">
        <f t="shared" si="172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70"/>
        <v>-66394220492906.883</v>
      </c>
      <c r="J4480" s="444">
        <f t="array" ref="J4480">IFERROR(INDEX('Retirement Calculator'!K:K,MATCH('Lorri 401b'!N4480,'Retirement Calculator'!A:A,0),0),0)</f>
        <v>0</v>
      </c>
      <c r="K4480" s="444">
        <f t="shared" ca="1" si="168"/>
        <v>-276642585387.112</v>
      </c>
      <c r="L4480" s="444">
        <f t="shared" ca="1" si="169"/>
        <v>-66670863078293.992</v>
      </c>
      <c r="M4480" s="460">
        <f t="shared" si="171"/>
        <v>0.05</v>
      </c>
      <c r="N4480" s="464">
        <f t="shared" si="172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70"/>
        <v>-66670863078293.992</v>
      </c>
      <c r="J4481" s="444">
        <f t="array" ref="J4481">IFERROR(INDEX('Retirement Calculator'!K:K,MATCH('Lorri 401b'!N4481,'Retirement Calculator'!A:A,0),0),0)</f>
        <v>0</v>
      </c>
      <c r="K4481" s="444">
        <f t="shared" ca="1" si="168"/>
        <v>-277795262826.22498</v>
      </c>
      <c r="L4481" s="444">
        <f t="shared" ca="1" si="169"/>
        <v>-66948658341120.219</v>
      </c>
      <c r="M4481" s="460">
        <f t="shared" si="171"/>
        <v>0.05</v>
      </c>
      <c r="N4481" s="464">
        <f t="shared" si="172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70"/>
        <v>-66948658341120.219</v>
      </c>
      <c r="J4482" s="444">
        <f t="array" ref="J4482">IFERROR(INDEX('Retirement Calculator'!K:K,MATCH('Lorri 401b'!N4482,'Retirement Calculator'!A:A,0),0),0)</f>
        <v>0</v>
      </c>
      <c r="K4482" s="444">
        <f t="shared" ca="1" si="168"/>
        <v>-278952743088.00092</v>
      </c>
      <c r="L4482" s="444">
        <f t="shared" ca="1" si="169"/>
        <v>-67227611084208.219</v>
      </c>
      <c r="M4482" s="460">
        <f t="shared" si="171"/>
        <v>0.05</v>
      </c>
      <c r="N4482" s="464">
        <f t="shared" si="172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70"/>
        <v>-67227611084208.219</v>
      </c>
      <c r="J4483" s="444">
        <f t="array" ref="J4483">IFERROR(INDEX('Retirement Calculator'!K:K,MATCH('Lorri 401b'!N4483,'Retirement Calculator'!A:A,0),0),0)</f>
        <v>0</v>
      </c>
      <c r="K4483" s="444">
        <f t="shared" ca="1" si="168"/>
        <v>-280115046184.20093</v>
      </c>
      <c r="L4483" s="444">
        <f t="shared" ca="1" si="169"/>
        <v>-67507726130392.422</v>
      </c>
      <c r="M4483" s="460">
        <f t="shared" si="171"/>
        <v>0.05</v>
      </c>
      <c r="N4483" s="464">
        <f t="shared" si="172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70"/>
        <v>-67507726130392.422</v>
      </c>
      <c r="J4484" s="444">
        <f t="array" ref="J4484">IFERROR(INDEX('Retirement Calculator'!K:K,MATCH('Lorri 401b'!N4484,'Retirement Calculator'!A:A,0),0),0)</f>
        <v>0</v>
      </c>
      <c r="K4484" s="444">
        <f t="shared" ca="1" si="168"/>
        <v>-281282192209.96844</v>
      </c>
      <c r="L4484" s="444">
        <f t="shared" ca="1" si="169"/>
        <v>-67789008322602.391</v>
      </c>
      <c r="M4484" s="460">
        <f t="shared" si="171"/>
        <v>0.05</v>
      </c>
      <c r="N4484" s="464">
        <f t="shared" si="172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70"/>
        <v>-67789008322602.391</v>
      </c>
      <c r="J4485" s="444">
        <f t="array" ref="J4485">IFERROR(INDEX('Retirement Calculator'!K:K,MATCH('Lorri 401b'!N4485,'Retirement Calculator'!A:A,0),0),0)</f>
        <v>0</v>
      </c>
      <c r="K4485" s="444">
        <f t="shared" ca="1" si="168"/>
        <v>-282454201344.17664</v>
      </c>
      <c r="L4485" s="444">
        <f t="shared" ca="1" si="169"/>
        <v>-68071462523946.57</v>
      </c>
      <c r="M4485" s="460">
        <f t="shared" si="171"/>
        <v>0.05</v>
      </c>
      <c r="N4485" s="464">
        <f t="shared" si="172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70"/>
        <v>-68071462523946.57</v>
      </c>
      <c r="J4486" s="444">
        <f t="array" ref="J4486">IFERROR(INDEX('Retirement Calculator'!K:K,MATCH('Lorri 401b'!N4486,'Retirement Calculator'!A:A,0),0),0)</f>
        <v>0</v>
      </c>
      <c r="K4486" s="444">
        <f t="shared" ca="1" si="168"/>
        <v>-283631093849.7774</v>
      </c>
      <c r="L4486" s="444">
        <f t="shared" ca="1" si="169"/>
        <v>-68355093617796.352</v>
      </c>
      <c r="M4486" s="460">
        <f t="shared" si="171"/>
        <v>0.05</v>
      </c>
      <c r="N4486" s="464">
        <f t="shared" si="172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70"/>
        <v>-68355093617796.352</v>
      </c>
      <c r="J4487" s="444">
        <f t="array" ref="J4487">IFERROR(INDEX('Retirement Calculator'!K:K,MATCH('Lorri 401b'!N4487,'Retirement Calculator'!A:A,0),0),0)</f>
        <v>0</v>
      </c>
      <c r="K4487" s="444">
        <f t="shared" ca="1" si="168"/>
        <v>-284812890074.15149</v>
      </c>
      <c r="L4487" s="444">
        <f t="shared" ca="1" si="169"/>
        <v>-68639906507870.5</v>
      </c>
      <c r="M4487" s="460">
        <f t="shared" si="171"/>
        <v>0.05</v>
      </c>
      <c r="N4487" s="464">
        <f t="shared" si="172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70"/>
        <v>-68639906507870.5</v>
      </c>
      <c r="J4488" s="444">
        <f t="array" ref="J4488">IFERROR(INDEX('Retirement Calculator'!K:K,MATCH('Lorri 401b'!N4488,'Retirement Calculator'!A:A,0),0),0)</f>
        <v>0</v>
      </c>
      <c r="K4488" s="444">
        <f t="shared" ca="1" si="168"/>
        <v>-285999610449.46039</v>
      </c>
      <c r="L4488" s="444">
        <f t="shared" ca="1" si="169"/>
        <v>-68925906118319.961</v>
      </c>
      <c r="M4488" s="460">
        <f t="shared" si="171"/>
        <v>0.05</v>
      </c>
      <c r="N4488" s="464">
        <f t="shared" si="172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70"/>
        <v>-68925906118319.961</v>
      </c>
      <c r="J4489" s="444">
        <f t="array" ref="J4489">IFERROR(INDEX('Retirement Calculator'!K:K,MATCH('Lorri 401b'!N4489,'Retirement Calculator'!A:A,0),0),0)</f>
        <v>0</v>
      </c>
      <c r="K4489" s="444">
        <f t="shared" ca="1" si="168"/>
        <v>-287191275492.99982</v>
      </c>
      <c r="L4489" s="444">
        <f t="shared" ca="1" si="169"/>
        <v>-69213097393812.961</v>
      </c>
      <c r="M4489" s="460">
        <f t="shared" si="171"/>
        <v>0.05</v>
      </c>
      <c r="N4489" s="464">
        <f t="shared" si="172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70"/>
        <v>-69213097393812.961</v>
      </c>
      <c r="J4490" s="444">
        <f t="array" ref="J4490">IFERROR(INDEX('Retirement Calculator'!K:K,MATCH('Lorri 401b'!N4490,'Retirement Calculator'!A:A,0),0),0)</f>
        <v>0</v>
      </c>
      <c r="K4490" s="444">
        <f t="shared" ca="1" si="168"/>
        <v>-288387905807.55402</v>
      </c>
      <c r="L4490" s="444">
        <f t="shared" ca="1" si="169"/>
        <v>-69501485299620.516</v>
      </c>
      <c r="M4490" s="460">
        <f t="shared" si="171"/>
        <v>0.05</v>
      </c>
      <c r="N4490" s="464">
        <f t="shared" si="172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70"/>
        <v>-69501485299620.516</v>
      </c>
      <c r="J4491" s="444">
        <f t="array" ref="J4491">IFERROR(INDEX('Retirement Calculator'!K:K,MATCH('Lorri 401b'!N4491,'Retirement Calculator'!A:A,0),0),0)</f>
        <v>0</v>
      </c>
      <c r="K4491" s="444">
        <f t="shared" ca="1" si="168"/>
        <v>-289589522081.75214</v>
      </c>
      <c r="L4491" s="444">
        <f t="shared" ca="1" si="169"/>
        <v>-69791074821702.266</v>
      </c>
      <c r="M4491" s="460">
        <f t="shared" si="171"/>
        <v>0.05</v>
      </c>
      <c r="N4491" s="464">
        <f t="shared" si="172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70"/>
        <v>-69791074821702.266</v>
      </c>
      <c r="J4492" s="444">
        <f t="array" ref="J4492">IFERROR(INDEX('Retirement Calculator'!K:K,MATCH('Lorri 401b'!N4492,'Retirement Calculator'!A:A,0),0),0)</f>
        <v>0</v>
      </c>
      <c r="K4492" s="444">
        <f t="shared" ca="1" si="168"/>
        <v>-290796145090.42615</v>
      </c>
      <c r="L4492" s="444">
        <f t="shared" ca="1" si="169"/>
        <v>-70081870966792.695</v>
      </c>
      <c r="M4492" s="460">
        <f t="shared" si="171"/>
        <v>0.05</v>
      </c>
      <c r="N4492" s="464">
        <f t="shared" si="172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70"/>
        <v>-70081870966792.695</v>
      </c>
      <c r="J4493" s="444">
        <f t="array" ref="J4493">IFERROR(INDEX('Retirement Calculator'!K:K,MATCH('Lorri 401b'!N4493,'Retirement Calculator'!A:A,0),0),0)</f>
        <v>0</v>
      </c>
      <c r="K4493" s="444">
        <f t="shared" ca="1" si="168"/>
        <v>-292007795694.9696</v>
      </c>
      <c r="L4493" s="444">
        <f t="shared" ca="1" si="169"/>
        <v>-70373878762487.672</v>
      </c>
      <c r="M4493" s="460">
        <f t="shared" si="171"/>
        <v>0.05</v>
      </c>
      <c r="N4493" s="464">
        <f t="shared" si="172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70"/>
        <v>-70373878762487.672</v>
      </c>
      <c r="J4494" s="444">
        <f t="array" ref="J4494">IFERROR(INDEX('Retirement Calculator'!K:K,MATCH('Lorri 401b'!N4494,'Retirement Calculator'!A:A,0),0),0)</f>
        <v>0</v>
      </c>
      <c r="K4494" s="444">
        <f t="shared" ca="1" si="168"/>
        <v>-293224494843.69861</v>
      </c>
      <c r="L4494" s="444">
        <f t="shared" ca="1" si="169"/>
        <v>-70667103257331.375</v>
      </c>
      <c r="M4494" s="460">
        <f t="shared" si="171"/>
        <v>0.05</v>
      </c>
      <c r="N4494" s="464">
        <f t="shared" si="172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70"/>
        <v>-70667103257331.375</v>
      </c>
      <c r="J4495" s="444">
        <f t="array" ref="J4495">IFERROR(INDEX('Retirement Calculator'!K:K,MATCH('Lorri 401b'!N4495,'Retirement Calculator'!A:A,0),0),0)</f>
        <v>0</v>
      </c>
      <c r="K4495" s="444">
        <f t="shared" ca="1" si="168"/>
        <v>-294446263572.21405</v>
      </c>
      <c r="L4495" s="444">
        <f t="shared" ca="1" si="169"/>
        <v>-70961549520903.594</v>
      </c>
      <c r="M4495" s="460">
        <f t="shared" si="171"/>
        <v>0.05</v>
      </c>
      <c r="N4495" s="464">
        <f t="shared" si="172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70"/>
        <v>-70961549520903.594</v>
      </c>
      <c r="J4496" s="444">
        <f t="array" ref="J4496">IFERROR(INDEX('Retirement Calculator'!K:K,MATCH('Lorri 401b'!N4496,'Retirement Calculator'!A:A,0),0),0)</f>
        <v>0</v>
      </c>
      <c r="K4496" s="444">
        <f t="shared" ca="1" si="168"/>
        <v>-295673123003.76495</v>
      </c>
      <c r="L4496" s="444">
        <f t="shared" ca="1" si="169"/>
        <v>-71257222643907.359</v>
      </c>
      <c r="M4496" s="460">
        <f t="shared" si="171"/>
        <v>0.05</v>
      </c>
      <c r="N4496" s="464">
        <f t="shared" si="172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70"/>
        <v>-71257222643907.359</v>
      </c>
      <c r="J4497" s="444">
        <f t="array" ref="J4497">IFERROR(INDEX('Retirement Calculator'!K:K,MATCH('Lorri 401b'!N4497,'Retirement Calculator'!A:A,0),0),0)</f>
        <v>0</v>
      </c>
      <c r="K4497" s="444">
        <f t="shared" ca="1" si="168"/>
        <v>-296905094349.61401</v>
      </c>
      <c r="L4497" s="444">
        <f t="shared" ca="1" si="169"/>
        <v>-71554127738256.969</v>
      </c>
      <c r="M4497" s="460">
        <f t="shared" si="171"/>
        <v>0.05</v>
      </c>
      <c r="N4497" s="464">
        <f t="shared" si="172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70"/>
        <v>-71554127738256.969</v>
      </c>
      <c r="J4498" s="444">
        <f t="array" ref="J4498">IFERROR(INDEX('Retirement Calculator'!K:K,MATCH('Lorri 401b'!N4498,'Retirement Calculator'!A:A,0),0),0)</f>
        <v>0</v>
      </c>
      <c r="K4498" s="444">
        <f t="shared" ca="1" si="168"/>
        <v>-298142198909.40405</v>
      </c>
      <c r="L4498" s="444">
        <f t="shared" ca="1" si="169"/>
        <v>-71852269937166.375</v>
      </c>
      <c r="M4498" s="460">
        <f t="shared" si="171"/>
        <v>0.05</v>
      </c>
      <c r="N4498" s="464">
        <f t="shared" si="172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70"/>
        <v>-71852269937166.375</v>
      </c>
      <c r="J4499" s="444">
        <f t="array" ref="J4499">IFERROR(INDEX('Retirement Calculator'!K:K,MATCH('Lorri 401b'!N4499,'Retirement Calculator'!A:A,0),0),0)</f>
        <v>0</v>
      </c>
      <c r="K4499" s="444">
        <f t="shared" ca="1" si="168"/>
        <v>-299384458071.52655</v>
      </c>
      <c r="L4499" s="444">
        <f t="shared" ca="1" si="169"/>
        <v>-72151654395237.906</v>
      </c>
      <c r="M4499" s="460">
        <f t="shared" si="171"/>
        <v>0.05</v>
      </c>
      <c r="N4499" s="464">
        <f t="shared" si="172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70"/>
        <v>-72151654395237.906</v>
      </c>
      <c r="J4500" s="444">
        <f t="array" ref="J4500">IFERROR(INDEX('Retirement Calculator'!K:K,MATCH('Lorri 401b'!N4500,'Retirement Calculator'!A:A,0),0),0)</f>
        <v>0</v>
      </c>
      <c r="K4500" s="444">
        <f t="shared" ca="1" si="168"/>
        <v>-300631893313.49127</v>
      </c>
      <c r="L4500" s="444">
        <f t="shared" ca="1" si="169"/>
        <v>-72452286288551.391</v>
      </c>
      <c r="M4500" s="460">
        <f t="shared" si="171"/>
        <v>0.05</v>
      </c>
      <c r="N4500" s="464">
        <f t="shared" si="172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70"/>
        <v>-72452286288551.391</v>
      </c>
      <c r="J4501" s="444">
        <f t="array" ref="J4501">IFERROR(INDEX('Retirement Calculator'!K:K,MATCH('Lorri 401b'!N4501,'Retirement Calculator'!A:A,0),0),0)</f>
        <v>0</v>
      </c>
      <c r="K4501" s="444">
        <f t="shared" ca="1" si="168"/>
        <v>-301884526202.29749</v>
      </c>
      <c r="L4501" s="444">
        <f t="shared" ca="1" si="169"/>
        <v>-72754170814753.688</v>
      </c>
      <c r="M4501" s="460">
        <f t="shared" si="171"/>
        <v>0.05</v>
      </c>
      <c r="N4501" s="464">
        <f t="shared" si="172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70"/>
        <v>-72754170814753.688</v>
      </c>
      <c r="J4502" s="444">
        <f t="array" ref="J4502">IFERROR(INDEX('Retirement Calculator'!K:K,MATCH('Lorri 401b'!N4502,'Retirement Calculator'!A:A,0),0),0)</f>
        <v>0</v>
      </c>
      <c r="K4502" s="444">
        <f t="shared" ca="1" si="168"/>
        <v>-303142378394.80701</v>
      </c>
      <c r="L4502" s="444">
        <f t="shared" ca="1" si="169"/>
        <v>-73057313193148.5</v>
      </c>
      <c r="M4502" s="460">
        <f t="shared" si="171"/>
        <v>0.05</v>
      </c>
      <c r="N4502" s="464">
        <f t="shared" si="172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70"/>
        <v>-73057313193148.5</v>
      </c>
      <c r="J4503" s="444">
        <f t="array" ref="J4503">IFERROR(INDEX('Retirement Calculator'!K:K,MATCH('Lorri 401b'!N4503,'Retirement Calculator'!A:A,0),0),0)</f>
        <v>0</v>
      </c>
      <c r="K4503" s="444">
        <f t="shared" ca="1" si="168"/>
        <v>-304405471638.11877</v>
      </c>
      <c r="L4503" s="444">
        <f t="shared" ca="1" si="169"/>
        <v>-73361718664786.625</v>
      </c>
      <c r="M4503" s="460">
        <f t="shared" si="171"/>
        <v>0.05</v>
      </c>
      <c r="N4503" s="464">
        <f t="shared" si="172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70"/>
        <v>-73361718664786.625</v>
      </c>
      <c r="J4504" s="444">
        <f t="array" ref="J4504">IFERROR(INDEX('Retirement Calculator'!K:K,MATCH('Lorri 401b'!N4504,'Retirement Calculator'!A:A,0),0),0)</f>
        <v>0</v>
      </c>
      <c r="K4504" s="444">
        <f t="shared" ca="1" si="168"/>
        <v>-305673827769.94427</v>
      </c>
      <c r="L4504" s="444">
        <f t="shared" ca="1" si="169"/>
        <v>-73667392492556.563</v>
      </c>
      <c r="M4504" s="460">
        <f t="shared" si="171"/>
        <v>0.05</v>
      </c>
      <c r="N4504" s="464">
        <f t="shared" si="172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70"/>
        <v>-73667392492556.563</v>
      </c>
      <c r="J4505" s="444">
        <f t="array" ref="J4505">IFERROR(INDEX('Retirement Calculator'!K:K,MATCH('Lorri 401b'!N4505,'Retirement Calculator'!A:A,0),0),0)</f>
        <v>0</v>
      </c>
      <c r="K4505" s="444">
        <f t="shared" ca="1" si="168"/>
        <v>-306947468718.98566</v>
      </c>
      <c r="L4505" s="444">
        <f t="shared" ca="1" si="169"/>
        <v>-73974339961275.547</v>
      </c>
      <c r="M4505" s="460">
        <f t="shared" si="171"/>
        <v>0.05</v>
      </c>
      <c r="N4505" s="464">
        <f t="shared" si="172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70"/>
        <v>-73974339961275.547</v>
      </c>
      <c r="J4506" s="444">
        <f t="array" ref="J4506">IFERROR(INDEX('Retirement Calculator'!K:K,MATCH('Lorri 401b'!N4506,'Retirement Calculator'!A:A,0),0),0)</f>
        <v>0</v>
      </c>
      <c r="K4506" s="444">
        <f t="shared" ca="1" si="168"/>
        <v>-308226416505.31476</v>
      </c>
      <c r="L4506" s="444">
        <f t="shared" ca="1" si="169"/>
        <v>-74282566377780.859</v>
      </c>
      <c r="M4506" s="460">
        <f t="shared" si="171"/>
        <v>0.05</v>
      </c>
      <c r="N4506" s="464">
        <f t="shared" si="172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70"/>
        <v>-74282566377780.859</v>
      </c>
      <c r="J4507" s="444">
        <f t="array" ref="J4507">IFERROR(INDEX('Retirement Calculator'!K:K,MATCH('Lorri 401b'!N4507,'Retirement Calculator'!A:A,0),0),0)</f>
        <v>0</v>
      </c>
      <c r="K4507" s="444">
        <f t="shared" ca="1" si="168"/>
        <v>-309510693240.7536</v>
      </c>
      <c r="L4507" s="444">
        <f t="shared" ca="1" si="169"/>
        <v>-74592077071021.609</v>
      </c>
      <c r="M4507" s="460">
        <f t="shared" si="171"/>
        <v>0.05</v>
      </c>
      <c r="N4507" s="464">
        <f t="shared" si="172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70"/>
        <v>-74592077071021.609</v>
      </c>
      <c r="J4508" s="444">
        <f t="array" ref="J4508">IFERROR(INDEX('Retirement Calculator'!K:K,MATCH('Lorri 401b'!N4508,'Retirement Calculator'!A:A,0),0),0)</f>
        <v>0</v>
      </c>
      <c r="K4508" s="444">
        <f t="shared" ca="1" si="168"/>
        <v>-310800321129.25671</v>
      </c>
      <c r="L4508" s="444">
        <f t="shared" ca="1" si="169"/>
        <v>-74902877392150.859</v>
      </c>
      <c r="M4508" s="460">
        <f t="shared" si="171"/>
        <v>0.05</v>
      </c>
      <c r="N4508" s="464">
        <f t="shared" si="172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70"/>
        <v>-74902877392150.859</v>
      </c>
      <c r="J4509" s="444">
        <f t="array" ref="J4509">IFERROR(INDEX('Retirement Calculator'!K:K,MATCH('Lorri 401b'!N4509,'Retirement Calculator'!A:A,0),0),0)</f>
        <v>0</v>
      </c>
      <c r="K4509" s="444">
        <f t="shared" ca="1" si="168"/>
        <v>-312095322467.29523</v>
      </c>
      <c r="L4509" s="444">
        <f t="shared" ca="1" si="169"/>
        <v>-75214972714618.156</v>
      </c>
      <c r="M4509" s="460">
        <f t="shared" si="171"/>
        <v>0.05</v>
      </c>
      <c r="N4509" s="464">
        <f t="shared" si="172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70"/>
        <v>-75214972714618.156</v>
      </c>
      <c r="J4510" s="444">
        <f t="array" ref="J4510">IFERROR(INDEX('Retirement Calculator'!K:K,MATCH('Lorri 401b'!N4510,'Retirement Calculator'!A:A,0),0),0)</f>
        <v>0</v>
      </c>
      <c r="K4510" s="444">
        <f t="shared" ca="1" si="168"/>
        <v>-313395719644.24231</v>
      </c>
      <c r="L4510" s="444">
        <f t="shared" ca="1" si="169"/>
        <v>-75528368434262.406</v>
      </c>
      <c r="M4510" s="460">
        <f t="shared" si="171"/>
        <v>0.05</v>
      </c>
      <c r="N4510" s="464">
        <f t="shared" si="172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70"/>
        <v>-75528368434262.406</v>
      </c>
      <c r="J4511" s="444">
        <f t="array" ref="J4511">IFERROR(INDEX('Retirement Calculator'!K:K,MATCH('Lorri 401b'!N4511,'Retirement Calculator'!A:A,0),0),0)</f>
        <v>0</v>
      </c>
      <c r="K4511" s="444">
        <f t="shared" ca="1" si="168"/>
        <v>-314701535142.76001</v>
      </c>
      <c r="L4511" s="444">
        <f t="shared" ca="1" si="169"/>
        <v>-75843069969405.172</v>
      </c>
      <c r="M4511" s="460">
        <f t="shared" si="171"/>
        <v>0.05</v>
      </c>
      <c r="N4511" s="464">
        <f t="shared" si="172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70"/>
        <v>-75843069969405.172</v>
      </c>
      <c r="J4512" s="444">
        <f t="array" ref="J4512">IFERROR(INDEX('Retirement Calculator'!K:K,MATCH('Lorri 401b'!N4512,'Retirement Calculator'!A:A,0),0),0)</f>
        <v>0</v>
      </c>
      <c r="K4512" s="444">
        <f t="shared" ca="1" si="168"/>
        <v>-316012791539.18823</v>
      </c>
      <c r="L4512" s="444">
        <f t="shared" ca="1" si="169"/>
        <v>-76159082760944.359</v>
      </c>
      <c r="M4512" s="460">
        <f t="shared" si="171"/>
        <v>0.05</v>
      </c>
      <c r="N4512" s="464">
        <f t="shared" si="172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70"/>
        <v>-76159082760944.359</v>
      </c>
      <c r="J4513" s="444">
        <f t="array" ref="J4513">IFERROR(INDEX('Retirement Calculator'!K:K,MATCH('Lorri 401b'!N4513,'Retirement Calculator'!A:A,0),0),0)</f>
        <v>0</v>
      </c>
      <c r="K4513" s="444">
        <f t="shared" ca="1" si="168"/>
        <v>-317329511503.93481</v>
      </c>
      <c r="L4513" s="444">
        <f t="shared" ca="1" si="169"/>
        <v>-76476412272448.297</v>
      </c>
      <c r="M4513" s="460">
        <f t="shared" si="171"/>
        <v>0.05</v>
      </c>
      <c r="N4513" s="464">
        <f t="shared" si="172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70"/>
        <v>-76476412272448.297</v>
      </c>
      <c r="J4514" s="444">
        <f t="array" ref="J4514">IFERROR(INDEX('Retirement Calculator'!K:K,MATCH('Lorri 401b'!N4514,'Retirement Calculator'!A:A,0),0),0)</f>
        <v>0</v>
      </c>
      <c r="K4514" s="444">
        <f t="shared" ca="1" si="168"/>
        <v>-318651717801.86792</v>
      </c>
      <c r="L4514" s="444">
        <f t="shared" ca="1" si="169"/>
        <v>-76795063990250.172</v>
      </c>
      <c r="M4514" s="460">
        <f t="shared" si="171"/>
        <v>0.05</v>
      </c>
      <c r="N4514" s="464">
        <f t="shared" si="172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70"/>
        <v>-76795063990250.172</v>
      </c>
      <c r="J4515" s="444">
        <f t="array" ref="J4515">IFERROR(INDEX('Retirement Calculator'!K:K,MATCH('Lorri 401b'!N4515,'Retirement Calculator'!A:A,0),0),0)</f>
        <v>0</v>
      </c>
      <c r="K4515" s="444">
        <f t="shared" ca="1" si="168"/>
        <v>-319979433292.70905</v>
      </c>
      <c r="L4515" s="444">
        <f t="shared" ca="1" si="169"/>
        <v>-77115043423542.875</v>
      </c>
      <c r="M4515" s="460">
        <f t="shared" si="171"/>
        <v>0.05</v>
      </c>
      <c r="N4515" s="464">
        <f t="shared" si="172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70"/>
        <v>-77115043423542.875</v>
      </c>
      <c r="J4516" s="444">
        <f t="array" ref="J4516">IFERROR(INDEX('Retirement Calculator'!K:K,MATCH('Lorri 401b'!N4516,'Retirement Calculator'!A:A,0),0),0)</f>
        <v>0</v>
      </c>
      <c r="K4516" s="444">
        <f t="shared" ca="1" si="168"/>
        <v>-321312680931.42865</v>
      </c>
      <c r="L4516" s="444">
        <f t="shared" ca="1" si="169"/>
        <v>-77436356104474.297</v>
      </c>
      <c r="M4516" s="460">
        <f t="shared" si="171"/>
        <v>0.05</v>
      </c>
      <c r="N4516" s="464">
        <f t="shared" si="172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70"/>
        <v>-77436356104474.297</v>
      </c>
      <c r="J4517" s="444">
        <f t="array" ref="J4517">IFERROR(INDEX('Retirement Calculator'!K:K,MATCH('Lorri 401b'!N4517,'Retirement Calculator'!A:A,0),0),0)</f>
        <v>0</v>
      </c>
      <c r="K4517" s="444">
        <f t="shared" ca="1" si="168"/>
        <v>-322651483768.64288</v>
      </c>
      <c r="L4517" s="444">
        <f t="shared" ca="1" si="169"/>
        <v>-77759007588242.938</v>
      </c>
      <c r="M4517" s="460">
        <f t="shared" si="171"/>
        <v>0.05</v>
      </c>
      <c r="N4517" s="464">
        <f t="shared" si="172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70"/>
        <v>-77759007588242.938</v>
      </c>
      <c r="J4518" s="444">
        <f t="array" ref="J4518">IFERROR(INDEX('Retirement Calculator'!K:K,MATCH('Lorri 401b'!N4518,'Retirement Calculator'!A:A,0),0),0)</f>
        <v>0</v>
      </c>
      <c r="K4518" s="444">
        <f t="shared" ca="1" si="168"/>
        <v>-323995864951.01221</v>
      </c>
      <c r="L4518" s="444">
        <f t="shared" ca="1" si="169"/>
        <v>-78083003453193.953</v>
      </c>
      <c r="M4518" s="460">
        <f t="shared" si="171"/>
        <v>0.05</v>
      </c>
      <c r="N4518" s="464">
        <f t="shared" si="172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70"/>
        <v>-78083003453193.953</v>
      </c>
      <c r="J4519" s="444">
        <f t="array" ref="J4519">IFERROR(INDEX('Retirement Calculator'!K:K,MATCH('Lorri 401b'!N4519,'Retirement Calculator'!A:A,0),0),0)</f>
        <v>0</v>
      </c>
      <c r="K4519" s="444">
        <f t="shared" ca="1" si="168"/>
        <v>-325345847721.64148</v>
      </c>
      <c r="L4519" s="444">
        <f t="shared" ca="1" si="169"/>
        <v>-78408349300915.594</v>
      </c>
      <c r="M4519" s="460">
        <f t="shared" si="171"/>
        <v>0.05</v>
      </c>
      <c r="N4519" s="464">
        <f t="shared" si="172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70"/>
        <v>-78408349300915.594</v>
      </c>
      <c r="J4520" s="444">
        <f t="array" ref="J4520">IFERROR(INDEX('Retirement Calculator'!K:K,MATCH('Lorri 401b'!N4520,'Retirement Calculator'!A:A,0),0),0)</f>
        <v>0</v>
      </c>
      <c r="K4520" s="444">
        <f t="shared" ca="1" si="168"/>
        <v>-326701455420.48163</v>
      </c>
      <c r="L4520" s="444">
        <f t="shared" ca="1" si="169"/>
        <v>-78735050756336.078</v>
      </c>
      <c r="M4520" s="460">
        <f t="shared" si="171"/>
        <v>0.05</v>
      </c>
      <c r="N4520" s="464">
        <f t="shared" si="172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70"/>
        <v>-78735050756336.078</v>
      </c>
      <c r="J4521" s="444">
        <f t="array" ref="J4521">IFERROR(INDEX('Retirement Calculator'!K:K,MATCH('Lorri 401b'!N4521,'Retirement Calculator'!A:A,0),0),0)</f>
        <v>0</v>
      </c>
      <c r="K4521" s="444">
        <f t="shared" ca="1" si="168"/>
        <v>-328062711484.73364</v>
      </c>
      <c r="L4521" s="444">
        <f t="shared" ca="1" si="169"/>
        <v>-79063113467820.813</v>
      </c>
      <c r="M4521" s="460">
        <f t="shared" si="171"/>
        <v>0.05</v>
      </c>
      <c r="N4521" s="464">
        <f t="shared" si="172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70"/>
        <v>-79063113467820.813</v>
      </c>
      <c r="J4522" s="444">
        <f t="array" ref="J4522">IFERROR(INDEX('Retirement Calculator'!K:K,MATCH('Lorri 401b'!N4522,'Retirement Calculator'!A:A,0),0),0)</f>
        <v>0</v>
      </c>
      <c r="K4522" s="444">
        <f t="shared" ca="1" si="168"/>
        <v>-329429639449.25336</v>
      </c>
      <c r="L4522" s="444">
        <f t="shared" ca="1" si="169"/>
        <v>-79392543107270.063</v>
      </c>
      <c r="M4522" s="460">
        <f t="shared" si="171"/>
        <v>0.05</v>
      </c>
      <c r="N4522" s="464">
        <f t="shared" si="172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70"/>
        <v>-79392543107270.063</v>
      </c>
      <c r="J4523" s="444">
        <f t="array" ref="J4523">IFERROR(INDEX('Retirement Calculator'!K:K,MATCH('Lorri 401b'!N4523,'Retirement Calculator'!A:A,0),0),0)</f>
        <v>0</v>
      </c>
      <c r="K4523" s="444">
        <f t="shared" ca="1" si="168"/>
        <v>-330802262946.95862</v>
      </c>
      <c r="L4523" s="444">
        <f t="shared" ca="1" si="169"/>
        <v>-79723345370217.016</v>
      </c>
      <c r="M4523" s="460">
        <f t="shared" si="171"/>
        <v>0.05</v>
      </c>
      <c r="N4523" s="464">
        <f t="shared" si="172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70"/>
        <v>-79723345370217.016</v>
      </c>
      <c r="J4524" s="444">
        <f t="array" ref="J4524">IFERROR(INDEX('Retirement Calculator'!K:K,MATCH('Lorri 401b'!N4524,'Retirement Calculator'!A:A,0),0),0)</f>
        <v>0</v>
      </c>
      <c r="K4524" s="444">
        <f t="shared" ca="1" si="168"/>
        <v>-332180605709.23755</v>
      </c>
      <c r="L4524" s="444">
        <f t="shared" ca="1" si="169"/>
        <v>-80055525975926.25</v>
      </c>
      <c r="M4524" s="460">
        <f t="shared" si="171"/>
        <v>0.05</v>
      </c>
      <c r="N4524" s="464">
        <f t="shared" si="172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70"/>
        <v>-80055525975926.25</v>
      </c>
      <c r="J4525" s="444">
        <f t="array" ref="J4525">IFERROR(INDEX('Retirement Calculator'!K:K,MATCH('Lorri 401b'!N4525,'Retirement Calculator'!A:A,0),0),0)</f>
        <v>0</v>
      </c>
      <c r="K4525" s="444">
        <f t="shared" ca="1" si="168"/>
        <v>-333564691566.35938</v>
      </c>
      <c r="L4525" s="444">
        <f t="shared" ca="1" si="169"/>
        <v>-80389090667492.609</v>
      </c>
      <c r="M4525" s="460">
        <f t="shared" si="171"/>
        <v>0.05</v>
      </c>
      <c r="N4525" s="464">
        <f t="shared" si="172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70"/>
        <v>-80389090667492.609</v>
      </c>
      <c r="J4526" s="444">
        <f t="array" ref="J4526">IFERROR(INDEX('Retirement Calculator'!K:K,MATCH('Lorri 401b'!N4526,'Retirement Calculator'!A:A,0),0),0)</f>
        <v>0</v>
      </c>
      <c r="K4526" s="444">
        <f t="shared" ca="1" si="168"/>
        <v>-334954544447.88586</v>
      </c>
      <c r="L4526" s="444">
        <f t="shared" ca="1" si="169"/>
        <v>-80724045211940.5</v>
      </c>
      <c r="M4526" s="460">
        <f t="shared" si="171"/>
        <v>0.05</v>
      </c>
      <c r="N4526" s="464">
        <f t="shared" si="172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70"/>
        <v>-80724045211940.5</v>
      </c>
      <c r="J4527" s="444">
        <f t="array" ref="J4527">IFERROR(INDEX('Retirement Calculator'!K:K,MATCH('Lorri 401b'!N4527,'Retirement Calculator'!A:A,0),0),0)</f>
        <v>0</v>
      </c>
      <c r="K4527" s="444">
        <f t="shared" ca="1" si="168"/>
        <v>-336350188383.08539</v>
      </c>
      <c r="L4527" s="444">
        <f t="shared" ca="1" si="169"/>
        <v>-81060395400323.578</v>
      </c>
      <c r="M4527" s="460">
        <f t="shared" si="171"/>
        <v>0.05</v>
      </c>
      <c r="N4527" s="464">
        <f t="shared" si="172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70"/>
        <v>-81060395400323.578</v>
      </c>
      <c r="J4528" s="444">
        <f t="array" ref="J4528">IFERROR(INDEX('Retirement Calculator'!K:K,MATCH('Lorri 401b'!N4528,'Retirement Calculator'!A:A,0),0),0)</f>
        <v>0</v>
      </c>
      <c r="K4528" s="444">
        <f t="shared" ca="1" si="168"/>
        <v>-337751647501.34827</v>
      </c>
      <c r="L4528" s="444">
        <f t="shared" ca="1" si="169"/>
        <v>-81398147047824.922</v>
      </c>
      <c r="M4528" s="460">
        <f t="shared" si="171"/>
        <v>0.05</v>
      </c>
      <c r="N4528" s="464">
        <f t="shared" si="172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70"/>
        <v>-81398147047824.922</v>
      </c>
      <c r="J4529" s="444">
        <f t="array" ref="J4529">IFERROR(INDEX('Retirement Calculator'!K:K,MATCH('Lorri 401b'!N4529,'Retirement Calculator'!A:A,0),0),0)</f>
        <v>0</v>
      </c>
      <c r="K4529" s="444">
        <f t="shared" ca="1" si="168"/>
        <v>-339158946032.60382</v>
      </c>
      <c r="L4529" s="444">
        <f t="shared" ca="1" si="169"/>
        <v>-81737305993857.531</v>
      </c>
      <c r="M4529" s="460">
        <f t="shared" si="171"/>
        <v>0.05</v>
      </c>
      <c r="N4529" s="464">
        <f t="shared" si="172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70"/>
        <v>-81737305993857.531</v>
      </c>
      <c r="J4530" s="444">
        <f t="array" ref="J4530">IFERROR(INDEX('Retirement Calculator'!K:K,MATCH('Lorri 401b'!N4530,'Retirement Calculator'!A:A,0),0),0)</f>
        <v>0</v>
      </c>
      <c r="K4530" s="444">
        <f t="shared" ca="1" si="168"/>
        <v>-340572108307.73969</v>
      </c>
      <c r="L4530" s="444">
        <f t="shared" ca="1" si="169"/>
        <v>-82077878102165.266</v>
      </c>
      <c r="M4530" s="460">
        <f t="shared" si="171"/>
        <v>0.05</v>
      </c>
      <c r="N4530" s="464">
        <f t="shared" si="172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70"/>
        <v>-82077878102165.266</v>
      </c>
      <c r="J4531" s="444">
        <f t="array" ref="J4531">IFERROR(INDEX('Retirement Calculator'!K:K,MATCH('Lorri 401b'!N4531,'Retirement Calculator'!A:A,0),0),0)</f>
        <v>0</v>
      </c>
      <c r="K4531" s="444">
        <f t="shared" ca="1" si="168"/>
        <v>-341991158759.02191</v>
      </c>
      <c r="L4531" s="444">
        <f t="shared" ca="1" si="169"/>
        <v>-82419869260924.281</v>
      </c>
      <c r="M4531" s="460">
        <f t="shared" si="171"/>
        <v>0.05</v>
      </c>
      <c r="N4531" s="464">
        <f t="shared" si="172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70"/>
        <v>-82419869260924.281</v>
      </c>
      <c r="J4532" s="444">
        <f t="array" ref="J4532">IFERROR(INDEX('Retirement Calculator'!K:K,MATCH('Lorri 401b'!N4532,'Retirement Calculator'!A:A,0),0),0)</f>
        <v>0</v>
      </c>
      <c r="K4532" s="444">
        <f t="shared" ca="1" si="168"/>
        <v>-343416121920.51782</v>
      </c>
      <c r="L4532" s="444">
        <f t="shared" ca="1" si="169"/>
        <v>-82763285382844.797</v>
      </c>
      <c r="M4532" s="460">
        <f t="shared" si="171"/>
        <v>0.05</v>
      </c>
      <c r="N4532" s="464">
        <f t="shared" si="172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70"/>
        <v>-82763285382844.797</v>
      </c>
      <c r="J4533" s="444">
        <f t="array" ref="J4533">IFERROR(INDEX('Retirement Calculator'!K:K,MATCH('Lorri 401b'!N4533,'Retirement Calculator'!A:A,0),0),0)</f>
        <v>0</v>
      </c>
      <c r="K4533" s="444">
        <f t="shared" ca="1" si="168"/>
        <v>-344847022428.51996</v>
      </c>
      <c r="L4533" s="444">
        <f t="shared" ca="1" si="169"/>
        <v>-83108132405273.313</v>
      </c>
      <c r="M4533" s="460">
        <f t="shared" si="171"/>
        <v>0.05</v>
      </c>
      <c r="N4533" s="464">
        <f t="shared" si="172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70"/>
        <v>-83108132405273.313</v>
      </c>
      <c r="J4534" s="444">
        <f t="array" ref="J4534">IFERROR(INDEX('Retirement Calculator'!K:K,MATCH('Lorri 401b'!N4534,'Retirement Calculator'!A:A,0),0),0)</f>
        <v>0</v>
      </c>
      <c r="K4534" s="444">
        <f t="shared" ca="1" si="168"/>
        <v>-346283885021.97211</v>
      </c>
      <c r="L4534" s="444">
        <f t="shared" ca="1" si="169"/>
        <v>-83454416290295.281</v>
      </c>
      <c r="M4534" s="460">
        <f t="shared" si="171"/>
        <v>0.05</v>
      </c>
      <c r="N4534" s="464">
        <f t="shared" si="172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70"/>
        <v>-83454416290295.281</v>
      </c>
      <c r="J4535" s="444">
        <f t="array" ref="J4535">IFERROR(INDEX('Retirement Calculator'!K:K,MATCH('Lorri 401b'!N4535,'Retirement Calculator'!A:A,0),0),0)</f>
        <v>0</v>
      </c>
      <c r="K4535" s="444">
        <f t="shared" ca="1" si="168"/>
        <v>-347726734542.89697</v>
      </c>
      <c r="L4535" s="444">
        <f t="shared" ca="1" si="169"/>
        <v>-83802143024838.172</v>
      </c>
      <c r="M4535" s="460">
        <f t="shared" si="171"/>
        <v>0.05</v>
      </c>
      <c r="N4535" s="464">
        <f t="shared" si="172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70"/>
        <v>-83802143024838.172</v>
      </c>
      <c r="J4536" s="444">
        <f t="array" ref="J4536">IFERROR(INDEX('Retirement Calculator'!K:K,MATCH('Lorri 401b'!N4536,'Retirement Calculator'!A:A,0),0),0)</f>
        <v>0</v>
      </c>
      <c r="K4536" s="444">
        <f t="shared" ca="1" si="168"/>
        <v>-349175595936.82568</v>
      </c>
      <c r="L4536" s="444">
        <f t="shared" ca="1" si="169"/>
        <v>-84151318620775</v>
      </c>
      <c r="M4536" s="460">
        <f t="shared" si="171"/>
        <v>0.05</v>
      </c>
      <c r="N4536" s="464">
        <f t="shared" si="172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70"/>
        <v>-84151318620775</v>
      </c>
      <c r="J4537" s="444">
        <f t="array" ref="J4537">IFERROR(INDEX('Retirement Calculator'!K:K,MATCH('Lorri 401b'!N4537,'Retirement Calculator'!A:A,0),0),0)</f>
        <v>0</v>
      </c>
      <c r="K4537" s="444">
        <f t="shared" ca="1" si="168"/>
        <v>-350630494253.22919</v>
      </c>
      <c r="L4537" s="444">
        <f t="shared" ca="1" si="169"/>
        <v>-84501949115028.234</v>
      </c>
      <c r="M4537" s="460">
        <f t="shared" si="171"/>
        <v>0.05</v>
      </c>
      <c r="N4537" s="464">
        <f t="shared" si="172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70"/>
        <v>-84501949115028.234</v>
      </c>
      <c r="J4538" s="444">
        <f t="array" ref="J4538">IFERROR(INDEX('Retirement Calculator'!K:K,MATCH('Lorri 401b'!N4538,'Retirement Calculator'!A:A,0),0),0)</f>
        <v>0</v>
      </c>
      <c r="K4538" s="444">
        <f t="shared" ca="1" si="168"/>
        <v>-352091454645.95099</v>
      </c>
      <c r="L4538" s="444">
        <f t="shared" ca="1" si="169"/>
        <v>-84854040569674.188</v>
      </c>
      <c r="M4538" s="460">
        <f t="shared" si="171"/>
        <v>0.05</v>
      </c>
      <c r="N4538" s="464">
        <f t="shared" si="172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70"/>
        <v>-84854040569674.188</v>
      </c>
      <c r="J4539" s="444">
        <f t="array" ref="J4539">IFERROR(INDEX('Retirement Calculator'!K:K,MATCH('Lorri 401b'!N4539,'Retirement Calculator'!A:A,0),0),0)</f>
        <v>0</v>
      </c>
      <c r="K4539" s="444">
        <f t="shared" ca="1" si="168"/>
        <v>-353558502373.64246</v>
      </c>
      <c r="L4539" s="444">
        <f t="shared" ca="1" si="169"/>
        <v>-85207599072047.828</v>
      </c>
      <c r="M4539" s="460">
        <f t="shared" si="171"/>
        <v>0.05</v>
      </c>
      <c r="N4539" s="464">
        <f t="shared" si="172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70"/>
        <v>-85207599072047.828</v>
      </c>
      <c r="J4540" s="444">
        <f t="array" ref="J4540">IFERROR(INDEX('Retirement Calculator'!K:K,MATCH('Lorri 401b'!N4540,'Retirement Calculator'!A:A,0),0),0)</f>
        <v>0</v>
      </c>
      <c r="K4540" s="444">
        <f t="shared" ca="1" si="168"/>
        <v>-355031662800.19928</v>
      </c>
      <c r="L4540" s="444">
        <f t="shared" ca="1" si="169"/>
        <v>-85562630734848.031</v>
      </c>
      <c r="M4540" s="460">
        <f t="shared" si="171"/>
        <v>0.05</v>
      </c>
      <c r="N4540" s="464">
        <f t="shared" si="172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70"/>
        <v>-85562630734848.031</v>
      </c>
      <c r="J4541" s="444">
        <f t="array" ref="J4541">IFERROR(INDEX('Retirement Calculator'!K:K,MATCH('Lorri 401b'!N4541,'Retirement Calculator'!A:A,0),0),0)</f>
        <v>0</v>
      </c>
      <c r="K4541" s="444">
        <f t="shared" ca="1" si="168"/>
        <v>-356510961395.20013</v>
      </c>
      <c r="L4541" s="444">
        <f t="shared" ca="1" si="169"/>
        <v>-85919141696243.234</v>
      </c>
      <c r="M4541" s="460">
        <f t="shared" si="171"/>
        <v>0.05</v>
      </c>
      <c r="N4541" s="464">
        <f t="shared" si="172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70"/>
        <v>-85919141696243.234</v>
      </c>
      <c r="J4542" s="444">
        <f t="array" ref="J4542">IFERROR(INDEX('Retirement Calculator'!K:K,MATCH('Lorri 401b'!N4542,'Retirement Calculator'!A:A,0),0),0)</f>
        <v>0</v>
      </c>
      <c r="K4542" s="444">
        <f t="shared" ca="1" si="168"/>
        <v>-357996423734.3468</v>
      </c>
      <c r="L4542" s="444">
        <f t="shared" ca="1" si="169"/>
        <v>-86277138119977.578</v>
      </c>
      <c r="M4542" s="460">
        <f t="shared" si="171"/>
        <v>0.05</v>
      </c>
      <c r="N4542" s="464">
        <f t="shared" si="172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70"/>
        <v>-86277138119977.578</v>
      </c>
      <c r="J4543" s="444">
        <f t="array" ref="J4543">IFERROR(INDEX('Retirement Calculator'!K:K,MATCH('Lorri 401b'!N4543,'Retirement Calculator'!A:A,0),0),0)</f>
        <v>0</v>
      </c>
      <c r="K4543" s="444">
        <f t="shared" ca="1" si="168"/>
        <v>-359488075499.90656</v>
      </c>
      <c r="L4543" s="444">
        <f t="shared" ca="1" si="169"/>
        <v>-86636626195477.484</v>
      </c>
      <c r="M4543" s="460">
        <f t="shared" si="171"/>
        <v>0.05</v>
      </c>
      <c r="N4543" s="464">
        <f t="shared" si="172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70"/>
        <v>-86636626195477.484</v>
      </c>
      <c r="J4544" s="444">
        <f t="array" ref="J4544">IFERROR(INDEX('Retirement Calculator'!K:K,MATCH('Lorri 401b'!N4544,'Retirement Calculator'!A:A,0),0),0)</f>
        <v>0</v>
      </c>
      <c r="K4544" s="444">
        <f t="shared" ca="1" si="168"/>
        <v>-360985942481.15619</v>
      </c>
      <c r="L4544" s="444">
        <f t="shared" ca="1" si="169"/>
        <v>-86997612137958.641</v>
      </c>
      <c r="M4544" s="460">
        <f t="shared" si="171"/>
        <v>0.05</v>
      </c>
      <c r="N4544" s="464">
        <f t="shared" si="172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70"/>
        <v>-86997612137958.641</v>
      </c>
      <c r="J4545" s="444">
        <f t="array" ref="J4545">IFERROR(INDEX('Retirement Calculator'!K:K,MATCH('Lorri 401b'!N4545,'Retirement Calculator'!A:A,0),0),0)</f>
        <v>0</v>
      </c>
      <c r="K4545" s="444">
        <f t="shared" ca="1" si="168"/>
        <v>-362490050574.82764</v>
      </c>
      <c r="L4545" s="444">
        <f t="shared" ca="1" si="169"/>
        <v>-87360102188533.469</v>
      </c>
      <c r="M4545" s="460">
        <f t="shared" si="171"/>
        <v>0.05</v>
      </c>
      <c r="N4545" s="464">
        <f t="shared" si="172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70"/>
        <v>-87360102188533.469</v>
      </c>
      <c r="J4546" s="444">
        <f t="array" ref="J4546">IFERROR(INDEX('Retirement Calculator'!K:K,MATCH('Lorri 401b'!N4546,'Retirement Calculator'!A:A,0),0),0)</f>
        <v>0</v>
      </c>
      <c r="K4546" s="444">
        <f t="shared" ca="1" si="168"/>
        <v>-364000425785.55609</v>
      </c>
      <c r="L4546" s="444">
        <f t="shared" ca="1" si="169"/>
        <v>-87724102614319.031</v>
      </c>
      <c r="M4546" s="460">
        <f t="shared" si="171"/>
        <v>0.05</v>
      </c>
      <c r="N4546" s="464">
        <f t="shared" si="172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70"/>
        <v>-87724102614319.031</v>
      </c>
      <c r="J4547" s="444">
        <f t="array" ref="J4547">IFERROR(INDEX('Retirement Calculator'!K:K,MATCH('Lorri 401b'!N4547,'Retirement Calculator'!A:A,0),0),0)</f>
        <v>0</v>
      </c>
      <c r="K4547" s="444">
        <f t="shared" ca="1" si="168"/>
        <v>-365517094226.32928</v>
      </c>
      <c r="L4547" s="444">
        <f t="shared" ca="1" si="169"/>
        <v>-88089619708545.359</v>
      </c>
      <c r="M4547" s="460">
        <f t="shared" si="171"/>
        <v>0.05</v>
      </c>
      <c r="N4547" s="464">
        <f t="shared" si="172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70"/>
        <v>-88089619708545.359</v>
      </c>
      <c r="J4548" s="444">
        <f t="array" ref="J4548">IFERROR(INDEX('Retirement Calculator'!K:K,MATCH('Lorri 401b'!N4548,'Retirement Calculator'!A:A,0),0),0)</f>
        <v>0</v>
      </c>
      <c r="K4548" s="444">
        <f t="shared" ca="1" si="168"/>
        <v>-367040082118.93896</v>
      </c>
      <c r="L4548" s="444">
        <f t="shared" ca="1" si="169"/>
        <v>-88456659790664.297</v>
      </c>
      <c r="M4548" s="460">
        <f t="shared" si="171"/>
        <v>0.05</v>
      </c>
      <c r="N4548" s="464">
        <f t="shared" si="172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70"/>
        <v>-88456659790664.297</v>
      </c>
      <c r="J4549" s="444">
        <f t="array" ref="J4549">IFERROR(INDEX('Retirement Calculator'!K:K,MATCH('Lorri 401b'!N4549,'Retirement Calculator'!A:A,0),0),0)</f>
        <v>0</v>
      </c>
      <c r="K4549" s="444">
        <f t="shared" ca="1" si="168"/>
        <v>-368569415794.43457</v>
      </c>
      <c r="L4549" s="444">
        <f t="shared" ca="1" si="169"/>
        <v>-88825229206458.734</v>
      </c>
      <c r="M4549" s="460">
        <f t="shared" si="171"/>
        <v>0.05</v>
      </c>
      <c r="N4549" s="464">
        <f t="shared" si="172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70"/>
        <v>-88825229206458.734</v>
      </c>
      <c r="J4550" s="444">
        <f t="array" ref="J4550">IFERROR(INDEX('Retirement Calculator'!K:K,MATCH('Lorri 401b'!N4550,'Retirement Calculator'!A:A,0),0),0)</f>
        <v>0</v>
      </c>
      <c r="K4550" s="444">
        <f t="shared" ca="1" si="168"/>
        <v>-370105121693.57806</v>
      </c>
      <c r="L4550" s="444">
        <f t="shared" ca="1" si="169"/>
        <v>-89195334328152.313</v>
      </c>
      <c r="M4550" s="460">
        <f t="shared" si="171"/>
        <v>0.05</v>
      </c>
      <c r="N4550" s="464">
        <f t="shared" si="172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70"/>
        <v>-89195334328152.313</v>
      </c>
      <c r="J4551" s="444">
        <f t="array" ref="J4551">IFERROR(INDEX('Retirement Calculator'!K:K,MATCH('Lorri 401b'!N4551,'Retirement Calculator'!A:A,0),0),0)</f>
        <v>0</v>
      </c>
      <c r="K4551" s="444">
        <f t="shared" ca="1" si="168"/>
        <v>-371647226367.30127</v>
      </c>
      <c r="L4551" s="444">
        <f t="shared" ca="1" si="169"/>
        <v>-89566981554519.609</v>
      </c>
      <c r="M4551" s="460">
        <f t="shared" si="171"/>
        <v>0.05</v>
      </c>
      <c r="N4551" s="464">
        <f t="shared" si="172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70"/>
        <v>-89566981554519.609</v>
      </c>
      <c r="J4552" s="444">
        <f t="array" ref="J4552">IFERROR(INDEX('Retirement Calculator'!K:K,MATCH('Lorri 401b'!N4552,'Retirement Calculator'!A:A,0),0),0)</f>
        <v>0</v>
      </c>
      <c r="K4552" s="444">
        <f t="shared" ca="1" si="168"/>
        <v>-373195756477.16504</v>
      </c>
      <c r="L4552" s="444">
        <f t="shared" ca="1" si="169"/>
        <v>-89940177310996.781</v>
      </c>
      <c r="M4552" s="460">
        <f t="shared" si="171"/>
        <v>0.05</v>
      </c>
      <c r="N4552" s="464">
        <f t="shared" si="172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70"/>
        <v>-89940177310996.781</v>
      </c>
      <c r="J4553" s="444">
        <f t="array" ref="J4553">IFERROR(INDEX('Retirement Calculator'!K:K,MATCH('Lorri 401b'!N4553,'Retirement Calculator'!A:A,0),0),0)</f>
        <v>0</v>
      </c>
      <c r="K4553" s="444">
        <f t="shared" ca="1" si="168"/>
        <v>-374750738795.81995</v>
      </c>
      <c r="L4553" s="444">
        <f t="shared" ca="1" si="169"/>
        <v>-90314928049792.594</v>
      </c>
      <c r="M4553" s="460">
        <f t="shared" si="171"/>
        <v>0.05</v>
      </c>
      <c r="N4553" s="464">
        <f t="shared" si="172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70"/>
        <v>-90314928049792.594</v>
      </c>
      <c r="J4554" s="444">
        <f t="array" ref="J4554">IFERROR(INDEX('Retirement Calculator'!K:K,MATCH('Lorri 401b'!N4554,'Retirement Calculator'!A:A,0),0),0)</f>
        <v>0</v>
      </c>
      <c r="K4554" s="444">
        <f t="shared" ca="1" si="168"/>
        <v>-376312200207.46912</v>
      </c>
      <c r="L4554" s="444">
        <f t="shared" ca="1" si="169"/>
        <v>-90691240250000.063</v>
      </c>
      <c r="M4554" s="460">
        <f t="shared" si="171"/>
        <v>0.05</v>
      </c>
      <c r="N4554" s="464">
        <f t="shared" si="172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70"/>
        <v>-90691240250000.063</v>
      </c>
      <c r="J4555" s="444">
        <f t="array" ref="J4555">IFERROR(INDEX('Retirement Calculator'!K:K,MATCH('Lorri 401b'!N4555,'Retirement Calculator'!A:A,0),0),0)</f>
        <v>0</v>
      </c>
      <c r="K4555" s="444">
        <f t="shared" ca="1" si="168"/>
        <v>-377880167708.33362</v>
      </c>
      <c r="L4555" s="444">
        <f t="shared" ca="1" si="169"/>
        <v>-91069120417708.391</v>
      </c>
      <c r="M4555" s="460">
        <f t="shared" si="171"/>
        <v>0.05</v>
      </c>
      <c r="N4555" s="464">
        <f t="shared" si="172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70"/>
        <v>-91069120417708.391</v>
      </c>
      <c r="J4556" s="444">
        <f t="array" ref="J4556">IFERROR(INDEX('Retirement Calculator'!K:K,MATCH('Lorri 401b'!N4556,'Retirement Calculator'!A:A,0),0),0)</f>
        <v>0</v>
      </c>
      <c r="K4556" s="444">
        <f t="shared" ca="1" si="168"/>
        <v>-379454668407.11829</v>
      </c>
      <c r="L4556" s="444">
        <f t="shared" ca="1" si="169"/>
        <v>-91448575086115.516</v>
      </c>
      <c r="M4556" s="460">
        <f t="shared" si="171"/>
        <v>0.05</v>
      </c>
      <c r="N4556" s="464">
        <f t="shared" si="172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70"/>
        <v>-91448575086115.516</v>
      </c>
      <c r="J4557" s="444">
        <f t="array" ref="J4557">IFERROR(INDEX('Retirement Calculator'!K:K,MATCH('Lorri 401b'!N4557,'Retirement Calculator'!A:A,0),0),0)</f>
        <v>0</v>
      </c>
      <c r="K4557" s="444">
        <f t="shared" ca="1" si="168"/>
        <v>-381035729525.48132</v>
      </c>
      <c r="L4557" s="444">
        <f t="shared" ca="1" si="169"/>
        <v>-91829610815641</v>
      </c>
      <c r="M4557" s="460">
        <f t="shared" si="171"/>
        <v>0.05</v>
      </c>
      <c r="N4557" s="464">
        <f t="shared" si="172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70"/>
        <v>-91829610815641</v>
      </c>
      <c r="J4558" s="444">
        <f t="array" ref="J4558">IFERROR(INDEX('Retirement Calculator'!K:K,MATCH('Lorri 401b'!N4558,'Retirement Calculator'!A:A,0),0),0)</f>
        <v>0</v>
      </c>
      <c r="K4558" s="444">
        <f t="shared" ca="1" si="168"/>
        <v>-382623378398.50415</v>
      </c>
      <c r="L4558" s="444">
        <f t="shared" ca="1" si="169"/>
        <v>-92212234194039.5</v>
      </c>
      <c r="M4558" s="460">
        <f t="shared" si="171"/>
        <v>0.05</v>
      </c>
      <c r="N4558" s="464">
        <f t="shared" si="172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70"/>
        <v>-92212234194039.5</v>
      </c>
      <c r="J4559" s="444">
        <f t="array" ref="J4559">IFERROR(INDEX('Retirement Calculator'!K:K,MATCH('Lorri 401b'!N4559,'Retirement Calculator'!A:A,0),0),0)</f>
        <v>0</v>
      </c>
      <c r="K4559" s="444">
        <f t="shared" ca="1" si="168"/>
        <v>-384217642475.16455</v>
      </c>
      <c r="L4559" s="444">
        <f t="shared" ca="1" si="169"/>
        <v>-92596451836514.672</v>
      </c>
      <c r="M4559" s="460">
        <f t="shared" si="171"/>
        <v>0.05</v>
      </c>
      <c r="N4559" s="464">
        <f t="shared" si="172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70"/>
        <v>-92596451836514.672</v>
      </c>
      <c r="J4560" s="444">
        <f t="array" ref="J4560">IFERROR(INDEX('Retirement Calculator'!K:K,MATCH('Lorri 401b'!N4560,'Retirement Calculator'!A:A,0),0),0)</f>
        <v>0</v>
      </c>
      <c r="K4560" s="444">
        <f t="shared" ca="1" si="168"/>
        <v>-385818549318.81116</v>
      </c>
      <c r="L4560" s="444">
        <f t="shared" ca="1" si="169"/>
        <v>-92982270385833.484</v>
      </c>
      <c r="M4560" s="460">
        <f t="shared" si="171"/>
        <v>0.05</v>
      </c>
      <c r="N4560" s="464">
        <f t="shared" si="172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70"/>
        <v>-92982270385833.484</v>
      </c>
      <c r="J4561" s="444">
        <f t="array" ref="J4561">IFERROR(INDEX('Retirement Calculator'!K:K,MATCH('Lorri 401b'!N4561,'Retirement Calculator'!A:A,0),0),0)</f>
        <v>0</v>
      </c>
      <c r="K4561" s="444">
        <f t="shared" ca="1" si="168"/>
        <v>-387426126607.63953</v>
      </c>
      <c r="L4561" s="444">
        <f t="shared" ca="1" si="169"/>
        <v>-93369696512441.125</v>
      </c>
      <c r="M4561" s="460">
        <f t="shared" si="171"/>
        <v>0.05</v>
      </c>
      <c r="N4561" s="464">
        <f t="shared" si="172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70"/>
        <v>-93369696512441.125</v>
      </c>
      <c r="J4562" s="444">
        <f t="array" ref="J4562">IFERROR(INDEX('Retirement Calculator'!K:K,MATCH('Lorri 401b'!N4562,'Retirement Calculator'!A:A,0),0),0)</f>
        <v>0</v>
      </c>
      <c r="K4562" s="444">
        <f t="shared" ca="1" si="168"/>
        <v>-389040402135.17133</v>
      </c>
      <c r="L4562" s="444">
        <f t="shared" ca="1" si="169"/>
        <v>-93758736914576.297</v>
      </c>
      <c r="M4562" s="460">
        <f t="shared" si="171"/>
        <v>0.05</v>
      </c>
      <c r="N4562" s="464">
        <f t="shared" si="172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70"/>
        <v>-93758736914576.297</v>
      </c>
      <c r="J4563" s="444">
        <f t="array" ref="J4563">IFERROR(INDEX('Retirement Calculator'!K:K,MATCH('Lorri 401b'!N4563,'Retirement Calculator'!A:A,0),0),0)</f>
        <v>0</v>
      </c>
      <c r="K4563" s="444">
        <f t="shared" ca="1" si="168"/>
        <v>-390661403810.73456</v>
      </c>
      <c r="L4563" s="444">
        <f t="shared" ca="1" si="169"/>
        <v>-94149398318387.031</v>
      </c>
      <c r="M4563" s="460">
        <f t="shared" si="171"/>
        <v>0.05</v>
      </c>
      <c r="N4563" s="464">
        <f t="shared" si="172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70"/>
        <v>-94149398318387.031</v>
      </c>
      <c r="J4564" s="444">
        <f t="array" ref="J4564">IFERROR(INDEX('Retirement Calculator'!K:K,MATCH('Lorri 401b'!N4564,'Retirement Calculator'!A:A,0),0),0)</f>
        <v>0</v>
      </c>
      <c r="K4564" s="444">
        <f t="shared" ca="1" si="168"/>
        <v>-392289159659.94598</v>
      </c>
      <c r="L4564" s="444">
        <f t="shared" ca="1" si="169"/>
        <v>-94541687478046.984</v>
      </c>
      <c r="M4564" s="460">
        <f t="shared" si="171"/>
        <v>0.05</v>
      </c>
      <c r="N4564" s="464">
        <f t="shared" si="172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70"/>
        <v>-94541687478046.984</v>
      </c>
      <c r="J4565" s="444">
        <f t="array" ref="J4565">IFERROR(INDEX('Retirement Calculator'!K:K,MATCH('Lorri 401b'!N4565,'Retirement Calculator'!A:A,0),0),0)</f>
        <v>0</v>
      </c>
      <c r="K4565" s="444">
        <f t="shared" ca="1" si="168"/>
        <v>-393923697825.19574</v>
      </c>
      <c r="L4565" s="444">
        <f t="shared" ca="1" si="169"/>
        <v>-94935611175872.188</v>
      </c>
      <c r="M4565" s="460">
        <f t="shared" si="171"/>
        <v>0.05</v>
      </c>
      <c r="N4565" s="464">
        <f t="shared" si="172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70"/>
        <v>-94935611175872.188</v>
      </c>
      <c r="J4566" s="444">
        <f t="array" ref="J4566">IFERROR(INDEX('Retirement Calculator'!K:K,MATCH('Lorri 401b'!N4566,'Retirement Calculator'!A:A,0),0),0)</f>
        <v>0</v>
      </c>
      <c r="K4566" s="444">
        <f t="shared" ca="1" si="168"/>
        <v>-395565046566.13409</v>
      </c>
      <c r="L4566" s="444">
        <f t="shared" ca="1" si="169"/>
        <v>-95331176222438.328</v>
      </c>
      <c r="M4566" s="460">
        <f t="shared" si="171"/>
        <v>0.05</v>
      </c>
      <c r="N4566" s="464">
        <f t="shared" si="172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70"/>
        <v>-95331176222438.328</v>
      </c>
      <c r="J4567" s="444">
        <f t="array" ref="J4567">IFERROR(INDEX('Retirement Calculator'!K:K,MATCH('Lorri 401b'!N4567,'Retirement Calculator'!A:A,0),0),0)</f>
        <v>0</v>
      </c>
      <c r="K4567" s="444">
        <f t="shared" ca="1" si="168"/>
        <v>-397213234260.15967</v>
      </c>
      <c r="L4567" s="444">
        <f t="shared" ca="1" si="169"/>
        <v>-95728389456698.484</v>
      </c>
      <c r="M4567" s="460">
        <f t="shared" si="171"/>
        <v>0.05</v>
      </c>
      <c r="N4567" s="464">
        <f t="shared" si="172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70"/>
        <v>-95728389456698.484</v>
      </c>
      <c r="J4568" s="444">
        <f t="array" ref="J4568">IFERROR(INDEX('Retirement Calculator'!K:K,MATCH('Lorri 401b'!N4568,'Retirement Calculator'!A:A,0),0),0)</f>
        <v>0</v>
      </c>
      <c r="K4568" s="444">
        <f t="shared" ca="1" si="168"/>
        <v>-398868289402.91034</v>
      </c>
      <c r="L4568" s="444">
        <f t="shared" ca="1" si="169"/>
        <v>-96127257746101.391</v>
      </c>
      <c r="M4568" s="460">
        <f t="shared" si="171"/>
        <v>0.05</v>
      </c>
      <c r="N4568" s="464">
        <f t="shared" si="172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70"/>
        <v>-96127257746101.391</v>
      </c>
      <c r="J4569" s="444">
        <f t="array" ref="J4569">IFERROR(INDEX('Retirement Calculator'!K:K,MATCH('Lorri 401b'!N4569,'Retirement Calculator'!A:A,0),0),0)</f>
        <v>0</v>
      </c>
      <c r="K4569" s="444">
        <f t="shared" ca="1" si="168"/>
        <v>-400530240608.7558</v>
      </c>
      <c r="L4569" s="444">
        <f t="shared" ca="1" si="169"/>
        <v>-96527787986710.141</v>
      </c>
      <c r="M4569" s="460">
        <f t="shared" si="171"/>
        <v>0.05</v>
      </c>
      <c r="N4569" s="464">
        <f t="shared" si="172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70"/>
        <v>-96527787986710.141</v>
      </c>
      <c r="J4570" s="444">
        <f t="array" ref="J4570">IFERROR(INDEX('Retirement Calculator'!K:K,MATCH('Lorri 401b'!N4570,'Retirement Calculator'!A:A,0),0),0)</f>
        <v>0</v>
      </c>
      <c r="K4570" s="444">
        <f t="shared" ca="1" si="168"/>
        <v>-402199116611.29224</v>
      </c>
      <c r="L4570" s="444">
        <f t="shared" ca="1" si="169"/>
        <v>-96929987103321.438</v>
      </c>
      <c r="M4570" s="460">
        <f t="shared" si="171"/>
        <v>0.05</v>
      </c>
      <c r="N4570" s="464">
        <f t="shared" si="172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70"/>
        <v>-96929987103321.438</v>
      </c>
      <c r="J4571" s="444">
        <f t="array" ref="J4571">IFERROR(INDEX('Retirement Calculator'!K:K,MATCH('Lorri 401b'!N4571,'Retirement Calculator'!A:A,0),0),0)</f>
        <v>0</v>
      </c>
      <c r="K4571" s="444">
        <f t="shared" ca="1" si="168"/>
        <v>-403874946263.83929</v>
      </c>
      <c r="L4571" s="444">
        <f t="shared" ca="1" si="169"/>
        <v>-97333862049585.281</v>
      </c>
      <c r="M4571" s="460">
        <f t="shared" si="171"/>
        <v>0.05</v>
      </c>
      <c r="N4571" s="464">
        <f t="shared" si="172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70"/>
        <v>-97333862049585.281</v>
      </c>
      <c r="J4572" s="444">
        <f t="array" ref="J4572">IFERROR(INDEX('Retirement Calculator'!K:K,MATCH('Lorri 401b'!N4572,'Retirement Calculator'!A:A,0),0),0)</f>
        <v>0</v>
      </c>
      <c r="K4572" s="444">
        <f t="shared" ca="1" si="168"/>
        <v>-405557758539.93866</v>
      </c>
      <c r="L4572" s="444">
        <f t="shared" ca="1" si="169"/>
        <v>-97739419808125.219</v>
      </c>
      <c r="M4572" s="460">
        <f t="shared" si="171"/>
        <v>0.05</v>
      </c>
      <c r="N4572" s="464">
        <f t="shared" si="172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70"/>
        <v>-97739419808125.219</v>
      </c>
      <c r="J4573" s="444">
        <f t="array" ref="J4573">IFERROR(INDEX('Retirement Calculator'!K:K,MATCH('Lorri 401b'!N4573,'Retirement Calculator'!A:A,0),0),0)</f>
        <v>0</v>
      </c>
      <c r="K4573" s="444">
        <f t="shared" ca="1" si="168"/>
        <v>-407247582533.8551</v>
      </c>
      <c r="L4573" s="444">
        <f t="shared" ca="1" si="169"/>
        <v>-98146667390659.078</v>
      </c>
      <c r="M4573" s="460">
        <f t="shared" si="171"/>
        <v>0.05</v>
      </c>
      <c r="N4573" s="464">
        <f t="shared" si="172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70"/>
        <v>-98146667390659.078</v>
      </c>
      <c r="J4574" s="444">
        <f t="array" ref="J4574">IFERROR(INDEX('Retirement Calculator'!K:K,MATCH('Lorri 401b'!N4574,'Retirement Calculator'!A:A,0),0),0)</f>
        <v>0</v>
      </c>
      <c r="K4574" s="444">
        <f t="shared" ca="1" si="168"/>
        <v>-408944447461.07947</v>
      </c>
      <c r="L4574" s="444">
        <f t="shared" ca="1" si="169"/>
        <v>-98555611838120.156</v>
      </c>
      <c r="M4574" s="460">
        <f t="shared" si="171"/>
        <v>0.05</v>
      </c>
      <c r="N4574" s="464">
        <f t="shared" si="172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70"/>
        <v>-98555611838120.156</v>
      </c>
      <c r="J4575" s="444">
        <f t="array" ref="J4575">IFERROR(INDEX('Retirement Calculator'!K:K,MATCH('Lorri 401b'!N4575,'Retirement Calculator'!A:A,0),0),0)</f>
        <v>0</v>
      </c>
      <c r="K4575" s="444">
        <f t="shared" ca="1" si="168"/>
        <v>-410648382658.83398</v>
      </c>
      <c r="L4575" s="444">
        <f t="shared" ca="1" si="169"/>
        <v>-98966260220778.984</v>
      </c>
      <c r="M4575" s="460">
        <f t="shared" si="171"/>
        <v>0.05</v>
      </c>
      <c r="N4575" s="464">
        <f t="shared" si="172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70"/>
        <v>-98966260220778.984</v>
      </c>
      <c r="J4576" s="444">
        <f t="array" ref="J4576">IFERROR(INDEX('Retirement Calculator'!K:K,MATCH('Lorri 401b'!N4576,'Retirement Calculator'!A:A,0),0),0)</f>
        <v>0</v>
      </c>
      <c r="K4576" s="444">
        <f t="shared" ca="1" si="168"/>
        <v>-412359417586.5791</v>
      </c>
      <c r="L4576" s="444">
        <f t="shared" ca="1" si="169"/>
        <v>-99378619638365.563</v>
      </c>
      <c r="M4576" s="460">
        <f t="shared" si="171"/>
        <v>0.05</v>
      </c>
      <c r="N4576" s="464">
        <f t="shared" si="172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70"/>
        <v>-99378619638365.563</v>
      </c>
      <c r="J4577" s="444">
        <f t="array" ref="J4577">IFERROR(INDEX('Retirement Calculator'!K:K,MATCH('Lorri 401b'!N4577,'Retirement Calculator'!A:A,0),0),0)</f>
        <v>0</v>
      </c>
      <c r="K4577" s="444">
        <f t="shared" ca="1" si="168"/>
        <v>-414077581826.52319</v>
      </c>
      <c r="L4577" s="444">
        <f t="shared" ca="1" si="169"/>
        <v>-99792697220192.078</v>
      </c>
      <c r="M4577" s="460">
        <f t="shared" si="171"/>
        <v>0.05</v>
      </c>
      <c r="N4577" s="464">
        <f t="shared" si="172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70"/>
        <v>-99792697220192.078</v>
      </c>
      <c r="J4578" s="444">
        <f t="array" ref="J4578">IFERROR(INDEX('Retirement Calculator'!K:K,MATCH('Lorri 401b'!N4578,'Retirement Calculator'!A:A,0),0),0)</f>
        <v>0</v>
      </c>
      <c r="K4578" s="444">
        <f t="shared" ca="1" si="168"/>
        <v>-415802905084.13367</v>
      </c>
      <c r="L4578" s="444">
        <f t="shared" ca="1" si="169"/>
        <v>-100208500125276.22</v>
      </c>
      <c r="M4578" s="460">
        <f t="shared" si="171"/>
        <v>0.05</v>
      </c>
      <c r="N4578" s="464">
        <f t="shared" si="172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70"/>
        <v>-100208500125276.22</v>
      </c>
      <c r="J4579" s="444">
        <f t="array" ref="J4579">IFERROR(INDEX('Retirement Calculator'!K:K,MATCH('Lorri 401b'!N4579,'Retirement Calculator'!A:A,0),0),0)</f>
        <v>0</v>
      </c>
      <c r="K4579" s="444">
        <f t="shared" ca="1" si="168"/>
        <v>-417535417188.65088</v>
      </c>
      <c r="L4579" s="444">
        <f t="shared" ca="1" si="169"/>
        <v>-100626035542464.88</v>
      </c>
      <c r="M4579" s="460">
        <f t="shared" si="171"/>
        <v>0.05</v>
      </c>
      <c r="N4579" s="464">
        <f t="shared" si="172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70"/>
        <v>-100626035542464.88</v>
      </c>
      <c r="J4580" s="444">
        <f t="array" ref="J4580">IFERROR(INDEX('Retirement Calculator'!K:K,MATCH('Lorri 401b'!N4580,'Retirement Calculator'!A:A,0),0),0)</f>
        <v>0</v>
      </c>
      <c r="K4580" s="444">
        <f t="shared" ca="1" si="168"/>
        <v>-419275148093.60364</v>
      </c>
      <c r="L4580" s="444">
        <f t="shared" ca="1" si="169"/>
        <v>-101045310690558.48</v>
      </c>
      <c r="M4580" s="460">
        <f t="shared" si="171"/>
        <v>0.05</v>
      </c>
      <c r="N4580" s="464">
        <f t="shared" si="172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70"/>
        <v>-101045310690558.48</v>
      </c>
      <c r="J4581" s="444">
        <f t="array" ref="J4581">IFERROR(INDEX('Retirement Calculator'!K:K,MATCH('Lorri 401b'!N4581,'Retirement Calculator'!A:A,0),0),0)</f>
        <v>0</v>
      </c>
      <c r="K4581" s="444">
        <f t="shared" ca="1" si="168"/>
        <v>-421022127877.32703</v>
      </c>
      <c r="L4581" s="444">
        <f t="shared" ca="1" si="169"/>
        <v>-101466332818435.81</v>
      </c>
      <c r="M4581" s="460">
        <f t="shared" si="171"/>
        <v>0.05</v>
      </c>
      <c r="N4581" s="464">
        <f t="shared" si="172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70"/>
        <v>-101466332818435.81</v>
      </c>
      <c r="J4582" s="444">
        <f t="array" ref="J4582">IFERROR(INDEX('Retirement Calculator'!K:K,MATCH('Lorri 401b'!N4582,'Retirement Calculator'!A:A,0),0),0)</f>
        <v>0</v>
      </c>
      <c r="K4582" s="444">
        <f t="shared" ca="1" si="168"/>
        <v>-422776386743.48254</v>
      </c>
      <c r="L4582" s="444">
        <f t="shared" ca="1" si="169"/>
        <v>-101889109205179.3</v>
      </c>
      <c r="M4582" s="460">
        <f t="shared" si="171"/>
        <v>0.05</v>
      </c>
      <c r="N4582" s="464">
        <f t="shared" si="172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70"/>
        <v>-101889109205179.3</v>
      </c>
      <c r="J4583" s="444">
        <f t="array" ref="J4583">IFERROR(INDEX('Retirement Calculator'!K:K,MATCH('Lorri 401b'!N4583,'Retirement Calculator'!A:A,0),0),0)</f>
        <v>0</v>
      </c>
      <c r="K4583" s="444">
        <f t="shared" ca="1" si="168"/>
        <v>-424537955021.58038</v>
      </c>
      <c r="L4583" s="444">
        <f t="shared" ca="1" si="169"/>
        <v>-102313647160200.88</v>
      </c>
      <c r="M4583" s="460">
        <f t="shared" si="171"/>
        <v>0.05</v>
      </c>
      <c r="N4583" s="464">
        <f t="shared" si="172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70"/>
        <v>-102313647160200.88</v>
      </c>
      <c r="J4584" s="444">
        <f t="array" ref="J4584">IFERROR(INDEX('Retirement Calculator'!K:K,MATCH('Lorri 401b'!N4584,'Retirement Calculator'!A:A,0),0),0)</f>
        <v>0</v>
      </c>
      <c r="K4584" s="444">
        <f t="shared" ca="1" si="168"/>
        <v>-426306863167.50366</v>
      </c>
      <c r="L4584" s="444">
        <f t="shared" ca="1" si="169"/>
        <v>-102739954023368.38</v>
      </c>
      <c r="M4584" s="460">
        <f t="shared" si="171"/>
        <v>0.05</v>
      </c>
      <c r="N4584" s="464">
        <f t="shared" si="172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70"/>
        <v>-102739954023368.38</v>
      </c>
      <c r="J4585" s="444">
        <f t="array" ref="J4585">IFERROR(INDEX('Retirement Calculator'!K:K,MATCH('Lorri 401b'!N4585,'Retirement Calculator'!A:A,0),0),0)</f>
        <v>0</v>
      </c>
      <c r="K4585" s="444">
        <f t="shared" ca="1" si="168"/>
        <v>-428083141764.03491</v>
      </c>
      <c r="L4585" s="444">
        <f t="shared" ca="1" si="169"/>
        <v>-103168037165132.41</v>
      </c>
      <c r="M4585" s="460">
        <f t="shared" si="171"/>
        <v>0.05</v>
      </c>
      <c r="N4585" s="464">
        <f t="shared" si="172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70"/>
        <v>-103168037165132.41</v>
      </c>
      <c r="J4586" s="444">
        <f t="array" ref="J4586">IFERROR(INDEX('Retirement Calculator'!K:K,MATCH('Lorri 401b'!N4586,'Retirement Calculator'!A:A,0),0),0)</f>
        <v>0</v>
      </c>
      <c r="K4586" s="444">
        <f t="shared" ca="1" si="168"/>
        <v>-429866821521.38501</v>
      </c>
      <c r="L4586" s="444">
        <f t="shared" ca="1" si="169"/>
        <v>-103597903986653.8</v>
      </c>
      <c r="M4586" s="460">
        <f t="shared" si="171"/>
        <v>0.05</v>
      </c>
      <c r="N4586" s="464">
        <f t="shared" si="172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70"/>
        <v>-103597903986653.8</v>
      </c>
      <c r="J4587" s="444">
        <f t="array" ref="J4587">IFERROR(INDEX('Retirement Calculator'!K:K,MATCH('Lorri 401b'!N4587,'Retirement Calculator'!A:A,0),0),0)</f>
        <v>0</v>
      </c>
      <c r="K4587" s="444">
        <f t="shared" ca="1" si="168"/>
        <v>-431657933277.72412</v>
      </c>
      <c r="L4587" s="444">
        <f t="shared" ca="1" si="169"/>
        <v>-104029561919931.52</v>
      </c>
      <c r="M4587" s="460">
        <f t="shared" si="171"/>
        <v>0.05</v>
      </c>
      <c r="N4587" s="464">
        <f t="shared" si="172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70"/>
        <v>-104029561919931.52</v>
      </c>
      <c r="J4588" s="444">
        <f t="array" ref="J4588">IFERROR(INDEX('Retirement Calculator'!K:K,MATCH('Lorri 401b'!N4588,'Retirement Calculator'!A:A,0),0),0)</f>
        <v>0</v>
      </c>
      <c r="K4588" s="444">
        <f t="shared" ca="1" si="168"/>
        <v>-433456507999.71466</v>
      </c>
      <c r="L4588" s="444">
        <f t="shared" ca="1" si="169"/>
        <v>-104463018427931.23</v>
      </c>
      <c r="M4588" s="460">
        <f t="shared" si="171"/>
        <v>0.05</v>
      </c>
      <c r="N4588" s="464">
        <f t="shared" si="172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70"/>
        <v>-104463018427931.23</v>
      </c>
      <c r="J4589" s="444">
        <f t="array" ref="J4589">IFERROR(INDEX('Retirement Calculator'!K:K,MATCH('Lorri 401b'!N4589,'Retirement Calculator'!A:A,0),0),0)</f>
        <v>0</v>
      </c>
      <c r="K4589" s="444">
        <f t="shared" ca="1" si="168"/>
        <v>-435262576783.04681</v>
      </c>
      <c r="L4589" s="444">
        <f t="shared" ca="1" si="169"/>
        <v>-104898281004714.28</v>
      </c>
      <c r="M4589" s="460">
        <f t="shared" si="171"/>
        <v>0.05</v>
      </c>
      <c r="N4589" s="464">
        <f t="shared" si="172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70"/>
        <v>-104898281004714.28</v>
      </c>
      <c r="J4590" s="444">
        <f t="array" ref="J4590">IFERROR(INDEX('Retirement Calculator'!K:K,MATCH('Lorri 401b'!N4590,'Retirement Calculator'!A:A,0),0),0)</f>
        <v>0</v>
      </c>
      <c r="K4590" s="444">
        <f t="shared" ca="1" si="168"/>
        <v>-437076170852.9762</v>
      </c>
      <c r="L4590" s="444">
        <f t="shared" ca="1" si="169"/>
        <v>-105335357175567.25</v>
      </c>
      <c r="M4590" s="460">
        <f t="shared" si="171"/>
        <v>0.05</v>
      </c>
      <c r="N4590" s="464">
        <f t="shared" si="172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70"/>
        <v>-105335357175567.25</v>
      </c>
      <c r="J4591" s="444">
        <f t="array" ref="J4591">IFERROR(INDEX('Retirement Calculator'!K:K,MATCH('Lorri 401b'!N4591,'Retirement Calculator'!A:A,0),0),0)</f>
        <v>0</v>
      </c>
      <c r="K4591" s="444">
        <f t="shared" ca="1" si="168"/>
        <v>-438897321564.86353</v>
      </c>
      <c r="L4591" s="444">
        <f t="shared" ca="1" si="169"/>
        <v>-105774254497132.11</v>
      </c>
      <c r="M4591" s="460">
        <f t="shared" si="171"/>
        <v>0.05</v>
      </c>
      <c r="N4591" s="464">
        <f t="shared" si="172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70"/>
        <v>-105774254497132.11</v>
      </c>
      <c r="J4592" s="444">
        <f t="array" ref="J4592">IFERROR(INDEX('Retirement Calculator'!K:K,MATCH('Lorri 401b'!N4592,'Retirement Calculator'!A:A,0),0),0)</f>
        <v>0</v>
      </c>
      <c r="K4592" s="444">
        <f t="shared" ca="1" si="168"/>
        <v>-440726060404.7171</v>
      </c>
      <c r="L4592" s="444">
        <f t="shared" ca="1" si="169"/>
        <v>-106214980557536.83</v>
      </c>
      <c r="M4592" s="460">
        <f t="shared" si="171"/>
        <v>0.05</v>
      </c>
      <c r="N4592" s="464">
        <f t="shared" si="172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70"/>
        <v>-106214980557536.83</v>
      </c>
      <c r="J4593" s="444">
        <f t="array" ref="J4593">IFERROR(INDEX('Retirement Calculator'!K:K,MATCH('Lorri 401b'!N4593,'Retirement Calculator'!A:A,0),0),0)</f>
        <v>0</v>
      </c>
      <c r="K4593" s="444">
        <f t="shared" ca="1" si="168"/>
        <v>-442562418989.73676</v>
      </c>
      <c r="L4593" s="444">
        <f t="shared" ca="1" si="169"/>
        <v>-106657542976526.56</v>
      </c>
      <c r="M4593" s="460">
        <f t="shared" si="171"/>
        <v>0.05</v>
      </c>
      <c r="N4593" s="464">
        <f t="shared" si="172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70"/>
        <v>-106657542976526.56</v>
      </c>
      <c r="J4594" s="444">
        <f t="array" ref="J4594">IFERROR(INDEX('Retirement Calculator'!K:K,MATCH('Lorri 401b'!N4594,'Retirement Calculator'!A:A,0),0),0)</f>
        <v>0</v>
      </c>
      <c r="K4594" s="444">
        <f t="shared" ca="1" si="168"/>
        <v>-444406429068.86066</v>
      </c>
      <c r="L4594" s="444">
        <f t="shared" ca="1" si="169"/>
        <v>-107101949405595.42</v>
      </c>
      <c r="M4594" s="460">
        <f t="shared" si="171"/>
        <v>0.05</v>
      </c>
      <c r="N4594" s="464">
        <f t="shared" si="172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70"/>
        <v>-107101949405595.42</v>
      </c>
      <c r="J4595" s="444">
        <f t="array" ref="J4595">IFERROR(INDEX('Retirement Calculator'!K:K,MATCH('Lorri 401b'!N4595,'Retirement Calculator'!A:A,0),0),0)</f>
        <v>0</v>
      </c>
      <c r="K4595" s="444">
        <f t="shared" ca="1" si="168"/>
        <v>-446258122523.31427</v>
      </c>
      <c r="L4595" s="444">
        <f t="shared" ca="1" si="169"/>
        <v>-107548207528118.73</v>
      </c>
      <c r="M4595" s="460">
        <f t="shared" si="171"/>
        <v>0.05</v>
      </c>
      <c r="N4595" s="464">
        <f t="shared" si="172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70"/>
        <v>-107548207528118.73</v>
      </c>
      <c r="J4596" s="444">
        <f t="array" ref="J4596">IFERROR(INDEX('Retirement Calculator'!K:K,MATCH('Lorri 401b'!N4596,'Retirement Calculator'!A:A,0),0),0)</f>
        <v>0</v>
      </c>
      <c r="K4596" s="444">
        <f t="shared" ca="1" si="168"/>
        <v>-448117531367.16138</v>
      </c>
      <c r="L4596" s="444">
        <f t="shared" ca="1" si="169"/>
        <v>-107996325059485.89</v>
      </c>
      <c r="M4596" s="460">
        <f t="shared" si="171"/>
        <v>0.05</v>
      </c>
      <c r="N4596" s="464">
        <f t="shared" si="172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70"/>
        <v>-107996325059485.89</v>
      </c>
      <c r="J4597" s="444">
        <f t="array" ref="J4597">IFERROR(INDEX('Retirement Calculator'!K:K,MATCH('Lorri 401b'!N4597,'Retirement Calculator'!A:A,0),0),0)</f>
        <v>0</v>
      </c>
      <c r="K4597" s="444">
        <f t="shared" ca="1" si="168"/>
        <v>-449984687747.85785</v>
      </c>
      <c r="L4597" s="444">
        <f t="shared" ca="1" si="169"/>
        <v>-108446309747233.75</v>
      </c>
      <c r="M4597" s="460">
        <f t="shared" si="171"/>
        <v>0.05</v>
      </c>
      <c r="N4597" s="464">
        <f t="shared" si="172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70"/>
        <v>-108446309747233.75</v>
      </c>
      <c r="J4598" s="444">
        <f t="array" ref="J4598">IFERROR(INDEX('Retirement Calculator'!K:K,MATCH('Lorri 401b'!N4598,'Retirement Calculator'!A:A,0),0),0)</f>
        <v>0</v>
      </c>
      <c r="K4598" s="444">
        <f t="shared" ref="K4598:K4852" ca="1" si="173">IPMT(M4598/12,1,12,-I4598+J4598,,0)</f>
        <v>-451859623946.80731</v>
      </c>
      <c r="L4598" s="444">
        <f t="shared" ref="L4598:L4852" ca="1" si="174">I4598-J4598+K4598</f>
        <v>-108898169371180.56</v>
      </c>
      <c r="M4598" s="460">
        <f t="shared" si="171"/>
        <v>0.05</v>
      </c>
      <c r="N4598" s="464">
        <f t="shared" si="172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75">L4598</f>
        <v>-108898169371180.56</v>
      </c>
      <c r="J4599" s="444">
        <f t="array" ref="J4599">IFERROR(INDEX('Retirement Calculator'!K:K,MATCH('Lorri 401b'!N4599,'Retirement Calculator'!A:A,0),0),0)</f>
        <v>0</v>
      </c>
      <c r="K4599" s="444">
        <f t="shared" ca="1" si="173"/>
        <v>-453742372379.91901</v>
      </c>
      <c r="L4599" s="444">
        <f t="shared" ca="1" si="174"/>
        <v>-109351911743560.48</v>
      </c>
      <c r="M4599" s="460">
        <f t="shared" ref="M4599:M4853" si="176">M4598</f>
        <v>0.05</v>
      </c>
      <c r="N4599" s="464">
        <f t="shared" ref="N4599:N4853" si="177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75"/>
        <v>-109351911743560.48</v>
      </c>
      <c r="J4600" s="444">
        <f t="array" ref="J4600">IFERROR(INDEX('Retirement Calculator'!K:K,MATCH('Lorri 401b'!N4600,'Retirement Calculator'!A:A,0),0),0)</f>
        <v>0</v>
      </c>
      <c r="K4600" s="444">
        <f t="shared" ca="1" si="173"/>
        <v>-455632965598.1687</v>
      </c>
      <c r="L4600" s="444">
        <f t="shared" ca="1" si="174"/>
        <v>-109807544709158.66</v>
      </c>
      <c r="M4600" s="460">
        <f t="shared" si="176"/>
        <v>0.05</v>
      </c>
      <c r="N4600" s="464">
        <f t="shared" si="177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75"/>
        <v>-109807544709158.66</v>
      </c>
      <c r="J4601" s="444">
        <f t="array" ref="J4601">IFERROR(INDEX('Retirement Calculator'!K:K,MATCH('Lorri 401b'!N4601,'Retirement Calculator'!A:A,0),0),0)</f>
        <v>0</v>
      </c>
      <c r="K4601" s="444">
        <f t="shared" ca="1" si="173"/>
        <v>-457531436288.16107</v>
      </c>
      <c r="L4601" s="444">
        <f t="shared" ca="1" si="174"/>
        <v>-110265076145446.81</v>
      </c>
      <c r="M4601" s="460">
        <f t="shared" si="176"/>
        <v>0.05</v>
      </c>
      <c r="N4601" s="464">
        <f t="shared" si="177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75"/>
        <v>-110265076145446.81</v>
      </c>
      <c r="J4602" s="444">
        <f t="array" ref="J4602">IFERROR(INDEX('Retirement Calculator'!K:K,MATCH('Lorri 401b'!N4602,'Retirement Calculator'!A:A,0),0),0)</f>
        <v>0</v>
      </c>
      <c r="K4602" s="444">
        <f t="shared" ca="1" si="173"/>
        <v>-459437817272.69507</v>
      </c>
      <c r="L4602" s="444">
        <f t="shared" ca="1" si="174"/>
        <v>-110724513962719.5</v>
      </c>
      <c r="M4602" s="460">
        <f t="shared" si="176"/>
        <v>0.05</v>
      </c>
      <c r="N4602" s="464">
        <f t="shared" si="177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75"/>
        <v>-110724513962719.5</v>
      </c>
      <c r="J4603" s="444">
        <f t="array" ref="J4603">IFERROR(INDEX('Retirement Calculator'!K:K,MATCH('Lorri 401b'!N4603,'Retirement Calculator'!A:A,0),0),0)</f>
        <v>0</v>
      </c>
      <c r="K4603" s="444">
        <f t="shared" ca="1" si="173"/>
        <v>-461352141511.33124</v>
      </c>
      <c r="L4603" s="444">
        <f t="shared" ca="1" si="174"/>
        <v>-111185866104230.83</v>
      </c>
      <c r="M4603" s="460">
        <f t="shared" si="176"/>
        <v>0.05</v>
      </c>
      <c r="N4603" s="464">
        <f t="shared" si="177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75"/>
        <v>-111185866104230.83</v>
      </c>
      <c r="J4604" s="444">
        <f t="array" ref="J4604">IFERROR(INDEX('Retirement Calculator'!K:K,MATCH('Lorri 401b'!N4604,'Retirement Calculator'!A:A,0),0),0)</f>
        <v>0</v>
      </c>
      <c r="K4604" s="444">
        <f t="shared" ca="1" si="173"/>
        <v>-463274442100.96179</v>
      </c>
      <c r="L4604" s="444">
        <f t="shared" ca="1" si="174"/>
        <v>-111649140546331.8</v>
      </c>
      <c r="M4604" s="460">
        <f t="shared" si="176"/>
        <v>0.05</v>
      </c>
      <c r="N4604" s="464">
        <f t="shared" si="177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75"/>
        <v>-111649140546331.8</v>
      </c>
      <c r="J4605" s="444">
        <f t="array" ref="J4605">IFERROR(INDEX('Retirement Calculator'!K:K,MATCH('Lorri 401b'!N4605,'Retirement Calculator'!A:A,0),0),0)</f>
        <v>0</v>
      </c>
      <c r="K4605" s="444">
        <f t="shared" ca="1" si="173"/>
        <v>-465204752276.38251</v>
      </c>
      <c r="L4605" s="444">
        <f t="shared" ca="1" si="174"/>
        <v>-112114345298608.17</v>
      </c>
      <c r="M4605" s="460">
        <f t="shared" si="176"/>
        <v>0.05</v>
      </c>
      <c r="N4605" s="464">
        <f t="shared" si="177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75"/>
        <v>-112114345298608.17</v>
      </c>
      <c r="J4606" s="444">
        <f t="array" ref="J4606">IFERROR(INDEX('Retirement Calculator'!K:K,MATCH('Lorri 401b'!N4606,'Retirement Calculator'!A:A,0),0),0)</f>
        <v>0</v>
      </c>
      <c r="K4606" s="444">
        <f t="shared" ca="1" si="173"/>
        <v>-467143105410.86737</v>
      </c>
      <c r="L4606" s="444">
        <f t="shared" ca="1" si="174"/>
        <v>-112581488404019.05</v>
      </c>
      <c r="M4606" s="460">
        <f t="shared" si="176"/>
        <v>0.05</v>
      </c>
      <c r="N4606" s="464">
        <f t="shared" si="177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75"/>
        <v>-112581488404019.05</v>
      </c>
      <c r="J4607" s="444">
        <f t="array" ref="J4607">IFERROR(INDEX('Retirement Calculator'!K:K,MATCH('Lorri 401b'!N4607,'Retirement Calculator'!A:A,0),0),0)</f>
        <v>0</v>
      </c>
      <c r="K4607" s="444">
        <f t="shared" ca="1" si="173"/>
        <v>-469089535016.74603</v>
      </c>
      <c r="L4607" s="444">
        <f t="shared" ca="1" si="174"/>
        <v>-113050577939035.8</v>
      </c>
      <c r="M4607" s="460">
        <f t="shared" si="176"/>
        <v>0.05</v>
      </c>
      <c r="N4607" s="464">
        <f t="shared" si="177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75"/>
        <v>-113050577939035.8</v>
      </c>
      <c r="J4608" s="444">
        <f t="array" ref="J4608">IFERROR(INDEX('Retirement Calculator'!K:K,MATCH('Lorri 401b'!N4608,'Retirement Calculator'!A:A,0),0),0)</f>
        <v>0</v>
      </c>
      <c r="K4608" s="444">
        <f t="shared" ca="1" si="173"/>
        <v>-471044074745.98254</v>
      </c>
      <c r="L4608" s="444">
        <f t="shared" ca="1" si="174"/>
        <v>-113521622013781.78</v>
      </c>
      <c r="M4608" s="460">
        <f t="shared" si="176"/>
        <v>0.05</v>
      </c>
      <c r="N4608" s="464">
        <f t="shared" si="177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75"/>
        <v>-113521622013781.78</v>
      </c>
      <c r="J4609" s="444">
        <f t="array" ref="J4609">IFERROR(INDEX('Retirement Calculator'!K:K,MATCH('Lorri 401b'!N4609,'Retirement Calculator'!A:A,0),0),0)</f>
        <v>0</v>
      </c>
      <c r="K4609" s="444">
        <f t="shared" ca="1" si="173"/>
        <v>-473006758390.75739</v>
      </c>
      <c r="L4609" s="444">
        <f t="shared" ca="1" si="174"/>
        <v>-113994628772172.53</v>
      </c>
      <c r="M4609" s="460">
        <f t="shared" si="176"/>
        <v>0.05</v>
      </c>
      <c r="N4609" s="464">
        <f t="shared" si="177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75"/>
        <v>-113994628772172.53</v>
      </c>
      <c r="J4610" s="444">
        <f t="array" ref="J4610">IFERROR(INDEX('Retirement Calculator'!K:K,MATCH('Lorri 401b'!N4610,'Retirement Calculator'!A:A,0),0),0)</f>
        <v>0</v>
      </c>
      <c r="K4610" s="444">
        <f t="shared" ca="1" si="173"/>
        <v>-474977619884.05219</v>
      </c>
      <c r="L4610" s="444">
        <f t="shared" ca="1" si="174"/>
        <v>-114469606392056.58</v>
      </c>
      <c r="M4610" s="460">
        <f t="shared" si="176"/>
        <v>0.05</v>
      </c>
      <c r="N4610" s="464">
        <f t="shared" si="177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75"/>
        <v>-114469606392056.58</v>
      </c>
      <c r="J4611" s="444">
        <f t="array" ref="J4611">IFERROR(INDEX('Retirement Calculator'!K:K,MATCH('Lorri 401b'!N4611,'Retirement Calculator'!A:A,0),0),0)</f>
        <v>0</v>
      </c>
      <c r="K4611" s="444">
        <f t="shared" ca="1" si="173"/>
        <v>-476956693300.23566</v>
      </c>
      <c r="L4611" s="444">
        <f t="shared" ca="1" si="174"/>
        <v>-114946563085356.81</v>
      </c>
      <c r="M4611" s="460">
        <f t="shared" si="176"/>
        <v>0.05</v>
      </c>
      <c r="N4611" s="464">
        <f t="shared" si="177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75"/>
        <v>-114946563085356.81</v>
      </c>
      <c r="J4612" s="444">
        <f t="array" ref="J4612">IFERROR(INDEX('Retirement Calculator'!K:K,MATCH('Lorri 401b'!N4612,'Retirement Calculator'!A:A,0),0),0)</f>
        <v>0</v>
      </c>
      <c r="K4612" s="444">
        <f t="shared" ca="1" si="173"/>
        <v>-478944012855.65338</v>
      </c>
      <c r="L4612" s="444">
        <f t="shared" ca="1" si="174"/>
        <v>-115425507098212.47</v>
      </c>
      <c r="M4612" s="460">
        <f t="shared" si="176"/>
        <v>0.05</v>
      </c>
      <c r="N4612" s="464">
        <f t="shared" si="177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75"/>
        <v>-115425507098212.47</v>
      </c>
      <c r="J4613" s="444">
        <f t="array" ref="J4613">IFERROR(INDEX('Retirement Calculator'!K:K,MATCH('Lorri 401b'!N4613,'Retirement Calculator'!A:A,0),0),0)</f>
        <v>0</v>
      </c>
      <c r="K4613" s="444">
        <f t="shared" ca="1" si="173"/>
        <v>-480939612909.21869</v>
      </c>
      <c r="L4613" s="444">
        <f t="shared" ca="1" si="174"/>
        <v>-115906446711121.69</v>
      </c>
      <c r="M4613" s="460">
        <f t="shared" si="176"/>
        <v>0.05</v>
      </c>
      <c r="N4613" s="464">
        <f t="shared" si="177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75"/>
        <v>-115906446711121.69</v>
      </c>
      <c r="J4614" s="444">
        <f t="array" ref="J4614">IFERROR(INDEX('Retirement Calculator'!K:K,MATCH('Lorri 401b'!N4614,'Retirement Calculator'!A:A,0),0),0)</f>
        <v>0</v>
      </c>
      <c r="K4614" s="444">
        <f t="shared" ca="1" si="173"/>
        <v>-482943527963.00702</v>
      </c>
      <c r="L4614" s="444">
        <f t="shared" ca="1" si="174"/>
        <v>-116389390239084.69</v>
      </c>
      <c r="M4614" s="460">
        <f t="shared" si="176"/>
        <v>0.05</v>
      </c>
      <c r="N4614" s="464">
        <f t="shared" si="177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75"/>
        <v>-116389390239084.69</v>
      </c>
      <c r="J4615" s="444">
        <f t="array" ref="J4615">IFERROR(INDEX('Retirement Calculator'!K:K,MATCH('Lorri 401b'!N4615,'Retirement Calculator'!A:A,0),0),0)</f>
        <v>0</v>
      </c>
      <c r="K4615" s="444">
        <f t="shared" ca="1" si="173"/>
        <v>-484955792662.85278</v>
      </c>
      <c r="L4615" s="444">
        <f t="shared" ca="1" si="174"/>
        <v>-116874346031747.55</v>
      </c>
      <c r="M4615" s="460">
        <f t="shared" si="176"/>
        <v>0.05</v>
      </c>
      <c r="N4615" s="464">
        <f t="shared" si="177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75"/>
        <v>-116874346031747.55</v>
      </c>
      <c r="J4616" s="444">
        <f t="array" ref="J4616">IFERROR(INDEX('Retirement Calculator'!K:K,MATCH('Lorri 401b'!N4616,'Retirement Calculator'!A:A,0),0),0)</f>
        <v>0</v>
      </c>
      <c r="K4616" s="444">
        <f t="shared" ca="1" si="173"/>
        <v>-486976441798.94812</v>
      </c>
      <c r="L4616" s="444">
        <f t="shared" ca="1" si="174"/>
        <v>-117361322473546.5</v>
      </c>
      <c r="M4616" s="460">
        <f t="shared" si="176"/>
        <v>0.05</v>
      </c>
      <c r="N4616" s="464">
        <f t="shared" si="177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75"/>
        <v>-117361322473546.5</v>
      </c>
      <c r="J4617" s="444">
        <f t="array" ref="J4617">IFERROR(INDEX('Retirement Calculator'!K:K,MATCH('Lorri 401b'!N4617,'Retirement Calculator'!A:A,0),0),0)</f>
        <v>0</v>
      </c>
      <c r="K4617" s="444">
        <f t="shared" ca="1" si="173"/>
        <v>-489005510306.44373</v>
      </c>
      <c r="L4617" s="444">
        <f t="shared" ca="1" si="174"/>
        <v>-117850327983852.94</v>
      </c>
      <c r="M4617" s="460">
        <f t="shared" si="176"/>
        <v>0.05</v>
      </c>
      <c r="N4617" s="464">
        <f t="shared" si="177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75"/>
        <v>-117850327983852.94</v>
      </c>
      <c r="J4618" s="444">
        <f t="array" ref="J4618">IFERROR(INDEX('Retirement Calculator'!K:K,MATCH('Lorri 401b'!N4618,'Retirement Calculator'!A:A,0),0),0)</f>
        <v>0</v>
      </c>
      <c r="K4618" s="444">
        <f t="shared" ca="1" si="173"/>
        <v>-491043033266.05389</v>
      </c>
      <c r="L4618" s="444">
        <f t="shared" ca="1" si="174"/>
        <v>-118341371017118.98</v>
      </c>
      <c r="M4618" s="460">
        <f t="shared" si="176"/>
        <v>0.05</v>
      </c>
      <c r="N4618" s="464">
        <f t="shared" si="177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75"/>
        <v>-118341371017118.98</v>
      </c>
      <c r="J4619" s="444">
        <f t="array" ref="J4619">IFERROR(INDEX('Retirement Calculator'!K:K,MATCH('Lorri 401b'!N4619,'Retirement Calculator'!A:A,0),0),0)</f>
        <v>0</v>
      </c>
      <c r="K4619" s="444">
        <f t="shared" ca="1" si="173"/>
        <v>-493089045904.66241</v>
      </c>
      <c r="L4619" s="444">
        <f t="shared" ca="1" si="174"/>
        <v>-118834460063023.64</v>
      </c>
      <c r="M4619" s="460">
        <f t="shared" si="176"/>
        <v>0.05</v>
      </c>
      <c r="N4619" s="464">
        <f t="shared" si="177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75"/>
        <v>-118834460063023.64</v>
      </c>
      <c r="J4620" s="444">
        <f t="array" ref="J4620">IFERROR(INDEX('Retirement Calculator'!K:K,MATCH('Lorri 401b'!N4620,'Retirement Calculator'!A:A,0),0),0)</f>
        <v>0</v>
      </c>
      <c r="K4620" s="444">
        <f t="shared" ca="1" si="173"/>
        <v>-495143583595.93182</v>
      </c>
      <c r="L4620" s="444">
        <f t="shared" ca="1" si="174"/>
        <v>-119329603646619.58</v>
      </c>
      <c r="M4620" s="460">
        <f t="shared" si="176"/>
        <v>0.05</v>
      </c>
      <c r="N4620" s="464">
        <f t="shared" si="177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75"/>
        <v>-119329603646619.58</v>
      </c>
      <c r="J4621" s="444">
        <f t="array" ref="J4621">IFERROR(INDEX('Retirement Calculator'!K:K,MATCH('Lorri 401b'!N4621,'Retirement Calculator'!A:A,0),0),0)</f>
        <v>0</v>
      </c>
      <c r="K4621" s="444">
        <f t="shared" ca="1" si="173"/>
        <v>-497206681860.91486</v>
      </c>
      <c r="L4621" s="444">
        <f t="shared" ca="1" si="174"/>
        <v>-119826810328480.5</v>
      </c>
      <c r="M4621" s="460">
        <f t="shared" si="176"/>
        <v>0.05</v>
      </c>
      <c r="N4621" s="464">
        <f t="shared" si="177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75"/>
        <v>-119826810328480.5</v>
      </c>
      <c r="J4622" s="444">
        <f t="array" ref="J4622">IFERROR(INDEX('Retirement Calculator'!K:K,MATCH('Lorri 401b'!N4622,'Retirement Calculator'!A:A,0),0),0)</f>
        <v>0</v>
      </c>
      <c r="K4622" s="444">
        <f t="shared" ca="1" si="173"/>
        <v>-499278376368.66876</v>
      </c>
      <c r="L4622" s="444">
        <f t="shared" ca="1" si="174"/>
        <v>-120326088704849.17</v>
      </c>
      <c r="M4622" s="460">
        <f t="shared" si="176"/>
        <v>0.05</v>
      </c>
      <c r="N4622" s="464">
        <f t="shared" si="177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75"/>
        <v>-120326088704849.17</v>
      </c>
      <c r="J4623" s="444">
        <f t="array" ref="J4623">IFERROR(INDEX('Retirement Calculator'!K:K,MATCH('Lorri 401b'!N4623,'Retirement Calculator'!A:A,0),0),0)</f>
        <v>0</v>
      </c>
      <c r="K4623" s="444">
        <f t="shared" ca="1" si="173"/>
        <v>-501358702936.87152</v>
      </c>
      <c r="L4623" s="444">
        <f t="shared" ca="1" si="174"/>
        <v>-120827447407786.05</v>
      </c>
      <c r="M4623" s="460">
        <f t="shared" si="176"/>
        <v>0.05</v>
      </c>
      <c r="N4623" s="464">
        <f t="shared" si="177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75"/>
        <v>-120827447407786.05</v>
      </c>
      <c r="J4624" s="444">
        <f t="array" ref="J4624">IFERROR(INDEX('Retirement Calculator'!K:K,MATCH('Lorri 401b'!N4624,'Retirement Calculator'!A:A,0),0),0)</f>
        <v>0</v>
      </c>
      <c r="K4624" s="444">
        <f t="shared" ca="1" si="173"/>
        <v>-503447697532.44189</v>
      </c>
      <c r="L4624" s="444">
        <f t="shared" ca="1" si="174"/>
        <v>-121330895105318.48</v>
      </c>
      <c r="M4624" s="460">
        <f t="shared" si="176"/>
        <v>0.05</v>
      </c>
      <c r="N4624" s="464">
        <f t="shared" si="177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75"/>
        <v>-121330895105318.48</v>
      </c>
      <c r="J4625" s="444">
        <f t="array" ref="J4625">IFERROR(INDEX('Retirement Calculator'!K:K,MATCH('Lorri 401b'!N4625,'Retirement Calculator'!A:A,0),0),0)</f>
        <v>0</v>
      </c>
      <c r="K4625" s="444">
        <f t="shared" ca="1" si="173"/>
        <v>-505545396272.1604</v>
      </c>
      <c r="L4625" s="444">
        <f t="shared" ca="1" si="174"/>
        <v>-121836440501590.64</v>
      </c>
      <c r="M4625" s="460">
        <f t="shared" si="176"/>
        <v>0.05</v>
      </c>
      <c r="N4625" s="464">
        <f t="shared" si="177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75"/>
        <v>-121836440501590.64</v>
      </c>
      <c r="J4626" s="444">
        <f t="array" ref="J4626">IFERROR(INDEX('Retirement Calculator'!K:K,MATCH('Lorri 401b'!N4626,'Retirement Calculator'!A:A,0),0),0)</f>
        <v>0</v>
      </c>
      <c r="K4626" s="444">
        <f t="shared" ca="1" si="173"/>
        <v>-507651835423.29431</v>
      </c>
      <c r="L4626" s="444">
        <f t="shared" ca="1" si="174"/>
        <v>-122344092337013.94</v>
      </c>
      <c r="M4626" s="460">
        <f t="shared" si="176"/>
        <v>0.05</v>
      </c>
      <c r="N4626" s="464">
        <f t="shared" si="177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75"/>
        <v>-122344092337013.94</v>
      </c>
      <c r="J4627" s="444">
        <f t="array" ref="J4627">IFERROR(INDEX('Retirement Calculator'!K:K,MATCH('Lorri 401b'!N4627,'Retirement Calculator'!A:A,0),0),0)</f>
        <v>0</v>
      </c>
      <c r="K4627" s="444">
        <f t="shared" ca="1" si="173"/>
        <v>-509767051404.22479</v>
      </c>
      <c r="L4627" s="444">
        <f t="shared" ca="1" si="174"/>
        <v>-122853859388418.16</v>
      </c>
      <c r="M4627" s="460">
        <f t="shared" si="176"/>
        <v>0.05</v>
      </c>
      <c r="N4627" s="464">
        <f t="shared" si="177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75"/>
        <v>-122853859388418.16</v>
      </c>
      <c r="J4628" s="444">
        <f t="array" ref="J4628">IFERROR(INDEX('Retirement Calculator'!K:K,MATCH('Lorri 401b'!N4628,'Retirement Calculator'!A:A,0),0),0)</f>
        <v>0</v>
      </c>
      <c r="K4628" s="444">
        <f t="shared" ca="1" si="173"/>
        <v>-511891080785.07562</v>
      </c>
      <c r="L4628" s="444">
        <f t="shared" ca="1" si="174"/>
        <v>-123365750469203.23</v>
      </c>
      <c r="M4628" s="460">
        <f t="shared" si="176"/>
        <v>0.05</v>
      </c>
      <c r="N4628" s="464">
        <f t="shared" si="177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75"/>
        <v>-123365750469203.23</v>
      </c>
      <c r="J4629" s="444">
        <f t="array" ref="J4629">IFERROR(INDEX('Retirement Calculator'!K:K,MATCH('Lorri 401b'!N4629,'Retirement Calculator'!A:A,0),0),0)</f>
        <v>0</v>
      </c>
      <c r="K4629" s="444">
        <f t="shared" ca="1" si="173"/>
        <v>-514023960288.3468</v>
      </c>
      <c r="L4629" s="444">
        <f t="shared" ca="1" si="174"/>
        <v>-123879774429491.58</v>
      </c>
      <c r="M4629" s="460">
        <f t="shared" si="176"/>
        <v>0.05</v>
      </c>
      <c r="N4629" s="464">
        <f t="shared" si="177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75"/>
        <v>-123879774429491.58</v>
      </c>
      <c r="J4630" s="444">
        <f t="array" ref="J4630">IFERROR(INDEX('Retirement Calculator'!K:K,MATCH('Lorri 401b'!N4630,'Retirement Calculator'!A:A,0),0),0)</f>
        <v>0</v>
      </c>
      <c r="K4630" s="444">
        <f t="shared" ca="1" si="173"/>
        <v>-516165726789.54822</v>
      </c>
      <c r="L4630" s="444">
        <f t="shared" ca="1" si="174"/>
        <v>-124395940156281.13</v>
      </c>
      <c r="M4630" s="460">
        <f t="shared" si="176"/>
        <v>0.05</v>
      </c>
      <c r="N4630" s="464">
        <f t="shared" si="177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75"/>
        <v>-124395940156281.13</v>
      </c>
      <c r="J4631" s="444">
        <f t="array" ref="J4631">IFERROR(INDEX('Retirement Calculator'!K:K,MATCH('Lorri 401b'!N4631,'Retirement Calculator'!A:A,0),0),0)</f>
        <v>0</v>
      </c>
      <c r="K4631" s="444">
        <f t="shared" ca="1" si="173"/>
        <v>-518316417317.83801</v>
      </c>
      <c r="L4631" s="444">
        <f t="shared" ca="1" si="174"/>
        <v>-124914256573598.97</v>
      </c>
      <c r="M4631" s="460">
        <f t="shared" si="176"/>
        <v>0.05</v>
      </c>
      <c r="N4631" s="464">
        <f t="shared" si="177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75"/>
        <v>-124914256573598.97</v>
      </c>
      <c r="J4632" s="444">
        <f t="array" ref="J4632">IFERROR(INDEX('Retirement Calculator'!K:K,MATCH('Lorri 401b'!N4632,'Retirement Calculator'!A:A,0),0),0)</f>
        <v>0</v>
      </c>
      <c r="K4632" s="444">
        <f t="shared" ca="1" si="173"/>
        <v>-520476069056.66229</v>
      </c>
      <c r="L4632" s="444">
        <f t="shared" ca="1" si="174"/>
        <v>-125434732642655.63</v>
      </c>
      <c r="M4632" s="460">
        <f t="shared" si="176"/>
        <v>0.05</v>
      </c>
      <c r="N4632" s="464">
        <f t="shared" si="177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75"/>
        <v>-125434732642655.63</v>
      </c>
      <c r="J4633" s="444">
        <f t="array" ref="J4633">IFERROR(INDEX('Retirement Calculator'!K:K,MATCH('Lorri 401b'!N4633,'Retirement Calculator'!A:A,0),0),0)</f>
        <v>0</v>
      </c>
      <c r="K4633" s="444">
        <f t="shared" ca="1" si="173"/>
        <v>-522644719344.39844</v>
      </c>
      <c r="L4633" s="444">
        <f t="shared" ca="1" si="174"/>
        <v>-125957377362000.03</v>
      </c>
      <c r="M4633" s="460">
        <f t="shared" si="176"/>
        <v>0.05</v>
      </c>
      <c r="N4633" s="464">
        <f t="shared" si="177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75"/>
        <v>-125957377362000.03</v>
      </c>
      <c r="J4634" s="444">
        <f t="array" ref="J4634">IFERROR(INDEX('Retirement Calculator'!K:K,MATCH('Lorri 401b'!N4634,'Retirement Calculator'!A:A,0),0),0)</f>
        <v>0</v>
      </c>
      <c r="K4634" s="444">
        <f t="shared" ca="1" si="173"/>
        <v>-524822405675.00012</v>
      </c>
      <c r="L4634" s="444">
        <f t="shared" ca="1" si="174"/>
        <v>-126482199767675.03</v>
      </c>
      <c r="M4634" s="460">
        <f t="shared" si="176"/>
        <v>0.05</v>
      </c>
      <c r="N4634" s="464">
        <f t="shared" si="177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75"/>
        <v>-126482199767675.03</v>
      </c>
      <c r="J4635" s="444">
        <f t="array" ref="J4635">IFERROR(INDEX('Retirement Calculator'!K:K,MATCH('Lorri 401b'!N4635,'Retirement Calculator'!A:A,0),0),0)</f>
        <v>0</v>
      </c>
      <c r="K4635" s="444">
        <f t="shared" ca="1" si="173"/>
        <v>-527009165698.64594</v>
      </c>
      <c r="L4635" s="444">
        <f t="shared" ca="1" si="174"/>
        <v>-127009208933373.67</v>
      </c>
      <c r="M4635" s="460">
        <f t="shared" si="176"/>
        <v>0.05</v>
      </c>
      <c r="N4635" s="464">
        <f t="shared" si="177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75"/>
        <v>-127009208933373.67</v>
      </c>
      <c r="J4636" s="444">
        <f t="array" ref="J4636">IFERROR(INDEX('Retirement Calculator'!K:K,MATCH('Lorri 401b'!N4636,'Retirement Calculator'!A:A,0),0),0)</f>
        <v>0</v>
      </c>
      <c r="K4636" s="444">
        <f t="shared" ca="1" si="173"/>
        <v>-529205037222.39038</v>
      </c>
      <c r="L4636" s="444">
        <f t="shared" ca="1" si="174"/>
        <v>-127538413970596.06</v>
      </c>
      <c r="M4636" s="460">
        <f t="shared" si="176"/>
        <v>0.05</v>
      </c>
      <c r="N4636" s="464">
        <f t="shared" si="177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75"/>
        <v>-127538413970596.06</v>
      </c>
      <c r="J4637" s="444">
        <f t="array" ref="J4637">IFERROR(INDEX('Retirement Calculator'!K:K,MATCH('Lorri 401b'!N4637,'Retirement Calculator'!A:A,0),0),0)</f>
        <v>0</v>
      </c>
      <c r="K4637" s="444">
        <f t="shared" ca="1" si="173"/>
        <v>-531410058210.81683</v>
      </c>
      <c r="L4637" s="444">
        <f t="shared" ca="1" si="174"/>
        <v>-128069824028806.88</v>
      </c>
      <c r="M4637" s="460">
        <f t="shared" si="176"/>
        <v>0.05</v>
      </c>
      <c r="N4637" s="464">
        <f t="shared" si="177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75"/>
        <v>-128069824028806.88</v>
      </c>
      <c r="J4638" s="444">
        <f t="array" ref="J4638">IFERROR(INDEX('Retirement Calculator'!K:K,MATCH('Lorri 401b'!N4638,'Retirement Calculator'!A:A,0),0),0)</f>
        <v>0</v>
      </c>
      <c r="K4638" s="444">
        <f t="shared" ca="1" si="173"/>
        <v>-533624266786.69531</v>
      </c>
      <c r="L4638" s="444">
        <f t="shared" ca="1" si="174"/>
        <v>-128603448295593.56</v>
      </c>
      <c r="M4638" s="460">
        <f t="shared" si="176"/>
        <v>0.05</v>
      </c>
      <c r="N4638" s="464">
        <f t="shared" si="177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75"/>
        <v>-128603448295593.56</v>
      </c>
      <c r="J4639" s="444">
        <f t="array" ref="J4639">IFERROR(INDEX('Retirement Calculator'!K:K,MATCH('Lorri 401b'!N4639,'Retirement Calculator'!A:A,0),0),0)</f>
        <v>0</v>
      </c>
      <c r="K4639" s="444">
        <f t="shared" ca="1" si="173"/>
        <v>-535847701231.63983</v>
      </c>
      <c r="L4639" s="444">
        <f t="shared" ca="1" si="174"/>
        <v>-129139295996825.2</v>
      </c>
      <c r="M4639" s="460">
        <f t="shared" si="176"/>
        <v>0.05</v>
      </c>
      <c r="N4639" s="464">
        <f t="shared" si="177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75"/>
        <v>-129139295996825.2</v>
      </c>
      <c r="J4640" s="444">
        <f t="array" ref="J4640">IFERROR(INDEX('Retirement Calculator'!K:K,MATCH('Lorri 401b'!N4640,'Retirement Calculator'!A:A,0),0),0)</f>
        <v>0</v>
      </c>
      <c r="K4640" s="444">
        <f t="shared" ca="1" si="173"/>
        <v>-538080399986.77167</v>
      </c>
      <c r="L4640" s="444">
        <f t="shared" ca="1" si="174"/>
        <v>-129677376396811.97</v>
      </c>
      <c r="M4640" s="460">
        <f t="shared" si="176"/>
        <v>0.05</v>
      </c>
      <c r="N4640" s="464">
        <f t="shared" si="177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75"/>
        <v>-129677376396811.97</v>
      </c>
      <c r="J4641" s="444">
        <f t="array" ref="J4641">IFERROR(INDEX('Retirement Calculator'!K:K,MATCH('Lorri 401b'!N4641,'Retirement Calculator'!A:A,0),0),0)</f>
        <v>0</v>
      </c>
      <c r="K4641" s="444">
        <f t="shared" ca="1" si="173"/>
        <v>-540322401653.38312</v>
      </c>
      <c r="L4641" s="444">
        <f t="shared" ca="1" si="174"/>
        <v>-130217698798465.36</v>
      </c>
      <c r="M4641" s="460">
        <f t="shared" si="176"/>
        <v>0.05</v>
      </c>
      <c r="N4641" s="464">
        <f t="shared" si="177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75"/>
        <v>-130217698798465.36</v>
      </c>
      <c r="J4642" s="444">
        <f t="array" ref="J4642">IFERROR(INDEX('Retirement Calculator'!K:K,MATCH('Lorri 401b'!N4642,'Retirement Calculator'!A:A,0),0),0)</f>
        <v>0</v>
      </c>
      <c r="K4642" s="444">
        <f t="shared" ca="1" si="173"/>
        <v>-542573744993.60565</v>
      </c>
      <c r="L4642" s="444">
        <f t="shared" ca="1" si="174"/>
        <v>-130760272543458.97</v>
      </c>
      <c r="M4642" s="460">
        <f t="shared" si="176"/>
        <v>0.05</v>
      </c>
      <c r="N4642" s="464">
        <f t="shared" si="177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75"/>
        <v>-130760272543458.97</v>
      </c>
      <c r="J4643" s="444">
        <f t="array" ref="J4643">IFERROR(INDEX('Retirement Calculator'!K:K,MATCH('Lorri 401b'!N4643,'Retirement Calculator'!A:A,0),0),0)</f>
        <v>0</v>
      </c>
      <c r="K4643" s="444">
        <f t="shared" ca="1" si="173"/>
        <v>-544834468931.07904</v>
      </c>
      <c r="L4643" s="444">
        <f t="shared" ca="1" si="174"/>
        <v>-131305107012390.05</v>
      </c>
      <c r="M4643" s="460">
        <f t="shared" si="176"/>
        <v>0.05</v>
      </c>
      <c r="N4643" s="464">
        <f t="shared" si="177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75"/>
        <v>-131305107012390.05</v>
      </c>
      <c r="J4644" s="444">
        <f t="array" ref="J4644">IFERROR(INDEX('Retirement Calculator'!K:K,MATCH('Lorri 401b'!N4644,'Retirement Calculator'!A:A,0),0),0)</f>
        <v>0</v>
      </c>
      <c r="K4644" s="444">
        <f t="shared" ca="1" si="173"/>
        <v>-547104612551.62518</v>
      </c>
      <c r="L4644" s="444">
        <f t="shared" ca="1" si="174"/>
        <v>-131852211624941.67</v>
      </c>
      <c r="M4644" s="460">
        <f t="shared" si="176"/>
        <v>0.05</v>
      </c>
      <c r="N4644" s="464">
        <f t="shared" si="177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75"/>
        <v>-131852211624941.67</v>
      </c>
      <c r="J4645" s="444">
        <f t="array" ref="J4645">IFERROR(INDEX('Retirement Calculator'!K:K,MATCH('Lorri 401b'!N4645,'Retirement Calculator'!A:A,0),0),0)</f>
        <v>0</v>
      </c>
      <c r="K4645" s="444">
        <f t="shared" ca="1" si="173"/>
        <v>-549384215103.92365</v>
      </c>
      <c r="L4645" s="444">
        <f t="shared" ca="1" si="174"/>
        <v>-132401595840045.59</v>
      </c>
      <c r="M4645" s="460">
        <f t="shared" si="176"/>
        <v>0.05</v>
      </c>
      <c r="N4645" s="464">
        <f t="shared" si="177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75"/>
        <v>-132401595840045.59</v>
      </c>
      <c r="J4646" s="444">
        <f t="array" ref="J4646">IFERROR(INDEX('Retirement Calculator'!K:K,MATCH('Lorri 401b'!N4646,'Retirement Calculator'!A:A,0),0),0)</f>
        <v>0</v>
      </c>
      <c r="K4646" s="444">
        <f t="shared" ca="1" si="173"/>
        <v>-551673316000.18994</v>
      </c>
      <c r="L4646" s="444">
        <f t="shared" ca="1" si="174"/>
        <v>-132953269156045.78</v>
      </c>
      <c r="M4646" s="460">
        <f t="shared" si="176"/>
        <v>0.05</v>
      </c>
      <c r="N4646" s="464">
        <f t="shared" si="177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75"/>
        <v>-132953269156045.78</v>
      </c>
      <c r="J4647" s="444">
        <f t="array" ref="J4647">IFERROR(INDEX('Retirement Calculator'!K:K,MATCH('Lorri 401b'!N4647,'Retirement Calculator'!A:A,0),0),0)</f>
        <v>0</v>
      </c>
      <c r="K4647" s="444">
        <f t="shared" ca="1" si="173"/>
        <v>-553971954816.85742</v>
      </c>
      <c r="L4647" s="444">
        <f t="shared" ca="1" si="174"/>
        <v>-133507241110862.64</v>
      </c>
      <c r="M4647" s="460">
        <f t="shared" si="176"/>
        <v>0.05</v>
      </c>
      <c r="N4647" s="464">
        <f t="shared" si="177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75"/>
        <v>-133507241110862.64</v>
      </c>
      <c r="J4648" s="444">
        <f t="array" ref="J4648">IFERROR(INDEX('Retirement Calculator'!K:K,MATCH('Lorri 401b'!N4648,'Retirement Calculator'!A:A,0),0),0)</f>
        <v>0</v>
      </c>
      <c r="K4648" s="444">
        <f t="shared" ca="1" si="173"/>
        <v>-556280171295.26111</v>
      </c>
      <c r="L4648" s="444">
        <f t="shared" ca="1" si="174"/>
        <v>-134063521282157.91</v>
      </c>
      <c r="M4648" s="460">
        <f t="shared" si="176"/>
        <v>0.05</v>
      </c>
      <c r="N4648" s="464">
        <f t="shared" si="177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75"/>
        <v>-134063521282157.91</v>
      </c>
      <c r="J4649" s="444">
        <f t="array" ref="J4649">IFERROR(INDEX('Retirement Calculator'!K:K,MATCH('Lorri 401b'!N4649,'Retirement Calculator'!A:A,0),0),0)</f>
        <v>0</v>
      </c>
      <c r="K4649" s="444">
        <f t="shared" ca="1" si="173"/>
        <v>-558598005342.32458</v>
      </c>
      <c r="L4649" s="444">
        <f t="shared" ca="1" si="174"/>
        <v>-134622119287500.23</v>
      </c>
      <c r="M4649" s="460">
        <f t="shared" si="176"/>
        <v>0.05</v>
      </c>
      <c r="N4649" s="464">
        <f t="shared" si="177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75"/>
        <v>-134622119287500.23</v>
      </c>
      <c r="J4650" s="444">
        <f t="array" ref="J4650">IFERROR(INDEX('Retirement Calculator'!K:K,MATCH('Lorri 401b'!N4650,'Retirement Calculator'!A:A,0),0),0)</f>
        <v>0</v>
      </c>
      <c r="K4650" s="444">
        <f t="shared" ca="1" si="173"/>
        <v>-560925497031.25085</v>
      </c>
      <c r="L4650" s="444">
        <f t="shared" ca="1" si="174"/>
        <v>-135183044784531.48</v>
      </c>
      <c r="M4650" s="460">
        <f t="shared" si="176"/>
        <v>0.05</v>
      </c>
      <c r="N4650" s="464">
        <f t="shared" si="177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75"/>
        <v>-135183044784531.48</v>
      </c>
      <c r="J4651" s="444">
        <f t="array" ref="J4651">IFERROR(INDEX('Retirement Calculator'!K:K,MATCH('Lorri 401b'!N4651,'Retirement Calculator'!A:A,0),0),0)</f>
        <v>0</v>
      </c>
      <c r="K4651" s="444">
        <f t="shared" ca="1" si="173"/>
        <v>-563262686602.21448</v>
      </c>
      <c r="L4651" s="444">
        <f t="shared" ca="1" si="174"/>
        <v>-135746307471133.7</v>
      </c>
      <c r="M4651" s="460">
        <f t="shared" si="176"/>
        <v>0.05</v>
      </c>
      <c r="N4651" s="464">
        <f t="shared" si="177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75"/>
        <v>-135746307471133.7</v>
      </c>
      <c r="J4652" s="444">
        <f t="array" ref="J4652">IFERROR(INDEX('Retirement Calculator'!K:K,MATCH('Lorri 401b'!N4652,'Retirement Calculator'!A:A,0),0),0)</f>
        <v>0</v>
      </c>
      <c r="K4652" s="444">
        <f t="shared" ca="1" si="173"/>
        <v>-565609614463.05713</v>
      </c>
      <c r="L4652" s="444">
        <f t="shared" ca="1" si="174"/>
        <v>-136311917085596.77</v>
      </c>
      <c r="M4652" s="460">
        <f t="shared" si="176"/>
        <v>0.05</v>
      </c>
      <c r="N4652" s="464">
        <f t="shared" si="177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75"/>
        <v>-136311917085596.77</v>
      </c>
      <c r="J4653" s="444">
        <f t="array" ref="J4653">IFERROR(INDEX('Retirement Calculator'!K:K,MATCH('Lorri 401b'!N4653,'Retirement Calculator'!A:A,0),0),0)</f>
        <v>0</v>
      </c>
      <c r="K4653" s="444">
        <f t="shared" ca="1" si="173"/>
        <v>-567966321189.98657</v>
      </c>
      <c r="L4653" s="444">
        <f t="shared" ca="1" si="174"/>
        <v>-136879883406786.75</v>
      </c>
      <c r="M4653" s="460">
        <f t="shared" si="176"/>
        <v>0.05</v>
      </c>
      <c r="N4653" s="464">
        <f t="shared" si="177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75"/>
        <v>-136879883406786.75</v>
      </c>
      <c r="J4654" s="444">
        <f t="array" ref="J4654">IFERROR(INDEX('Retirement Calculator'!K:K,MATCH('Lorri 401b'!N4654,'Retirement Calculator'!A:A,0),0),0)</f>
        <v>0</v>
      </c>
      <c r="K4654" s="444">
        <f t="shared" ca="1" si="173"/>
        <v>-570332847528.27808</v>
      </c>
      <c r="L4654" s="444">
        <f t="shared" ca="1" si="174"/>
        <v>-137450216254315.03</v>
      </c>
      <c r="M4654" s="460">
        <f t="shared" si="176"/>
        <v>0.05</v>
      </c>
      <c r="N4654" s="464">
        <f t="shared" si="177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75"/>
        <v>-137450216254315.03</v>
      </c>
      <c r="J4655" s="444">
        <f t="array" ref="J4655">IFERROR(INDEX('Retirement Calculator'!K:K,MATCH('Lorri 401b'!N4655,'Retirement Calculator'!A:A,0),0),0)</f>
        <v>0</v>
      </c>
      <c r="K4655" s="444">
        <f t="shared" ca="1" si="173"/>
        <v>-572709234392.97925</v>
      </c>
      <c r="L4655" s="444">
        <f t="shared" ca="1" si="174"/>
        <v>-138022925488708.02</v>
      </c>
      <c r="M4655" s="460">
        <f t="shared" si="176"/>
        <v>0.05</v>
      </c>
      <c r="N4655" s="464">
        <f t="shared" si="177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75"/>
        <v>-138022925488708.02</v>
      </c>
      <c r="J4656" s="444">
        <f t="array" ref="J4656">IFERROR(INDEX('Retirement Calculator'!K:K,MATCH('Lorri 401b'!N4656,'Retirement Calculator'!A:A,0),0),0)</f>
        <v>0</v>
      </c>
      <c r="K4656" s="444">
        <f t="shared" ca="1" si="173"/>
        <v>-575095522869.6167</v>
      </c>
      <c r="L4656" s="444">
        <f t="shared" ca="1" si="174"/>
        <v>-138598021011577.63</v>
      </c>
      <c r="M4656" s="460">
        <f t="shared" si="176"/>
        <v>0.05</v>
      </c>
      <c r="N4656" s="464">
        <f t="shared" si="177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75"/>
        <v>-138598021011577.63</v>
      </c>
      <c r="J4657" s="444">
        <f t="array" ref="J4657">IFERROR(INDEX('Retirement Calculator'!K:K,MATCH('Lorri 401b'!N4657,'Retirement Calculator'!A:A,0),0),0)</f>
        <v>0</v>
      </c>
      <c r="K4657" s="444">
        <f t="shared" ca="1" si="173"/>
        <v>-577491754214.90674</v>
      </c>
      <c r="L4657" s="444">
        <f t="shared" ca="1" si="174"/>
        <v>-139175512765792.53</v>
      </c>
      <c r="M4657" s="460">
        <f t="shared" si="176"/>
        <v>0.05</v>
      </c>
      <c r="N4657" s="464">
        <f t="shared" si="177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75"/>
        <v>-139175512765792.53</v>
      </c>
      <c r="J4658" s="444">
        <f t="array" ref="J4658">IFERROR(INDEX('Retirement Calculator'!K:K,MATCH('Lorri 401b'!N4658,'Retirement Calculator'!A:A,0),0),0)</f>
        <v>0</v>
      </c>
      <c r="K4658" s="444">
        <f t="shared" ca="1" si="173"/>
        <v>-579897969857.46887</v>
      </c>
      <c r="L4658" s="444">
        <f t="shared" ca="1" si="174"/>
        <v>-139755410735650</v>
      </c>
      <c r="M4658" s="460">
        <f t="shared" si="176"/>
        <v>0.05</v>
      </c>
      <c r="N4658" s="464">
        <f t="shared" si="177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75"/>
        <v>-139755410735650</v>
      </c>
      <c r="J4659" s="444">
        <f t="array" ref="J4659">IFERROR(INDEX('Retirement Calculator'!K:K,MATCH('Lorri 401b'!N4659,'Retirement Calculator'!A:A,0),0),0)</f>
        <v>0</v>
      </c>
      <c r="K4659" s="444">
        <f t="shared" ca="1" si="173"/>
        <v>-582314211398.54163</v>
      </c>
      <c r="L4659" s="444">
        <f t="shared" ca="1" si="174"/>
        <v>-140337724947048.55</v>
      </c>
      <c r="M4659" s="460">
        <f t="shared" si="176"/>
        <v>0.05</v>
      </c>
      <c r="N4659" s="464">
        <f t="shared" si="177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75"/>
        <v>-140337724947048.55</v>
      </c>
      <c r="J4660" s="444">
        <f t="array" ref="J4660">IFERROR(INDEX('Retirement Calculator'!K:K,MATCH('Lorri 401b'!N4660,'Retirement Calculator'!A:A,0),0),0)</f>
        <v>0</v>
      </c>
      <c r="K4660" s="444">
        <f t="shared" ca="1" si="173"/>
        <v>-584740520612.70215</v>
      </c>
      <c r="L4660" s="444">
        <f t="shared" ca="1" si="174"/>
        <v>-140922465467661.25</v>
      </c>
      <c r="M4660" s="460">
        <f t="shared" si="176"/>
        <v>0.05</v>
      </c>
      <c r="N4660" s="464">
        <f t="shared" si="177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75"/>
        <v>-140922465467661.25</v>
      </c>
      <c r="J4661" s="444">
        <f t="array" ref="J4661">IFERROR(INDEX('Retirement Calculator'!K:K,MATCH('Lorri 401b'!N4661,'Retirement Calculator'!A:A,0),0),0)</f>
        <v>0</v>
      </c>
      <c r="K4661" s="444">
        <f t="shared" ca="1" si="173"/>
        <v>-587176939448.5885</v>
      </c>
      <c r="L4661" s="444">
        <f t="shared" ca="1" si="174"/>
        <v>-141509642407109.84</v>
      </c>
      <c r="M4661" s="460">
        <f t="shared" si="176"/>
        <v>0.05</v>
      </c>
      <c r="N4661" s="464">
        <f t="shared" si="177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75"/>
        <v>-141509642407109.84</v>
      </c>
      <c r="J4662" s="444">
        <f t="array" ref="J4662">IFERROR(INDEX('Retirement Calculator'!K:K,MATCH('Lorri 401b'!N4662,'Retirement Calculator'!A:A,0),0),0)</f>
        <v>0</v>
      </c>
      <c r="K4662" s="444">
        <f t="shared" ca="1" si="173"/>
        <v>-589623510029.62439</v>
      </c>
      <c r="L4662" s="444">
        <f t="shared" ca="1" si="174"/>
        <v>-142099265917139.47</v>
      </c>
      <c r="M4662" s="460">
        <f t="shared" si="176"/>
        <v>0.05</v>
      </c>
      <c r="N4662" s="464">
        <f t="shared" si="177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75"/>
        <v>-142099265917139.47</v>
      </c>
      <c r="J4663" s="444">
        <f t="array" ref="J4663">IFERROR(INDEX('Retirement Calculator'!K:K,MATCH('Lorri 401b'!N4663,'Retirement Calculator'!A:A,0),0),0)</f>
        <v>0</v>
      </c>
      <c r="K4663" s="444">
        <f t="shared" ca="1" si="173"/>
        <v>-592080274654.7478</v>
      </c>
      <c r="L4663" s="444">
        <f t="shared" ca="1" si="174"/>
        <v>-142691346191794.22</v>
      </c>
      <c r="M4663" s="460">
        <f t="shared" si="176"/>
        <v>0.05</v>
      </c>
      <c r="N4663" s="464">
        <f t="shared" si="177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75"/>
        <v>-142691346191794.22</v>
      </c>
      <c r="J4664" s="444">
        <f t="array" ref="J4664">IFERROR(INDEX('Retirement Calculator'!K:K,MATCH('Lorri 401b'!N4664,'Retirement Calculator'!A:A,0),0),0)</f>
        <v>0</v>
      </c>
      <c r="K4664" s="444">
        <f t="shared" ca="1" si="173"/>
        <v>-594547275799.14258</v>
      </c>
      <c r="L4664" s="444">
        <f t="shared" ca="1" si="174"/>
        <v>-143285893467593.38</v>
      </c>
      <c r="M4664" s="460">
        <f t="shared" si="176"/>
        <v>0.05</v>
      </c>
      <c r="N4664" s="464">
        <f t="shared" si="177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75"/>
        <v>-143285893467593.38</v>
      </c>
      <c r="J4665" s="444">
        <f t="array" ref="J4665">IFERROR(INDEX('Retirement Calculator'!K:K,MATCH('Lorri 401b'!N4665,'Retirement Calculator'!A:A,0),0),0)</f>
        <v>0</v>
      </c>
      <c r="K4665" s="444">
        <f t="shared" ca="1" si="173"/>
        <v>-597024556114.97241</v>
      </c>
      <c r="L4665" s="444">
        <f t="shared" ca="1" si="174"/>
        <v>-143882918023708.34</v>
      </c>
      <c r="M4665" s="460">
        <f t="shared" si="176"/>
        <v>0.05</v>
      </c>
      <c r="N4665" s="464">
        <f t="shared" si="177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75"/>
        <v>-143882918023708.34</v>
      </c>
      <c r="J4666" s="444">
        <f t="array" ref="J4666">IFERROR(INDEX('Retirement Calculator'!K:K,MATCH('Lorri 401b'!N4666,'Retirement Calculator'!A:A,0),0),0)</f>
        <v>0</v>
      </c>
      <c r="K4666" s="444">
        <f t="shared" ca="1" si="173"/>
        <v>-599512158432.11804</v>
      </c>
      <c r="L4666" s="444">
        <f t="shared" ca="1" si="174"/>
        <v>-144482430182140.47</v>
      </c>
      <c r="M4666" s="460">
        <f t="shared" si="176"/>
        <v>0.05</v>
      </c>
      <c r="N4666" s="464">
        <f t="shared" si="177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75"/>
        <v>-144482430182140.47</v>
      </c>
      <c r="J4667" s="444">
        <f t="array" ref="J4667">IFERROR(INDEX('Retirement Calculator'!K:K,MATCH('Lorri 401b'!N4667,'Retirement Calculator'!A:A,0),0),0)</f>
        <v>0</v>
      </c>
      <c r="K4667" s="444">
        <f t="shared" ca="1" si="173"/>
        <v>-602010125758.91858</v>
      </c>
      <c r="L4667" s="444">
        <f t="shared" ca="1" si="174"/>
        <v>-145084440307899.38</v>
      </c>
      <c r="M4667" s="460">
        <f t="shared" si="176"/>
        <v>0.05</v>
      </c>
      <c r="N4667" s="464">
        <f t="shared" si="177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75"/>
        <v>-145084440307899.38</v>
      </c>
      <c r="J4668" s="444">
        <f t="array" ref="J4668">IFERROR(INDEX('Retirement Calculator'!K:K,MATCH('Lorri 401b'!N4668,'Retirement Calculator'!A:A,0),0),0)</f>
        <v>0</v>
      </c>
      <c r="K4668" s="444">
        <f t="shared" ca="1" si="173"/>
        <v>-604518501282.91406</v>
      </c>
      <c r="L4668" s="444">
        <f t="shared" ca="1" si="174"/>
        <v>-145688958809182.28</v>
      </c>
      <c r="M4668" s="460">
        <f t="shared" si="176"/>
        <v>0.05</v>
      </c>
      <c r="N4668" s="464">
        <f t="shared" si="177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75"/>
        <v>-145688958809182.28</v>
      </c>
      <c r="J4669" s="444">
        <f t="array" ref="J4669">IFERROR(INDEX('Retirement Calculator'!K:K,MATCH('Lorri 401b'!N4669,'Retirement Calculator'!A:A,0),0),0)</f>
        <v>0</v>
      </c>
      <c r="K4669" s="444">
        <f t="shared" ca="1" si="173"/>
        <v>-607037328371.59277</v>
      </c>
      <c r="L4669" s="444">
        <f t="shared" ca="1" si="174"/>
        <v>-146295996137553.88</v>
      </c>
      <c r="M4669" s="460">
        <f t="shared" si="176"/>
        <v>0.05</v>
      </c>
      <c r="N4669" s="464">
        <f t="shared" si="177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75"/>
        <v>-146295996137553.88</v>
      </c>
      <c r="J4670" s="444">
        <f t="array" ref="J4670">IFERROR(INDEX('Retirement Calculator'!K:K,MATCH('Lorri 401b'!N4670,'Retirement Calculator'!A:A,0),0),0)</f>
        <v>0</v>
      </c>
      <c r="K4670" s="444">
        <f t="shared" ca="1" si="173"/>
        <v>-609566650573.14111</v>
      </c>
      <c r="L4670" s="444">
        <f t="shared" ca="1" si="174"/>
        <v>-146905562788127.03</v>
      </c>
      <c r="M4670" s="460">
        <f t="shared" si="176"/>
        <v>0.05</v>
      </c>
      <c r="N4670" s="464">
        <f t="shared" si="177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75"/>
        <v>-146905562788127.03</v>
      </c>
      <c r="J4671" s="444">
        <f t="array" ref="J4671">IFERROR(INDEX('Retirement Calculator'!K:K,MATCH('Lorri 401b'!N4671,'Retirement Calculator'!A:A,0),0),0)</f>
        <v>0</v>
      </c>
      <c r="K4671" s="444">
        <f t="shared" ca="1" si="173"/>
        <v>-612106511617.19592</v>
      </c>
      <c r="L4671" s="444">
        <f t="shared" ca="1" si="174"/>
        <v>-147517669299744.22</v>
      </c>
      <c r="M4671" s="460">
        <f t="shared" si="176"/>
        <v>0.05</v>
      </c>
      <c r="N4671" s="464">
        <f t="shared" si="177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75"/>
        <v>-147517669299744.22</v>
      </c>
      <c r="J4672" s="444">
        <f t="array" ref="J4672">IFERROR(INDEX('Retirement Calculator'!K:K,MATCH('Lorri 401b'!N4672,'Retirement Calculator'!A:A,0),0),0)</f>
        <v>0</v>
      </c>
      <c r="K4672" s="444">
        <f t="shared" ca="1" si="173"/>
        <v>-614656955415.60095</v>
      </c>
      <c r="L4672" s="444">
        <f t="shared" ca="1" si="174"/>
        <v>-148132326255159.81</v>
      </c>
      <c r="M4672" s="460">
        <f t="shared" si="176"/>
        <v>0.05</v>
      </c>
      <c r="N4672" s="464">
        <f t="shared" si="177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75"/>
        <v>-148132326255159.81</v>
      </c>
      <c r="J4673" s="444">
        <f t="array" ref="J4673">IFERROR(INDEX('Retirement Calculator'!K:K,MATCH('Lorri 401b'!N4673,'Retirement Calculator'!A:A,0),0),0)</f>
        <v>0</v>
      </c>
      <c r="K4673" s="444">
        <f t="shared" ca="1" si="173"/>
        <v>-617218026063.16589</v>
      </c>
      <c r="L4673" s="444">
        <f t="shared" ca="1" si="174"/>
        <v>-148749544281222.97</v>
      </c>
      <c r="M4673" s="460">
        <f t="shared" si="176"/>
        <v>0.05</v>
      </c>
      <c r="N4673" s="464">
        <f t="shared" si="177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75"/>
        <v>-148749544281222.97</v>
      </c>
      <c r="J4674" s="444">
        <f t="array" ref="J4674">IFERROR(INDEX('Retirement Calculator'!K:K,MATCH('Lorri 401b'!N4674,'Retirement Calculator'!A:A,0),0),0)</f>
        <v>0</v>
      </c>
      <c r="K4674" s="444">
        <f t="shared" ca="1" si="173"/>
        <v>-619789767838.42908</v>
      </c>
      <c r="L4674" s="444">
        <f t="shared" ca="1" si="174"/>
        <v>-149369334049061.41</v>
      </c>
      <c r="M4674" s="460">
        <f t="shared" si="176"/>
        <v>0.05</v>
      </c>
      <c r="N4674" s="464">
        <f t="shared" si="177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75"/>
        <v>-149369334049061.41</v>
      </c>
      <c r="J4675" s="444">
        <f t="array" ref="J4675">IFERROR(INDEX('Retirement Calculator'!K:K,MATCH('Lorri 401b'!N4675,'Retirement Calculator'!A:A,0),0),0)</f>
        <v>0</v>
      </c>
      <c r="K4675" s="444">
        <f t="shared" ca="1" si="173"/>
        <v>-622372225204.42249</v>
      </c>
      <c r="L4675" s="444">
        <f t="shared" ca="1" si="174"/>
        <v>-149991706274265.84</v>
      </c>
      <c r="M4675" s="460">
        <f t="shared" si="176"/>
        <v>0.05</v>
      </c>
      <c r="N4675" s="464">
        <f t="shared" si="177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75"/>
        <v>-149991706274265.84</v>
      </c>
      <c r="J4676" s="444">
        <f t="array" ref="J4676">IFERROR(INDEX('Retirement Calculator'!K:K,MATCH('Lorri 401b'!N4676,'Retirement Calculator'!A:A,0),0),0)</f>
        <v>0</v>
      </c>
      <c r="K4676" s="444">
        <f t="shared" ca="1" si="173"/>
        <v>-624965442809.44104</v>
      </c>
      <c r="L4676" s="444">
        <f t="shared" ca="1" si="174"/>
        <v>-150616671717075.28</v>
      </c>
      <c r="M4676" s="460">
        <f t="shared" si="176"/>
        <v>0.05</v>
      </c>
      <c r="N4676" s="464">
        <f t="shared" si="177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75"/>
        <v>-150616671717075.28</v>
      </c>
      <c r="J4677" s="444">
        <f t="array" ref="J4677">IFERROR(INDEX('Retirement Calculator'!K:K,MATCH('Lorri 401b'!N4677,'Retirement Calculator'!A:A,0),0),0)</f>
        <v>0</v>
      </c>
      <c r="K4677" s="444">
        <f t="shared" ca="1" si="173"/>
        <v>-627569465487.81372</v>
      </c>
      <c r="L4677" s="444">
        <f t="shared" ca="1" si="174"/>
        <v>-151244241182563.09</v>
      </c>
      <c r="M4677" s="460">
        <f t="shared" si="176"/>
        <v>0.05</v>
      </c>
      <c r="N4677" s="464">
        <f t="shared" si="177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75"/>
        <v>-151244241182563.09</v>
      </c>
      <c r="J4678" s="444">
        <f t="array" ref="J4678">IFERROR(INDEX('Retirement Calculator'!K:K,MATCH('Lorri 401b'!N4678,'Retirement Calculator'!A:A,0),0),0)</f>
        <v>0</v>
      </c>
      <c r="K4678" s="444">
        <f t="shared" ca="1" si="173"/>
        <v>-630184338260.67957</v>
      </c>
      <c r="L4678" s="444">
        <f t="shared" ca="1" si="174"/>
        <v>-151874425520823.78</v>
      </c>
      <c r="M4678" s="460">
        <f t="shared" si="176"/>
        <v>0.05</v>
      </c>
      <c r="N4678" s="464">
        <f t="shared" si="177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75"/>
        <v>-151874425520823.78</v>
      </c>
      <c r="J4679" s="444">
        <f t="array" ref="J4679">IFERROR(INDEX('Retirement Calculator'!K:K,MATCH('Lorri 401b'!N4679,'Retirement Calculator'!A:A,0),0),0)</f>
        <v>0</v>
      </c>
      <c r="K4679" s="444">
        <f t="shared" ca="1" si="173"/>
        <v>-632810106336.76575</v>
      </c>
      <c r="L4679" s="444">
        <f t="shared" ca="1" si="174"/>
        <v>-152507235627160.56</v>
      </c>
      <c r="M4679" s="460">
        <f t="shared" si="176"/>
        <v>0.05</v>
      </c>
      <c r="N4679" s="464">
        <f t="shared" si="177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75"/>
        <v>-152507235627160.56</v>
      </c>
      <c r="J4680" s="444">
        <f t="array" ref="J4680">IFERROR(INDEX('Retirement Calculator'!K:K,MATCH('Lorri 401b'!N4680,'Retirement Calculator'!A:A,0),0),0)</f>
        <v>0</v>
      </c>
      <c r="K4680" s="444">
        <f t="shared" ca="1" si="173"/>
        <v>-635446815113.16895</v>
      </c>
      <c r="L4680" s="444">
        <f t="shared" ca="1" si="174"/>
        <v>-153142682442273.72</v>
      </c>
      <c r="M4680" s="460">
        <f t="shared" si="176"/>
        <v>0.05</v>
      </c>
      <c r="N4680" s="464">
        <f t="shared" si="177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75"/>
        <v>-153142682442273.72</v>
      </c>
      <c r="J4681" s="444">
        <f t="array" ref="J4681">IFERROR(INDEX('Retirement Calculator'!K:K,MATCH('Lorri 401b'!N4681,'Retirement Calculator'!A:A,0),0),0)</f>
        <v>0</v>
      </c>
      <c r="K4681" s="444">
        <f t="shared" ca="1" si="173"/>
        <v>-638094510176.1405</v>
      </c>
      <c r="L4681" s="444">
        <f t="shared" ca="1" si="174"/>
        <v>-153780776952449.84</v>
      </c>
      <c r="M4681" s="460">
        <f t="shared" si="176"/>
        <v>0.05</v>
      </c>
      <c r="N4681" s="464">
        <f t="shared" si="177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75"/>
        <v>-153780776952449.84</v>
      </c>
      <c r="J4682" s="444">
        <f t="array" ref="J4682">IFERROR(INDEX('Retirement Calculator'!K:K,MATCH('Lorri 401b'!N4682,'Retirement Calculator'!A:A,0),0),0)</f>
        <v>0</v>
      </c>
      <c r="K4682" s="444">
        <f t="shared" ca="1" si="173"/>
        <v>-640753237301.87439</v>
      </c>
      <c r="L4682" s="444">
        <f t="shared" ca="1" si="174"/>
        <v>-154421530189751.72</v>
      </c>
      <c r="M4682" s="460">
        <f t="shared" si="176"/>
        <v>0.05</v>
      </c>
      <c r="N4682" s="464">
        <f t="shared" si="177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75"/>
        <v>-154421530189751.72</v>
      </c>
      <c r="J4683" s="444">
        <f t="array" ref="J4683">IFERROR(INDEX('Retirement Calculator'!K:K,MATCH('Lorri 401b'!N4683,'Retirement Calculator'!A:A,0),0),0)</f>
        <v>0</v>
      </c>
      <c r="K4683" s="444">
        <f t="shared" ca="1" si="173"/>
        <v>-643423042457.29883</v>
      </c>
      <c r="L4683" s="444">
        <f t="shared" ca="1" si="174"/>
        <v>-155064953232209.03</v>
      </c>
      <c r="M4683" s="460">
        <f t="shared" si="176"/>
        <v>0.05</v>
      </c>
      <c r="N4683" s="464">
        <f t="shared" si="177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75"/>
        <v>-155064953232209.03</v>
      </c>
      <c r="J4684" s="444">
        <f t="array" ref="J4684">IFERROR(INDEX('Retirement Calculator'!K:K,MATCH('Lorri 401b'!N4684,'Retirement Calculator'!A:A,0),0),0)</f>
        <v>0</v>
      </c>
      <c r="K4684" s="444">
        <f t="shared" ca="1" si="173"/>
        <v>-646103971800.87097</v>
      </c>
      <c r="L4684" s="444">
        <f t="shared" ca="1" si="174"/>
        <v>-155711057204009.91</v>
      </c>
      <c r="M4684" s="460">
        <f t="shared" si="176"/>
        <v>0.05</v>
      </c>
      <c r="N4684" s="464">
        <f t="shared" si="177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75"/>
        <v>-155711057204009.91</v>
      </c>
      <c r="J4685" s="444">
        <f t="array" ref="J4685">IFERROR(INDEX('Retirement Calculator'!K:K,MATCH('Lorri 401b'!N4685,'Retirement Calculator'!A:A,0),0),0)</f>
        <v>0</v>
      </c>
      <c r="K4685" s="444">
        <f t="shared" ca="1" si="173"/>
        <v>-648796071683.37463</v>
      </c>
      <c r="L4685" s="444">
        <f t="shared" ca="1" si="174"/>
        <v>-156359853275693.28</v>
      </c>
      <c r="M4685" s="460">
        <f t="shared" si="176"/>
        <v>0.05</v>
      </c>
      <c r="N4685" s="464">
        <f t="shared" si="177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75"/>
        <v>-156359853275693.28</v>
      </c>
      <c r="J4686" s="444">
        <f t="array" ref="J4686">IFERROR(INDEX('Retirement Calculator'!K:K,MATCH('Lorri 401b'!N4686,'Retirement Calculator'!A:A,0),0),0)</f>
        <v>0</v>
      </c>
      <c r="K4686" s="444">
        <f t="shared" ca="1" si="173"/>
        <v>-651499388648.72205</v>
      </c>
      <c r="L4686" s="444">
        <f t="shared" ca="1" si="174"/>
        <v>-157011352664342</v>
      </c>
      <c r="M4686" s="460">
        <f t="shared" si="176"/>
        <v>0.05</v>
      </c>
      <c r="N4686" s="464">
        <f t="shared" si="177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75"/>
        <v>-157011352664342</v>
      </c>
      <c r="J4687" s="444">
        <f t="array" ref="J4687">IFERROR(INDEX('Retirement Calculator'!K:K,MATCH('Lorri 401b'!N4687,'Retirement Calculator'!A:A,0),0),0)</f>
        <v>0</v>
      </c>
      <c r="K4687" s="444">
        <f t="shared" ca="1" si="173"/>
        <v>-654213969434.7583</v>
      </c>
      <c r="L4687" s="444">
        <f t="shared" ca="1" si="174"/>
        <v>-157665566633776.75</v>
      </c>
      <c r="M4687" s="460">
        <f t="shared" si="176"/>
        <v>0.05</v>
      </c>
      <c r="N4687" s="464">
        <f t="shared" si="177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75"/>
        <v>-157665566633776.75</v>
      </c>
      <c r="J4688" s="444">
        <f t="array" ref="J4688">IFERROR(INDEX('Retirement Calculator'!K:K,MATCH('Lorri 401b'!N4688,'Retirement Calculator'!A:A,0),0),0)</f>
        <v>0</v>
      </c>
      <c r="K4688" s="444">
        <f t="shared" ca="1" si="173"/>
        <v>-656939860974.06982</v>
      </c>
      <c r="L4688" s="444">
        <f t="shared" ca="1" si="174"/>
        <v>-158322506494750.81</v>
      </c>
      <c r="M4688" s="460">
        <f t="shared" si="176"/>
        <v>0.05</v>
      </c>
      <c r="N4688" s="464">
        <f t="shared" si="177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75"/>
        <v>-158322506494750.81</v>
      </c>
      <c r="J4689" s="444">
        <f t="array" ref="J4689">IFERROR(INDEX('Retirement Calculator'!K:K,MATCH('Lorri 401b'!N4689,'Retirement Calculator'!A:A,0),0),0)</f>
        <v>0</v>
      </c>
      <c r="K4689" s="444">
        <f t="shared" ca="1" si="173"/>
        <v>-659677110394.79504</v>
      </c>
      <c r="L4689" s="444">
        <f t="shared" ca="1" si="174"/>
        <v>-158982183605145.59</v>
      </c>
      <c r="M4689" s="460">
        <f t="shared" si="176"/>
        <v>0.05</v>
      </c>
      <c r="N4689" s="464">
        <f t="shared" si="177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75"/>
        <v>-158982183605145.59</v>
      </c>
      <c r="J4690" s="444">
        <f t="array" ref="J4690">IFERROR(INDEX('Retirement Calculator'!K:K,MATCH('Lorri 401b'!N4690,'Retirement Calculator'!A:A,0),0),0)</f>
        <v>0</v>
      </c>
      <c r="K4690" s="444">
        <f t="shared" ca="1" si="173"/>
        <v>-662425765021.43994</v>
      </c>
      <c r="L4690" s="444">
        <f t="shared" ca="1" si="174"/>
        <v>-159644609370167.03</v>
      </c>
      <c r="M4690" s="460">
        <f t="shared" si="176"/>
        <v>0.05</v>
      </c>
      <c r="N4690" s="464">
        <f t="shared" si="177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75"/>
        <v>-159644609370167.03</v>
      </c>
      <c r="J4691" s="444">
        <f t="array" ref="J4691">IFERROR(INDEX('Retirement Calculator'!K:K,MATCH('Lorri 401b'!N4691,'Retirement Calculator'!A:A,0),0),0)</f>
        <v>0</v>
      </c>
      <c r="K4691" s="444">
        <f t="shared" ca="1" si="173"/>
        <v>-665185872375.69592</v>
      </c>
      <c r="L4691" s="444">
        <f t="shared" ca="1" si="174"/>
        <v>-160309795242542.72</v>
      </c>
      <c r="M4691" s="460">
        <f t="shared" si="176"/>
        <v>0.05</v>
      </c>
      <c r="N4691" s="464">
        <f t="shared" si="177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75"/>
        <v>-160309795242542.72</v>
      </c>
      <c r="J4692" s="444">
        <f t="array" ref="J4692">IFERROR(INDEX('Retirement Calculator'!K:K,MATCH('Lorri 401b'!N4692,'Retirement Calculator'!A:A,0),0),0)</f>
        <v>0</v>
      </c>
      <c r="K4692" s="444">
        <f t="shared" ca="1" si="173"/>
        <v>-667957480177.26135</v>
      </c>
      <c r="L4692" s="444">
        <f t="shared" ca="1" si="174"/>
        <v>-160977752722719.97</v>
      </c>
      <c r="M4692" s="460">
        <f t="shared" si="176"/>
        <v>0.05</v>
      </c>
      <c r="N4692" s="464">
        <f t="shared" si="177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75"/>
        <v>-160977752722719.97</v>
      </c>
      <c r="J4693" s="444">
        <f t="array" ref="J4693">IFERROR(INDEX('Retirement Calculator'!K:K,MATCH('Lorri 401b'!N4693,'Retirement Calculator'!A:A,0),0),0)</f>
        <v>0</v>
      </c>
      <c r="K4693" s="444">
        <f t="shared" ca="1" si="173"/>
        <v>-670740636344.6665</v>
      </c>
      <c r="L4693" s="444">
        <f t="shared" ca="1" si="174"/>
        <v>-161648493359064.63</v>
      </c>
      <c r="M4693" s="460">
        <f t="shared" si="176"/>
        <v>0.05</v>
      </c>
      <c r="N4693" s="464">
        <f t="shared" si="177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75"/>
        <v>-161648493359064.63</v>
      </c>
      <c r="J4694" s="444">
        <f t="array" ref="J4694">IFERROR(INDEX('Retirement Calculator'!K:K,MATCH('Lorri 401b'!N4694,'Retirement Calculator'!A:A,0),0),0)</f>
        <v>0</v>
      </c>
      <c r="K4694" s="444">
        <f t="shared" ca="1" si="173"/>
        <v>-673535388996.10254</v>
      </c>
      <c r="L4694" s="444">
        <f t="shared" ca="1" si="174"/>
        <v>-162322028748060.72</v>
      </c>
      <c r="M4694" s="460">
        <f t="shared" si="176"/>
        <v>0.05</v>
      </c>
      <c r="N4694" s="464">
        <f t="shared" si="177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75"/>
        <v>-162322028748060.72</v>
      </c>
      <c r="J4695" s="444">
        <f t="array" ref="J4695">IFERROR(INDEX('Retirement Calculator'!K:K,MATCH('Lorri 401b'!N4695,'Retirement Calculator'!A:A,0),0),0)</f>
        <v>0</v>
      </c>
      <c r="K4695" s="444">
        <f t="shared" ca="1" si="173"/>
        <v>-676341786450.25293</v>
      </c>
      <c r="L4695" s="444">
        <f t="shared" ca="1" si="174"/>
        <v>-162998370534510.97</v>
      </c>
      <c r="M4695" s="460">
        <f t="shared" si="176"/>
        <v>0.05</v>
      </c>
      <c r="N4695" s="464">
        <f t="shared" si="177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75"/>
        <v>-162998370534510.97</v>
      </c>
      <c r="J4696" s="444">
        <f t="array" ref="J4696">IFERROR(INDEX('Retirement Calculator'!K:K,MATCH('Lorri 401b'!N4696,'Retirement Calculator'!A:A,0),0),0)</f>
        <v>0</v>
      </c>
      <c r="K4696" s="444">
        <f t="shared" ca="1" si="173"/>
        <v>-679159877227.12903</v>
      </c>
      <c r="L4696" s="444">
        <f t="shared" ca="1" si="174"/>
        <v>-163677530411738.09</v>
      </c>
      <c r="M4696" s="460">
        <f t="shared" si="176"/>
        <v>0.05</v>
      </c>
      <c r="N4696" s="464">
        <f t="shared" si="177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75"/>
        <v>-163677530411738.09</v>
      </c>
      <c r="J4697" s="444">
        <f t="array" ref="J4697">IFERROR(INDEX('Retirement Calculator'!K:K,MATCH('Lorri 401b'!N4697,'Retirement Calculator'!A:A,0),0),0)</f>
        <v>0</v>
      </c>
      <c r="K4697" s="444">
        <f t="shared" ca="1" si="173"/>
        <v>-681989710048.90869</v>
      </c>
      <c r="L4697" s="444">
        <f t="shared" ca="1" si="174"/>
        <v>-164359520121787</v>
      </c>
      <c r="M4697" s="460">
        <f t="shared" si="176"/>
        <v>0.05</v>
      </c>
      <c r="N4697" s="464">
        <f t="shared" si="177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75"/>
        <v>-164359520121787</v>
      </c>
      <c r="J4698" s="444">
        <f t="array" ref="J4698">IFERROR(INDEX('Retirement Calculator'!K:K,MATCH('Lorri 401b'!N4698,'Retirement Calculator'!A:A,0),0),0)</f>
        <v>0</v>
      </c>
      <c r="K4698" s="444">
        <f t="shared" ca="1" si="173"/>
        <v>-684831333840.77917</v>
      </c>
      <c r="L4698" s="444">
        <f t="shared" ca="1" si="174"/>
        <v>-165044351455627.78</v>
      </c>
      <c r="M4698" s="460">
        <f t="shared" si="176"/>
        <v>0.05</v>
      </c>
      <c r="N4698" s="464">
        <f t="shared" si="177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75"/>
        <v>-165044351455627.78</v>
      </c>
      <c r="J4699" s="444">
        <f t="array" ref="J4699">IFERROR(INDEX('Retirement Calculator'!K:K,MATCH('Lorri 401b'!N4699,'Retirement Calculator'!A:A,0),0),0)</f>
        <v>0</v>
      </c>
      <c r="K4699" s="444">
        <f t="shared" ca="1" si="173"/>
        <v>-687684797731.78247</v>
      </c>
      <c r="L4699" s="444">
        <f t="shared" ca="1" si="174"/>
        <v>-165732036253359.56</v>
      </c>
      <c r="M4699" s="460">
        <f t="shared" si="176"/>
        <v>0.05</v>
      </c>
      <c r="N4699" s="464">
        <f t="shared" si="177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75"/>
        <v>-165732036253359.56</v>
      </c>
      <c r="J4700" s="444">
        <f t="array" ref="J4700">IFERROR(INDEX('Retirement Calculator'!K:K,MATCH('Lorri 401b'!N4700,'Retirement Calculator'!A:A,0),0),0)</f>
        <v>0</v>
      </c>
      <c r="K4700" s="444">
        <f t="shared" ca="1" si="173"/>
        <v>-690550151055.66479</v>
      </c>
      <c r="L4700" s="444">
        <f t="shared" ca="1" si="174"/>
        <v>-166422586404415.22</v>
      </c>
      <c r="M4700" s="460">
        <f t="shared" si="176"/>
        <v>0.05</v>
      </c>
      <c r="N4700" s="464">
        <f t="shared" si="177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75"/>
        <v>-166422586404415.22</v>
      </c>
      <c r="J4701" s="444">
        <f t="array" ref="J4701">IFERROR(INDEX('Retirement Calculator'!K:K,MATCH('Lorri 401b'!N4701,'Retirement Calculator'!A:A,0),0),0)</f>
        <v>0</v>
      </c>
      <c r="K4701" s="444">
        <f t="shared" ca="1" si="173"/>
        <v>-693427443351.7301</v>
      </c>
      <c r="L4701" s="444">
        <f t="shared" ca="1" si="174"/>
        <v>-167116013847766.94</v>
      </c>
      <c r="M4701" s="460">
        <f t="shared" si="176"/>
        <v>0.05</v>
      </c>
      <c r="N4701" s="464">
        <f t="shared" si="177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75"/>
        <v>-167116013847766.94</v>
      </c>
      <c r="J4702" s="444">
        <f t="array" ref="J4702">IFERROR(INDEX('Retirement Calculator'!K:K,MATCH('Lorri 401b'!N4702,'Retirement Calculator'!A:A,0),0),0)</f>
        <v>0</v>
      </c>
      <c r="K4702" s="444">
        <f t="shared" ca="1" si="173"/>
        <v>-696316724365.69556</v>
      </c>
      <c r="L4702" s="444">
        <f t="shared" ca="1" si="174"/>
        <v>-167812330572132.63</v>
      </c>
      <c r="M4702" s="460">
        <f t="shared" si="176"/>
        <v>0.05</v>
      </c>
      <c r="N4702" s="464">
        <f t="shared" si="177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75"/>
        <v>-167812330572132.63</v>
      </c>
      <c r="J4703" s="444">
        <f t="array" ref="J4703">IFERROR(INDEX('Retirement Calculator'!K:K,MATCH('Lorri 401b'!N4703,'Retirement Calculator'!A:A,0),0),0)</f>
        <v>0</v>
      </c>
      <c r="K4703" s="444">
        <f t="shared" ca="1" si="173"/>
        <v>-699218044050.55261</v>
      </c>
      <c r="L4703" s="444">
        <f t="shared" ca="1" si="174"/>
        <v>-168511548616183.19</v>
      </c>
      <c r="M4703" s="460">
        <f t="shared" si="176"/>
        <v>0.05</v>
      </c>
      <c r="N4703" s="464">
        <f t="shared" si="177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75"/>
        <v>-168511548616183.19</v>
      </c>
      <c r="J4704" s="444">
        <f t="array" ref="J4704">IFERROR(INDEX('Retirement Calculator'!K:K,MATCH('Lorri 401b'!N4704,'Retirement Calculator'!A:A,0),0),0)</f>
        <v>0</v>
      </c>
      <c r="K4704" s="444">
        <f t="shared" ca="1" si="173"/>
        <v>-702131452567.42993</v>
      </c>
      <c r="L4704" s="444">
        <f t="shared" ca="1" si="174"/>
        <v>-169213680068750.63</v>
      </c>
      <c r="M4704" s="460">
        <f t="shared" si="176"/>
        <v>0.05</v>
      </c>
      <c r="N4704" s="464">
        <f t="shared" si="177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75"/>
        <v>-169213680068750.63</v>
      </c>
      <c r="J4705" s="444">
        <f t="array" ref="J4705">IFERROR(INDEX('Retirement Calculator'!K:K,MATCH('Lorri 401b'!N4705,'Retirement Calculator'!A:A,0),0),0)</f>
        <v>0</v>
      </c>
      <c r="K4705" s="444">
        <f t="shared" ca="1" si="173"/>
        <v>-705057000286.46094</v>
      </c>
      <c r="L4705" s="444">
        <f t="shared" ca="1" si="174"/>
        <v>-169918737069037.09</v>
      </c>
      <c r="M4705" s="460">
        <f t="shared" si="176"/>
        <v>0.05</v>
      </c>
      <c r="N4705" s="464">
        <f t="shared" si="177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75"/>
        <v>-169918737069037.09</v>
      </c>
      <c r="J4706" s="444">
        <f t="array" ref="J4706">IFERROR(INDEX('Retirement Calculator'!K:K,MATCH('Lorri 401b'!N4706,'Retirement Calculator'!A:A,0),0),0)</f>
        <v>0</v>
      </c>
      <c r="K4706" s="444">
        <f t="shared" ca="1" si="173"/>
        <v>-707994737787.65454</v>
      </c>
      <c r="L4706" s="444">
        <f t="shared" ca="1" si="174"/>
        <v>-170626731806824.75</v>
      </c>
      <c r="M4706" s="460">
        <f t="shared" si="176"/>
        <v>0.05</v>
      </c>
      <c r="N4706" s="464">
        <f t="shared" si="177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75"/>
        <v>-170626731806824.75</v>
      </c>
      <c r="J4707" s="444">
        <f t="array" ref="J4707">IFERROR(INDEX('Retirement Calculator'!K:K,MATCH('Lorri 401b'!N4707,'Retirement Calculator'!A:A,0),0),0)</f>
        <v>0</v>
      </c>
      <c r="K4707" s="444">
        <f t="shared" ca="1" si="173"/>
        <v>-710944715861.76978</v>
      </c>
      <c r="L4707" s="444">
        <f t="shared" ca="1" si="174"/>
        <v>-171337676522686.53</v>
      </c>
      <c r="M4707" s="460">
        <f t="shared" si="176"/>
        <v>0.05</v>
      </c>
      <c r="N4707" s="464">
        <f t="shared" si="177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75"/>
        <v>-171337676522686.53</v>
      </c>
      <c r="J4708" s="444">
        <f t="array" ref="J4708">IFERROR(INDEX('Retirement Calculator'!K:K,MATCH('Lorri 401b'!N4708,'Retirement Calculator'!A:A,0),0),0)</f>
        <v>0</v>
      </c>
      <c r="K4708" s="444">
        <f t="shared" ca="1" si="173"/>
        <v>-713906985511.19385</v>
      </c>
      <c r="L4708" s="444">
        <f t="shared" ca="1" si="174"/>
        <v>-172051583508197.72</v>
      </c>
      <c r="M4708" s="460">
        <f t="shared" si="176"/>
        <v>0.05</v>
      </c>
      <c r="N4708" s="464">
        <f t="shared" si="177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75"/>
        <v>-172051583508197.72</v>
      </c>
      <c r="J4709" s="444">
        <f t="array" ref="J4709">IFERROR(INDEX('Retirement Calculator'!K:K,MATCH('Lorri 401b'!N4709,'Retirement Calculator'!A:A,0),0),0)</f>
        <v>0</v>
      </c>
      <c r="K4709" s="444">
        <f t="shared" ca="1" si="173"/>
        <v>-716881597950.82385</v>
      </c>
      <c r="L4709" s="444">
        <f t="shared" ca="1" si="174"/>
        <v>-172768465106148.53</v>
      </c>
      <c r="M4709" s="460">
        <f t="shared" si="176"/>
        <v>0.05</v>
      </c>
      <c r="N4709" s="464">
        <f t="shared" si="177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75"/>
        <v>-172768465106148.53</v>
      </c>
      <c r="J4710" s="444">
        <f t="array" ref="J4710">IFERROR(INDEX('Retirement Calculator'!K:K,MATCH('Lorri 401b'!N4710,'Retirement Calculator'!A:A,0),0),0)</f>
        <v>0</v>
      </c>
      <c r="K4710" s="444">
        <f t="shared" ca="1" si="173"/>
        <v>-719868604608.95215</v>
      </c>
      <c r="L4710" s="444">
        <f t="shared" ca="1" si="174"/>
        <v>-173488333710757.47</v>
      </c>
      <c r="M4710" s="460">
        <f t="shared" si="176"/>
        <v>0.05</v>
      </c>
      <c r="N4710" s="464">
        <f t="shared" si="177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75"/>
        <v>-173488333710757.47</v>
      </c>
      <c r="J4711" s="444">
        <f t="array" ref="J4711">IFERROR(INDEX('Retirement Calculator'!K:K,MATCH('Lorri 401b'!N4711,'Retirement Calculator'!A:A,0),0),0)</f>
        <v>0</v>
      </c>
      <c r="K4711" s="444">
        <f t="shared" ca="1" si="173"/>
        <v>-722868057128.15613</v>
      </c>
      <c r="L4711" s="444">
        <f t="shared" ca="1" si="174"/>
        <v>-174211201767885.63</v>
      </c>
      <c r="M4711" s="460">
        <f t="shared" si="176"/>
        <v>0.05</v>
      </c>
      <c r="N4711" s="464">
        <f t="shared" si="177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75"/>
        <v>-174211201767885.63</v>
      </c>
      <c r="J4712" s="444">
        <f t="array" ref="J4712">IFERROR(INDEX('Retirement Calculator'!K:K,MATCH('Lorri 401b'!N4712,'Retirement Calculator'!A:A,0),0),0)</f>
        <v>0</v>
      </c>
      <c r="K4712" s="444">
        <f t="shared" ca="1" si="173"/>
        <v>-725880007366.19006</v>
      </c>
      <c r="L4712" s="444">
        <f t="shared" ca="1" si="174"/>
        <v>-174937081775251.81</v>
      </c>
      <c r="M4712" s="460">
        <f t="shared" si="176"/>
        <v>0.05</v>
      </c>
      <c r="N4712" s="464">
        <f t="shared" si="177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75"/>
        <v>-174937081775251.81</v>
      </c>
      <c r="J4713" s="444">
        <f t="array" ref="J4713">IFERROR(INDEX('Retirement Calculator'!K:K,MATCH('Lorri 401b'!N4713,'Retirement Calculator'!A:A,0),0),0)</f>
        <v>0</v>
      </c>
      <c r="K4713" s="444">
        <f t="shared" ca="1" si="173"/>
        <v>-728904507396.88257</v>
      </c>
      <c r="L4713" s="444">
        <f t="shared" ca="1" si="174"/>
        <v>-175665986282648.69</v>
      </c>
      <c r="M4713" s="460">
        <f t="shared" si="176"/>
        <v>0.05</v>
      </c>
      <c r="N4713" s="464">
        <f t="shared" si="177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75"/>
        <v>-175665986282648.69</v>
      </c>
      <c r="J4714" s="444">
        <f t="array" ref="J4714">IFERROR(INDEX('Retirement Calculator'!K:K,MATCH('Lorri 401b'!N4714,'Retirement Calculator'!A:A,0),0),0)</f>
        <v>0</v>
      </c>
      <c r="K4714" s="444">
        <f t="shared" ca="1" si="173"/>
        <v>-731941609511.03613</v>
      </c>
      <c r="L4714" s="444">
        <f t="shared" ca="1" si="174"/>
        <v>-176397927892159.72</v>
      </c>
      <c r="M4714" s="460">
        <f t="shared" si="176"/>
        <v>0.05</v>
      </c>
      <c r="N4714" s="464">
        <f t="shared" si="177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75"/>
        <v>-176397927892159.72</v>
      </c>
      <c r="J4715" s="444">
        <f t="array" ref="J4715">IFERROR(INDEX('Retirement Calculator'!K:K,MATCH('Lorri 401b'!N4715,'Retirement Calculator'!A:A,0),0),0)</f>
        <v>0</v>
      </c>
      <c r="K4715" s="444">
        <f t="shared" ca="1" si="173"/>
        <v>-734991366217.33215</v>
      </c>
      <c r="L4715" s="444">
        <f t="shared" ca="1" si="174"/>
        <v>-177132919258377.06</v>
      </c>
      <c r="M4715" s="460">
        <f t="shared" si="176"/>
        <v>0.05</v>
      </c>
      <c r="N4715" s="464">
        <f t="shared" si="177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75"/>
        <v>-177132919258377.06</v>
      </c>
      <c r="J4716" s="444">
        <f t="array" ref="J4716">IFERROR(INDEX('Retirement Calculator'!K:K,MATCH('Lorri 401b'!N4716,'Retirement Calculator'!A:A,0),0),0)</f>
        <v>0</v>
      </c>
      <c r="K4716" s="444">
        <f t="shared" ca="1" si="173"/>
        <v>-738053830243.23779</v>
      </c>
      <c r="L4716" s="444">
        <f t="shared" ca="1" si="174"/>
        <v>-177870973088620.31</v>
      </c>
      <c r="M4716" s="460">
        <f t="shared" si="176"/>
        <v>0.05</v>
      </c>
      <c r="N4716" s="464">
        <f t="shared" si="177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75"/>
        <v>-177870973088620.31</v>
      </c>
      <c r="J4717" s="444">
        <f t="array" ref="J4717">IFERROR(INDEX('Retirement Calculator'!K:K,MATCH('Lorri 401b'!N4717,'Retirement Calculator'!A:A,0),0),0)</f>
        <v>0</v>
      </c>
      <c r="K4717" s="444">
        <f t="shared" ca="1" si="173"/>
        <v>-741129054535.91797</v>
      </c>
      <c r="L4717" s="444">
        <f t="shared" ca="1" si="174"/>
        <v>-178612102143156.22</v>
      </c>
      <c r="M4717" s="460">
        <f t="shared" si="176"/>
        <v>0.05</v>
      </c>
      <c r="N4717" s="464">
        <f t="shared" si="177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75"/>
        <v>-178612102143156.22</v>
      </c>
      <c r="J4718" s="444">
        <f t="array" ref="J4718">IFERROR(INDEX('Retirement Calculator'!K:K,MATCH('Lorri 401b'!N4718,'Retirement Calculator'!A:A,0),0),0)</f>
        <v>0</v>
      </c>
      <c r="K4718" s="444">
        <f t="shared" ca="1" si="173"/>
        <v>-744217092263.15088</v>
      </c>
      <c r="L4718" s="444">
        <f t="shared" ca="1" si="174"/>
        <v>-179356319235419.38</v>
      </c>
      <c r="M4718" s="460">
        <f t="shared" si="176"/>
        <v>0.05</v>
      </c>
      <c r="N4718" s="464">
        <f t="shared" si="177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75"/>
        <v>-179356319235419.38</v>
      </c>
      <c r="J4719" s="444">
        <f t="array" ref="J4719">IFERROR(INDEX('Retirement Calculator'!K:K,MATCH('Lorri 401b'!N4719,'Retirement Calculator'!A:A,0),0),0)</f>
        <v>0</v>
      </c>
      <c r="K4719" s="444">
        <f t="shared" ca="1" si="173"/>
        <v>-747317996814.24744</v>
      </c>
      <c r="L4719" s="444">
        <f t="shared" ca="1" si="174"/>
        <v>-180103637232233.63</v>
      </c>
      <c r="M4719" s="460">
        <f t="shared" si="176"/>
        <v>0.05</v>
      </c>
      <c r="N4719" s="464">
        <f t="shared" si="177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75"/>
        <v>-180103637232233.63</v>
      </c>
      <c r="J4720" s="444">
        <f t="array" ref="J4720">IFERROR(INDEX('Retirement Calculator'!K:K,MATCH('Lorri 401b'!N4720,'Retirement Calculator'!A:A,0),0),0)</f>
        <v>0</v>
      </c>
      <c r="K4720" s="444">
        <f t="shared" ca="1" si="173"/>
        <v>-750431821800.97339</v>
      </c>
      <c r="L4720" s="444">
        <f t="shared" ca="1" si="174"/>
        <v>-180854069054034.59</v>
      </c>
      <c r="M4720" s="460">
        <f t="shared" si="176"/>
        <v>0.05</v>
      </c>
      <c r="N4720" s="464">
        <f t="shared" si="177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75"/>
        <v>-180854069054034.59</v>
      </c>
      <c r="J4721" s="444">
        <f t="array" ref="J4721">IFERROR(INDEX('Retirement Calculator'!K:K,MATCH('Lorri 401b'!N4721,'Retirement Calculator'!A:A,0),0),0)</f>
        <v>0</v>
      </c>
      <c r="K4721" s="444">
        <f t="shared" ca="1" si="173"/>
        <v>-753558621058.47742</v>
      </c>
      <c r="L4721" s="444">
        <f t="shared" ca="1" si="174"/>
        <v>-181607627675093.06</v>
      </c>
      <c r="M4721" s="460">
        <f t="shared" si="176"/>
        <v>0.05</v>
      </c>
      <c r="N4721" s="464">
        <f t="shared" si="177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75"/>
        <v>-181607627675093.06</v>
      </c>
      <c r="J4722" s="444">
        <f t="array" ref="J4722">IFERROR(INDEX('Retirement Calculator'!K:K,MATCH('Lorri 401b'!N4722,'Retirement Calculator'!A:A,0),0),0)</f>
        <v>0</v>
      </c>
      <c r="K4722" s="444">
        <f t="shared" ca="1" si="173"/>
        <v>-756698448646.22107</v>
      </c>
      <c r="L4722" s="444">
        <f t="shared" ca="1" si="174"/>
        <v>-182364326123739.28</v>
      </c>
      <c r="M4722" s="460">
        <f t="shared" si="176"/>
        <v>0.05</v>
      </c>
      <c r="N4722" s="464">
        <f t="shared" si="177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75"/>
        <v>-182364326123739.28</v>
      </c>
      <c r="J4723" s="444">
        <f t="array" ref="J4723">IFERROR(INDEX('Retirement Calculator'!K:K,MATCH('Lorri 401b'!N4723,'Retirement Calculator'!A:A,0),0),0)</f>
        <v>0</v>
      </c>
      <c r="K4723" s="444">
        <f t="shared" ca="1" si="173"/>
        <v>-759851358848.9137</v>
      </c>
      <c r="L4723" s="444">
        <f t="shared" ca="1" si="174"/>
        <v>-183124177482588.19</v>
      </c>
      <c r="M4723" s="460">
        <f t="shared" si="176"/>
        <v>0.05</v>
      </c>
      <c r="N4723" s="464">
        <f t="shared" si="177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75"/>
        <v>-183124177482588.19</v>
      </c>
      <c r="J4724" s="444">
        <f t="array" ref="J4724">IFERROR(INDEX('Retirement Calculator'!K:K,MATCH('Lorri 401b'!N4724,'Retirement Calculator'!A:A,0),0),0)</f>
        <v>0</v>
      </c>
      <c r="K4724" s="444">
        <f t="shared" ca="1" si="173"/>
        <v>-763017406177.45081</v>
      </c>
      <c r="L4724" s="444">
        <f t="shared" ca="1" si="174"/>
        <v>-183887194888765.63</v>
      </c>
      <c r="M4724" s="460">
        <f t="shared" si="176"/>
        <v>0.05</v>
      </c>
      <c r="N4724" s="464">
        <f t="shared" si="177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75"/>
        <v>-183887194888765.63</v>
      </c>
      <c r="J4725" s="444">
        <f t="array" ref="J4725">IFERROR(INDEX('Retirement Calculator'!K:K,MATCH('Lorri 401b'!N4725,'Retirement Calculator'!A:A,0),0),0)</f>
        <v>0</v>
      </c>
      <c r="K4725" s="444">
        <f t="shared" ca="1" si="173"/>
        <v>-766196645369.85681</v>
      </c>
      <c r="L4725" s="444">
        <f t="shared" ca="1" si="174"/>
        <v>-184653391534135.47</v>
      </c>
      <c r="M4725" s="460">
        <f t="shared" si="176"/>
        <v>0.05</v>
      </c>
      <c r="N4725" s="464">
        <f t="shared" si="177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75"/>
        <v>-184653391534135.47</v>
      </c>
      <c r="J4726" s="444">
        <f t="array" ref="J4726">IFERROR(INDEX('Retirement Calculator'!K:K,MATCH('Lorri 401b'!N4726,'Retirement Calculator'!A:A,0),0),0)</f>
        <v>0</v>
      </c>
      <c r="K4726" s="444">
        <f t="shared" ca="1" si="173"/>
        <v>-769389131392.23108</v>
      </c>
      <c r="L4726" s="444">
        <f t="shared" ca="1" si="174"/>
        <v>-185422780665527.69</v>
      </c>
      <c r="M4726" s="460">
        <f t="shared" si="176"/>
        <v>0.05</v>
      </c>
      <c r="N4726" s="464">
        <f t="shared" si="177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75"/>
        <v>-185422780665527.69</v>
      </c>
      <c r="J4727" s="444">
        <f t="array" ref="J4727">IFERROR(INDEX('Retirement Calculator'!K:K,MATCH('Lorri 401b'!N4727,'Retirement Calculator'!A:A,0),0),0)</f>
        <v>0</v>
      </c>
      <c r="K4727" s="444">
        <f t="shared" ca="1" si="173"/>
        <v>-772594919439.69873</v>
      </c>
      <c r="L4727" s="444">
        <f t="shared" ca="1" si="174"/>
        <v>-186195375584967.38</v>
      </c>
      <c r="M4727" s="460">
        <f t="shared" si="176"/>
        <v>0.05</v>
      </c>
      <c r="N4727" s="464">
        <f t="shared" si="177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75"/>
        <v>-186195375584967.38</v>
      </c>
      <c r="J4728" s="444">
        <f t="array" ref="J4728">IFERROR(INDEX('Retirement Calculator'!K:K,MATCH('Lorri 401b'!N4728,'Retirement Calculator'!A:A,0),0),0)</f>
        <v>0</v>
      </c>
      <c r="K4728" s="444">
        <f t="shared" ca="1" si="173"/>
        <v>-775814064937.36401</v>
      </c>
      <c r="L4728" s="444">
        <f t="shared" ca="1" si="174"/>
        <v>-186971189649904.75</v>
      </c>
      <c r="M4728" s="460">
        <f t="shared" si="176"/>
        <v>0.05</v>
      </c>
      <c r="N4728" s="464">
        <f t="shared" si="177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75"/>
        <v>-186971189649904.75</v>
      </c>
      <c r="J4729" s="444">
        <f t="array" ref="J4729">IFERROR(INDEX('Retirement Calculator'!K:K,MATCH('Lorri 401b'!N4729,'Retirement Calculator'!A:A,0),0),0)</f>
        <v>0</v>
      </c>
      <c r="K4729" s="444">
        <f t="shared" ca="1" si="173"/>
        <v>-779046623541.26978</v>
      </c>
      <c r="L4729" s="444">
        <f t="shared" ca="1" si="174"/>
        <v>-187750236273446.03</v>
      </c>
      <c r="M4729" s="460">
        <f t="shared" si="176"/>
        <v>0.05</v>
      </c>
      <c r="N4729" s="464">
        <f t="shared" si="177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75"/>
        <v>-187750236273446.03</v>
      </c>
      <c r="J4730" s="444">
        <f t="array" ref="J4730">IFERROR(INDEX('Retirement Calculator'!K:K,MATCH('Lorri 401b'!N4730,'Retirement Calculator'!A:A,0),0),0)</f>
        <v>0</v>
      </c>
      <c r="K4730" s="444">
        <f t="shared" ca="1" si="173"/>
        <v>-782292651139.3584</v>
      </c>
      <c r="L4730" s="444">
        <f t="shared" ca="1" si="174"/>
        <v>-188532528924585.38</v>
      </c>
      <c r="M4730" s="460">
        <f t="shared" si="176"/>
        <v>0.05</v>
      </c>
      <c r="N4730" s="464">
        <f t="shared" si="177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75"/>
        <v>-188532528924585.38</v>
      </c>
      <c r="J4731" s="444">
        <f t="array" ref="J4731">IFERROR(INDEX('Retirement Calculator'!K:K,MATCH('Lorri 401b'!N4731,'Retirement Calculator'!A:A,0),0),0)</f>
        <v>0</v>
      </c>
      <c r="K4731" s="444">
        <f t="shared" ca="1" si="173"/>
        <v>-785552203852.43909</v>
      </c>
      <c r="L4731" s="444">
        <f t="shared" ca="1" si="174"/>
        <v>-189318081128437.81</v>
      </c>
      <c r="M4731" s="460">
        <f t="shared" si="176"/>
        <v>0.05</v>
      </c>
      <c r="N4731" s="464">
        <f t="shared" si="177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75"/>
        <v>-189318081128437.81</v>
      </c>
      <c r="J4732" s="444">
        <f t="array" ref="J4732">IFERROR(INDEX('Retirement Calculator'!K:K,MATCH('Lorri 401b'!N4732,'Retirement Calculator'!A:A,0),0),0)</f>
        <v>0</v>
      </c>
      <c r="K4732" s="444">
        <f t="shared" ca="1" si="173"/>
        <v>-788825338035.15759</v>
      </c>
      <c r="L4732" s="444">
        <f t="shared" ca="1" si="174"/>
        <v>-190106906466472.97</v>
      </c>
      <c r="M4732" s="460">
        <f t="shared" si="176"/>
        <v>0.05</v>
      </c>
      <c r="N4732" s="464">
        <f t="shared" si="177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75"/>
        <v>-190106906466472.97</v>
      </c>
      <c r="J4733" s="444">
        <f t="array" ref="J4733">IFERROR(INDEX('Retirement Calculator'!K:K,MATCH('Lorri 401b'!N4733,'Retirement Calculator'!A:A,0),0),0)</f>
        <v>0</v>
      </c>
      <c r="K4733" s="444">
        <f t="shared" ca="1" si="173"/>
        <v>-792112110276.9707</v>
      </c>
      <c r="L4733" s="444">
        <f t="shared" ca="1" si="174"/>
        <v>-190899018576749.94</v>
      </c>
      <c r="M4733" s="460">
        <f t="shared" si="176"/>
        <v>0.05</v>
      </c>
      <c r="N4733" s="464">
        <f t="shared" si="177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75"/>
        <v>-190899018576749.94</v>
      </c>
      <c r="J4734" s="444">
        <f t="array" ref="J4734">IFERROR(INDEX('Retirement Calculator'!K:K,MATCH('Lorri 401b'!N4734,'Retirement Calculator'!A:A,0),0),0)</f>
        <v>0</v>
      </c>
      <c r="K4734" s="444">
        <f t="shared" ca="1" si="173"/>
        <v>-795412577403.12476</v>
      </c>
      <c r="L4734" s="444">
        <f t="shared" ca="1" si="174"/>
        <v>-191694431154153.06</v>
      </c>
      <c r="M4734" s="460">
        <f t="shared" si="176"/>
        <v>0.05</v>
      </c>
      <c r="N4734" s="464">
        <f t="shared" si="177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75"/>
        <v>-191694431154153.06</v>
      </c>
      <c r="J4735" s="444">
        <f t="array" ref="J4735">IFERROR(INDEX('Retirement Calculator'!K:K,MATCH('Lorri 401b'!N4735,'Retirement Calculator'!A:A,0),0),0)</f>
        <v>0</v>
      </c>
      <c r="K4735" s="444">
        <f t="shared" ca="1" si="173"/>
        <v>-798726796475.6377</v>
      </c>
      <c r="L4735" s="444">
        <f t="shared" ca="1" si="174"/>
        <v>-192493157950628.69</v>
      </c>
      <c r="M4735" s="460">
        <f t="shared" si="176"/>
        <v>0.05</v>
      </c>
      <c r="N4735" s="464">
        <f t="shared" si="177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75"/>
        <v>-192493157950628.69</v>
      </c>
      <c r="J4736" s="444">
        <f t="array" ref="J4736">IFERROR(INDEX('Retirement Calculator'!K:K,MATCH('Lorri 401b'!N4736,'Retirement Calculator'!A:A,0),0),0)</f>
        <v>0</v>
      </c>
      <c r="K4736" s="444">
        <f t="shared" ca="1" si="173"/>
        <v>-802054824794.28613</v>
      </c>
      <c r="L4736" s="444">
        <f t="shared" ca="1" si="174"/>
        <v>-193295212775422.97</v>
      </c>
      <c r="M4736" s="460">
        <f t="shared" si="176"/>
        <v>0.05</v>
      </c>
      <c r="N4736" s="464">
        <f t="shared" si="177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75"/>
        <v>-193295212775422.97</v>
      </c>
      <c r="J4737" s="444">
        <f t="array" ref="J4737">IFERROR(INDEX('Retirement Calculator'!K:K,MATCH('Lorri 401b'!N4737,'Retirement Calculator'!A:A,0),0),0)</f>
        <v>0</v>
      </c>
      <c r="K4737" s="444">
        <f t="shared" ca="1" si="173"/>
        <v>-805396719897.5957</v>
      </c>
      <c r="L4737" s="444">
        <f t="shared" ca="1" si="174"/>
        <v>-194100609495320.56</v>
      </c>
      <c r="M4737" s="460">
        <f t="shared" si="176"/>
        <v>0.05</v>
      </c>
      <c r="N4737" s="464">
        <f t="shared" si="177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75"/>
        <v>-194100609495320.56</v>
      </c>
      <c r="J4738" s="444">
        <f t="array" ref="J4738">IFERROR(INDEX('Retirement Calculator'!K:K,MATCH('Lorri 401b'!N4738,'Retirement Calculator'!A:A,0),0),0)</f>
        <v>0</v>
      </c>
      <c r="K4738" s="444">
        <f t="shared" ca="1" si="173"/>
        <v>-808752539563.83569</v>
      </c>
      <c r="L4738" s="444">
        <f t="shared" ca="1" si="174"/>
        <v>-194909362034884.41</v>
      </c>
      <c r="M4738" s="460">
        <f t="shared" si="176"/>
        <v>0.05</v>
      </c>
      <c r="N4738" s="464">
        <f t="shared" si="177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75"/>
        <v>-194909362034884.41</v>
      </c>
      <c r="J4739" s="444">
        <f t="array" ref="J4739">IFERROR(INDEX('Retirement Calculator'!K:K,MATCH('Lorri 401b'!N4739,'Retirement Calculator'!A:A,0),0),0)</f>
        <v>0</v>
      </c>
      <c r="K4739" s="444">
        <f t="shared" ca="1" si="173"/>
        <v>-812122341812.01831</v>
      </c>
      <c r="L4739" s="444">
        <f t="shared" ca="1" si="174"/>
        <v>-195721484376696.44</v>
      </c>
      <c r="M4739" s="460">
        <f t="shared" si="176"/>
        <v>0.05</v>
      </c>
      <c r="N4739" s="464">
        <f t="shared" si="177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75"/>
        <v>-195721484376696.44</v>
      </c>
      <c r="J4740" s="444">
        <f t="array" ref="J4740">IFERROR(INDEX('Retirement Calculator'!K:K,MATCH('Lorri 401b'!N4740,'Retirement Calculator'!A:A,0),0),0)</f>
        <v>0</v>
      </c>
      <c r="K4740" s="444">
        <f t="shared" ca="1" si="173"/>
        <v>-815506184902.90186</v>
      </c>
      <c r="L4740" s="444">
        <f t="shared" ca="1" si="174"/>
        <v>-196536990561599.34</v>
      </c>
      <c r="M4740" s="460">
        <f t="shared" si="176"/>
        <v>0.05</v>
      </c>
      <c r="N4740" s="464">
        <f t="shared" si="177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75"/>
        <v>-196536990561599.34</v>
      </c>
      <c r="J4741" s="444">
        <f t="array" ref="J4741">IFERROR(INDEX('Retirement Calculator'!K:K,MATCH('Lorri 401b'!N4741,'Retirement Calculator'!A:A,0),0),0)</f>
        <v>0</v>
      </c>
      <c r="K4741" s="444">
        <f t="shared" ca="1" si="173"/>
        <v>-818904127339.99731</v>
      </c>
      <c r="L4741" s="444">
        <f t="shared" ca="1" si="174"/>
        <v>-197355894688939.34</v>
      </c>
      <c r="M4741" s="460">
        <f t="shared" si="176"/>
        <v>0.05</v>
      </c>
      <c r="N4741" s="464">
        <f t="shared" si="177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75"/>
        <v>-197355894688939.34</v>
      </c>
      <c r="J4742" s="444">
        <f t="array" ref="J4742">IFERROR(INDEX('Retirement Calculator'!K:K,MATCH('Lorri 401b'!N4742,'Retirement Calculator'!A:A,0),0),0)</f>
        <v>0</v>
      </c>
      <c r="K4742" s="444">
        <f t="shared" ca="1" si="173"/>
        <v>-822316227870.58057</v>
      </c>
      <c r="L4742" s="444">
        <f t="shared" ca="1" si="174"/>
        <v>-198178210916809.94</v>
      </c>
      <c r="M4742" s="460">
        <f t="shared" si="176"/>
        <v>0.05</v>
      </c>
      <c r="N4742" s="464">
        <f t="shared" si="177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75"/>
        <v>-198178210916809.94</v>
      </c>
      <c r="J4743" s="444">
        <f t="array" ref="J4743">IFERROR(INDEX('Retirement Calculator'!K:K,MATCH('Lorri 401b'!N4743,'Retirement Calculator'!A:A,0),0),0)</f>
        <v>0</v>
      </c>
      <c r="K4743" s="444">
        <f t="shared" ca="1" si="173"/>
        <v>-825742545486.70801</v>
      </c>
      <c r="L4743" s="444">
        <f t="shared" ca="1" si="174"/>
        <v>-199003953462296.66</v>
      </c>
      <c r="M4743" s="460">
        <f t="shared" si="176"/>
        <v>0.05</v>
      </c>
      <c r="N4743" s="464">
        <f t="shared" si="177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75"/>
        <v>-199003953462296.66</v>
      </c>
      <c r="J4744" s="444">
        <f t="array" ref="J4744">IFERROR(INDEX('Retirement Calculator'!K:K,MATCH('Lorri 401b'!N4744,'Retirement Calculator'!A:A,0),0),0)</f>
        <v>0</v>
      </c>
      <c r="K4744" s="444">
        <f t="shared" ca="1" si="173"/>
        <v>-829183139426.23608</v>
      </c>
      <c r="L4744" s="444">
        <f t="shared" ca="1" si="174"/>
        <v>-199833136601722.91</v>
      </c>
      <c r="M4744" s="460">
        <f t="shared" si="176"/>
        <v>0.05</v>
      </c>
      <c r="N4744" s="464">
        <f t="shared" si="177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75"/>
        <v>-199833136601722.91</v>
      </c>
      <c r="J4745" s="444">
        <f t="array" ref="J4745">IFERROR(INDEX('Retirement Calculator'!K:K,MATCH('Lorri 401b'!N4745,'Retirement Calculator'!A:A,0),0),0)</f>
        <v>0</v>
      </c>
      <c r="K4745" s="444">
        <f t="shared" ca="1" si="173"/>
        <v>-832638069173.84546</v>
      </c>
      <c r="L4745" s="444">
        <f t="shared" ca="1" si="174"/>
        <v>-200665774670896.75</v>
      </c>
      <c r="M4745" s="460">
        <f t="shared" si="176"/>
        <v>0.05</v>
      </c>
      <c r="N4745" s="464">
        <f t="shared" si="177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75"/>
        <v>-200665774670896.75</v>
      </c>
      <c r="J4746" s="444">
        <f t="array" ref="J4746">IFERROR(INDEX('Retirement Calculator'!K:K,MATCH('Lorri 401b'!N4746,'Retirement Calculator'!A:A,0),0),0)</f>
        <v>0</v>
      </c>
      <c r="K4746" s="444">
        <f t="shared" ca="1" si="173"/>
        <v>-836107394462.06982</v>
      </c>
      <c r="L4746" s="444">
        <f t="shared" ca="1" si="174"/>
        <v>-201501882065358.81</v>
      </c>
      <c r="M4746" s="460">
        <f t="shared" si="176"/>
        <v>0.05</v>
      </c>
      <c r="N4746" s="464">
        <f t="shared" si="177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75"/>
        <v>-201501882065358.81</v>
      </c>
      <c r="J4747" s="444">
        <f t="array" ref="J4747">IFERROR(INDEX('Retirement Calculator'!K:K,MATCH('Lorri 401b'!N4747,'Retirement Calculator'!A:A,0),0),0)</f>
        <v>0</v>
      </c>
      <c r="K4747" s="444">
        <f t="shared" ca="1" si="173"/>
        <v>-839591175272.32837</v>
      </c>
      <c r="L4747" s="444">
        <f t="shared" ca="1" si="174"/>
        <v>-202341473240631.16</v>
      </c>
      <c r="M4747" s="460">
        <f t="shared" si="176"/>
        <v>0.05</v>
      </c>
      <c r="N4747" s="464">
        <f t="shared" si="177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75"/>
        <v>-202341473240631.16</v>
      </c>
      <c r="J4748" s="444">
        <f t="array" ref="J4748">IFERROR(INDEX('Retirement Calculator'!K:K,MATCH('Lorri 401b'!N4748,'Retirement Calculator'!A:A,0),0),0)</f>
        <v>0</v>
      </c>
      <c r="K4748" s="444">
        <f t="shared" ca="1" si="173"/>
        <v>-843089471835.96313</v>
      </c>
      <c r="L4748" s="444">
        <f t="shared" ca="1" si="174"/>
        <v>-203184562712467.13</v>
      </c>
      <c r="M4748" s="460">
        <f t="shared" si="176"/>
        <v>0.05</v>
      </c>
      <c r="N4748" s="464">
        <f t="shared" si="177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75"/>
        <v>-203184562712467.13</v>
      </c>
      <c r="J4749" s="444">
        <f t="array" ref="J4749">IFERROR(INDEX('Retirement Calculator'!K:K,MATCH('Lorri 401b'!N4749,'Retirement Calculator'!A:A,0),0),0)</f>
        <v>0</v>
      </c>
      <c r="K4749" s="444">
        <f t="shared" ca="1" si="173"/>
        <v>-846602344635.27966</v>
      </c>
      <c r="L4749" s="444">
        <f t="shared" ca="1" si="174"/>
        <v>-204031165057102.41</v>
      </c>
      <c r="M4749" s="460">
        <f t="shared" si="176"/>
        <v>0.05</v>
      </c>
      <c r="N4749" s="464">
        <f t="shared" si="177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75"/>
        <v>-204031165057102.41</v>
      </c>
      <c r="J4750" s="444">
        <f t="array" ref="J4750">IFERROR(INDEX('Retirement Calculator'!K:K,MATCH('Lorri 401b'!N4750,'Retirement Calculator'!A:A,0),0),0)</f>
        <v>0</v>
      </c>
      <c r="K4750" s="444">
        <f t="shared" ca="1" si="173"/>
        <v>-850129854404.59338</v>
      </c>
      <c r="L4750" s="444">
        <f t="shared" ca="1" si="174"/>
        <v>-204881294911507</v>
      </c>
      <c r="M4750" s="460">
        <f t="shared" si="176"/>
        <v>0.05</v>
      </c>
      <c r="N4750" s="464">
        <f t="shared" si="177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75"/>
        <v>-204881294911507</v>
      </c>
      <c r="J4751" s="444">
        <f t="array" ref="J4751">IFERROR(INDEX('Retirement Calculator'!K:K,MATCH('Lorri 401b'!N4751,'Retirement Calculator'!A:A,0),0),0)</f>
        <v>0</v>
      </c>
      <c r="K4751" s="444">
        <f t="shared" ca="1" si="173"/>
        <v>-853672062131.27917</v>
      </c>
      <c r="L4751" s="444">
        <f t="shared" ca="1" si="174"/>
        <v>-205734966973638.28</v>
      </c>
      <c r="M4751" s="460">
        <f t="shared" si="176"/>
        <v>0.05</v>
      </c>
      <c r="N4751" s="464">
        <f t="shared" si="177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75"/>
        <v>-205734966973638.28</v>
      </c>
      <c r="J4752" s="444">
        <f t="array" ref="J4752">IFERROR(INDEX('Retirement Calculator'!K:K,MATCH('Lorri 401b'!N4752,'Retirement Calculator'!A:A,0),0),0)</f>
        <v>0</v>
      </c>
      <c r="K4752" s="444">
        <f t="shared" ca="1" si="173"/>
        <v>-857229029056.82617</v>
      </c>
      <c r="L4752" s="444">
        <f t="shared" ca="1" si="174"/>
        <v>-206592196002695.09</v>
      </c>
      <c r="M4752" s="460">
        <f t="shared" si="176"/>
        <v>0.05</v>
      </c>
      <c r="N4752" s="464">
        <f t="shared" si="177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75"/>
        <v>-206592196002695.09</v>
      </c>
      <c r="J4753" s="444">
        <f t="array" ref="J4753">IFERROR(INDEX('Retirement Calculator'!K:K,MATCH('Lorri 401b'!N4753,'Retirement Calculator'!A:A,0),0),0)</f>
        <v>0</v>
      </c>
      <c r="K4753" s="444">
        <f t="shared" ca="1" si="173"/>
        <v>-860800816677.89624</v>
      </c>
      <c r="L4753" s="444">
        <f t="shared" ca="1" si="174"/>
        <v>-207452996819373</v>
      </c>
      <c r="M4753" s="460">
        <f t="shared" si="176"/>
        <v>0.05</v>
      </c>
      <c r="N4753" s="464">
        <f t="shared" si="177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75"/>
        <v>-207452996819373</v>
      </c>
      <c r="J4754" s="444">
        <f t="array" ref="J4754">IFERROR(INDEX('Retirement Calculator'!K:K,MATCH('Lorri 401b'!N4754,'Retirement Calculator'!A:A,0),0),0)</f>
        <v>0</v>
      </c>
      <c r="K4754" s="444">
        <f t="shared" ca="1" si="173"/>
        <v>-864387486747.38745</v>
      </c>
      <c r="L4754" s="444">
        <f t="shared" ca="1" si="174"/>
        <v>-208317384306120.38</v>
      </c>
      <c r="M4754" s="460">
        <f t="shared" si="176"/>
        <v>0.05</v>
      </c>
      <c r="N4754" s="464">
        <f t="shared" si="177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75"/>
        <v>-208317384306120.38</v>
      </c>
      <c r="J4755" s="444">
        <f t="array" ref="J4755">IFERROR(INDEX('Retirement Calculator'!K:K,MATCH('Lorri 401b'!N4755,'Retirement Calculator'!A:A,0),0),0)</f>
        <v>0</v>
      </c>
      <c r="K4755" s="444">
        <f t="shared" ca="1" si="173"/>
        <v>-867989101275.50159</v>
      </c>
      <c r="L4755" s="444">
        <f t="shared" ca="1" si="174"/>
        <v>-209185373407395.88</v>
      </c>
      <c r="M4755" s="460">
        <f t="shared" si="176"/>
        <v>0.05</v>
      </c>
      <c r="N4755" s="464">
        <f t="shared" si="177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75"/>
        <v>-209185373407395.88</v>
      </c>
      <c r="J4756" s="444">
        <f t="array" ref="J4756">IFERROR(INDEX('Retirement Calculator'!K:K,MATCH('Lorri 401b'!N4756,'Retirement Calculator'!A:A,0),0),0)</f>
        <v>0</v>
      </c>
      <c r="K4756" s="444">
        <f t="shared" ca="1" si="173"/>
        <v>-871605722530.81616</v>
      </c>
      <c r="L4756" s="444">
        <f t="shared" ca="1" si="174"/>
        <v>-210056979129926.69</v>
      </c>
      <c r="M4756" s="460">
        <f t="shared" si="176"/>
        <v>0.05</v>
      </c>
      <c r="N4756" s="464">
        <f t="shared" si="177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75"/>
        <v>-210056979129926.69</v>
      </c>
      <c r="J4757" s="444">
        <f t="array" ref="J4757">IFERROR(INDEX('Retirement Calculator'!K:K,MATCH('Lorri 401b'!N4757,'Retirement Calculator'!A:A,0),0),0)</f>
        <v>0</v>
      </c>
      <c r="K4757" s="444">
        <f t="shared" ca="1" si="173"/>
        <v>-875237413041.36121</v>
      </c>
      <c r="L4757" s="444">
        <f t="shared" ca="1" si="174"/>
        <v>-210932216542968.06</v>
      </c>
      <c r="M4757" s="460">
        <f t="shared" si="176"/>
        <v>0.05</v>
      </c>
      <c r="N4757" s="464">
        <f t="shared" si="177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75"/>
        <v>-210932216542968.06</v>
      </c>
      <c r="J4758" s="444">
        <f t="array" ref="J4758">IFERROR(INDEX('Retirement Calculator'!K:K,MATCH('Lorri 401b'!N4758,'Retirement Calculator'!A:A,0),0),0)</f>
        <v>0</v>
      </c>
      <c r="K4758" s="444">
        <f t="shared" ca="1" si="173"/>
        <v>-878884235595.7002</v>
      </c>
      <c r="L4758" s="444">
        <f t="shared" ca="1" si="174"/>
        <v>-211811100778563.75</v>
      </c>
      <c r="M4758" s="460">
        <f t="shared" si="176"/>
        <v>0.05</v>
      </c>
      <c r="N4758" s="464">
        <f t="shared" si="177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75"/>
        <v>-211811100778563.75</v>
      </c>
      <c r="J4759" s="444">
        <f t="array" ref="J4759">IFERROR(INDEX('Retirement Calculator'!K:K,MATCH('Lorri 401b'!N4759,'Retirement Calculator'!A:A,0),0),0)</f>
        <v>0</v>
      </c>
      <c r="K4759" s="444">
        <f t="shared" ca="1" si="173"/>
        <v>-882546253244.01563</v>
      </c>
      <c r="L4759" s="444">
        <f t="shared" ca="1" si="174"/>
        <v>-212693647031807.75</v>
      </c>
      <c r="M4759" s="460">
        <f t="shared" si="176"/>
        <v>0.05</v>
      </c>
      <c r="N4759" s="464">
        <f t="shared" si="177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75"/>
        <v>-212693647031807.75</v>
      </c>
      <c r="J4760" s="444">
        <f t="array" ref="J4760">IFERROR(INDEX('Retirement Calculator'!K:K,MATCH('Lorri 401b'!N4760,'Retirement Calculator'!A:A,0),0),0)</f>
        <v>0</v>
      </c>
      <c r="K4760" s="444">
        <f t="shared" ca="1" si="173"/>
        <v>-886223529299.19897</v>
      </c>
      <c r="L4760" s="444">
        <f t="shared" ca="1" si="174"/>
        <v>-213579870561106.94</v>
      </c>
      <c r="M4760" s="460">
        <f t="shared" si="176"/>
        <v>0.05</v>
      </c>
      <c r="N4760" s="464">
        <f t="shared" si="177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75"/>
        <v>-213579870561106.94</v>
      </c>
      <c r="J4761" s="444">
        <f t="array" ref="J4761">IFERROR(INDEX('Retirement Calculator'!K:K,MATCH('Lorri 401b'!N4761,'Retirement Calculator'!A:A,0),0),0)</f>
        <v>0</v>
      </c>
      <c r="K4761" s="444">
        <f t="shared" ca="1" si="173"/>
        <v>-889916127337.94556</v>
      </c>
      <c r="L4761" s="444">
        <f t="shared" ca="1" si="174"/>
        <v>-214469786688444.88</v>
      </c>
      <c r="M4761" s="460">
        <f t="shared" si="176"/>
        <v>0.05</v>
      </c>
      <c r="N4761" s="464">
        <f t="shared" si="177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75"/>
        <v>-214469786688444.88</v>
      </c>
      <c r="J4762" s="444">
        <f t="array" ref="J4762">IFERROR(INDEX('Retirement Calculator'!K:K,MATCH('Lorri 401b'!N4762,'Retirement Calculator'!A:A,0),0),0)</f>
        <v>0</v>
      </c>
      <c r="K4762" s="444">
        <f t="shared" ca="1" si="173"/>
        <v>-893624111201.85364</v>
      </c>
      <c r="L4762" s="444">
        <f t="shared" ca="1" si="174"/>
        <v>-215363410799646.72</v>
      </c>
      <c r="M4762" s="460">
        <f t="shared" si="176"/>
        <v>0.05</v>
      </c>
      <c r="N4762" s="464">
        <f t="shared" si="177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75"/>
        <v>-215363410799646.72</v>
      </c>
      <c r="J4763" s="444">
        <f t="array" ref="J4763">IFERROR(INDEX('Retirement Calculator'!K:K,MATCH('Lorri 401b'!N4763,'Retirement Calculator'!A:A,0),0),0)</f>
        <v>0</v>
      </c>
      <c r="K4763" s="444">
        <f t="shared" ca="1" si="173"/>
        <v>-897347544998.52795</v>
      </c>
      <c r="L4763" s="444">
        <f t="shared" ca="1" si="174"/>
        <v>-216260758344645.25</v>
      </c>
      <c r="M4763" s="460">
        <f t="shared" si="176"/>
        <v>0.05</v>
      </c>
      <c r="N4763" s="464">
        <f t="shared" si="177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75"/>
        <v>-216260758344645.25</v>
      </c>
      <c r="J4764" s="444">
        <f t="array" ref="J4764">IFERROR(INDEX('Retirement Calculator'!K:K,MATCH('Lorri 401b'!N4764,'Retirement Calculator'!A:A,0),0),0)</f>
        <v>0</v>
      </c>
      <c r="K4764" s="444">
        <f t="shared" ca="1" si="173"/>
        <v>-901086493102.68848</v>
      </c>
      <c r="L4764" s="444">
        <f t="shared" ca="1" si="174"/>
        <v>-217161844837747.94</v>
      </c>
      <c r="M4764" s="460">
        <f t="shared" si="176"/>
        <v>0.05</v>
      </c>
      <c r="N4764" s="464">
        <f t="shared" si="177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75"/>
        <v>-217161844837747.94</v>
      </c>
      <c r="J4765" s="444">
        <f t="array" ref="J4765">IFERROR(INDEX('Retirement Calculator'!K:K,MATCH('Lorri 401b'!N4765,'Retirement Calculator'!A:A,0),0),0)</f>
        <v>0</v>
      </c>
      <c r="K4765" s="444">
        <f t="shared" ca="1" si="173"/>
        <v>-904841020157.28308</v>
      </c>
      <c r="L4765" s="444">
        <f t="shared" ca="1" si="174"/>
        <v>-218066685857905.22</v>
      </c>
      <c r="M4765" s="460">
        <f t="shared" si="176"/>
        <v>0.05</v>
      </c>
      <c r="N4765" s="464">
        <f t="shared" si="177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75"/>
        <v>-218066685857905.22</v>
      </c>
      <c r="J4766" s="444">
        <f t="array" ref="J4766">IFERROR(INDEX('Retirement Calculator'!K:K,MATCH('Lorri 401b'!N4766,'Retirement Calculator'!A:A,0),0),0)</f>
        <v>0</v>
      </c>
      <c r="K4766" s="444">
        <f t="shared" ca="1" si="173"/>
        <v>-908611191074.6051</v>
      </c>
      <c r="L4766" s="444">
        <f t="shared" ca="1" si="174"/>
        <v>-218975297048979.81</v>
      </c>
      <c r="M4766" s="460">
        <f t="shared" si="176"/>
        <v>0.05</v>
      </c>
      <c r="N4766" s="464">
        <f t="shared" si="177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75"/>
        <v>-218975297048979.81</v>
      </c>
      <c r="J4767" s="444">
        <f t="array" ref="J4767">IFERROR(INDEX('Retirement Calculator'!K:K,MATCH('Lorri 401b'!N4767,'Retirement Calculator'!A:A,0),0),0)</f>
        <v>0</v>
      </c>
      <c r="K4767" s="444">
        <f t="shared" ca="1" si="173"/>
        <v>-912397071037.41589</v>
      </c>
      <c r="L4767" s="444">
        <f t="shared" ca="1" si="174"/>
        <v>-219887694120017.22</v>
      </c>
      <c r="M4767" s="460">
        <f t="shared" si="176"/>
        <v>0.05</v>
      </c>
      <c r="N4767" s="464">
        <f t="shared" si="177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75"/>
        <v>-219887694120017.22</v>
      </c>
      <c r="J4768" s="444">
        <f t="array" ref="J4768">IFERROR(INDEX('Retirement Calculator'!K:K,MATCH('Lorri 401b'!N4768,'Retirement Calculator'!A:A,0),0),0)</f>
        <v>0</v>
      </c>
      <c r="K4768" s="444">
        <f t="shared" ca="1" si="173"/>
        <v>-916198725500.07178</v>
      </c>
      <c r="L4768" s="444">
        <f t="shared" ca="1" si="174"/>
        <v>-220803892845517.28</v>
      </c>
      <c r="M4768" s="460">
        <f t="shared" si="176"/>
        <v>0.05</v>
      </c>
      <c r="N4768" s="464">
        <f t="shared" si="177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75"/>
        <v>-220803892845517.28</v>
      </c>
      <c r="J4769" s="444">
        <f t="array" ref="J4769">IFERROR(INDEX('Retirement Calculator'!K:K,MATCH('Lorri 401b'!N4769,'Retirement Calculator'!A:A,0),0),0)</f>
        <v>0</v>
      </c>
      <c r="K4769" s="444">
        <f t="shared" ca="1" si="173"/>
        <v>-920016220189.65515</v>
      </c>
      <c r="L4769" s="444">
        <f t="shared" ca="1" si="174"/>
        <v>-221723909065706.94</v>
      </c>
      <c r="M4769" s="460">
        <f t="shared" si="176"/>
        <v>0.05</v>
      </c>
      <c r="N4769" s="464">
        <f t="shared" si="177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75"/>
        <v>-221723909065706.94</v>
      </c>
      <c r="J4770" s="444">
        <f t="array" ref="J4770">IFERROR(INDEX('Retirement Calculator'!K:K,MATCH('Lorri 401b'!N4770,'Retirement Calculator'!A:A,0),0),0)</f>
        <v>0</v>
      </c>
      <c r="K4770" s="444">
        <f t="shared" ca="1" si="173"/>
        <v>-923849621107.1123</v>
      </c>
      <c r="L4770" s="444">
        <f t="shared" ca="1" si="174"/>
        <v>-222647758686814.06</v>
      </c>
      <c r="M4770" s="460">
        <f t="shared" si="176"/>
        <v>0.05</v>
      </c>
      <c r="N4770" s="464">
        <f t="shared" si="177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75"/>
        <v>-222647758686814.06</v>
      </c>
      <c r="J4771" s="444">
        <f t="array" ref="J4771">IFERROR(INDEX('Retirement Calculator'!K:K,MATCH('Lorri 401b'!N4771,'Retirement Calculator'!A:A,0),0),0)</f>
        <v>0</v>
      </c>
      <c r="K4771" s="444">
        <f t="shared" ca="1" si="173"/>
        <v>-927698994528.39197</v>
      </c>
      <c r="L4771" s="444">
        <f t="shared" ca="1" si="174"/>
        <v>-223575457681342.47</v>
      </c>
      <c r="M4771" s="460">
        <f t="shared" si="176"/>
        <v>0.05</v>
      </c>
      <c r="N4771" s="464">
        <f t="shared" si="177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75"/>
        <v>-223575457681342.47</v>
      </c>
      <c r="J4772" s="444">
        <f t="array" ref="J4772">IFERROR(INDEX('Retirement Calculator'!K:K,MATCH('Lorri 401b'!N4772,'Retirement Calculator'!A:A,0),0),0)</f>
        <v>0</v>
      </c>
      <c r="K4772" s="444">
        <f t="shared" ca="1" si="173"/>
        <v>-931564407005.59363</v>
      </c>
      <c r="L4772" s="444">
        <f t="shared" ca="1" si="174"/>
        <v>-224507022088348.06</v>
      </c>
      <c r="M4772" s="460">
        <f t="shared" si="176"/>
        <v>0.05</v>
      </c>
      <c r="N4772" s="464">
        <f t="shared" si="177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75"/>
        <v>-224507022088348.06</v>
      </c>
      <c r="J4773" s="444">
        <f t="array" ref="J4773">IFERROR(INDEX('Retirement Calculator'!K:K,MATCH('Lorri 401b'!N4773,'Retirement Calculator'!A:A,0),0),0)</f>
        <v>0</v>
      </c>
      <c r="K4773" s="444">
        <f t="shared" ca="1" si="173"/>
        <v>-935445925368.11707</v>
      </c>
      <c r="L4773" s="444">
        <f t="shared" ca="1" si="174"/>
        <v>-225442468013716.19</v>
      </c>
      <c r="M4773" s="460">
        <f t="shared" si="176"/>
        <v>0.05</v>
      </c>
      <c r="N4773" s="464">
        <f t="shared" si="177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75"/>
        <v>-225442468013716.19</v>
      </c>
      <c r="J4774" s="444">
        <f t="array" ref="J4774">IFERROR(INDEX('Retirement Calculator'!K:K,MATCH('Lorri 401b'!N4774,'Retirement Calculator'!A:A,0),0),0)</f>
        <v>0</v>
      </c>
      <c r="K4774" s="444">
        <f t="shared" ca="1" si="173"/>
        <v>-939343616723.81738</v>
      </c>
      <c r="L4774" s="444">
        <f t="shared" ca="1" si="174"/>
        <v>-226381811630440</v>
      </c>
      <c r="M4774" s="460">
        <f t="shared" si="176"/>
        <v>0.05</v>
      </c>
      <c r="N4774" s="464">
        <f t="shared" si="177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75"/>
        <v>-226381811630440</v>
      </c>
      <c r="J4775" s="444">
        <f t="array" ref="J4775">IFERROR(INDEX('Retirement Calculator'!K:K,MATCH('Lorri 401b'!N4775,'Retirement Calculator'!A:A,0),0),0)</f>
        <v>0</v>
      </c>
      <c r="K4775" s="444">
        <f t="shared" ca="1" si="173"/>
        <v>-943257548460.16663</v>
      </c>
      <c r="L4775" s="444">
        <f t="shared" ca="1" si="174"/>
        <v>-227325069178900.16</v>
      </c>
      <c r="M4775" s="460">
        <f t="shared" si="176"/>
        <v>0.05</v>
      </c>
      <c r="N4775" s="464">
        <f t="shared" si="177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75"/>
        <v>-227325069178900.16</v>
      </c>
      <c r="J4776" s="444">
        <f t="array" ref="J4776">IFERROR(INDEX('Retirement Calculator'!K:K,MATCH('Lorri 401b'!N4776,'Retirement Calculator'!A:A,0),0),0)</f>
        <v>0</v>
      </c>
      <c r="K4776" s="444">
        <f t="shared" ca="1" si="173"/>
        <v>-947187788245.41736</v>
      </c>
      <c r="L4776" s="444">
        <f t="shared" ca="1" si="174"/>
        <v>-228272256967145.56</v>
      </c>
      <c r="M4776" s="460">
        <f t="shared" si="176"/>
        <v>0.05</v>
      </c>
      <c r="N4776" s="464">
        <f t="shared" si="177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75"/>
        <v>-228272256967145.56</v>
      </c>
      <c r="J4777" s="444">
        <f t="array" ref="J4777">IFERROR(INDEX('Retirement Calculator'!K:K,MATCH('Lorri 401b'!N4777,'Retirement Calculator'!A:A,0),0),0)</f>
        <v>0</v>
      </c>
      <c r="K4777" s="444">
        <f t="shared" ca="1" si="173"/>
        <v>-951134404029.77332</v>
      </c>
      <c r="L4777" s="444">
        <f t="shared" ca="1" si="174"/>
        <v>-229223391371175.34</v>
      </c>
      <c r="M4777" s="460">
        <f t="shared" si="176"/>
        <v>0.05</v>
      </c>
      <c r="N4777" s="464">
        <f t="shared" si="177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75"/>
        <v>-229223391371175.34</v>
      </c>
      <c r="J4778" s="444">
        <f t="array" ref="J4778">IFERROR(INDEX('Retirement Calculator'!K:K,MATCH('Lorri 401b'!N4778,'Retirement Calculator'!A:A,0),0),0)</f>
        <v>0</v>
      </c>
      <c r="K4778" s="444">
        <f t="shared" ca="1" si="173"/>
        <v>-955097464046.56396</v>
      </c>
      <c r="L4778" s="444">
        <f t="shared" ca="1" si="174"/>
        <v>-230178488835221.91</v>
      </c>
      <c r="M4778" s="460">
        <f t="shared" si="176"/>
        <v>0.05</v>
      </c>
      <c r="N4778" s="464">
        <f t="shared" si="177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75"/>
        <v>-230178488835221.91</v>
      </c>
      <c r="J4779" s="444">
        <f t="array" ref="J4779">IFERROR(INDEX('Retirement Calculator'!K:K,MATCH('Lorri 401b'!N4779,'Retirement Calculator'!A:A,0),0),0)</f>
        <v>0</v>
      </c>
      <c r="K4779" s="444">
        <f t="shared" ca="1" si="173"/>
        <v>-959077036813.42468</v>
      </c>
      <c r="L4779" s="444">
        <f t="shared" ca="1" si="174"/>
        <v>-231137565872035.34</v>
      </c>
      <c r="M4779" s="460">
        <f t="shared" si="176"/>
        <v>0.05</v>
      </c>
      <c r="N4779" s="464">
        <f t="shared" si="177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75"/>
        <v>-231137565872035.34</v>
      </c>
      <c r="J4780" s="444">
        <f t="array" ref="J4780">IFERROR(INDEX('Retirement Calculator'!K:K,MATCH('Lorri 401b'!N4780,'Retirement Calculator'!A:A,0),0),0)</f>
        <v>0</v>
      </c>
      <c r="K4780" s="444">
        <f t="shared" ca="1" si="173"/>
        <v>-963073191133.48059</v>
      </c>
      <c r="L4780" s="444">
        <f t="shared" ca="1" si="174"/>
        <v>-232100639063168.81</v>
      </c>
      <c r="M4780" s="460">
        <f t="shared" si="176"/>
        <v>0.05</v>
      </c>
      <c r="N4780" s="464">
        <f t="shared" si="177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75"/>
        <v>-232100639063168.81</v>
      </c>
      <c r="J4781" s="444">
        <f t="array" ref="J4781">IFERROR(INDEX('Retirement Calculator'!K:K,MATCH('Lorri 401b'!N4781,'Retirement Calculator'!A:A,0),0),0)</f>
        <v>0</v>
      </c>
      <c r="K4781" s="444">
        <f t="shared" ca="1" si="173"/>
        <v>-967085996096.53687</v>
      </c>
      <c r="L4781" s="444">
        <f t="shared" ca="1" si="174"/>
        <v>-233067725059265.34</v>
      </c>
      <c r="M4781" s="460">
        <f t="shared" si="176"/>
        <v>0.05</v>
      </c>
      <c r="N4781" s="464">
        <f t="shared" si="177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75"/>
        <v>-233067725059265.34</v>
      </c>
      <c r="J4782" s="444">
        <f t="array" ref="J4782">IFERROR(INDEX('Retirement Calculator'!K:K,MATCH('Lorri 401b'!N4782,'Retirement Calculator'!A:A,0),0),0)</f>
        <v>0</v>
      </c>
      <c r="K4782" s="444">
        <f t="shared" ca="1" si="173"/>
        <v>-971115521080.27222</v>
      </c>
      <c r="L4782" s="444">
        <f t="shared" ca="1" si="174"/>
        <v>-234038840580345.63</v>
      </c>
      <c r="M4782" s="460">
        <f t="shared" si="176"/>
        <v>0.05</v>
      </c>
      <c r="N4782" s="464">
        <f t="shared" si="177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75"/>
        <v>-234038840580345.63</v>
      </c>
      <c r="J4783" s="444">
        <f t="array" ref="J4783">IFERROR(INDEX('Retirement Calculator'!K:K,MATCH('Lorri 401b'!N4783,'Retirement Calculator'!A:A,0),0),0)</f>
        <v>0</v>
      </c>
      <c r="K4783" s="444">
        <f t="shared" ca="1" si="173"/>
        <v>-975161835751.44006</v>
      </c>
      <c r="L4783" s="444">
        <f t="shared" ca="1" si="174"/>
        <v>-235014002416097.06</v>
      </c>
      <c r="M4783" s="460">
        <f t="shared" si="176"/>
        <v>0.05</v>
      </c>
      <c r="N4783" s="464">
        <f t="shared" si="177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75"/>
        <v>-235014002416097.06</v>
      </c>
      <c r="J4784" s="444">
        <f t="array" ref="J4784">IFERROR(INDEX('Retirement Calculator'!K:K,MATCH('Lorri 401b'!N4784,'Retirement Calculator'!A:A,0),0),0)</f>
        <v>0</v>
      </c>
      <c r="K4784" s="444">
        <f t="shared" ca="1" si="173"/>
        <v>-979225010067.07104</v>
      </c>
      <c r="L4784" s="444">
        <f t="shared" ca="1" si="174"/>
        <v>-235993227426164.13</v>
      </c>
      <c r="M4784" s="460">
        <f t="shared" si="176"/>
        <v>0.05</v>
      </c>
      <c r="N4784" s="464">
        <f t="shared" si="177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75"/>
        <v>-235993227426164.13</v>
      </c>
      <c r="J4785" s="444">
        <f t="array" ref="J4785">IFERROR(INDEX('Retirement Calculator'!K:K,MATCH('Lorri 401b'!N4785,'Retirement Calculator'!A:A,0),0),0)</f>
        <v>0</v>
      </c>
      <c r="K4785" s="444">
        <f t="shared" ca="1" si="173"/>
        <v>-983305114275.68372</v>
      </c>
      <c r="L4785" s="444">
        <f t="shared" ca="1" si="174"/>
        <v>-236976532540439.81</v>
      </c>
      <c r="M4785" s="460">
        <f t="shared" si="176"/>
        <v>0.05</v>
      </c>
      <c r="N4785" s="464">
        <f t="shared" si="177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75"/>
        <v>-236976532540439.81</v>
      </c>
      <c r="J4786" s="444">
        <f t="array" ref="J4786">IFERROR(INDEX('Retirement Calculator'!K:K,MATCH('Lorri 401b'!N4786,'Retirement Calculator'!A:A,0),0),0)</f>
        <v>0</v>
      </c>
      <c r="K4786" s="444">
        <f t="shared" ca="1" si="173"/>
        <v>-987402218918.49902</v>
      </c>
      <c r="L4786" s="444">
        <f t="shared" ca="1" si="174"/>
        <v>-237963934759358.31</v>
      </c>
      <c r="M4786" s="460">
        <f t="shared" si="176"/>
        <v>0.05</v>
      </c>
      <c r="N4786" s="464">
        <f t="shared" si="177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75"/>
        <v>-237963934759358.31</v>
      </c>
      <c r="J4787" s="444">
        <f t="array" ref="J4787">IFERROR(INDEX('Retirement Calculator'!K:K,MATCH('Lorri 401b'!N4787,'Retirement Calculator'!A:A,0),0),0)</f>
        <v>0</v>
      </c>
      <c r="K4787" s="444">
        <f t="shared" ca="1" si="173"/>
        <v>-991516394830.65967</v>
      </c>
      <c r="L4787" s="444">
        <f t="shared" ca="1" si="174"/>
        <v>-238955451154188.97</v>
      </c>
      <c r="M4787" s="460">
        <f t="shared" si="176"/>
        <v>0.05</v>
      </c>
      <c r="N4787" s="464">
        <f t="shared" si="177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75"/>
        <v>-238955451154188.97</v>
      </c>
      <c r="J4788" s="444">
        <f t="array" ref="J4788">IFERROR(INDEX('Retirement Calculator'!K:K,MATCH('Lorri 401b'!N4788,'Retirement Calculator'!A:A,0),0),0)</f>
        <v>0</v>
      </c>
      <c r="K4788" s="444">
        <f t="shared" ca="1" si="173"/>
        <v>-995647713142.45398</v>
      </c>
      <c r="L4788" s="444">
        <f t="shared" ca="1" si="174"/>
        <v>-239951098867331.44</v>
      </c>
      <c r="M4788" s="460">
        <f t="shared" si="176"/>
        <v>0.05</v>
      </c>
      <c r="N4788" s="464">
        <f t="shared" si="177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75"/>
        <v>-239951098867331.44</v>
      </c>
      <c r="J4789" s="444">
        <f t="array" ref="J4789">IFERROR(INDEX('Retirement Calculator'!K:K,MATCH('Lorri 401b'!N4789,'Retirement Calculator'!A:A,0),0),0)</f>
        <v>0</v>
      </c>
      <c r="K4789" s="444">
        <f t="shared" ca="1" si="173"/>
        <v>-999796245280.54749</v>
      </c>
      <c r="L4789" s="444">
        <f t="shared" ca="1" si="174"/>
        <v>-240950895112612</v>
      </c>
      <c r="M4789" s="460">
        <f t="shared" si="176"/>
        <v>0.05</v>
      </c>
      <c r="N4789" s="464">
        <f t="shared" si="177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75"/>
        <v>-240950895112612</v>
      </c>
      <c r="J4790" s="444">
        <f t="array" ref="J4790">IFERROR(INDEX('Retirement Calculator'!K:K,MATCH('Lorri 401b'!N4790,'Retirement Calculator'!A:A,0),0),0)</f>
        <v>0</v>
      </c>
      <c r="K4790" s="444">
        <f t="shared" ca="1" si="173"/>
        <v>-1003962062969.2166</v>
      </c>
      <c r="L4790" s="444">
        <f t="shared" ca="1" si="174"/>
        <v>-241954857175581.22</v>
      </c>
      <c r="M4790" s="460">
        <f t="shared" si="176"/>
        <v>0.05</v>
      </c>
      <c r="N4790" s="464">
        <f t="shared" si="177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75"/>
        <v>-241954857175581.22</v>
      </c>
      <c r="J4791" s="444">
        <f t="array" ref="J4791">IFERROR(INDEX('Retirement Calculator'!K:K,MATCH('Lorri 401b'!N4791,'Retirement Calculator'!A:A,0),0),0)</f>
        <v>0</v>
      </c>
      <c r="K4791" s="444">
        <f t="shared" ca="1" si="173"/>
        <v>-1008145238231.5884</v>
      </c>
      <c r="L4791" s="444">
        <f t="shared" ca="1" si="174"/>
        <v>-242963002413812.81</v>
      </c>
      <c r="M4791" s="460">
        <f t="shared" si="176"/>
        <v>0.05</v>
      </c>
      <c r="N4791" s="464">
        <f t="shared" si="177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75"/>
        <v>-242963002413812.81</v>
      </c>
      <c r="J4792" s="444">
        <f t="array" ref="J4792">IFERROR(INDEX('Retirement Calculator'!K:K,MATCH('Lorri 401b'!N4792,'Retirement Calculator'!A:A,0),0),0)</f>
        <v>0</v>
      </c>
      <c r="K4792" s="444">
        <f t="shared" ca="1" si="173"/>
        <v>-1012345843390.8867</v>
      </c>
      <c r="L4792" s="444">
        <f t="shared" ca="1" si="174"/>
        <v>-243975348257203.69</v>
      </c>
      <c r="M4792" s="460">
        <f t="shared" si="176"/>
        <v>0.05</v>
      </c>
      <c r="N4792" s="464">
        <f t="shared" si="177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75"/>
        <v>-243975348257203.69</v>
      </c>
      <c r="J4793" s="444">
        <f t="array" ref="J4793">IFERROR(INDEX('Retirement Calculator'!K:K,MATCH('Lorri 401b'!N4793,'Retirement Calculator'!A:A,0),0),0)</f>
        <v>0</v>
      </c>
      <c r="K4793" s="444">
        <f t="shared" ca="1" si="173"/>
        <v>-1016563951071.6821</v>
      </c>
      <c r="L4793" s="444">
        <f t="shared" ca="1" si="174"/>
        <v>-244991912208275.38</v>
      </c>
      <c r="M4793" s="460">
        <f t="shared" si="176"/>
        <v>0.05</v>
      </c>
      <c r="N4793" s="464">
        <f t="shared" si="177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75"/>
        <v>-244991912208275.38</v>
      </c>
      <c r="J4794" s="444">
        <f t="array" ref="J4794">IFERROR(INDEX('Retirement Calculator'!K:K,MATCH('Lorri 401b'!N4794,'Retirement Calculator'!A:A,0),0),0)</f>
        <v>0</v>
      </c>
      <c r="K4794" s="444">
        <f t="shared" ca="1" si="173"/>
        <v>-1020799634201.1473</v>
      </c>
      <c r="L4794" s="444">
        <f t="shared" ca="1" si="174"/>
        <v>-246012711842476.53</v>
      </c>
      <c r="M4794" s="460">
        <f t="shared" si="176"/>
        <v>0.05</v>
      </c>
      <c r="N4794" s="464">
        <f t="shared" si="177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75"/>
        <v>-246012711842476.53</v>
      </c>
      <c r="J4795" s="444">
        <f t="array" ref="J4795">IFERROR(INDEX('Retirement Calculator'!K:K,MATCH('Lorri 401b'!N4795,'Retirement Calculator'!A:A,0),0),0)</f>
        <v>0</v>
      </c>
      <c r="K4795" s="444">
        <f t="shared" ca="1" si="173"/>
        <v>-1025052966010.3188</v>
      </c>
      <c r="L4795" s="444">
        <f t="shared" ca="1" si="174"/>
        <v>-247037764808486.84</v>
      </c>
      <c r="M4795" s="460">
        <f t="shared" si="176"/>
        <v>0.05</v>
      </c>
      <c r="N4795" s="464">
        <f t="shared" si="177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75"/>
        <v>-247037764808486.84</v>
      </c>
      <c r="J4796" s="444">
        <f t="array" ref="J4796">IFERROR(INDEX('Retirement Calculator'!K:K,MATCH('Lorri 401b'!N4796,'Retirement Calculator'!A:A,0),0),0)</f>
        <v>0</v>
      </c>
      <c r="K4796" s="444">
        <f t="shared" ca="1" si="173"/>
        <v>-1029324020035.3618</v>
      </c>
      <c r="L4796" s="444">
        <f t="shared" ca="1" si="174"/>
        <v>-248067088828522.22</v>
      </c>
      <c r="M4796" s="460">
        <f t="shared" si="176"/>
        <v>0.05</v>
      </c>
      <c r="N4796" s="464">
        <f t="shared" si="177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75"/>
        <v>-248067088828522.22</v>
      </c>
      <c r="J4797" s="444">
        <f t="array" ref="J4797">IFERROR(INDEX('Retirement Calculator'!K:K,MATCH('Lorri 401b'!N4797,'Retirement Calculator'!A:A,0),0),0)</f>
        <v>0</v>
      </c>
      <c r="K4797" s="444">
        <f t="shared" ca="1" si="173"/>
        <v>-1033612870118.8427</v>
      </c>
      <c r="L4797" s="444">
        <f t="shared" ca="1" si="174"/>
        <v>-249100701698641.06</v>
      </c>
      <c r="M4797" s="460">
        <f t="shared" si="176"/>
        <v>0.05</v>
      </c>
      <c r="N4797" s="464">
        <f t="shared" si="177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75"/>
        <v>-249100701698641.06</v>
      </c>
      <c r="J4798" s="444">
        <f t="array" ref="J4798">IFERROR(INDEX('Retirement Calculator'!K:K,MATCH('Lorri 401b'!N4798,'Retirement Calculator'!A:A,0),0),0)</f>
        <v>0</v>
      </c>
      <c r="K4798" s="444">
        <f t="shared" ca="1" si="173"/>
        <v>-1037919590411.0043</v>
      </c>
      <c r="L4798" s="444">
        <f t="shared" ca="1" si="174"/>
        <v>-250138621289052.06</v>
      </c>
      <c r="M4798" s="460">
        <f t="shared" si="176"/>
        <v>0.05</v>
      </c>
      <c r="N4798" s="464">
        <f t="shared" si="177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75"/>
        <v>-250138621289052.06</v>
      </c>
      <c r="J4799" s="444">
        <f t="array" ref="J4799">IFERROR(INDEX('Retirement Calculator'!K:K,MATCH('Lorri 401b'!N4799,'Retirement Calculator'!A:A,0),0),0)</f>
        <v>0</v>
      </c>
      <c r="K4799" s="444">
        <f t="shared" ca="1" si="173"/>
        <v>-1042244255371.0503</v>
      </c>
      <c r="L4799" s="444">
        <f t="shared" ca="1" si="174"/>
        <v>-251180865544423.13</v>
      </c>
      <c r="M4799" s="460">
        <f t="shared" si="176"/>
        <v>0.05</v>
      </c>
      <c r="N4799" s="464">
        <f t="shared" si="177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75"/>
        <v>-251180865544423.13</v>
      </c>
      <c r="J4800" s="444">
        <f t="array" ref="J4800">IFERROR(INDEX('Retirement Calculator'!K:K,MATCH('Lorri 401b'!N4800,'Retirement Calculator'!A:A,0),0),0)</f>
        <v>0</v>
      </c>
      <c r="K4800" s="444">
        <f t="shared" ca="1" si="173"/>
        <v>-1046586939768.4297</v>
      </c>
      <c r="L4800" s="444">
        <f t="shared" ca="1" si="174"/>
        <v>-252227452484191.56</v>
      </c>
      <c r="M4800" s="460">
        <f t="shared" si="176"/>
        <v>0.05</v>
      </c>
      <c r="N4800" s="464">
        <f t="shared" si="177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75"/>
        <v>-252227452484191.56</v>
      </c>
      <c r="J4801" s="444">
        <f t="array" ref="J4801">IFERROR(INDEX('Retirement Calculator'!K:K,MATCH('Lorri 401b'!N4801,'Retirement Calculator'!A:A,0),0),0)</f>
        <v>0</v>
      </c>
      <c r="K4801" s="444">
        <f t="shared" ca="1" si="173"/>
        <v>-1050947718684.1315</v>
      </c>
      <c r="L4801" s="444">
        <f t="shared" ca="1" si="174"/>
        <v>-253278400202875.69</v>
      </c>
      <c r="M4801" s="460">
        <f t="shared" si="176"/>
        <v>0.05</v>
      </c>
      <c r="N4801" s="464">
        <f t="shared" si="177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75"/>
        <v>-253278400202875.69</v>
      </c>
      <c r="J4802" s="444">
        <f t="array" ref="J4802">IFERROR(INDEX('Retirement Calculator'!K:K,MATCH('Lorri 401b'!N4802,'Retirement Calculator'!A:A,0),0),0)</f>
        <v>0</v>
      </c>
      <c r="K4802" s="444">
        <f t="shared" ca="1" si="173"/>
        <v>-1055326667511.9821</v>
      </c>
      <c r="L4802" s="444">
        <f t="shared" ca="1" si="174"/>
        <v>-254333726870387.66</v>
      </c>
      <c r="M4802" s="460">
        <f t="shared" si="176"/>
        <v>0.05</v>
      </c>
      <c r="N4802" s="464">
        <f t="shared" si="177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75"/>
        <v>-254333726870387.66</v>
      </c>
      <c r="J4803" s="444">
        <f t="array" ref="J4803">IFERROR(INDEX('Retirement Calculator'!K:K,MATCH('Lorri 401b'!N4803,'Retirement Calculator'!A:A,0),0),0)</f>
        <v>0</v>
      </c>
      <c r="K4803" s="444">
        <f t="shared" ca="1" si="173"/>
        <v>-1059723861959.9486</v>
      </c>
      <c r="L4803" s="444">
        <f t="shared" ca="1" si="174"/>
        <v>-255393450732347.59</v>
      </c>
      <c r="M4803" s="460">
        <f t="shared" si="176"/>
        <v>0.05</v>
      </c>
      <c r="N4803" s="464">
        <f t="shared" si="177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75"/>
        <v>-255393450732347.59</v>
      </c>
      <c r="J4804" s="444">
        <f t="array" ref="J4804">IFERROR(INDEX('Retirement Calculator'!K:K,MATCH('Lorri 401b'!N4804,'Retirement Calculator'!A:A,0),0),0)</f>
        <v>0</v>
      </c>
      <c r="K4804" s="444">
        <f t="shared" ca="1" si="173"/>
        <v>-1064139378051.4482</v>
      </c>
      <c r="L4804" s="444">
        <f t="shared" ca="1" si="174"/>
        <v>-256457590110399.03</v>
      </c>
      <c r="M4804" s="460">
        <f t="shared" si="176"/>
        <v>0.05</v>
      </c>
      <c r="N4804" s="464">
        <f t="shared" si="177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75"/>
        <v>-256457590110399.03</v>
      </c>
      <c r="J4805" s="444">
        <f t="array" ref="J4805">IFERROR(INDEX('Retirement Calculator'!K:K,MATCH('Lorri 401b'!N4805,'Retirement Calculator'!A:A,0),0),0)</f>
        <v>0</v>
      </c>
      <c r="K4805" s="444">
        <f t="shared" ca="1" si="173"/>
        <v>-1068573292126.6626</v>
      </c>
      <c r="L4805" s="444">
        <f t="shared" ca="1" si="174"/>
        <v>-257526163402525.69</v>
      </c>
      <c r="M4805" s="460">
        <f t="shared" si="176"/>
        <v>0.05</v>
      </c>
      <c r="N4805" s="464">
        <f t="shared" si="177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75"/>
        <v>-257526163402525.69</v>
      </c>
      <c r="J4806" s="444">
        <f t="array" ref="J4806">IFERROR(INDEX('Retirement Calculator'!K:K,MATCH('Lorri 401b'!N4806,'Retirement Calculator'!A:A,0),0),0)</f>
        <v>0</v>
      </c>
      <c r="K4806" s="444">
        <f t="shared" ca="1" si="173"/>
        <v>-1073025680843.8571</v>
      </c>
      <c r="L4806" s="444">
        <f t="shared" ca="1" si="174"/>
        <v>-258599189083369.53</v>
      </c>
      <c r="M4806" s="460">
        <f t="shared" si="176"/>
        <v>0.05</v>
      </c>
      <c r="N4806" s="464">
        <f t="shared" si="177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75"/>
        <v>-258599189083369.53</v>
      </c>
      <c r="J4807" s="444">
        <f t="array" ref="J4807">IFERROR(INDEX('Retirement Calculator'!K:K,MATCH('Lorri 401b'!N4807,'Retirement Calculator'!A:A,0),0),0)</f>
        <v>0</v>
      </c>
      <c r="K4807" s="444">
        <f t="shared" ca="1" si="173"/>
        <v>-1077496621180.7064</v>
      </c>
      <c r="L4807" s="444">
        <f t="shared" ca="1" si="174"/>
        <v>-259676685704550.25</v>
      </c>
      <c r="M4807" s="460">
        <f t="shared" si="176"/>
        <v>0.05</v>
      </c>
      <c r="N4807" s="464">
        <f t="shared" si="177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75"/>
        <v>-259676685704550.25</v>
      </c>
      <c r="J4808" s="444">
        <f t="array" ref="J4808">IFERROR(INDEX('Retirement Calculator'!K:K,MATCH('Lorri 401b'!N4808,'Retirement Calculator'!A:A,0),0),0)</f>
        <v>0</v>
      </c>
      <c r="K4808" s="444">
        <f t="shared" ca="1" si="173"/>
        <v>-1081986190435.626</v>
      </c>
      <c r="L4808" s="444">
        <f t="shared" ca="1" si="174"/>
        <v>-260758671894985.88</v>
      </c>
      <c r="M4808" s="460">
        <f t="shared" si="176"/>
        <v>0.05</v>
      </c>
      <c r="N4808" s="464">
        <f t="shared" si="177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75"/>
        <v>-260758671894985.88</v>
      </c>
      <c r="J4809" s="444">
        <f t="array" ref="J4809">IFERROR(INDEX('Retirement Calculator'!K:K,MATCH('Lorri 401b'!N4809,'Retirement Calculator'!A:A,0),0),0)</f>
        <v>0</v>
      </c>
      <c r="K4809" s="444">
        <f t="shared" ca="1" si="173"/>
        <v>-1086494466229.1078</v>
      </c>
      <c r="L4809" s="444">
        <f t="shared" ca="1" si="174"/>
        <v>-261845166361214.97</v>
      </c>
      <c r="M4809" s="460">
        <f t="shared" si="176"/>
        <v>0.05</v>
      </c>
      <c r="N4809" s="464">
        <f t="shared" si="177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75"/>
        <v>-261845166361214.97</v>
      </c>
      <c r="J4810" s="444">
        <f t="array" ref="J4810">IFERROR(INDEX('Retirement Calculator'!K:K,MATCH('Lorri 401b'!N4810,'Retirement Calculator'!A:A,0),0),0)</f>
        <v>0</v>
      </c>
      <c r="K4810" s="444">
        <f t="shared" ca="1" si="173"/>
        <v>-1091021526505.0625</v>
      </c>
      <c r="L4810" s="444">
        <f t="shared" ca="1" si="174"/>
        <v>-262936187887720.03</v>
      </c>
      <c r="M4810" s="460">
        <f t="shared" si="176"/>
        <v>0.05</v>
      </c>
      <c r="N4810" s="464">
        <f t="shared" si="177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75"/>
        <v>-262936187887720.03</v>
      </c>
      <c r="J4811" s="444">
        <f t="array" ref="J4811">IFERROR(INDEX('Retirement Calculator'!K:K,MATCH('Lorri 401b'!N4811,'Retirement Calculator'!A:A,0),0),0)</f>
        <v>0</v>
      </c>
      <c r="K4811" s="444">
        <f t="shared" ca="1" si="173"/>
        <v>-1095567449532.1666</v>
      </c>
      <c r="L4811" s="444">
        <f t="shared" ca="1" si="174"/>
        <v>-264031755337252.19</v>
      </c>
      <c r="M4811" s="460">
        <f t="shared" si="176"/>
        <v>0.05</v>
      </c>
      <c r="N4811" s="464">
        <f t="shared" si="177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75"/>
        <v>-264031755337252.19</v>
      </c>
      <c r="J4812" s="444">
        <f t="array" ref="J4812">IFERROR(INDEX('Retirement Calculator'!K:K,MATCH('Lorri 401b'!N4812,'Retirement Calculator'!A:A,0),0),0)</f>
        <v>0</v>
      </c>
      <c r="K4812" s="444">
        <f t="shared" ca="1" si="173"/>
        <v>-1100132313905.2175</v>
      </c>
      <c r="L4812" s="444">
        <f t="shared" ca="1" si="174"/>
        <v>-265131887651157.41</v>
      </c>
      <c r="M4812" s="460">
        <f t="shared" si="176"/>
        <v>0.05</v>
      </c>
      <c r="N4812" s="464">
        <f t="shared" si="177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75"/>
        <v>-265131887651157.41</v>
      </c>
      <c r="J4813" s="444">
        <f t="array" ref="J4813">IFERROR(INDEX('Retirement Calculator'!K:K,MATCH('Lorri 401b'!N4813,'Retirement Calculator'!A:A,0),0),0)</f>
        <v>0</v>
      </c>
      <c r="K4813" s="444">
        <f t="shared" ca="1" si="173"/>
        <v>-1104716198546.4893</v>
      </c>
      <c r="L4813" s="444">
        <f t="shared" ca="1" si="174"/>
        <v>-266236603849703.91</v>
      </c>
      <c r="M4813" s="460">
        <f t="shared" si="176"/>
        <v>0.05</v>
      </c>
      <c r="N4813" s="464">
        <f t="shared" si="177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75"/>
        <v>-266236603849703.91</v>
      </c>
      <c r="J4814" s="444">
        <f t="array" ref="J4814">IFERROR(INDEX('Retirement Calculator'!K:K,MATCH('Lorri 401b'!N4814,'Retirement Calculator'!A:A,0),0),0)</f>
        <v>0</v>
      </c>
      <c r="K4814" s="444">
        <f t="shared" ca="1" si="173"/>
        <v>-1109319182707.0996</v>
      </c>
      <c r="L4814" s="444">
        <f t="shared" ca="1" si="174"/>
        <v>-267345923032411</v>
      </c>
      <c r="M4814" s="460">
        <f t="shared" si="176"/>
        <v>0.05</v>
      </c>
      <c r="N4814" s="464">
        <f t="shared" si="177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75"/>
        <v>-267345923032411</v>
      </c>
      <c r="J4815" s="444">
        <f t="array" ref="J4815">IFERROR(INDEX('Retirement Calculator'!K:K,MATCH('Lorri 401b'!N4815,'Retirement Calculator'!A:A,0),0),0)</f>
        <v>0</v>
      </c>
      <c r="K4815" s="444">
        <f t="shared" ca="1" si="173"/>
        <v>-1113941345968.3792</v>
      </c>
      <c r="L4815" s="444">
        <f t="shared" ca="1" si="174"/>
        <v>-268459864378379.38</v>
      </c>
      <c r="M4815" s="460">
        <f t="shared" si="176"/>
        <v>0.05</v>
      </c>
      <c r="N4815" s="464">
        <f t="shared" si="177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75"/>
        <v>-268459864378379.38</v>
      </c>
      <c r="J4816" s="444">
        <f t="array" ref="J4816">IFERROR(INDEX('Retirement Calculator'!K:K,MATCH('Lorri 401b'!N4816,'Retirement Calculator'!A:A,0),0),0)</f>
        <v>0</v>
      </c>
      <c r="K4816" s="444">
        <f t="shared" ca="1" si="173"/>
        <v>-1118582768243.2473</v>
      </c>
      <c r="L4816" s="444">
        <f t="shared" ca="1" si="174"/>
        <v>-269578447146622.63</v>
      </c>
      <c r="M4816" s="460">
        <f t="shared" si="176"/>
        <v>0.05</v>
      </c>
      <c r="N4816" s="464">
        <f t="shared" si="177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75"/>
        <v>-269578447146622.63</v>
      </c>
      <c r="J4817" s="444">
        <f t="array" ref="J4817">IFERROR(INDEX('Retirement Calculator'!K:K,MATCH('Lorri 401b'!N4817,'Retirement Calculator'!A:A,0),0),0)</f>
        <v>0</v>
      </c>
      <c r="K4817" s="444">
        <f t="shared" ca="1" si="173"/>
        <v>-1123243529777.5942</v>
      </c>
      <c r="L4817" s="444">
        <f t="shared" ca="1" si="174"/>
        <v>-270701690676400.22</v>
      </c>
      <c r="M4817" s="460">
        <f t="shared" si="176"/>
        <v>0.05</v>
      </c>
      <c r="N4817" s="464">
        <f t="shared" si="177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75"/>
        <v>-270701690676400.22</v>
      </c>
      <c r="J4818" s="444">
        <f t="array" ref="J4818">IFERROR(INDEX('Retirement Calculator'!K:K,MATCH('Lorri 401b'!N4818,'Retirement Calculator'!A:A,0),0),0)</f>
        <v>0</v>
      </c>
      <c r="K4818" s="444">
        <f t="shared" ca="1" si="173"/>
        <v>-1127923711151.6677</v>
      </c>
      <c r="L4818" s="444">
        <f t="shared" ca="1" si="174"/>
        <v>-271829614387551.88</v>
      </c>
      <c r="M4818" s="460">
        <f t="shared" si="176"/>
        <v>0.05</v>
      </c>
      <c r="N4818" s="464">
        <f t="shared" si="177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75"/>
        <v>-271829614387551.88</v>
      </c>
      <c r="J4819" s="444">
        <f t="array" ref="J4819">IFERROR(INDEX('Retirement Calculator'!K:K,MATCH('Lorri 401b'!N4819,'Retirement Calculator'!A:A,0),0),0)</f>
        <v>0</v>
      </c>
      <c r="K4819" s="444">
        <f t="shared" ca="1" si="173"/>
        <v>-1132623393281.4661</v>
      </c>
      <c r="L4819" s="444">
        <f t="shared" ca="1" si="174"/>
        <v>-272962237780833.34</v>
      </c>
      <c r="M4819" s="460">
        <f t="shared" si="176"/>
        <v>0.05</v>
      </c>
      <c r="N4819" s="464">
        <f t="shared" si="177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75"/>
        <v>-272962237780833.34</v>
      </c>
      <c r="J4820" s="444">
        <f t="array" ref="J4820">IFERROR(INDEX('Retirement Calculator'!K:K,MATCH('Lorri 401b'!N4820,'Retirement Calculator'!A:A,0),0),0)</f>
        <v>0</v>
      </c>
      <c r="K4820" s="444">
        <f t="shared" ca="1" si="173"/>
        <v>-1137342657420.1389</v>
      </c>
      <c r="L4820" s="444">
        <f t="shared" ca="1" si="174"/>
        <v>-274099580438253.47</v>
      </c>
      <c r="M4820" s="460">
        <f t="shared" si="176"/>
        <v>0.05</v>
      </c>
      <c r="N4820" s="464">
        <f t="shared" si="177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75"/>
        <v>-274099580438253.47</v>
      </c>
      <c r="J4821" s="444">
        <f t="array" ref="J4821">IFERROR(INDEX('Retirement Calculator'!K:K,MATCH('Lorri 401b'!N4821,'Retirement Calculator'!A:A,0),0),0)</f>
        <v>0</v>
      </c>
      <c r="K4821" s="444">
        <f t="shared" ca="1" si="173"/>
        <v>-1142081585159.3896</v>
      </c>
      <c r="L4821" s="444">
        <f t="shared" ca="1" si="174"/>
        <v>-275241662023412.84</v>
      </c>
      <c r="M4821" s="460">
        <f t="shared" si="176"/>
        <v>0.05</v>
      </c>
      <c r="N4821" s="464">
        <f t="shared" si="177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75"/>
        <v>-275241662023412.84</v>
      </c>
      <c r="J4822" s="444">
        <f t="array" ref="J4822">IFERROR(INDEX('Retirement Calculator'!K:K,MATCH('Lorri 401b'!N4822,'Retirement Calculator'!A:A,0),0),0)</f>
        <v>0</v>
      </c>
      <c r="K4822" s="444">
        <f t="shared" ca="1" si="173"/>
        <v>-1146840258430.887</v>
      </c>
      <c r="L4822" s="444">
        <f t="shared" ca="1" si="174"/>
        <v>-276388502281843.72</v>
      </c>
      <c r="M4822" s="460">
        <f t="shared" si="176"/>
        <v>0.05</v>
      </c>
      <c r="N4822" s="464">
        <f t="shared" si="177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75"/>
        <v>-276388502281843.72</v>
      </c>
      <c r="J4823" s="444">
        <f t="array" ref="J4823">IFERROR(INDEX('Retirement Calculator'!K:K,MATCH('Lorri 401b'!N4823,'Retirement Calculator'!A:A,0),0),0)</f>
        <v>0</v>
      </c>
      <c r="K4823" s="444">
        <f t="shared" ca="1" si="173"/>
        <v>-1151618759507.6821</v>
      </c>
      <c r="L4823" s="444">
        <f t="shared" ca="1" si="174"/>
        <v>-277540121041351.41</v>
      </c>
      <c r="M4823" s="460">
        <f t="shared" si="176"/>
        <v>0.05</v>
      </c>
      <c r="N4823" s="464">
        <f t="shared" si="177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75"/>
        <v>-277540121041351.41</v>
      </c>
      <c r="J4824" s="444">
        <f t="array" ref="J4824">IFERROR(INDEX('Retirement Calculator'!K:K,MATCH('Lorri 401b'!N4824,'Retirement Calculator'!A:A,0),0),0)</f>
        <v>0</v>
      </c>
      <c r="K4824" s="444">
        <f t="shared" ca="1" si="173"/>
        <v>-1156417171005.6309</v>
      </c>
      <c r="L4824" s="444">
        <f t="shared" ca="1" si="174"/>
        <v>-278696538212357.03</v>
      </c>
      <c r="M4824" s="460">
        <f t="shared" si="176"/>
        <v>0.05</v>
      </c>
      <c r="N4824" s="464">
        <f t="shared" si="177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75"/>
        <v>-278696538212357.03</v>
      </c>
      <c r="J4825" s="444">
        <f t="array" ref="J4825">IFERROR(INDEX('Retirement Calculator'!K:K,MATCH('Lorri 401b'!N4825,'Retirement Calculator'!A:A,0),0),0)</f>
        <v>0</v>
      </c>
      <c r="K4825" s="444">
        <f t="shared" ca="1" si="173"/>
        <v>-1161235575884.821</v>
      </c>
      <c r="L4825" s="444">
        <f t="shared" ca="1" si="174"/>
        <v>-279857773788241.84</v>
      </c>
      <c r="M4825" s="460">
        <f t="shared" si="176"/>
        <v>0.05</v>
      </c>
      <c r="N4825" s="464">
        <f t="shared" si="177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75"/>
        <v>-279857773788241.84</v>
      </c>
      <c r="J4826" s="444">
        <f t="array" ref="J4826">IFERROR(INDEX('Retirement Calculator'!K:K,MATCH('Lorri 401b'!N4826,'Retirement Calculator'!A:A,0),0),0)</f>
        <v>0</v>
      </c>
      <c r="K4826" s="444">
        <f t="shared" ca="1" si="173"/>
        <v>-1166074057451.0076</v>
      </c>
      <c r="L4826" s="444">
        <f t="shared" ca="1" si="174"/>
        <v>-281023847845692.84</v>
      </c>
      <c r="M4826" s="460">
        <f t="shared" si="176"/>
        <v>0.05</v>
      </c>
      <c r="N4826" s="464">
        <f t="shared" si="177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75"/>
        <v>-281023847845692.84</v>
      </c>
      <c r="J4827" s="444">
        <f t="array" ref="J4827">IFERROR(INDEX('Retirement Calculator'!K:K,MATCH('Lorri 401b'!N4827,'Retirement Calculator'!A:A,0),0),0)</f>
        <v>0</v>
      </c>
      <c r="K4827" s="444">
        <f t="shared" ca="1" si="173"/>
        <v>-1170932699357.0535</v>
      </c>
      <c r="L4827" s="444">
        <f t="shared" ca="1" si="174"/>
        <v>-282194780545049.88</v>
      </c>
      <c r="M4827" s="460">
        <f t="shared" si="176"/>
        <v>0.05</v>
      </c>
      <c r="N4827" s="464">
        <f t="shared" si="177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75"/>
        <v>-282194780545049.88</v>
      </c>
      <c r="J4828" s="444">
        <f t="array" ref="J4828">IFERROR(INDEX('Retirement Calculator'!K:K,MATCH('Lorri 401b'!N4828,'Retirement Calculator'!A:A,0),0),0)</f>
        <v>0</v>
      </c>
      <c r="K4828" s="444">
        <f t="shared" ca="1" si="173"/>
        <v>-1175811585604.3745</v>
      </c>
      <c r="L4828" s="444">
        <f t="shared" ca="1" si="174"/>
        <v>-283370592130654.25</v>
      </c>
      <c r="M4828" s="460">
        <f t="shared" si="176"/>
        <v>0.05</v>
      </c>
      <c r="N4828" s="464">
        <f t="shared" si="177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75"/>
        <v>-283370592130654.25</v>
      </c>
      <c r="J4829" s="444">
        <f t="array" ref="J4829">IFERROR(INDEX('Retirement Calculator'!K:K,MATCH('Lorri 401b'!N4829,'Retirement Calculator'!A:A,0),0),0)</f>
        <v>0</v>
      </c>
      <c r="K4829" s="444">
        <f t="shared" ca="1" si="173"/>
        <v>-1180710800544.3926</v>
      </c>
      <c r="L4829" s="444">
        <f t="shared" ca="1" si="174"/>
        <v>-284551302931198.63</v>
      </c>
      <c r="M4829" s="460">
        <f t="shared" si="176"/>
        <v>0.05</v>
      </c>
      <c r="N4829" s="464">
        <f t="shared" si="177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75"/>
        <v>-284551302931198.63</v>
      </c>
      <c r="J4830" s="444">
        <f t="array" ref="J4830">IFERROR(INDEX('Retirement Calculator'!K:K,MATCH('Lorri 401b'!N4830,'Retirement Calculator'!A:A,0),0),0)</f>
        <v>0</v>
      </c>
      <c r="K4830" s="444">
        <f t="shared" ca="1" si="173"/>
        <v>-1185630428879.9941</v>
      </c>
      <c r="L4830" s="444">
        <f t="shared" ca="1" si="174"/>
        <v>-285736933360078.63</v>
      </c>
      <c r="M4830" s="460">
        <f t="shared" si="176"/>
        <v>0.05</v>
      </c>
      <c r="N4830" s="464">
        <f t="shared" si="177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75"/>
        <v>-285736933360078.63</v>
      </c>
      <c r="J4831" s="444">
        <f t="array" ref="J4831">IFERROR(INDEX('Retirement Calculator'!K:K,MATCH('Lorri 401b'!N4831,'Retirement Calculator'!A:A,0),0),0)</f>
        <v>0</v>
      </c>
      <c r="K4831" s="444">
        <f t="shared" ca="1" si="173"/>
        <v>-1190570555666.9941</v>
      </c>
      <c r="L4831" s="444">
        <f t="shared" ca="1" si="174"/>
        <v>-286927503915745.63</v>
      </c>
      <c r="M4831" s="460">
        <f t="shared" si="176"/>
        <v>0.05</v>
      </c>
      <c r="N4831" s="464">
        <f t="shared" si="177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75"/>
        <v>-286927503915745.63</v>
      </c>
      <c r="J4832" s="444">
        <f t="array" ref="J4832">IFERROR(INDEX('Retirement Calculator'!K:K,MATCH('Lorri 401b'!N4832,'Retirement Calculator'!A:A,0),0),0)</f>
        <v>0</v>
      </c>
      <c r="K4832" s="444">
        <f t="shared" ca="1" si="173"/>
        <v>-1195531266315.6067</v>
      </c>
      <c r="L4832" s="444">
        <f t="shared" ca="1" si="174"/>
        <v>-288123035182061.25</v>
      </c>
      <c r="M4832" s="460">
        <f t="shared" si="176"/>
        <v>0.05</v>
      </c>
      <c r="N4832" s="464">
        <f t="shared" si="177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75"/>
        <v>-288123035182061.25</v>
      </c>
      <c r="J4833" s="444">
        <f t="array" ref="J4833">IFERROR(INDEX('Retirement Calculator'!K:K,MATCH('Lorri 401b'!N4833,'Retirement Calculator'!A:A,0),0),0)</f>
        <v>0</v>
      </c>
      <c r="K4833" s="444">
        <f t="shared" ca="1" si="173"/>
        <v>-1200512646591.9219</v>
      </c>
      <c r="L4833" s="444">
        <f t="shared" ca="1" si="174"/>
        <v>-289323547828653.19</v>
      </c>
      <c r="M4833" s="460">
        <f t="shared" si="176"/>
        <v>0.05</v>
      </c>
      <c r="N4833" s="464">
        <f t="shared" si="177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75"/>
        <v>-289323547828653.19</v>
      </c>
      <c r="J4834" s="444">
        <f t="array" ref="J4834">IFERROR(INDEX('Retirement Calculator'!K:K,MATCH('Lorri 401b'!N4834,'Retirement Calculator'!A:A,0),0),0)</f>
        <v>0</v>
      </c>
      <c r="K4834" s="444">
        <f t="shared" ca="1" si="173"/>
        <v>-1205514782619.3882</v>
      </c>
      <c r="L4834" s="444">
        <f t="shared" ca="1" si="174"/>
        <v>-290529062611272.56</v>
      </c>
      <c r="M4834" s="460">
        <f t="shared" si="176"/>
        <v>0.05</v>
      </c>
      <c r="N4834" s="464">
        <f t="shared" si="177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75"/>
        <v>-290529062611272.56</v>
      </c>
      <c r="J4835" s="444">
        <f t="array" ref="J4835">IFERROR(INDEX('Retirement Calculator'!K:K,MATCH('Lorri 401b'!N4835,'Retirement Calculator'!A:A,0),0),0)</f>
        <v>0</v>
      </c>
      <c r="K4835" s="444">
        <f t="shared" ca="1" si="173"/>
        <v>-1210537760880.3022</v>
      </c>
      <c r="L4835" s="444">
        <f t="shared" ca="1" si="174"/>
        <v>-291739600372152.88</v>
      </c>
      <c r="M4835" s="460">
        <f t="shared" si="176"/>
        <v>0.05</v>
      </c>
      <c r="N4835" s="464">
        <f t="shared" si="177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75"/>
        <v>-291739600372152.88</v>
      </c>
      <c r="J4836" s="444">
        <f t="array" ref="J4836">IFERROR(INDEX('Retirement Calculator'!K:K,MATCH('Lorri 401b'!N4836,'Retirement Calculator'!A:A,0),0),0)</f>
        <v>0</v>
      </c>
      <c r="K4836" s="444">
        <f t="shared" ca="1" si="173"/>
        <v>-1215581668217.3037</v>
      </c>
      <c r="L4836" s="444">
        <f t="shared" ca="1" si="174"/>
        <v>-292955182040370.19</v>
      </c>
      <c r="M4836" s="460">
        <f t="shared" si="176"/>
        <v>0.05</v>
      </c>
      <c r="N4836" s="464">
        <f t="shared" si="177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75"/>
        <v>-292955182040370.19</v>
      </c>
      <c r="J4837" s="444">
        <f t="array" ref="J4837">IFERROR(INDEX('Retirement Calculator'!K:K,MATCH('Lorri 401b'!N4837,'Retirement Calculator'!A:A,0),0),0)</f>
        <v>0</v>
      </c>
      <c r="K4837" s="444">
        <f t="shared" ca="1" si="173"/>
        <v>-1220646591834.8757</v>
      </c>
      <c r="L4837" s="444">
        <f t="shared" ca="1" si="174"/>
        <v>-294175828632205.06</v>
      </c>
      <c r="M4837" s="460">
        <f t="shared" si="176"/>
        <v>0.05</v>
      </c>
      <c r="N4837" s="464">
        <f t="shared" si="177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75"/>
        <v>-294175828632205.06</v>
      </c>
      <c r="J4838" s="444">
        <f t="array" ref="J4838">IFERROR(INDEX('Retirement Calculator'!K:K,MATCH('Lorri 401b'!N4838,'Retirement Calculator'!A:A,0),0),0)</f>
        <v>0</v>
      </c>
      <c r="K4838" s="444">
        <f t="shared" ca="1" si="173"/>
        <v>-1225732619300.8545</v>
      </c>
      <c r="L4838" s="444">
        <f t="shared" ca="1" si="174"/>
        <v>-295401561251505.94</v>
      </c>
      <c r="M4838" s="460">
        <f t="shared" si="176"/>
        <v>0.05</v>
      </c>
      <c r="N4838" s="464">
        <f t="shared" si="177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75"/>
        <v>-295401561251505.94</v>
      </c>
      <c r="J4839" s="444">
        <f t="array" ref="J4839">IFERROR(INDEX('Retirement Calculator'!K:K,MATCH('Lorri 401b'!N4839,'Retirement Calculator'!A:A,0),0),0)</f>
        <v>0</v>
      </c>
      <c r="K4839" s="444">
        <f t="shared" ca="1" si="173"/>
        <v>-1230839838547.9414</v>
      </c>
      <c r="L4839" s="444">
        <f t="shared" ca="1" si="174"/>
        <v>-296632401090053.88</v>
      </c>
      <c r="M4839" s="460">
        <f t="shared" si="176"/>
        <v>0.05</v>
      </c>
      <c r="N4839" s="464">
        <f t="shared" si="177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75"/>
        <v>-296632401090053.88</v>
      </c>
      <c r="J4840" s="444">
        <f t="array" ref="J4840">IFERROR(INDEX('Retirement Calculator'!K:K,MATCH('Lorri 401b'!N4840,'Retirement Calculator'!A:A,0),0),0)</f>
        <v>0</v>
      </c>
      <c r="K4840" s="444">
        <f t="shared" ca="1" si="173"/>
        <v>-1235968337875.2244</v>
      </c>
      <c r="L4840" s="444">
        <f t="shared" ca="1" si="174"/>
        <v>-297868369427929.13</v>
      </c>
      <c r="M4840" s="460">
        <f t="shared" si="176"/>
        <v>0.05</v>
      </c>
      <c r="N4840" s="464">
        <f t="shared" si="177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75"/>
        <v>-297868369427929.13</v>
      </c>
      <c r="J4841" s="444">
        <f t="array" ref="J4841">IFERROR(INDEX('Retirement Calculator'!K:K,MATCH('Lorri 401b'!N4841,'Retirement Calculator'!A:A,0),0),0)</f>
        <v>0</v>
      </c>
      <c r="K4841" s="444">
        <f t="shared" ca="1" si="173"/>
        <v>-1241118205949.7046</v>
      </c>
      <c r="L4841" s="444">
        <f t="shared" ca="1" si="174"/>
        <v>-299109487633878.81</v>
      </c>
      <c r="M4841" s="460">
        <f t="shared" si="176"/>
        <v>0.05</v>
      </c>
      <c r="N4841" s="464">
        <f t="shared" si="177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75"/>
        <v>-299109487633878.81</v>
      </c>
      <c r="J4842" s="444">
        <f t="array" ref="J4842">IFERROR(INDEX('Retirement Calculator'!K:K,MATCH('Lorri 401b'!N4842,'Retirement Calculator'!A:A,0),0),0)</f>
        <v>0</v>
      </c>
      <c r="K4842" s="444">
        <f t="shared" ca="1" si="173"/>
        <v>-1246289531807.8284</v>
      </c>
      <c r="L4842" s="444">
        <f t="shared" ca="1" si="174"/>
        <v>-300355777165686.63</v>
      </c>
      <c r="M4842" s="460">
        <f t="shared" si="176"/>
        <v>0.05</v>
      </c>
      <c r="N4842" s="464">
        <f t="shared" si="177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75"/>
        <v>-300355777165686.63</v>
      </c>
      <c r="J4843" s="444">
        <f t="array" ref="J4843">IFERROR(INDEX('Retirement Calculator'!K:K,MATCH('Lorri 401b'!N4843,'Retirement Calculator'!A:A,0),0),0)</f>
        <v>0</v>
      </c>
      <c r="K4843" s="444">
        <f t="shared" ca="1" si="173"/>
        <v>-1251482404857.0276</v>
      </c>
      <c r="L4843" s="444">
        <f t="shared" ca="1" si="174"/>
        <v>-301607259570543.63</v>
      </c>
      <c r="M4843" s="460">
        <f t="shared" si="176"/>
        <v>0.05</v>
      </c>
      <c r="N4843" s="464">
        <f t="shared" si="177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75"/>
        <v>-301607259570543.63</v>
      </c>
      <c r="J4844" s="444">
        <f t="array" ref="J4844">IFERROR(INDEX('Retirement Calculator'!K:K,MATCH('Lorri 401b'!N4844,'Retirement Calculator'!A:A,0),0),0)</f>
        <v>0</v>
      </c>
      <c r="K4844" s="444">
        <f t="shared" ca="1" si="173"/>
        <v>-1256696914877.2651</v>
      </c>
      <c r="L4844" s="444">
        <f t="shared" ca="1" si="174"/>
        <v>-302863956485420.88</v>
      </c>
      <c r="M4844" s="460">
        <f t="shared" si="176"/>
        <v>0.05</v>
      </c>
      <c r="N4844" s="464">
        <f t="shared" si="177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75"/>
        <v>-302863956485420.88</v>
      </c>
      <c r="J4845" s="444">
        <f t="array" ref="J4845">IFERROR(INDEX('Retirement Calculator'!K:K,MATCH('Lorri 401b'!N4845,'Retirement Calculator'!A:A,0),0),0)</f>
        <v>0</v>
      </c>
      <c r="K4845" s="444">
        <f t="shared" ca="1" si="173"/>
        <v>-1261933152022.5869</v>
      </c>
      <c r="L4845" s="444">
        <f t="shared" ca="1" si="174"/>
        <v>-304125889637443.44</v>
      </c>
      <c r="M4845" s="460">
        <f t="shared" si="176"/>
        <v>0.05</v>
      </c>
      <c r="N4845" s="464">
        <f t="shared" si="177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75"/>
        <v>-304125889637443.44</v>
      </c>
      <c r="J4846" s="444">
        <f t="array" ref="J4846">IFERROR(INDEX('Retirement Calculator'!K:K,MATCH('Lorri 401b'!N4846,'Retirement Calculator'!A:A,0),0),0)</f>
        <v>0</v>
      </c>
      <c r="K4846" s="444">
        <f t="shared" ca="1" si="173"/>
        <v>-1267191206822.6809</v>
      </c>
      <c r="L4846" s="444">
        <f t="shared" ca="1" si="174"/>
        <v>-305393080844266.13</v>
      </c>
      <c r="M4846" s="460">
        <f t="shared" si="176"/>
        <v>0.05</v>
      </c>
      <c r="N4846" s="464">
        <f t="shared" si="177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75"/>
        <v>-305393080844266.13</v>
      </c>
      <c r="J4847" s="444">
        <f t="array" ref="J4847">IFERROR(INDEX('Retirement Calculator'!K:K,MATCH('Lorri 401b'!N4847,'Retirement Calculator'!A:A,0),0),0)</f>
        <v>0</v>
      </c>
      <c r="K4847" s="444">
        <f t="shared" ca="1" si="173"/>
        <v>-1272471170184.4421</v>
      </c>
      <c r="L4847" s="444">
        <f t="shared" ca="1" si="174"/>
        <v>-306665552014450.56</v>
      </c>
      <c r="M4847" s="460">
        <f t="shared" si="176"/>
        <v>0.05</v>
      </c>
      <c r="N4847" s="464">
        <f t="shared" si="177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75"/>
        <v>-306665552014450.56</v>
      </c>
      <c r="J4848" s="444">
        <f t="array" ref="J4848">IFERROR(INDEX('Retirement Calculator'!K:K,MATCH('Lorri 401b'!N4848,'Retirement Calculator'!A:A,0),0),0)</f>
        <v>0</v>
      </c>
      <c r="K4848" s="444">
        <f t="shared" ca="1" si="173"/>
        <v>-1277773133393.5439</v>
      </c>
      <c r="L4848" s="444">
        <f t="shared" ca="1" si="174"/>
        <v>-307943325147844.13</v>
      </c>
      <c r="M4848" s="460">
        <f t="shared" si="176"/>
        <v>0.05</v>
      </c>
      <c r="N4848" s="464">
        <f t="shared" si="177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75"/>
        <v>-307943325147844.13</v>
      </c>
      <c r="J4849" s="444">
        <f t="array" ref="J4849">IFERROR(INDEX('Retirement Calculator'!K:K,MATCH('Lorri 401b'!N4849,'Retirement Calculator'!A:A,0),0),0)</f>
        <v>0</v>
      </c>
      <c r="K4849" s="444">
        <f t="shared" ca="1" si="173"/>
        <v>-1283097188116.0171</v>
      </c>
      <c r="L4849" s="444">
        <f t="shared" ca="1" si="174"/>
        <v>-309226422335960.13</v>
      </c>
      <c r="M4849" s="460">
        <f t="shared" si="176"/>
        <v>0.05</v>
      </c>
      <c r="N4849" s="464">
        <f t="shared" si="177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75"/>
        <v>-309226422335960.13</v>
      </c>
      <c r="J4850" s="444">
        <f t="array" ref="J4850">IFERROR(INDEX('Retirement Calculator'!K:K,MATCH('Lorri 401b'!N4850,'Retirement Calculator'!A:A,0),0),0)</f>
        <v>0</v>
      </c>
      <c r="K4850" s="444">
        <f t="shared" ca="1" si="173"/>
        <v>-1288443426399.8337</v>
      </c>
      <c r="L4850" s="444">
        <f t="shared" ca="1" si="174"/>
        <v>-310514865762359.94</v>
      </c>
      <c r="M4850" s="460">
        <f t="shared" si="176"/>
        <v>0.05</v>
      </c>
      <c r="N4850" s="464">
        <f t="shared" si="177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75"/>
        <v>-310514865762359.94</v>
      </c>
      <c r="J4851" s="444">
        <f t="array" ref="J4851">IFERROR(INDEX('Retirement Calculator'!K:K,MATCH('Lorri 401b'!N4851,'Retirement Calculator'!A:A,0),0),0)</f>
        <v>0</v>
      </c>
      <c r="K4851" s="444">
        <f t="shared" ca="1" si="173"/>
        <v>-1293811940676.4998</v>
      </c>
      <c r="L4851" s="444">
        <f t="shared" ca="1" si="174"/>
        <v>-311808677703036.44</v>
      </c>
      <c r="M4851" s="460">
        <f t="shared" si="176"/>
        <v>0.05</v>
      </c>
      <c r="N4851" s="464">
        <f t="shared" si="177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75"/>
        <v>-311808677703036.44</v>
      </c>
      <c r="J4852" s="444">
        <f t="array" ref="J4852">IFERROR(INDEX('Retirement Calculator'!K:K,MATCH('Lorri 401b'!N4852,'Retirement Calculator'!A:A,0),0),0)</f>
        <v>0</v>
      </c>
      <c r="K4852" s="444">
        <f t="shared" ca="1" si="173"/>
        <v>-1299202823762.6519</v>
      </c>
      <c r="L4852" s="444">
        <f t="shared" ca="1" si="174"/>
        <v>-313107880526799.06</v>
      </c>
      <c r="M4852" s="460">
        <f t="shared" si="176"/>
        <v>0.05</v>
      </c>
      <c r="N4852" s="464">
        <f t="shared" si="177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75"/>
        <v>-313107880526799.06</v>
      </c>
      <c r="J4853" s="444">
        <f t="array" ref="J4853">IFERROR(INDEX('Retirement Calculator'!K:K,MATCH('Lorri 401b'!N4853,'Retirement Calculator'!A:A,0),0),0)</f>
        <v>0</v>
      </c>
      <c r="K4853" s="444">
        <f t="shared" ref="K4853:K5107" ca="1" si="178">IPMT(M4853/12,1,12,-I4853+J4853,,0)</f>
        <v>-1304616168861.6628</v>
      </c>
      <c r="L4853" s="444">
        <f t="shared" ref="L4853:L5107" ca="1" si="179">I4853-J4853+K4853</f>
        <v>-314412496695660.75</v>
      </c>
      <c r="M4853" s="460">
        <f t="shared" si="176"/>
        <v>0.05</v>
      </c>
      <c r="N4853" s="464">
        <f t="shared" si="177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80">L4853</f>
        <v>-314412496695660.75</v>
      </c>
      <c r="J4854" s="444">
        <f t="array" ref="J4854">IFERROR(INDEX('Retirement Calculator'!K:K,MATCH('Lorri 401b'!N4854,'Retirement Calculator'!A:A,0),0),0)</f>
        <v>0</v>
      </c>
      <c r="K4854" s="444">
        <f t="shared" ca="1" si="178"/>
        <v>-1310052069565.2532</v>
      </c>
      <c r="L4854" s="444">
        <f t="shared" ca="1" si="179"/>
        <v>-315722548765226</v>
      </c>
      <c r="M4854" s="460">
        <f t="shared" ref="M4854:M5108" si="181">M4853</f>
        <v>0.05</v>
      </c>
      <c r="N4854" s="464">
        <f t="shared" ref="N4854:N5108" si="182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80"/>
        <v>-315722548765226</v>
      </c>
      <c r="J4855" s="444">
        <f t="array" ref="J4855">IFERROR(INDEX('Retirement Calculator'!K:K,MATCH('Lorri 401b'!N4855,'Retirement Calculator'!A:A,0),0),0)</f>
        <v>0</v>
      </c>
      <c r="K4855" s="444">
        <f t="shared" ca="1" si="178"/>
        <v>-1315510619855.1084</v>
      </c>
      <c r="L4855" s="444">
        <f t="shared" ca="1" si="179"/>
        <v>-317038059385081.13</v>
      </c>
      <c r="M4855" s="460">
        <f t="shared" si="181"/>
        <v>0.05</v>
      </c>
      <c r="N4855" s="464">
        <f t="shared" si="182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80"/>
        <v>-317038059385081.13</v>
      </c>
      <c r="J4856" s="444">
        <f t="array" ref="J4856">IFERROR(INDEX('Retirement Calculator'!K:K,MATCH('Lorri 401b'!N4856,'Retirement Calculator'!A:A,0),0),0)</f>
        <v>0</v>
      </c>
      <c r="K4856" s="444">
        <f t="shared" ca="1" si="178"/>
        <v>-1320991914104.5046</v>
      </c>
      <c r="L4856" s="444">
        <f t="shared" ca="1" si="179"/>
        <v>-318359051299185.63</v>
      </c>
      <c r="M4856" s="460">
        <f t="shared" si="181"/>
        <v>0.05</v>
      </c>
      <c r="N4856" s="464">
        <f t="shared" si="182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80"/>
        <v>-318359051299185.63</v>
      </c>
      <c r="J4857" s="444">
        <f t="array" ref="J4857">IFERROR(INDEX('Retirement Calculator'!K:K,MATCH('Lorri 401b'!N4857,'Retirement Calculator'!A:A,0),0),0)</f>
        <v>0</v>
      </c>
      <c r="K4857" s="444">
        <f t="shared" ca="1" si="178"/>
        <v>-1326496047079.9402</v>
      </c>
      <c r="L4857" s="444">
        <f t="shared" ca="1" si="179"/>
        <v>-319685547346265.56</v>
      </c>
      <c r="M4857" s="460">
        <f t="shared" si="181"/>
        <v>0.05</v>
      </c>
      <c r="N4857" s="464">
        <f t="shared" si="182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80"/>
        <v>-319685547346265.56</v>
      </c>
      <c r="J4858" s="444">
        <f t="array" ref="J4858">IFERROR(INDEX('Retirement Calculator'!K:K,MATCH('Lorri 401b'!N4858,'Retirement Calculator'!A:A,0),0),0)</f>
        <v>0</v>
      </c>
      <c r="K4858" s="444">
        <f t="shared" ca="1" si="178"/>
        <v>-1332023113942.7732</v>
      </c>
      <c r="L4858" s="444">
        <f t="shared" ca="1" si="179"/>
        <v>-321017570460208.31</v>
      </c>
      <c r="M4858" s="460">
        <f t="shared" si="181"/>
        <v>0.05</v>
      </c>
      <c r="N4858" s="464">
        <f t="shared" si="182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80"/>
        <v>-321017570460208.31</v>
      </c>
      <c r="J4859" s="444">
        <f t="array" ref="J4859">IFERROR(INDEX('Retirement Calculator'!K:K,MATCH('Lorri 401b'!N4859,'Retirement Calculator'!A:A,0),0),0)</f>
        <v>0</v>
      </c>
      <c r="K4859" s="444">
        <f t="shared" ca="1" si="178"/>
        <v>-1337573210250.8679</v>
      </c>
      <c r="L4859" s="444">
        <f t="shared" ca="1" si="179"/>
        <v>-322355143670459.19</v>
      </c>
      <c r="M4859" s="460">
        <f t="shared" si="181"/>
        <v>0.05</v>
      </c>
      <c r="N4859" s="464">
        <f t="shared" si="182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80"/>
        <v>-322355143670459.19</v>
      </c>
      <c r="J4860" s="444">
        <f t="array" ref="J4860">IFERROR(INDEX('Retirement Calculator'!K:K,MATCH('Lorri 401b'!N4860,'Retirement Calculator'!A:A,0),0),0)</f>
        <v>0</v>
      </c>
      <c r="K4860" s="444">
        <f t="shared" ca="1" si="178"/>
        <v>-1343146431960.2466</v>
      </c>
      <c r="L4860" s="444">
        <f t="shared" ca="1" si="179"/>
        <v>-323698290102419.44</v>
      </c>
      <c r="M4860" s="460">
        <f t="shared" si="181"/>
        <v>0.05</v>
      </c>
      <c r="N4860" s="464">
        <f t="shared" si="182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80"/>
        <v>-323698290102419.44</v>
      </c>
      <c r="J4861" s="444">
        <f t="array" ref="J4861">IFERROR(INDEX('Retirement Calculator'!K:K,MATCH('Lorri 401b'!N4861,'Retirement Calculator'!A:A,0),0),0)</f>
        <v>0</v>
      </c>
      <c r="K4861" s="444">
        <f t="shared" ca="1" si="178"/>
        <v>-1348742875426.7476</v>
      </c>
      <c r="L4861" s="444">
        <f t="shared" ca="1" si="179"/>
        <v>-325047032977846.19</v>
      </c>
      <c r="M4861" s="460">
        <f t="shared" si="181"/>
        <v>0.05</v>
      </c>
      <c r="N4861" s="464">
        <f t="shared" si="182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80"/>
        <v>-325047032977846.19</v>
      </c>
      <c r="J4862" s="444">
        <f t="array" ref="J4862">IFERROR(INDEX('Retirement Calculator'!K:K,MATCH('Lorri 401b'!N4862,'Retirement Calculator'!A:A,0),0),0)</f>
        <v>0</v>
      </c>
      <c r="K4862" s="444">
        <f t="shared" ca="1" si="178"/>
        <v>-1354362637407.6924</v>
      </c>
      <c r="L4862" s="444">
        <f t="shared" ca="1" si="179"/>
        <v>-326401395615253.88</v>
      </c>
      <c r="M4862" s="460">
        <f t="shared" si="181"/>
        <v>0.05</v>
      </c>
      <c r="N4862" s="464">
        <f t="shared" si="182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80"/>
        <v>-326401395615253.88</v>
      </c>
      <c r="J4863" s="444">
        <f t="array" ref="J4863">IFERROR(INDEX('Retirement Calculator'!K:K,MATCH('Lorri 401b'!N4863,'Retirement Calculator'!A:A,0),0),0)</f>
        <v>0</v>
      </c>
      <c r="K4863" s="444">
        <f t="shared" ca="1" si="178"/>
        <v>-1360005815063.5579</v>
      </c>
      <c r="L4863" s="444">
        <f t="shared" ca="1" si="179"/>
        <v>-327761401430317.44</v>
      </c>
      <c r="M4863" s="460">
        <f t="shared" si="181"/>
        <v>0.05</v>
      </c>
      <c r="N4863" s="464">
        <f t="shared" si="182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80"/>
        <v>-327761401430317.44</v>
      </c>
      <c r="J4864" s="444">
        <f t="array" ref="J4864">IFERROR(INDEX('Retirement Calculator'!K:K,MATCH('Lorri 401b'!N4864,'Retirement Calculator'!A:A,0),0),0)</f>
        <v>0</v>
      </c>
      <c r="K4864" s="444">
        <f t="shared" ca="1" si="178"/>
        <v>-1365672505959.656</v>
      </c>
      <c r="L4864" s="444">
        <f t="shared" ca="1" si="179"/>
        <v>-329127073936277.06</v>
      </c>
      <c r="M4864" s="460">
        <f t="shared" si="181"/>
        <v>0.05</v>
      </c>
      <c r="N4864" s="464">
        <f t="shared" si="182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80"/>
        <v>-329127073936277.06</v>
      </c>
      <c r="J4865" s="444">
        <f t="array" ref="J4865">IFERROR(INDEX('Retirement Calculator'!K:K,MATCH('Lorri 401b'!N4865,'Retirement Calculator'!A:A,0),0),0)</f>
        <v>0</v>
      </c>
      <c r="K4865" s="444">
        <f t="shared" ca="1" si="178"/>
        <v>-1371362808067.821</v>
      </c>
      <c r="L4865" s="444">
        <f t="shared" ca="1" si="179"/>
        <v>-330498436744344.88</v>
      </c>
      <c r="M4865" s="460">
        <f t="shared" si="181"/>
        <v>0.05</v>
      </c>
      <c r="N4865" s="464">
        <f t="shared" si="182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80"/>
        <v>-330498436744344.88</v>
      </c>
      <c r="J4866" s="444">
        <f t="array" ref="J4866">IFERROR(INDEX('Retirement Calculator'!K:K,MATCH('Lorri 401b'!N4866,'Retirement Calculator'!A:A,0),0),0)</f>
        <v>0</v>
      </c>
      <c r="K4866" s="444">
        <f t="shared" ca="1" si="178"/>
        <v>-1377076819768.1035</v>
      </c>
      <c r="L4866" s="444">
        <f t="shared" ca="1" si="179"/>
        <v>-331875513564113</v>
      </c>
      <c r="M4866" s="460">
        <f t="shared" si="181"/>
        <v>0.05</v>
      </c>
      <c r="N4866" s="464">
        <f t="shared" si="182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80"/>
        <v>-331875513564113</v>
      </c>
      <c r="J4867" s="444">
        <f t="array" ref="J4867">IFERROR(INDEX('Retirement Calculator'!K:K,MATCH('Lorri 401b'!N4867,'Retirement Calculator'!A:A,0),0),0)</f>
        <v>0</v>
      </c>
      <c r="K4867" s="444">
        <f t="shared" ca="1" si="178"/>
        <v>-1382814639850.4707</v>
      </c>
      <c r="L4867" s="444">
        <f t="shared" ca="1" si="179"/>
        <v>-333258328203963.5</v>
      </c>
      <c r="M4867" s="460">
        <f t="shared" si="181"/>
        <v>0.05</v>
      </c>
      <c r="N4867" s="464">
        <f t="shared" si="182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80"/>
        <v>-333258328203963.5</v>
      </c>
      <c r="J4868" s="444">
        <f t="array" ref="J4868">IFERROR(INDEX('Retirement Calculator'!K:K,MATCH('Lorri 401b'!N4868,'Retirement Calculator'!A:A,0),0),0)</f>
        <v>0</v>
      </c>
      <c r="K4868" s="444">
        <f t="shared" ca="1" si="178"/>
        <v>-1388576367516.5146</v>
      </c>
      <c r="L4868" s="444">
        <f t="shared" ca="1" si="179"/>
        <v>-334646904571480</v>
      </c>
      <c r="M4868" s="460">
        <f t="shared" si="181"/>
        <v>0.05</v>
      </c>
      <c r="N4868" s="464">
        <f t="shared" si="182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80"/>
        <v>-334646904571480</v>
      </c>
      <c r="J4869" s="444">
        <f t="array" ref="J4869">IFERROR(INDEX('Retirement Calculator'!K:K,MATCH('Lorri 401b'!N4869,'Retirement Calculator'!A:A,0),0),0)</f>
        <v>0</v>
      </c>
      <c r="K4869" s="444">
        <f t="shared" ca="1" si="178"/>
        <v>-1394362102381.1667</v>
      </c>
      <c r="L4869" s="444">
        <f t="shared" ca="1" si="179"/>
        <v>-336041266673861.19</v>
      </c>
      <c r="M4869" s="460">
        <f t="shared" si="181"/>
        <v>0.05</v>
      </c>
      <c r="N4869" s="464">
        <f t="shared" si="182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80"/>
        <v>-336041266673861.19</v>
      </c>
      <c r="J4870" s="444">
        <f t="array" ref="J4870">IFERROR(INDEX('Retirement Calculator'!K:K,MATCH('Lorri 401b'!N4870,'Retirement Calculator'!A:A,0),0),0)</f>
        <v>0</v>
      </c>
      <c r="K4870" s="444">
        <f t="shared" ca="1" si="178"/>
        <v>-1400171944474.4216</v>
      </c>
      <c r="L4870" s="444">
        <f t="shared" ca="1" si="179"/>
        <v>-337441438618335.63</v>
      </c>
      <c r="M4870" s="460">
        <f t="shared" si="181"/>
        <v>0.05</v>
      </c>
      <c r="N4870" s="464">
        <f t="shared" si="182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80"/>
        <v>-337441438618335.63</v>
      </c>
      <c r="J4871" s="444">
        <f t="array" ref="J4871">IFERROR(INDEX('Retirement Calculator'!K:K,MATCH('Lorri 401b'!N4871,'Retirement Calculator'!A:A,0),0),0)</f>
        <v>0</v>
      </c>
      <c r="K4871" s="444">
        <f t="shared" ca="1" si="178"/>
        <v>-1406005994243.0652</v>
      </c>
      <c r="L4871" s="444">
        <f t="shared" ca="1" si="179"/>
        <v>-338847444612578.69</v>
      </c>
      <c r="M4871" s="460">
        <f t="shared" si="181"/>
        <v>0.05</v>
      </c>
      <c r="N4871" s="464">
        <f t="shared" si="182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80"/>
        <v>-338847444612578.69</v>
      </c>
      <c r="J4872" s="444">
        <f t="array" ref="J4872">IFERROR(INDEX('Retirement Calculator'!K:K,MATCH('Lorri 401b'!N4872,'Retirement Calculator'!A:A,0),0),0)</f>
        <v>0</v>
      </c>
      <c r="K4872" s="444">
        <f t="shared" ca="1" si="178"/>
        <v>-1411864352552.4111</v>
      </c>
      <c r="L4872" s="444">
        <f t="shared" ca="1" si="179"/>
        <v>-340259308965131.13</v>
      </c>
      <c r="M4872" s="460">
        <f t="shared" si="181"/>
        <v>0.05</v>
      </c>
      <c r="N4872" s="464">
        <f t="shared" si="182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80"/>
        <v>-340259308965131.13</v>
      </c>
      <c r="J4873" s="444">
        <f t="array" ref="J4873">IFERROR(INDEX('Retirement Calculator'!K:K,MATCH('Lorri 401b'!N4873,'Retirement Calculator'!A:A,0),0),0)</f>
        <v>0</v>
      </c>
      <c r="K4873" s="444">
        <f t="shared" ca="1" si="178"/>
        <v>-1417747120688.0464</v>
      </c>
      <c r="L4873" s="444">
        <f t="shared" ca="1" si="179"/>
        <v>-341677056085819.19</v>
      </c>
      <c r="M4873" s="460">
        <f t="shared" si="181"/>
        <v>0.05</v>
      </c>
      <c r="N4873" s="464">
        <f t="shared" si="182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80"/>
        <v>-341677056085819.19</v>
      </c>
      <c r="J4874" s="444">
        <f t="array" ref="J4874">IFERROR(INDEX('Retirement Calculator'!K:K,MATCH('Lorri 401b'!N4874,'Retirement Calculator'!A:A,0),0),0)</f>
        <v>0</v>
      </c>
      <c r="K4874" s="444">
        <f t="shared" ca="1" si="178"/>
        <v>-1423654400357.5798</v>
      </c>
      <c r="L4874" s="444">
        <f t="shared" ca="1" si="179"/>
        <v>-343100710486176.75</v>
      </c>
      <c r="M4874" s="460">
        <f t="shared" si="181"/>
        <v>0.05</v>
      </c>
      <c r="N4874" s="464">
        <f t="shared" si="182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80"/>
        <v>-343100710486176.75</v>
      </c>
      <c r="J4875" s="444">
        <f t="array" ref="J4875">IFERROR(INDEX('Retirement Calculator'!K:K,MATCH('Lorri 401b'!N4875,'Retirement Calculator'!A:A,0),0),0)</f>
        <v>0</v>
      </c>
      <c r="K4875" s="444">
        <f t="shared" ca="1" si="178"/>
        <v>-1429586293692.4031</v>
      </c>
      <c r="L4875" s="444">
        <f t="shared" ca="1" si="179"/>
        <v>-344530296779869.13</v>
      </c>
      <c r="M4875" s="460">
        <f t="shared" si="181"/>
        <v>0.05</v>
      </c>
      <c r="N4875" s="464">
        <f t="shared" si="182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80"/>
        <v>-344530296779869.13</v>
      </c>
      <c r="J4876" s="444">
        <f t="array" ref="J4876">IFERROR(INDEX('Retirement Calculator'!K:K,MATCH('Lorri 401b'!N4876,'Retirement Calculator'!A:A,0),0),0)</f>
        <v>0</v>
      </c>
      <c r="K4876" s="444">
        <f t="shared" ca="1" si="178"/>
        <v>-1435542903249.4546</v>
      </c>
      <c r="L4876" s="444">
        <f t="shared" ca="1" si="179"/>
        <v>-345965839683118.56</v>
      </c>
      <c r="M4876" s="460">
        <f t="shared" si="181"/>
        <v>0.05</v>
      </c>
      <c r="N4876" s="464">
        <f t="shared" si="182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80"/>
        <v>-345965839683118.56</v>
      </c>
      <c r="J4877" s="444">
        <f t="array" ref="J4877">IFERROR(INDEX('Retirement Calculator'!K:K,MATCH('Lorri 401b'!N4877,'Retirement Calculator'!A:A,0),0),0)</f>
        <v>0</v>
      </c>
      <c r="K4877" s="444">
        <f t="shared" ca="1" si="178"/>
        <v>-1441524332012.9939</v>
      </c>
      <c r="L4877" s="444">
        <f t="shared" ca="1" si="179"/>
        <v>-347407364015131.56</v>
      </c>
      <c r="M4877" s="460">
        <f t="shared" si="181"/>
        <v>0.05</v>
      </c>
      <c r="N4877" s="464">
        <f t="shared" si="182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80"/>
        <v>-347407364015131.56</v>
      </c>
      <c r="J4878" s="444">
        <f t="array" ref="J4878">IFERROR(INDEX('Retirement Calculator'!K:K,MATCH('Lorri 401b'!N4878,'Retirement Calculator'!A:A,0),0),0)</f>
        <v>0</v>
      </c>
      <c r="K4878" s="444">
        <f t="shared" ca="1" si="178"/>
        <v>-1447530683396.3816</v>
      </c>
      <c r="L4878" s="444">
        <f t="shared" ca="1" si="179"/>
        <v>-348854894698527.94</v>
      </c>
      <c r="M4878" s="460">
        <f t="shared" si="181"/>
        <v>0.05</v>
      </c>
      <c r="N4878" s="464">
        <f t="shared" si="182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80"/>
        <v>-348854894698527.94</v>
      </c>
      <c r="J4879" s="444">
        <f t="array" ref="J4879">IFERROR(INDEX('Retirement Calculator'!K:K,MATCH('Lorri 401b'!N4879,'Retirement Calculator'!A:A,0),0),0)</f>
        <v>0</v>
      </c>
      <c r="K4879" s="444">
        <f t="shared" ca="1" si="178"/>
        <v>-1453562061243.8665</v>
      </c>
      <c r="L4879" s="444">
        <f t="shared" ca="1" si="179"/>
        <v>-350308456759771.81</v>
      </c>
      <c r="M4879" s="460">
        <f t="shared" si="181"/>
        <v>0.05</v>
      </c>
      <c r="N4879" s="464">
        <f t="shared" si="182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80"/>
        <v>-350308456759771.81</v>
      </c>
      <c r="J4880" s="444">
        <f t="array" ref="J4880">IFERROR(INDEX('Retirement Calculator'!K:K,MATCH('Lorri 401b'!N4880,'Retirement Calculator'!A:A,0),0),0)</f>
        <v>0</v>
      </c>
      <c r="K4880" s="444">
        <f t="shared" ca="1" si="178"/>
        <v>-1459618569832.3826</v>
      </c>
      <c r="L4880" s="444">
        <f t="shared" ca="1" si="179"/>
        <v>-351768075329604.19</v>
      </c>
      <c r="M4880" s="460">
        <f t="shared" si="181"/>
        <v>0.05</v>
      </c>
      <c r="N4880" s="464">
        <f t="shared" si="182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80"/>
        <v>-351768075329604.19</v>
      </c>
      <c r="J4881" s="444">
        <f t="array" ref="J4881">IFERROR(INDEX('Retirement Calculator'!K:K,MATCH('Lorri 401b'!N4881,'Retirement Calculator'!A:A,0),0),0)</f>
        <v>0</v>
      </c>
      <c r="K4881" s="444">
        <f t="shared" ca="1" si="178"/>
        <v>-1465700313873.3508</v>
      </c>
      <c r="L4881" s="444">
        <f t="shared" ca="1" si="179"/>
        <v>-353233775643477.56</v>
      </c>
      <c r="M4881" s="460">
        <f t="shared" si="181"/>
        <v>0.05</v>
      </c>
      <c r="N4881" s="464">
        <f t="shared" si="182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80"/>
        <v>-353233775643477.56</v>
      </c>
      <c r="J4882" s="444">
        <f t="array" ref="J4882">IFERROR(INDEX('Retirement Calculator'!K:K,MATCH('Lorri 401b'!N4882,'Retirement Calculator'!A:A,0),0),0)</f>
        <v>0</v>
      </c>
      <c r="K4882" s="444">
        <f t="shared" ca="1" si="178"/>
        <v>-1471807398514.4897</v>
      </c>
      <c r="L4882" s="444">
        <f t="shared" ca="1" si="179"/>
        <v>-354705583041992.06</v>
      </c>
      <c r="M4882" s="460">
        <f t="shared" si="181"/>
        <v>0.05</v>
      </c>
      <c r="N4882" s="464">
        <f t="shared" si="182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80"/>
        <v>-354705583041992.06</v>
      </c>
      <c r="J4883" s="444">
        <f t="array" ref="J4883">IFERROR(INDEX('Retirement Calculator'!K:K,MATCH('Lorri 401b'!N4883,'Retirement Calculator'!A:A,0),0),0)</f>
        <v>0</v>
      </c>
      <c r="K4883" s="444">
        <f t="shared" ca="1" si="178"/>
        <v>-1477939929341.6335</v>
      </c>
      <c r="L4883" s="444">
        <f t="shared" ca="1" si="179"/>
        <v>-356183522971333.69</v>
      </c>
      <c r="M4883" s="460">
        <f t="shared" si="181"/>
        <v>0.05</v>
      </c>
      <c r="N4883" s="464">
        <f t="shared" si="182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80"/>
        <v>-356183522971333.69</v>
      </c>
      <c r="J4884" s="444">
        <f t="array" ref="J4884">IFERROR(INDEX('Retirement Calculator'!K:K,MATCH('Lorri 401b'!N4884,'Retirement Calculator'!A:A,0),0),0)</f>
        <v>0</v>
      </c>
      <c r="K4884" s="444">
        <f t="shared" ca="1" si="178"/>
        <v>-1484098012380.5571</v>
      </c>
      <c r="L4884" s="444">
        <f t="shared" ca="1" si="179"/>
        <v>-357667620983714.25</v>
      </c>
      <c r="M4884" s="460">
        <f t="shared" si="181"/>
        <v>0.05</v>
      </c>
      <c r="N4884" s="464">
        <f t="shared" si="182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80"/>
        <v>-357667620983714.25</v>
      </c>
      <c r="J4885" s="444">
        <f t="array" ref="J4885">IFERROR(INDEX('Retirement Calculator'!K:K,MATCH('Lorri 401b'!N4885,'Retirement Calculator'!A:A,0),0),0)</f>
        <v>0</v>
      </c>
      <c r="K4885" s="444">
        <f t="shared" ca="1" si="178"/>
        <v>-1490281754098.8093</v>
      </c>
      <c r="L4885" s="444">
        <f t="shared" ca="1" si="179"/>
        <v>-359157902737813.06</v>
      </c>
      <c r="M4885" s="460">
        <f t="shared" si="181"/>
        <v>0.05</v>
      </c>
      <c r="N4885" s="464">
        <f t="shared" si="182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80"/>
        <v>-359157902737813.06</v>
      </c>
      <c r="J4886" s="444">
        <f t="array" ref="J4886">IFERROR(INDEX('Retirement Calculator'!K:K,MATCH('Lorri 401b'!N4886,'Retirement Calculator'!A:A,0),0),0)</f>
        <v>0</v>
      </c>
      <c r="K4886" s="444">
        <f t="shared" ca="1" si="178"/>
        <v>-1496491261407.5544</v>
      </c>
      <c r="L4886" s="444">
        <f t="shared" ca="1" si="179"/>
        <v>-360654393999220.63</v>
      </c>
      <c r="M4886" s="460">
        <f t="shared" si="181"/>
        <v>0.05</v>
      </c>
      <c r="N4886" s="464">
        <f t="shared" si="182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80"/>
        <v>-360654393999220.63</v>
      </c>
      <c r="J4887" s="444">
        <f t="array" ref="J4887">IFERROR(INDEX('Retirement Calculator'!K:K,MATCH('Lorri 401b'!N4887,'Retirement Calculator'!A:A,0),0),0)</f>
        <v>0</v>
      </c>
      <c r="K4887" s="444">
        <f t="shared" ca="1" si="178"/>
        <v>-1502726641663.4192</v>
      </c>
      <c r="L4887" s="444">
        <f t="shared" ca="1" si="179"/>
        <v>-362157120640884.06</v>
      </c>
      <c r="M4887" s="460">
        <f t="shared" si="181"/>
        <v>0.05</v>
      </c>
      <c r="N4887" s="464">
        <f t="shared" si="182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80"/>
        <v>-362157120640884.06</v>
      </c>
      <c r="J4888" s="444">
        <f t="array" ref="J4888">IFERROR(INDEX('Retirement Calculator'!K:K,MATCH('Lorri 401b'!N4888,'Retirement Calculator'!A:A,0),0),0)</f>
        <v>0</v>
      </c>
      <c r="K4888" s="444">
        <f t="shared" ca="1" si="178"/>
        <v>-1508988002670.3503</v>
      </c>
      <c r="L4888" s="444">
        <f t="shared" ca="1" si="179"/>
        <v>-363666108643554.44</v>
      </c>
      <c r="M4888" s="460">
        <f t="shared" si="181"/>
        <v>0.05</v>
      </c>
      <c r="N4888" s="464">
        <f t="shared" si="182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80"/>
        <v>-363666108643554.44</v>
      </c>
      <c r="J4889" s="444">
        <f t="array" ref="J4889">IFERROR(INDEX('Retirement Calculator'!K:K,MATCH('Lorri 401b'!N4889,'Retirement Calculator'!A:A,0),0),0)</f>
        <v>0</v>
      </c>
      <c r="K4889" s="444">
        <f t="shared" ca="1" si="178"/>
        <v>-1515275452681.4768</v>
      </c>
      <c r="L4889" s="444">
        <f t="shared" ca="1" si="179"/>
        <v>-365181384096235.94</v>
      </c>
      <c r="M4889" s="460">
        <f t="shared" si="181"/>
        <v>0.05</v>
      </c>
      <c r="N4889" s="464">
        <f t="shared" si="182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80"/>
        <v>-365181384096235.94</v>
      </c>
      <c r="J4890" s="444">
        <f t="array" ref="J4890">IFERROR(INDEX('Retirement Calculator'!K:K,MATCH('Lorri 401b'!N4890,'Retirement Calculator'!A:A,0),0),0)</f>
        <v>0</v>
      </c>
      <c r="K4890" s="444">
        <f t="shared" ca="1" si="178"/>
        <v>-1521589100400.9832</v>
      </c>
      <c r="L4890" s="444">
        <f t="shared" ca="1" si="179"/>
        <v>-366702973196636.94</v>
      </c>
      <c r="M4890" s="460">
        <f t="shared" si="181"/>
        <v>0.05</v>
      </c>
      <c r="N4890" s="464">
        <f t="shared" si="182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80"/>
        <v>-366702973196636.94</v>
      </c>
      <c r="J4891" s="444">
        <f t="array" ref="J4891">IFERROR(INDEX('Retirement Calculator'!K:K,MATCH('Lorri 401b'!N4891,'Retirement Calculator'!A:A,0),0),0)</f>
        <v>0</v>
      </c>
      <c r="K4891" s="444">
        <f t="shared" ca="1" si="178"/>
        <v>-1527929054985.9873</v>
      </c>
      <c r="L4891" s="444">
        <f t="shared" ca="1" si="179"/>
        <v>-368230902251622.94</v>
      </c>
      <c r="M4891" s="460">
        <f t="shared" si="181"/>
        <v>0.05</v>
      </c>
      <c r="N4891" s="464">
        <f t="shared" si="182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80"/>
        <v>-368230902251622.94</v>
      </c>
      <c r="J4892" s="444">
        <f t="array" ref="J4892">IFERROR(INDEX('Retirement Calculator'!K:K,MATCH('Lorri 401b'!N4892,'Retirement Calculator'!A:A,0),0),0)</f>
        <v>0</v>
      </c>
      <c r="K4892" s="444">
        <f t="shared" ca="1" si="178"/>
        <v>-1534295426048.429</v>
      </c>
      <c r="L4892" s="444">
        <f t="shared" ca="1" si="179"/>
        <v>-369765197677671.38</v>
      </c>
      <c r="M4892" s="460">
        <f t="shared" si="181"/>
        <v>0.05</v>
      </c>
      <c r="N4892" s="464">
        <f t="shared" si="182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80"/>
        <v>-369765197677671.38</v>
      </c>
      <c r="J4893" s="444">
        <f t="array" ref="J4893">IFERROR(INDEX('Retirement Calculator'!K:K,MATCH('Lorri 401b'!N4893,'Retirement Calculator'!A:A,0),0),0)</f>
        <v>0</v>
      </c>
      <c r="K4893" s="444">
        <f t="shared" ca="1" si="178"/>
        <v>-1540688323656.9641</v>
      </c>
      <c r="L4893" s="444">
        <f t="shared" ca="1" si="179"/>
        <v>-371305886001328.31</v>
      </c>
      <c r="M4893" s="460">
        <f t="shared" si="181"/>
        <v>0.05</v>
      </c>
      <c r="N4893" s="464">
        <f t="shared" si="182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80"/>
        <v>-371305886001328.31</v>
      </c>
      <c r="J4894" s="444">
        <f t="array" ref="J4894">IFERROR(INDEX('Retirement Calculator'!K:K,MATCH('Lorri 401b'!N4894,'Retirement Calculator'!A:A,0),0),0)</f>
        <v>0</v>
      </c>
      <c r="K4894" s="444">
        <f t="shared" ca="1" si="178"/>
        <v>-1547107858338.8679</v>
      </c>
      <c r="L4894" s="444">
        <f t="shared" ca="1" si="179"/>
        <v>-372852993859667.19</v>
      </c>
      <c r="M4894" s="460">
        <f t="shared" si="181"/>
        <v>0.05</v>
      </c>
      <c r="N4894" s="464">
        <f t="shared" si="182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80"/>
        <v>-372852993859667.19</v>
      </c>
      <c r="J4895" s="444">
        <f t="array" ref="J4895">IFERROR(INDEX('Retirement Calculator'!K:K,MATCH('Lorri 401b'!N4895,'Retirement Calculator'!A:A,0),0),0)</f>
        <v>0</v>
      </c>
      <c r="K4895" s="444">
        <f t="shared" ca="1" si="178"/>
        <v>-1553554141081.9465</v>
      </c>
      <c r="L4895" s="444">
        <f t="shared" ca="1" si="179"/>
        <v>-374406548000749.13</v>
      </c>
      <c r="M4895" s="460">
        <f t="shared" si="181"/>
        <v>0.05</v>
      </c>
      <c r="N4895" s="464">
        <f t="shared" si="182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80"/>
        <v>-374406548000749.13</v>
      </c>
      <c r="J4896" s="444">
        <f t="array" ref="J4896">IFERROR(INDEX('Retirement Calculator'!K:K,MATCH('Lorri 401b'!N4896,'Retirement Calculator'!A:A,0),0),0)</f>
        <v>0</v>
      </c>
      <c r="K4896" s="444">
        <f t="shared" ca="1" si="178"/>
        <v>-1560027283336.4546</v>
      </c>
      <c r="L4896" s="444">
        <f t="shared" ca="1" si="179"/>
        <v>-375966575284085.56</v>
      </c>
      <c r="M4896" s="460">
        <f t="shared" si="181"/>
        <v>0.05</v>
      </c>
      <c r="N4896" s="464">
        <f t="shared" si="182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80"/>
        <v>-375966575284085.56</v>
      </c>
      <c r="J4897" s="444">
        <f t="array" ref="J4897">IFERROR(INDEX('Retirement Calculator'!K:K,MATCH('Lorri 401b'!N4897,'Retirement Calculator'!A:A,0),0),0)</f>
        <v>0</v>
      </c>
      <c r="K4897" s="444">
        <f t="shared" ca="1" si="178"/>
        <v>-1566527397017.0232</v>
      </c>
      <c r="L4897" s="444">
        <f t="shared" ca="1" si="179"/>
        <v>-377533102681102.56</v>
      </c>
      <c r="M4897" s="460">
        <f t="shared" si="181"/>
        <v>0.05</v>
      </c>
      <c r="N4897" s="464">
        <f t="shared" si="182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80"/>
        <v>-377533102681102.56</v>
      </c>
      <c r="J4898" s="444">
        <f t="array" ref="J4898">IFERROR(INDEX('Retirement Calculator'!K:K,MATCH('Lorri 401b'!N4898,'Retirement Calculator'!A:A,0),0),0)</f>
        <v>0</v>
      </c>
      <c r="K4898" s="444">
        <f t="shared" ca="1" si="178"/>
        <v>-1573054594504.594</v>
      </c>
      <c r="L4898" s="444">
        <f t="shared" ca="1" si="179"/>
        <v>-379106157275607.19</v>
      </c>
      <c r="M4898" s="460">
        <f t="shared" si="181"/>
        <v>0.05</v>
      </c>
      <c r="N4898" s="464">
        <f t="shared" si="182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80"/>
        <v>-379106157275607.19</v>
      </c>
      <c r="J4899" s="444">
        <f t="array" ref="J4899">IFERROR(INDEX('Retirement Calculator'!K:K,MATCH('Lorri 401b'!N4899,'Retirement Calculator'!A:A,0),0),0)</f>
        <v>0</v>
      </c>
      <c r="K4899" s="444">
        <f t="shared" ca="1" si="178"/>
        <v>-1579608988648.3633</v>
      </c>
      <c r="L4899" s="444">
        <f t="shared" ca="1" si="179"/>
        <v>-380685766264255.56</v>
      </c>
      <c r="M4899" s="460">
        <f t="shared" si="181"/>
        <v>0.05</v>
      </c>
      <c r="N4899" s="464">
        <f t="shared" si="182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80"/>
        <v>-380685766264255.56</v>
      </c>
      <c r="J4900" s="444">
        <f t="array" ref="J4900">IFERROR(INDEX('Retirement Calculator'!K:K,MATCH('Lorri 401b'!N4900,'Retirement Calculator'!A:A,0),0),0)</f>
        <v>0</v>
      </c>
      <c r="K4900" s="444">
        <f t="shared" ca="1" si="178"/>
        <v>-1586190692767.7314</v>
      </c>
      <c r="L4900" s="444">
        <f t="shared" ca="1" si="179"/>
        <v>-382271956957023.31</v>
      </c>
      <c r="M4900" s="460">
        <f t="shared" si="181"/>
        <v>0.05</v>
      </c>
      <c r="N4900" s="464">
        <f t="shared" si="182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80"/>
        <v>-382271956957023.31</v>
      </c>
      <c r="J4901" s="444">
        <f t="array" ref="J4901">IFERROR(INDEX('Retirement Calculator'!K:K,MATCH('Lorri 401b'!N4901,'Retirement Calculator'!A:A,0),0),0)</f>
        <v>0</v>
      </c>
      <c r="K4901" s="444">
        <f t="shared" ca="1" si="178"/>
        <v>-1592799820654.2637</v>
      </c>
      <c r="L4901" s="444">
        <f t="shared" ca="1" si="179"/>
        <v>-383864756777677.56</v>
      </c>
      <c r="M4901" s="460">
        <f t="shared" si="181"/>
        <v>0.05</v>
      </c>
      <c r="N4901" s="464">
        <f t="shared" si="182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80"/>
        <v>-383864756777677.56</v>
      </c>
      <c r="J4902" s="444">
        <f t="array" ref="J4902">IFERROR(INDEX('Retirement Calculator'!K:K,MATCH('Lorri 401b'!N4902,'Retirement Calculator'!A:A,0),0),0)</f>
        <v>0</v>
      </c>
      <c r="K4902" s="444">
        <f t="shared" ca="1" si="178"/>
        <v>-1599436486573.6565</v>
      </c>
      <c r="L4902" s="444">
        <f t="shared" ca="1" si="179"/>
        <v>-385464193264251.25</v>
      </c>
      <c r="M4902" s="460">
        <f t="shared" si="181"/>
        <v>0.05</v>
      </c>
      <c r="N4902" s="464">
        <f t="shared" si="182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80"/>
        <v>-385464193264251.25</v>
      </c>
      <c r="J4903" s="444">
        <f t="array" ref="J4903">IFERROR(INDEX('Retirement Calculator'!K:K,MATCH('Lorri 401b'!N4903,'Retirement Calculator'!A:A,0),0),0)</f>
        <v>0</v>
      </c>
      <c r="K4903" s="444">
        <f t="shared" ca="1" si="178"/>
        <v>-1606100805267.7136</v>
      </c>
      <c r="L4903" s="444">
        <f t="shared" ca="1" si="179"/>
        <v>-387070294069518.94</v>
      </c>
      <c r="M4903" s="460">
        <f t="shared" si="181"/>
        <v>0.05</v>
      </c>
      <c r="N4903" s="464">
        <f t="shared" si="182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80"/>
        <v>-387070294069518.94</v>
      </c>
      <c r="J4904" s="444">
        <f t="array" ref="J4904">IFERROR(INDEX('Retirement Calculator'!K:K,MATCH('Lorri 401b'!N4904,'Retirement Calculator'!A:A,0),0),0)</f>
        <v>0</v>
      </c>
      <c r="K4904" s="444">
        <f t="shared" ca="1" si="178"/>
        <v>-1612792891956.3289</v>
      </c>
      <c r="L4904" s="444">
        <f t="shared" ca="1" si="179"/>
        <v>-388683086961475.25</v>
      </c>
      <c r="M4904" s="460">
        <f t="shared" si="181"/>
        <v>0.05</v>
      </c>
      <c r="N4904" s="464">
        <f t="shared" si="182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80"/>
        <v>-388683086961475.25</v>
      </c>
      <c r="J4905" s="444">
        <f t="array" ref="J4905">IFERROR(INDEX('Retirement Calculator'!K:K,MATCH('Lorri 401b'!N4905,'Retirement Calculator'!A:A,0),0),0)</f>
        <v>0</v>
      </c>
      <c r="K4905" s="444">
        <f t="shared" ca="1" si="178"/>
        <v>-1619512862339.4802</v>
      </c>
      <c r="L4905" s="444">
        <f t="shared" ca="1" si="179"/>
        <v>-390302599823814.75</v>
      </c>
      <c r="M4905" s="460">
        <f t="shared" si="181"/>
        <v>0.05</v>
      </c>
      <c r="N4905" s="464">
        <f t="shared" si="182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80"/>
        <v>-390302599823814.75</v>
      </c>
      <c r="J4906" s="444">
        <f t="array" ref="J4906">IFERROR(INDEX('Retirement Calculator'!K:K,MATCH('Lorri 401b'!N4906,'Retirement Calculator'!A:A,0),0),0)</f>
        <v>0</v>
      </c>
      <c r="K4906" s="444">
        <f t="shared" ca="1" si="178"/>
        <v>-1626260832599.228</v>
      </c>
      <c r="L4906" s="444">
        <f t="shared" ca="1" si="179"/>
        <v>-391928860656414</v>
      </c>
      <c r="M4906" s="460">
        <f t="shared" si="181"/>
        <v>0.05</v>
      </c>
      <c r="N4906" s="464">
        <f t="shared" si="182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80"/>
        <v>-391928860656414</v>
      </c>
      <c r="J4907" s="444">
        <f t="array" ref="J4907">IFERROR(INDEX('Retirement Calculator'!K:K,MATCH('Lorri 401b'!N4907,'Retirement Calculator'!A:A,0),0),0)</f>
        <v>0</v>
      </c>
      <c r="K4907" s="444">
        <f t="shared" ca="1" si="178"/>
        <v>-1633036919401.7251</v>
      </c>
      <c r="L4907" s="444">
        <f t="shared" ca="1" si="179"/>
        <v>-393561897575815.75</v>
      </c>
      <c r="M4907" s="460">
        <f t="shared" si="181"/>
        <v>0.05</v>
      </c>
      <c r="N4907" s="464">
        <f t="shared" si="182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80"/>
        <v>-393561897575815.75</v>
      </c>
      <c r="J4908" s="444">
        <f t="array" ref="J4908">IFERROR(INDEX('Retirement Calculator'!K:K,MATCH('Lorri 401b'!N4908,'Retirement Calculator'!A:A,0),0),0)</f>
        <v>0</v>
      </c>
      <c r="K4908" s="444">
        <f t="shared" ca="1" si="178"/>
        <v>-1639841239899.2322</v>
      </c>
      <c r="L4908" s="444">
        <f t="shared" ca="1" si="179"/>
        <v>-395201738815715</v>
      </c>
      <c r="M4908" s="460">
        <f t="shared" si="181"/>
        <v>0.05</v>
      </c>
      <c r="N4908" s="464">
        <f t="shared" si="182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80"/>
        <v>-395201738815715</v>
      </c>
      <c r="J4909" s="444">
        <f t="array" ref="J4909">IFERROR(INDEX('Retirement Calculator'!K:K,MATCH('Lorri 401b'!N4909,'Retirement Calculator'!A:A,0),0),0)</f>
        <v>0</v>
      </c>
      <c r="K4909" s="444">
        <f t="shared" ca="1" si="178"/>
        <v>-1646673911732.1458</v>
      </c>
      <c r="L4909" s="444">
        <f t="shared" ca="1" si="179"/>
        <v>-396848412727447.13</v>
      </c>
      <c r="M4909" s="460">
        <f t="shared" si="181"/>
        <v>0.05</v>
      </c>
      <c r="N4909" s="464">
        <f t="shared" si="182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80"/>
        <v>-396848412727447.13</v>
      </c>
      <c r="J4910" s="444">
        <f t="array" ref="J4910">IFERROR(INDEX('Retirement Calculator'!K:K,MATCH('Lorri 401b'!N4910,'Retirement Calculator'!A:A,0),0),0)</f>
        <v>0</v>
      </c>
      <c r="K4910" s="444">
        <f t="shared" ca="1" si="178"/>
        <v>-1653535053031.0298</v>
      </c>
      <c r="L4910" s="444">
        <f t="shared" ca="1" si="179"/>
        <v>-398501947780478.13</v>
      </c>
      <c r="M4910" s="460">
        <f t="shared" si="181"/>
        <v>0.05</v>
      </c>
      <c r="N4910" s="464">
        <f t="shared" si="182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80"/>
        <v>-398501947780478.13</v>
      </c>
      <c r="J4911" s="444">
        <f t="array" ref="J4911">IFERROR(INDEX('Retirement Calculator'!K:K,MATCH('Lorri 401b'!N4911,'Retirement Calculator'!A:A,0),0),0)</f>
        <v>0</v>
      </c>
      <c r="K4911" s="444">
        <f t="shared" ca="1" si="178"/>
        <v>-1660424782418.6589</v>
      </c>
      <c r="L4911" s="444">
        <f t="shared" ca="1" si="179"/>
        <v>-400162372562896.81</v>
      </c>
      <c r="M4911" s="460">
        <f t="shared" si="181"/>
        <v>0.05</v>
      </c>
      <c r="N4911" s="464">
        <f t="shared" si="182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80"/>
        <v>-400162372562896.81</v>
      </c>
      <c r="J4912" s="444">
        <f t="array" ref="J4912">IFERROR(INDEX('Retirement Calculator'!K:K,MATCH('Lorri 401b'!N4912,'Retirement Calculator'!A:A,0),0),0)</f>
        <v>0</v>
      </c>
      <c r="K4912" s="444">
        <f t="shared" ca="1" si="178"/>
        <v>-1667343219012.0701</v>
      </c>
      <c r="L4912" s="444">
        <f t="shared" ca="1" si="179"/>
        <v>-401829715781908.88</v>
      </c>
      <c r="M4912" s="460">
        <f t="shared" si="181"/>
        <v>0.05</v>
      </c>
      <c r="N4912" s="464">
        <f t="shared" si="182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80"/>
        <v>-401829715781908.88</v>
      </c>
      <c r="J4913" s="444">
        <f t="array" ref="J4913">IFERROR(INDEX('Retirement Calculator'!K:K,MATCH('Lorri 401b'!N4913,'Retirement Calculator'!A:A,0),0),0)</f>
        <v>0</v>
      </c>
      <c r="K4913" s="444">
        <f t="shared" ca="1" si="178"/>
        <v>-1674290482424.6204</v>
      </c>
      <c r="L4913" s="444">
        <f t="shared" ca="1" si="179"/>
        <v>-403504006264333.5</v>
      </c>
      <c r="M4913" s="460">
        <f t="shared" si="181"/>
        <v>0.05</v>
      </c>
      <c r="N4913" s="464">
        <f t="shared" si="182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80"/>
        <v>-403504006264333.5</v>
      </c>
      <c r="J4914" s="444">
        <f t="array" ref="J4914">IFERROR(INDEX('Retirement Calculator'!K:K,MATCH('Lorri 401b'!N4914,'Retirement Calculator'!A:A,0),0),0)</f>
        <v>0</v>
      </c>
      <c r="K4914" s="444">
        <f t="shared" ca="1" si="178"/>
        <v>-1681266692768.0562</v>
      </c>
      <c r="L4914" s="444">
        <f t="shared" ca="1" si="179"/>
        <v>-405185272957101.56</v>
      </c>
      <c r="M4914" s="460">
        <f t="shared" si="181"/>
        <v>0.05</v>
      </c>
      <c r="N4914" s="464">
        <f t="shared" si="182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80"/>
        <v>-405185272957101.56</v>
      </c>
      <c r="J4915" s="444">
        <f t="array" ref="J4915">IFERROR(INDEX('Retirement Calculator'!K:K,MATCH('Lorri 401b'!N4915,'Retirement Calculator'!A:A,0),0),0)</f>
        <v>0</v>
      </c>
      <c r="K4915" s="444">
        <f t="shared" ca="1" si="178"/>
        <v>-1688271970654.5898</v>
      </c>
      <c r="L4915" s="444">
        <f t="shared" ca="1" si="179"/>
        <v>-406873544927756.13</v>
      </c>
      <c r="M4915" s="460">
        <f t="shared" si="181"/>
        <v>0.05</v>
      </c>
      <c r="N4915" s="464">
        <f t="shared" si="182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80"/>
        <v>-406873544927756.13</v>
      </c>
      <c r="J4916" s="444">
        <f t="array" ref="J4916">IFERROR(INDEX('Retirement Calculator'!K:K,MATCH('Lorri 401b'!N4916,'Retirement Calculator'!A:A,0),0),0)</f>
        <v>0</v>
      </c>
      <c r="K4916" s="444">
        <f t="shared" ca="1" si="178"/>
        <v>-1695306437198.9839</v>
      </c>
      <c r="L4916" s="444">
        <f t="shared" ca="1" si="179"/>
        <v>-408568851364955.13</v>
      </c>
      <c r="M4916" s="460">
        <f t="shared" si="181"/>
        <v>0.05</v>
      </c>
      <c r="N4916" s="464">
        <f t="shared" si="182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80"/>
        <v>-408568851364955.13</v>
      </c>
      <c r="J4917" s="444">
        <f t="array" ref="J4917">IFERROR(INDEX('Retirement Calculator'!K:K,MATCH('Lorri 401b'!N4917,'Retirement Calculator'!A:A,0),0),0)</f>
        <v>0</v>
      </c>
      <c r="K4917" s="444">
        <f t="shared" ca="1" si="178"/>
        <v>-1702370214020.6462</v>
      </c>
      <c r="L4917" s="444">
        <f t="shared" ca="1" si="179"/>
        <v>-410271221578975.75</v>
      </c>
      <c r="M4917" s="460">
        <f t="shared" si="181"/>
        <v>0.05</v>
      </c>
      <c r="N4917" s="464">
        <f t="shared" si="182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80"/>
        <v>-410271221578975.75</v>
      </c>
      <c r="J4918" s="444">
        <f t="array" ref="J4918">IFERROR(INDEX('Retirement Calculator'!K:K,MATCH('Lorri 401b'!N4918,'Retirement Calculator'!A:A,0),0),0)</f>
        <v>0</v>
      </c>
      <c r="K4918" s="444">
        <f t="shared" ca="1" si="178"/>
        <v>-1709463423245.7322</v>
      </c>
      <c r="L4918" s="444">
        <f t="shared" ca="1" si="179"/>
        <v>-411980685002221.5</v>
      </c>
      <c r="M4918" s="460">
        <f t="shared" si="181"/>
        <v>0.05</v>
      </c>
      <c r="N4918" s="464">
        <f t="shared" si="182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80"/>
        <v>-411980685002221.5</v>
      </c>
      <c r="J4919" s="444">
        <f t="array" ref="J4919">IFERROR(INDEX('Retirement Calculator'!K:K,MATCH('Lorri 401b'!N4919,'Retirement Calculator'!A:A,0),0),0)</f>
        <v>0</v>
      </c>
      <c r="K4919" s="444">
        <f t="shared" ca="1" si="178"/>
        <v>-1716586187509.2563</v>
      </c>
      <c r="L4919" s="444">
        <f t="shared" ca="1" si="179"/>
        <v>-413697271189730.75</v>
      </c>
      <c r="M4919" s="460">
        <f t="shared" si="181"/>
        <v>0.05</v>
      </c>
      <c r="N4919" s="464">
        <f t="shared" si="182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80"/>
        <v>-413697271189730.75</v>
      </c>
      <c r="J4920" s="444">
        <f t="array" ref="J4920">IFERROR(INDEX('Retirement Calculator'!K:K,MATCH('Lorri 401b'!N4920,'Retirement Calculator'!A:A,0),0),0)</f>
        <v>0</v>
      </c>
      <c r="K4920" s="444">
        <f t="shared" ca="1" si="178"/>
        <v>-1723738629957.2114</v>
      </c>
      <c r="L4920" s="444">
        <f t="shared" ca="1" si="179"/>
        <v>-415421009819687.94</v>
      </c>
      <c r="M4920" s="460">
        <f t="shared" si="181"/>
        <v>0.05</v>
      </c>
      <c r="N4920" s="464">
        <f t="shared" si="182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80"/>
        <v>-415421009819687.94</v>
      </c>
      <c r="J4921" s="444">
        <f t="array" ref="J4921">IFERROR(INDEX('Retirement Calculator'!K:K,MATCH('Lorri 401b'!N4921,'Retirement Calculator'!A:A,0),0),0)</f>
        <v>0</v>
      </c>
      <c r="K4921" s="444">
        <f t="shared" ca="1" si="178"/>
        <v>-1730920874248.6997</v>
      </c>
      <c r="L4921" s="444">
        <f t="shared" ca="1" si="179"/>
        <v>-417151930693936.63</v>
      </c>
      <c r="M4921" s="460">
        <f t="shared" si="181"/>
        <v>0.05</v>
      </c>
      <c r="N4921" s="464">
        <f t="shared" si="182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80"/>
        <v>-417151930693936.63</v>
      </c>
      <c r="J4922" s="444">
        <f t="array" ref="J4922">IFERROR(INDEX('Retirement Calculator'!K:K,MATCH('Lorri 401b'!N4922,'Retirement Calculator'!A:A,0),0),0)</f>
        <v>0</v>
      </c>
      <c r="K4922" s="444">
        <f t="shared" ca="1" si="178"/>
        <v>-1738133044558.0693</v>
      </c>
      <c r="L4922" s="444">
        <f t="shared" ca="1" si="179"/>
        <v>-418890063738494.69</v>
      </c>
      <c r="M4922" s="460">
        <f t="shared" si="181"/>
        <v>0.05</v>
      </c>
      <c r="N4922" s="464">
        <f t="shared" si="182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80"/>
        <v>-418890063738494.69</v>
      </c>
      <c r="J4923" s="444">
        <f t="array" ref="J4923">IFERROR(INDEX('Retirement Calculator'!K:K,MATCH('Lorri 401b'!N4923,'Retirement Calculator'!A:A,0),0),0)</f>
        <v>0</v>
      </c>
      <c r="K4923" s="444">
        <f t="shared" ca="1" si="178"/>
        <v>-1745375265577.0613</v>
      </c>
      <c r="L4923" s="444">
        <f t="shared" ca="1" si="179"/>
        <v>-420635439004071.75</v>
      </c>
      <c r="M4923" s="460">
        <f t="shared" si="181"/>
        <v>0.05</v>
      </c>
      <c r="N4923" s="464">
        <f t="shared" si="182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80"/>
        <v>-420635439004071.75</v>
      </c>
      <c r="J4924" s="444">
        <f t="array" ref="J4924">IFERROR(INDEX('Retirement Calculator'!K:K,MATCH('Lorri 401b'!N4924,'Retirement Calculator'!A:A,0),0),0)</f>
        <v>0</v>
      </c>
      <c r="K4924" s="444">
        <f t="shared" ca="1" si="178"/>
        <v>-1752647662516.9656</v>
      </c>
      <c r="L4924" s="444">
        <f t="shared" ca="1" si="179"/>
        <v>-422388086666588.69</v>
      </c>
      <c r="M4924" s="460">
        <f t="shared" si="181"/>
        <v>0.05</v>
      </c>
      <c r="N4924" s="464">
        <f t="shared" si="182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80"/>
        <v>-422388086666588.69</v>
      </c>
      <c r="J4925" s="444">
        <f t="array" ref="J4925">IFERROR(INDEX('Retirement Calculator'!K:K,MATCH('Lorri 401b'!N4925,'Retirement Calculator'!A:A,0),0),0)</f>
        <v>0</v>
      </c>
      <c r="K4925" s="444">
        <f t="shared" ca="1" si="178"/>
        <v>-1759950361110.7861</v>
      </c>
      <c r="L4925" s="444">
        <f t="shared" ca="1" si="179"/>
        <v>-424148037027699.5</v>
      </c>
      <c r="M4925" s="460">
        <f t="shared" si="181"/>
        <v>0.05</v>
      </c>
      <c r="N4925" s="464">
        <f t="shared" si="182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80"/>
        <v>-424148037027699.5</v>
      </c>
      <c r="J4926" s="444">
        <f t="array" ref="J4926">IFERROR(INDEX('Retirement Calculator'!K:K,MATCH('Lorri 401b'!N4926,'Retirement Calculator'!A:A,0),0),0)</f>
        <v>0</v>
      </c>
      <c r="K4926" s="444">
        <f t="shared" ca="1" si="178"/>
        <v>-1767283487615.4146</v>
      </c>
      <c r="L4926" s="444">
        <f t="shared" ca="1" si="179"/>
        <v>-425915320515314.94</v>
      </c>
      <c r="M4926" s="460">
        <f t="shared" si="181"/>
        <v>0.05</v>
      </c>
      <c r="N4926" s="464">
        <f t="shared" si="182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80"/>
        <v>-425915320515314.94</v>
      </c>
      <c r="J4927" s="444">
        <f t="array" ref="J4927">IFERROR(INDEX('Retirement Calculator'!K:K,MATCH('Lorri 401b'!N4927,'Retirement Calculator'!A:A,0),0),0)</f>
        <v>0</v>
      </c>
      <c r="K4927" s="444">
        <f t="shared" ca="1" si="178"/>
        <v>-1774647168813.8123</v>
      </c>
      <c r="L4927" s="444">
        <f t="shared" ca="1" si="179"/>
        <v>-427689967684128.75</v>
      </c>
      <c r="M4927" s="460">
        <f t="shared" si="181"/>
        <v>0.05</v>
      </c>
      <c r="N4927" s="464">
        <f t="shared" si="182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80"/>
        <v>-427689967684128.75</v>
      </c>
      <c r="J4928" s="444">
        <f t="array" ref="J4928">IFERROR(INDEX('Retirement Calculator'!K:K,MATCH('Lorri 401b'!N4928,'Retirement Calculator'!A:A,0),0),0)</f>
        <v>0</v>
      </c>
      <c r="K4928" s="444">
        <f t="shared" ca="1" si="178"/>
        <v>-1782041532017.2031</v>
      </c>
      <c r="L4928" s="444">
        <f t="shared" ca="1" si="179"/>
        <v>-429472009216145.94</v>
      </c>
      <c r="M4928" s="460">
        <f t="shared" si="181"/>
        <v>0.05</v>
      </c>
      <c r="N4928" s="464">
        <f t="shared" si="182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80"/>
        <v>-429472009216145.94</v>
      </c>
      <c r="J4929" s="444">
        <f t="array" ref="J4929">IFERROR(INDEX('Retirement Calculator'!K:K,MATCH('Lorri 401b'!N4929,'Retirement Calculator'!A:A,0),0),0)</f>
        <v>0</v>
      </c>
      <c r="K4929" s="444">
        <f t="shared" ca="1" si="178"/>
        <v>-1789466705067.2747</v>
      </c>
      <c r="L4929" s="444">
        <f t="shared" ca="1" si="179"/>
        <v>-431261475921213.19</v>
      </c>
      <c r="M4929" s="460">
        <f t="shared" si="181"/>
        <v>0.05</v>
      </c>
      <c r="N4929" s="464">
        <f t="shared" si="182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80"/>
        <v>-431261475921213.19</v>
      </c>
      <c r="J4930" s="444">
        <f t="array" ref="J4930">IFERROR(INDEX('Retirement Calculator'!K:K,MATCH('Lorri 401b'!N4930,'Retirement Calculator'!A:A,0),0),0)</f>
        <v>0</v>
      </c>
      <c r="K4930" s="444">
        <f t="shared" ca="1" si="178"/>
        <v>-1796922816338.3882</v>
      </c>
      <c r="L4930" s="444">
        <f t="shared" ca="1" si="179"/>
        <v>-433058398737551.56</v>
      </c>
      <c r="M4930" s="460">
        <f t="shared" si="181"/>
        <v>0.05</v>
      </c>
      <c r="N4930" s="464">
        <f t="shared" si="182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80"/>
        <v>-433058398737551.56</v>
      </c>
      <c r="J4931" s="444">
        <f t="array" ref="J4931">IFERROR(INDEX('Retirement Calculator'!K:K,MATCH('Lorri 401b'!N4931,'Retirement Calculator'!A:A,0),0),0)</f>
        <v>0</v>
      </c>
      <c r="K4931" s="444">
        <f t="shared" ca="1" si="178"/>
        <v>-1804409994739.7981</v>
      </c>
      <c r="L4931" s="444">
        <f t="shared" ca="1" si="179"/>
        <v>-434862808732291.38</v>
      </c>
      <c r="M4931" s="460">
        <f t="shared" si="181"/>
        <v>0.05</v>
      </c>
      <c r="N4931" s="464">
        <f t="shared" si="182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80"/>
        <v>-434862808732291.38</v>
      </c>
      <c r="J4932" s="444">
        <f t="array" ref="J4932">IFERROR(INDEX('Retirement Calculator'!K:K,MATCH('Lorri 401b'!N4932,'Retirement Calculator'!A:A,0),0),0)</f>
        <v>0</v>
      </c>
      <c r="K4932" s="444">
        <f t="shared" ca="1" si="178"/>
        <v>-1811928369717.8806</v>
      </c>
      <c r="L4932" s="444">
        <f t="shared" ca="1" si="179"/>
        <v>-436674737102009.25</v>
      </c>
      <c r="M4932" s="460">
        <f t="shared" si="181"/>
        <v>0.05</v>
      </c>
      <c r="N4932" s="464">
        <f t="shared" si="182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80"/>
        <v>-436674737102009.25</v>
      </c>
      <c r="J4933" s="444">
        <f t="array" ref="J4933">IFERROR(INDEX('Retirement Calculator'!K:K,MATCH('Lorri 401b'!N4933,'Retirement Calculator'!A:A,0),0),0)</f>
        <v>0</v>
      </c>
      <c r="K4933" s="444">
        <f t="shared" ca="1" si="178"/>
        <v>-1819478071258.3718</v>
      </c>
      <c r="L4933" s="444">
        <f t="shared" ca="1" si="179"/>
        <v>-438494215173267.63</v>
      </c>
      <c r="M4933" s="460">
        <f t="shared" si="181"/>
        <v>0.05</v>
      </c>
      <c r="N4933" s="464">
        <f t="shared" si="182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80"/>
        <v>-438494215173267.63</v>
      </c>
      <c r="J4934" s="444">
        <f t="array" ref="J4934">IFERROR(INDEX('Retirement Calculator'!K:K,MATCH('Lorri 401b'!N4934,'Retirement Calculator'!A:A,0),0),0)</f>
        <v>0</v>
      </c>
      <c r="K4934" s="444">
        <f t="shared" ca="1" si="178"/>
        <v>-1827059229888.6147</v>
      </c>
      <c r="L4934" s="444">
        <f t="shared" ca="1" si="179"/>
        <v>-440321274403156.25</v>
      </c>
      <c r="M4934" s="460">
        <f t="shared" si="181"/>
        <v>0.05</v>
      </c>
      <c r="N4934" s="464">
        <f t="shared" si="182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80"/>
        <v>-440321274403156.25</v>
      </c>
      <c r="J4935" s="444">
        <f t="array" ref="J4935">IFERROR(INDEX('Retirement Calculator'!K:K,MATCH('Lorri 401b'!N4935,'Retirement Calculator'!A:A,0),0),0)</f>
        <v>0</v>
      </c>
      <c r="K4935" s="444">
        <f t="shared" ca="1" si="178"/>
        <v>-1834671976679.8174</v>
      </c>
      <c r="L4935" s="444">
        <f t="shared" ca="1" si="179"/>
        <v>-442155946379836.06</v>
      </c>
      <c r="M4935" s="460">
        <f t="shared" si="181"/>
        <v>0.05</v>
      </c>
      <c r="N4935" s="464">
        <f t="shared" si="182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80"/>
        <v>-442155946379836.06</v>
      </c>
      <c r="J4936" s="444">
        <f t="array" ref="J4936">IFERROR(INDEX('Retirement Calculator'!K:K,MATCH('Lorri 401b'!N4936,'Retirement Calculator'!A:A,0),0),0)</f>
        <v>0</v>
      </c>
      <c r="K4936" s="444">
        <f t="shared" ca="1" si="178"/>
        <v>-1842316443249.3169</v>
      </c>
      <c r="L4936" s="444">
        <f t="shared" ca="1" si="179"/>
        <v>-443998262823085.38</v>
      </c>
      <c r="M4936" s="460">
        <f t="shared" si="181"/>
        <v>0.05</v>
      </c>
      <c r="N4936" s="464">
        <f t="shared" si="182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80"/>
        <v>-443998262823085.38</v>
      </c>
      <c r="J4937" s="444">
        <f t="array" ref="J4937">IFERROR(INDEX('Retirement Calculator'!K:K,MATCH('Lorri 401b'!N4937,'Retirement Calculator'!A:A,0),0),0)</f>
        <v>0</v>
      </c>
      <c r="K4937" s="444">
        <f t="shared" ca="1" si="178"/>
        <v>-1849992761762.8557</v>
      </c>
      <c r="L4937" s="444">
        <f t="shared" ca="1" si="179"/>
        <v>-445848255584848.25</v>
      </c>
      <c r="M4937" s="460">
        <f t="shared" si="181"/>
        <v>0.05</v>
      </c>
      <c r="N4937" s="464">
        <f t="shared" si="182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80"/>
        <v>-445848255584848.25</v>
      </c>
      <c r="J4938" s="444">
        <f t="array" ref="J4938">IFERROR(INDEX('Retirement Calculator'!K:K,MATCH('Lorri 401b'!N4938,'Retirement Calculator'!A:A,0),0),0)</f>
        <v>0</v>
      </c>
      <c r="K4938" s="444">
        <f t="shared" ca="1" si="178"/>
        <v>-1857701064936.8677</v>
      </c>
      <c r="L4938" s="444">
        <f t="shared" ca="1" si="179"/>
        <v>-447705956649785.13</v>
      </c>
      <c r="M4938" s="460">
        <f t="shared" si="181"/>
        <v>0.05</v>
      </c>
      <c r="N4938" s="464">
        <f t="shared" si="182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80"/>
        <v>-447705956649785.13</v>
      </c>
      <c r="J4939" s="444">
        <f t="array" ref="J4939">IFERROR(INDEX('Retirement Calculator'!K:K,MATCH('Lorri 401b'!N4939,'Retirement Calculator'!A:A,0),0),0)</f>
        <v>0</v>
      </c>
      <c r="K4939" s="444">
        <f t="shared" ca="1" si="178"/>
        <v>-1865441486040.7712</v>
      </c>
      <c r="L4939" s="444">
        <f t="shared" ca="1" si="179"/>
        <v>-449571398135825.88</v>
      </c>
      <c r="M4939" s="460">
        <f t="shared" si="181"/>
        <v>0.05</v>
      </c>
      <c r="N4939" s="464">
        <f t="shared" si="182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80"/>
        <v>-449571398135825.88</v>
      </c>
      <c r="J4940" s="444">
        <f t="array" ref="J4940">IFERROR(INDEX('Retirement Calculator'!K:K,MATCH('Lorri 401b'!N4940,'Retirement Calculator'!A:A,0),0),0)</f>
        <v>0</v>
      </c>
      <c r="K4940" s="444">
        <f t="shared" ca="1" si="178"/>
        <v>-1873214158899.2744</v>
      </c>
      <c r="L4940" s="444">
        <f t="shared" ca="1" si="179"/>
        <v>-451444612294725.13</v>
      </c>
      <c r="M4940" s="460">
        <f t="shared" si="181"/>
        <v>0.05</v>
      </c>
      <c r="N4940" s="464">
        <f t="shared" si="182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80"/>
        <v>-451444612294725.13</v>
      </c>
      <c r="J4941" s="444">
        <f t="array" ref="J4941">IFERROR(INDEX('Retirement Calculator'!K:K,MATCH('Lorri 401b'!N4941,'Retirement Calculator'!A:A,0),0),0)</f>
        <v>0</v>
      </c>
      <c r="K4941" s="444">
        <f t="shared" ca="1" si="178"/>
        <v>-1881019217894.688</v>
      </c>
      <c r="L4941" s="444">
        <f t="shared" ca="1" si="179"/>
        <v>-453325631512619.81</v>
      </c>
      <c r="M4941" s="460">
        <f t="shared" si="181"/>
        <v>0.05</v>
      </c>
      <c r="N4941" s="464">
        <f t="shared" si="182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80"/>
        <v>-453325631512619.81</v>
      </c>
      <c r="J4942" s="444">
        <f t="array" ref="J4942">IFERROR(INDEX('Retirement Calculator'!K:K,MATCH('Lorri 401b'!N4942,'Retirement Calculator'!A:A,0),0),0)</f>
        <v>0</v>
      </c>
      <c r="K4942" s="444">
        <f t="shared" ca="1" si="178"/>
        <v>-1888856797969.249</v>
      </c>
      <c r="L4942" s="444">
        <f t="shared" ca="1" si="179"/>
        <v>-455214488310589.06</v>
      </c>
      <c r="M4942" s="460">
        <f t="shared" si="181"/>
        <v>0.05</v>
      </c>
      <c r="N4942" s="464">
        <f t="shared" si="182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80"/>
        <v>-455214488310589.06</v>
      </c>
      <c r="J4943" s="444">
        <f t="array" ref="J4943">IFERROR(INDEX('Retirement Calculator'!K:K,MATCH('Lorri 401b'!N4943,'Retirement Calculator'!A:A,0),0),0)</f>
        <v>0</v>
      </c>
      <c r="K4943" s="444">
        <f t="shared" ca="1" si="178"/>
        <v>-1896727034627.4541</v>
      </c>
      <c r="L4943" s="444">
        <f t="shared" ca="1" si="179"/>
        <v>-457111215345216.5</v>
      </c>
      <c r="M4943" s="460">
        <f t="shared" si="181"/>
        <v>0.05</v>
      </c>
      <c r="N4943" s="464">
        <f t="shared" si="182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80"/>
        <v>-457111215345216.5</v>
      </c>
      <c r="J4944" s="444">
        <f t="array" ref="J4944">IFERROR(INDEX('Retirement Calculator'!K:K,MATCH('Lorri 401b'!N4944,'Retirement Calculator'!A:A,0),0),0)</f>
        <v>0</v>
      </c>
      <c r="K4944" s="444">
        <f t="shared" ca="1" si="178"/>
        <v>-1904630063938.4021</v>
      </c>
      <c r="L4944" s="444">
        <f t="shared" ca="1" si="179"/>
        <v>-459015845409154.88</v>
      </c>
      <c r="M4944" s="460">
        <f t="shared" si="181"/>
        <v>0.05</v>
      </c>
      <c r="N4944" s="464">
        <f t="shared" si="182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80"/>
        <v>-459015845409154.88</v>
      </c>
      <c r="J4945" s="444">
        <f t="array" ref="J4945">IFERROR(INDEX('Retirement Calculator'!K:K,MATCH('Lorri 401b'!N4945,'Retirement Calculator'!A:A,0),0),0)</f>
        <v>0</v>
      </c>
      <c r="K4945" s="444">
        <f t="shared" ca="1" si="178"/>
        <v>-1912566022538.1453</v>
      </c>
      <c r="L4945" s="444">
        <f t="shared" ca="1" si="179"/>
        <v>-460928411431693</v>
      </c>
      <c r="M4945" s="460">
        <f t="shared" si="181"/>
        <v>0.05</v>
      </c>
      <c r="N4945" s="464">
        <f t="shared" si="182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80"/>
        <v>-460928411431693</v>
      </c>
      <c r="J4946" s="444">
        <f t="array" ref="J4946">IFERROR(INDEX('Retirement Calculator'!K:K,MATCH('Lorri 401b'!N4946,'Retirement Calculator'!A:A,0),0),0)</f>
        <v>0</v>
      </c>
      <c r="K4946" s="444">
        <f t="shared" ca="1" si="178"/>
        <v>-1920535047632.0542</v>
      </c>
      <c r="L4946" s="444">
        <f t="shared" ca="1" si="179"/>
        <v>-462848946479325.06</v>
      </c>
      <c r="M4946" s="460">
        <f t="shared" si="181"/>
        <v>0.05</v>
      </c>
      <c r="N4946" s="464">
        <f t="shared" si="182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80"/>
        <v>-462848946479325.06</v>
      </c>
      <c r="J4947" s="444">
        <f t="array" ref="J4947">IFERROR(INDEX('Retirement Calculator'!K:K,MATCH('Lorri 401b'!N4947,'Retirement Calculator'!A:A,0),0),0)</f>
        <v>0</v>
      </c>
      <c r="K4947" s="444">
        <f t="shared" ca="1" si="178"/>
        <v>-1928537276997.1877</v>
      </c>
      <c r="L4947" s="444">
        <f t="shared" ca="1" si="179"/>
        <v>-464777483756322.25</v>
      </c>
      <c r="M4947" s="460">
        <f t="shared" si="181"/>
        <v>0.05</v>
      </c>
      <c r="N4947" s="464">
        <f t="shared" si="182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80"/>
        <v>-464777483756322.25</v>
      </c>
      <c r="J4948" s="444">
        <f t="array" ref="J4948">IFERROR(INDEX('Retirement Calculator'!K:K,MATCH('Lorri 401b'!N4948,'Retirement Calculator'!A:A,0),0),0)</f>
        <v>0</v>
      </c>
      <c r="K4948" s="444">
        <f t="shared" ca="1" si="178"/>
        <v>-1936572848984.676</v>
      </c>
      <c r="L4948" s="444">
        <f t="shared" ca="1" si="179"/>
        <v>-466714056605306.94</v>
      </c>
      <c r="M4948" s="460">
        <f t="shared" si="181"/>
        <v>0.05</v>
      </c>
      <c r="N4948" s="464">
        <f t="shared" si="182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80"/>
        <v>-466714056605306.94</v>
      </c>
      <c r="J4949" s="444">
        <f t="array" ref="J4949">IFERROR(INDEX('Retirement Calculator'!K:K,MATCH('Lorri 401b'!N4949,'Retirement Calculator'!A:A,0),0),0)</f>
        <v>0</v>
      </c>
      <c r="K4949" s="444">
        <f t="shared" ca="1" si="178"/>
        <v>-1944641902522.1125</v>
      </c>
      <c r="L4949" s="444">
        <f t="shared" ca="1" si="179"/>
        <v>-468658698507829.06</v>
      </c>
      <c r="M4949" s="460">
        <f t="shared" si="181"/>
        <v>0.05</v>
      </c>
      <c r="N4949" s="464">
        <f t="shared" si="182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80"/>
        <v>-468658698507829.06</v>
      </c>
      <c r="J4950" s="444">
        <f t="array" ref="J4950">IFERROR(INDEX('Retirement Calculator'!K:K,MATCH('Lorri 401b'!N4950,'Retirement Calculator'!A:A,0),0),0)</f>
        <v>0</v>
      </c>
      <c r="K4950" s="444">
        <f t="shared" ca="1" si="178"/>
        <v>-1952744577115.9543</v>
      </c>
      <c r="L4950" s="444">
        <f t="shared" ca="1" si="179"/>
        <v>-470611443084945</v>
      </c>
      <c r="M4950" s="460">
        <f t="shared" si="181"/>
        <v>0.05</v>
      </c>
      <c r="N4950" s="464">
        <f t="shared" si="182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80"/>
        <v>-470611443084945</v>
      </c>
      <c r="J4951" s="444">
        <f t="array" ref="J4951">IFERROR(INDEX('Retirement Calculator'!K:K,MATCH('Lorri 401b'!N4951,'Retirement Calculator'!A:A,0),0),0)</f>
        <v>0</v>
      </c>
      <c r="K4951" s="444">
        <f t="shared" ca="1" si="178"/>
        <v>-1960881012853.9375</v>
      </c>
      <c r="L4951" s="444">
        <f t="shared" ca="1" si="179"/>
        <v>-472572324097798.94</v>
      </c>
      <c r="M4951" s="460">
        <f t="shared" si="181"/>
        <v>0.05</v>
      </c>
      <c r="N4951" s="464">
        <f t="shared" si="182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80"/>
        <v>-472572324097798.94</v>
      </c>
      <c r="J4952" s="444">
        <f t="array" ref="J4952">IFERROR(INDEX('Retirement Calculator'!K:K,MATCH('Lorri 401b'!N4952,'Retirement Calculator'!A:A,0),0),0)</f>
        <v>0</v>
      </c>
      <c r="K4952" s="444">
        <f t="shared" ca="1" si="178"/>
        <v>-1969051350407.4956</v>
      </c>
      <c r="L4952" s="444">
        <f t="shared" ca="1" si="179"/>
        <v>-474541375448206.44</v>
      </c>
      <c r="M4952" s="460">
        <f t="shared" si="181"/>
        <v>0.05</v>
      </c>
      <c r="N4952" s="464">
        <f t="shared" si="182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80"/>
        <v>-474541375448206.44</v>
      </c>
      <c r="J4953" s="444">
        <f t="array" ref="J4953">IFERROR(INDEX('Retirement Calculator'!K:K,MATCH('Lorri 401b'!N4953,'Retirement Calculator'!A:A,0),0),0)</f>
        <v>0</v>
      </c>
      <c r="K4953" s="444">
        <f t="shared" ca="1" si="178"/>
        <v>-1977255731034.1934</v>
      </c>
      <c r="L4953" s="444">
        <f t="shared" ca="1" si="179"/>
        <v>-476518631179240.63</v>
      </c>
      <c r="M4953" s="460">
        <f t="shared" si="181"/>
        <v>0.05</v>
      </c>
      <c r="N4953" s="464">
        <f t="shared" si="182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80"/>
        <v>-476518631179240.63</v>
      </c>
      <c r="J4954" s="444">
        <f t="array" ref="J4954">IFERROR(INDEX('Retirement Calculator'!K:K,MATCH('Lorri 401b'!N4954,'Retirement Calculator'!A:A,0),0),0)</f>
        <v>0</v>
      </c>
      <c r="K4954" s="444">
        <f t="shared" ca="1" si="178"/>
        <v>-1985494296580.1692</v>
      </c>
      <c r="L4954" s="444">
        <f t="shared" ca="1" si="179"/>
        <v>-478504125475820.81</v>
      </c>
      <c r="M4954" s="460">
        <f t="shared" si="181"/>
        <v>0.05</v>
      </c>
      <c r="N4954" s="464">
        <f t="shared" si="182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80"/>
        <v>-478504125475820.81</v>
      </c>
      <c r="J4955" s="444">
        <f t="array" ref="J4955">IFERROR(INDEX('Retirement Calculator'!K:K,MATCH('Lorri 401b'!N4955,'Retirement Calculator'!A:A,0),0),0)</f>
        <v>0</v>
      </c>
      <c r="K4955" s="444">
        <f t="shared" ca="1" si="178"/>
        <v>-1993767189482.5864</v>
      </c>
      <c r="L4955" s="444">
        <f t="shared" ca="1" si="179"/>
        <v>-480497892665303.38</v>
      </c>
      <c r="M4955" s="460">
        <f t="shared" si="181"/>
        <v>0.05</v>
      </c>
      <c r="N4955" s="464">
        <f t="shared" si="182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80"/>
        <v>-480497892665303.38</v>
      </c>
      <c r="J4956" s="444">
        <f t="array" ref="J4956">IFERROR(INDEX('Retirement Calculator'!K:K,MATCH('Lorri 401b'!N4956,'Retirement Calculator'!A:A,0),0),0)</f>
        <v>0</v>
      </c>
      <c r="K4956" s="444">
        <f t="shared" ca="1" si="178"/>
        <v>-2002074552772.0974</v>
      </c>
      <c r="L4956" s="444">
        <f t="shared" ca="1" si="179"/>
        <v>-482499967218075.5</v>
      </c>
      <c r="M4956" s="460">
        <f t="shared" si="181"/>
        <v>0.05</v>
      </c>
      <c r="N4956" s="464">
        <f t="shared" si="182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80"/>
        <v>-482499967218075.5</v>
      </c>
      <c r="J4957" s="444">
        <f t="array" ref="J4957">IFERROR(INDEX('Retirement Calculator'!K:K,MATCH('Lorri 401b'!N4957,'Retirement Calculator'!A:A,0),0),0)</f>
        <v>0</v>
      </c>
      <c r="K4957" s="444">
        <f t="shared" ca="1" si="178"/>
        <v>-2010416530075.3145</v>
      </c>
      <c r="L4957" s="444">
        <f t="shared" ca="1" si="179"/>
        <v>-484510383748150.81</v>
      </c>
      <c r="M4957" s="460">
        <f t="shared" si="181"/>
        <v>0.05</v>
      </c>
      <c r="N4957" s="464">
        <f t="shared" si="182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80"/>
        <v>-484510383748150.81</v>
      </c>
      <c r="J4958" s="444">
        <f t="array" ref="J4958">IFERROR(INDEX('Retirement Calculator'!K:K,MATCH('Lorri 401b'!N4958,'Retirement Calculator'!A:A,0),0),0)</f>
        <v>0</v>
      </c>
      <c r="K4958" s="444">
        <f t="shared" ca="1" si="178"/>
        <v>-2018793265617.2949</v>
      </c>
      <c r="L4958" s="444">
        <f t="shared" ca="1" si="179"/>
        <v>-486529177013768.13</v>
      </c>
      <c r="M4958" s="460">
        <f t="shared" si="181"/>
        <v>0.05</v>
      </c>
      <c r="N4958" s="464">
        <f t="shared" si="182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80"/>
        <v>-486529177013768.13</v>
      </c>
      <c r="J4959" s="444">
        <f t="array" ref="J4959">IFERROR(INDEX('Retirement Calculator'!K:K,MATCH('Lorri 401b'!N4959,'Retirement Calculator'!A:A,0),0),0)</f>
        <v>0</v>
      </c>
      <c r="K4959" s="444">
        <f t="shared" ca="1" si="178"/>
        <v>-2027204904224.0342</v>
      </c>
      <c r="L4959" s="444">
        <f t="shared" ca="1" si="179"/>
        <v>-488556381917992.19</v>
      </c>
      <c r="M4959" s="460">
        <f t="shared" si="181"/>
        <v>0.05</v>
      </c>
      <c r="N4959" s="464">
        <f t="shared" si="182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80"/>
        <v>-488556381917992.19</v>
      </c>
      <c r="J4960" s="444">
        <f t="array" ref="J4960">IFERROR(INDEX('Retirement Calculator'!K:K,MATCH('Lorri 401b'!N4960,'Retirement Calculator'!A:A,0),0),0)</f>
        <v>0</v>
      </c>
      <c r="K4960" s="444">
        <f t="shared" ca="1" si="178"/>
        <v>-2035651591324.9675</v>
      </c>
      <c r="L4960" s="444">
        <f t="shared" ca="1" si="179"/>
        <v>-490592033509317.13</v>
      </c>
      <c r="M4960" s="460">
        <f t="shared" si="181"/>
        <v>0.05</v>
      </c>
      <c r="N4960" s="464">
        <f t="shared" si="182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80"/>
        <v>-490592033509317.13</v>
      </c>
      <c r="J4961" s="444">
        <f t="array" ref="J4961">IFERROR(INDEX('Retirement Calculator'!K:K,MATCH('Lorri 401b'!N4961,'Retirement Calculator'!A:A,0),0),0)</f>
        <v>0</v>
      </c>
      <c r="K4961" s="444">
        <f t="shared" ca="1" si="178"/>
        <v>-2044133472955.4883</v>
      </c>
      <c r="L4961" s="444">
        <f t="shared" ca="1" si="179"/>
        <v>-492636166982272.63</v>
      </c>
      <c r="M4961" s="460">
        <f t="shared" si="181"/>
        <v>0.05</v>
      </c>
      <c r="N4961" s="464">
        <f t="shared" si="182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80"/>
        <v>-492636166982272.63</v>
      </c>
      <c r="J4962" s="444">
        <f t="array" ref="J4962">IFERROR(INDEX('Retirement Calculator'!K:K,MATCH('Lorri 401b'!N4962,'Retirement Calculator'!A:A,0),0),0)</f>
        <v>0</v>
      </c>
      <c r="K4962" s="444">
        <f t="shared" ca="1" si="178"/>
        <v>-2052650695759.4695</v>
      </c>
      <c r="L4962" s="444">
        <f t="shared" ca="1" si="179"/>
        <v>-494688817678032.13</v>
      </c>
      <c r="M4962" s="460">
        <f t="shared" si="181"/>
        <v>0.05</v>
      </c>
      <c r="N4962" s="464">
        <f t="shared" si="182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80"/>
        <v>-494688817678032.13</v>
      </c>
      <c r="J4963" s="444">
        <f t="array" ref="J4963">IFERROR(INDEX('Retirement Calculator'!K:K,MATCH('Lorri 401b'!N4963,'Retirement Calculator'!A:A,0),0),0)</f>
        <v>0</v>
      </c>
      <c r="K4963" s="444">
        <f t="shared" ca="1" si="178"/>
        <v>-2061203406991.8008</v>
      </c>
      <c r="L4963" s="444">
        <f t="shared" ca="1" si="179"/>
        <v>-496750021085023.94</v>
      </c>
      <c r="M4963" s="460">
        <f t="shared" si="181"/>
        <v>0.05</v>
      </c>
      <c r="N4963" s="464">
        <f t="shared" si="182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80"/>
        <v>-496750021085023.94</v>
      </c>
      <c r="J4964" s="444">
        <f t="array" ref="J4964">IFERROR(INDEX('Retirement Calculator'!K:K,MATCH('Lorri 401b'!N4964,'Retirement Calculator'!A:A,0),0),0)</f>
        <v>0</v>
      </c>
      <c r="K4964" s="444">
        <f t="shared" ca="1" si="178"/>
        <v>-2069791754520.9331</v>
      </c>
      <c r="L4964" s="444">
        <f t="shared" ca="1" si="179"/>
        <v>-498819812839544.88</v>
      </c>
      <c r="M4964" s="460">
        <f t="shared" si="181"/>
        <v>0.05</v>
      </c>
      <c r="N4964" s="464">
        <f t="shared" si="182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80"/>
        <v>-498819812839544.88</v>
      </c>
      <c r="J4965" s="444">
        <f t="array" ref="J4965">IFERROR(INDEX('Retirement Calculator'!K:K,MATCH('Lorri 401b'!N4965,'Retirement Calculator'!A:A,0),0),0)</f>
        <v>0</v>
      </c>
      <c r="K4965" s="444">
        <f t="shared" ca="1" si="178"/>
        <v>-2078415886831.4368</v>
      </c>
      <c r="L4965" s="444">
        <f t="shared" ca="1" si="179"/>
        <v>-500898228726376.31</v>
      </c>
      <c r="M4965" s="460">
        <f t="shared" si="181"/>
        <v>0.05</v>
      </c>
      <c r="N4965" s="464">
        <f t="shared" si="182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80"/>
        <v>-500898228726376.31</v>
      </c>
      <c r="J4966" s="444">
        <f t="array" ref="J4966">IFERROR(INDEX('Retirement Calculator'!K:K,MATCH('Lorri 401b'!N4966,'Retirement Calculator'!A:A,0),0),0)</f>
        <v>0</v>
      </c>
      <c r="K4966" s="444">
        <f t="shared" ca="1" si="178"/>
        <v>-2087075953026.5676</v>
      </c>
      <c r="L4966" s="444">
        <f t="shared" ca="1" si="179"/>
        <v>-502985304679402.88</v>
      </c>
      <c r="M4966" s="460">
        <f t="shared" si="181"/>
        <v>0.05</v>
      </c>
      <c r="N4966" s="464">
        <f t="shared" si="182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80"/>
        <v>-502985304679402.88</v>
      </c>
      <c r="J4967" s="444">
        <f t="array" ref="J4967">IFERROR(INDEX('Retirement Calculator'!K:K,MATCH('Lorri 401b'!N4967,'Retirement Calculator'!A:A,0),0),0)</f>
        <v>0</v>
      </c>
      <c r="K4967" s="444">
        <f t="shared" ca="1" si="178"/>
        <v>-2095772102830.8455</v>
      </c>
      <c r="L4967" s="444">
        <f t="shared" ca="1" si="179"/>
        <v>-505081076782233.75</v>
      </c>
      <c r="M4967" s="460">
        <f t="shared" si="181"/>
        <v>0.05</v>
      </c>
      <c r="N4967" s="464">
        <f t="shared" si="182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80"/>
        <v>-505081076782233.75</v>
      </c>
      <c r="J4968" s="444">
        <f t="array" ref="J4968">IFERROR(INDEX('Retirement Calculator'!K:K,MATCH('Lorri 401b'!N4968,'Retirement Calculator'!A:A,0),0),0)</f>
        <v>0</v>
      </c>
      <c r="K4968" s="444">
        <f t="shared" ca="1" si="178"/>
        <v>-2104504486592.6406</v>
      </c>
      <c r="L4968" s="444">
        <f t="shared" ca="1" si="179"/>
        <v>-507185581268826.38</v>
      </c>
      <c r="M4968" s="460">
        <f t="shared" si="181"/>
        <v>0.05</v>
      </c>
      <c r="N4968" s="464">
        <f t="shared" si="182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80"/>
        <v>-507185581268826.38</v>
      </c>
      <c r="J4969" s="444">
        <f t="array" ref="J4969">IFERROR(INDEX('Retirement Calculator'!K:K,MATCH('Lorri 401b'!N4969,'Retirement Calculator'!A:A,0),0),0)</f>
        <v>0</v>
      </c>
      <c r="K4969" s="444">
        <f t="shared" ca="1" si="178"/>
        <v>-2113273255286.7766</v>
      </c>
      <c r="L4969" s="444">
        <f t="shared" ca="1" si="179"/>
        <v>-509298854524113.13</v>
      </c>
      <c r="M4969" s="460">
        <f t="shared" si="181"/>
        <v>0.05</v>
      </c>
      <c r="N4969" s="464">
        <f t="shared" si="182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80"/>
        <v>-509298854524113.13</v>
      </c>
      <c r="J4970" s="444">
        <f t="array" ref="J4970">IFERROR(INDEX('Retirement Calculator'!K:K,MATCH('Lorri 401b'!N4970,'Retirement Calculator'!A:A,0),0),0)</f>
        <v>0</v>
      </c>
      <c r="K4970" s="444">
        <f t="shared" ca="1" si="178"/>
        <v>-2122078560517.1379</v>
      </c>
      <c r="L4970" s="444">
        <f t="shared" ca="1" si="179"/>
        <v>-511420933084630.25</v>
      </c>
      <c r="M4970" s="460">
        <f t="shared" si="181"/>
        <v>0.05</v>
      </c>
      <c r="N4970" s="464">
        <f t="shared" si="182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80"/>
        <v>-511420933084630.25</v>
      </c>
      <c r="J4971" s="444">
        <f t="array" ref="J4971">IFERROR(INDEX('Retirement Calculator'!K:K,MATCH('Lorri 401b'!N4971,'Retirement Calculator'!A:A,0),0),0)</f>
        <v>0</v>
      </c>
      <c r="K4971" s="444">
        <f t="shared" ca="1" si="178"/>
        <v>-2130920554519.2927</v>
      </c>
      <c r="L4971" s="444">
        <f t="shared" ca="1" si="179"/>
        <v>-513551853639149.56</v>
      </c>
      <c r="M4971" s="460">
        <f t="shared" si="181"/>
        <v>0.05</v>
      </c>
      <c r="N4971" s="464">
        <f t="shared" si="182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80"/>
        <v>-513551853639149.56</v>
      </c>
      <c r="J4972" s="444">
        <f t="array" ref="J4972">IFERROR(INDEX('Retirement Calculator'!K:K,MATCH('Lorri 401b'!N4972,'Retirement Calculator'!A:A,0),0),0)</f>
        <v>0</v>
      </c>
      <c r="K4972" s="444">
        <f t="shared" ca="1" si="178"/>
        <v>-2139799390163.123</v>
      </c>
      <c r="L4972" s="444">
        <f t="shared" ca="1" si="179"/>
        <v>-515691653029312.69</v>
      </c>
      <c r="M4972" s="460">
        <f t="shared" si="181"/>
        <v>0.05</v>
      </c>
      <c r="N4972" s="464">
        <f t="shared" si="182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80"/>
        <v>-515691653029312.69</v>
      </c>
      <c r="J4973" s="444">
        <f t="array" ref="J4973">IFERROR(INDEX('Retirement Calculator'!K:K,MATCH('Lorri 401b'!N4973,'Retirement Calculator'!A:A,0),0),0)</f>
        <v>0</v>
      </c>
      <c r="K4973" s="444">
        <f t="shared" ca="1" si="178"/>
        <v>-2148715220955.4692</v>
      </c>
      <c r="L4973" s="444">
        <f t="shared" ca="1" si="179"/>
        <v>-517840368250268.19</v>
      </c>
      <c r="M4973" s="460">
        <f t="shared" si="181"/>
        <v>0.05</v>
      </c>
      <c r="N4973" s="464">
        <f t="shared" si="182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80"/>
        <v>-517840368250268.19</v>
      </c>
      <c r="J4974" s="444">
        <f t="array" ref="J4974">IFERROR(INDEX('Retirement Calculator'!K:K,MATCH('Lorri 401b'!N4974,'Retirement Calculator'!A:A,0),0),0)</f>
        <v>0</v>
      </c>
      <c r="K4974" s="444">
        <f t="shared" ca="1" si="178"/>
        <v>-2157668201042.7839</v>
      </c>
      <c r="L4974" s="444">
        <f t="shared" ca="1" si="179"/>
        <v>-519998036451311</v>
      </c>
      <c r="M4974" s="460">
        <f t="shared" si="181"/>
        <v>0.05</v>
      </c>
      <c r="N4974" s="464">
        <f t="shared" si="182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80"/>
        <v>-519998036451311</v>
      </c>
      <c r="J4975" s="444">
        <f t="array" ref="J4975">IFERROR(INDEX('Retirement Calculator'!K:K,MATCH('Lorri 401b'!N4975,'Retirement Calculator'!A:A,0),0),0)</f>
        <v>0</v>
      </c>
      <c r="K4975" s="444">
        <f t="shared" ca="1" si="178"/>
        <v>-2166658485213.7959</v>
      </c>
      <c r="L4975" s="444">
        <f t="shared" ca="1" si="179"/>
        <v>-522164694936524.81</v>
      </c>
      <c r="M4975" s="460">
        <f t="shared" si="181"/>
        <v>0.05</v>
      </c>
      <c r="N4975" s="464">
        <f t="shared" si="182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80"/>
        <v>-522164694936524.81</v>
      </c>
      <c r="J4976" s="444">
        <f t="array" ref="J4976">IFERROR(INDEX('Retirement Calculator'!K:K,MATCH('Lorri 401b'!N4976,'Retirement Calculator'!A:A,0),0),0)</f>
        <v>0</v>
      </c>
      <c r="K4976" s="444">
        <f t="shared" ca="1" si="178"/>
        <v>-2175686228902.1868</v>
      </c>
      <c r="L4976" s="444">
        <f t="shared" ca="1" si="179"/>
        <v>-524340381165427</v>
      </c>
      <c r="M4976" s="460">
        <f t="shared" si="181"/>
        <v>0.05</v>
      </c>
      <c r="N4976" s="464">
        <f t="shared" si="182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80"/>
        <v>-524340381165427</v>
      </c>
      <c r="J4977" s="444">
        <f t="array" ref="J4977">IFERROR(INDEX('Retirement Calculator'!K:K,MATCH('Lorri 401b'!N4977,'Retirement Calculator'!A:A,0),0),0)</f>
        <v>0</v>
      </c>
      <c r="K4977" s="444">
        <f t="shared" ca="1" si="178"/>
        <v>-2184751588189.2793</v>
      </c>
      <c r="L4977" s="444">
        <f t="shared" ca="1" si="179"/>
        <v>-526525132753616.25</v>
      </c>
      <c r="M4977" s="460">
        <f t="shared" si="181"/>
        <v>0.05</v>
      </c>
      <c r="N4977" s="464">
        <f t="shared" si="182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80"/>
        <v>-526525132753616.25</v>
      </c>
      <c r="J4978" s="444">
        <f t="array" ref="J4978">IFERROR(INDEX('Retirement Calculator'!K:K,MATCH('Lorri 401b'!N4978,'Retirement Calculator'!A:A,0),0),0)</f>
        <v>0</v>
      </c>
      <c r="K4978" s="444">
        <f t="shared" ca="1" si="178"/>
        <v>-2193854719806.7344</v>
      </c>
      <c r="L4978" s="444">
        <f t="shared" ca="1" si="179"/>
        <v>-528718987473423</v>
      </c>
      <c r="M4978" s="460">
        <f t="shared" si="181"/>
        <v>0.05</v>
      </c>
      <c r="N4978" s="464">
        <f t="shared" si="182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80"/>
        <v>-528718987473423</v>
      </c>
      <c r="J4979" s="444">
        <f t="array" ref="J4979">IFERROR(INDEX('Retirement Calculator'!K:K,MATCH('Lorri 401b'!N4979,'Retirement Calculator'!A:A,0),0),0)</f>
        <v>0</v>
      </c>
      <c r="K4979" s="444">
        <f t="shared" ca="1" si="178"/>
        <v>-2202995781139.2627</v>
      </c>
      <c r="L4979" s="444">
        <f t="shared" ca="1" si="179"/>
        <v>-530921983254562.25</v>
      </c>
      <c r="M4979" s="460">
        <f t="shared" si="181"/>
        <v>0.05</v>
      </c>
      <c r="N4979" s="464">
        <f t="shared" si="182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80"/>
        <v>-530921983254562.25</v>
      </c>
      <c r="J4980" s="444">
        <f t="array" ref="J4980">IFERROR(INDEX('Retirement Calculator'!K:K,MATCH('Lorri 401b'!N4980,'Retirement Calculator'!A:A,0),0),0)</f>
        <v>0</v>
      </c>
      <c r="K4980" s="444">
        <f t="shared" ca="1" si="178"/>
        <v>-2212174930227.3428</v>
      </c>
      <c r="L4980" s="444">
        <f t="shared" ca="1" si="179"/>
        <v>-533134158184789.56</v>
      </c>
      <c r="M4980" s="460">
        <f t="shared" si="181"/>
        <v>0.05</v>
      </c>
      <c r="N4980" s="464">
        <f t="shared" si="182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80"/>
        <v>-533134158184789.56</v>
      </c>
      <c r="J4981" s="444">
        <f t="array" ref="J4981">IFERROR(INDEX('Retirement Calculator'!K:K,MATCH('Lorri 401b'!N4981,'Retirement Calculator'!A:A,0),0),0)</f>
        <v>0</v>
      </c>
      <c r="K4981" s="444">
        <f t="shared" ca="1" si="178"/>
        <v>-2221392325769.9565</v>
      </c>
      <c r="L4981" s="444">
        <f t="shared" ca="1" si="179"/>
        <v>-535355550510559.5</v>
      </c>
      <c r="M4981" s="460">
        <f t="shared" si="181"/>
        <v>0.05</v>
      </c>
      <c r="N4981" s="464">
        <f t="shared" si="182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80"/>
        <v>-535355550510559.5</v>
      </c>
      <c r="J4982" s="444">
        <f t="array" ref="J4982">IFERROR(INDEX('Retirement Calculator'!K:K,MATCH('Lorri 401b'!N4982,'Retirement Calculator'!A:A,0),0),0)</f>
        <v>0</v>
      </c>
      <c r="K4982" s="444">
        <f t="shared" ca="1" si="178"/>
        <v>-2230648127127.3311</v>
      </c>
      <c r="L4982" s="444">
        <f t="shared" ca="1" si="179"/>
        <v>-537586198637686.81</v>
      </c>
      <c r="M4982" s="460">
        <f t="shared" si="181"/>
        <v>0.05</v>
      </c>
      <c r="N4982" s="464">
        <f t="shared" si="182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80"/>
        <v>-537586198637686.81</v>
      </c>
      <c r="J4983" s="444">
        <f t="array" ref="J4983">IFERROR(INDEX('Retirement Calculator'!K:K,MATCH('Lorri 401b'!N4983,'Retirement Calculator'!A:A,0),0),0)</f>
        <v>0</v>
      </c>
      <c r="K4983" s="444">
        <f t="shared" ca="1" si="178"/>
        <v>-2239942494323.6953</v>
      </c>
      <c r="L4983" s="444">
        <f t="shared" ca="1" si="179"/>
        <v>-539826141132010.5</v>
      </c>
      <c r="M4983" s="460">
        <f t="shared" si="181"/>
        <v>0.05</v>
      </c>
      <c r="N4983" s="464">
        <f t="shared" si="182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80"/>
        <v>-539826141132010.5</v>
      </c>
      <c r="J4984" s="444">
        <f t="array" ref="J4984">IFERROR(INDEX('Retirement Calculator'!K:K,MATCH('Lorri 401b'!N4984,'Retirement Calculator'!A:A,0),0),0)</f>
        <v>0</v>
      </c>
      <c r="K4984" s="444">
        <f t="shared" ca="1" si="178"/>
        <v>-2249275588050.0439</v>
      </c>
      <c r="L4984" s="444">
        <f t="shared" ca="1" si="179"/>
        <v>-542075416720060.56</v>
      </c>
      <c r="M4984" s="460">
        <f t="shared" si="181"/>
        <v>0.05</v>
      </c>
      <c r="N4984" s="464">
        <f t="shared" si="182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80"/>
        <v>-542075416720060.56</v>
      </c>
      <c r="J4985" s="444">
        <f t="array" ref="J4985">IFERROR(INDEX('Retirement Calculator'!K:K,MATCH('Lorri 401b'!N4985,'Retirement Calculator'!A:A,0),0),0)</f>
        <v>0</v>
      </c>
      <c r="K4985" s="444">
        <f t="shared" ca="1" si="178"/>
        <v>-2258647569666.9189</v>
      </c>
      <c r="L4985" s="444">
        <f t="shared" ca="1" si="179"/>
        <v>-544334064289727.5</v>
      </c>
      <c r="M4985" s="460">
        <f t="shared" si="181"/>
        <v>0.05</v>
      </c>
      <c r="N4985" s="464">
        <f t="shared" si="182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80"/>
        <v>-544334064289727.5</v>
      </c>
      <c r="J4986" s="444">
        <f t="array" ref="J4986">IFERROR(INDEX('Retirement Calculator'!K:K,MATCH('Lorri 401b'!N4986,'Retirement Calculator'!A:A,0),0),0)</f>
        <v>0</v>
      </c>
      <c r="K4986" s="444">
        <f t="shared" ca="1" si="178"/>
        <v>-2268058601207.1978</v>
      </c>
      <c r="L4986" s="444">
        <f t="shared" ca="1" si="179"/>
        <v>-546602122890934.69</v>
      </c>
      <c r="M4986" s="460">
        <f t="shared" si="181"/>
        <v>0.05</v>
      </c>
      <c r="N4986" s="464">
        <f t="shared" si="182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80"/>
        <v>-546602122890934.69</v>
      </c>
      <c r="J4987" s="444">
        <f t="array" ref="J4987">IFERROR(INDEX('Retirement Calculator'!K:K,MATCH('Lorri 401b'!N4987,'Retirement Calculator'!A:A,0),0),0)</f>
        <v>0</v>
      </c>
      <c r="K4987" s="444">
        <f t="shared" ca="1" si="178"/>
        <v>-2277508845378.8945</v>
      </c>
      <c r="L4987" s="444">
        <f t="shared" ca="1" si="179"/>
        <v>-548879631736313.56</v>
      </c>
      <c r="M4987" s="460">
        <f t="shared" si="181"/>
        <v>0.05</v>
      </c>
      <c r="N4987" s="464">
        <f t="shared" si="182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80"/>
        <v>-548879631736313.56</v>
      </c>
      <c r="J4988" s="444">
        <f t="array" ref="J4988">IFERROR(INDEX('Retirement Calculator'!K:K,MATCH('Lorri 401b'!N4988,'Retirement Calculator'!A:A,0),0),0)</f>
        <v>0</v>
      </c>
      <c r="K4988" s="444">
        <f t="shared" ca="1" si="178"/>
        <v>-2286998465567.9731</v>
      </c>
      <c r="L4988" s="444">
        <f t="shared" ca="1" si="179"/>
        <v>-551166630201881.56</v>
      </c>
      <c r="M4988" s="460">
        <f t="shared" si="181"/>
        <v>0.05</v>
      </c>
      <c r="N4988" s="464">
        <f t="shared" si="182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80"/>
        <v>-551166630201881.56</v>
      </c>
      <c r="J4989" s="444">
        <f t="array" ref="J4989">IFERROR(INDEX('Retirement Calculator'!K:K,MATCH('Lorri 401b'!N4989,'Retirement Calculator'!A:A,0),0),0)</f>
        <v>0</v>
      </c>
      <c r="K4989" s="444">
        <f t="shared" ca="1" si="178"/>
        <v>-2296527625841.1733</v>
      </c>
      <c r="L4989" s="444">
        <f t="shared" ca="1" si="179"/>
        <v>-553463157827722.75</v>
      </c>
      <c r="M4989" s="460">
        <f t="shared" si="181"/>
        <v>0.05</v>
      </c>
      <c r="N4989" s="464">
        <f t="shared" si="182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80"/>
        <v>-553463157827722.75</v>
      </c>
      <c r="J4990" s="444">
        <f t="array" ref="J4990">IFERROR(INDEX('Retirement Calculator'!K:K,MATCH('Lorri 401b'!N4990,'Retirement Calculator'!A:A,0),0),0)</f>
        <v>0</v>
      </c>
      <c r="K4990" s="444">
        <f t="shared" ca="1" si="178"/>
        <v>-2306096490948.8447</v>
      </c>
      <c r="L4990" s="444">
        <f t="shared" ca="1" si="179"/>
        <v>-555769254318671.63</v>
      </c>
      <c r="M4990" s="460">
        <f t="shared" si="181"/>
        <v>0.05</v>
      </c>
      <c r="N4990" s="464">
        <f t="shared" si="182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80"/>
        <v>-555769254318671.63</v>
      </c>
      <c r="J4991" s="444">
        <f t="array" ref="J4991">IFERROR(INDEX('Retirement Calculator'!K:K,MATCH('Lorri 401b'!N4991,'Retirement Calculator'!A:A,0),0),0)</f>
        <v>0</v>
      </c>
      <c r="K4991" s="444">
        <f t="shared" ca="1" si="178"/>
        <v>-2315705226327.7988</v>
      </c>
      <c r="L4991" s="444">
        <f t="shared" ca="1" si="179"/>
        <v>-558084959544999.44</v>
      </c>
      <c r="M4991" s="460">
        <f t="shared" si="181"/>
        <v>0.05</v>
      </c>
      <c r="N4991" s="464">
        <f t="shared" si="182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80"/>
        <v>-558084959544999.44</v>
      </c>
      <c r="J4992" s="444">
        <f t="array" ref="J4992">IFERROR(INDEX('Retirement Calculator'!K:K,MATCH('Lorri 401b'!N4992,'Retirement Calculator'!A:A,0),0),0)</f>
        <v>0</v>
      </c>
      <c r="K4992" s="444">
        <f t="shared" ca="1" si="178"/>
        <v>-2325353998104.1641</v>
      </c>
      <c r="L4992" s="444">
        <f t="shared" ca="1" si="179"/>
        <v>-560410313543103.63</v>
      </c>
      <c r="M4992" s="460">
        <f t="shared" si="181"/>
        <v>0.05</v>
      </c>
      <c r="N4992" s="464">
        <f t="shared" si="182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80"/>
        <v>-560410313543103.63</v>
      </c>
      <c r="J4993" s="444">
        <f t="array" ref="J4993">IFERROR(INDEX('Retirement Calculator'!K:K,MATCH('Lorri 401b'!N4993,'Retirement Calculator'!A:A,0),0),0)</f>
        <v>0</v>
      </c>
      <c r="K4993" s="444">
        <f t="shared" ca="1" si="178"/>
        <v>-2335042973096.2651</v>
      </c>
      <c r="L4993" s="444">
        <f t="shared" ca="1" si="179"/>
        <v>-562745356516199.88</v>
      </c>
      <c r="M4993" s="460">
        <f t="shared" si="181"/>
        <v>0.05</v>
      </c>
      <c r="N4993" s="464">
        <f t="shared" si="182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80"/>
        <v>-562745356516199.88</v>
      </c>
      <c r="J4994" s="444">
        <f t="array" ref="J4994">IFERROR(INDEX('Retirement Calculator'!K:K,MATCH('Lorri 401b'!N4994,'Retirement Calculator'!A:A,0),0),0)</f>
        <v>0</v>
      </c>
      <c r="K4994" s="444">
        <f t="shared" ca="1" si="178"/>
        <v>-2344772318817.4995</v>
      </c>
      <c r="L4994" s="444">
        <f t="shared" ca="1" si="179"/>
        <v>-565090128835017.38</v>
      </c>
      <c r="M4994" s="460">
        <f t="shared" si="181"/>
        <v>0.05</v>
      </c>
      <c r="N4994" s="464">
        <f t="shared" si="182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80"/>
        <v>-565090128835017.38</v>
      </c>
      <c r="J4995" s="444">
        <f t="array" ref="J4995">IFERROR(INDEX('Retirement Calculator'!K:K,MATCH('Lorri 401b'!N4995,'Retirement Calculator'!A:A,0),0),0)</f>
        <v>0</v>
      </c>
      <c r="K4995" s="444">
        <f t="shared" ca="1" si="178"/>
        <v>-2354542203479.2393</v>
      </c>
      <c r="L4995" s="444">
        <f t="shared" ca="1" si="179"/>
        <v>-567444671038496.63</v>
      </c>
      <c r="M4995" s="460">
        <f t="shared" si="181"/>
        <v>0.05</v>
      </c>
      <c r="N4995" s="464">
        <f t="shared" si="182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80"/>
        <v>-567444671038496.63</v>
      </c>
      <c r="J4996" s="444">
        <f t="array" ref="J4996">IFERROR(INDEX('Retirement Calculator'!K:K,MATCH('Lorri 401b'!N4996,'Retirement Calculator'!A:A,0),0),0)</f>
        <v>0</v>
      </c>
      <c r="K4996" s="444">
        <f t="shared" ca="1" si="178"/>
        <v>-2364352795993.7358</v>
      </c>
      <c r="L4996" s="444">
        <f t="shared" ca="1" si="179"/>
        <v>-569809023834490.38</v>
      </c>
      <c r="M4996" s="460">
        <f t="shared" si="181"/>
        <v>0.05</v>
      </c>
      <c r="N4996" s="464">
        <f t="shared" si="182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80"/>
        <v>-569809023834490.38</v>
      </c>
      <c r="J4997" s="444">
        <f t="array" ref="J4997">IFERROR(INDEX('Retirement Calculator'!K:K,MATCH('Lorri 401b'!N4997,'Retirement Calculator'!A:A,0),0),0)</f>
        <v>0</v>
      </c>
      <c r="K4997" s="444">
        <f t="shared" ca="1" si="178"/>
        <v>-2374204265977.043</v>
      </c>
      <c r="L4997" s="444">
        <f t="shared" ca="1" si="179"/>
        <v>-572183228100467.38</v>
      </c>
      <c r="M4997" s="460">
        <f t="shared" si="181"/>
        <v>0.05</v>
      </c>
      <c r="N4997" s="464">
        <f t="shared" si="182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80"/>
        <v>-572183228100467.38</v>
      </c>
      <c r="J4998" s="444">
        <f t="array" ref="J4998">IFERROR(INDEX('Retirement Calculator'!K:K,MATCH('Lorri 401b'!N4998,'Retirement Calculator'!A:A,0),0),0)</f>
        <v>0</v>
      </c>
      <c r="K4998" s="444">
        <f t="shared" ca="1" si="178"/>
        <v>-2384096783751.9473</v>
      </c>
      <c r="L4998" s="444">
        <f t="shared" ca="1" si="179"/>
        <v>-574567324884219.38</v>
      </c>
      <c r="M4998" s="460">
        <f t="shared" si="181"/>
        <v>0.05</v>
      </c>
      <c r="N4998" s="464">
        <f t="shared" si="182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80"/>
        <v>-574567324884219.38</v>
      </c>
      <c r="J4999" s="444">
        <f t="array" ref="J4999">IFERROR(INDEX('Retirement Calculator'!K:K,MATCH('Lorri 401b'!N4999,'Retirement Calculator'!A:A,0),0),0)</f>
        <v>0</v>
      </c>
      <c r="K4999" s="444">
        <f t="shared" ca="1" si="178"/>
        <v>-2394030520350.9141</v>
      </c>
      <c r="L4999" s="444">
        <f t="shared" ca="1" si="179"/>
        <v>-576961355404570.25</v>
      </c>
      <c r="M4999" s="460">
        <f t="shared" si="181"/>
        <v>0.05</v>
      </c>
      <c r="N4999" s="464">
        <f t="shared" si="182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80"/>
        <v>-576961355404570.25</v>
      </c>
      <c r="J5000" s="444">
        <f t="array" ref="J5000">IFERROR(INDEX('Retirement Calculator'!K:K,MATCH('Lorri 401b'!N5000,'Retirement Calculator'!A:A,0),0),0)</f>
        <v>0</v>
      </c>
      <c r="K5000" s="444">
        <f t="shared" ca="1" si="178"/>
        <v>-2404005647519.0425</v>
      </c>
      <c r="L5000" s="444">
        <f t="shared" ca="1" si="179"/>
        <v>-579365361052089.25</v>
      </c>
      <c r="M5000" s="460">
        <f t="shared" si="181"/>
        <v>0.05</v>
      </c>
      <c r="N5000" s="464">
        <f t="shared" si="182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80"/>
        <v>-579365361052089.25</v>
      </c>
      <c r="J5001" s="444">
        <f t="array" ref="J5001">IFERROR(INDEX('Retirement Calculator'!K:K,MATCH('Lorri 401b'!N5001,'Retirement Calculator'!A:A,0),0),0)</f>
        <v>0</v>
      </c>
      <c r="K5001" s="444">
        <f t="shared" ca="1" si="178"/>
        <v>-2414022337717.0386</v>
      </c>
      <c r="L5001" s="444">
        <f t="shared" ca="1" si="179"/>
        <v>-581779383389806.25</v>
      </c>
      <c r="M5001" s="460">
        <f t="shared" si="181"/>
        <v>0.05</v>
      </c>
      <c r="N5001" s="464">
        <f t="shared" si="182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80"/>
        <v>-581779383389806.25</v>
      </c>
      <c r="J5002" s="444">
        <f t="array" ref="J5002">IFERROR(INDEX('Retirement Calculator'!K:K,MATCH('Lorri 401b'!N5002,'Retirement Calculator'!A:A,0),0),0)</f>
        <v>0</v>
      </c>
      <c r="K5002" s="444">
        <f t="shared" ca="1" si="178"/>
        <v>-2424080764124.1929</v>
      </c>
      <c r="L5002" s="444">
        <f t="shared" ca="1" si="179"/>
        <v>-584203464153930.5</v>
      </c>
      <c r="M5002" s="460">
        <f t="shared" si="181"/>
        <v>0.05</v>
      </c>
      <c r="N5002" s="464">
        <f t="shared" si="182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80"/>
        <v>-584203464153930.5</v>
      </c>
      <c r="J5003" s="444">
        <f t="array" ref="J5003">IFERROR(INDEX('Retirement Calculator'!K:K,MATCH('Lorri 401b'!N5003,'Retirement Calculator'!A:A,0),0),0)</f>
        <v>0</v>
      </c>
      <c r="K5003" s="444">
        <f t="shared" ca="1" si="178"/>
        <v>-2434181100641.377</v>
      </c>
      <c r="L5003" s="444">
        <f t="shared" ca="1" si="179"/>
        <v>-586637645254571.88</v>
      </c>
      <c r="M5003" s="460">
        <f t="shared" si="181"/>
        <v>0.05</v>
      </c>
      <c r="N5003" s="464">
        <f t="shared" si="182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80"/>
        <v>-586637645254571.88</v>
      </c>
      <c r="J5004" s="444">
        <f t="array" ref="J5004">IFERROR(INDEX('Retirement Calculator'!K:K,MATCH('Lorri 401b'!N5004,'Retirement Calculator'!A:A,0),0),0)</f>
        <v>0</v>
      </c>
      <c r="K5004" s="444">
        <f t="shared" ca="1" si="178"/>
        <v>-2444323521894.0493</v>
      </c>
      <c r="L5004" s="444">
        <f t="shared" ca="1" si="179"/>
        <v>-589081968776465.88</v>
      </c>
      <c r="M5004" s="460">
        <f t="shared" si="181"/>
        <v>0.05</v>
      </c>
      <c r="N5004" s="464">
        <f t="shared" si="182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80"/>
        <v>-589081968776465.88</v>
      </c>
      <c r="J5005" s="444">
        <f t="array" ref="J5005">IFERROR(INDEX('Retirement Calculator'!K:K,MATCH('Lorri 401b'!N5005,'Retirement Calculator'!A:A,0),0),0)</f>
        <v>0</v>
      </c>
      <c r="K5005" s="444">
        <f t="shared" ca="1" si="178"/>
        <v>-2454508203235.2744</v>
      </c>
      <c r="L5005" s="444">
        <f t="shared" ca="1" si="179"/>
        <v>-591536476979701.13</v>
      </c>
      <c r="M5005" s="460">
        <f t="shared" si="181"/>
        <v>0.05</v>
      </c>
      <c r="N5005" s="464">
        <f t="shared" si="182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80"/>
        <v>-591536476979701.13</v>
      </c>
      <c r="J5006" s="444">
        <f t="array" ref="J5006">IFERROR(INDEX('Retirement Calculator'!K:K,MATCH('Lorri 401b'!N5006,'Retirement Calculator'!A:A,0),0),0)</f>
        <v>0</v>
      </c>
      <c r="K5006" s="444">
        <f t="shared" ca="1" si="178"/>
        <v>-2464735320748.7549</v>
      </c>
      <c r="L5006" s="444">
        <f t="shared" ca="1" si="179"/>
        <v>-594001212300449.88</v>
      </c>
      <c r="M5006" s="460">
        <f t="shared" si="181"/>
        <v>0.05</v>
      </c>
      <c r="N5006" s="464">
        <f t="shared" si="182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80"/>
        <v>-594001212300449.88</v>
      </c>
      <c r="J5007" s="444">
        <f t="array" ref="J5007">IFERROR(INDEX('Retirement Calculator'!K:K,MATCH('Lorri 401b'!N5007,'Retirement Calculator'!A:A,0),0),0)</f>
        <v>0</v>
      </c>
      <c r="K5007" s="444">
        <f t="shared" ca="1" si="178"/>
        <v>-2475005051251.8745</v>
      </c>
      <c r="L5007" s="444">
        <f t="shared" ca="1" si="179"/>
        <v>-596476217351701.75</v>
      </c>
      <c r="M5007" s="460">
        <f t="shared" si="181"/>
        <v>0.05</v>
      </c>
      <c r="N5007" s="464">
        <f t="shared" si="182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80"/>
        <v>-596476217351701.75</v>
      </c>
      <c r="J5008" s="444">
        <f t="array" ref="J5008">IFERROR(INDEX('Retirement Calculator'!K:K,MATCH('Lorri 401b'!N5008,'Retirement Calculator'!A:A,0),0),0)</f>
        <v>0</v>
      </c>
      <c r="K5008" s="444">
        <f t="shared" ca="1" si="178"/>
        <v>-2485317572298.7573</v>
      </c>
      <c r="L5008" s="444">
        <f t="shared" ca="1" si="179"/>
        <v>-598961534924000.5</v>
      </c>
      <c r="M5008" s="460">
        <f t="shared" si="181"/>
        <v>0.05</v>
      </c>
      <c r="N5008" s="464">
        <f t="shared" si="182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80"/>
        <v>-598961534924000.5</v>
      </c>
      <c r="J5009" s="444">
        <f t="array" ref="J5009">IFERROR(INDEX('Retirement Calculator'!K:K,MATCH('Lorri 401b'!N5009,'Retirement Calculator'!A:A,0),0),0)</f>
        <v>0</v>
      </c>
      <c r="K5009" s="444">
        <f t="shared" ca="1" si="178"/>
        <v>-2495673062183.3354</v>
      </c>
      <c r="L5009" s="444">
        <f t="shared" ca="1" si="179"/>
        <v>-601457207986183.88</v>
      </c>
      <c r="M5009" s="460">
        <f t="shared" si="181"/>
        <v>0.05</v>
      </c>
      <c r="N5009" s="464">
        <f t="shared" si="182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80"/>
        <v>-601457207986183.88</v>
      </c>
      <c r="J5010" s="444">
        <f t="array" ref="J5010">IFERROR(INDEX('Retirement Calculator'!K:K,MATCH('Lorri 401b'!N5010,'Retirement Calculator'!A:A,0),0),0)</f>
        <v>0</v>
      </c>
      <c r="K5010" s="444">
        <f t="shared" ca="1" si="178"/>
        <v>-2506071699942.4326</v>
      </c>
      <c r="L5010" s="444">
        <f t="shared" ca="1" si="179"/>
        <v>-603963279686126.25</v>
      </c>
      <c r="M5010" s="460">
        <f t="shared" si="181"/>
        <v>0.05</v>
      </c>
      <c r="N5010" s="464">
        <f t="shared" si="182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80"/>
        <v>-603963279686126.25</v>
      </c>
      <c r="J5011" s="444">
        <f t="array" ref="J5011">IFERROR(INDEX('Retirement Calculator'!K:K,MATCH('Lorri 401b'!N5011,'Retirement Calculator'!A:A,0),0),0)</f>
        <v>0</v>
      </c>
      <c r="K5011" s="444">
        <f t="shared" ca="1" si="178"/>
        <v>-2516513665358.8594</v>
      </c>
      <c r="L5011" s="444">
        <f t="shared" ca="1" si="179"/>
        <v>-606479793351485.13</v>
      </c>
      <c r="M5011" s="460">
        <f t="shared" si="181"/>
        <v>0.05</v>
      </c>
      <c r="N5011" s="464">
        <f t="shared" si="182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80"/>
        <v>-606479793351485.13</v>
      </c>
      <c r="J5012" s="444">
        <f t="array" ref="J5012">IFERROR(INDEX('Retirement Calculator'!K:K,MATCH('Lorri 401b'!N5012,'Retirement Calculator'!A:A,0),0),0)</f>
        <v>0</v>
      </c>
      <c r="K5012" s="444">
        <f t="shared" ca="1" si="178"/>
        <v>-2526999138964.5215</v>
      </c>
      <c r="L5012" s="444">
        <f t="shared" ca="1" si="179"/>
        <v>-609006792490449.63</v>
      </c>
      <c r="M5012" s="460">
        <f t="shared" si="181"/>
        <v>0.05</v>
      </c>
      <c r="N5012" s="464">
        <f t="shared" si="182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80"/>
        <v>-609006792490449.63</v>
      </c>
      <c r="J5013" s="444">
        <f t="array" ref="J5013">IFERROR(INDEX('Retirement Calculator'!K:K,MATCH('Lorri 401b'!N5013,'Retirement Calculator'!A:A,0),0),0)</f>
        <v>0</v>
      </c>
      <c r="K5013" s="444">
        <f t="shared" ca="1" si="178"/>
        <v>-2537528302043.54</v>
      </c>
      <c r="L5013" s="444">
        <f t="shared" ca="1" si="179"/>
        <v>-611544320792493.13</v>
      </c>
      <c r="M5013" s="460">
        <f t="shared" si="181"/>
        <v>0.05</v>
      </c>
      <c r="N5013" s="464">
        <f t="shared" si="182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80"/>
        <v>-611544320792493.13</v>
      </c>
      <c r="J5014" s="444">
        <f t="array" ref="J5014">IFERROR(INDEX('Retirement Calculator'!K:K,MATCH('Lorri 401b'!N5014,'Retirement Calculator'!A:A,0),0),0)</f>
        <v>0</v>
      </c>
      <c r="K5014" s="444">
        <f t="shared" ca="1" si="178"/>
        <v>-2548101336635.3882</v>
      </c>
      <c r="L5014" s="444">
        <f t="shared" ca="1" si="179"/>
        <v>-614092422129128.5</v>
      </c>
      <c r="M5014" s="460">
        <f t="shared" si="181"/>
        <v>0.05</v>
      </c>
      <c r="N5014" s="464">
        <f t="shared" si="182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80"/>
        <v>-614092422129128.5</v>
      </c>
      <c r="J5015" s="444">
        <f t="array" ref="J5015">IFERROR(INDEX('Retirement Calculator'!K:K,MATCH('Lorri 401b'!N5015,'Retirement Calculator'!A:A,0),0),0)</f>
        <v>0</v>
      </c>
      <c r="K5015" s="444">
        <f t="shared" ca="1" si="178"/>
        <v>-2558718425538.0352</v>
      </c>
      <c r="L5015" s="444">
        <f t="shared" ca="1" si="179"/>
        <v>-616651140554666.5</v>
      </c>
      <c r="M5015" s="460">
        <f t="shared" si="181"/>
        <v>0.05</v>
      </c>
      <c r="N5015" s="464">
        <f t="shared" si="182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80"/>
        <v>-616651140554666.5</v>
      </c>
      <c r="J5016" s="444">
        <f t="array" ref="J5016">IFERROR(INDEX('Retirement Calculator'!K:K,MATCH('Lorri 401b'!N5016,'Retirement Calculator'!A:A,0),0),0)</f>
        <v>0</v>
      </c>
      <c r="K5016" s="444">
        <f t="shared" ca="1" si="178"/>
        <v>-2569379752311.1104</v>
      </c>
      <c r="L5016" s="444">
        <f t="shared" ca="1" si="179"/>
        <v>-619220520306977.63</v>
      </c>
      <c r="M5016" s="460">
        <f t="shared" si="181"/>
        <v>0.05</v>
      </c>
      <c r="N5016" s="464">
        <f t="shared" si="182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80"/>
        <v>-619220520306977.63</v>
      </c>
      <c r="J5017" s="444">
        <f t="array" ref="J5017">IFERROR(INDEX('Retirement Calculator'!K:K,MATCH('Lorri 401b'!N5017,'Retirement Calculator'!A:A,0),0),0)</f>
        <v>0</v>
      </c>
      <c r="K5017" s="444">
        <f t="shared" ca="1" si="178"/>
        <v>-2580085501279.0732</v>
      </c>
      <c r="L5017" s="444">
        <f t="shared" ca="1" si="179"/>
        <v>-621800605808256.75</v>
      </c>
      <c r="M5017" s="460">
        <f t="shared" si="181"/>
        <v>0.05</v>
      </c>
      <c r="N5017" s="464">
        <f t="shared" si="182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80"/>
        <v>-621800605808256.75</v>
      </c>
      <c r="J5018" s="444">
        <f t="array" ref="J5018">IFERROR(INDEX('Retirement Calculator'!K:K,MATCH('Lorri 401b'!N5018,'Retirement Calculator'!A:A,0),0),0)</f>
        <v>0</v>
      </c>
      <c r="K5018" s="444">
        <f t="shared" ca="1" si="178"/>
        <v>-2590835857534.4033</v>
      </c>
      <c r="L5018" s="444">
        <f t="shared" ca="1" si="179"/>
        <v>-624391441665791.13</v>
      </c>
      <c r="M5018" s="460">
        <f t="shared" si="181"/>
        <v>0.05</v>
      </c>
      <c r="N5018" s="464">
        <f t="shared" si="182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80"/>
        <v>-624391441665791.13</v>
      </c>
      <c r="J5019" s="444">
        <f t="array" ref="J5019">IFERROR(INDEX('Retirement Calculator'!K:K,MATCH('Lorri 401b'!N5019,'Retirement Calculator'!A:A,0),0),0)</f>
        <v>0</v>
      </c>
      <c r="K5019" s="444">
        <f t="shared" ca="1" si="178"/>
        <v>-2601631006940.7964</v>
      </c>
      <c r="L5019" s="444">
        <f t="shared" ca="1" si="179"/>
        <v>-626993072672731.88</v>
      </c>
      <c r="M5019" s="460">
        <f t="shared" si="181"/>
        <v>0.05</v>
      </c>
      <c r="N5019" s="464">
        <f t="shared" si="182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80"/>
        <v>-626993072672731.88</v>
      </c>
      <c r="J5020" s="444">
        <f t="array" ref="J5020">IFERROR(INDEX('Retirement Calculator'!K:K,MATCH('Lorri 401b'!N5020,'Retirement Calculator'!A:A,0),0),0)</f>
        <v>0</v>
      </c>
      <c r="K5020" s="444">
        <f t="shared" ca="1" si="178"/>
        <v>-2612471136136.3828</v>
      </c>
      <c r="L5020" s="444">
        <f t="shared" ca="1" si="179"/>
        <v>-629605543808868.25</v>
      </c>
      <c r="M5020" s="460">
        <f t="shared" si="181"/>
        <v>0.05</v>
      </c>
      <c r="N5020" s="464">
        <f t="shared" si="182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80"/>
        <v>-629605543808868.25</v>
      </c>
      <c r="J5021" s="444">
        <f t="array" ref="J5021">IFERROR(INDEX('Retirement Calculator'!K:K,MATCH('Lorri 401b'!N5021,'Retirement Calculator'!A:A,0),0),0)</f>
        <v>0</v>
      </c>
      <c r="K5021" s="444">
        <f t="shared" ca="1" si="178"/>
        <v>-2623356432536.9512</v>
      </c>
      <c r="L5021" s="444">
        <f t="shared" ca="1" si="179"/>
        <v>-632228900241405.25</v>
      </c>
      <c r="M5021" s="460">
        <f t="shared" si="181"/>
        <v>0.05</v>
      </c>
      <c r="N5021" s="464">
        <f t="shared" si="182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80"/>
        <v>-632228900241405.25</v>
      </c>
      <c r="J5022" s="444">
        <f t="array" ref="J5022">IFERROR(INDEX('Retirement Calculator'!K:K,MATCH('Lorri 401b'!N5022,'Retirement Calculator'!A:A,0),0),0)</f>
        <v>0</v>
      </c>
      <c r="K5022" s="444">
        <f t="shared" ca="1" si="178"/>
        <v>-2634287084339.1885</v>
      </c>
      <c r="L5022" s="444">
        <f t="shared" ca="1" si="179"/>
        <v>-634863187325744.5</v>
      </c>
      <c r="M5022" s="460">
        <f t="shared" si="181"/>
        <v>0.05</v>
      </c>
      <c r="N5022" s="464">
        <f t="shared" si="182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80"/>
        <v>-634863187325744.5</v>
      </c>
      <c r="J5023" s="444">
        <f t="array" ref="J5023">IFERROR(INDEX('Retirement Calculator'!K:K,MATCH('Lorri 401b'!N5023,'Retirement Calculator'!A:A,0),0),0)</f>
        <v>0</v>
      </c>
      <c r="K5023" s="444">
        <f t="shared" ca="1" si="178"/>
        <v>-2645263280523.9355</v>
      </c>
      <c r="L5023" s="444">
        <f t="shared" ca="1" si="179"/>
        <v>-637508450606268.38</v>
      </c>
      <c r="M5023" s="460">
        <f t="shared" si="181"/>
        <v>0.05</v>
      </c>
      <c r="N5023" s="464">
        <f t="shared" si="182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80"/>
        <v>-637508450606268.38</v>
      </c>
      <c r="J5024" s="444">
        <f t="array" ref="J5024">IFERROR(INDEX('Retirement Calculator'!K:K,MATCH('Lorri 401b'!N5024,'Retirement Calculator'!A:A,0),0),0)</f>
        <v>0</v>
      </c>
      <c r="K5024" s="444">
        <f t="shared" ca="1" si="178"/>
        <v>-2656285210859.4517</v>
      </c>
      <c r="L5024" s="444">
        <f t="shared" ca="1" si="179"/>
        <v>-640164735817127.88</v>
      </c>
      <c r="M5024" s="460">
        <f t="shared" si="181"/>
        <v>0.05</v>
      </c>
      <c r="N5024" s="464">
        <f t="shared" si="182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80"/>
        <v>-640164735817127.88</v>
      </c>
      <c r="J5025" s="444">
        <f t="array" ref="J5025">IFERROR(INDEX('Retirement Calculator'!K:K,MATCH('Lorri 401b'!N5025,'Retirement Calculator'!A:A,0),0),0)</f>
        <v>0</v>
      </c>
      <c r="K5025" s="444">
        <f t="shared" ca="1" si="178"/>
        <v>-2667353065904.6992</v>
      </c>
      <c r="L5025" s="444">
        <f t="shared" ca="1" si="179"/>
        <v>-642832088883032.63</v>
      </c>
      <c r="M5025" s="460">
        <f t="shared" si="181"/>
        <v>0.05</v>
      </c>
      <c r="N5025" s="464">
        <f t="shared" si="182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80"/>
        <v>-642832088883032.63</v>
      </c>
      <c r="J5026" s="444">
        <f t="array" ref="J5026">IFERROR(INDEX('Retirement Calculator'!K:K,MATCH('Lorri 401b'!N5026,'Retirement Calculator'!A:A,0),0),0)</f>
        <v>0</v>
      </c>
      <c r="K5026" s="444">
        <f t="shared" ca="1" si="178"/>
        <v>-2678467037012.6357</v>
      </c>
      <c r="L5026" s="444">
        <f t="shared" ca="1" si="179"/>
        <v>-645510555920045.25</v>
      </c>
      <c r="M5026" s="460">
        <f t="shared" si="181"/>
        <v>0.05</v>
      </c>
      <c r="N5026" s="464">
        <f t="shared" si="182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80"/>
        <v>-645510555920045.25</v>
      </c>
      <c r="J5027" s="444">
        <f t="array" ref="J5027">IFERROR(INDEX('Retirement Calculator'!K:K,MATCH('Lorri 401b'!N5027,'Retirement Calculator'!A:A,0),0),0)</f>
        <v>0</v>
      </c>
      <c r="K5027" s="444">
        <f t="shared" ca="1" si="178"/>
        <v>-2689627316333.522</v>
      </c>
      <c r="L5027" s="444">
        <f t="shared" ca="1" si="179"/>
        <v>-648200183236378.75</v>
      </c>
      <c r="M5027" s="460">
        <f t="shared" si="181"/>
        <v>0.05</v>
      </c>
      <c r="N5027" s="464">
        <f t="shared" si="182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80"/>
        <v>-648200183236378.75</v>
      </c>
      <c r="J5028" s="444">
        <f t="array" ref="J5028">IFERROR(INDEX('Retirement Calculator'!K:K,MATCH('Lorri 401b'!N5028,'Retirement Calculator'!A:A,0),0),0)</f>
        <v>0</v>
      </c>
      <c r="K5028" s="444">
        <f t="shared" ca="1" si="178"/>
        <v>-2700834096818.2446</v>
      </c>
      <c r="L5028" s="444">
        <f t="shared" ca="1" si="179"/>
        <v>-650901017333197</v>
      </c>
      <c r="M5028" s="460">
        <f t="shared" si="181"/>
        <v>0.05</v>
      </c>
      <c r="N5028" s="464">
        <f t="shared" si="182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80"/>
        <v>-650901017333197</v>
      </c>
      <c r="J5029" s="444">
        <f t="array" ref="J5029">IFERROR(INDEX('Retirement Calculator'!K:K,MATCH('Lorri 401b'!N5029,'Retirement Calculator'!A:A,0),0),0)</f>
        <v>0</v>
      </c>
      <c r="K5029" s="444">
        <f t="shared" ca="1" si="178"/>
        <v>-2712087572221.6543</v>
      </c>
      <c r="L5029" s="444">
        <f t="shared" ca="1" si="179"/>
        <v>-653613104905418.63</v>
      </c>
      <c r="M5029" s="460">
        <f t="shared" si="181"/>
        <v>0.05</v>
      </c>
      <c r="N5029" s="464">
        <f t="shared" si="182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80"/>
        <v>-653613104905418.63</v>
      </c>
      <c r="J5030" s="444">
        <f t="array" ref="J5030">IFERROR(INDEX('Retirement Calculator'!K:K,MATCH('Lorri 401b'!N5030,'Retirement Calculator'!A:A,0),0),0)</f>
        <v>0</v>
      </c>
      <c r="K5030" s="444">
        <f t="shared" ca="1" si="178"/>
        <v>-2723387937105.9111</v>
      </c>
      <c r="L5030" s="444">
        <f t="shared" ca="1" si="179"/>
        <v>-656336492842524.5</v>
      </c>
      <c r="M5030" s="460">
        <f t="shared" si="181"/>
        <v>0.05</v>
      </c>
      <c r="N5030" s="464">
        <f t="shared" si="182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80"/>
        <v>-656336492842524.5</v>
      </c>
      <c r="J5031" s="444">
        <f t="array" ref="J5031">IFERROR(INDEX('Retirement Calculator'!K:K,MATCH('Lorri 401b'!N5031,'Retirement Calculator'!A:A,0),0),0)</f>
        <v>0</v>
      </c>
      <c r="K5031" s="444">
        <f t="shared" ca="1" si="178"/>
        <v>-2734735386843.8521</v>
      </c>
      <c r="L5031" s="444">
        <f t="shared" ca="1" si="179"/>
        <v>-659071228229368.38</v>
      </c>
      <c r="M5031" s="460">
        <f t="shared" si="181"/>
        <v>0.05</v>
      </c>
      <c r="N5031" s="464">
        <f t="shared" si="182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80"/>
        <v>-659071228229368.38</v>
      </c>
      <c r="J5032" s="444">
        <f t="array" ref="J5032">IFERROR(INDEX('Retirement Calculator'!K:K,MATCH('Lorri 401b'!N5032,'Retirement Calculator'!A:A,0),0),0)</f>
        <v>0</v>
      </c>
      <c r="K5032" s="444">
        <f t="shared" ca="1" si="178"/>
        <v>-2746130117622.3682</v>
      </c>
      <c r="L5032" s="444">
        <f t="shared" ca="1" si="179"/>
        <v>-661817358346990.75</v>
      </c>
      <c r="M5032" s="460">
        <f t="shared" si="181"/>
        <v>0.05</v>
      </c>
      <c r="N5032" s="464">
        <f t="shared" si="182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80"/>
        <v>-661817358346990.75</v>
      </c>
      <c r="J5033" s="444">
        <f t="array" ref="J5033">IFERROR(INDEX('Retirement Calculator'!K:K,MATCH('Lorri 401b'!N5033,'Retirement Calculator'!A:A,0),0),0)</f>
        <v>0</v>
      </c>
      <c r="K5033" s="444">
        <f t="shared" ca="1" si="178"/>
        <v>-2757572326445.7949</v>
      </c>
      <c r="L5033" s="444">
        <f t="shared" ca="1" si="179"/>
        <v>-664574930673436.5</v>
      </c>
      <c r="M5033" s="460">
        <f t="shared" si="181"/>
        <v>0.05</v>
      </c>
      <c r="N5033" s="464">
        <f t="shared" si="182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80"/>
        <v>-664574930673436.5</v>
      </c>
      <c r="J5034" s="444">
        <f t="array" ref="J5034">IFERROR(INDEX('Retirement Calculator'!K:K,MATCH('Lorri 401b'!N5034,'Retirement Calculator'!A:A,0),0),0)</f>
        <v>0</v>
      </c>
      <c r="K5034" s="444">
        <f t="shared" ca="1" si="178"/>
        <v>-2769062211139.3188</v>
      </c>
      <c r="L5034" s="444">
        <f t="shared" ca="1" si="179"/>
        <v>-667343992884575.88</v>
      </c>
      <c r="M5034" s="460">
        <f t="shared" si="181"/>
        <v>0.05</v>
      </c>
      <c r="N5034" s="464">
        <f t="shared" si="182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80"/>
        <v>-667343992884575.88</v>
      </c>
      <c r="J5035" s="444">
        <f t="array" ref="J5035">IFERROR(INDEX('Retirement Calculator'!K:K,MATCH('Lorri 401b'!N5035,'Retirement Calculator'!A:A,0),0),0)</f>
        <v>0</v>
      </c>
      <c r="K5035" s="444">
        <f t="shared" ca="1" si="178"/>
        <v>-2780599970352.3994</v>
      </c>
      <c r="L5035" s="444">
        <f t="shared" ca="1" si="179"/>
        <v>-670124592854928.25</v>
      </c>
      <c r="M5035" s="460">
        <f t="shared" si="181"/>
        <v>0.05</v>
      </c>
      <c r="N5035" s="464">
        <f t="shared" si="182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80"/>
        <v>-670124592854928.25</v>
      </c>
      <c r="J5036" s="444">
        <f t="array" ref="J5036">IFERROR(INDEX('Retirement Calculator'!K:K,MATCH('Lorri 401b'!N5036,'Retirement Calculator'!A:A,0),0),0)</f>
        <v>0</v>
      </c>
      <c r="K5036" s="444">
        <f t="shared" ca="1" si="178"/>
        <v>-2792185803562.2012</v>
      </c>
      <c r="L5036" s="444">
        <f t="shared" ca="1" si="179"/>
        <v>-672916778658490.5</v>
      </c>
      <c r="M5036" s="460">
        <f t="shared" si="181"/>
        <v>0.05</v>
      </c>
      <c r="N5036" s="464">
        <f t="shared" si="182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80"/>
        <v>-672916778658490.5</v>
      </c>
      <c r="J5037" s="444">
        <f t="array" ref="J5037">IFERROR(INDEX('Retirement Calculator'!K:K,MATCH('Lorri 401b'!N5037,'Retirement Calculator'!A:A,0),0),0)</f>
        <v>0</v>
      </c>
      <c r="K5037" s="444">
        <f t="shared" ca="1" si="178"/>
        <v>-2803819911077.0439</v>
      </c>
      <c r="L5037" s="444">
        <f t="shared" ca="1" si="179"/>
        <v>-675720598569567.5</v>
      </c>
      <c r="M5037" s="460">
        <f t="shared" si="181"/>
        <v>0.05</v>
      </c>
      <c r="N5037" s="464">
        <f t="shared" si="182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80"/>
        <v>-675720598569567.5</v>
      </c>
      <c r="J5038" s="444">
        <f t="array" ref="J5038">IFERROR(INDEX('Retirement Calculator'!K:K,MATCH('Lorri 401b'!N5038,'Retirement Calculator'!A:A,0),0),0)</f>
        <v>0</v>
      </c>
      <c r="K5038" s="444">
        <f t="shared" ca="1" si="178"/>
        <v>-2815502494039.8647</v>
      </c>
      <c r="L5038" s="444">
        <f t="shared" ca="1" si="179"/>
        <v>-678536101063607.38</v>
      </c>
      <c r="M5038" s="460">
        <f t="shared" si="181"/>
        <v>0.05</v>
      </c>
      <c r="N5038" s="464">
        <f t="shared" si="182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80"/>
        <v>-678536101063607.38</v>
      </c>
      <c r="J5039" s="444">
        <f t="array" ref="J5039">IFERROR(INDEX('Retirement Calculator'!K:K,MATCH('Lorri 401b'!N5039,'Retirement Calculator'!A:A,0),0),0)</f>
        <v>0</v>
      </c>
      <c r="K5039" s="444">
        <f t="shared" ca="1" si="178"/>
        <v>-2827233754431.6973</v>
      </c>
      <c r="L5039" s="444">
        <f t="shared" ca="1" si="179"/>
        <v>-681363334818039.13</v>
      </c>
      <c r="M5039" s="460">
        <f t="shared" si="181"/>
        <v>0.05</v>
      </c>
      <c r="N5039" s="464">
        <f t="shared" si="182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80"/>
        <v>-681363334818039.13</v>
      </c>
      <c r="J5040" s="444">
        <f t="array" ref="J5040">IFERROR(INDEX('Retirement Calculator'!K:K,MATCH('Lorri 401b'!N5040,'Retirement Calculator'!A:A,0),0),0)</f>
        <v>0</v>
      </c>
      <c r="K5040" s="444">
        <f t="shared" ca="1" si="178"/>
        <v>-2839013895075.1631</v>
      </c>
      <c r="L5040" s="444">
        <f t="shared" ca="1" si="179"/>
        <v>-684202348713114.25</v>
      </c>
      <c r="M5040" s="460">
        <f t="shared" si="181"/>
        <v>0.05</v>
      </c>
      <c r="N5040" s="464">
        <f t="shared" si="182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80"/>
        <v>-684202348713114.25</v>
      </c>
      <c r="J5041" s="444">
        <f t="array" ref="J5041">IFERROR(INDEX('Retirement Calculator'!K:K,MATCH('Lorri 401b'!N5041,'Retirement Calculator'!A:A,0),0),0)</f>
        <v>0</v>
      </c>
      <c r="K5041" s="444">
        <f t="shared" ca="1" si="178"/>
        <v>-2850843119637.9761</v>
      </c>
      <c r="L5041" s="444">
        <f t="shared" ca="1" si="179"/>
        <v>-687053191832752.25</v>
      </c>
      <c r="M5041" s="460">
        <f t="shared" si="181"/>
        <v>0.05</v>
      </c>
      <c r="N5041" s="464">
        <f t="shared" si="182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80"/>
        <v>-687053191832752.25</v>
      </c>
      <c r="J5042" s="444">
        <f t="array" ref="J5042">IFERROR(INDEX('Retirement Calculator'!K:K,MATCH('Lorri 401b'!N5042,'Retirement Calculator'!A:A,0),0),0)</f>
        <v>0</v>
      </c>
      <c r="K5042" s="444">
        <f t="shared" ca="1" si="178"/>
        <v>-2862721632636.4678</v>
      </c>
      <c r="L5042" s="444">
        <f t="shared" ca="1" si="179"/>
        <v>-689915913465388.75</v>
      </c>
      <c r="M5042" s="460">
        <f t="shared" si="181"/>
        <v>0.05</v>
      </c>
      <c r="N5042" s="464">
        <f t="shared" si="182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80"/>
        <v>-689915913465388.75</v>
      </c>
      <c r="J5043" s="444">
        <f t="array" ref="J5043">IFERROR(INDEX('Retirement Calculator'!K:K,MATCH('Lorri 401b'!N5043,'Retirement Calculator'!A:A,0),0),0)</f>
        <v>0</v>
      </c>
      <c r="K5043" s="444">
        <f t="shared" ca="1" si="178"/>
        <v>-2874649639439.1196</v>
      </c>
      <c r="L5043" s="444">
        <f t="shared" ca="1" si="179"/>
        <v>-692790563104827.88</v>
      </c>
      <c r="M5043" s="460">
        <f t="shared" si="181"/>
        <v>0.05</v>
      </c>
      <c r="N5043" s="464">
        <f t="shared" si="182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80"/>
        <v>-692790563104827.88</v>
      </c>
      <c r="J5044" s="444">
        <f t="array" ref="J5044">IFERROR(INDEX('Retirement Calculator'!K:K,MATCH('Lorri 401b'!N5044,'Retirement Calculator'!A:A,0),0),0)</f>
        <v>0</v>
      </c>
      <c r="K5044" s="444">
        <f t="shared" ca="1" si="178"/>
        <v>-2886627346270.1162</v>
      </c>
      <c r="L5044" s="444">
        <f t="shared" ca="1" si="179"/>
        <v>-695677190451098</v>
      </c>
      <c r="M5044" s="460">
        <f t="shared" si="181"/>
        <v>0.05</v>
      </c>
      <c r="N5044" s="464">
        <f t="shared" si="182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80"/>
        <v>-695677190451098</v>
      </c>
      <c r="J5045" s="444">
        <f t="array" ref="J5045">IFERROR(INDEX('Retirement Calculator'!K:K,MATCH('Lorri 401b'!N5045,'Retirement Calculator'!A:A,0),0),0)</f>
        <v>0</v>
      </c>
      <c r="K5045" s="444">
        <f t="shared" ca="1" si="178"/>
        <v>-2898654960212.9082</v>
      </c>
      <c r="L5045" s="444">
        <f t="shared" ca="1" si="179"/>
        <v>-698575845411310.88</v>
      </c>
      <c r="M5045" s="460">
        <f t="shared" si="181"/>
        <v>0.05</v>
      </c>
      <c r="N5045" s="464">
        <f t="shared" si="182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80"/>
        <v>-698575845411310.88</v>
      </c>
      <c r="J5046" s="444">
        <f t="array" ref="J5046">IFERROR(INDEX('Retirement Calculator'!K:K,MATCH('Lorri 401b'!N5046,'Retirement Calculator'!A:A,0),0),0)</f>
        <v>0</v>
      </c>
      <c r="K5046" s="444">
        <f t="shared" ca="1" si="178"/>
        <v>-2910732689213.7954</v>
      </c>
      <c r="L5046" s="444">
        <f t="shared" ca="1" si="179"/>
        <v>-701486578100524.63</v>
      </c>
      <c r="M5046" s="460">
        <f t="shared" si="181"/>
        <v>0.05</v>
      </c>
      <c r="N5046" s="464">
        <f t="shared" si="182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80"/>
        <v>-701486578100524.63</v>
      </c>
      <c r="J5047" s="444">
        <f t="array" ref="J5047">IFERROR(INDEX('Retirement Calculator'!K:K,MATCH('Lorri 401b'!N5047,'Retirement Calculator'!A:A,0),0),0)</f>
        <v>0</v>
      </c>
      <c r="K5047" s="444">
        <f t="shared" ca="1" si="178"/>
        <v>-2922860742085.519</v>
      </c>
      <c r="L5047" s="444">
        <f t="shared" ca="1" si="179"/>
        <v>-704409438842610.13</v>
      </c>
      <c r="M5047" s="460">
        <f t="shared" si="181"/>
        <v>0.05</v>
      </c>
      <c r="N5047" s="464">
        <f t="shared" si="182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80"/>
        <v>-704409438842610.13</v>
      </c>
      <c r="J5048" s="444">
        <f t="array" ref="J5048">IFERROR(INDEX('Retirement Calculator'!K:K,MATCH('Lorri 401b'!N5048,'Retirement Calculator'!A:A,0),0),0)</f>
        <v>0</v>
      </c>
      <c r="K5048" s="444">
        <f t="shared" ca="1" si="178"/>
        <v>-2935039328510.8755</v>
      </c>
      <c r="L5048" s="444">
        <f t="shared" ca="1" si="179"/>
        <v>-707344478171121</v>
      </c>
      <c r="M5048" s="460">
        <f t="shared" si="181"/>
        <v>0.05</v>
      </c>
      <c r="N5048" s="464">
        <f t="shared" si="182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80"/>
        <v>-707344478171121</v>
      </c>
      <c r="J5049" s="444">
        <f t="array" ref="J5049">IFERROR(INDEX('Retirement Calculator'!K:K,MATCH('Lorri 401b'!N5049,'Retirement Calculator'!A:A,0),0),0)</f>
        <v>0</v>
      </c>
      <c r="K5049" s="444">
        <f t="shared" ca="1" si="178"/>
        <v>-2947268659046.3374</v>
      </c>
      <c r="L5049" s="444">
        <f t="shared" ca="1" si="179"/>
        <v>-710291746830167.38</v>
      </c>
      <c r="M5049" s="460">
        <f t="shared" si="181"/>
        <v>0.05</v>
      </c>
      <c r="N5049" s="464">
        <f t="shared" si="182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80"/>
        <v>-710291746830167.38</v>
      </c>
      <c r="J5050" s="444">
        <f t="array" ref="J5050">IFERROR(INDEX('Retirement Calculator'!K:K,MATCH('Lorri 401b'!N5050,'Retirement Calculator'!A:A,0),0),0)</f>
        <v>0</v>
      </c>
      <c r="K5050" s="444">
        <f t="shared" ca="1" si="178"/>
        <v>-2959548945125.6973</v>
      </c>
      <c r="L5050" s="444">
        <f t="shared" ca="1" si="179"/>
        <v>-713251295775293.13</v>
      </c>
      <c r="M5050" s="460">
        <f t="shared" si="181"/>
        <v>0.05</v>
      </c>
      <c r="N5050" s="464">
        <f t="shared" si="182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80"/>
        <v>-713251295775293.13</v>
      </c>
      <c r="J5051" s="444">
        <f t="array" ref="J5051">IFERROR(INDEX('Retirement Calculator'!K:K,MATCH('Lorri 401b'!N5051,'Retirement Calculator'!A:A,0),0),0)</f>
        <v>0</v>
      </c>
      <c r="K5051" s="444">
        <f t="shared" ca="1" si="178"/>
        <v>-2971880399063.7212</v>
      </c>
      <c r="L5051" s="444">
        <f t="shared" ca="1" si="179"/>
        <v>-716223176174356.88</v>
      </c>
      <c r="M5051" s="460">
        <f t="shared" si="181"/>
        <v>0.05</v>
      </c>
      <c r="N5051" s="464">
        <f t="shared" si="182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80"/>
        <v>-716223176174356.88</v>
      </c>
      <c r="J5052" s="444">
        <f t="array" ref="J5052">IFERROR(INDEX('Retirement Calculator'!K:K,MATCH('Lorri 401b'!N5052,'Retirement Calculator'!A:A,0),0),0)</f>
        <v>0</v>
      </c>
      <c r="K5052" s="444">
        <f t="shared" ca="1" si="178"/>
        <v>-2984263234059.8203</v>
      </c>
      <c r="L5052" s="444">
        <f t="shared" ca="1" si="179"/>
        <v>-719207439408416.75</v>
      </c>
      <c r="M5052" s="460">
        <f t="shared" si="181"/>
        <v>0.05</v>
      </c>
      <c r="N5052" s="464">
        <f t="shared" si="182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80"/>
        <v>-719207439408416.75</v>
      </c>
      <c r="J5053" s="444">
        <f t="array" ref="J5053">IFERROR(INDEX('Retirement Calculator'!K:K,MATCH('Lorri 401b'!N5053,'Retirement Calculator'!A:A,0),0),0)</f>
        <v>0</v>
      </c>
      <c r="K5053" s="444">
        <f t="shared" ca="1" si="178"/>
        <v>-2996697664201.7363</v>
      </c>
      <c r="L5053" s="444">
        <f t="shared" ca="1" si="179"/>
        <v>-722204137072618.5</v>
      </c>
      <c r="M5053" s="460">
        <f t="shared" si="181"/>
        <v>0.05</v>
      </c>
      <c r="N5053" s="464">
        <f t="shared" si="182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80"/>
        <v>-722204137072618.5</v>
      </c>
      <c r="J5054" s="444">
        <f t="array" ref="J5054">IFERROR(INDEX('Retirement Calculator'!K:K,MATCH('Lorri 401b'!N5054,'Retirement Calculator'!A:A,0),0),0)</f>
        <v>0</v>
      </c>
      <c r="K5054" s="444">
        <f t="shared" ca="1" si="178"/>
        <v>-3009183904469.2437</v>
      </c>
      <c r="L5054" s="444">
        <f t="shared" ca="1" si="179"/>
        <v>-725213320977087.75</v>
      </c>
      <c r="M5054" s="460">
        <f t="shared" si="181"/>
        <v>0.05</v>
      </c>
      <c r="N5054" s="464">
        <f t="shared" si="182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80"/>
        <v>-725213320977087.75</v>
      </c>
      <c r="J5055" s="444">
        <f t="array" ref="J5055">IFERROR(INDEX('Retirement Calculator'!K:K,MATCH('Lorri 401b'!N5055,'Retirement Calculator'!A:A,0),0),0)</f>
        <v>0</v>
      </c>
      <c r="K5055" s="444">
        <f t="shared" ca="1" si="178"/>
        <v>-3021722170737.8657</v>
      </c>
      <c r="L5055" s="444">
        <f t="shared" ca="1" si="179"/>
        <v>-728235043147825.63</v>
      </c>
      <c r="M5055" s="460">
        <f t="shared" si="181"/>
        <v>0.05</v>
      </c>
      <c r="N5055" s="464">
        <f t="shared" si="182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80"/>
        <v>-728235043147825.63</v>
      </c>
      <c r="J5056" s="444">
        <f t="array" ref="J5056">IFERROR(INDEX('Retirement Calculator'!K:K,MATCH('Lorri 401b'!N5056,'Retirement Calculator'!A:A,0),0),0)</f>
        <v>0</v>
      </c>
      <c r="K5056" s="444">
        <f t="shared" ca="1" si="178"/>
        <v>-3034312679782.6069</v>
      </c>
      <c r="L5056" s="444">
        <f t="shared" ca="1" si="179"/>
        <v>-731269355827608.25</v>
      </c>
      <c r="M5056" s="460">
        <f t="shared" si="181"/>
        <v>0.05</v>
      </c>
      <c r="N5056" s="464">
        <f t="shared" si="182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80"/>
        <v>-731269355827608.25</v>
      </c>
      <c r="J5057" s="444">
        <f t="array" ref="J5057">IFERROR(INDEX('Retirement Calculator'!K:K,MATCH('Lorri 401b'!N5057,'Retirement Calculator'!A:A,0),0),0)</f>
        <v>0</v>
      </c>
      <c r="K5057" s="444">
        <f t="shared" ca="1" si="178"/>
        <v>-3046955649281.7012</v>
      </c>
      <c r="L5057" s="444">
        <f t="shared" ca="1" si="179"/>
        <v>-734316311476890</v>
      </c>
      <c r="M5057" s="460">
        <f t="shared" si="181"/>
        <v>0.05</v>
      </c>
      <c r="N5057" s="464">
        <f t="shared" si="182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80"/>
        <v>-734316311476890</v>
      </c>
      <c r="J5058" s="444">
        <f t="array" ref="J5058">IFERROR(INDEX('Retirement Calculator'!K:K,MATCH('Lorri 401b'!N5058,'Retirement Calculator'!A:A,0),0),0)</f>
        <v>0</v>
      </c>
      <c r="K5058" s="444">
        <f t="shared" ca="1" si="178"/>
        <v>-3059651297820.375</v>
      </c>
      <c r="L5058" s="444">
        <f t="shared" ca="1" si="179"/>
        <v>-737375962774710.38</v>
      </c>
      <c r="M5058" s="460">
        <f t="shared" si="181"/>
        <v>0.05</v>
      </c>
      <c r="N5058" s="464">
        <f t="shared" si="182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80"/>
        <v>-737375962774710.38</v>
      </c>
      <c r="J5059" s="444">
        <f t="array" ref="J5059">IFERROR(INDEX('Retirement Calculator'!K:K,MATCH('Lorri 401b'!N5059,'Retirement Calculator'!A:A,0),0),0)</f>
        <v>0</v>
      </c>
      <c r="K5059" s="444">
        <f t="shared" ca="1" si="178"/>
        <v>-3072399844894.6265</v>
      </c>
      <c r="L5059" s="444">
        <f t="shared" ca="1" si="179"/>
        <v>-740448362619605</v>
      </c>
      <c r="M5059" s="460">
        <f t="shared" si="181"/>
        <v>0.05</v>
      </c>
      <c r="N5059" s="464">
        <f t="shared" si="182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80"/>
        <v>-740448362619605</v>
      </c>
      <c r="J5060" s="444">
        <f t="array" ref="J5060">IFERROR(INDEX('Retirement Calculator'!K:K,MATCH('Lorri 401b'!N5060,'Retirement Calculator'!A:A,0),0),0)</f>
        <v>0</v>
      </c>
      <c r="K5060" s="444">
        <f t="shared" ca="1" si="178"/>
        <v>-3085201510915.021</v>
      </c>
      <c r="L5060" s="444">
        <f t="shared" ca="1" si="179"/>
        <v>-743533564130520</v>
      </c>
      <c r="M5060" s="460">
        <f t="shared" si="181"/>
        <v>0.05</v>
      </c>
      <c r="N5060" s="464">
        <f t="shared" si="182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80"/>
        <v>-743533564130520</v>
      </c>
      <c r="J5061" s="444">
        <f t="array" ref="J5061">IFERROR(INDEX('Retirement Calculator'!K:K,MATCH('Lorri 401b'!N5061,'Retirement Calculator'!A:A,0),0),0)</f>
        <v>0</v>
      </c>
      <c r="K5061" s="444">
        <f t="shared" ca="1" si="178"/>
        <v>-3098056517210.5</v>
      </c>
      <c r="L5061" s="444">
        <f t="shared" ca="1" si="179"/>
        <v>-746631620647730.5</v>
      </c>
      <c r="M5061" s="460">
        <f t="shared" si="181"/>
        <v>0.05</v>
      </c>
      <c r="N5061" s="464">
        <f t="shared" si="182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80"/>
        <v>-746631620647730.5</v>
      </c>
      <c r="J5062" s="444">
        <f t="array" ref="J5062">IFERROR(INDEX('Retirement Calculator'!K:K,MATCH('Lorri 401b'!N5062,'Retirement Calculator'!A:A,0),0),0)</f>
        <v>0</v>
      </c>
      <c r="K5062" s="444">
        <f t="shared" ca="1" si="178"/>
        <v>-3110965086032.2104</v>
      </c>
      <c r="L5062" s="444">
        <f t="shared" ca="1" si="179"/>
        <v>-749742585733762.75</v>
      </c>
      <c r="M5062" s="460">
        <f t="shared" si="181"/>
        <v>0.05</v>
      </c>
      <c r="N5062" s="464">
        <f t="shared" si="182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80"/>
        <v>-749742585733762.75</v>
      </c>
      <c r="J5063" s="444">
        <f t="array" ref="J5063">IFERROR(INDEX('Retirement Calculator'!K:K,MATCH('Lorri 401b'!N5063,'Retirement Calculator'!A:A,0),0),0)</f>
        <v>0</v>
      </c>
      <c r="K5063" s="444">
        <f t="shared" ca="1" si="178"/>
        <v>-3123927440557.3447</v>
      </c>
      <c r="L5063" s="444">
        <f t="shared" ca="1" si="179"/>
        <v>-752866513174320.13</v>
      </c>
      <c r="M5063" s="460">
        <f t="shared" si="181"/>
        <v>0.05</v>
      </c>
      <c r="N5063" s="464">
        <f t="shared" si="182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80"/>
        <v>-752866513174320.13</v>
      </c>
      <c r="J5064" s="444">
        <f t="array" ref="J5064">IFERROR(INDEX('Retirement Calculator'!K:K,MATCH('Lorri 401b'!N5064,'Retirement Calculator'!A:A,0),0),0)</f>
        <v>0</v>
      </c>
      <c r="K5064" s="444">
        <f t="shared" ca="1" si="178"/>
        <v>-3136943804893.0005</v>
      </c>
      <c r="L5064" s="444">
        <f t="shared" ca="1" si="179"/>
        <v>-756003456979213.13</v>
      </c>
      <c r="M5064" s="460">
        <f t="shared" si="181"/>
        <v>0.05</v>
      </c>
      <c r="N5064" s="464">
        <f t="shared" si="182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80"/>
        <v>-756003456979213.13</v>
      </c>
      <c r="J5065" s="444">
        <f t="array" ref="J5065">IFERROR(INDEX('Retirement Calculator'!K:K,MATCH('Lorri 401b'!N5065,'Retirement Calculator'!A:A,0),0),0)</f>
        <v>0</v>
      </c>
      <c r="K5065" s="444">
        <f t="shared" ca="1" si="178"/>
        <v>-3150014404080.0547</v>
      </c>
      <c r="L5065" s="444">
        <f t="shared" ca="1" si="179"/>
        <v>-759153471383293.13</v>
      </c>
      <c r="M5065" s="460">
        <f t="shared" si="181"/>
        <v>0.05</v>
      </c>
      <c r="N5065" s="464">
        <f t="shared" si="182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80"/>
        <v>-759153471383293.13</v>
      </c>
      <c r="J5066" s="444">
        <f t="array" ref="J5066">IFERROR(INDEX('Retirement Calculator'!K:K,MATCH('Lorri 401b'!N5066,'Retirement Calculator'!A:A,0),0),0)</f>
        <v>0</v>
      </c>
      <c r="K5066" s="444">
        <f t="shared" ca="1" si="178"/>
        <v>-3163139464097.0547</v>
      </c>
      <c r="L5066" s="444">
        <f t="shared" ca="1" si="179"/>
        <v>-762316610847390.13</v>
      </c>
      <c r="M5066" s="460">
        <f t="shared" si="181"/>
        <v>0.05</v>
      </c>
      <c r="N5066" s="464">
        <f t="shared" si="182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80"/>
        <v>-762316610847390.13</v>
      </c>
      <c r="J5067" s="444">
        <f t="array" ref="J5067">IFERROR(INDEX('Retirement Calculator'!K:K,MATCH('Lorri 401b'!N5067,'Retirement Calculator'!A:A,0),0),0)</f>
        <v>0</v>
      </c>
      <c r="K5067" s="444">
        <f t="shared" ca="1" si="178"/>
        <v>-3176319211864.1255</v>
      </c>
      <c r="L5067" s="444">
        <f t="shared" ca="1" si="179"/>
        <v>-765492930059254.25</v>
      </c>
      <c r="M5067" s="460">
        <f t="shared" si="181"/>
        <v>0.05</v>
      </c>
      <c r="N5067" s="464">
        <f t="shared" si="182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80"/>
        <v>-765492930059254.25</v>
      </c>
      <c r="J5068" s="444">
        <f t="array" ref="J5068">IFERROR(INDEX('Retirement Calculator'!K:K,MATCH('Lorri 401b'!N5068,'Retirement Calculator'!A:A,0),0),0)</f>
        <v>0</v>
      </c>
      <c r="K5068" s="444">
        <f t="shared" ca="1" si="178"/>
        <v>-3189553875246.8926</v>
      </c>
      <c r="L5068" s="444">
        <f t="shared" ca="1" si="179"/>
        <v>-768682483934501.13</v>
      </c>
      <c r="M5068" s="460">
        <f t="shared" si="181"/>
        <v>0.05</v>
      </c>
      <c r="N5068" s="464">
        <f t="shared" si="182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80"/>
        <v>-768682483934501.13</v>
      </c>
      <c r="J5069" s="444">
        <f t="array" ref="J5069">IFERROR(INDEX('Retirement Calculator'!K:K,MATCH('Lorri 401b'!N5069,'Retirement Calculator'!A:A,0),0),0)</f>
        <v>0</v>
      </c>
      <c r="K5069" s="444">
        <f t="shared" ca="1" si="178"/>
        <v>-3202843683060.4214</v>
      </c>
      <c r="L5069" s="444">
        <f t="shared" ca="1" si="179"/>
        <v>-771885327617561.5</v>
      </c>
      <c r="M5069" s="460">
        <f t="shared" si="181"/>
        <v>0.05</v>
      </c>
      <c r="N5069" s="464">
        <f t="shared" si="182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80"/>
        <v>-771885327617561.5</v>
      </c>
      <c r="J5070" s="444">
        <f t="array" ref="J5070">IFERROR(INDEX('Retirement Calculator'!K:K,MATCH('Lorri 401b'!N5070,'Retirement Calculator'!A:A,0),0),0)</f>
        <v>0</v>
      </c>
      <c r="K5070" s="444">
        <f t="shared" ca="1" si="178"/>
        <v>-3216188865073.1729</v>
      </c>
      <c r="L5070" s="444">
        <f t="shared" ca="1" si="179"/>
        <v>-775101516482634.63</v>
      </c>
      <c r="M5070" s="460">
        <f t="shared" si="181"/>
        <v>0.05</v>
      </c>
      <c r="N5070" s="464">
        <f t="shared" si="182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80"/>
        <v>-775101516482634.63</v>
      </c>
      <c r="J5071" s="444">
        <f t="array" ref="J5071">IFERROR(INDEX('Retirement Calculator'!K:K,MATCH('Lorri 401b'!N5071,'Retirement Calculator'!A:A,0),0),0)</f>
        <v>0</v>
      </c>
      <c r="K5071" s="444">
        <f t="shared" ca="1" si="178"/>
        <v>-3229589652010.9775</v>
      </c>
      <c r="L5071" s="444">
        <f t="shared" ca="1" si="179"/>
        <v>-778331106134645.63</v>
      </c>
      <c r="M5071" s="460">
        <f t="shared" si="181"/>
        <v>0.05</v>
      </c>
      <c r="N5071" s="464">
        <f t="shared" si="182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80"/>
        <v>-778331106134645.63</v>
      </c>
      <c r="J5072" s="444">
        <f t="array" ref="J5072">IFERROR(INDEX('Retirement Calculator'!K:K,MATCH('Lorri 401b'!N5072,'Retirement Calculator'!A:A,0),0),0)</f>
        <v>0</v>
      </c>
      <c r="K5072" s="444">
        <f t="shared" ca="1" si="178"/>
        <v>-3243046275561.0234</v>
      </c>
      <c r="L5072" s="444">
        <f t="shared" ca="1" si="179"/>
        <v>-781574152410206.63</v>
      </c>
      <c r="M5072" s="460">
        <f t="shared" si="181"/>
        <v>0.05</v>
      </c>
      <c r="N5072" s="464">
        <f t="shared" si="182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80"/>
        <v>-781574152410206.63</v>
      </c>
      <c r="J5073" s="444">
        <f t="array" ref="J5073">IFERROR(INDEX('Retirement Calculator'!K:K,MATCH('Lorri 401b'!N5073,'Retirement Calculator'!A:A,0),0),0)</f>
        <v>0</v>
      </c>
      <c r="K5073" s="444">
        <f t="shared" ca="1" si="178"/>
        <v>-3256558968375.8608</v>
      </c>
      <c r="L5073" s="444">
        <f t="shared" ca="1" si="179"/>
        <v>-784830711378582.5</v>
      </c>
      <c r="M5073" s="460">
        <f t="shared" si="181"/>
        <v>0.05</v>
      </c>
      <c r="N5073" s="464">
        <f t="shared" si="182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80"/>
        <v>-784830711378582.5</v>
      </c>
      <c r="J5074" s="444">
        <f t="array" ref="J5074">IFERROR(INDEX('Retirement Calculator'!K:K,MATCH('Lorri 401b'!N5074,'Retirement Calculator'!A:A,0),0),0)</f>
        <v>0</v>
      </c>
      <c r="K5074" s="444">
        <f t="shared" ca="1" si="178"/>
        <v>-3270127964077.4272</v>
      </c>
      <c r="L5074" s="444">
        <f t="shared" ca="1" si="179"/>
        <v>-788100839342659.88</v>
      </c>
      <c r="M5074" s="460">
        <f t="shared" si="181"/>
        <v>0.05</v>
      </c>
      <c r="N5074" s="464">
        <f t="shared" si="182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80"/>
        <v>-788100839342659.88</v>
      </c>
      <c r="J5075" s="444">
        <f t="array" ref="J5075">IFERROR(INDEX('Retirement Calculator'!K:K,MATCH('Lorri 401b'!N5075,'Retirement Calculator'!A:A,0),0),0)</f>
        <v>0</v>
      </c>
      <c r="K5075" s="444">
        <f t="shared" ca="1" si="178"/>
        <v>-3283753497261.083</v>
      </c>
      <c r="L5075" s="444">
        <f t="shared" ca="1" si="179"/>
        <v>-791384592839921</v>
      </c>
      <c r="M5075" s="460">
        <f t="shared" si="181"/>
        <v>0.05</v>
      </c>
      <c r="N5075" s="464">
        <f t="shared" si="182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80"/>
        <v>-791384592839921</v>
      </c>
      <c r="J5076" s="444">
        <f t="array" ref="J5076">IFERROR(INDEX('Retirement Calculator'!K:K,MATCH('Lorri 401b'!N5076,'Retirement Calculator'!A:A,0),0),0)</f>
        <v>0</v>
      </c>
      <c r="K5076" s="444">
        <f t="shared" ca="1" si="178"/>
        <v>-3297435803499.6709</v>
      </c>
      <c r="L5076" s="444">
        <f t="shared" ca="1" si="179"/>
        <v>-794682028643420.63</v>
      </c>
      <c r="M5076" s="460">
        <f t="shared" si="181"/>
        <v>0.05</v>
      </c>
      <c r="N5076" s="464">
        <f t="shared" si="182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80"/>
        <v>-794682028643420.63</v>
      </c>
      <c r="J5077" s="444">
        <f t="array" ref="J5077">IFERROR(INDEX('Retirement Calculator'!K:K,MATCH('Lorri 401b'!N5077,'Retirement Calculator'!A:A,0),0),0)</f>
        <v>0</v>
      </c>
      <c r="K5077" s="444">
        <f t="shared" ca="1" si="178"/>
        <v>-3311175119347.5859</v>
      </c>
      <c r="L5077" s="444">
        <f t="shared" ca="1" si="179"/>
        <v>-797993203762768.25</v>
      </c>
      <c r="M5077" s="460">
        <f t="shared" si="181"/>
        <v>0.05</v>
      </c>
      <c r="N5077" s="464">
        <f t="shared" si="182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80"/>
        <v>-797993203762768.25</v>
      </c>
      <c r="J5078" s="444">
        <f t="array" ref="J5078">IFERROR(INDEX('Retirement Calculator'!K:K,MATCH('Lorri 401b'!N5078,'Retirement Calculator'!A:A,0),0),0)</f>
        <v>0</v>
      </c>
      <c r="K5078" s="444">
        <f t="shared" ca="1" si="178"/>
        <v>-3324971682344.8677</v>
      </c>
      <c r="L5078" s="444">
        <f t="shared" ca="1" si="179"/>
        <v>-801318175445113.13</v>
      </c>
      <c r="M5078" s="460">
        <f t="shared" si="181"/>
        <v>0.05</v>
      </c>
      <c r="N5078" s="464">
        <f t="shared" si="182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80"/>
        <v>-801318175445113.13</v>
      </c>
      <c r="J5079" s="444">
        <f t="array" ref="J5079">IFERROR(INDEX('Retirement Calculator'!K:K,MATCH('Lorri 401b'!N5079,'Retirement Calculator'!A:A,0),0),0)</f>
        <v>0</v>
      </c>
      <c r="K5079" s="444">
        <f t="shared" ca="1" si="178"/>
        <v>-3338825731021.3047</v>
      </c>
      <c r="L5079" s="444">
        <f t="shared" ca="1" si="179"/>
        <v>-804657001176134.38</v>
      </c>
      <c r="M5079" s="460">
        <f t="shared" si="181"/>
        <v>0.05</v>
      </c>
      <c r="N5079" s="464">
        <f t="shared" si="182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80"/>
        <v>-804657001176134.38</v>
      </c>
      <c r="J5080" s="444">
        <f t="array" ref="J5080">IFERROR(INDEX('Retirement Calculator'!K:K,MATCH('Lorri 401b'!N5080,'Retirement Calculator'!A:A,0),0),0)</f>
        <v>0</v>
      </c>
      <c r="K5080" s="444">
        <f t="shared" ca="1" si="178"/>
        <v>-3352737504900.5601</v>
      </c>
      <c r="L5080" s="444">
        <f t="shared" ca="1" si="179"/>
        <v>-808009738681034.88</v>
      </c>
      <c r="M5080" s="460">
        <f t="shared" si="181"/>
        <v>0.05</v>
      </c>
      <c r="N5080" s="464">
        <f t="shared" si="182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80"/>
        <v>-808009738681034.88</v>
      </c>
      <c r="J5081" s="444">
        <f t="array" ref="J5081">IFERROR(INDEX('Retirement Calculator'!K:K,MATCH('Lorri 401b'!N5081,'Retirement Calculator'!A:A,0),0),0)</f>
        <v>0</v>
      </c>
      <c r="K5081" s="444">
        <f t="shared" ca="1" si="178"/>
        <v>-3366707244504.312</v>
      </c>
      <c r="L5081" s="444">
        <f t="shared" ca="1" si="179"/>
        <v>-811376445925539.13</v>
      </c>
      <c r="M5081" s="460">
        <f t="shared" si="181"/>
        <v>0.05</v>
      </c>
      <c r="N5081" s="464">
        <f t="shared" si="182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80"/>
        <v>-811376445925539.13</v>
      </c>
      <c r="J5082" s="444">
        <f t="array" ref="J5082">IFERROR(INDEX('Retirement Calculator'!K:K,MATCH('Lorri 401b'!N5082,'Retirement Calculator'!A:A,0),0),0)</f>
        <v>0</v>
      </c>
      <c r="K5082" s="444">
        <f t="shared" ca="1" si="178"/>
        <v>-3380735191356.4131</v>
      </c>
      <c r="L5082" s="444">
        <f t="shared" ca="1" si="179"/>
        <v>-814757181116895.5</v>
      </c>
      <c r="M5082" s="460">
        <f t="shared" si="181"/>
        <v>0.05</v>
      </c>
      <c r="N5082" s="464">
        <f t="shared" si="182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80"/>
        <v>-814757181116895.5</v>
      </c>
      <c r="J5083" s="444">
        <f t="array" ref="J5083">IFERROR(INDEX('Retirement Calculator'!K:K,MATCH('Lorri 401b'!N5083,'Retirement Calculator'!A:A,0),0),0)</f>
        <v>0</v>
      </c>
      <c r="K5083" s="444">
        <f t="shared" ca="1" si="178"/>
        <v>-3394821587987.0645</v>
      </c>
      <c r="L5083" s="444">
        <f t="shared" ca="1" si="179"/>
        <v>-818152002704882.63</v>
      </c>
      <c r="M5083" s="460">
        <f t="shared" si="181"/>
        <v>0.05</v>
      </c>
      <c r="N5083" s="464">
        <f t="shared" si="182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80"/>
        <v>-818152002704882.63</v>
      </c>
      <c r="J5084" s="444">
        <f t="array" ref="J5084">IFERROR(INDEX('Retirement Calculator'!K:K,MATCH('Lorri 401b'!N5084,'Retirement Calculator'!A:A,0),0),0)</f>
        <v>0</v>
      </c>
      <c r="K5084" s="444">
        <f t="shared" ca="1" si="178"/>
        <v>-3408966677937.0107</v>
      </c>
      <c r="L5084" s="444">
        <f t="shared" ca="1" si="179"/>
        <v>-821560969382819.63</v>
      </c>
      <c r="M5084" s="460">
        <f t="shared" si="181"/>
        <v>0.05</v>
      </c>
      <c r="N5084" s="464">
        <f t="shared" si="182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80"/>
        <v>-821560969382819.63</v>
      </c>
      <c r="J5085" s="444">
        <f t="array" ref="J5085">IFERROR(INDEX('Retirement Calculator'!K:K,MATCH('Lorri 401b'!N5085,'Retirement Calculator'!A:A,0),0),0)</f>
        <v>0</v>
      </c>
      <c r="K5085" s="444">
        <f t="shared" ca="1" si="178"/>
        <v>-3423170705761.7485</v>
      </c>
      <c r="L5085" s="444">
        <f t="shared" ca="1" si="179"/>
        <v>-824984140088581.38</v>
      </c>
      <c r="M5085" s="460">
        <f t="shared" si="181"/>
        <v>0.05</v>
      </c>
      <c r="N5085" s="464">
        <f t="shared" si="182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80"/>
        <v>-824984140088581.38</v>
      </c>
      <c r="J5086" s="444">
        <f t="array" ref="J5086">IFERROR(INDEX('Retirement Calculator'!K:K,MATCH('Lorri 401b'!N5086,'Retirement Calculator'!A:A,0),0),0)</f>
        <v>0</v>
      </c>
      <c r="K5086" s="444">
        <f t="shared" ca="1" si="178"/>
        <v>-3437433917035.7559</v>
      </c>
      <c r="L5086" s="444">
        <f t="shared" ca="1" si="179"/>
        <v>-828421574005617.13</v>
      </c>
      <c r="M5086" s="460">
        <f t="shared" si="181"/>
        <v>0.05</v>
      </c>
      <c r="N5086" s="464">
        <f t="shared" si="182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80"/>
        <v>-828421574005617.13</v>
      </c>
      <c r="J5087" s="444">
        <f t="array" ref="J5087">IFERROR(INDEX('Retirement Calculator'!K:K,MATCH('Lorri 401b'!N5087,'Retirement Calculator'!A:A,0),0),0)</f>
        <v>0</v>
      </c>
      <c r="K5087" s="444">
        <f t="shared" ca="1" si="178"/>
        <v>-3451756558356.7378</v>
      </c>
      <c r="L5087" s="444">
        <f t="shared" ca="1" si="179"/>
        <v>-831873330563973.88</v>
      </c>
      <c r="M5087" s="460">
        <f t="shared" si="181"/>
        <v>0.05</v>
      </c>
      <c r="N5087" s="464">
        <f t="shared" si="182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80"/>
        <v>-831873330563973.88</v>
      </c>
      <c r="J5088" s="444">
        <f t="array" ref="J5088">IFERROR(INDEX('Retirement Calculator'!K:K,MATCH('Lorri 401b'!N5088,'Retirement Calculator'!A:A,0),0),0)</f>
        <v>0</v>
      </c>
      <c r="K5088" s="444">
        <f t="shared" ca="1" si="178"/>
        <v>-3466138877349.8911</v>
      </c>
      <c r="L5088" s="444">
        <f t="shared" ca="1" si="179"/>
        <v>-835339469441323.75</v>
      </c>
      <c r="M5088" s="460">
        <f t="shared" si="181"/>
        <v>0.05</v>
      </c>
      <c r="N5088" s="464">
        <f t="shared" si="182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80"/>
        <v>-835339469441323.75</v>
      </c>
      <c r="J5089" s="444">
        <f t="array" ref="J5089">IFERROR(INDEX('Retirement Calculator'!K:K,MATCH('Lorri 401b'!N5089,'Retirement Calculator'!A:A,0),0),0)</f>
        <v>0</v>
      </c>
      <c r="K5089" s="444">
        <f t="shared" ca="1" si="178"/>
        <v>-3480581122672.1821</v>
      </c>
      <c r="L5089" s="444">
        <f t="shared" ca="1" si="179"/>
        <v>-838820050563995.88</v>
      </c>
      <c r="M5089" s="460">
        <f t="shared" si="181"/>
        <v>0.05</v>
      </c>
      <c r="N5089" s="464">
        <f t="shared" si="182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80"/>
        <v>-838820050563995.88</v>
      </c>
      <c r="J5090" s="444">
        <f t="array" ref="J5090">IFERROR(INDEX('Retirement Calculator'!K:K,MATCH('Lorri 401b'!N5090,'Retirement Calculator'!A:A,0),0),0)</f>
        <v>0</v>
      </c>
      <c r="K5090" s="444">
        <f t="shared" ca="1" si="178"/>
        <v>-3495083544016.6494</v>
      </c>
      <c r="L5090" s="444">
        <f t="shared" ca="1" si="179"/>
        <v>-842315134108012.5</v>
      </c>
      <c r="M5090" s="460">
        <f t="shared" si="181"/>
        <v>0.05</v>
      </c>
      <c r="N5090" s="464">
        <f t="shared" si="182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80"/>
        <v>-842315134108012.5</v>
      </c>
      <c r="J5091" s="444">
        <f t="array" ref="J5091">IFERROR(INDEX('Retirement Calculator'!K:K,MATCH('Lorri 401b'!N5091,'Retirement Calculator'!A:A,0),0),0)</f>
        <v>0</v>
      </c>
      <c r="K5091" s="444">
        <f t="shared" ca="1" si="178"/>
        <v>-3509646392116.7188</v>
      </c>
      <c r="L5091" s="444">
        <f t="shared" ca="1" si="179"/>
        <v>-845824780500129.25</v>
      </c>
      <c r="M5091" s="460">
        <f t="shared" si="181"/>
        <v>0.05</v>
      </c>
      <c r="N5091" s="464">
        <f t="shared" si="182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80"/>
        <v>-845824780500129.25</v>
      </c>
      <c r="J5092" s="444">
        <f t="array" ref="J5092">IFERROR(INDEX('Retirement Calculator'!K:K,MATCH('Lorri 401b'!N5092,'Retirement Calculator'!A:A,0),0),0)</f>
        <v>0</v>
      </c>
      <c r="K5092" s="444">
        <f t="shared" ca="1" si="178"/>
        <v>-3524269918750.5386</v>
      </c>
      <c r="L5092" s="444">
        <f t="shared" ca="1" si="179"/>
        <v>-849349050418879.75</v>
      </c>
      <c r="M5092" s="460">
        <f t="shared" si="181"/>
        <v>0.05</v>
      </c>
      <c r="N5092" s="464">
        <f t="shared" si="182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80"/>
        <v>-849349050418879.75</v>
      </c>
      <c r="J5093" s="444">
        <f t="array" ref="J5093">IFERROR(INDEX('Retirement Calculator'!K:K,MATCH('Lorri 401b'!N5093,'Retirement Calculator'!A:A,0),0),0)</f>
        <v>0</v>
      </c>
      <c r="K5093" s="444">
        <f t="shared" ca="1" si="178"/>
        <v>-3538954376745.332</v>
      </c>
      <c r="L5093" s="444">
        <f t="shared" ca="1" si="179"/>
        <v>-852888004795625.13</v>
      </c>
      <c r="M5093" s="460">
        <f t="shared" si="181"/>
        <v>0.05</v>
      </c>
      <c r="N5093" s="464">
        <f t="shared" si="182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80"/>
        <v>-852888004795625.13</v>
      </c>
      <c r="J5094" s="444">
        <f t="array" ref="J5094">IFERROR(INDEX('Retirement Calculator'!K:K,MATCH('Lorri 401b'!N5094,'Retirement Calculator'!A:A,0),0),0)</f>
        <v>0</v>
      </c>
      <c r="K5094" s="444">
        <f t="shared" ca="1" si="178"/>
        <v>-3553700019981.7715</v>
      </c>
      <c r="L5094" s="444">
        <f t="shared" ca="1" si="179"/>
        <v>-856441704815606.88</v>
      </c>
      <c r="M5094" s="460">
        <f t="shared" si="181"/>
        <v>0.05</v>
      </c>
      <c r="N5094" s="464">
        <f t="shared" si="182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80"/>
        <v>-856441704815606.88</v>
      </c>
      <c r="J5095" s="444">
        <f t="array" ref="J5095">IFERROR(INDEX('Retirement Calculator'!K:K,MATCH('Lorri 401b'!N5095,'Retirement Calculator'!A:A,0),0),0)</f>
        <v>0</v>
      </c>
      <c r="K5095" s="444">
        <f t="shared" ca="1" si="178"/>
        <v>-3568507103398.3618</v>
      </c>
      <c r="L5095" s="444">
        <f t="shared" ca="1" si="179"/>
        <v>-860010211919005.25</v>
      </c>
      <c r="M5095" s="460">
        <f t="shared" si="181"/>
        <v>0.05</v>
      </c>
      <c r="N5095" s="464">
        <f t="shared" si="182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80"/>
        <v>-860010211919005.25</v>
      </c>
      <c r="J5096" s="444">
        <f t="array" ref="J5096">IFERROR(INDEX('Retirement Calculator'!K:K,MATCH('Lorri 401b'!N5096,'Retirement Calculator'!A:A,0),0),0)</f>
        <v>0</v>
      </c>
      <c r="K5096" s="444">
        <f t="shared" ca="1" si="178"/>
        <v>-3583375882995.855</v>
      </c>
      <c r="L5096" s="444">
        <f t="shared" ca="1" si="179"/>
        <v>-863593587802001.13</v>
      </c>
      <c r="M5096" s="460">
        <f t="shared" si="181"/>
        <v>0.05</v>
      </c>
      <c r="N5096" s="464">
        <f t="shared" si="182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80"/>
        <v>-863593587802001.13</v>
      </c>
      <c r="J5097" s="444">
        <f t="array" ref="J5097">IFERROR(INDEX('Retirement Calculator'!K:K,MATCH('Lorri 401b'!N5097,'Retirement Calculator'!A:A,0),0),0)</f>
        <v>0</v>
      </c>
      <c r="K5097" s="444">
        <f t="shared" ca="1" si="178"/>
        <v>-3598306615841.6714</v>
      </c>
      <c r="L5097" s="444">
        <f t="shared" ca="1" si="179"/>
        <v>-867191894417842.75</v>
      </c>
      <c r="M5097" s="460">
        <f t="shared" si="181"/>
        <v>0.05</v>
      </c>
      <c r="N5097" s="464">
        <f t="shared" si="182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80"/>
        <v>-867191894417842.75</v>
      </c>
      <c r="J5098" s="444">
        <f t="array" ref="J5098">IFERROR(INDEX('Retirement Calculator'!K:K,MATCH('Lorri 401b'!N5098,'Retirement Calculator'!A:A,0),0),0)</f>
        <v>0</v>
      </c>
      <c r="K5098" s="444">
        <f t="shared" ca="1" si="178"/>
        <v>-3613299560074.3447</v>
      </c>
      <c r="L5098" s="444">
        <f t="shared" ca="1" si="179"/>
        <v>-870805193977917.13</v>
      </c>
      <c r="M5098" s="460">
        <f t="shared" si="181"/>
        <v>0.05</v>
      </c>
      <c r="N5098" s="464">
        <f t="shared" si="182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80"/>
        <v>-870805193977917.13</v>
      </c>
      <c r="J5099" s="444">
        <f t="array" ref="J5099">IFERROR(INDEX('Retirement Calculator'!K:K,MATCH('Lorri 401b'!N5099,'Retirement Calculator'!A:A,0),0),0)</f>
        <v>0</v>
      </c>
      <c r="K5099" s="444">
        <f t="shared" ca="1" si="178"/>
        <v>-3628354974907.9878</v>
      </c>
      <c r="L5099" s="444">
        <f t="shared" ca="1" si="179"/>
        <v>-874433548952825.13</v>
      </c>
      <c r="M5099" s="460">
        <f t="shared" si="181"/>
        <v>0.05</v>
      </c>
      <c r="N5099" s="464">
        <f t="shared" si="182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80"/>
        <v>-874433548952825.13</v>
      </c>
      <c r="J5100" s="444">
        <f t="array" ref="J5100">IFERROR(INDEX('Retirement Calculator'!K:K,MATCH('Lorri 401b'!N5100,'Retirement Calculator'!A:A,0),0),0)</f>
        <v>0</v>
      </c>
      <c r="K5100" s="444">
        <f t="shared" ca="1" si="178"/>
        <v>-3643473120636.7715</v>
      </c>
      <c r="L5100" s="444">
        <f t="shared" ca="1" si="179"/>
        <v>-878077022073461.88</v>
      </c>
      <c r="M5100" s="460">
        <f t="shared" si="181"/>
        <v>0.05</v>
      </c>
      <c r="N5100" s="464">
        <f t="shared" si="182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80"/>
        <v>-878077022073461.88</v>
      </c>
      <c r="J5101" s="444">
        <f t="array" ref="J5101">IFERROR(INDEX('Retirement Calculator'!K:K,MATCH('Lorri 401b'!N5101,'Retirement Calculator'!A:A,0),0),0)</f>
        <v>0</v>
      </c>
      <c r="K5101" s="444">
        <f t="shared" ca="1" si="178"/>
        <v>-3658654258639.4243</v>
      </c>
      <c r="L5101" s="444">
        <f t="shared" ca="1" si="179"/>
        <v>-881735676332101.25</v>
      </c>
      <c r="M5101" s="460">
        <f t="shared" si="181"/>
        <v>0.05</v>
      </c>
      <c r="N5101" s="464">
        <f t="shared" si="182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80"/>
        <v>-881735676332101.25</v>
      </c>
      <c r="J5102" s="444">
        <f t="array" ref="J5102">IFERROR(INDEX('Retirement Calculator'!K:K,MATCH('Lorri 401b'!N5102,'Retirement Calculator'!A:A,0),0),0)</f>
        <v>0</v>
      </c>
      <c r="K5102" s="444">
        <f t="shared" ca="1" si="178"/>
        <v>-3673898651383.7554</v>
      </c>
      <c r="L5102" s="444">
        <f t="shared" ca="1" si="179"/>
        <v>-885409574983485</v>
      </c>
      <c r="M5102" s="460">
        <f t="shared" si="181"/>
        <v>0.05</v>
      </c>
      <c r="N5102" s="464">
        <f t="shared" si="182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80"/>
        <v>-885409574983485</v>
      </c>
      <c r="J5103" s="444">
        <f t="array" ref="J5103">IFERROR(INDEX('Retirement Calculator'!K:K,MATCH('Lorri 401b'!N5103,'Retirement Calculator'!A:A,0),0),0)</f>
        <v>0</v>
      </c>
      <c r="K5103" s="444">
        <f t="shared" ca="1" si="178"/>
        <v>-3689206562431.1875</v>
      </c>
      <c r="L5103" s="444">
        <f t="shared" ca="1" si="179"/>
        <v>-889098781545916.25</v>
      </c>
      <c r="M5103" s="460">
        <f t="shared" si="181"/>
        <v>0.05</v>
      </c>
      <c r="N5103" s="464">
        <f t="shared" si="182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80"/>
        <v>-889098781545916.25</v>
      </c>
      <c r="J5104" s="444">
        <f t="array" ref="J5104">IFERROR(INDEX('Retirement Calculator'!K:K,MATCH('Lorri 401b'!N5104,'Retirement Calculator'!A:A,0),0),0)</f>
        <v>0</v>
      </c>
      <c r="K5104" s="444">
        <f t="shared" ca="1" si="178"/>
        <v>-3704578256441.3169</v>
      </c>
      <c r="L5104" s="444">
        <f t="shared" ca="1" si="179"/>
        <v>-892803359802357.63</v>
      </c>
      <c r="M5104" s="460">
        <f t="shared" si="181"/>
        <v>0.05</v>
      </c>
      <c r="N5104" s="464">
        <f t="shared" si="182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80"/>
        <v>-892803359802357.63</v>
      </c>
      <c r="J5105" s="444">
        <f t="array" ref="J5105">IFERROR(INDEX('Retirement Calculator'!K:K,MATCH('Lorri 401b'!N5105,'Retirement Calculator'!A:A,0),0),0)</f>
        <v>0</v>
      </c>
      <c r="K5105" s="444">
        <f t="shared" ca="1" si="178"/>
        <v>-3720013999176.4902</v>
      </c>
      <c r="L5105" s="444">
        <f t="shared" ca="1" si="179"/>
        <v>-896523373801534.13</v>
      </c>
      <c r="M5105" s="460">
        <f t="shared" si="181"/>
        <v>0.05</v>
      </c>
      <c r="N5105" s="464">
        <f t="shared" si="182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80"/>
        <v>-896523373801534.13</v>
      </c>
      <c r="J5106" s="444">
        <f t="array" ref="J5106">IFERROR(INDEX('Retirement Calculator'!K:K,MATCH('Lorri 401b'!N5106,'Retirement Calculator'!A:A,0),0),0)</f>
        <v>0</v>
      </c>
      <c r="K5106" s="444">
        <f t="shared" ca="1" si="178"/>
        <v>-3735514057506.3916</v>
      </c>
      <c r="L5106" s="444">
        <f t="shared" ca="1" si="179"/>
        <v>-900258887859040.5</v>
      </c>
      <c r="M5106" s="460">
        <f t="shared" si="181"/>
        <v>0.05</v>
      </c>
      <c r="N5106" s="464">
        <f t="shared" si="182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80"/>
        <v>-900258887859040.5</v>
      </c>
      <c r="J5107" s="444">
        <f t="array" ref="J5107">IFERROR(INDEX('Retirement Calculator'!K:K,MATCH('Lorri 401b'!N5107,'Retirement Calculator'!A:A,0),0),0)</f>
        <v>0</v>
      </c>
      <c r="K5107" s="444">
        <f t="shared" ca="1" si="178"/>
        <v>-3751078699412.6685</v>
      </c>
      <c r="L5107" s="444">
        <f t="shared" ca="1" si="179"/>
        <v>-904009966558453.13</v>
      </c>
      <c r="M5107" s="460">
        <f t="shared" si="181"/>
        <v>0.05</v>
      </c>
      <c r="N5107" s="464">
        <f t="shared" si="182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80"/>
        <v>-904009966558453.13</v>
      </c>
      <c r="J5108" s="444">
        <f t="array" ref="J5108">IFERROR(INDEX('Retirement Calculator'!K:K,MATCH('Lorri 401b'!N5108,'Retirement Calculator'!A:A,0),0),0)</f>
        <v>0</v>
      </c>
      <c r="K5108" s="444">
        <f t="shared" ref="K5108:K5362" ca="1" si="183">IPMT(M5108/12,1,12,-I5108+J5108,,0)</f>
        <v>-3766708193993.5547</v>
      </c>
      <c r="L5108" s="444">
        <f t="shared" ref="L5108:L5362" ca="1" si="184">I5108-J5108+K5108</f>
        <v>-907776674752446.63</v>
      </c>
      <c r="M5108" s="460">
        <f t="shared" si="181"/>
        <v>0.05</v>
      </c>
      <c r="N5108" s="464">
        <f t="shared" si="182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185">L5108</f>
        <v>-907776674752446.63</v>
      </c>
      <c r="J5109" s="444">
        <f t="array" ref="J5109">IFERROR(INDEX('Retirement Calculator'!K:K,MATCH('Lorri 401b'!N5109,'Retirement Calculator'!A:A,0),0),0)</f>
        <v>0</v>
      </c>
      <c r="K5109" s="444">
        <f t="shared" ca="1" si="183"/>
        <v>-3782402811468.5269</v>
      </c>
      <c r="L5109" s="444">
        <f t="shared" ca="1" si="184"/>
        <v>-911559077563915.13</v>
      </c>
      <c r="M5109" s="460">
        <f t="shared" ref="M5109:M5363" si="186">M5108</f>
        <v>0.05</v>
      </c>
      <c r="N5109" s="464">
        <f t="shared" ref="N5109:N5363" si="187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185"/>
        <v>-911559077563915.13</v>
      </c>
      <c r="J5110" s="444">
        <f t="array" ref="J5110">IFERROR(INDEX('Retirement Calculator'!K:K,MATCH('Lorri 401b'!N5110,'Retirement Calculator'!A:A,0),0),0)</f>
        <v>0</v>
      </c>
      <c r="K5110" s="444">
        <f t="shared" ca="1" si="183"/>
        <v>-3798162823182.98</v>
      </c>
      <c r="L5110" s="444">
        <f t="shared" ca="1" si="184"/>
        <v>-915357240387098.13</v>
      </c>
      <c r="M5110" s="460">
        <f t="shared" si="186"/>
        <v>0.05</v>
      </c>
      <c r="N5110" s="464">
        <f t="shared" si="187"/>
        <v>206577</v>
      </c>
    </row>
    <row r="5111" spans="7:14" ht="11.25" customHeight="1" x14ac:dyDescent="0.3">
      <c r="G5111" s="459"/>
      <c r="H5111" s="459">
        <v>5104</v>
      </c>
      <c r="I5111" s="444">
        <f t="shared" ca="1" si="185"/>
        <v>-915357240387098.13</v>
      </c>
      <c r="J5111" s="444">
        <f t="array" ref="J5111">IFERROR(INDEX('Retirement Calculator'!K:K,MATCH('Lorri 401b'!N5111,'Retirement Calculator'!A:A,0),0),0)</f>
        <v>0</v>
      </c>
      <c r="K5111" s="444">
        <f t="shared" ca="1" si="183"/>
        <v>-3813988501612.9087</v>
      </c>
      <c r="L5111" s="444">
        <f t="shared" ca="1" si="184"/>
        <v>-919171228888711</v>
      </c>
      <c r="M5111" s="460">
        <f t="shared" si="186"/>
        <v>0.05</v>
      </c>
      <c r="N5111" s="464">
        <f t="shared" si="187"/>
        <v>206608</v>
      </c>
    </row>
    <row r="5112" spans="7:14" ht="11.25" customHeight="1" x14ac:dyDescent="0.3">
      <c r="G5112" s="459"/>
      <c r="H5112" s="459">
        <v>5105</v>
      </c>
      <c r="I5112" s="444">
        <f t="shared" ca="1" si="185"/>
        <v>-919171228888711</v>
      </c>
      <c r="J5112" s="444">
        <f t="array" ref="J5112">IFERROR(INDEX('Retirement Calculator'!K:K,MATCH('Lorri 401b'!N5112,'Retirement Calculator'!A:A,0),0),0)</f>
        <v>0</v>
      </c>
      <c r="K5112" s="444">
        <f t="shared" ca="1" si="183"/>
        <v>-3829880120369.6289</v>
      </c>
      <c r="L5112" s="444">
        <f t="shared" ca="1" si="184"/>
        <v>-923001109009080.63</v>
      </c>
      <c r="M5112" s="460">
        <f t="shared" si="186"/>
        <v>0.05</v>
      </c>
      <c r="N5112" s="464">
        <f t="shared" si="187"/>
        <v>206638</v>
      </c>
    </row>
    <row r="5113" spans="7:14" ht="11.25" customHeight="1" x14ac:dyDescent="0.3">
      <c r="G5113" s="459"/>
      <c r="H5113" s="459">
        <v>5106</v>
      </c>
      <c r="I5113" s="444">
        <f t="shared" ca="1" si="185"/>
        <v>-923001109009080.63</v>
      </c>
      <c r="J5113" s="444">
        <f t="array" ref="J5113">IFERROR(INDEX('Retirement Calculator'!K:K,MATCH('Lorri 401b'!N5113,'Retirement Calculator'!A:A,0),0),0)</f>
        <v>0</v>
      </c>
      <c r="K5113" s="444">
        <f t="shared" ca="1" si="183"/>
        <v>-3845837954204.5024</v>
      </c>
      <c r="L5113" s="444">
        <f t="shared" ca="1" si="184"/>
        <v>-926846946963285.13</v>
      </c>
      <c r="M5113" s="460">
        <f t="shared" si="186"/>
        <v>0.05</v>
      </c>
      <c r="N5113" s="464">
        <f t="shared" si="187"/>
        <v>206669</v>
      </c>
    </row>
    <row r="5114" spans="7:14" ht="11.25" customHeight="1" x14ac:dyDescent="0.3">
      <c r="G5114" s="459"/>
      <c r="H5114" s="459">
        <v>5107</v>
      </c>
      <c r="I5114" s="444">
        <f t="shared" ca="1" si="185"/>
        <v>-926846946963285.13</v>
      </c>
      <c r="J5114" s="444">
        <f t="array" ref="J5114">IFERROR(INDEX('Retirement Calculator'!K:K,MATCH('Lorri 401b'!N5114,'Retirement Calculator'!A:A,0),0),0)</f>
        <v>0</v>
      </c>
      <c r="K5114" s="444">
        <f t="shared" ca="1" si="183"/>
        <v>-3861862279013.6875</v>
      </c>
      <c r="L5114" s="444">
        <f t="shared" ca="1" si="184"/>
        <v>-930708809242298.75</v>
      </c>
      <c r="M5114" s="460">
        <f t="shared" si="186"/>
        <v>0.05</v>
      </c>
      <c r="N5114" s="464">
        <f t="shared" si="187"/>
        <v>206699</v>
      </c>
    </row>
    <row r="5115" spans="7:14" ht="11.25" customHeight="1" x14ac:dyDescent="0.3">
      <c r="G5115" s="459"/>
      <c r="H5115" s="459">
        <v>5108</v>
      </c>
      <c r="I5115" s="444">
        <f t="shared" ca="1" si="185"/>
        <v>-930708809242298.75</v>
      </c>
      <c r="J5115" s="444">
        <f t="array" ref="J5115">IFERROR(INDEX('Retirement Calculator'!K:K,MATCH('Lorri 401b'!N5115,'Retirement Calculator'!A:A,0),0),0)</f>
        <v>0</v>
      </c>
      <c r="K5115" s="444">
        <f t="shared" ca="1" si="183"/>
        <v>-3877953371842.9116</v>
      </c>
      <c r="L5115" s="444">
        <f t="shared" ca="1" si="184"/>
        <v>-934586762614141.63</v>
      </c>
      <c r="M5115" s="460">
        <f t="shared" si="186"/>
        <v>0.05</v>
      </c>
      <c r="N5115" s="464">
        <f t="shared" si="187"/>
        <v>206730</v>
      </c>
    </row>
    <row r="5116" spans="7:14" ht="11.25" customHeight="1" x14ac:dyDescent="0.3">
      <c r="G5116" s="459"/>
      <c r="H5116" s="459">
        <v>5109</v>
      </c>
      <c r="I5116" s="444">
        <f t="shared" ca="1" si="185"/>
        <v>-934586762614141.63</v>
      </c>
      <c r="J5116" s="444">
        <f t="array" ref="J5116">IFERROR(INDEX('Retirement Calculator'!K:K,MATCH('Lorri 401b'!N5116,'Retirement Calculator'!A:A,0),0),0)</f>
        <v>0</v>
      </c>
      <c r="K5116" s="444">
        <f t="shared" ca="1" si="183"/>
        <v>-3894111510892.2568</v>
      </c>
      <c r="L5116" s="444">
        <f t="shared" ca="1" si="184"/>
        <v>-938480874125033.88</v>
      </c>
      <c r="M5116" s="460">
        <f t="shared" si="186"/>
        <v>0.05</v>
      </c>
      <c r="N5116" s="464">
        <f t="shared" si="187"/>
        <v>206761</v>
      </c>
    </row>
    <row r="5117" spans="7:14" ht="11.25" customHeight="1" x14ac:dyDescent="0.3">
      <c r="G5117" s="459"/>
      <c r="H5117" s="459">
        <v>5110</v>
      </c>
      <c r="I5117" s="444">
        <f t="shared" ca="1" si="185"/>
        <v>-938480874125033.88</v>
      </c>
      <c r="J5117" s="444">
        <f t="array" ref="J5117">IFERROR(INDEX('Retirement Calculator'!K:K,MATCH('Lorri 401b'!N5117,'Retirement Calculator'!A:A,0),0),0)</f>
        <v>0</v>
      </c>
      <c r="K5117" s="444">
        <f t="shared" ca="1" si="183"/>
        <v>-3910336975520.9746</v>
      </c>
      <c r="L5117" s="444">
        <f t="shared" ca="1" si="184"/>
        <v>-942391211100554.88</v>
      </c>
      <c r="M5117" s="460">
        <f t="shared" si="186"/>
        <v>0.05</v>
      </c>
      <c r="N5117" s="464">
        <f t="shared" si="187"/>
        <v>206789</v>
      </c>
    </row>
    <row r="5118" spans="7:14" ht="11.25" customHeight="1" x14ac:dyDescent="0.3">
      <c r="G5118" s="459"/>
      <c r="H5118" s="459">
        <v>5111</v>
      </c>
      <c r="I5118" s="444">
        <f t="shared" ca="1" si="185"/>
        <v>-942391211100554.88</v>
      </c>
      <c r="J5118" s="444">
        <f t="array" ref="J5118">IFERROR(INDEX('Retirement Calculator'!K:K,MATCH('Lorri 401b'!N5118,'Retirement Calculator'!A:A,0),0),0)</f>
        <v>0</v>
      </c>
      <c r="K5118" s="444">
        <f t="shared" ca="1" si="183"/>
        <v>-3926630046252.312</v>
      </c>
      <c r="L5118" s="444">
        <f t="shared" ca="1" si="184"/>
        <v>-946317841146807.13</v>
      </c>
      <c r="M5118" s="460">
        <f t="shared" si="186"/>
        <v>0.05</v>
      </c>
      <c r="N5118" s="464">
        <f t="shared" si="187"/>
        <v>206820</v>
      </c>
    </row>
    <row r="5119" spans="7:14" ht="11.25" customHeight="1" x14ac:dyDescent="0.3">
      <c r="G5119" s="459"/>
      <c r="H5119" s="459">
        <v>5112</v>
      </c>
      <c r="I5119" s="444">
        <f t="shared" ca="1" si="185"/>
        <v>-946317841146807.13</v>
      </c>
      <c r="J5119" s="444">
        <f t="array" ref="J5119">IFERROR(INDEX('Retirement Calculator'!K:K,MATCH('Lorri 401b'!N5119,'Retirement Calculator'!A:A,0),0),0)</f>
        <v>0</v>
      </c>
      <c r="K5119" s="444">
        <f t="shared" ca="1" si="183"/>
        <v>-3942991004778.3628</v>
      </c>
      <c r="L5119" s="444">
        <f t="shared" ca="1" si="184"/>
        <v>-950260832151585.5</v>
      </c>
      <c r="M5119" s="460">
        <f t="shared" si="186"/>
        <v>0.05</v>
      </c>
      <c r="N5119" s="464">
        <f t="shared" si="187"/>
        <v>206850</v>
      </c>
    </row>
    <row r="5120" spans="7:14" ht="11.25" customHeight="1" x14ac:dyDescent="0.3">
      <c r="G5120" s="459"/>
      <c r="H5120" s="459">
        <v>5113</v>
      </c>
      <c r="I5120" s="444">
        <f t="shared" ca="1" si="185"/>
        <v>-950260832151585.5</v>
      </c>
      <c r="J5120" s="444">
        <f t="array" ref="J5120">IFERROR(INDEX('Retirement Calculator'!K:K,MATCH('Lorri 401b'!N5120,'Retirement Calculator'!A:A,0),0),0)</f>
        <v>0</v>
      </c>
      <c r="K5120" s="444">
        <f t="shared" ca="1" si="183"/>
        <v>-3959420133964.9399</v>
      </c>
      <c r="L5120" s="444">
        <f t="shared" ca="1" si="184"/>
        <v>-954220252285550.5</v>
      </c>
      <c r="M5120" s="460">
        <f t="shared" si="186"/>
        <v>0.05</v>
      </c>
      <c r="N5120" s="464">
        <f t="shared" si="187"/>
        <v>206881</v>
      </c>
    </row>
    <row r="5121" spans="7:14" ht="11.25" customHeight="1" x14ac:dyDescent="0.3">
      <c r="G5121" s="459"/>
      <c r="H5121" s="459">
        <v>5114</v>
      </c>
      <c r="I5121" s="444">
        <f t="shared" ca="1" si="185"/>
        <v>-954220252285550.5</v>
      </c>
      <c r="J5121" s="444">
        <f t="array" ref="J5121">IFERROR(INDEX('Retirement Calculator'!K:K,MATCH('Lorri 401b'!N5121,'Retirement Calculator'!A:A,0),0),0)</f>
        <v>0</v>
      </c>
      <c r="K5121" s="444">
        <f t="shared" ca="1" si="183"/>
        <v>-3975917717856.46</v>
      </c>
      <c r="L5121" s="444">
        <f t="shared" ca="1" si="184"/>
        <v>-958196170003407</v>
      </c>
      <c r="M5121" s="460">
        <f t="shared" si="186"/>
        <v>0.05</v>
      </c>
      <c r="N5121" s="464">
        <f t="shared" si="187"/>
        <v>206911</v>
      </c>
    </row>
    <row r="5122" spans="7:14" ht="11.25" customHeight="1" x14ac:dyDescent="0.3">
      <c r="G5122" s="459"/>
      <c r="H5122" s="459">
        <v>5115</v>
      </c>
      <c r="I5122" s="444">
        <f t="shared" ca="1" si="185"/>
        <v>-958196170003407</v>
      </c>
      <c r="J5122" s="444">
        <f t="array" ref="J5122">IFERROR(INDEX('Retirement Calculator'!K:K,MATCH('Lorri 401b'!N5122,'Retirement Calculator'!A:A,0),0),0)</f>
        <v>0</v>
      </c>
      <c r="K5122" s="444">
        <f t="shared" ca="1" si="183"/>
        <v>-3992484041680.8623</v>
      </c>
      <c r="L5122" s="444">
        <f t="shared" ca="1" si="184"/>
        <v>-962188654045087.88</v>
      </c>
      <c r="M5122" s="460">
        <f t="shared" si="186"/>
        <v>0.05</v>
      </c>
      <c r="N5122" s="464">
        <f t="shared" si="187"/>
        <v>206942</v>
      </c>
    </row>
    <row r="5123" spans="7:14" ht="11.25" customHeight="1" x14ac:dyDescent="0.3">
      <c r="G5123" s="459"/>
      <c r="H5123" s="459">
        <v>5116</v>
      </c>
      <c r="I5123" s="444">
        <f t="shared" ca="1" si="185"/>
        <v>-962188654045087.88</v>
      </c>
      <c r="J5123" s="444">
        <f t="array" ref="J5123">IFERROR(INDEX('Retirement Calculator'!K:K,MATCH('Lorri 401b'!N5123,'Retirement Calculator'!A:A,0),0),0)</f>
        <v>0</v>
      </c>
      <c r="K5123" s="444">
        <f t="shared" ca="1" si="183"/>
        <v>-4009119391854.5332</v>
      </c>
      <c r="L5123" s="444">
        <f t="shared" ca="1" si="184"/>
        <v>-966197773436942.38</v>
      </c>
      <c r="M5123" s="460">
        <f t="shared" si="186"/>
        <v>0.05</v>
      </c>
      <c r="N5123" s="464">
        <f t="shared" si="187"/>
        <v>206973</v>
      </c>
    </row>
    <row r="5124" spans="7:14" ht="11.25" customHeight="1" x14ac:dyDescent="0.3">
      <c r="G5124" s="459"/>
      <c r="H5124" s="459">
        <v>5117</v>
      </c>
      <c r="I5124" s="444">
        <f t="shared" ca="1" si="185"/>
        <v>-966197773436942.38</v>
      </c>
      <c r="J5124" s="444">
        <f t="array" ref="J5124">IFERROR(INDEX('Retirement Calculator'!K:K,MATCH('Lorri 401b'!N5124,'Retirement Calculator'!A:A,0),0),0)</f>
        <v>0</v>
      </c>
      <c r="K5124" s="444">
        <f t="shared" ca="1" si="183"/>
        <v>-4025824055987.2598</v>
      </c>
      <c r="L5124" s="444">
        <f t="shared" ca="1" si="184"/>
        <v>-970223597492929.63</v>
      </c>
      <c r="M5124" s="460">
        <f t="shared" si="186"/>
        <v>0.05</v>
      </c>
      <c r="N5124" s="464">
        <f t="shared" si="187"/>
        <v>207003</v>
      </c>
    </row>
    <row r="5125" spans="7:14" ht="11.25" customHeight="1" x14ac:dyDescent="0.3">
      <c r="G5125" s="459"/>
      <c r="H5125" s="459">
        <v>5118</v>
      </c>
      <c r="I5125" s="444">
        <f t="shared" ca="1" si="185"/>
        <v>-970223597492929.63</v>
      </c>
      <c r="J5125" s="444">
        <f t="array" ref="J5125">IFERROR(INDEX('Retirement Calculator'!K:K,MATCH('Lorri 401b'!N5125,'Retirement Calculator'!A:A,0),0),0)</f>
        <v>0</v>
      </c>
      <c r="K5125" s="444">
        <f t="shared" ca="1" si="183"/>
        <v>-4042598322887.2065</v>
      </c>
      <c r="L5125" s="444">
        <f t="shared" ca="1" si="184"/>
        <v>-974266195815816.88</v>
      </c>
      <c r="M5125" s="460">
        <f t="shared" si="186"/>
        <v>0.05</v>
      </c>
      <c r="N5125" s="464">
        <f t="shared" si="187"/>
        <v>207034</v>
      </c>
    </row>
    <row r="5126" spans="7:14" ht="11.25" customHeight="1" x14ac:dyDescent="0.3">
      <c r="G5126" s="459"/>
      <c r="H5126" s="459">
        <v>5119</v>
      </c>
      <c r="I5126" s="444">
        <f t="shared" ca="1" si="185"/>
        <v>-974266195815816.88</v>
      </c>
      <c r="J5126" s="444">
        <f t="array" ref="J5126">IFERROR(INDEX('Retirement Calculator'!K:K,MATCH('Lorri 401b'!N5126,'Retirement Calculator'!A:A,0),0),0)</f>
        <v>0</v>
      </c>
      <c r="K5126" s="444">
        <f t="shared" ca="1" si="183"/>
        <v>-4059442482565.9043</v>
      </c>
      <c r="L5126" s="444">
        <f t="shared" ca="1" si="184"/>
        <v>-978325638298382.75</v>
      </c>
      <c r="M5126" s="460">
        <f t="shared" si="186"/>
        <v>0.05</v>
      </c>
      <c r="N5126" s="464">
        <f t="shared" si="187"/>
        <v>207064</v>
      </c>
    </row>
    <row r="5127" spans="7:14" ht="11.25" customHeight="1" x14ac:dyDescent="0.3">
      <c r="G5127" s="459"/>
      <c r="H5127" s="459">
        <v>5120</v>
      </c>
      <c r="I5127" s="444">
        <f t="shared" ca="1" si="185"/>
        <v>-978325638298382.75</v>
      </c>
      <c r="J5127" s="444">
        <f t="array" ref="J5127">IFERROR(INDEX('Retirement Calculator'!K:K,MATCH('Lorri 401b'!N5127,'Retirement Calculator'!A:A,0),0),0)</f>
        <v>0</v>
      </c>
      <c r="K5127" s="444">
        <f t="shared" ca="1" si="183"/>
        <v>-4076356826243.2612</v>
      </c>
      <c r="L5127" s="444">
        <f t="shared" ca="1" si="184"/>
        <v>-982401995124626</v>
      </c>
      <c r="M5127" s="460">
        <f t="shared" si="186"/>
        <v>0.05</v>
      </c>
      <c r="N5127" s="464">
        <f t="shared" si="187"/>
        <v>207095</v>
      </c>
    </row>
    <row r="5128" spans="7:14" ht="11.25" customHeight="1" x14ac:dyDescent="0.3">
      <c r="G5128" s="459"/>
      <c r="H5128" s="459">
        <v>5121</v>
      </c>
      <c r="I5128" s="444">
        <f t="shared" ca="1" si="185"/>
        <v>-982401995124626</v>
      </c>
      <c r="J5128" s="444">
        <f t="array" ref="J5128">IFERROR(INDEX('Retirement Calculator'!K:K,MATCH('Lorri 401b'!N5128,'Retirement Calculator'!A:A,0),0),0)</f>
        <v>0</v>
      </c>
      <c r="K5128" s="444">
        <f t="shared" ca="1" si="183"/>
        <v>-4093341646352.6089</v>
      </c>
      <c r="L5128" s="444">
        <f t="shared" ca="1" si="184"/>
        <v>-986495336770978.63</v>
      </c>
      <c r="M5128" s="460">
        <f t="shared" si="186"/>
        <v>0.05</v>
      </c>
      <c r="N5128" s="464">
        <f t="shared" si="187"/>
        <v>207126</v>
      </c>
    </row>
    <row r="5129" spans="7:14" ht="11.25" customHeight="1" x14ac:dyDescent="0.3">
      <c r="G5129" s="459"/>
      <c r="H5129" s="459">
        <v>5122</v>
      </c>
      <c r="I5129" s="444">
        <f t="shared" ca="1" si="185"/>
        <v>-986495336770978.63</v>
      </c>
      <c r="J5129" s="444">
        <f t="array" ref="J5129">IFERROR(INDEX('Retirement Calculator'!K:K,MATCH('Lorri 401b'!N5129,'Retirement Calculator'!A:A,0),0),0)</f>
        <v>0</v>
      </c>
      <c r="K5129" s="444">
        <f t="shared" ca="1" si="183"/>
        <v>-4110397236545.7441</v>
      </c>
      <c r="L5129" s="444">
        <f t="shared" ca="1" si="184"/>
        <v>-990605734007524.38</v>
      </c>
      <c r="M5129" s="460">
        <f t="shared" si="186"/>
        <v>0.05</v>
      </c>
      <c r="N5129" s="464">
        <f t="shared" si="187"/>
        <v>207154</v>
      </c>
    </row>
    <row r="5130" spans="7:14" ht="11.25" customHeight="1" x14ac:dyDescent="0.3">
      <c r="G5130" s="459"/>
      <c r="H5130" s="459">
        <v>5123</v>
      </c>
      <c r="I5130" s="444">
        <f t="shared" ca="1" si="185"/>
        <v>-990605734007524.38</v>
      </c>
      <c r="J5130" s="444">
        <f t="array" ref="J5130">IFERROR(INDEX('Retirement Calculator'!K:K,MATCH('Lorri 401b'!N5130,'Retirement Calculator'!A:A,0),0),0)</f>
        <v>0</v>
      </c>
      <c r="K5130" s="444">
        <f t="shared" ca="1" si="183"/>
        <v>-4127523891698.0176</v>
      </c>
      <c r="L5130" s="444">
        <f t="shared" ca="1" si="184"/>
        <v>-994733257899222.38</v>
      </c>
      <c r="M5130" s="460">
        <f t="shared" si="186"/>
        <v>0.05</v>
      </c>
      <c r="N5130" s="464">
        <f t="shared" si="187"/>
        <v>207185</v>
      </c>
    </row>
    <row r="5131" spans="7:14" ht="11.25" customHeight="1" x14ac:dyDescent="0.3">
      <c r="G5131" s="459"/>
      <c r="H5131" s="459">
        <v>5124</v>
      </c>
      <c r="I5131" s="444">
        <f t="shared" ca="1" si="185"/>
        <v>-994733257899222.38</v>
      </c>
      <c r="J5131" s="444">
        <f t="array" ref="J5131">IFERROR(INDEX('Retirement Calculator'!K:K,MATCH('Lorri 401b'!N5131,'Retirement Calculator'!A:A,0),0),0)</f>
        <v>0</v>
      </c>
      <c r="K5131" s="444">
        <f t="shared" ca="1" si="183"/>
        <v>-4144721907913.4258</v>
      </c>
      <c r="L5131" s="444">
        <f t="shared" ca="1" si="184"/>
        <v>-998877979807135.75</v>
      </c>
      <c r="M5131" s="460">
        <f t="shared" si="186"/>
        <v>0.05</v>
      </c>
      <c r="N5131" s="464">
        <f t="shared" si="187"/>
        <v>207215</v>
      </c>
    </row>
    <row r="5132" spans="7:14" ht="11.25" customHeight="1" x14ac:dyDescent="0.3">
      <c r="G5132" s="459"/>
      <c r="H5132" s="459">
        <v>5125</v>
      </c>
      <c r="I5132" s="444">
        <f t="shared" ca="1" si="185"/>
        <v>-998877979807135.75</v>
      </c>
      <c r="J5132" s="444">
        <f t="array" ref="J5132">IFERROR(INDEX('Retirement Calculator'!K:K,MATCH('Lorri 401b'!N5132,'Retirement Calculator'!A:A,0),0),0)</f>
        <v>0</v>
      </c>
      <c r="K5132" s="444">
        <f t="shared" ca="1" si="183"/>
        <v>-4161991582529.7329</v>
      </c>
      <c r="L5132" s="444">
        <f t="shared" ca="1" si="184"/>
        <v>-1003039971389665.5</v>
      </c>
      <c r="M5132" s="460">
        <f t="shared" si="186"/>
        <v>0.05</v>
      </c>
      <c r="N5132" s="464">
        <f t="shared" si="187"/>
        <v>207246</v>
      </c>
    </row>
    <row r="5133" spans="7:14" ht="11.25" customHeight="1" x14ac:dyDescent="0.3">
      <c r="G5133" s="459"/>
      <c r="H5133" s="459">
        <v>5126</v>
      </c>
      <c r="I5133" s="444">
        <f t="shared" ca="1" si="185"/>
        <v>-1003039971389665.5</v>
      </c>
      <c r="J5133" s="444">
        <f t="array" ref="J5133">IFERROR(INDEX('Retirement Calculator'!K:K,MATCH('Lorri 401b'!N5133,'Retirement Calculator'!A:A,0),0),0)</f>
        <v>0</v>
      </c>
      <c r="K5133" s="444">
        <f t="shared" ca="1" si="183"/>
        <v>-4179333214123.606</v>
      </c>
      <c r="L5133" s="444">
        <f t="shared" ca="1" si="184"/>
        <v>-1007219304603789.1</v>
      </c>
      <c r="M5133" s="460">
        <f t="shared" si="186"/>
        <v>0.05</v>
      </c>
      <c r="N5133" s="464">
        <f t="shared" si="187"/>
        <v>207276</v>
      </c>
    </row>
    <row r="5134" spans="7:14" ht="11.25" customHeight="1" x14ac:dyDescent="0.3">
      <c r="G5134" s="459"/>
      <c r="H5134" s="459">
        <v>5127</v>
      </c>
      <c r="I5134" s="444">
        <f t="shared" ca="1" si="185"/>
        <v>-1007219304603789.1</v>
      </c>
      <c r="J5134" s="444">
        <f t="array" ref="J5134">IFERROR(INDEX('Retirement Calculator'!K:K,MATCH('Lorri 401b'!N5134,'Retirement Calculator'!A:A,0),0),0)</f>
        <v>0</v>
      </c>
      <c r="K5134" s="444">
        <f t="shared" ca="1" si="183"/>
        <v>-4196747102515.7881</v>
      </c>
      <c r="L5134" s="444">
        <f t="shared" ca="1" si="184"/>
        <v>-1011416051706304.9</v>
      </c>
      <c r="M5134" s="460">
        <f t="shared" si="186"/>
        <v>0.05</v>
      </c>
      <c r="N5134" s="464">
        <f t="shared" si="187"/>
        <v>207307</v>
      </c>
    </row>
    <row r="5135" spans="7:14" ht="11.25" customHeight="1" x14ac:dyDescent="0.3">
      <c r="G5135" s="459"/>
      <c r="H5135" s="459">
        <v>5128</v>
      </c>
      <c r="I5135" s="444">
        <f t="shared" ca="1" si="185"/>
        <v>-1011416051706304.9</v>
      </c>
      <c r="J5135" s="444">
        <f t="array" ref="J5135">IFERROR(INDEX('Retirement Calculator'!K:K,MATCH('Lorri 401b'!N5135,'Retirement Calculator'!A:A,0),0),0)</f>
        <v>0</v>
      </c>
      <c r="K5135" s="444">
        <f t="shared" ca="1" si="183"/>
        <v>-4214233548776.2695</v>
      </c>
      <c r="L5135" s="444">
        <f t="shared" ca="1" si="184"/>
        <v>-1015630285255081.1</v>
      </c>
      <c r="M5135" s="460">
        <f t="shared" si="186"/>
        <v>0.05</v>
      </c>
      <c r="N5135" s="464">
        <f t="shared" si="187"/>
        <v>207338</v>
      </c>
    </row>
    <row r="5136" spans="7:14" ht="11.25" customHeight="1" x14ac:dyDescent="0.3">
      <c r="G5136" s="459"/>
      <c r="H5136" s="459">
        <v>5129</v>
      </c>
      <c r="I5136" s="444">
        <f t="shared" ca="1" si="185"/>
        <v>-1015630285255081.1</v>
      </c>
      <c r="J5136" s="444">
        <f t="array" ref="J5136">IFERROR(INDEX('Retirement Calculator'!K:K,MATCH('Lorri 401b'!N5136,'Retirement Calculator'!A:A,0),0),0)</f>
        <v>0</v>
      </c>
      <c r="K5136" s="444">
        <f t="shared" ca="1" si="183"/>
        <v>-4231792855229.5044</v>
      </c>
      <c r="L5136" s="444">
        <f t="shared" ca="1" si="184"/>
        <v>-1019862078110310.6</v>
      </c>
      <c r="M5136" s="460">
        <f t="shared" si="186"/>
        <v>0.05</v>
      </c>
      <c r="N5136" s="464">
        <f t="shared" si="187"/>
        <v>207368</v>
      </c>
    </row>
    <row r="5137" spans="7:14" ht="11.25" customHeight="1" x14ac:dyDescent="0.3">
      <c r="G5137" s="459"/>
      <c r="H5137" s="459">
        <v>5130</v>
      </c>
      <c r="I5137" s="444">
        <f t="shared" ca="1" si="185"/>
        <v>-1019862078110310.6</v>
      </c>
      <c r="J5137" s="444">
        <f t="array" ref="J5137">IFERROR(INDEX('Retirement Calculator'!K:K,MATCH('Lorri 401b'!N5137,'Retirement Calculator'!A:A,0),0),0)</f>
        <v>0</v>
      </c>
      <c r="K5137" s="444">
        <f t="shared" ca="1" si="183"/>
        <v>-4249425325459.627</v>
      </c>
      <c r="L5137" s="444">
        <f t="shared" ca="1" si="184"/>
        <v>-1024111503435770.3</v>
      </c>
      <c r="M5137" s="460">
        <f t="shared" si="186"/>
        <v>0.05</v>
      </c>
      <c r="N5137" s="464">
        <f t="shared" si="187"/>
        <v>207399</v>
      </c>
    </row>
    <row r="5138" spans="7:14" ht="11.25" customHeight="1" x14ac:dyDescent="0.3">
      <c r="G5138" s="459"/>
      <c r="H5138" s="459">
        <v>5131</v>
      </c>
      <c r="I5138" s="444">
        <f t="shared" ca="1" si="185"/>
        <v>-1024111503435770.3</v>
      </c>
      <c r="J5138" s="444">
        <f t="array" ref="J5138">IFERROR(INDEX('Retirement Calculator'!K:K,MATCH('Lorri 401b'!N5138,'Retirement Calculator'!A:A,0),0),0)</f>
        <v>0</v>
      </c>
      <c r="K5138" s="444">
        <f t="shared" ca="1" si="183"/>
        <v>-4267131264315.71</v>
      </c>
      <c r="L5138" s="444">
        <f t="shared" ca="1" si="184"/>
        <v>-1028378634700086</v>
      </c>
      <c r="M5138" s="460">
        <f t="shared" si="186"/>
        <v>0.05</v>
      </c>
      <c r="N5138" s="464">
        <f t="shared" si="187"/>
        <v>207429</v>
      </c>
    </row>
    <row r="5139" spans="7:14" ht="11.25" customHeight="1" x14ac:dyDescent="0.3">
      <c r="G5139" s="459"/>
      <c r="H5139" s="459">
        <v>5132</v>
      </c>
      <c r="I5139" s="444">
        <f t="shared" ca="1" si="185"/>
        <v>-1028378634700086</v>
      </c>
      <c r="J5139" s="444">
        <f t="array" ref="J5139">IFERROR(INDEX('Retirement Calculator'!K:K,MATCH('Lorri 401b'!N5139,'Retirement Calculator'!A:A,0),0),0)</f>
        <v>0</v>
      </c>
      <c r="K5139" s="444">
        <f t="shared" ca="1" si="183"/>
        <v>-4284910977917.0249</v>
      </c>
      <c r="L5139" s="444">
        <f t="shared" ca="1" si="184"/>
        <v>-1032663545678003</v>
      </c>
      <c r="M5139" s="460">
        <f t="shared" si="186"/>
        <v>0.05</v>
      </c>
      <c r="N5139" s="464">
        <f t="shared" si="187"/>
        <v>207460</v>
      </c>
    </row>
    <row r="5140" spans="7:14" ht="11.25" customHeight="1" x14ac:dyDescent="0.3">
      <c r="G5140" s="459"/>
      <c r="H5140" s="459">
        <v>5133</v>
      </c>
      <c r="I5140" s="444">
        <f t="shared" ca="1" si="185"/>
        <v>-1032663545678003</v>
      </c>
      <c r="J5140" s="444">
        <f t="array" ref="J5140">IFERROR(INDEX('Retirement Calculator'!K:K,MATCH('Lorri 401b'!N5140,'Retirement Calculator'!A:A,0),0),0)</f>
        <v>0</v>
      </c>
      <c r="K5140" s="444">
        <f t="shared" ca="1" si="183"/>
        <v>-4302764773658.3457</v>
      </c>
      <c r="L5140" s="444">
        <f t="shared" ca="1" si="184"/>
        <v>-1036966310451661.4</v>
      </c>
      <c r="M5140" s="460">
        <f t="shared" si="186"/>
        <v>0.05</v>
      </c>
      <c r="N5140" s="464">
        <f t="shared" si="187"/>
        <v>207491</v>
      </c>
    </row>
    <row r="5141" spans="7:14" ht="11.25" customHeight="1" x14ac:dyDescent="0.3">
      <c r="G5141" s="459"/>
      <c r="H5141" s="459">
        <v>5134</v>
      </c>
      <c r="I5141" s="444">
        <f t="shared" ca="1" si="185"/>
        <v>-1036966310451661.4</v>
      </c>
      <c r="J5141" s="444">
        <f t="array" ref="J5141">IFERROR(INDEX('Retirement Calculator'!K:K,MATCH('Lorri 401b'!N5141,'Retirement Calculator'!A:A,0),0),0)</f>
        <v>0</v>
      </c>
      <c r="K5141" s="444">
        <f t="shared" ca="1" si="183"/>
        <v>-4320692960215.2559</v>
      </c>
      <c r="L5141" s="444">
        <f t="shared" ca="1" si="184"/>
        <v>-1041287003411876.6</v>
      </c>
      <c r="M5141" s="460">
        <f t="shared" si="186"/>
        <v>0.05</v>
      </c>
      <c r="N5141" s="464">
        <f t="shared" si="187"/>
        <v>207520</v>
      </c>
    </row>
    <row r="5142" spans="7:14" ht="11.25" customHeight="1" x14ac:dyDescent="0.3">
      <c r="G5142" s="459"/>
      <c r="H5142" s="459">
        <v>5135</v>
      </c>
      <c r="I5142" s="444">
        <f t="shared" ca="1" si="185"/>
        <v>-1041287003411876.6</v>
      </c>
      <c r="J5142" s="444">
        <f t="array" ref="J5142">IFERROR(INDEX('Retirement Calculator'!K:K,MATCH('Lorri 401b'!N5142,'Retirement Calculator'!A:A,0),0),0)</f>
        <v>0</v>
      </c>
      <c r="K5142" s="444">
        <f t="shared" ca="1" si="183"/>
        <v>-4338695847549.4858</v>
      </c>
      <c r="L5142" s="444">
        <f t="shared" ca="1" si="184"/>
        <v>-1045625699259426.1</v>
      </c>
      <c r="M5142" s="460">
        <f t="shared" si="186"/>
        <v>0.05</v>
      </c>
      <c r="N5142" s="464">
        <f t="shared" si="187"/>
        <v>207551</v>
      </c>
    </row>
    <row r="5143" spans="7:14" ht="11.25" customHeight="1" x14ac:dyDescent="0.3">
      <c r="G5143" s="459"/>
      <c r="H5143" s="459">
        <v>5136</v>
      </c>
      <c r="I5143" s="444">
        <f t="shared" ca="1" si="185"/>
        <v>-1045625699259426.1</v>
      </c>
      <c r="J5143" s="444">
        <f t="array" ref="J5143">IFERROR(INDEX('Retirement Calculator'!K:K,MATCH('Lorri 401b'!N5143,'Retirement Calculator'!A:A,0),0),0)</f>
        <v>0</v>
      </c>
      <c r="K5143" s="444">
        <f t="shared" ca="1" si="183"/>
        <v>-4356773746914.2754</v>
      </c>
      <c r="L5143" s="444">
        <f t="shared" ca="1" si="184"/>
        <v>-1049982473006340.4</v>
      </c>
      <c r="M5143" s="460">
        <f t="shared" si="186"/>
        <v>0.05</v>
      </c>
      <c r="N5143" s="464">
        <f t="shared" si="187"/>
        <v>207581</v>
      </c>
    </row>
    <row r="5144" spans="7:14" ht="11.25" customHeight="1" x14ac:dyDescent="0.3">
      <c r="G5144" s="459"/>
      <c r="H5144" s="459">
        <v>5137</v>
      </c>
      <c r="I5144" s="444">
        <f t="shared" ca="1" si="185"/>
        <v>-1049982473006340.4</v>
      </c>
      <c r="J5144" s="444">
        <f t="array" ref="J5144">IFERROR(INDEX('Retirement Calculator'!K:K,MATCH('Lorri 401b'!N5144,'Retirement Calculator'!A:A,0),0),0)</f>
        <v>0</v>
      </c>
      <c r="K5144" s="444">
        <f t="shared" ca="1" si="183"/>
        <v>-4374926970859.7515</v>
      </c>
      <c r="L5144" s="444">
        <f t="shared" ca="1" si="184"/>
        <v>-1054357399977200.1</v>
      </c>
      <c r="M5144" s="460">
        <f t="shared" si="186"/>
        <v>0.05</v>
      </c>
      <c r="N5144" s="464">
        <f t="shared" si="187"/>
        <v>207612</v>
      </c>
    </row>
    <row r="5145" spans="7:14" ht="11.25" customHeight="1" x14ac:dyDescent="0.3">
      <c r="G5145" s="459"/>
      <c r="H5145" s="459">
        <v>5138</v>
      </c>
      <c r="I5145" s="444">
        <f t="shared" ca="1" si="185"/>
        <v>-1054357399977200.1</v>
      </c>
      <c r="J5145" s="444">
        <f t="array" ref="J5145">IFERROR(INDEX('Retirement Calculator'!K:K,MATCH('Lorri 401b'!N5145,'Retirement Calculator'!A:A,0),0),0)</f>
        <v>0</v>
      </c>
      <c r="K5145" s="444">
        <f t="shared" ca="1" si="183"/>
        <v>-4393155833238.334</v>
      </c>
      <c r="L5145" s="444">
        <f t="shared" ca="1" si="184"/>
        <v>-1058750555810438.5</v>
      </c>
      <c r="M5145" s="460">
        <f t="shared" si="186"/>
        <v>0.05</v>
      </c>
      <c r="N5145" s="464">
        <f t="shared" si="187"/>
        <v>207642</v>
      </c>
    </row>
    <row r="5146" spans="7:14" ht="11.25" customHeight="1" x14ac:dyDescent="0.3">
      <c r="G5146" s="459"/>
      <c r="H5146" s="459">
        <v>5139</v>
      </c>
      <c r="I5146" s="444">
        <f t="shared" ca="1" si="185"/>
        <v>-1058750555810438.5</v>
      </c>
      <c r="J5146" s="444">
        <f t="array" ref="J5146">IFERROR(INDEX('Retirement Calculator'!K:K,MATCH('Lorri 401b'!N5146,'Retirement Calculator'!A:A,0),0),0)</f>
        <v>0</v>
      </c>
      <c r="K5146" s="444">
        <f t="shared" ca="1" si="183"/>
        <v>-4411460649210.1602</v>
      </c>
      <c r="L5146" s="444">
        <f t="shared" ca="1" si="184"/>
        <v>-1063162016459648.6</v>
      </c>
      <c r="M5146" s="460">
        <f t="shared" si="186"/>
        <v>0.05</v>
      </c>
      <c r="N5146" s="464">
        <f t="shared" si="187"/>
        <v>207673</v>
      </c>
    </row>
    <row r="5147" spans="7:14" ht="11.25" customHeight="1" x14ac:dyDescent="0.3">
      <c r="G5147" s="459"/>
      <c r="H5147" s="459">
        <v>5140</v>
      </c>
      <c r="I5147" s="444">
        <f t="shared" ca="1" si="185"/>
        <v>-1063162016459648.6</v>
      </c>
      <c r="J5147" s="444">
        <f t="array" ref="J5147">IFERROR(INDEX('Retirement Calculator'!K:K,MATCH('Lorri 401b'!N5147,'Retirement Calculator'!A:A,0),0),0)</f>
        <v>0</v>
      </c>
      <c r="K5147" s="444">
        <f t="shared" ca="1" si="183"/>
        <v>-4429841735248.5361</v>
      </c>
      <c r="L5147" s="444">
        <f t="shared" ca="1" si="184"/>
        <v>-1067591858194897.1</v>
      </c>
      <c r="M5147" s="460">
        <f t="shared" si="186"/>
        <v>0.05</v>
      </c>
      <c r="N5147" s="464">
        <f t="shared" si="187"/>
        <v>207704</v>
      </c>
    </row>
    <row r="5148" spans="7:14" ht="11.25" customHeight="1" x14ac:dyDescent="0.3">
      <c r="G5148" s="459"/>
      <c r="H5148" s="459">
        <v>5141</v>
      </c>
      <c r="I5148" s="444">
        <f t="shared" ca="1" si="185"/>
        <v>-1067591858194897.1</v>
      </c>
      <c r="J5148" s="444">
        <f t="array" ref="J5148">IFERROR(INDEX('Retirement Calculator'!K:K,MATCH('Lorri 401b'!N5148,'Retirement Calculator'!A:A,0),0),0)</f>
        <v>0</v>
      </c>
      <c r="K5148" s="444">
        <f t="shared" ca="1" si="183"/>
        <v>-4448299409145.4043</v>
      </c>
      <c r="L5148" s="444">
        <f t="shared" ca="1" si="184"/>
        <v>-1072040157604042.5</v>
      </c>
      <c r="M5148" s="460">
        <f t="shared" si="186"/>
        <v>0.05</v>
      </c>
      <c r="N5148" s="464">
        <f t="shared" si="187"/>
        <v>207734</v>
      </c>
    </row>
    <row r="5149" spans="7:14" ht="11.25" customHeight="1" x14ac:dyDescent="0.3">
      <c r="G5149" s="459"/>
      <c r="H5149" s="459">
        <v>5142</v>
      </c>
      <c r="I5149" s="444">
        <f t="shared" ca="1" si="185"/>
        <v>-1072040157604042.5</v>
      </c>
      <c r="J5149" s="444">
        <f t="array" ref="J5149">IFERROR(INDEX('Retirement Calculator'!K:K,MATCH('Lorri 401b'!N5149,'Retirement Calculator'!A:A,0),0),0)</f>
        <v>0</v>
      </c>
      <c r="K5149" s="444">
        <f t="shared" ca="1" si="183"/>
        <v>-4466833990016.8438</v>
      </c>
      <c r="L5149" s="444">
        <f t="shared" ca="1" si="184"/>
        <v>-1076506991594059.4</v>
      </c>
      <c r="M5149" s="460">
        <f t="shared" si="186"/>
        <v>0.05</v>
      </c>
      <c r="N5149" s="464">
        <f t="shared" si="187"/>
        <v>207765</v>
      </c>
    </row>
    <row r="5150" spans="7:14" ht="11.25" customHeight="1" x14ac:dyDescent="0.3">
      <c r="G5150" s="459"/>
      <c r="H5150" s="459">
        <v>5143</v>
      </c>
      <c r="I5150" s="444">
        <f t="shared" ca="1" si="185"/>
        <v>-1076506991594059.4</v>
      </c>
      <c r="J5150" s="444">
        <f t="array" ref="J5150">IFERROR(INDEX('Retirement Calculator'!K:K,MATCH('Lorri 401b'!N5150,'Retirement Calculator'!A:A,0),0),0)</f>
        <v>0</v>
      </c>
      <c r="K5150" s="444">
        <f t="shared" ca="1" si="183"/>
        <v>-4485445798308.5811</v>
      </c>
      <c r="L5150" s="444">
        <f t="shared" ca="1" si="184"/>
        <v>-1080992437392368</v>
      </c>
      <c r="M5150" s="460">
        <f t="shared" si="186"/>
        <v>0.05</v>
      </c>
      <c r="N5150" s="464">
        <f t="shared" si="187"/>
        <v>207795</v>
      </c>
    </row>
    <row r="5151" spans="7:14" ht="11.25" customHeight="1" x14ac:dyDescent="0.3">
      <c r="G5151" s="459"/>
      <c r="H5151" s="459">
        <v>5144</v>
      </c>
      <c r="I5151" s="444">
        <f t="shared" ca="1" si="185"/>
        <v>-1080992437392368</v>
      </c>
      <c r="J5151" s="444">
        <f t="array" ref="J5151">IFERROR(INDEX('Retirement Calculator'!K:K,MATCH('Lorri 401b'!N5151,'Retirement Calculator'!A:A,0),0),0)</f>
        <v>0</v>
      </c>
      <c r="K5151" s="444">
        <f t="shared" ca="1" si="183"/>
        <v>-4504135155801.5332</v>
      </c>
      <c r="L5151" s="444">
        <f t="shared" ca="1" si="184"/>
        <v>-1085496572548169.5</v>
      </c>
      <c r="M5151" s="460">
        <f t="shared" si="186"/>
        <v>0.05</v>
      </c>
      <c r="N5151" s="464">
        <f t="shared" si="187"/>
        <v>207826</v>
      </c>
    </row>
    <row r="5152" spans="7:14" ht="11.25" customHeight="1" x14ac:dyDescent="0.3">
      <c r="G5152" s="459"/>
      <c r="H5152" s="459">
        <v>5145</v>
      </c>
      <c r="I5152" s="444">
        <f t="shared" ca="1" si="185"/>
        <v>-1085496572548169.5</v>
      </c>
      <c r="J5152" s="444">
        <f t="array" ref="J5152">IFERROR(INDEX('Retirement Calculator'!K:K,MATCH('Lorri 401b'!N5152,'Retirement Calculator'!A:A,0),0),0)</f>
        <v>0</v>
      </c>
      <c r="K5152" s="444">
        <f t="shared" ca="1" si="183"/>
        <v>-4522902385617.373</v>
      </c>
      <c r="L5152" s="444">
        <f t="shared" ca="1" si="184"/>
        <v>-1090019474933786.9</v>
      </c>
      <c r="M5152" s="460">
        <f t="shared" si="186"/>
        <v>0.05</v>
      </c>
      <c r="N5152" s="464">
        <f t="shared" si="187"/>
        <v>207857</v>
      </c>
    </row>
    <row r="5153" spans="7:14" ht="11.25" customHeight="1" x14ac:dyDescent="0.3">
      <c r="G5153" s="459"/>
      <c r="H5153" s="459">
        <v>5146</v>
      </c>
      <c r="I5153" s="444">
        <f t="shared" ca="1" si="185"/>
        <v>-1090019474933786.9</v>
      </c>
      <c r="J5153" s="444">
        <f t="array" ref="J5153">IFERROR(INDEX('Retirement Calculator'!K:K,MATCH('Lorri 401b'!N5153,'Retirement Calculator'!A:A,0),0),0)</f>
        <v>0</v>
      </c>
      <c r="K5153" s="444">
        <f t="shared" ca="1" si="183"/>
        <v>-4541747812224.1123</v>
      </c>
      <c r="L5153" s="444">
        <f t="shared" ca="1" si="184"/>
        <v>-1094561222746011</v>
      </c>
      <c r="M5153" s="460">
        <f t="shared" si="186"/>
        <v>0.05</v>
      </c>
      <c r="N5153" s="464">
        <f t="shared" si="187"/>
        <v>207885</v>
      </c>
    </row>
    <row r="5154" spans="7:14" ht="11.25" customHeight="1" x14ac:dyDescent="0.3">
      <c r="G5154" s="459"/>
      <c r="H5154" s="459">
        <v>5147</v>
      </c>
      <c r="I5154" s="444">
        <f t="shared" ca="1" si="185"/>
        <v>-1094561222746011</v>
      </c>
      <c r="J5154" s="444">
        <f t="array" ref="J5154">IFERROR(INDEX('Retirement Calculator'!K:K,MATCH('Lorri 401b'!N5154,'Retirement Calculator'!A:A,0),0),0)</f>
        <v>0</v>
      </c>
      <c r="K5154" s="444">
        <f t="shared" ca="1" si="183"/>
        <v>-4560671761441.7129</v>
      </c>
      <c r="L5154" s="444">
        <f t="shared" ca="1" si="184"/>
        <v>-1099121894507452.8</v>
      </c>
      <c r="M5154" s="460">
        <f t="shared" si="186"/>
        <v>0.05</v>
      </c>
      <c r="N5154" s="464">
        <f t="shared" si="187"/>
        <v>207916</v>
      </c>
    </row>
    <row r="5155" spans="7:14" ht="11.25" customHeight="1" x14ac:dyDescent="0.3">
      <c r="G5155" s="459"/>
      <c r="H5155" s="459">
        <v>5148</v>
      </c>
      <c r="I5155" s="444">
        <f t="shared" ca="1" si="185"/>
        <v>-1099121894507452.8</v>
      </c>
      <c r="J5155" s="444">
        <f t="array" ref="J5155">IFERROR(INDEX('Retirement Calculator'!K:K,MATCH('Lorri 401b'!N5155,'Retirement Calculator'!A:A,0),0),0)</f>
        <v>0</v>
      </c>
      <c r="K5155" s="444">
        <f t="shared" ca="1" si="183"/>
        <v>-4579674560447.7197</v>
      </c>
      <c r="L5155" s="444">
        <f t="shared" ca="1" si="184"/>
        <v>-1103701569067900.5</v>
      </c>
      <c r="M5155" s="460">
        <f t="shared" si="186"/>
        <v>0.05</v>
      </c>
      <c r="N5155" s="464">
        <f t="shared" si="187"/>
        <v>207946</v>
      </c>
    </row>
    <row r="5156" spans="7:14" ht="11.25" customHeight="1" x14ac:dyDescent="0.3">
      <c r="G5156" s="459"/>
      <c r="H5156" s="459">
        <v>5149</v>
      </c>
      <c r="I5156" s="444">
        <f t="shared" ca="1" si="185"/>
        <v>-1103701569067900.5</v>
      </c>
      <c r="J5156" s="444">
        <f t="array" ref="J5156">IFERROR(INDEX('Retirement Calculator'!K:K,MATCH('Lorri 401b'!N5156,'Retirement Calculator'!A:A,0),0),0)</f>
        <v>0</v>
      </c>
      <c r="K5156" s="444">
        <f t="shared" ca="1" si="183"/>
        <v>-4598756537782.9189</v>
      </c>
      <c r="L5156" s="444">
        <f t="shared" ca="1" si="184"/>
        <v>-1108300325605683.4</v>
      </c>
      <c r="M5156" s="460">
        <f t="shared" si="186"/>
        <v>0.05</v>
      </c>
      <c r="N5156" s="464">
        <f t="shared" si="187"/>
        <v>207977</v>
      </c>
    </row>
    <row r="5157" spans="7:14" ht="11.25" customHeight="1" x14ac:dyDescent="0.3">
      <c r="G5157" s="459"/>
      <c r="H5157" s="459">
        <v>5150</v>
      </c>
      <c r="I5157" s="444">
        <f t="shared" ca="1" si="185"/>
        <v>-1108300325605683.4</v>
      </c>
      <c r="J5157" s="444">
        <f t="array" ref="J5157">IFERROR(INDEX('Retirement Calculator'!K:K,MATCH('Lorri 401b'!N5157,'Retirement Calculator'!A:A,0),0),0)</f>
        <v>0</v>
      </c>
      <c r="K5157" s="444">
        <f t="shared" ca="1" si="183"/>
        <v>-4617918023357.0137</v>
      </c>
      <c r="L5157" s="444">
        <f t="shared" ca="1" si="184"/>
        <v>-1112918243629040.4</v>
      </c>
      <c r="M5157" s="460">
        <f t="shared" si="186"/>
        <v>0.05</v>
      </c>
      <c r="N5157" s="464">
        <f t="shared" si="187"/>
        <v>208007</v>
      </c>
    </row>
    <row r="5158" spans="7:14" ht="11.25" customHeight="1" x14ac:dyDescent="0.3">
      <c r="G5158" s="459"/>
      <c r="H5158" s="459">
        <v>5151</v>
      </c>
      <c r="I5158" s="444">
        <f t="shared" ca="1" si="185"/>
        <v>-1112918243629040.4</v>
      </c>
      <c r="J5158" s="444">
        <f t="array" ref="J5158">IFERROR(INDEX('Retirement Calculator'!K:K,MATCH('Lorri 401b'!N5158,'Retirement Calculator'!A:A,0),0),0)</f>
        <v>0</v>
      </c>
      <c r="K5158" s="444">
        <f t="shared" ca="1" si="183"/>
        <v>-4637159348454.335</v>
      </c>
      <c r="L5158" s="444">
        <f t="shared" ca="1" si="184"/>
        <v>-1117555402977494.8</v>
      </c>
      <c r="M5158" s="460">
        <f t="shared" si="186"/>
        <v>0.05</v>
      </c>
      <c r="N5158" s="464">
        <f t="shared" si="187"/>
        <v>208038</v>
      </c>
    </row>
    <row r="5159" spans="7:14" ht="11.25" customHeight="1" x14ac:dyDescent="0.3">
      <c r="G5159" s="459"/>
      <c r="H5159" s="459">
        <v>5152</v>
      </c>
      <c r="I5159" s="444">
        <f t="shared" ca="1" si="185"/>
        <v>-1117555402977494.8</v>
      </c>
      <c r="J5159" s="444">
        <f t="array" ref="J5159">IFERROR(INDEX('Retirement Calculator'!K:K,MATCH('Lorri 401b'!N5159,'Retirement Calculator'!A:A,0),0),0)</f>
        <v>0</v>
      </c>
      <c r="K5159" s="444">
        <f t="shared" ca="1" si="183"/>
        <v>-4656480845739.5615</v>
      </c>
      <c r="L5159" s="444">
        <f t="shared" ca="1" si="184"/>
        <v>-1122211883823234.3</v>
      </c>
      <c r="M5159" s="460">
        <f t="shared" si="186"/>
        <v>0.05</v>
      </c>
      <c r="N5159" s="464">
        <f t="shared" si="187"/>
        <v>208069</v>
      </c>
    </row>
    <row r="5160" spans="7:14" ht="11.25" customHeight="1" x14ac:dyDescent="0.3">
      <c r="G5160" s="459"/>
      <c r="H5160" s="459">
        <v>5153</v>
      </c>
      <c r="I5160" s="444">
        <f t="shared" ca="1" si="185"/>
        <v>-1122211883823234.3</v>
      </c>
      <c r="J5160" s="444">
        <f t="array" ref="J5160">IFERROR(INDEX('Retirement Calculator'!K:K,MATCH('Lorri 401b'!N5160,'Retirement Calculator'!A:A,0),0),0)</f>
        <v>0</v>
      </c>
      <c r="K5160" s="444">
        <f t="shared" ca="1" si="183"/>
        <v>-4675882849263.4756</v>
      </c>
      <c r="L5160" s="444">
        <f t="shared" ca="1" si="184"/>
        <v>-1126887766672497.8</v>
      </c>
      <c r="M5160" s="460">
        <f t="shared" si="186"/>
        <v>0.05</v>
      </c>
      <c r="N5160" s="464">
        <f t="shared" si="187"/>
        <v>208099</v>
      </c>
    </row>
    <row r="5161" spans="7:14" ht="11.25" customHeight="1" x14ac:dyDescent="0.3">
      <c r="G5161" s="459"/>
      <c r="H5161" s="459">
        <v>5154</v>
      </c>
      <c r="I5161" s="444">
        <f t="shared" ca="1" si="185"/>
        <v>-1126887766672497.8</v>
      </c>
      <c r="J5161" s="444">
        <f t="array" ref="J5161">IFERROR(INDEX('Retirement Calculator'!K:K,MATCH('Lorri 401b'!N5161,'Retirement Calculator'!A:A,0),0),0)</f>
        <v>0</v>
      </c>
      <c r="K5161" s="444">
        <f t="shared" ca="1" si="183"/>
        <v>-4695365694468.7402</v>
      </c>
      <c r="L5161" s="444">
        <f t="shared" ca="1" si="184"/>
        <v>-1131583132366966.5</v>
      </c>
      <c r="M5161" s="460">
        <f t="shared" si="186"/>
        <v>0.05</v>
      </c>
      <c r="N5161" s="464">
        <f t="shared" si="187"/>
        <v>208130</v>
      </c>
    </row>
    <row r="5162" spans="7:14" ht="11.25" customHeight="1" x14ac:dyDescent="0.3">
      <c r="G5162" s="459"/>
      <c r="H5162" s="459">
        <v>5155</v>
      </c>
      <c r="I5162" s="444">
        <f t="shared" ca="1" si="185"/>
        <v>-1131583132366966.5</v>
      </c>
      <c r="J5162" s="444">
        <f t="array" ref="J5162">IFERROR(INDEX('Retirement Calculator'!K:K,MATCH('Lorri 401b'!N5162,'Retirement Calculator'!A:A,0),0),0)</f>
        <v>0</v>
      </c>
      <c r="K5162" s="444">
        <f t="shared" ca="1" si="183"/>
        <v>-4714929718195.6934</v>
      </c>
      <c r="L5162" s="444">
        <f t="shared" ca="1" si="184"/>
        <v>-1136298062085162.3</v>
      </c>
      <c r="M5162" s="460">
        <f t="shared" si="186"/>
        <v>0.05</v>
      </c>
      <c r="N5162" s="464">
        <f t="shared" si="187"/>
        <v>208160</v>
      </c>
    </row>
    <row r="5163" spans="7:14" ht="11.25" customHeight="1" x14ac:dyDescent="0.3">
      <c r="G5163" s="459"/>
      <c r="H5163" s="459">
        <v>5156</v>
      </c>
      <c r="I5163" s="444">
        <f t="shared" ca="1" si="185"/>
        <v>-1136298062085162.3</v>
      </c>
      <c r="J5163" s="444">
        <f t="array" ref="J5163">IFERROR(INDEX('Retirement Calculator'!K:K,MATCH('Lorri 401b'!N5163,'Retirement Calculator'!A:A,0),0),0)</f>
        <v>0</v>
      </c>
      <c r="K5163" s="444">
        <f t="shared" ca="1" si="183"/>
        <v>-4734575258688.1758</v>
      </c>
      <c r="L5163" s="444">
        <f t="shared" ca="1" si="184"/>
        <v>-1141032637343850.5</v>
      </c>
      <c r="M5163" s="460">
        <f t="shared" si="186"/>
        <v>0.05</v>
      </c>
      <c r="N5163" s="464">
        <f t="shared" si="187"/>
        <v>208191</v>
      </c>
    </row>
    <row r="5164" spans="7:14" ht="11.25" customHeight="1" x14ac:dyDescent="0.3">
      <c r="G5164" s="459"/>
      <c r="H5164" s="459">
        <v>5157</v>
      </c>
      <c r="I5164" s="444">
        <f t="shared" ca="1" si="185"/>
        <v>-1141032637343850.5</v>
      </c>
      <c r="J5164" s="444">
        <f t="array" ref="J5164">IFERROR(INDEX('Retirement Calculator'!K:K,MATCH('Lorri 401b'!N5164,'Retirement Calculator'!A:A,0),0),0)</f>
        <v>0</v>
      </c>
      <c r="K5164" s="444">
        <f t="shared" ca="1" si="183"/>
        <v>-4754302655599.377</v>
      </c>
      <c r="L5164" s="444">
        <f t="shared" ca="1" si="184"/>
        <v>-1145786939999450</v>
      </c>
      <c r="M5164" s="460">
        <f t="shared" si="186"/>
        <v>0.05</v>
      </c>
      <c r="N5164" s="464">
        <f t="shared" si="187"/>
        <v>208222</v>
      </c>
    </row>
    <row r="5165" spans="7:14" ht="11.25" customHeight="1" x14ac:dyDescent="0.3">
      <c r="G5165" s="459"/>
      <c r="H5165" s="459">
        <v>5158</v>
      </c>
      <c r="I5165" s="444">
        <f t="shared" ca="1" si="185"/>
        <v>-1145786939999450</v>
      </c>
      <c r="J5165" s="444">
        <f t="array" ref="J5165">IFERROR(INDEX('Retirement Calculator'!K:K,MATCH('Lorri 401b'!N5165,'Retirement Calculator'!A:A,0),0),0)</f>
        <v>0</v>
      </c>
      <c r="K5165" s="444">
        <f t="shared" ca="1" si="183"/>
        <v>-4774112249997.708</v>
      </c>
      <c r="L5165" s="444">
        <f t="shared" ca="1" si="184"/>
        <v>-1150561052249447.8</v>
      </c>
      <c r="M5165" s="460">
        <f t="shared" si="186"/>
        <v>0.05</v>
      </c>
      <c r="N5165" s="464">
        <f t="shared" si="187"/>
        <v>208250</v>
      </c>
    </row>
    <row r="5166" spans="7:14" ht="11.25" customHeight="1" x14ac:dyDescent="0.3">
      <c r="G5166" s="459"/>
      <c r="H5166" s="459">
        <v>5159</v>
      </c>
      <c r="I5166" s="444">
        <f t="shared" ca="1" si="185"/>
        <v>-1150561052249447.8</v>
      </c>
      <c r="J5166" s="444">
        <f t="array" ref="J5166">IFERROR(INDEX('Retirement Calculator'!K:K,MATCH('Lorri 401b'!N5166,'Retirement Calculator'!A:A,0),0),0)</f>
        <v>0</v>
      </c>
      <c r="K5166" s="444">
        <f t="shared" ca="1" si="183"/>
        <v>-4794004384372.6992</v>
      </c>
      <c r="L5166" s="444">
        <f t="shared" ca="1" si="184"/>
        <v>-1155355056633820.5</v>
      </c>
      <c r="M5166" s="460">
        <f t="shared" si="186"/>
        <v>0.05</v>
      </c>
      <c r="N5166" s="464">
        <f t="shared" si="187"/>
        <v>208281</v>
      </c>
    </row>
    <row r="5167" spans="7:14" ht="11.25" customHeight="1" x14ac:dyDescent="0.3">
      <c r="G5167" s="459"/>
      <c r="H5167" s="459">
        <v>5160</v>
      </c>
      <c r="I5167" s="444">
        <f t="shared" ca="1" si="185"/>
        <v>-1155355056633820.5</v>
      </c>
      <c r="J5167" s="444">
        <f t="array" ref="J5167">IFERROR(INDEX('Retirement Calculator'!K:K,MATCH('Lorri 401b'!N5167,'Retirement Calculator'!A:A,0),0),0)</f>
        <v>0</v>
      </c>
      <c r="K5167" s="444">
        <f t="shared" ca="1" si="183"/>
        <v>-4813979402640.9189</v>
      </c>
      <c r="L5167" s="444">
        <f t="shared" ca="1" si="184"/>
        <v>-1160169036036461.5</v>
      </c>
      <c r="M5167" s="460">
        <f t="shared" si="186"/>
        <v>0.05</v>
      </c>
      <c r="N5167" s="464">
        <f t="shared" si="187"/>
        <v>208311</v>
      </c>
    </row>
    <row r="5168" spans="7:14" ht="11.25" customHeight="1" x14ac:dyDescent="0.3">
      <c r="G5168" s="459"/>
      <c r="H5168" s="459">
        <v>5161</v>
      </c>
      <c r="I5168" s="444">
        <f t="shared" ca="1" si="185"/>
        <v>-1160169036036461.5</v>
      </c>
      <c r="J5168" s="444">
        <f t="array" ref="J5168">IFERROR(INDEX('Retirement Calculator'!K:K,MATCH('Lorri 401b'!N5168,'Retirement Calculator'!A:A,0),0),0)</f>
        <v>0</v>
      </c>
      <c r="K5168" s="444">
        <f t="shared" ca="1" si="183"/>
        <v>-4834037650151.9229</v>
      </c>
      <c r="L5168" s="444">
        <f t="shared" ca="1" si="184"/>
        <v>-1165003073686613.5</v>
      </c>
      <c r="M5168" s="460">
        <f t="shared" si="186"/>
        <v>0.05</v>
      </c>
      <c r="N5168" s="464">
        <f t="shared" si="187"/>
        <v>208342</v>
      </c>
    </row>
    <row r="5169" spans="7:14" ht="11.25" customHeight="1" x14ac:dyDescent="0.3">
      <c r="G5169" s="459"/>
      <c r="H5169" s="459">
        <v>5162</v>
      </c>
      <c r="I5169" s="444">
        <f t="shared" ca="1" si="185"/>
        <v>-1165003073686613.5</v>
      </c>
      <c r="J5169" s="444">
        <f t="array" ref="J5169">IFERROR(INDEX('Retirement Calculator'!K:K,MATCH('Lorri 401b'!N5169,'Retirement Calculator'!A:A,0),0),0)</f>
        <v>0</v>
      </c>
      <c r="K5169" s="444">
        <f t="shared" ca="1" si="183"/>
        <v>-4854179473694.2227</v>
      </c>
      <c r="L5169" s="444">
        <f t="shared" ca="1" si="184"/>
        <v>-1169857253160307.8</v>
      </c>
      <c r="M5169" s="460">
        <f t="shared" si="186"/>
        <v>0.05</v>
      </c>
      <c r="N5169" s="464">
        <f t="shared" si="187"/>
        <v>208372</v>
      </c>
    </row>
    <row r="5170" spans="7:14" ht="11.25" customHeight="1" x14ac:dyDescent="0.3">
      <c r="G5170" s="459"/>
      <c r="H5170" s="459">
        <v>5163</v>
      </c>
      <c r="I5170" s="444">
        <f t="shared" ca="1" si="185"/>
        <v>-1169857253160307.8</v>
      </c>
      <c r="J5170" s="444">
        <f t="array" ref="J5170">IFERROR(INDEX('Retirement Calculator'!K:K,MATCH('Lorri 401b'!N5170,'Retirement Calculator'!A:A,0),0),0)</f>
        <v>0</v>
      </c>
      <c r="K5170" s="444">
        <f t="shared" ca="1" si="183"/>
        <v>-4874405221501.2822</v>
      </c>
      <c r="L5170" s="444">
        <f t="shared" ca="1" si="184"/>
        <v>-1174731658381809</v>
      </c>
      <c r="M5170" s="460">
        <f t="shared" si="186"/>
        <v>0.05</v>
      </c>
      <c r="N5170" s="464">
        <f t="shared" si="187"/>
        <v>208403</v>
      </c>
    </row>
    <row r="5171" spans="7:14" ht="11.25" customHeight="1" x14ac:dyDescent="0.3">
      <c r="G5171" s="459"/>
      <c r="H5171" s="459">
        <v>5164</v>
      </c>
      <c r="I5171" s="444">
        <f t="shared" ca="1" si="185"/>
        <v>-1174731658381809</v>
      </c>
      <c r="J5171" s="444">
        <f t="array" ref="J5171">IFERROR(INDEX('Retirement Calculator'!K:K,MATCH('Lorri 401b'!N5171,'Retirement Calculator'!A:A,0),0),0)</f>
        <v>0</v>
      </c>
      <c r="K5171" s="444">
        <f t="shared" ca="1" si="183"/>
        <v>-4894715243257.5371</v>
      </c>
      <c r="L5171" s="444">
        <f t="shared" ca="1" si="184"/>
        <v>-1179626373625066.5</v>
      </c>
      <c r="M5171" s="460">
        <f t="shared" si="186"/>
        <v>0.05</v>
      </c>
      <c r="N5171" s="464">
        <f t="shared" si="187"/>
        <v>208434</v>
      </c>
    </row>
    <row r="5172" spans="7:14" ht="11.25" customHeight="1" x14ac:dyDescent="0.3">
      <c r="G5172" s="459"/>
      <c r="H5172" s="459">
        <v>5165</v>
      </c>
      <c r="I5172" s="444">
        <f t="shared" ca="1" si="185"/>
        <v>-1179626373625066.5</v>
      </c>
      <c r="J5172" s="444">
        <f t="array" ref="J5172">IFERROR(INDEX('Retirement Calculator'!K:K,MATCH('Lorri 401b'!N5172,'Retirement Calculator'!A:A,0),0),0)</f>
        <v>0</v>
      </c>
      <c r="K5172" s="444">
        <f t="shared" ca="1" si="183"/>
        <v>-4915109890104.4434</v>
      </c>
      <c r="L5172" s="444">
        <f t="shared" ca="1" si="184"/>
        <v>-1184541483515171</v>
      </c>
      <c r="M5172" s="460">
        <f t="shared" si="186"/>
        <v>0.05</v>
      </c>
      <c r="N5172" s="464">
        <f t="shared" si="187"/>
        <v>208464</v>
      </c>
    </row>
    <row r="5173" spans="7:14" ht="11.25" customHeight="1" x14ac:dyDescent="0.3">
      <c r="G5173" s="459"/>
      <c r="H5173" s="459">
        <v>5166</v>
      </c>
      <c r="I5173" s="444">
        <f t="shared" ca="1" si="185"/>
        <v>-1184541483515171</v>
      </c>
      <c r="J5173" s="444">
        <f t="array" ref="J5173">IFERROR(INDEX('Retirement Calculator'!K:K,MATCH('Lorri 401b'!N5173,'Retirement Calculator'!A:A,0),0),0)</f>
        <v>0</v>
      </c>
      <c r="K5173" s="444">
        <f t="shared" ca="1" si="183"/>
        <v>-4935589514646.5459</v>
      </c>
      <c r="L5173" s="444">
        <f t="shared" ca="1" si="184"/>
        <v>-1189477073029817.5</v>
      </c>
      <c r="M5173" s="460">
        <f t="shared" si="186"/>
        <v>0.05</v>
      </c>
      <c r="N5173" s="464">
        <f t="shared" si="187"/>
        <v>208495</v>
      </c>
    </row>
    <row r="5174" spans="7:14" ht="11.25" customHeight="1" x14ac:dyDescent="0.3">
      <c r="G5174" s="459"/>
      <c r="H5174" s="459">
        <v>5167</v>
      </c>
      <c r="I5174" s="444">
        <f t="shared" ca="1" si="185"/>
        <v>-1189477073029817.5</v>
      </c>
      <c r="J5174" s="444">
        <f t="array" ref="J5174">IFERROR(INDEX('Retirement Calculator'!K:K,MATCH('Lorri 401b'!N5174,'Retirement Calculator'!A:A,0),0),0)</f>
        <v>0</v>
      </c>
      <c r="K5174" s="444">
        <f t="shared" ca="1" si="183"/>
        <v>-4956154470957.5732</v>
      </c>
      <c r="L5174" s="444">
        <f t="shared" ca="1" si="184"/>
        <v>-1194433227500775</v>
      </c>
      <c r="M5174" s="460">
        <f t="shared" si="186"/>
        <v>0.05</v>
      </c>
      <c r="N5174" s="464">
        <f t="shared" si="187"/>
        <v>208525</v>
      </c>
    </row>
    <row r="5175" spans="7:14" ht="11.25" customHeight="1" x14ac:dyDescent="0.3">
      <c r="G5175" s="459"/>
      <c r="H5175" s="459">
        <v>5168</v>
      </c>
      <c r="I5175" s="444">
        <f t="shared" ca="1" si="185"/>
        <v>-1194433227500775</v>
      </c>
      <c r="J5175" s="444">
        <f t="array" ref="J5175">IFERROR(INDEX('Retirement Calculator'!K:K,MATCH('Lorri 401b'!N5175,'Retirement Calculator'!A:A,0),0),0)</f>
        <v>0</v>
      </c>
      <c r="K5175" s="444">
        <f t="shared" ca="1" si="183"/>
        <v>-4976805114586.5625</v>
      </c>
      <c r="L5175" s="444">
        <f t="shared" ca="1" si="184"/>
        <v>-1199410032615361.5</v>
      </c>
      <c r="M5175" s="460">
        <f t="shared" si="186"/>
        <v>0.05</v>
      </c>
      <c r="N5175" s="464">
        <f t="shared" si="187"/>
        <v>208556</v>
      </c>
    </row>
    <row r="5176" spans="7:14" ht="11.25" customHeight="1" x14ac:dyDescent="0.3">
      <c r="G5176" s="459"/>
      <c r="H5176" s="459">
        <v>5169</v>
      </c>
      <c r="I5176" s="444">
        <f t="shared" ca="1" si="185"/>
        <v>-1199410032615361.5</v>
      </c>
      <c r="J5176" s="444">
        <f t="array" ref="J5176">IFERROR(INDEX('Retirement Calculator'!K:K,MATCH('Lorri 401b'!N5176,'Retirement Calculator'!A:A,0),0),0)</f>
        <v>0</v>
      </c>
      <c r="K5176" s="444">
        <f t="shared" ca="1" si="183"/>
        <v>-4997541802564.0059</v>
      </c>
      <c r="L5176" s="444">
        <f t="shared" ca="1" si="184"/>
        <v>-1204407574417925.5</v>
      </c>
      <c r="M5176" s="460">
        <f t="shared" si="186"/>
        <v>0.05</v>
      </c>
      <c r="N5176" s="464">
        <f t="shared" si="187"/>
        <v>208587</v>
      </c>
    </row>
    <row r="5177" spans="7:14" ht="11.25" customHeight="1" x14ac:dyDescent="0.3">
      <c r="G5177" s="459"/>
      <c r="H5177" s="459">
        <v>5170</v>
      </c>
      <c r="I5177" s="444">
        <f t="shared" ca="1" si="185"/>
        <v>-1204407574417925.5</v>
      </c>
      <c r="J5177" s="444">
        <f t="array" ref="J5177">IFERROR(INDEX('Retirement Calculator'!K:K,MATCH('Lorri 401b'!N5177,'Retirement Calculator'!A:A,0),0),0)</f>
        <v>0</v>
      </c>
      <c r="K5177" s="444">
        <f t="shared" ca="1" si="183"/>
        <v>-5018364893408.0225</v>
      </c>
      <c r="L5177" s="444">
        <f t="shared" ca="1" si="184"/>
        <v>-1209425939311333.5</v>
      </c>
      <c r="M5177" s="460">
        <f t="shared" si="186"/>
        <v>0.05</v>
      </c>
      <c r="N5177" s="464">
        <f t="shared" si="187"/>
        <v>208615</v>
      </c>
    </row>
    <row r="5178" spans="7:14" ht="11.25" customHeight="1" x14ac:dyDescent="0.3">
      <c r="G5178" s="459"/>
      <c r="H5178" s="459">
        <v>5171</v>
      </c>
      <c r="I5178" s="444">
        <f t="shared" ca="1" si="185"/>
        <v>-1209425939311333.5</v>
      </c>
      <c r="J5178" s="444">
        <f t="array" ref="J5178">IFERROR(INDEX('Retirement Calculator'!K:K,MATCH('Lorri 401b'!N5178,'Retirement Calculator'!A:A,0),0),0)</f>
        <v>0</v>
      </c>
      <c r="K5178" s="444">
        <f t="shared" ca="1" si="183"/>
        <v>-5039274747130.5566</v>
      </c>
      <c r="L5178" s="444">
        <f t="shared" ca="1" si="184"/>
        <v>-1214465214058464</v>
      </c>
      <c r="M5178" s="460">
        <f t="shared" si="186"/>
        <v>0.05</v>
      </c>
      <c r="N5178" s="464">
        <f t="shared" si="187"/>
        <v>208646</v>
      </c>
    </row>
    <row r="5179" spans="7:14" ht="11.25" customHeight="1" x14ac:dyDescent="0.3">
      <c r="G5179" s="459"/>
      <c r="H5179" s="459">
        <v>5172</v>
      </c>
      <c r="I5179" s="444">
        <f t="shared" ca="1" si="185"/>
        <v>-1214465214058464</v>
      </c>
      <c r="J5179" s="444">
        <f t="array" ref="J5179">IFERROR(INDEX('Retirement Calculator'!K:K,MATCH('Lorri 401b'!N5179,'Retirement Calculator'!A:A,0),0),0)</f>
        <v>0</v>
      </c>
      <c r="K5179" s="444">
        <f t="shared" ca="1" si="183"/>
        <v>-5060271725243.5996</v>
      </c>
      <c r="L5179" s="444">
        <f t="shared" ca="1" si="184"/>
        <v>-1219525485783707.5</v>
      </c>
      <c r="M5179" s="460">
        <f t="shared" si="186"/>
        <v>0.05</v>
      </c>
      <c r="N5179" s="464">
        <f t="shared" si="187"/>
        <v>208676</v>
      </c>
    </row>
    <row r="5180" spans="7:14" ht="11.25" customHeight="1" x14ac:dyDescent="0.3">
      <c r="G5180" s="459"/>
      <c r="H5180" s="459">
        <v>5173</v>
      </c>
      <c r="I5180" s="444">
        <f t="shared" ca="1" si="185"/>
        <v>-1219525485783707.5</v>
      </c>
      <c r="J5180" s="444">
        <f t="array" ref="J5180">IFERROR(INDEX('Retirement Calculator'!K:K,MATCH('Lorri 401b'!N5180,'Retirement Calculator'!A:A,0),0),0)</f>
        <v>0</v>
      </c>
      <c r="K5180" s="444">
        <f t="shared" ca="1" si="183"/>
        <v>-5081356190765.4482</v>
      </c>
      <c r="L5180" s="444">
        <f t="shared" ca="1" si="184"/>
        <v>-1224606841974473</v>
      </c>
      <c r="M5180" s="460">
        <f t="shared" si="186"/>
        <v>0.05</v>
      </c>
      <c r="N5180" s="464">
        <f t="shared" si="187"/>
        <v>208707</v>
      </c>
    </row>
    <row r="5181" spans="7:14" ht="11.25" customHeight="1" x14ac:dyDescent="0.3">
      <c r="G5181" s="459"/>
      <c r="H5181" s="459">
        <v>5174</v>
      </c>
      <c r="I5181" s="444">
        <f t="shared" ca="1" si="185"/>
        <v>-1224606841974473</v>
      </c>
      <c r="J5181" s="444">
        <f t="array" ref="J5181">IFERROR(INDEX('Retirement Calculator'!K:K,MATCH('Lorri 401b'!N5181,'Retirement Calculator'!A:A,0),0),0)</f>
        <v>0</v>
      </c>
      <c r="K5181" s="444">
        <f t="shared" ca="1" si="183"/>
        <v>-5102528508226.9707</v>
      </c>
      <c r="L5181" s="444">
        <f t="shared" ca="1" si="184"/>
        <v>-1229709370482700</v>
      </c>
      <c r="M5181" s="460">
        <f t="shared" si="186"/>
        <v>0.05</v>
      </c>
      <c r="N5181" s="464">
        <f t="shared" si="187"/>
        <v>208737</v>
      </c>
    </row>
    <row r="5182" spans="7:14" ht="11.25" customHeight="1" x14ac:dyDescent="0.3">
      <c r="G5182" s="459"/>
      <c r="H5182" s="459">
        <v>5175</v>
      </c>
      <c r="I5182" s="444">
        <f t="shared" ca="1" si="185"/>
        <v>-1229709370482700</v>
      </c>
      <c r="J5182" s="444">
        <f t="array" ref="J5182">IFERROR(INDEX('Retirement Calculator'!K:K,MATCH('Lorri 401b'!N5182,'Retirement Calculator'!A:A,0),0),0)</f>
        <v>0</v>
      </c>
      <c r="K5182" s="444">
        <f t="shared" ca="1" si="183"/>
        <v>-5123789043677.917</v>
      </c>
      <c r="L5182" s="444">
        <f t="shared" ca="1" si="184"/>
        <v>-1234833159526378</v>
      </c>
      <c r="M5182" s="460">
        <f t="shared" si="186"/>
        <v>0.05</v>
      </c>
      <c r="N5182" s="464">
        <f t="shared" si="187"/>
        <v>208768</v>
      </c>
    </row>
    <row r="5183" spans="7:14" ht="11.25" customHeight="1" x14ac:dyDescent="0.3">
      <c r="G5183" s="459"/>
      <c r="H5183" s="459">
        <v>5176</v>
      </c>
      <c r="I5183" s="444">
        <f t="shared" ca="1" si="185"/>
        <v>-1234833159526378</v>
      </c>
      <c r="J5183" s="444">
        <f t="array" ref="J5183">IFERROR(INDEX('Retirement Calculator'!K:K,MATCH('Lorri 401b'!N5183,'Retirement Calculator'!A:A,0),0),0)</f>
        <v>0</v>
      </c>
      <c r="K5183" s="444">
        <f t="shared" ca="1" si="183"/>
        <v>-5145138164693.2412</v>
      </c>
      <c r="L5183" s="444">
        <f t="shared" ca="1" si="184"/>
        <v>-1239978297691071.3</v>
      </c>
      <c r="M5183" s="460">
        <f t="shared" si="186"/>
        <v>0.05</v>
      </c>
      <c r="N5183" s="464">
        <f t="shared" si="187"/>
        <v>208799</v>
      </c>
    </row>
    <row r="5184" spans="7:14" ht="11.25" customHeight="1" x14ac:dyDescent="0.3">
      <c r="G5184" s="459"/>
      <c r="H5184" s="459">
        <v>5177</v>
      </c>
      <c r="I5184" s="444">
        <f t="shared" ca="1" si="185"/>
        <v>-1239978297691071.3</v>
      </c>
      <c r="J5184" s="444">
        <f t="array" ref="J5184">IFERROR(INDEX('Retirement Calculator'!K:K,MATCH('Lorri 401b'!N5184,'Retirement Calculator'!A:A,0),0),0)</f>
        <v>0</v>
      </c>
      <c r="K5184" s="444">
        <f t="shared" ca="1" si="183"/>
        <v>-5166576240379.4639</v>
      </c>
      <c r="L5184" s="444">
        <f t="shared" ca="1" si="184"/>
        <v>-1245144873931450.8</v>
      </c>
      <c r="M5184" s="460">
        <f t="shared" si="186"/>
        <v>0.05</v>
      </c>
      <c r="N5184" s="464">
        <f t="shared" si="187"/>
        <v>208829</v>
      </c>
    </row>
    <row r="5185" spans="7:14" ht="11.25" customHeight="1" x14ac:dyDescent="0.3">
      <c r="G5185" s="459"/>
      <c r="H5185" s="459">
        <v>5178</v>
      </c>
      <c r="I5185" s="444">
        <f t="shared" ca="1" si="185"/>
        <v>-1245144873931450.8</v>
      </c>
      <c r="J5185" s="444">
        <f t="array" ref="J5185">IFERROR(INDEX('Retirement Calculator'!K:K,MATCH('Lorri 401b'!N5185,'Retirement Calculator'!A:A,0),0),0)</f>
        <v>0</v>
      </c>
      <c r="K5185" s="444">
        <f t="shared" ca="1" si="183"/>
        <v>-5188103641381.0449</v>
      </c>
      <c r="L5185" s="444">
        <f t="shared" ca="1" si="184"/>
        <v>-1250332977572831.8</v>
      </c>
      <c r="M5185" s="460">
        <f t="shared" si="186"/>
        <v>0.05</v>
      </c>
      <c r="N5185" s="464">
        <f t="shared" si="187"/>
        <v>208860</v>
      </c>
    </row>
    <row r="5186" spans="7:14" ht="11.25" customHeight="1" x14ac:dyDescent="0.3">
      <c r="G5186" s="459"/>
      <c r="H5186" s="459">
        <v>5179</v>
      </c>
      <c r="I5186" s="444">
        <f t="shared" ca="1" si="185"/>
        <v>-1250332977572831.8</v>
      </c>
      <c r="J5186" s="444">
        <f t="array" ref="J5186">IFERROR(INDEX('Retirement Calculator'!K:K,MATCH('Lorri 401b'!N5186,'Retirement Calculator'!A:A,0),0),0)</f>
        <v>0</v>
      </c>
      <c r="K5186" s="444">
        <f t="shared" ca="1" si="183"/>
        <v>-5209720739886.7988</v>
      </c>
      <c r="L5186" s="444">
        <f t="shared" ca="1" si="184"/>
        <v>-1255542698312718.5</v>
      </c>
      <c r="M5186" s="460">
        <f t="shared" si="186"/>
        <v>0.05</v>
      </c>
      <c r="N5186" s="464">
        <f t="shared" si="187"/>
        <v>208890</v>
      </c>
    </row>
    <row r="5187" spans="7:14" ht="11.25" customHeight="1" x14ac:dyDescent="0.3">
      <c r="G5187" s="459"/>
      <c r="H5187" s="459">
        <v>5180</v>
      </c>
      <c r="I5187" s="444">
        <f t="shared" ca="1" si="185"/>
        <v>-1255542698312718.5</v>
      </c>
      <c r="J5187" s="444">
        <f t="array" ref="J5187">IFERROR(INDEX('Retirement Calculator'!K:K,MATCH('Lorri 401b'!N5187,'Retirement Calculator'!A:A,0),0),0)</f>
        <v>0</v>
      </c>
      <c r="K5187" s="444">
        <f t="shared" ca="1" si="183"/>
        <v>-5231427909636.3271</v>
      </c>
      <c r="L5187" s="444">
        <f t="shared" ca="1" si="184"/>
        <v>-1260774126222354.8</v>
      </c>
      <c r="M5187" s="460">
        <f t="shared" si="186"/>
        <v>0.05</v>
      </c>
      <c r="N5187" s="464">
        <f t="shared" si="187"/>
        <v>208921</v>
      </c>
    </row>
    <row r="5188" spans="7:14" ht="11.25" customHeight="1" x14ac:dyDescent="0.3">
      <c r="G5188" s="459"/>
      <c r="H5188" s="459">
        <v>5181</v>
      </c>
      <c r="I5188" s="444">
        <f t="shared" ca="1" si="185"/>
        <v>-1260774126222354.8</v>
      </c>
      <c r="J5188" s="444">
        <f t="array" ref="J5188">IFERROR(INDEX('Retirement Calculator'!K:K,MATCH('Lorri 401b'!N5188,'Retirement Calculator'!A:A,0),0),0)</f>
        <v>0</v>
      </c>
      <c r="K5188" s="444">
        <f t="shared" ca="1" si="183"/>
        <v>-5253225525926.4785</v>
      </c>
      <c r="L5188" s="444">
        <f t="shared" ca="1" si="184"/>
        <v>-1266027351748281.3</v>
      </c>
      <c r="M5188" s="460">
        <f t="shared" si="186"/>
        <v>0.05</v>
      </c>
      <c r="N5188" s="464">
        <f t="shared" si="187"/>
        <v>208952</v>
      </c>
    </row>
    <row r="5189" spans="7:14" ht="11.25" customHeight="1" x14ac:dyDescent="0.3">
      <c r="G5189" s="459"/>
      <c r="H5189" s="459">
        <v>5182</v>
      </c>
      <c r="I5189" s="444">
        <f t="shared" ca="1" si="185"/>
        <v>-1266027351748281.3</v>
      </c>
      <c r="J5189" s="444">
        <f t="array" ref="J5189">IFERROR(INDEX('Retirement Calculator'!K:K,MATCH('Lorri 401b'!N5189,'Retirement Calculator'!A:A,0),0),0)</f>
        <v>0</v>
      </c>
      <c r="K5189" s="444">
        <f t="shared" ca="1" si="183"/>
        <v>-5275113965617.8389</v>
      </c>
      <c r="L5189" s="444">
        <f t="shared" ca="1" si="184"/>
        <v>-1271302465713899</v>
      </c>
      <c r="M5189" s="460">
        <f t="shared" si="186"/>
        <v>0.05</v>
      </c>
      <c r="N5189" s="464">
        <f t="shared" si="187"/>
        <v>208981</v>
      </c>
    </row>
    <row r="5190" spans="7:14" ht="11.25" customHeight="1" x14ac:dyDescent="0.3">
      <c r="G5190" s="459"/>
      <c r="H5190" s="459">
        <v>5183</v>
      </c>
      <c r="I5190" s="444">
        <f t="shared" ca="1" si="185"/>
        <v>-1271302465713899</v>
      </c>
      <c r="J5190" s="444">
        <f t="array" ref="J5190">IFERROR(INDEX('Retirement Calculator'!K:K,MATCH('Lorri 401b'!N5190,'Retirement Calculator'!A:A,0),0),0)</f>
        <v>0</v>
      </c>
      <c r="K5190" s="444">
        <f t="shared" ca="1" si="183"/>
        <v>-5297093607141.2461</v>
      </c>
      <c r="L5190" s="444">
        <f t="shared" ca="1" si="184"/>
        <v>-1276599559321040.3</v>
      </c>
      <c r="M5190" s="460">
        <f t="shared" si="186"/>
        <v>0.05</v>
      </c>
      <c r="N5190" s="464">
        <f t="shared" si="187"/>
        <v>209012</v>
      </c>
    </row>
    <row r="5191" spans="7:14" ht="11.25" customHeight="1" x14ac:dyDescent="0.3">
      <c r="G5191" s="459"/>
      <c r="H5191" s="459">
        <v>5184</v>
      </c>
      <c r="I5191" s="444">
        <f t="shared" ca="1" si="185"/>
        <v>-1276599559321040.3</v>
      </c>
      <c r="J5191" s="444">
        <f t="array" ref="J5191">IFERROR(INDEX('Retirement Calculator'!K:K,MATCH('Lorri 401b'!N5191,'Retirement Calculator'!A:A,0),0),0)</f>
        <v>0</v>
      </c>
      <c r="K5191" s="444">
        <f t="shared" ca="1" si="183"/>
        <v>-5319164830504.334</v>
      </c>
      <c r="L5191" s="444">
        <f t="shared" ca="1" si="184"/>
        <v>-1281918724151544.5</v>
      </c>
      <c r="M5191" s="460">
        <f t="shared" si="186"/>
        <v>0.05</v>
      </c>
      <c r="N5191" s="464">
        <f t="shared" si="187"/>
        <v>209042</v>
      </c>
    </row>
    <row r="5192" spans="7:14" ht="11.25" customHeight="1" x14ac:dyDescent="0.3">
      <c r="G5192" s="459"/>
      <c r="H5192" s="459">
        <v>5185</v>
      </c>
      <c r="I5192" s="444">
        <f t="shared" ca="1" si="185"/>
        <v>-1281918724151544.5</v>
      </c>
      <c r="J5192" s="444">
        <f t="array" ref="J5192">IFERROR(INDEX('Retirement Calculator'!K:K,MATCH('Lorri 401b'!N5192,'Retirement Calculator'!A:A,0),0),0)</f>
        <v>0</v>
      </c>
      <c r="K5192" s="444">
        <f t="shared" ca="1" si="183"/>
        <v>-5341328017298.1016</v>
      </c>
      <c r="L5192" s="444">
        <f t="shared" ca="1" si="184"/>
        <v>-1287260052168842.5</v>
      </c>
      <c r="M5192" s="460">
        <f t="shared" si="186"/>
        <v>0.05</v>
      </c>
      <c r="N5192" s="464">
        <f t="shared" si="187"/>
        <v>209073</v>
      </c>
    </row>
    <row r="5193" spans="7:14" ht="11.25" customHeight="1" x14ac:dyDescent="0.3">
      <c r="G5193" s="459"/>
      <c r="H5193" s="459">
        <v>5186</v>
      </c>
      <c r="I5193" s="444">
        <f t="shared" ca="1" si="185"/>
        <v>-1287260052168842.5</v>
      </c>
      <c r="J5193" s="444">
        <f t="array" ref="J5193">IFERROR(INDEX('Retirement Calculator'!K:K,MATCH('Lorri 401b'!N5193,'Retirement Calculator'!A:A,0),0),0)</f>
        <v>0</v>
      </c>
      <c r="K5193" s="444">
        <f t="shared" ca="1" si="183"/>
        <v>-5363583550703.5107</v>
      </c>
      <c r="L5193" s="444">
        <f t="shared" ca="1" si="184"/>
        <v>-1292623635719546</v>
      </c>
      <c r="M5193" s="460">
        <f t="shared" si="186"/>
        <v>0.05</v>
      </c>
      <c r="N5193" s="464">
        <f t="shared" si="187"/>
        <v>209103</v>
      </c>
    </row>
    <row r="5194" spans="7:14" ht="11.25" customHeight="1" x14ac:dyDescent="0.3">
      <c r="G5194" s="459"/>
      <c r="H5194" s="459">
        <v>5187</v>
      </c>
      <c r="I5194" s="444">
        <f t="shared" ca="1" si="185"/>
        <v>-1292623635719546</v>
      </c>
      <c r="J5194" s="444">
        <f t="array" ref="J5194">IFERROR(INDEX('Retirement Calculator'!K:K,MATCH('Lorri 401b'!N5194,'Retirement Calculator'!A:A,0),0),0)</f>
        <v>0</v>
      </c>
      <c r="K5194" s="444">
        <f t="shared" ca="1" si="183"/>
        <v>-5385931815498.1084</v>
      </c>
      <c r="L5194" s="444">
        <f t="shared" ca="1" si="184"/>
        <v>-1298009567535044</v>
      </c>
      <c r="M5194" s="460">
        <f t="shared" si="186"/>
        <v>0.05</v>
      </c>
      <c r="N5194" s="464">
        <f t="shared" si="187"/>
        <v>209134</v>
      </c>
    </row>
    <row r="5195" spans="7:14" ht="11.25" customHeight="1" x14ac:dyDescent="0.3">
      <c r="G5195" s="459"/>
      <c r="H5195" s="459">
        <v>5188</v>
      </c>
      <c r="I5195" s="444">
        <f t="shared" ca="1" si="185"/>
        <v>-1298009567535044</v>
      </c>
      <c r="J5195" s="444">
        <f t="array" ref="J5195">IFERROR(INDEX('Retirement Calculator'!K:K,MATCH('Lorri 401b'!N5195,'Retirement Calculator'!A:A,0),0),0)</f>
        <v>0</v>
      </c>
      <c r="K5195" s="444">
        <f t="shared" ca="1" si="183"/>
        <v>-5408373198062.6836</v>
      </c>
      <c r="L5195" s="444">
        <f t="shared" ca="1" si="184"/>
        <v>-1303417940733106.8</v>
      </c>
      <c r="M5195" s="460">
        <f t="shared" si="186"/>
        <v>0.05</v>
      </c>
      <c r="N5195" s="464">
        <f t="shared" si="187"/>
        <v>209165</v>
      </c>
    </row>
    <row r="5196" spans="7:14" ht="11.25" customHeight="1" x14ac:dyDescent="0.3">
      <c r="G5196" s="459"/>
      <c r="H5196" s="459">
        <v>5189</v>
      </c>
      <c r="I5196" s="444">
        <f t="shared" ca="1" si="185"/>
        <v>-1303417940733106.8</v>
      </c>
      <c r="J5196" s="444">
        <f t="array" ref="J5196">IFERROR(INDEX('Retirement Calculator'!K:K,MATCH('Lorri 401b'!N5196,'Retirement Calculator'!A:A,0),0),0)</f>
        <v>0</v>
      </c>
      <c r="K5196" s="444">
        <f t="shared" ca="1" si="183"/>
        <v>-5430908086387.9443</v>
      </c>
      <c r="L5196" s="444">
        <f t="shared" ca="1" si="184"/>
        <v>-1308848848819494.8</v>
      </c>
      <c r="M5196" s="460">
        <f t="shared" si="186"/>
        <v>0.05</v>
      </c>
      <c r="N5196" s="464">
        <f t="shared" si="187"/>
        <v>209195</v>
      </c>
    </row>
    <row r="5197" spans="7:14" ht="11.25" customHeight="1" x14ac:dyDescent="0.3">
      <c r="G5197" s="459"/>
      <c r="H5197" s="459">
        <v>5190</v>
      </c>
      <c r="I5197" s="444">
        <f t="shared" ca="1" si="185"/>
        <v>-1308848848819494.8</v>
      </c>
      <c r="J5197" s="444">
        <f t="array" ref="J5197">IFERROR(INDEX('Retirement Calculator'!K:K,MATCH('Lorri 401b'!N5197,'Retirement Calculator'!A:A,0),0),0)</f>
        <v>0</v>
      </c>
      <c r="K5197" s="444">
        <f t="shared" ca="1" si="183"/>
        <v>-5453536870081.2285</v>
      </c>
      <c r="L5197" s="444">
        <f t="shared" ca="1" si="184"/>
        <v>-1314302385689576</v>
      </c>
      <c r="M5197" s="460">
        <f t="shared" si="186"/>
        <v>0.05</v>
      </c>
      <c r="N5197" s="464">
        <f t="shared" si="187"/>
        <v>209226</v>
      </c>
    </row>
    <row r="5198" spans="7:14" ht="11.25" customHeight="1" x14ac:dyDescent="0.3">
      <c r="G5198" s="459"/>
      <c r="H5198" s="459">
        <v>5191</v>
      </c>
      <c r="I5198" s="444">
        <f t="shared" ca="1" si="185"/>
        <v>-1314302385689576</v>
      </c>
      <c r="J5198" s="444">
        <f t="array" ref="J5198">IFERROR(INDEX('Retirement Calculator'!K:K,MATCH('Lorri 401b'!N5198,'Retirement Calculator'!A:A,0),0),0)</f>
        <v>0</v>
      </c>
      <c r="K5198" s="444">
        <f t="shared" ca="1" si="183"/>
        <v>-5476259940373.2334</v>
      </c>
      <c r="L5198" s="444">
        <f t="shared" ca="1" si="184"/>
        <v>-1319778645629949.3</v>
      </c>
      <c r="M5198" s="460">
        <f t="shared" si="186"/>
        <v>0.05</v>
      </c>
      <c r="N5198" s="464">
        <f t="shared" si="187"/>
        <v>209256</v>
      </c>
    </row>
    <row r="5199" spans="7:14" ht="11.25" customHeight="1" x14ac:dyDescent="0.3">
      <c r="G5199" s="459"/>
      <c r="H5199" s="459">
        <v>5192</v>
      </c>
      <c r="I5199" s="444">
        <f t="shared" ca="1" si="185"/>
        <v>-1319778645629949.3</v>
      </c>
      <c r="J5199" s="444">
        <f t="array" ref="J5199">IFERROR(INDEX('Retirement Calculator'!K:K,MATCH('Lorri 401b'!N5199,'Retirement Calculator'!A:A,0),0),0)</f>
        <v>0</v>
      </c>
      <c r="K5199" s="444">
        <f t="shared" ca="1" si="183"/>
        <v>-5499077690124.7881</v>
      </c>
      <c r="L5199" s="444">
        <f t="shared" ca="1" si="184"/>
        <v>-1325277723320074</v>
      </c>
      <c r="M5199" s="460">
        <f t="shared" si="186"/>
        <v>0.05</v>
      </c>
      <c r="N5199" s="464">
        <f t="shared" si="187"/>
        <v>209287</v>
      </c>
    </row>
    <row r="5200" spans="7:14" ht="11.25" customHeight="1" x14ac:dyDescent="0.3">
      <c r="G5200" s="459"/>
      <c r="H5200" s="459">
        <v>5193</v>
      </c>
      <c r="I5200" s="444">
        <f t="shared" ca="1" si="185"/>
        <v>-1325277723320074</v>
      </c>
      <c r="J5200" s="444">
        <f t="array" ref="J5200">IFERROR(INDEX('Retirement Calculator'!K:K,MATCH('Lorri 401b'!N5200,'Retirement Calculator'!A:A,0),0),0)</f>
        <v>0</v>
      </c>
      <c r="K5200" s="444">
        <f t="shared" ca="1" si="183"/>
        <v>-5521990513833.6416</v>
      </c>
      <c r="L5200" s="444">
        <f t="shared" ca="1" si="184"/>
        <v>-1330799713833907.8</v>
      </c>
      <c r="M5200" s="460">
        <f t="shared" si="186"/>
        <v>0.05</v>
      </c>
      <c r="N5200" s="464">
        <f t="shared" si="187"/>
        <v>209318</v>
      </c>
    </row>
    <row r="5201" spans="7:14" ht="11.25" customHeight="1" x14ac:dyDescent="0.3">
      <c r="G5201" s="459"/>
      <c r="H5201" s="459">
        <v>5194</v>
      </c>
      <c r="I5201" s="444">
        <f t="shared" ca="1" si="185"/>
        <v>-1330799713833907.8</v>
      </c>
      <c r="J5201" s="444">
        <f t="array" ref="J5201">IFERROR(INDEX('Retirement Calculator'!K:K,MATCH('Lorri 401b'!N5201,'Retirement Calculator'!A:A,0),0),0)</f>
        <v>0</v>
      </c>
      <c r="K5201" s="444">
        <f t="shared" ca="1" si="183"/>
        <v>-5544998807641.2822</v>
      </c>
      <c r="L5201" s="444">
        <f t="shared" ca="1" si="184"/>
        <v>-1336344712641549</v>
      </c>
      <c r="M5201" s="460">
        <f t="shared" si="186"/>
        <v>0.05</v>
      </c>
      <c r="N5201" s="464">
        <f t="shared" si="187"/>
        <v>209346</v>
      </c>
    </row>
    <row r="5202" spans="7:14" ht="11.25" customHeight="1" x14ac:dyDescent="0.3">
      <c r="G5202" s="459"/>
      <c r="H5202" s="459">
        <v>5195</v>
      </c>
      <c r="I5202" s="444">
        <f t="shared" ca="1" si="185"/>
        <v>-1336344712641549</v>
      </c>
      <c r="J5202" s="444">
        <f t="array" ref="J5202">IFERROR(INDEX('Retirement Calculator'!K:K,MATCH('Lorri 401b'!N5202,'Retirement Calculator'!A:A,0),0),0)</f>
        <v>0</v>
      </c>
      <c r="K5202" s="444">
        <f t="shared" ca="1" si="183"/>
        <v>-5568102969339.7871</v>
      </c>
      <c r="L5202" s="444">
        <f t="shared" ca="1" si="184"/>
        <v>-1341912815610888.8</v>
      </c>
      <c r="M5202" s="460">
        <f t="shared" si="186"/>
        <v>0.05</v>
      </c>
      <c r="N5202" s="464">
        <f t="shared" si="187"/>
        <v>209377</v>
      </c>
    </row>
    <row r="5203" spans="7:14" ht="11.25" customHeight="1" x14ac:dyDescent="0.3">
      <c r="G5203" s="459"/>
      <c r="H5203" s="459">
        <v>5196</v>
      </c>
      <c r="I5203" s="444">
        <f t="shared" ca="1" si="185"/>
        <v>-1341912815610888.8</v>
      </c>
      <c r="J5203" s="444">
        <f t="array" ref="J5203">IFERROR(INDEX('Retirement Calculator'!K:K,MATCH('Lorri 401b'!N5203,'Retirement Calculator'!A:A,0),0),0)</f>
        <v>0</v>
      </c>
      <c r="K5203" s="444">
        <f t="shared" ca="1" si="183"/>
        <v>-5591303398378.7031</v>
      </c>
      <c r="L5203" s="444">
        <f t="shared" ca="1" si="184"/>
        <v>-1347504119009267.5</v>
      </c>
      <c r="M5203" s="460">
        <f t="shared" si="186"/>
        <v>0.05</v>
      </c>
      <c r="N5203" s="464">
        <f t="shared" si="187"/>
        <v>209407</v>
      </c>
    </row>
    <row r="5204" spans="7:14" ht="11.25" customHeight="1" x14ac:dyDescent="0.3">
      <c r="G5204" s="459"/>
      <c r="H5204" s="459">
        <v>5197</v>
      </c>
      <c r="I5204" s="444">
        <f t="shared" ca="1" si="185"/>
        <v>-1347504119009267.5</v>
      </c>
      <c r="J5204" s="444">
        <f t="array" ref="J5204">IFERROR(INDEX('Retirement Calculator'!K:K,MATCH('Lorri 401b'!N5204,'Retirement Calculator'!A:A,0),0),0)</f>
        <v>0</v>
      </c>
      <c r="K5204" s="444">
        <f t="shared" ca="1" si="183"/>
        <v>-5614600495871.9482</v>
      </c>
      <c r="L5204" s="444">
        <f t="shared" ca="1" si="184"/>
        <v>-1353118719505139.5</v>
      </c>
      <c r="M5204" s="460">
        <f t="shared" si="186"/>
        <v>0.05</v>
      </c>
      <c r="N5204" s="464">
        <f t="shared" si="187"/>
        <v>209438</v>
      </c>
    </row>
    <row r="5205" spans="7:14" ht="11.25" customHeight="1" x14ac:dyDescent="0.3">
      <c r="G5205" s="459"/>
      <c r="H5205" s="459">
        <v>5198</v>
      </c>
      <c r="I5205" s="444">
        <f t="shared" ca="1" si="185"/>
        <v>-1353118719505139.5</v>
      </c>
      <c r="J5205" s="444">
        <f t="array" ref="J5205">IFERROR(INDEX('Retirement Calculator'!K:K,MATCH('Lorri 401b'!N5205,'Retirement Calculator'!A:A,0),0),0)</f>
        <v>0</v>
      </c>
      <c r="K5205" s="444">
        <f t="shared" ca="1" si="183"/>
        <v>-5637994664604.748</v>
      </c>
      <c r="L5205" s="444">
        <f t="shared" ca="1" si="184"/>
        <v>-1358756714169744.3</v>
      </c>
      <c r="M5205" s="460">
        <f t="shared" si="186"/>
        <v>0.05</v>
      </c>
      <c r="N5205" s="464">
        <f t="shared" si="187"/>
        <v>209468</v>
      </c>
    </row>
    <row r="5206" spans="7:14" ht="11.25" customHeight="1" x14ac:dyDescent="0.3">
      <c r="G5206" s="459"/>
      <c r="H5206" s="459">
        <v>5199</v>
      </c>
      <c r="I5206" s="444">
        <f t="shared" ca="1" si="185"/>
        <v>-1358756714169744.3</v>
      </c>
      <c r="J5206" s="444">
        <f t="array" ref="J5206">IFERROR(INDEX('Retirement Calculator'!K:K,MATCH('Lorri 401b'!N5206,'Retirement Calculator'!A:A,0),0),0)</f>
        <v>0</v>
      </c>
      <c r="K5206" s="444">
        <f t="shared" ca="1" si="183"/>
        <v>-5661486309040.6006</v>
      </c>
      <c r="L5206" s="444">
        <f t="shared" ca="1" si="184"/>
        <v>-1364418200478784.8</v>
      </c>
      <c r="M5206" s="460">
        <f t="shared" si="186"/>
        <v>0.05</v>
      </c>
      <c r="N5206" s="464">
        <f t="shared" si="187"/>
        <v>209499</v>
      </c>
    </row>
    <row r="5207" spans="7:14" ht="11.25" customHeight="1" x14ac:dyDescent="0.3">
      <c r="G5207" s="459"/>
      <c r="H5207" s="459">
        <v>5200</v>
      </c>
      <c r="I5207" s="444">
        <f t="shared" ca="1" si="185"/>
        <v>-1364418200478784.8</v>
      </c>
      <c r="J5207" s="444">
        <f t="array" ref="J5207">IFERROR(INDEX('Retirement Calculator'!K:K,MATCH('Lorri 401b'!N5207,'Retirement Calculator'!A:A,0),0),0)</f>
        <v>0</v>
      </c>
      <c r="K5207" s="444">
        <f t="shared" ca="1" si="183"/>
        <v>-5685075835328.2695</v>
      </c>
      <c r="L5207" s="444">
        <f t="shared" ca="1" si="184"/>
        <v>-1370103276314113</v>
      </c>
      <c r="M5207" s="460">
        <f t="shared" si="186"/>
        <v>0.05</v>
      </c>
      <c r="N5207" s="464">
        <f t="shared" si="187"/>
        <v>209530</v>
      </c>
    </row>
    <row r="5208" spans="7:14" ht="11.25" customHeight="1" x14ac:dyDescent="0.3">
      <c r="G5208" s="459"/>
      <c r="H5208" s="459">
        <v>5201</v>
      </c>
      <c r="I5208" s="444">
        <f t="shared" ca="1" si="185"/>
        <v>-1370103276314113</v>
      </c>
      <c r="J5208" s="444">
        <f t="array" ref="J5208">IFERROR(INDEX('Retirement Calculator'!K:K,MATCH('Lorri 401b'!N5208,'Retirement Calculator'!A:A,0),0),0)</f>
        <v>0</v>
      </c>
      <c r="K5208" s="444">
        <f t="shared" ca="1" si="183"/>
        <v>-5708763651308.8037</v>
      </c>
      <c r="L5208" s="444">
        <f t="shared" ca="1" si="184"/>
        <v>-1375812039965421.8</v>
      </c>
      <c r="M5208" s="460">
        <f t="shared" si="186"/>
        <v>0.05</v>
      </c>
      <c r="N5208" s="464">
        <f t="shared" si="187"/>
        <v>209560</v>
      </c>
    </row>
    <row r="5209" spans="7:14" ht="11.25" customHeight="1" x14ac:dyDescent="0.3">
      <c r="G5209" s="459"/>
      <c r="H5209" s="459">
        <v>5202</v>
      </c>
      <c r="I5209" s="444">
        <f t="shared" ca="1" si="185"/>
        <v>-1375812039965421.8</v>
      </c>
      <c r="J5209" s="444">
        <f t="array" ref="J5209">IFERROR(INDEX('Retirement Calculator'!K:K,MATCH('Lorri 401b'!N5209,'Retirement Calculator'!A:A,0),0),0)</f>
        <v>0</v>
      </c>
      <c r="K5209" s="444">
        <f t="shared" ca="1" si="183"/>
        <v>-5732550166522.5908</v>
      </c>
      <c r="L5209" s="444">
        <f t="shared" ca="1" si="184"/>
        <v>-1381544590131944.3</v>
      </c>
      <c r="M5209" s="460">
        <f t="shared" si="186"/>
        <v>0.05</v>
      </c>
      <c r="N5209" s="464">
        <f t="shared" si="187"/>
        <v>209591</v>
      </c>
    </row>
    <row r="5210" spans="7:14" ht="11.25" customHeight="1" x14ac:dyDescent="0.3">
      <c r="G5210" s="459"/>
      <c r="H5210" s="459">
        <v>5203</v>
      </c>
      <c r="I5210" s="444">
        <f t="shared" ca="1" si="185"/>
        <v>-1381544590131944.3</v>
      </c>
      <c r="J5210" s="444">
        <f t="array" ref="J5210">IFERROR(INDEX('Retirement Calculator'!K:K,MATCH('Lorri 401b'!N5210,'Retirement Calculator'!A:A,0),0),0)</f>
        <v>0</v>
      </c>
      <c r="K5210" s="444">
        <f t="shared" ca="1" si="183"/>
        <v>-5756435792216.4346</v>
      </c>
      <c r="L5210" s="444">
        <f t="shared" ca="1" si="184"/>
        <v>-1387301025924160.8</v>
      </c>
      <c r="M5210" s="460">
        <f t="shared" si="186"/>
        <v>0.05</v>
      </c>
      <c r="N5210" s="464">
        <f t="shared" si="187"/>
        <v>209621</v>
      </c>
    </row>
    <row r="5211" spans="7:14" ht="11.25" customHeight="1" x14ac:dyDescent="0.3">
      <c r="G5211" s="459"/>
      <c r="H5211" s="459">
        <v>5204</v>
      </c>
      <c r="I5211" s="444">
        <f t="shared" ca="1" si="185"/>
        <v>-1387301025924160.8</v>
      </c>
      <c r="J5211" s="444">
        <f t="array" ref="J5211">IFERROR(INDEX('Retirement Calculator'!K:K,MATCH('Lorri 401b'!N5211,'Retirement Calculator'!A:A,0),0),0)</f>
        <v>0</v>
      </c>
      <c r="K5211" s="444">
        <f t="shared" ca="1" si="183"/>
        <v>-5780420941350.6699</v>
      </c>
      <c r="L5211" s="444">
        <f t="shared" ca="1" si="184"/>
        <v>-1393081446865511.5</v>
      </c>
      <c r="M5211" s="460">
        <f t="shared" si="186"/>
        <v>0.05</v>
      </c>
      <c r="N5211" s="464">
        <f t="shared" si="187"/>
        <v>209652</v>
      </c>
    </row>
    <row r="5212" spans="7:14" ht="11.25" customHeight="1" x14ac:dyDescent="0.3">
      <c r="G5212" s="459"/>
      <c r="H5212" s="459">
        <v>5205</v>
      </c>
      <c r="I5212" s="444">
        <f t="shared" ca="1" si="185"/>
        <v>-1393081446865511.5</v>
      </c>
      <c r="J5212" s="444">
        <f t="array" ref="J5212">IFERROR(INDEX('Retirement Calculator'!K:K,MATCH('Lorri 401b'!N5212,'Retirement Calculator'!A:A,0),0),0)</f>
        <v>0</v>
      </c>
      <c r="K5212" s="444">
        <f t="shared" ca="1" si="183"/>
        <v>-5804506028606.2979</v>
      </c>
      <c r="L5212" s="444">
        <f t="shared" ca="1" si="184"/>
        <v>-1398885952894117.8</v>
      </c>
      <c r="M5212" s="460">
        <f t="shared" si="186"/>
        <v>0.05</v>
      </c>
      <c r="N5212" s="464">
        <f t="shared" si="187"/>
        <v>209683</v>
      </c>
    </row>
    <row r="5213" spans="7:14" ht="11.25" customHeight="1" x14ac:dyDescent="0.3">
      <c r="G5213" s="459"/>
      <c r="H5213" s="459">
        <v>5206</v>
      </c>
      <c r="I5213" s="444">
        <f t="shared" ca="1" si="185"/>
        <v>-1398885952894117.8</v>
      </c>
      <c r="J5213" s="444">
        <f t="array" ref="J5213">IFERROR(INDEX('Retirement Calculator'!K:K,MATCH('Lorri 401b'!N5213,'Retirement Calculator'!A:A,0),0),0)</f>
        <v>0</v>
      </c>
      <c r="K5213" s="444">
        <f t="shared" ca="1" si="183"/>
        <v>-5828691470392.1572</v>
      </c>
      <c r="L5213" s="444">
        <f t="shared" ca="1" si="184"/>
        <v>-1404714644364510</v>
      </c>
      <c r="M5213" s="460">
        <f t="shared" si="186"/>
        <v>0.05</v>
      </c>
      <c r="N5213" s="464">
        <f t="shared" si="187"/>
        <v>209711</v>
      </c>
    </row>
    <row r="5214" spans="7:14" ht="11.25" customHeight="1" x14ac:dyDescent="0.3">
      <c r="G5214" s="459"/>
      <c r="H5214" s="459">
        <v>5207</v>
      </c>
      <c r="I5214" s="444">
        <f t="shared" ca="1" si="185"/>
        <v>-1404714644364510</v>
      </c>
      <c r="J5214" s="444">
        <f t="array" ref="J5214">IFERROR(INDEX('Retirement Calculator'!K:K,MATCH('Lorri 401b'!N5214,'Retirement Calculator'!A:A,0),0),0)</f>
        <v>0</v>
      </c>
      <c r="K5214" s="444">
        <f t="shared" ca="1" si="183"/>
        <v>-5852977684852.125</v>
      </c>
      <c r="L5214" s="444">
        <f t="shared" ca="1" si="184"/>
        <v>-1410567622049362</v>
      </c>
      <c r="M5214" s="460">
        <f t="shared" si="186"/>
        <v>0.05</v>
      </c>
      <c r="N5214" s="464">
        <f t="shared" si="187"/>
        <v>209742</v>
      </c>
    </row>
    <row r="5215" spans="7:14" ht="11.25" customHeight="1" x14ac:dyDescent="0.3">
      <c r="G5215" s="459"/>
      <c r="H5215" s="459">
        <v>5208</v>
      </c>
      <c r="I5215" s="444">
        <f t="shared" ca="1" si="185"/>
        <v>-1410567622049362</v>
      </c>
      <c r="J5215" s="444">
        <f t="array" ref="J5215">IFERROR(INDEX('Retirement Calculator'!K:K,MATCH('Lorri 401b'!N5215,'Retirement Calculator'!A:A,0),0),0)</f>
        <v>0</v>
      </c>
      <c r="K5215" s="444">
        <f t="shared" ca="1" si="183"/>
        <v>-5877365091872.3418</v>
      </c>
      <c r="L5215" s="444">
        <f t="shared" ca="1" si="184"/>
        <v>-1416444987141234.3</v>
      </c>
      <c r="M5215" s="460">
        <f t="shared" si="186"/>
        <v>0.05</v>
      </c>
      <c r="N5215" s="464">
        <f t="shared" si="187"/>
        <v>209772</v>
      </c>
    </row>
    <row r="5216" spans="7:14" ht="11.25" customHeight="1" x14ac:dyDescent="0.3">
      <c r="G5216" s="459"/>
      <c r="H5216" s="459">
        <v>5209</v>
      </c>
      <c r="I5216" s="444">
        <f t="shared" ca="1" si="185"/>
        <v>-1416444987141234.3</v>
      </c>
      <c r="J5216" s="444">
        <f t="array" ref="J5216">IFERROR(INDEX('Retirement Calculator'!K:K,MATCH('Lorri 401b'!N5216,'Retirement Calculator'!A:A,0),0),0)</f>
        <v>0</v>
      </c>
      <c r="K5216" s="444">
        <f t="shared" ca="1" si="183"/>
        <v>-5901854113088.4756</v>
      </c>
      <c r="L5216" s="444">
        <f t="shared" ca="1" si="184"/>
        <v>-1422346841254322.8</v>
      </c>
      <c r="M5216" s="460">
        <f t="shared" si="186"/>
        <v>0.05</v>
      </c>
      <c r="N5216" s="464">
        <f t="shared" si="187"/>
        <v>209803</v>
      </c>
    </row>
    <row r="5217" spans="7:14" ht="11.25" customHeight="1" x14ac:dyDescent="0.3">
      <c r="G5217" s="459"/>
      <c r="H5217" s="459">
        <v>5210</v>
      </c>
      <c r="I5217" s="444">
        <f t="shared" ca="1" si="185"/>
        <v>-1422346841254322.8</v>
      </c>
      <c r="J5217" s="444">
        <f t="array" ref="J5217">IFERROR(INDEX('Retirement Calculator'!K:K,MATCH('Lorri 401b'!N5217,'Retirement Calculator'!A:A,0),0),0)</f>
        <v>0</v>
      </c>
      <c r="K5217" s="444">
        <f t="shared" ca="1" si="183"/>
        <v>-5926445171893.0117</v>
      </c>
      <c r="L5217" s="444">
        <f t="shared" ca="1" si="184"/>
        <v>-1428273286426215.8</v>
      </c>
      <c r="M5217" s="460">
        <f t="shared" si="186"/>
        <v>0.05</v>
      </c>
      <c r="N5217" s="464">
        <f t="shared" si="187"/>
        <v>209833</v>
      </c>
    </row>
    <row r="5218" spans="7:14" ht="11.25" customHeight="1" x14ac:dyDescent="0.3">
      <c r="G5218" s="459"/>
      <c r="H5218" s="459">
        <v>5211</v>
      </c>
      <c r="I5218" s="444">
        <f t="shared" ca="1" si="185"/>
        <v>-1428273286426215.8</v>
      </c>
      <c r="J5218" s="444">
        <f t="array" ref="J5218">IFERROR(INDEX('Retirement Calculator'!K:K,MATCH('Lorri 401b'!N5218,'Retirement Calculator'!A:A,0),0),0)</f>
        <v>0</v>
      </c>
      <c r="K5218" s="444">
        <f t="shared" ca="1" si="183"/>
        <v>-5951138693442.5654</v>
      </c>
      <c r="L5218" s="444">
        <f t="shared" ca="1" si="184"/>
        <v>-1434224425119658.3</v>
      </c>
      <c r="M5218" s="460">
        <f t="shared" si="186"/>
        <v>0.05</v>
      </c>
      <c r="N5218" s="464">
        <f t="shared" si="187"/>
        <v>209864</v>
      </c>
    </row>
    <row r="5219" spans="7:14" ht="11.25" customHeight="1" x14ac:dyDescent="0.3">
      <c r="G5219" s="459"/>
      <c r="H5219" s="459">
        <v>5212</v>
      </c>
      <c r="I5219" s="444">
        <f t="shared" ca="1" si="185"/>
        <v>-1434224425119658.3</v>
      </c>
      <c r="J5219" s="444">
        <f t="array" ref="J5219">IFERROR(INDEX('Retirement Calculator'!K:K,MATCH('Lorri 401b'!N5219,'Retirement Calculator'!A:A,0),0),0)</f>
        <v>0</v>
      </c>
      <c r="K5219" s="444">
        <f t="shared" ca="1" si="183"/>
        <v>-5975935104665.2422</v>
      </c>
      <c r="L5219" s="444">
        <f t="shared" ca="1" si="184"/>
        <v>-1440200360224323.5</v>
      </c>
      <c r="M5219" s="460">
        <f t="shared" si="186"/>
        <v>0.05</v>
      </c>
      <c r="N5219" s="464">
        <f t="shared" si="187"/>
        <v>209895</v>
      </c>
    </row>
    <row r="5220" spans="7:14" ht="11.25" customHeight="1" x14ac:dyDescent="0.3">
      <c r="G5220" s="459"/>
      <c r="H5220" s="459">
        <v>5213</v>
      </c>
      <c r="I5220" s="444">
        <f t="shared" ca="1" si="185"/>
        <v>-1440200360224323.5</v>
      </c>
      <c r="J5220" s="444">
        <f t="array" ref="J5220">IFERROR(INDEX('Retirement Calculator'!K:K,MATCH('Lorri 401b'!N5220,'Retirement Calculator'!A:A,0),0),0)</f>
        <v>0</v>
      </c>
      <c r="K5220" s="444">
        <f t="shared" ca="1" si="183"/>
        <v>-6000834834268.0146</v>
      </c>
      <c r="L5220" s="444">
        <f t="shared" ca="1" si="184"/>
        <v>-1446201195058591.5</v>
      </c>
      <c r="M5220" s="460">
        <f t="shared" si="186"/>
        <v>0.05</v>
      </c>
      <c r="N5220" s="464">
        <f t="shared" si="187"/>
        <v>209925</v>
      </c>
    </row>
    <row r="5221" spans="7:14" ht="11.25" customHeight="1" x14ac:dyDescent="0.3">
      <c r="G5221" s="459"/>
      <c r="H5221" s="459">
        <v>5214</v>
      </c>
      <c r="I5221" s="444">
        <f t="shared" ca="1" si="185"/>
        <v>-1446201195058591.5</v>
      </c>
      <c r="J5221" s="444">
        <f t="array" ref="J5221">IFERROR(INDEX('Retirement Calculator'!K:K,MATCH('Lorri 401b'!N5221,'Retirement Calculator'!A:A,0),0),0)</f>
        <v>0</v>
      </c>
      <c r="K5221" s="444">
        <f t="shared" ca="1" si="183"/>
        <v>-6025838312744.1309</v>
      </c>
      <c r="L5221" s="444">
        <f t="shared" ca="1" si="184"/>
        <v>-1452227033371335.8</v>
      </c>
      <c r="M5221" s="460">
        <f t="shared" si="186"/>
        <v>0.05</v>
      </c>
      <c r="N5221" s="464">
        <f t="shared" si="187"/>
        <v>209956</v>
      </c>
    </row>
    <row r="5222" spans="7:14" ht="11.25" customHeight="1" x14ac:dyDescent="0.3">
      <c r="G5222" s="459"/>
      <c r="H5222" s="459">
        <v>5215</v>
      </c>
      <c r="I5222" s="444">
        <f t="shared" ca="1" si="185"/>
        <v>-1452227033371335.8</v>
      </c>
      <c r="J5222" s="444">
        <f t="array" ref="J5222">IFERROR(INDEX('Retirement Calculator'!K:K,MATCH('Lorri 401b'!N5222,'Retirement Calculator'!A:A,0),0),0)</f>
        <v>0</v>
      </c>
      <c r="K5222" s="444">
        <f t="shared" ca="1" si="183"/>
        <v>-6050945972380.5654</v>
      </c>
      <c r="L5222" s="444">
        <f t="shared" ca="1" si="184"/>
        <v>-1458277979343716.3</v>
      </c>
      <c r="M5222" s="460">
        <f t="shared" si="186"/>
        <v>0.05</v>
      </c>
      <c r="N5222" s="464">
        <f t="shared" si="187"/>
        <v>209986</v>
      </c>
    </row>
    <row r="5223" spans="7:14" ht="11.25" customHeight="1" x14ac:dyDescent="0.3">
      <c r="G5223" s="459"/>
      <c r="H5223" s="459">
        <v>5216</v>
      </c>
      <c r="I5223" s="444">
        <f t="shared" ca="1" si="185"/>
        <v>-1458277979343716.3</v>
      </c>
      <c r="J5223" s="444">
        <f t="array" ref="J5223">IFERROR(INDEX('Retirement Calculator'!K:K,MATCH('Lorri 401b'!N5223,'Retirement Calculator'!A:A,0),0),0)</f>
        <v>0</v>
      </c>
      <c r="K5223" s="444">
        <f t="shared" ca="1" si="183"/>
        <v>-6076158247265.4844</v>
      </c>
      <c r="L5223" s="444">
        <f t="shared" ca="1" si="184"/>
        <v>-1464354137590981.8</v>
      </c>
      <c r="M5223" s="460">
        <f t="shared" si="186"/>
        <v>0.05</v>
      </c>
      <c r="N5223" s="464">
        <f t="shared" si="187"/>
        <v>210017</v>
      </c>
    </row>
    <row r="5224" spans="7:14" ht="11.25" customHeight="1" x14ac:dyDescent="0.3">
      <c r="G5224" s="459"/>
      <c r="H5224" s="459">
        <v>5217</v>
      </c>
      <c r="I5224" s="444">
        <f t="shared" ca="1" si="185"/>
        <v>-1464354137590981.8</v>
      </c>
      <c r="J5224" s="444">
        <f t="array" ref="J5224">IFERROR(INDEX('Retirement Calculator'!K:K,MATCH('Lorri 401b'!N5224,'Retirement Calculator'!A:A,0),0),0)</f>
        <v>0</v>
      </c>
      <c r="K5224" s="444">
        <f t="shared" ca="1" si="183"/>
        <v>-6101475573295.7568</v>
      </c>
      <c r="L5224" s="444">
        <f t="shared" ca="1" si="184"/>
        <v>-1470455613164277.5</v>
      </c>
      <c r="M5224" s="460">
        <f t="shared" si="186"/>
        <v>0.05</v>
      </c>
      <c r="N5224" s="464">
        <f t="shared" si="187"/>
        <v>210048</v>
      </c>
    </row>
    <row r="5225" spans="7:14" ht="11.25" customHeight="1" x14ac:dyDescent="0.3">
      <c r="G5225" s="459"/>
      <c r="H5225" s="459">
        <v>5218</v>
      </c>
      <c r="I5225" s="444">
        <f t="shared" ca="1" si="185"/>
        <v>-1470455613164277.5</v>
      </c>
      <c r="J5225" s="444">
        <f t="array" ref="J5225">IFERROR(INDEX('Retirement Calculator'!K:K,MATCH('Lorri 401b'!N5225,'Retirement Calculator'!A:A,0),0),0)</f>
        <v>0</v>
      </c>
      <c r="K5225" s="444">
        <f t="shared" ca="1" si="183"/>
        <v>-6126898388184.4893</v>
      </c>
      <c r="L5225" s="444">
        <f t="shared" ca="1" si="184"/>
        <v>-1476582511552462</v>
      </c>
      <c r="M5225" s="460">
        <f t="shared" si="186"/>
        <v>0.05</v>
      </c>
      <c r="N5225" s="464">
        <f t="shared" si="187"/>
        <v>210076</v>
      </c>
    </row>
    <row r="5226" spans="7:14" ht="11.25" customHeight="1" x14ac:dyDescent="0.3">
      <c r="G5226" s="459"/>
      <c r="H5226" s="459">
        <v>5219</v>
      </c>
      <c r="I5226" s="444">
        <f t="shared" ca="1" si="185"/>
        <v>-1476582511552462</v>
      </c>
      <c r="J5226" s="444">
        <f t="array" ref="J5226">IFERROR(INDEX('Retirement Calculator'!K:K,MATCH('Lorri 401b'!N5226,'Retirement Calculator'!A:A,0),0),0)</f>
        <v>0</v>
      </c>
      <c r="K5226" s="444">
        <f t="shared" ca="1" si="183"/>
        <v>-6152427131468.5918</v>
      </c>
      <c r="L5226" s="444">
        <f t="shared" ca="1" si="184"/>
        <v>-1482734938683930.5</v>
      </c>
      <c r="M5226" s="460">
        <f t="shared" si="186"/>
        <v>0.05</v>
      </c>
      <c r="N5226" s="464">
        <f t="shared" si="187"/>
        <v>210107</v>
      </c>
    </row>
    <row r="5227" spans="7:14" ht="11.25" customHeight="1" x14ac:dyDescent="0.3">
      <c r="G5227" s="459"/>
      <c r="H5227" s="459">
        <v>5220</v>
      </c>
      <c r="I5227" s="444">
        <f t="shared" ca="1" si="185"/>
        <v>-1482734938683930.5</v>
      </c>
      <c r="J5227" s="444">
        <f t="array" ref="J5227">IFERROR(INDEX('Retirement Calculator'!K:K,MATCH('Lorri 401b'!N5227,'Retirement Calculator'!A:A,0),0),0)</f>
        <v>0</v>
      </c>
      <c r="K5227" s="444">
        <f t="shared" ca="1" si="183"/>
        <v>-6178062244516.377</v>
      </c>
      <c r="L5227" s="444">
        <f t="shared" ca="1" si="184"/>
        <v>-1488913000928447</v>
      </c>
      <c r="M5227" s="460">
        <f t="shared" si="186"/>
        <v>0.05</v>
      </c>
      <c r="N5227" s="464">
        <f t="shared" si="187"/>
        <v>210137</v>
      </c>
    </row>
    <row r="5228" spans="7:14" ht="11.25" customHeight="1" x14ac:dyDescent="0.3">
      <c r="G5228" s="459"/>
      <c r="H5228" s="459">
        <v>5221</v>
      </c>
      <c r="I5228" s="444">
        <f t="shared" ca="1" si="185"/>
        <v>-1488913000928447</v>
      </c>
      <c r="J5228" s="444">
        <f t="array" ref="J5228">IFERROR(INDEX('Retirement Calculator'!K:K,MATCH('Lorri 401b'!N5228,'Retirement Calculator'!A:A,0),0),0)</f>
        <v>0</v>
      </c>
      <c r="K5228" s="444">
        <f t="shared" ca="1" si="183"/>
        <v>-6203804170535.1953</v>
      </c>
      <c r="L5228" s="444">
        <f t="shared" ca="1" si="184"/>
        <v>-1495116805098982.3</v>
      </c>
      <c r="M5228" s="460">
        <f t="shared" si="186"/>
        <v>0.05</v>
      </c>
      <c r="N5228" s="464">
        <f t="shared" si="187"/>
        <v>210168</v>
      </c>
    </row>
    <row r="5229" spans="7:14" ht="11.25" customHeight="1" x14ac:dyDescent="0.3">
      <c r="G5229" s="459"/>
      <c r="H5229" s="459">
        <v>5222</v>
      </c>
      <c r="I5229" s="444">
        <f t="shared" ca="1" si="185"/>
        <v>-1495116805098982.3</v>
      </c>
      <c r="J5229" s="444">
        <f t="array" ref="J5229">IFERROR(INDEX('Retirement Calculator'!K:K,MATCH('Lorri 401b'!N5229,'Retirement Calculator'!A:A,0),0),0)</f>
        <v>0</v>
      </c>
      <c r="K5229" s="444">
        <f t="shared" ca="1" si="183"/>
        <v>-6229653354579.0928</v>
      </c>
      <c r="L5229" s="444">
        <f t="shared" ca="1" si="184"/>
        <v>-1501346458453561.3</v>
      </c>
      <c r="M5229" s="460">
        <f t="shared" si="186"/>
        <v>0.05</v>
      </c>
      <c r="N5229" s="464">
        <f t="shared" si="187"/>
        <v>210198</v>
      </c>
    </row>
    <row r="5230" spans="7:14" ht="11.25" customHeight="1" x14ac:dyDescent="0.3">
      <c r="G5230" s="459"/>
      <c r="H5230" s="459">
        <v>5223</v>
      </c>
      <c r="I5230" s="444">
        <f t="shared" ca="1" si="185"/>
        <v>-1501346458453561.3</v>
      </c>
      <c r="J5230" s="444">
        <f t="array" ref="J5230">IFERROR(INDEX('Retirement Calculator'!K:K,MATCH('Lorri 401b'!N5230,'Retirement Calculator'!A:A,0),0),0)</f>
        <v>0</v>
      </c>
      <c r="K5230" s="444">
        <f t="shared" ca="1" si="183"/>
        <v>-6255610243556.5049</v>
      </c>
      <c r="L5230" s="444">
        <f t="shared" ca="1" si="184"/>
        <v>-1507602068697117.8</v>
      </c>
      <c r="M5230" s="460">
        <f t="shared" si="186"/>
        <v>0.05</v>
      </c>
      <c r="N5230" s="464">
        <f t="shared" si="187"/>
        <v>210229</v>
      </c>
    </row>
    <row r="5231" spans="7:14" ht="11.25" customHeight="1" x14ac:dyDescent="0.3">
      <c r="G5231" s="459"/>
      <c r="H5231" s="459">
        <v>5224</v>
      </c>
      <c r="I5231" s="444">
        <f t="shared" ca="1" si="185"/>
        <v>-1507602068697117.8</v>
      </c>
      <c r="J5231" s="444">
        <f t="array" ref="J5231">IFERROR(INDEX('Retirement Calculator'!K:K,MATCH('Lorri 401b'!N5231,'Retirement Calculator'!A:A,0),0),0)</f>
        <v>0</v>
      </c>
      <c r="K5231" s="444">
        <f t="shared" ca="1" si="183"/>
        <v>-6281675286237.9902</v>
      </c>
      <c r="L5231" s="444">
        <f t="shared" ca="1" si="184"/>
        <v>-1513883743983355.8</v>
      </c>
      <c r="M5231" s="460">
        <f t="shared" si="186"/>
        <v>0.05</v>
      </c>
      <c r="N5231" s="464">
        <f t="shared" si="187"/>
        <v>210260</v>
      </c>
    </row>
    <row r="5232" spans="7:14" ht="11.25" customHeight="1" x14ac:dyDescent="0.3">
      <c r="G5232" s="459"/>
      <c r="H5232" s="459">
        <v>5225</v>
      </c>
      <c r="I5232" s="444">
        <f t="shared" ca="1" si="185"/>
        <v>-1513883743983355.8</v>
      </c>
      <c r="J5232" s="444">
        <f t="array" ref="J5232">IFERROR(INDEX('Retirement Calculator'!K:K,MATCH('Lorri 401b'!N5232,'Retirement Calculator'!A:A,0),0),0)</f>
        <v>0</v>
      </c>
      <c r="K5232" s="444">
        <f t="shared" ca="1" si="183"/>
        <v>-6307848933263.9824</v>
      </c>
      <c r="L5232" s="444">
        <f t="shared" ca="1" si="184"/>
        <v>-1520191592916619.8</v>
      </c>
      <c r="M5232" s="460">
        <f t="shared" si="186"/>
        <v>0.05</v>
      </c>
      <c r="N5232" s="464">
        <f t="shared" si="187"/>
        <v>210290</v>
      </c>
    </row>
    <row r="5233" spans="7:14" ht="11.25" customHeight="1" x14ac:dyDescent="0.3">
      <c r="G5233" s="459"/>
      <c r="H5233" s="459">
        <v>5226</v>
      </c>
      <c r="I5233" s="444">
        <f t="shared" ca="1" si="185"/>
        <v>-1520191592916619.8</v>
      </c>
      <c r="J5233" s="444">
        <f t="array" ref="J5233">IFERROR(INDEX('Retirement Calculator'!K:K,MATCH('Lorri 401b'!N5233,'Retirement Calculator'!A:A,0),0),0)</f>
        <v>0</v>
      </c>
      <c r="K5233" s="444">
        <f t="shared" ca="1" si="183"/>
        <v>-6334131637152.582</v>
      </c>
      <c r="L5233" s="444">
        <f t="shared" ca="1" si="184"/>
        <v>-1526525724553772.3</v>
      </c>
      <c r="M5233" s="460">
        <f t="shared" si="186"/>
        <v>0.05</v>
      </c>
      <c r="N5233" s="464">
        <f t="shared" si="187"/>
        <v>210321</v>
      </c>
    </row>
    <row r="5234" spans="7:14" ht="11.25" customHeight="1" x14ac:dyDescent="0.3">
      <c r="G5234" s="459"/>
      <c r="H5234" s="459">
        <v>5227</v>
      </c>
      <c r="I5234" s="444">
        <f t="shared" ca="1" si="185"/>
        <v>-1526525724553772.3</v>
      </c>
      <c r="J5234" s="444">
        <f t="array" ref="J5234">IFERROR(INDEX('Retirement Calculator'!K:K,MATCH('Lorri 401b'!N5234,'Retirement Calculator'!A:A,0),0),0)</f>
        <v>0</v>
      </c>
      <c r="K5234" s="444">
        <f t="shared" ca="1" si="183"/>
        <v>-6360523852307.3848</v>
      </c>
      <c r="L5234" s="444">
        <f t="shared" ca="1" si="184"/>
        <v>-1532886248406079.8</v>
      </c>
      <c r="M5234" s="460">
        <f t="shared" si="186"/>
        <v>0.05</v>
      </c>
      <c r="N5234" s="464">
        <f t="shared" si="187"/>
        <v>210351</v>
      </c>
    </row>
    <row r="5235" spans="7:14" ht="11.25" customHeight="1" x14ac:dyDescent="0.3">
      <c r="G5235" s="459"/>
      <c r="H5235" s="459">
        <v>5228</v>
      </c>
      <c r="I5235" s="444">
        <f t="shared" ca="1" si="185"/>
        <v>-1532886248406079.8</v>
      </c>
      <c r="J5235" s="444">
        <f t="array" ref="J5235">IFERROR(INDEX('Retirement Calculator'!K:K,MATCH('Lorri 401b'!N5235,'Retirement Calculator'!A:A,0),0),0)</f>
        <v>0</v>
      </c>
      <c r="K5235" s="444">
        <f t="shared" ca="1" si="183"/>
        <v>-6387026035025.332</v>
      </c>
      <c r="L5235" s="444">
        <f t="shared" ca="1" si="184"/>
        <v>-1539273274441105</v>
      </c>
      <c r="M5235" s="460">
        <f t="shared" si="186"/>
        <v>0.05</v>
      </c>
      <c r="N5235" s="464">
        <f t="shared" si="187"/>
        <v>210382</v>
      </c>
    </row>
    <row r="5236" spans="7:14" ht="11.25" customHeight="1" x14ac:dyDescent="0.3">
      <c r="G5236" s="459"/>
      <c r="H5236" s="459">
        <v>5229</v>
      </c>
      <c r="I5236" s="444">
        <f t="shared" ca="1" si="185"/>
        <v>-1539273274441105</v>
      </c>
      <c r="J5236" s="444">
        <f t="array" ref="J5236">IFERROR(INDEX('Retirement Calculator'!K:K,MATCH('Lorri 401b'!N5236,'Retirement Calculator'!A:A,0),0),0)</f>
        <v>0</v>
      </c>
      <c r="K5236" s="444">
        <f t="shared" ca="1" si="183"/>
        <v>-6413638643504.6045</v>
      </c>
      <c r="L5236" s="444">
        <f t="shared" ca="1" si="184"/>
        <v>-1545686913084609.5</v>
      </c>
      <c r="M5236" s="460">
        <f t="shared" si="186"/>
        <v>0.05</v>
      </c>
      <c r="N5236" s="464">
        <f t="shared" si="187"/>
        <v>210413</v>
      </c>
    </row>
    <row r="5237" spans="7:14" ht="11.25" customHeight="1" x14ac:dyDescent="0.3">
      <c r="G5237" s="459"/>
      <c r="H5237" s="459">
        <v>5230</v>
      </c>
      <c r="I5237" s="444">
        <f t="shared" ca="1" si="185"/>
        <v>-1545686913084609.5</v>
      </c>
      <c r="J5237" s="444">
        <f t="array" ref="J5237">IFERROR(INDEX('Retirement Calculator'!K:K,MATCH('Lorri 401b'!N5237,'Retirement Calculator'!A:A,0),0),0)</f>
        <v>0</v>
      </c>
      <c r="K5237" s="444">
        <f t="shared" ca="1" si="183"/>
        <v>-6440362137852.5391</v>
      </c>
      <c r="L5237" s="444">
        <f t="shared" ca="1" si="184"/>
        <v>-1552127275222462</v>
      </c>
      <c r="M5237" s="460">
        <f t="shared" si="186"/>
        <v>0.05</v>
      </c>
      <c r="N5237" s="464">
        <f t="shared" si="187"/>
        <v>210442</v>
      </c>
    </row>
    <row r="5238" spans="7:14" ht="11.25" customHeight="1" x14ac:dyDescent="0.3">
      <c r="G5238" s="459"/>
      <c r="H5238" s="459">
        <v>5231</v>
      </c>
      <c r="I5238" s="444">
        <f t="shared" ca="1" si="185"/>
        <v>-1552127275222462</v>
      </c>
      <c r="J5238" s="444">
        <f t="array" ref="J5238">IFERROR(INDEX('Retirement Calculator'!K:K,MATCH('Lorri 401b'!N5238,'Retirement Calculator'!A:A,0),0),0)</f>
        <v>0</v>
      </c>
      <c r="K5238" s="444">
        <f t="shared" ca="1" si="183"/>
        <v>-6467196980093.5918</v>
      </c>
      <c r="L5238" s="444">
        <f t="shared" ca="1" si="184"/>
        <v>-1558594472202555.5</v>
      </c>
      <c r="M5238" s="460">
        <f t="shared" si="186"/>
        <v>0.05</v>
      </c>
      <c r="N5238" s="464">
        <f t="shared" si="187"/>
        <v>210473</v>
      </c>
    </row>
    <row r="5239" spans="7:14" ht="11.25" customHeight="1" x14ac:dyDescent="0.3">
      <c r="G5239" s="459"/>
      <c r="H5239" s="459">
        <v>5232</v>
      </c>
      <c r="I5239" s="444">
        <f t="shared" ca="1" si="185"/>
        <v>-1558594472202555.5</v>
      </c>
      <c r="J5239" s="444">
        <f t="array" ref="J5239">IFERROR(INDEX('Retirement Calculator'!K:K,MATCH('Lorri 401b'!N5239,'Retirement Calculator'!A:A,0),0),0)</f>
        <v>0</v>
      </c>
      <c r="K5239" s="444">
        <f t="shared" ca="1" si="183"/>
        <v>-6494143634177.3145</v>
      </c>
      <c r="L5239" s="444">
        <f t="shared" ca="1" si="184"/>
        <v>-1565088615836732.8</v>
      </c>
      <c r="M5239" s="460">
        <f t="shared" si="186"/>
        <v>0.05</v>
      </c>
      <c r="N5239" s="464">
        <f t="shared" si="187"/>
        <v>210503</v>
      </c>
    </row>
    <row r="5240" spans="7:14" ht="11.25" customHeight="1" x14ac:dyDescent="0.3">
      <c r="G5240" s="459"/>
      <c r="H5240" s="459">
        <v>5233</v>
      </c>
      <c r="I5240" s="444">
        <f t="shared" ca="1" si="185"/>
        <v>-1565088615836732.8</v>
      </c>
      <c r="J5240" s="444">
        <f t="array" ref="J5240">IFERROR(INDEX('Retirement Calculator'!K:K,MATCH('Lorri 401b'!N5240,'Retirement Calculator'!A:A,0),0),0)</f>
        <v>0</v>
      </c>
      <c r="K5240" s="444">
        <f t="shared" ca="1" si="183"/>
        <v>-6521202565986.3867</v>
      </c>
      <c r="L5240" s="444">
        <f t="shared" ca="1" si="184"/>
        <v>-1571609818402719.3</v>
      </c>
      <c r="M5240" s="460">
        <f t="shared" si="186"/>
        <v>0.05</v>
      </c>
      <c r="N5240" s="464">
        <f t="shared" si="187"/>
        <v>210534</v>
      </c>
    </row>
    <row r="5241" spans="7:14" ht="11.25" customHeight="1" x14ac:dyDescent="0.3">
      <c r="G5241" s="459"/>
      <c r="H5241" s="459">
        <v>5234</v>
      </c>
      <c r="I5241" s="444">
        <f t="shared" ca="1" si="185"/>
        <v>-1571609818402719.3</v>
      </c>
      <c r="J5241" s="444">
        <f t="array" ref="J5241">IFERROR(INDEX('Retirement Calculator'!K:K,MATCH('Lorri 401b'!N5241,'Retirement Calculator'!A:A,0),0),0)</f>
        <v>0</v>
      </c>
      <c r="K5241" s="444">
        <f t="shared" ca="1" si="183"/>
        <v>-6548374243344.6631</v>
      </c>
      <c r="L5241" s="444">
        <f t="shared" ca="1" si="184"/>
        <v>-1578158192646064</v>
      </c>
      <c r="M5241" s="460">
        <f t="shared" si="186"/>
        <v>0.05</v>
      </c>
      <c r="N5241" s="464">
        <f t="shared" si="187"/>
        <v>210564</v>
      </c>
    </row>
    <row r="5242" spans="7:14" ht="11.25" customHeight="1" x14ac:dyDescent="0.3">
      <c r="G5242" s="459"/>
      <c r="H5242" s="459">
        <v>5235</v>
      </c>
      <c r="I5242" s="444">
        <f t="shared" ca="1" si="185"/>
        <v>-1578158192646064</v>
      </c>
      <c r="J5242" s="444">
        <f t="array" ref="J5242">IFERROR(INDEX('Retirement Calculator'!K:K,MATCH('Lorri 401b'!N5242,'Retirement Calculator'!A:A,0),0),0)</f>
        <v>0</v>
      </c>
      <c r="K5242" s="444">
        <f t="shared" ca="1" si="183"/>
        <v>-6575659136025.2666</v>
      </c>
      <c r="L5242" s="444">
        <f t="shared" ca="1" si="184"/>
        <v>-1584733851782089.3</v>
      </c>
      <c r="M5242" s="460">
        <f t="shared" si="186"/>
        <v>0.05</v>
      </c>
      <c r="N5242" s="464">
        <f t="shared" si="187"/>
        <v>210595</v>
      </c>
    </row>
    <row r="5243" spans="7:14" ht="11.25" customHeight="1" x14ac:dyDescent="0.3">
      <c r="G5243" s="459"/>
      <c r="H5243" s="459">
        <v>5236</v>
      </c>
      <c r="I5243" s="444">
        <f t="shared" ca="1" si="185"/>
        <v>-1584733851782089.3</v>
      </c>
      <c r="J5243" s="444">
        <f t="array" ref="J5243">IFERROR(INDEX('Retirement Calculator'!K:K,MATCH('Lorri 401b'!N5243,'Retirement Calculator'!A:A,0),0),0)</f>
        <v>0</v>
      </c>
      <c r="K5243" s="444">
        <f t="shared" ca="1" si="183"/>
        <v>-6603057715758.7051</v>
      </c>
      <c r="L5243" s="444">
        <f t="shared" ca="1" si="184"/>
        <v>-1591336909497848</v>
      </c>
      <c r="M5243" s="460">
        <f t="shared" si="186"/>
        <v>0.05</v>
      </c>
      <c r="N5243" s="464">
        <f t="shared" si="187"/>
        <v>210626</v>
      </c>
    </row>
    <row r="5244" spans="7:14" ht="11.25" customHeight="1" x14ac:dyDescent="0.3">
      <c r="G5244" s="459"/>
      <c r="H5244" s="459">
        <v>5237</v>
      </c>
      <c r="I5244" s="444">
        <f t="shared" ca="1" si="185"/>
        <v>-1591336909497848</v>
      </c>
      <c r="J5244" s="444">
        <f t="array" ref="J5244">IFERROR(INDEX('Retirement Calculator'!K:K,MATCH('Lorri 401b'!N5244,'Retirement Calculator'!A:A,0),0),0)</f>
        <v>0</v>
      </c>
      <c r="K5244" s="444">
        <f t="shared" ca="1" si="183"/>
        <v>-6630570456241.0332</v>
      </c>
      <c r="L5244" s="444">
        <f t="shared" ca="1" si="184"/>
        <v>-1597967479954089</v>
      </c>
      <c r="M5244" s="460">
        <f t="shared" si="186"/>
        <v>0.05</v>
      </c>
      <c r="N5244" s="464">
        <f t="shared" si="187"/>
        <v>210656</v>
      </c>
    </row>
    <row r="5245" spans="7:14" ht="11.25" customHeight="1" x14ac:dyDescent="0.3">
      <c r="G5245" s="459"/>
      <c r="H5245" s="459">
        <v>5238</v>
      </c>
      <c r="I5245" s="444">
        <f t="shared" ca="1" si="185"/>
        <v>-1597967479954089</v>
      </c>
      <c r="J5245" s="444">
        <f t="array" ref="J5245">IFERROR(INDEX('Retirement Calculator'!K:K,MATCH('Lorri 401b'!N5245,'Retirement Calculator'!A:A,0),0),0)</f>
        <v>0</v>
      </c>
      <c r="K5245" s="444">
        <f t="shared" ca="1" si="183"/>
        <v>-6658197833142.0371</v>
      </c>
      <c r="L5245" s="444">
        <f t="shared" ca="1" si="184"/>
        <v>-1604625677787231</v>
      </c>
      <c r="M5245" s="460">
        <f t="shared" si="186"/>
        <v>0.05</v>
      </c>
      <c r="N5245" s="464">
        <f t="shared" si="187"/>
        <v>210687</v>
      </c>
    </row>
    <row r="5246" spans="7:14" ht="11.25" customHeight="1" x14ac:dyDescent="0.3">
      <c r="G5246" s="459"/>
      <c r="H5246" s="459">
        <v>5239</v>
      </c>
      <c r="I5246" s="444">
        <f t="shared" ca="1" si="185"/>
        <v>-1604625677787231</v>
      </c>
      <c r="J5246" s="444">
        <f t="array" ref="J5246">IFERROR(INDEX('Retirement Calculator'!K:K,MATCH('Lorri 401b'!N5246,'Retirement Calculator'!A:A,0),0),0)</f>
        <v>0</v>
      </c>
      <c r="K5246" s="444">
        <f t="shared" ca="1" si="183"/>
        <v>-6685940324113.4629</v>
      </c>
      <c r="L5246" s="444">
        <f t="shared" ca="1" si="184"/>
        <v>-1611311618111344.5</v>
      </c>
      <c r="M5246" s="460">
        <f t="shared" si="186"/>
        <v>0.05</v>
      </c>
      <c r="N5246" s="464">
        <f t="shared" si="187"/>
        <v>210717</v>
      </c>
    </row>
    <row r="5247" spans="7:14" ht="11.25" customHeight="1" x14ac:dyDescent="0.3">
      <c r="G5247" s="459"/>
      <c r="H5247" s="459">
        <v>5240</v>
      </c>
      <c r="I5247" s="444">
        <f t="shared" ca="1" si="185"/>
        <v>-1611311618111344.5</v>
      </c>
      <c r="J5247" s="444">
        <f t="array" ref="J5247">IFERROR(INDEX('Retirement Calculator'!K:K,MATCH('Lorri 401b'!N5247,'Retirement Calculator'!A:A,0),0),0)</f>
        <v>0</v>
      </c>
      <c r="K5247" s="444">
        <f t="shared" ca="1" si="183"/>
        <v>-6713798408797.2686</v>
      </c>
      <c r="L5247" s="444">
        <f t="shared" ca="1" si="184"/>
        <v>-1618025416520141.8</v>
      </c>
      <c r="M5247" s="460">
        <f t="shared" si="186"/>
        <v>0.05</v>
      </c>
      <c r="N5247" s="464">
        <f t="shared" si="187"/>
        <v>210748</v>
      </c>
    </row>
    <row r="5248" spans="7:14" ht="11.25" customHeight="1" x14ac:dyDescent="0.3">
      <c r="G5248" s="459"/>
      <c r="H5248" s="459">
        <v>5241</v>
      </c>
      <c r="I5248" s="444">
        <f t="shared" ca="1" si="185"/>
        <v>-1618025416520141.8</v>
      </c>
      <c r="J5248" s="444">
        <f t="array" ref="J5248">IFERROR(INDEX('Retirement Calculator'!K:K,MATCH('Lorri 401b'!N5248,'Retirement Calculator'!A:A,0),0),0)</f>
        <v>0</v>
      </c>
      <c r="K5248" s="444">
        <f t="shared" ca="1" si="183"/>
        <v>-6741772568833.9238</v>
      </c>
      <c r="L5248" s="444">
        <f t="shared" ca="1" si="184"/>
        <v>-1624767189088975.8</v>
      </c>
      <c r="M5248" s="460">
        <f t="shared" si="186"/>
        <v>0.05</v>
      </c>
      <c r="N5248" s="464">
        <f t="shared" si="187"/>
        <v>210779</v>
      </c>
    </row>
    <row r="5249" spans="7:14" ht="11.25" customHeight="1" x14ac:dyDescent="0.3">
      <c r="G5249" s="459"/>
      <c r="H5249" s="459">
        <v>5242</v>
      </c>
      <c r="I5249" s="444">
        <f t="shared" ca="1" si="185"/>
        <v>-1624767189088975.8</v>
      </c>
      <c r="J5249" s="444">
        <f t="array" ref="J5249">IFERROR(INDEX('Retirement Calculator'!K:K,MATCH('Lorri 401b'!N5249,'Retirement Calculator'!A:A,0),0),0)</f>
        <v>0</v>
      </c>
      <c r="K5249" s="444">
        <f t="shared" ca="1" si="183"/>
        <v>-6769863287870.7324</v>
      </c>
      <c r="L5249" s="444">
        <f t="shared" ca="1" si="184"/>
        <v>-1631537052376846.5</v>
      </c>
      <c r="M5249" s="460">
        <f t="shared" si="186"/>
        <v>0.05</v>
      </c>
      <c r="N5249" s="464">
        <f t="shared" si="187"/>
        <v>210807</v>
      </c>
    </row>
    <row r="5250" spans="7:14" ht="11.25" customHeight="1" x14ac:dyDescent="0.3">
      <c r="G5250" s="459"/>
      <c r="H5250" s="459">
        <v>5243</v>
      </c>
      <c r="I5250" s="444">
        <f t="shared" ca="1" si="185"/>
        <v>-1631537052376846.5</v>
      </c>
      <c r="J5250" s="444">
        <f t="array" ref="J5250">IFERROR(INDEX('Retirement Calculator'!K:K,MATCH('Lorri 401b'!N5250,'Retirement Calculator'!A:A,0),0),0)</f>
        <v>0</v>
      </c>
      <c r="K5250" s="444">
        <f t="shared" ca="1" si="183"/>
        <v>-6798071051570.1934</v>
      </c>
      <c r="L5250" s="444">
        <f t="shared" ca="1" si="184"/>
        <v>-1638335123428416.8</v>
      </c>
      <c r="M5250" s="460">
        <f t="shared" si="186"/>
        <v>0.05</v>
      </c>
      <c r="N5250" s="464">
        <f t="shared" si="187"/>
        <v>210838</v>
      </c>
    </row>
    <row r="5251" spans="7:14" ht="11.25" customHeight="1" x14ac:dyDescent="0.3">
      <c r="G5251" s="459"/>
      <c r="H5251" s="459">
        <v>5244</v>
      </c>
      <c r="I5251" s="444">
        <f t="shared" ca="1" si="185"/>
        <v>-1638335123428416.8</v>
      </c>
      <c r="J5251" s="444">
        <f t="array" ref="J5251">IFERROR(INDEX('Retirement Calculator'!K:K,MATCH('Lorri 401b'!N5251,'Retirement Calculator'!A:A,0),0),0)</f>
        <v>0</v>
      </c>
      <c r="K5251" s="444">
        <f t="shared" ca="1" si="183"/>
        <v>-6826396347618.4033</v>
      </c>
      <c r="L5251" s="444">
        <f t="shared" ca="1" si="184"/>
        <v>-1645161519776035.3</v>
      </c>
      <c r="M5251" s="460">
        <f t="shared" si="186"/>
        <v>0.05</v>
      </c>
      <c r="N5251" s="464">
        <f t="shared" si="187"/>
        <v>210868</v>
      </c>
    </row>
    <row r="5252" spans="7:14" ht="11.25" customHeight="1" x14ac:dyDescent="0.3">
      <c r="G5252" s="459"/>
      <c r="H5252" s="459">
        <v>5245</v>
      </c>
      <c r="I5252" s="444">
        <f t="shared" ca="1" si="185"/>
        <v>-1645161519776035.3</v>
      </c>
      <c r="J5252" s="444">
        <f t="array" ref="J5252">IFERROR(INDEX('Retirement Calculator'!K:K,MATCH('Lorri 401b'!N5252,'Retirement Calculator'!A:A,0),0),0)</f>
        <v>0</v>
      </c>
      <c r="K5252" s="444">
        <f t="shared" ca="1" si="183"/>
        <v>-6854839665733.4805</v>
      </c>
      <c r="L5252" s="444">
        <f t="shared" ca="1" si="184"/>
        <v>-1652016359441768.8</v>
      </c>
      <c r="M5252" s="460">
        <f t="shared" si="186"/>
        <v>0.05</v>
      </c>
      <c r="N5252" s="464">
        <f t="shared" si="187"/>
        <v>210899</v>
      </c>
    </row>
    <row r="5253" spans="7:14" ht="11.25" customHeight="1" x14ac:dyDescent="0.3">
      <c r="G5253" s="459"/>
      <c r="H5253" s="459">
        <v>5246</v>
      </c>
      <c r="I5253" s="444">
        <f t="shared" ca="1" si="185"/>
        <v>-1652016359441768.8</v>
      </c>
      <c r="J5253" s="444">
        <f t="array" ref="J5253">IFERROR(INDEX('Retirement Calculator'!K:K,MATCH('Lorri 401b'!N5253,'Retirement Calculator'!A:A,0),0),0)</f>
        <v>0</v>
      </c>
      <c r="K5253" s="444">
        <f t="shared" ca="1" si="183"/>
        <v>-6883401497674.0361</v>
      </c>
      <c r="L5253" s="444">
        <f t="shared" ca="1" si="184"/>
        <v>-1658899760939442.8</v>
      </c>
      <c r="M5253" s="460">
        <f t="shared" si="186"/>
        <v>0.05</v>
      </c>
      <c r="N5253" s="464">
        <f t="shared" si="187"/>
        <v>210929</v>
      </c>
    </row>
    <row r="5254" spans="7:14" ht="11.25" customHeight="1" x14ac:dyDescent="0.3">
      <c r="G5254" s="459"/>
      <c r="H5254" s="459">
        <v>5247</v>
      </c>
      <c r="I5254" s="444">
        <f t="shared" ca="1" si="185"/>
        <v>-1658899760939442.8</v>
      </c>
      <c r="J5254" s="444">
        <f t="array" ref="J5254">IFERROR(INDEX('Retirement Calculator'!K:K,MATCH('Lorri 401b'!N5254,'Retirement Calculator'!A:A,0),0),0)</f>
        <v>0</v>
      </c>
      <c r="K5254" s="444">
        <f t="shared" ca="1" si="183"/>
        <v>-6912082337247.6777</v>
      </c>
      <c r="L5254" s="444">
        <f t="shared" ca="1" si="184"/>
        <v>-1665811843276690.5</v>
      </c>
      <c r="M5254" s="460">
        <f t="shared" si="186"/>
        <v>0.05</v>
      </c>
      <c r="N5254" s="464">
        <f t="shared" si="187"/>
        <v>210960</v>
      </c>
    </row>
    <row r="5255" spans="7:14" ht="11.25" customHeight="1" x14ac:dyDescent="0.3">
      <c r="G5255" s="459"/>
      <c r="H5255" s="459">
        <v>5248</v>
      </c>
      <c r="I5255" s="444">
        <f t="shared" ca="1" si="185"/>
        <v>-1665811843276690.5</v>
      </c>
      <c r="J5255" s="444">
        <f t="array" ref="J5255">IFERROR(INDEX('Retirement Calculator'!K:K,MATCH('Lorri 401b'!N5255,'Retirement Calculator'!A:A,0),0),0)</f>
        <v>0</v>
      </c>
      <c r="K5255" s="444">
        <f t="shared" ca="1" si="183"/>
        <v>-6940882680319.5439</v>
      </c>
      <c r="L5255" s="444">
        <f t="shared" ca="1" si="184"/>
        <v>-1672752725957010</v>
      </c>
      <c r="M5255" s="460">
        <f t="shared" si="186"/>
        <v>0.05</v>
      </c>
      <c r="N5255" s="464">
        <f t="shared" si="187"/>
        <v>210991</v>
      </c>
    </row>
    <row r="5256" spans="7:14" ht="11.25" customHeight="1" x14ac:dyDescent="0.3">
      <c r="G5256" s="459"/>
      <c r="H5256" s="459">
        <v>5249</v>
      </c>
      <c r="I5256" s="444">
        <f t="shared" ca="1" si="185"/>
        <v>-1672752725957010</v>
      </c>
      <c r="J5256" s="444">
        <f t="array" ref="J5256">IFERROR(INDEX('Retirement Calculator'!K:K,MATCH('Lorri 401b'!N5256,'Retirement Calculator'!A:A,0),0),0)</f>
        <v>0</v>
      </c>
      <c r="K5256" s="444">
        <f t="shared" ca="1" si="183"/>
        <v>-6969803024820.875</v>
      </c>
      <c r="L5256" s="444">
        <f t="shared" ca="1" si="184"/>
        <v>-1679722528981831</v>
      </c>
      <c r="M5256" s="460">
        <f t="shared" si="186"/>
        <v>0.05</v>
      </c>
      <c r="N5256" s="464">
        <f t="shared" si="187"/>
        <v>211021</v>
      </c>
    </row>
    <row r="5257" spans="7:14" ht="11.25" customHeight="1" x14ac:dyDescent="0.3">
      <c r="G5257" s="459"/>
      <c r="H5257" s="459">
        <v>5250</v>
      </c>
      <c r="I5257" s="444">
        <f t="shared" ca="1" si="185"/>
        <v>-1679722528981831</v>
      </c>
      <c r="J5257" s="444">
        <f t="array" ref="J5257">IFERROR(INDEX('Retirement Calculator'!K:K,MATCH('Lorri 401b'!N5257,'Retirement Calculator'!A:A,0),0),0)</f>
        <v>0</v>
      </c>
      <c r="K5257" s="444">
        <f t="shared" ca="1" si="183"/>
        <v>-6998843870757.6289</v>
      </c>
      <c r="L5257" s="444">
        <f t="shared" ca="1" si="184"/>
        <v>-1686721372852588.8</v>
      </c>
      <c r="M5257" s="460">
        <f t="shared" si="186"/>
        <v>0.05</v>
      </c>
      <c r="N5257" s="464">
        <f t="shared" si="187"/>
        <v>211052</v>
      </c>
    </row>
    <row r="5258" spans="7:14" ht="11.25" customHeight="1" x14ac:dyDescent="0.3">
      <c r="G5258" s="459"/>
      <c r="H5258" s="459">
        <v>5251</v>
      </c>
      <c r="I5258" s="444">
        <f t="shared" ca="1" si="185"/>
        <v>-1686721372852588.8</v>
      </c>
      <c r="J5258" s="444">
        <f t="array" ref="J5258">IFERROR(INDEX('Retirement Calculator'!K:K,MATCH('Lorri 401b'!N5258,'Retirement Calculator'!A:A,0),0),0)</f>
        <v>0</v>
      </c>
      <c r="K5258" s="444">
        <f t="shared" ca="1" si="183"/>
        <v>-7028005720219.1201</v>
      </c>
      <c r="L5258" s="444">
        <f t="shared" ca="1" si="184"/>
        <v>-1693749378572807.8</v>
      </c>
      <c r="M5258" s="460">
        <f t="shared" si="186"/>
        <v>0.05</v>
      </c>
      <c r="N5258" s="464">
        <f t="shared" si="187"/>
        <v>211082</v>
      </c>
    </row>
    <row r="5259" spans="7:14" ht="11.25" customHeight="1" x14ac:dyDescent="0.3">
      <c r="G5259" s="459"/>
      <c r="H5259" s="459">
        <v>5252</v>
      </c>
      <c r="I5259" s="444">
        <f t="shared" ca="1" si="185"/>
        <v>-1693749378572807.8</v>
      </c>
      <c r="J5259" s="444">
        <f t="array" ref="J5259">IFERROR(INDEX('Retirement Calculator'!K:K,MATCH('Lorri 401b'!N5259,'Retirement Calculator'!A:A,0),0),0)</f>
        <v>0</v>
      </c>
      <c r="K5259" s="444">
        <f t="shared" ca="1" si="183"/>
        <v>-7057289077386.6992</v>
      </c>
      <c r="L5259" s="444">
        <f t="shared" ca="1" si="184"/>
        <v>-1700806667650194.5</v>
      </c>
      <c r="M5259" s="460">
        <f t="shared" si="186"/>
        <v>0.05</v>
      </c>
      <c r="N5259" s="464">
        <f t="shared" si="187"/>
        <v>211113</v>
      </c>
    </row>
    <row r="5260" spans="7:14" ht="11.25" customHeight="1" x14ac:dyDescent="0.3">
      <c r="G5260" s="459"/>
      <c r="H5260" s="459">
        <v>5253</v>
      </c>
      <c r="I5260" s="444">
        <f t="shared" ca="1" si="185"/>
        <v>-1700806667650194.5</v>
      </c>
      <c r="J5260" s="444">
        <f t="array" ref="J5260">IFERROR(INDEX('Retirement Calculator'!K:K,MATCH('Lorri 401b'!N5260,'Retirement Calculator'!A:A,0),0),0)</f>
        <v>0</v>
      </c>
      <c r="K5260" s="444">
        <f t="shared" ca="1" si="183"/>
        <v>-7086694448542.4766</v>
      </c>
      <c r="L5260" s="444">
        <f t="shared" ca="1" si="184"/>
        <v>-1707893362098737</v>
      </c>
      <c r="M5260" s="460">
        <f t="shared" si="186"/>
        <v>0.05</v>
      </c>
      <c r="N5260" s="464">
        <f t="shared" si="187"/>
        <v>211144</v>
      </c>
    </row>
    <row r="5261" spans="7:14" ht="11.25" customHeight="1" x14ac:dyDescent="0.3">
      <c r="G5261" s="459"/>
      <c r="H5261" s="459">
        <v>5254</v>
      </c>
      <c r="I5261" s="444">
        <f t="shared" ca="1" si="185"/>
        <v>-1707893362098737</v>
      </c>
      <c r="J5261" s="444">
        <f t="array" ref="J5261">IFERROR(INDEX('Retirement Calculator'!K:K,MATCH('Lorri 401b'!N5261,'Retirement Calculator'!A:A,0),0),0)</f>
        <v>0</v>
      </c>
      <c r="K5261" s="444">
        <f t="shared" ca="1" si="183"/>
        <v>-7116222342078.0703</v>
      </c>
      <c r="L5261" s="444">
        <f t="shared" ca="1" si="184"/>
        <v>-1715009584440815</v>
      </c>
      <c r="M5261" s="460">
        <f t="shared" si="186"/>
        <v>0.05</v>
      </c>
      <c r="N5261" s="464">
        <f t="shared" si="187"/>
        <v>211172</v>
      </c>
    </row>
    <row r="5262" spans="7:14" ht="11.25" customHeight="1" x14ac:dyDescent="0.3">
      <c r="G5262" s="459"/>
      <c r="H5262" s="459">
        <v>5255</v>
      </c>
      <c r="I5262" s="444">
        <f t="shared" ca="1" si="185"/>
        <v>-1715009584440815</v>
      </c>
      <c r="J5262" s="444">
        <f t="array" ref="J5262">IFERROR(INDEX('Retirement Calculator'!K:K,MATCH('Lorri 401b'!N5262,'Retirement Calculator'!A:A,0),0),0)</f>
        <v>0</v>
      </c>
      <c r="K5262" s="444">
        <f t="shared" ca="1" si="183"/>
        <v>-7145873268503.3955</v>
      </c>
      <c r="L5262" s="444">
        <f t="shared" ca="1" si="184"/>
        <v>-1722155457709318.5</v>
      </c>
      <c r="M5262" s="460">
        <f t="shared" si="186"/>
        <v>0.05</v>
      </c>
      <c r="N5262" s="464">
        <f t="shared" si="187"/>
        <v>211203</v>
      </c>
    </row>
    <row r="5263" spans="7:14" ht="11.25" customHeight="1" x14ac:dyDescent="0.3">
      <c r="G5263" s="459"/>
      <c r="H5263" s="459">
        <v>5256</v>
      </c>
      <c r="I5263" s="444">
        <f t="shared" ca="1" si="185"/>
        <v>-1722155457709318.5</v>
      </c>
      <c r="J5263" s="444">
        <f t="array" ref="J5263">IFERROR(INDEX('Retirement Calculator'!K:K,MATCH('Lorri 401b'!N5263,'Retirement Calculator'!A:A,0),0),0)</f>
        <v>0</v>
      </c>
      <c r="K5263" s="444">
        <f t="shared" ca="1" si="183"/>
        <v>-7175647740455.4932</v>
      </c>
      <c r="L5263" s="444">
        <f t="shared" ca="1" si="184"/>
        <v>-1729331105449774</v>
      </c>
      <c r="M5263" s="460">
        <f t="shared" si="186"/>
        <v>0.05</v>
      </c>
      <c r="N5263" s="464">
        <f t="shared" si="187"/>
        <v>211233</v>
      </c>
    </row>
    <row r="5264" spans="7:14" ht="11.25" customHeight="1" x14ac:dyDescent="0.3">
      <c r="G5264" s="459"/>
      <c r="H5264" s="459">
        <v>5257</v>
      </c>
      <c r="I5264" s="444">
        <f t="shared" ca="1" si="185"/>
        <v>-1729331105449774</v>
      </c>
      <c r="J5264" s="444">
        <f t="array" ref="J5264">IFERROR(INDEX('Retirement Calculator'!K:K,MATCH('Lorri 401b'!N5264,'Retirement Calculator'!A:A,0),0),0)</f>
        <v>0</v>
      </c>
      <c r="K5264" s="444">
        <f t="shared" ca="1" si="183"/>
        <v>-7205546272707.3916</v>
      </c>
      <c r="L5264" s="444">
        <f t="shared" ca="1" si="184"/>
        <v>-1736536651722481.5</v>
      </c>
      <c r="M5264" s="460">
        <f t="shared" si="186"/>
        <v>0.05</v>
      </c>
      <c r="N5264" s="464">
        <f t="shared" si="187"/>
        <v>211264</v>
      </c>
    </row>
    <row r="5265" spans="7:14" ht="11.25" customHeight="1" x14ac:dyDescent="0.3">
      <c r="G5265" s="459"/>
      <c r="H5265" s="459">
        <v>5258</v>
      </c>
      <c r="I5265" s="444">
        <f t="shared" ca="1" si="185"/>
        <v>-1736536651722481.5</v>
      </c>
      <c r="J5265" s="444">
        <f t="array" ref="J5265">IFERROR(INDEX('Retirement Calculator'!K:K,MATCH('Lorri 401b'!N5265,'Retirement Calculator'!A:A,0),0),0)</f>
        <v>0</v>
      </c>
      <c r="K5265" s="444">
        <f t="shared" ca="1" si="183"/>
        <v>-7235569382177.0059</v>
      </c>
      <c r="L5265" s="444">
        <f t="shared" ca="1" si="184"/>
        <v>-1743772221104658.5</v>
      </c>
      <c r="M5265" s="460">
        <f t="shared" si="186"/>
        <v>0.05</v>
      </c>
      <c r="N5265" s="464">
        <f t="shared" si="187"/>
        <v>211294</v>
      </c>
    </row>
    <row r="5266" spans="7:14" ht="11.25" customHeight="1" x14ac:dyDescent="0.3">
      <c r="G5266" s="459"/>
      <c r="H5266" s="459">
        <v>5259</v>
      </c>
      <c r="I5266" s="444">
        <f t="shared" ca="1" si="185"/>
        <v>-1743772221104658.5</v>
      </c>
      <c r="J5266" s="444">
        <f t="array" ref="J5266">IFERROR(INDEX('Retirement Calculator'!K:K,MATCH('Lorri 401b'!N5266,'Retirement Calculator'!A:A,0),0),0)</f>
        <v>0</v>
      </c>
      <c r="K5266" s="444">
        <f t="shared" ca="1" si="183"/>
        <v>-7265717587936.0771</v>
      </c>
      <c r="L5266" s="444">
        <f t="shared" ca="1" si="184"/>
        <v>-1751037938692594.5</v>
      </c>
      <c r="M5266" s="460">
        <f t="shared" si="186"/>
        <v>0.05</v>
      </c>
      <c r="N5266" s="464">
        <f t="shared" si="187"/>
        <v>211325</v>
      </c>
    </row>
    <row r="5267" spans="7:14" ht="11.25" customHeight="1" x14ac:dyDescent="0.3">
      <c r="G5267" s="459"/>
      <c r="H5267" s="459">
        <v>5260</v>
      </c>
      <c r="I5267" s="444">
        <f t="shared" ca="1" si="185"/>
        <v>-1751037938692594.5</v>
      </c>
      <c r="J5267" s="444">
        <f t="array" ref="J5267">IFERROR(INDEX('Retirement Calculator'!K:K,MATCH('Lorri 401b'!N5267,'Retirement Calculator'!A:A,0),0),0)</f>
        <v>0</v>
      </c>
      <c r="K5267" s="444">
        <f t="shared" ca="1" si="183"/>
        <v>-7295991411219.1436</v>
      </c>
      <c r="L5267" s="444">
        <f t="shared" ca="1" si="184"/>
        <v>-1758333930103813.8</v>
      </c>
      <c r="M5267" s="460">
        <f t="shared" si="186"/>
        <v>0.05</v>
      </c>
      <c r="N5267" s="464">
        <f t="shared" si="187"/>
        <v>211356</v>
      </c>
    </row>
    <row r="5268" spans="7:14" ht="11.25" customHeight="1" x14ac:dyDescent="0.3">
      <c r="G5268" s="459"/>
      <c r="H5268" s="459">
        <v>5261</v>
      </c>
      <c r="I5268" s="444">
        <f t="shared" ca="1" si="185"/>
        <v>-1758333930103813.8</v>
      </c>
      <c r="J5268" s="444">
        <f t="array" ref="J5268">IFERROR(INDEX('Retirement Calculator'!K:K,MATCH('Lorri 401b'!N5268,'Retirement Calculator'!A:A,0),0),0)</f>
        <v>0</v>
      </c>
      <c r="K5268" s="444">
        <f t="shared" ca="1" si="183"/>
        <v>-7326391375432.5576</v>
      </c>
      <c r="L5268" s="444">
        <f t="shared" ca="1" si="184"/>
        <v>-1765660321479246.3</v>
      </c>
      <c r="M5268" s="460">
        <f t="shared" si="186"/>
        <v>0.05</v>
      </c>
      <c r="N5268" s="464">
        <f t="shared" si="187"/>
        <v>211386</v>
      </c>
    </row>
    <row r="5269" spans="7:14" ht="11.25" customHeight="1" x14ac:dyDescent="0.3">
      <c r="G5269" s="459"/>
      <c r="H5269" s="459">
        <v>5262</v>
      </c>
      <c r="I5269" s="444">
        <f t="shared" ca="1" si="185"/>
        <v>-1765660321479246.3</v>
      </c>
      <c r="J5269" s="444">
        <f t="array" ref="J5269">IFERROR(INDEX('Retirement Calculator'!K:K,MATCH('Lorri 401b'!N5269,'Retirement Calculator'!A:A,0),0),0)</f>
        <v>0</v>
      </c>
      <c r="K5269" s="444">
        <f t="shared" ca="1" si="183"/>
        <v>-7356918006163.5264</v>
      </c>
      <c r="L5269" s="444">
        <f t="shared" ca="1" si="184"/>
        <v>-1773017239485409.8</v>
      </c>
      <c r="M5269" s="460">
        <f t="shared" si="186"/>
        <v>0.05</v>
      </c>
      <c r="N5269" s="464">
        <f t="shared" si="187"/>
        <v>211417</v>
      </c>
    </row>
    <row r="5270" spans="7:14" ht="11.25" customHeight="1" x14ac:dyDescent="0.3">
      <c r="G5270" s="459"/>
      <c r="H5270" s="459">
        <v>5263</v>
      </c>
      <c r="I5270" s="444">
        <f t="shared" ca="1" si="185"/>
        <v>-1773017239485409.8</v>
      </c>
      <c r="J5270" s="444">
        <f t="array" ref="J5270">IFERROR(INDEX('Retirement Calculator'!K:K,MATCH('Lorri 401b'!N5270,'Retirement Calculator'!A:A,0),0),0)</f>
        <v>0</v>
      </c>
      <c r="K5270" s="444">
        <f t="shared" ca="1" si="183"/>
        <v>-7387571831189.2061</v>
      </c>
      <c r="L5270" s="444">
        <f t="shared" ca="1" si="184"/>
        <v>-1780404811316599</v>
      </c>
      <c r="M5270" s="460">
        <f t="shared" si="186"/>
        <v>0.05</v>
      </c>
      <c r="N5270" s="464">
        <f t="shared" si="187"/>
        <v>211447</v>
      </c>
    </row>
    <row r="5271" spans="7:14" ht="11.25" customHeight="1" x14ac:dyDescent="0.3">
      <c r="G5271" s="459"/>
      <c r="H5271" s="459">
        <v>5264</v>
      </c>
      <c r="I5271" s="444">
        <f t="shared" ca="1" si="185"/>
        <v>-1780404811316599</v>
      </c>
      <c r="J5271" s="444">
        <f t="array" ref="J5271">IFERROR(INDEX('Retirement Calculator'!K:K,MATCH('Lorri 401b'!N5271,'Retirement Calculator'!A:A,0),0),0)</f>
        <v>0</v>
      </c>
      <c r="K5271" s="444">
        <f t="shared" ca="1" si="183"/>
        <v>-7418353380485.8291</v>
      </c>
      <c r="L5271" s="444">
        <f t="shared" ca="1" si="184"/>
        <v>-1787823164697084.8</v>
      </c>
      <c r="M5271" s="460">
        <f t="shared" si="186"/>
        <v>0.05</v>
      </c>
      <c r="N5271" s="464">
        <f t="shared" si="187"/>
        <v>211478</v>
      </c>
    </row>
    <row r="5272" spans="7:14" ht="11.25" customHeight="1" x14ac:dyDescent="0.3">
      <c r="G5272" s="459"/>
      <c r="H5272" s="459">
        <v>5265</v>
      </c>
      <c r="I5272" s="444">
        <f t="shared" ca="1" si="185"/>
        <v>-1787823164697084.8</v>
      </c>
      <c r="J5272" s="444">
        <f t="array" ref="J5272">IFERROR(INDEX('Retirement Calculator'!K:K,MATCH('Lorri 401b'!N5272,'Retirement Calculator'!A:A,0),0),0)</f>
        <v>0</v>
      </c>
      <c r="K5272" s="444">
        <f t="shared" ca="1" si="183"/>
        <v>-7449263186237.8545</v>
      </c>
      <c r="L5272" s="444">
        <f t="shared" ca="1" si="184"/>
        <v>-1795272427883322.5</v>
      </c>
      <c r="M5272" s="460">
        <f t="shared" si="186"/>
        <v>0.05</v>
      </c>
      <c r="N5272" s="464">
        <f t="shared" si="187"/>
        <v>211509</v>
      </c>
    </row>
    <row r="5273" spans="7:14" ht="11.25" customHeight="1" x14ac:dyDescent="0.3">
      <c r="G5273" s="459"/>
      <c r="H5273" s="459">
        <v>5266</v>
      </c>
      <c r="I5273" s="444">
        <f t="shared" ca="1" si="185"/>
        <v>-1795272427883322.5</v>
      </c>
      <c r="J5273" s="444">
        <f t="array" ref="J5273">IFERROR(INDEX('Retirement Calculator'!K:K,MATCH('Lorri 401b'!N5273,'Retirement Calculator'!A:A,0),0),0)</f>
        <v>0</v>
      </c>
      <c r="K5273" s="444">
        <f t="shared" ca="1" si="183"/>
        <v>-7480301782847.1768</v>
      </c>
      <c r="L5273" s="444">
        <f t="shared" ca="1" si="184"/>
        <v>-1802752729666169.8</v>
      </c>
      <c r="M5273" s="460">
        <f t="shared" si="186"/>
        <v>0.05</v>
      </c>
      <c r="N5273" s="464">
        <f t="shared" si="187"/>
        <v>211537</v>
      </c>
    </row>
    <row r="5274" spans="7:14" ht="11.25" customHeight="1" x14ac:dyDescent="0.3">
      <c r="G5274" s="459"/>
      <c r="H5274" s="459">
        <v>5267</v>
      </c>
      <c r="I5274" s="444">
        <f t="shared" ca="1" si="185"/>
        <v>-1802752729666169.8</v>
      </c>
      <c r="J5274" s="444">
        <f t="array" ref="J5274">IFERROR(INDEX('Retirement Calculator'!K:K,MATCH('Lorri 401b'!N5274,'Retirement Calculator'!A:A,0),0),0)</f>
        <v>0</v>
      </c>
      <c r="K5274" s="444">
        <f t="shared" ca="1" si="183"/>
        <v>-7511469706942.374</v>
      </c>
      <c r="L5274" s="444">
        <f t="shared" ca="1" si="184"/>
        <v>-1810264199373112</v>
      </c>
      <c r="M5274" s="460">
        <f t="shared" si="186"/>
        <v>0.05</v>
      </c>
      <c r="N5274" s="464">
        <f t="shared" si="187"/>
        <v>211568</v>
      </c>
    </row>
    <row r="5275" spans="7:14" ht="11.25" customHeight="1" x14ac:dyDescent="0.3">
      <c r="G5275" s="459"/>
      <c r="H5275" s="459">
        <v>5268</v>
      </c>
      <c r="I5275" s="444">
        <f t="shared" ca="1" si="185"/>
        <v>-1810264199373112</v>
      </c>
      <c r="J5275" s="444">
        <f t="array" ref="J5275">IFERROR(INDEX('Retirement Calculator'!K:K,MATCH('Lorri 401b'!N5275,'Retirement Calculator'!A:A,0),0),0)</f>
        <v>0</v>
      </c>
      <c r="K5275" s="444">
        <f t="shared" ca="1" si="183"/>
        <v>-7542767497387.9658</v>
      </c>
      <c r="L5275" s="444">
        <f t="shared" ca="1" si="184"/>
        <v>-1817806966870500</v>
      </c>
      <c r="M5275" s="460">
        <f t="shared" si="186"/>
        <v>0.05</v>
      </c>
      <c r="N5275" s="464">
        <f t="shared" si="187"/>
        <v>211598</v>
      </c>
    </row>
    <row r="5276" spans="7:14" ht="11.25" customHeight="1" x14ac:dyDescent="0.3">
      <c r="G5276" s="459"/>
      <c r="H5276" s="459">
        <v>5269</v>
      </c>
      <c r="I5276" s="444">
        <f t="shared" ca="1" si="185"/>
        <v>-1817806966870500</v>
      </c>
      <c r="J5276" s="444">
        <f t="array" ref="J5276">IFERROR(INDEX('Retirement Calculator'!K:K,MATCH('Lorri 401b'!N5276,'Retirement Calculator'!A:A,0),0),0)</f>
        <v>0</v>
      </c>
      <c r="K5276" s="444">
        <f t="shared" ca="1" si="183"/>
        <v>-7574195695293.75</v>
      </c>
      <c r="L5276" s="444">
        <f t="shared" ca="1" si="184"/>
        <v>-1825381162565793.8</v>
      </c>
      <c r="M5276" s="460">
        <f t="shared" si="186"/>
        <v>0.05</v>
      </c>
      <c r="N5276" s="464">
        <f t="shared" si="187"/>
        <v>211629</v>
      </c>
    </row>
    <row r="5277" spans="7:14" ht="11.25" customHeight="1" x14ac:dyDescent="0.3">
      <c r="G5277" s="459"/>
      <c r="H5277" s="459">
        <v>5270</v>
      </c>
      <c r="I5277" s="444">
        <f t="shared" ca="1" si="185"/>
        <v>-1825381162565793.8</v>
      </c>
      <c r="J5277" s="444">
        <f t="array" ref="J5277">IFERROR(INDEX('Retirement Calculator'!K:K,MATCH('Lorri 401b'!N5277,'Retirement Calculator'!A:A,0),0),0)</f>
        <v>0</v>
      </c>
      <c r="K5277" s="444">
        <f t="shared" ca="1" si="183"/>
        <v>-7605754844024.1396</v>
      </c>
      <c r="L5277" s="444">
        <f t="shared" ca="1" si="184"/>
        <v>-1832986917409818</v>
      </c>
      <c r="M5277" s="460">
        <f t="shared" si="186"/>
        <v>0.05</v>
      </c>
      <c r="N5277" s="464">
        <f t="shared" si="187"/>
        <v>211659</v>
      </c>
    </row>
    <row r="5278" spans="7:14" ht="11.25" customHeight="1" x14ac:dyDescent="0.3">
      <c r="G5278" s="459"/>
      <c r="H5278" s="459">
        <v>5271</v>
      </c>
      <c r="I5278" s="444">
        <f t="shared" ca="1" si="185"/>
        <v>-1832986917409818</v>
      </c>
      <c r="J5278" s="444">
        <f t="array" ref="J5278">IFERROR(INDEX('Retirement Calculator'!K:K,MATCH('Lorri 401b'!N5278,'Retirement Calculator'!A:A,0),0),0)</f>
        <v>0</v>
      </c>
      <c r="K5278" s="444">
        <f t="shared" ca="1" si="183"/>
        <v>-7637445489207.5752</v>
      </c>
      <c r="L5278" s="444">
        <f t="shared" ca="1" si="184"/>
        <v>-1840624362899025.5</v>
      </c>
      <c r="M5278" s="460">
        <f t="shared" si="186"/>
        <v>0.05</v>
      </c>
      <c r="N5278" s="464">
        <f t="shared" si="187"/>
        <v>211690</v>
      </c>
    </row>
    <row r="5279" spans="7:14" ht="11.25" customHeight="1" x14ac:dyDescent="0.3">
      <c r="G5279" s="459"/>
      <c r="H5279" s="459">
        <v>5272</v>
      </c>
      <c r="I5279" s="444">
        <f t="shared" ca="1" si="185"/>
        <v>-1840624362899025.5</v>
      </c>
      <c r="J5279" s="444">
        <f t="array" ref="J5279">IFERROR(INDEX('Retirement Calculator'!K:K,MATCH('Lorri 401b'!N5279,'Retirement Calculator'!A:A,0),0),0)</f>
        <v>0</v>
      </c>
      <c r="K5279" s="444">
        <f t="shared" ca="1" si="183"/>
        <v>-7669268178745.9395</v>
      </c>
      <c r="L5279" s="444">
        <f t="shared" ca="1" si="184"/>
        <v>-1848293631077771.5</v>
      </c>
      <c r="M5279" s="460">
        <f t="shared" si="186"/>
        <v>0.05</v>
      </c>
      <c r="N5279" s="464">
        <f t="shared" si="187"/>
        <v>211721</v>
      </c>
    </row>
    <row r="5280" spans="7:14" ht="11.25" customHeight="1" x14ac:dyDescent="0.3">
      <c r="G5280" s="459"/>
      <c r="H5280" s="459">
        <v>5273</v>
      </c>
      <c r="I5280" s="444">
        <f t="shared" ca="1" si="185"/>
        <v>-1848293631077771.5</v>
      </c>
      <c r="J5280" s="444">
        <f t="array" ref="J5280">IFERROR(INDEX('Retirement Calculator'!K:K,MATCH('Lorri 401b'!N5280,'Retirement Calculator'!A:A,0),0),0)</f>
        <v>0</v>
      </c>
      <c r="K5280" s="444">
        <f t="shared" ca="1" si="183"/>
        <v>-7701223462824.0479</v>
      </c>
      <c r="L5280" s="444">
        <f t="shared" ca="1" si="184"/>
        <v>-1855994854540595.5</v>
      </c>
      <c r="M5280" s="460">
        <f t="shared" si="186"/>
        <v>0.05</v>
      </c>
      <c r="N5280" s="464">
        <f t="shared" si="187"/>
        <v>211751</v>
      </c>
    </row>
    <row r="5281" spans="7:14" ht="11.25" customHeight="1" x14ac:dyDescent="0.3">
      <c r="G5281" s="459"/>
      <c r="H5281" s="459">
        <v>5274</v>
      </c>
      <c r="I5281" s="444">
        <f t="shared" ca="1" si="185"/>
        <v>-1855994854540595.5</v>
      </c>
      <c r="J5281" s="444">
        <f t="array" ref="J5281">IFERROR(INDEX('Retirement Calculator'!K:K,MATCH('Lorri 401b'!N5281,'Retirement Calculator'!A:A,0),0),0)</f>
        <v>0</v>
      </c>
      <c r="K5281" s="444">
        <f t="shared" ca="1" si="183"/>
        <v>-7733311893919.1475</v>
      </c>
      <c r="L5281" s="444">
        <f t="shared" ca="1" si="184"/>
        <v>-1863728166434514.8</v>
      </c>
      <c r="M5281" s="460">
        <f t="shared" si="186"/>
        <v>0.05</v>
      </c>
      <c r="N5281" s="464">
        <f t="shared" si="187"/>
        <v>211782</v>
      </c>
    </row>
    <row r="5282" spans="7:14" ht="11.25" customHeight="1" x14ac:dyDescent="0.3">
      <c r="G5282" s="459"/>
      <c r="H5282" s="459">
        <v>5275</v>
      </c>
      <c r="I5282" s="444">
        <f t="shared" ca="1" si="185"/>
        <v>-1863728166434514.8</v>
      </c>
      <c r="J5282" s="444">
        <f t="array" ref="J5282">IFERROR(INDEX('Retirement Calculator'!K:K,MATCH('Lorri 401b'!N5282,'Retirement Calculator'!A:A,0),0),0)</f>
        <v>0</v>
      </c>
      <c r="K5282" s="444">
        <f t="shared" ca="1" si="183"/>
        <v>-7765534026810.4775</v>
      </c>
      <c r="L5282" s="444">
        <f t="shared" ca="1" si="184"/>
        <v>-1871493700461325.3</v>
      </c>
      <c r="M5282" s="460">
        <f t="shared" si="186"/>
        <v>0.05</v>
      </c>
      <c r="N5282" s="464">
        <f t="shared" si="187"/>
        <v>211812</v>
      </c>
    </row>
    <row r="5283" spans="7:14" ht="11.25" customHeight="1" x14ac:dyDescent="0.3">
      <c r="G5283" s="459"/>
      <c r="H5283" s="459">
        <v>5276</v>
      </c>
      <c r="I5283" s="444">
        <f t="shared" ca="1" si="185"/>
        <v>-1871493700461325.3</v>
      </c>
      <c r="J5283" s="444">
        <f t="array" ref="J5283">IFERROR(INDEX('Retirement Calculator'!K:K,MATCH('Lorri 401b'!N5283,'Retirement Calculator'!A:A,0),0),0)</f>
        <v>0</v>
      </c>
      <c r="K5283" s="444">
        <f t="shared" ca="1" si="183"/>
        <v>-7797890418588.8555</v>
      </c>
      <c r="L5283" s="444">
        <f t="shared" ca="1" si="184"/>
        <v>-1879291590879914</v>
      </c>
      <c r="M5283" s="460">
        <f t="shared" si="186"/>
        <v>0.05</v>
      </c>
      <c r="N5283" s="464">
        <f t="shared" si="187"/>
        <v>211843</v>
      </c>
    </row>
    <row r="5284" spans="7:14" ht="11.25" customHeight="1" x14ac:dyDescent="0.3">
      <c r="G5284" s="459"/>
      <c r="H5284" s="459">
        <v>5277</v>
      </c>
      <c r="I5284" s="444">
        <f t="shared" ca="1" si="185"/>
        <v>-1879291590879914</v>
      </c>
      <c r="J5284" s="444">
        <f t="array" ref="J5284">IFERROR(INDEX('Retirement Calculator'!K:K,MATCH('Lorri 401b'!N5284,'Retirement Calculator'!A:A,0),0),0)</f>
        <v>0</v>
      </c>
      <c r="K5284" s="444">
        <f t="shared" ca="1" si="183"/>
        <v>-7830381628666.3086</v>
      </c>
      <c r="L5284" s="444">
        <f t="shared" ca="1" si="184"/>
        <v>-1887121972508580.3</v>
      </c>
      <c r="M5284" s="460">
        <f t="shared" si="186"/>
        <v>0.05</v>
      </c>
      <c r="N5284" s="464">
        <f t="shared" si="187"/>
        <v>211874</v>
      </c>
    </row>
    <row r="5285" spans="7:14" ht="11.25" customHeight="1" x14ac:dyDescent="0.3">
      <c r="G5285" s="459"/>
      <c r="H5285" s="459">
        <v>5278</v>
      </c>
      <c r="I5285" s="444">
        <f t="shared" ca="1" si="185"/>
        <v>-1887121972508580.3</v>
      </c>
      <c r="J5285" s="444">
        <f t="array" ref="J5285">IFERROR(INDEX('Retirement Calculator'!K:K,MATCH('Lorri 401b'!N5285,'Retirement Calculator'!A:A,0),0),0)</f>
        <v>0</v>
      </c>
      <c r="K5285" s="444">
        <f t="shared" ca="1" si="183"/>
        <v>-7863008218785.752</v>
      </c>
      <c r="L5285" s="444">
        <f t="shared" ca="1" si="184"/>
        <v>-1894984980727366</v>
      </c>
      <c r="M5285" s="460">
        <f t="shared" si="186"/>
        <v>0.05</v>
      </c>
      <c r="N5285" s="464">
        <f t="shared" si="187"/>
        <v>211903</v>
      </c>
    </row>
    <row r="5286" spans="7:14" ht="11.25" customHeight="1" x14ac:dyDescent="0.3">
      <c r="G5286" s="459"/>
      <c r="H5286" s="459">
        <v>5279</v>
      </c>
      <c r="I5286" s="444">
        <f t="shared" ca="1" si="185"/>
        <v>-1894984980727366</v>
      </c>
      <c r="J5286" s="444">
        <f t="array" ref="J5286">IFERROR(INDEX('Retirement Calculator'!K:K,MATCH('Lorri 401b'!N5286,'Retirement Calculator'!A:A,0),0),0)</f>
        <v>0</v>
      </c>
      <c r="K5286" s="444">
        <f t="shared" ca="1" si="183"/>
        <v>-7895770753030.6924</v>
      </c>
      <c r="L5286" s="444">
        <f t="shared" ca="1" si="184"/>
        <v>-1902880751480396.8</v>
      </c>
      <c r="M5286" s="460">
        <f t="shared" si="186"/>
        <v>0.05</v>
      </c>
      <c r="N5286" s="464">
        <f t="shared" si="187"/>
        <v>211934</v>
      </c>
    </row>
    <row r="5287" spans="7:14" ht="11.25" customHeight="1" x14ac:dyDescent="0.3">
      <c r="G5287" s="459"/>
      <c r="H5287" s="459">
        <v>5280</v>
      </c>
      <c r="I5287" s="444">
        <f t="shared" ca="1" si="185"/>
        <v>-1902880751480396.8</v>
      </c>
      <c r="J5287" s="444">
        <f t="array" ref="J5287">IFERROR(INDEX('Retirement Calculator'!K:K,MATCH('Lorri 401b'!N5287,'Retirement Calculator'!A:A,0),0),0)</f>
        <v>0</v>
      </c>
      <c r="K5287" s="444">
        <f t="shared" ca="1" si="183"/>
        <v>-7928669797834.9863</v>
      </c>
      <c r="L5287" s="444">
        <f t="shared" ca="1" si="184"/>
        <v>-1910809421278231.8</v>
      </c>
      <c r="M5287" s="460">
        <f t="shared" si="186"/>
        <v>0.05</v>
      </c>
      <c r="N5287" s="464">
        <f t="shared" si="187"/>
        <v>211964</v>
      </c>
    </row>
    <row r="5288" spans="7:14" ht="11.25" customHeight="1" x14ac:dyDescent="0.3">
      <c r="G5288" s="459"/>
      <c r="H5288" s="459">
        <v>5281</v>
      </c>
      <c r="I5288" s="444">
        <f t="shared" ca="1" si="185"/>
        <v>-1910809421278231.8</v>
      </c>
      <c r="J5288" s="444">
        <f t="array" ref="J5288">IFERROR(INDEX('Retirement Calculator'!K:K,MATCH('Lorri 401b'!N5288,'Retirement Calculator'!A:A,0),0),0)</f>
        <v>0</v>
      </c>
      <c r="K5288" s="444">
        <f t="shared" ca="1" si="183"/>
        <v>-7961705921992.6318</v>
      </c>
      <c r="L5288" s="444">
        <f t="shared" ca="1" si="184"/>
        <v>-1918771127200224.5</v>
      </c>
      <c r="M5288" s="460">
        <f t="shared" si="186"/>
        <v>0.05</v>
      </c>
      <c r="N5288" s="464">
        <f t="shared" si="187"/>
        <v>211995</v>
      </c>
    </row>
    <row r="5289" spans="7:14" ht="11.25" customHeight="1" x14ac:dyDescent="0.3">
      <c r="G5289" s="459"/>
      <c r="H5289" s="459">
        <v>5282</v>
      </c>
      <c r="I5289" s="444">
        <f t="shared" ca="1" si="185"/>
        <v>-1918771127200224.5</v>
      </c>
      <c r="J5289" s="444">
        <f t="array" ref="J5289">IFERROR(INDEX('Retirement Calculator'!K:K,MATCH('Lorri 401b'!N5289,'Retirement Calculator'!A:A,0),0),0)</f>
        <v>0</v>
      </c>
      <c r="K5289" s="444">
        <f t="shared" ca="1" si="183"/>
        <v>-7994879696667.6016</v>
      </c>
      <c r="L5289" s="444">
        <f t="shared" ca="1" si="184"/>
        <v>-1926766006896892</v>
      </c>
      <c r="M5289" s="460">
        <f t="shared" si="186"/>
        <v>0.05</v>
      </c>
      <c r="N5289" s="464">
        <f t="shared" si="187"/>
        <v>212025</v>
      </c>
    </row>
    <row r="5290" spans="7:14" ht="11.25" customHeight="1" x14ac:dyDescent="0.3">
      <c r="G5290" s="459"/>
      <c r="H5290" s="459">
        <v>5283</v>
      </c>
      <c r="I5290" s="444">
        <f t="shared" ca="1" si="185"/>
        <v>-1926766006896892</v>
      </c>
      <c r="J5290" s="444">
        <f t="array" ref="J5290">IFERROR(INDEX('Retirement Calculator'!K:K,MATCH('Lorri 401b'!N5290,'Retirement Calculator'!A:A,0),0),0)</f>
        <v>0</v>
      </c>
      <c r="K5290" s="444">
        <f t="shared" ca="1" si="183"/>
        <v>-8028191695403.7158</v>
      </c>
      <c r="L5290" s="444">
        <f t="shared" ca="1" si="184"/>
        <v>-1934794198592295.8</v>
      </c>
      <c r="M5290" s="460">
        <f t="shared" si="186"/>
        <v>0.05</v>
      </c>
      <c r="N5290" s="464">
        <f t="shared" si="187"/>
        <v>212056</v>
      </c>
    </row>
    <row r="5291" spans="7:14" ht="11.25" customHeight="1" x14ac:dyDescent="0.3">
      <c r="G5291" s="459"/>
      <c r="H5291" s="459">
        <v>5284</v>
      </c>
      <c r="I5291" s="444">
        <f t="shared" ca="1" si="185"/>
        <v>-1934794198592295.8</v>
      </c>
      <c r="J5291" s="444">
        <f t="array" ref="J5291">IFERROR(INDEX('Retirement Calculator'!K:K,MATCH('Lorri 401b'!N5291,'Retirement Calculator'!A:A,0),0),0)</f>
        <v>0</v>
      </c>
      <c r="K5291" s="444">
        <f t="shared" ca="1" si="183"/>
        <v>-8061642494134.5645</v>
      </c>
      <c r="L5291" s="444">
        <f t="shared" ca="1" si="184"/>
        <v>-1942855841086430.3</v>
      </c>
      <c r="M5291" s="460">
        <f t="shared" si="186"/>
        <v>0.05</v>
      </c>
      <c r="N5291" s="464">
        <f t="shared" si="187"/>
        <v>212087</v>
      </c>
    </row>
    <row r="5292" spans="7:14" ht="11.25" customHeight="1" x14ac:dyDescent="0.3">
      <c r="G5292" s="459"/>
      <c r="H5292" s="459">
        <v>5285</v>
      </c>
      <c r="I5292" s="444">
        <f t="shared" ca="1" si="185"/>
        <v>-1942855841086430.3</v>
      </c>
      <c r="J5292" s="444">
        <f t="array" ref="J5292">IFERROR(INDEX('Retirement Calculator'!K:K,MATCH('Lorri 401b'!N5292,'Retirement Calculator'!A:A,0),0),0)</f>
        <v>0</v>
      </c>
      <c r="K5292" s="444">
        <f t="shared" ca="1" si="183"/>
        <v>-8095232671193.459</v>
      </c>
      <c r="L5292" s="444">
        <f t="shared" ca="1" si="184"/>
        <v>-1950951073757623.8</v>
      </c>
      <c r="M5292" s="460">
        <f t="shared" si="186"/>
        <v>0.05</v>
      </c>
      <c r="N5292" s="464">
        <f t="shared" si="187"/>
        <v>212117</v>
      </c>
    </row>
    <row r="5293" spans="7:14" ht="11.25" customHeight="1" x14ac:dyDescent="0.3">
      <c r="G5293" s="459"/>
      <c r="H5293" s="459">
        <v>5286</v>
      </c>
      <c r="I5293" s="444">
        <f t="shared" ca="1" si="185"/>
        <v>-1950951073757623.8</v>
      </c>
      <c r="J5293" s="444">
        <f t="array" ref="J5293">IFERROR(INDEX('Retirement Calculator'!K:K,MATCH('Lorri 401b'!N5293,'Retirement Calculator'!A:A,0),0),0)</f>
        <v>0</v>
      </c>
      <c r="K5293" s="444">
        <f t="shared" ca="1" si="183"/>
        <v>-8128962807323.4326</v>
      </c>
      <c r="L5293" s="444">
        <f t="shared" ca="1" si="184"/>
        <v>-1959080036564947.3</v>
      </c>
      <c r="M5293" s="460">
        <f t="shared" si="186"/>
        <v>0.05</v>
      </c>
      <c r="N5293" s="464">
        <f t="shared" si="187"/>
        <v>212148</v>
      </c>
    </row>
    <row r="5294" spans="7:14" ht="11.25" customHeight="1" x14ac:dyDescent="0.3">
      <c r="G5294" s="459"/>
      <c r="H5294" s="459">
        <v>5287</v>
      </c>
      <c r="I5294" s="444">
        <f t="shared" ca="1" si="185"/>
        <v>-1959080036564947.3</v>
      </c>
      <c r="J5294" s="444">
        <f t="array" ref="J5294">IFERROR(INDEX('Retirement Calculator'!K:K,MATCH('Lorri 401b'!N5294,'Retirement Calculator'!A:A,0),0),0)</f>
        <v>0</v>
      </c>
      <c r="K5294" s="444">
        <f t="shared" ca="1" si="183"/>
        <v>-8162833485687.2803</v>
      </c>
      <c r="L5294" s="444">
        <f t="shared" ca="1" si="184"/>
        <v>-1967242870050634.5</v>
      </c>
      <c r="M5294" s="460">
        <f t="shared" si="186"/>
        <v>0.05</v>
      </c>
      <c r="N5294" s="464">
        <f t="shared" si="187"/>
        <v>212178</v>
      </c>
    </row>
    <row r="5295" spans="7:14" ht="11.25" customHeight="1" x14ac:dyDescent="0.3">
      <c r="G5295" s="459"/>
      <c r="H5295" s="459">
        <v>5288</v>
      </c>
      <c r="I5295" s="444">
        <f t="shared" ca="1" si="185"/>
        <v>-1967242870050634.5</v>
      </c>
      <c r="J5295" s="444">
        <f t="array" ref="J5295">IFERROR(INDEX('Retirement Calculator'!K:K,MATCH('Lorri 401b'!N5295,'Retirement Calculator'!A:A,0),0),0)</f>
        <v>0</v>
      </c>
      <c r="K5295" s="444">
        <f t="shared" ca="1" si="183"/>
        <v>-8196845291877.6436</v>
      </c>
      <c r="L5295" s="444">
        <f t="shared" ca="1" si="184"/>
        <v>-1975439715342512.3</v>
      </c>
      <c r="M5295" s="460">
        <f t="shared" si="186"/>
        <v>0.05</v>
      </c>
      <c r="N5295" s="464">
        <f t="shared" si="187"/>
        <v>212209</v>
      </c>
    </row>
    <row r="5296" spans="7:14" ht="11.25" customHeight="1" x14ac:dyDescent="0.3">
      <c r="G5296" s="459"/>
      <c r="H5296" s="459">
        <v>5289</v>
      </c>
      <c r="I5296" s="444">
        <f t="shared" ca="1" si="185"/>
        <v>-1975439715342512.3</v>
      </c>
      <c r="J5296" s="444">
        <f t="array" ref="J5296">IFERROR(INDEX('Retirement Calculator'!K:K,MATCH('Lorri 401b'!N5296,'Retirement Calculator'!A:A,0),0),0)</f>
        <v>0</v>
      </c>
      <c r="K5296" s="444">
        <f t="shared" ca="1" si="183"/>
        <v>-8230998813927.1338</v>
      </c>
      <c r="L5296" s="444">
        <f t="shared" ca="1" si="184"/>
        <v>-1983670714156439.5</v>
      </c>
      <c r="M5296" s="460">
        <f t="shared" si="186"/>
        <v>0.05</v>
      </c>
      <c r="N5296" s="464">
        <f t="shared" si="187"/>
        <v>212240</v>
      </c>
    </row>
    <row r="5297" spans="7:14" ht="11.25" customHeight="1" x14ac:dyDescent="0.3">
      <c r="G5297" s="459"/>
      <c r="H5297" s="459">
        <v>5290</v>
      </c>
      <c r="I5297" s="444">
        <f t="shared" ca="1" si="185"/>
        <v>-1983670714156439.5</v>
      </c>
      <c r="J5297" s="444">
        <f t="array" ref="J5297">IFERROR(INDEX('Retirement Calculator'!K:K,MATCH('Lorri 401b'!N5297,'Retirement Calculator'!A:A,0),0),0)</f>
        <v>0</v>
      </c>
      <c r="K5297" s="444">
        <f t="shared" ca="1" si="183"/>
        <v>-8265294642318.4971</v>
      </c>
      <c r="L5297" s="444">
        <f t="shared" ca="1" si="184"/>
        <v>-1991936008798758</v>
      </c>
      <c r="M5297" s="460">
        <f t="shared" si="186"/>
        <v>0.05</v>
      </c>
      <c r="N5297" s="464">
        <f t="shared" si="187"/>
        <v>212268</v>
      </c>
    </row>
    <row r="5298" spans="7:14" ht="11.25" customHeight="1" x14ac:dyDescent="0.3">
      <c r="G5298" s="459"/>
      <c r="H5298" s="459">
        <v>5291</v>
      </c>
      <c r="I5298" s="444">
        <f t="shared" ca="1" si="185"/>
        <v>-1991936008798758</v>
      </c>
      <c r="J5298" s="444">
        <f t="array" ref="J5298">IFERROR(INDEX('Retirement Calculator'!K:K,MATCH('Lorri 401b'!N5298,'Retirement Calculator'!A:A,0),0),0)</f>
        <v>0</v>
      </c>
      <c r="K5298" s="444">
        <f t="shared" ca="1" si="183"/>
        <v>-8299733369994.8252</v>
      </c>
      <c r="L5298" s="444">
        <f t="shared" ca="1" si="184"/>
        <v>-2000235742168752.8</v>
      </c>
      <c r="M5298" s="460">
        <f t="shared" si="186"/>
        <v>0.05</v>
      </c>
      <c r="N5298" s="464">
        <f t="shared" si="187"/>
        <v>212299</v>
      </c>
    </row>
    <row r="5299" spans="7:14" ht="11.25" customHeight="1" x14ac:dyDescent="0.3">
      <c r="G5299" s="459"/>
      <c r="H5299" s="459">
        <v>5292</v>
      </c>
      <c r="I5299" s="444">
        <f t="shared" ca="1" si="185"/>
        <v>-2000235742168752.8</v>
      </c>
      <c r="J5299" s="444">
        <f t="array" ref="J5299">IFERROR(INDEX('Retirement Calculator'!K:K,MATCH('Lorri 401b'!N5299,'Retirement Calculator'!A:A,0),0),0)</f>
        <v>0</v>
      </c>
      <c r="K5299" s="444">
        <f t="shared" ca="1" si="183"/>
        <v>-8334315592369.8027</v>
      </c>
      <c r="L5299" s="444">
        <f t="shared" ca="1" si="184"/>
        <v>-2008570057761122.5</v>
      </c>
      <c r="M5299" s="460">
        <f t="shared" si="186"/>
        <v>0.05</v>
      </c>
      <c r="N5299" s="464">
        <f t="shared" si="187"/>
        <v>212329</v>
      </c>
    </row>
    <row r="5300" spans="7:14" ht="11.25" customHeight="1" x14ac:dyDescent="0.3">
      <c r="G5300" s="459"/>
      <c r="H5300" s="459">
        <v>5293</v>
      </c>
      <c r="I5300" s="444">
        <f t="shared" ca="1" si="185"/>
        <v>-2008570057761122.5</v>
      </c>
      <c r="J5300" s="444">
        <f t="array" ref="J5300">IFERROR(INDEX('Retirement Calculator'!K:K,MATCH('Lorri 401b'!N5300,'Retirement Calculator'!A:A,0),0),0)</f>
        <v>0</v>
      </c>
      <c r="K5300" s="444">
        <f t="shared" ca="1" si="183"/>
        <v>-8369041907338.0107</v>
      </c>
      <c r="L5300" s="444">
        <f t="shared" ca="1" si="184"/>
        <v>-2016939099668460.5</v>
      </c>
      <c r="M5300" s="460">
        <f t="shared" si="186"/>
        <v>0.05</v>
      </c>
      <c r="N5300" s="464">
        <f t="shared" si="187"/>
        <v>212360</v>
      </c>
    </row>
    <row r="5301" spans="7:14" ht="11.25" customHeight="1" x14ac:dyDescent="0.3">
      <c r="G5301" s="459"/>
      <c r="H5301" s="459">
        <v>5294</v>
      </c>
      <c r="I5301" s="444">
        <f t="shared" ca="1" si="185"/>
        <v>-2016939099668460.5</v>
      </c>
      <c r="J5301" s="444">
        <f t="array" ref="J5301">IFERROR(INDEX('Retirement Calculator'!K:K,MATCH('Lorri 401b'!N5301,'Retirement Calculator'!A:A,0),0),0)</f>
        <v>0</v>
      </c>
      <c r="K5301" s="444">
        <f t="shared" ca="1" si="183"/>
        <v>-8403912915285.2529</v>
      </c>
      <c r="L5301" s="444">
        <f t="shared" ca="1" si="184"/>
        <v>-2025343012583745.8</v>
      </c>
      <c r="M5301" s="460">
        <f t="shared" si="186"/>
        <v>0.05</v>
      </c>
      <c r="N5301" s="464">
        <f t="shared" si="187"/>
        <v>212390</v>
      </c>
    </row>
    <row r="5302" spans="7:14" ht="11.25" customHeight="1" x14ac:dyDescent="0.3">
      <c r="G5302" s="459"/>
      <c r="H5302" s="459">
        <v>5295</v>
      </c>
      <c r="I5302" s="444">
        <f t="shared" ca="1" si="185"/>
        <v>-2025343012583745.8</v>
      </c>
      <c r="J5302" s="444">
        <f t="array" ref="J5302">IFERROR(INDEX('Retirement Calculator'!K:K,MATCH('Lorri 401b'!N5302,'Retirement Calculator'!A:A,0),0),0)</f>
        <v>0</v>
      </c>
      <c r="K5302" s="444">
        <f t="shared" ca="1" si="183"/>
        <v>-8438929219098.9404</v>
      </c>
      <c r="L5302" s="444">
        <f t="shared" ca="1" si="184"/>
        <v>-2033781941802844.8</v>
      </c>
      <c r="M5302" s="460">
        <f t="shared" si="186"/>
        <v>0.05</v>
      </c>
      <c r="N5302" s="464">
        <f t="shared" si="187"/>
        <v>212421</v>
      </c>
    </row>
    <row r="5303" spans="7:14" ht="11.25" customHeight="1" x14ac:dyDescent="0.3">
      <c r="G5303" s="459"/>
      <c r="H5303" s="459">
        <v>5296</v>
      </c>
      <c r="I5303" s="444">
        <f t="shared" ca="1" si="185"/>
        <v>-2033781941802844.8</v>
      </c>
      <c r="J5303" s="444">
        <f t="array" ref="J5303">IFERROR(INDEX('Retirement Calculator'!K:K,MATCH('Lorri 401b'!N5303,'Retirement Calculator'!A:A,0),0),0)</f>
        <v>0</v>
      </c>
      <c r="K5303" s="444">
        <f t="shared" ca="1" si="183"/>
        <v>-8474091424178.5186</v>
      </c>
      <c r="L5303" s="444">
        <f t="shared" ca="1" si="184"/>
        <v>-2042256033227023.3</v>
      </c>
      <c r="M5303" s="460">
        <f t="shared" si="186"/>
        <v>0.05</v>
      </c>
      <c r="N5303" s="464">
        <f t="shared" si="187"/>
        <v>212452</v>
      </c>
    </row>
    <row r="5304" spans="7:14" ht="11.25" customHeight="1" x14ac:dyDescent="0.3">
      <c r="G5304" s="459"/>
      <c r="H5304" s="459">
        <v>5297</v>
      </c>
      <c r="I5304" s="444">
        <f t="shared" ca="1" si="185"/>
        <v>-2042256033227023.3</v>
      </c>
      <c r="J5304" s="444">
        <f t="array" ref="J5304">IFERROR(INDEX('Retirement Calculator'!K:K,MATCH('Lorri 401b'!N5304,'Retirement Calculator'!A:A,0),0),0)</f>
        <v>0</v>
      </c>
      <c r="K5304" s="444">
        <f t="shared" ca="1" si="183"/>
        <v>-8509400138445.9287</v>
      </c>
      <c r="L5304" s="444">
        <f t="shared" ca="1" si="184"/>
        <v>-2050765433365469.3</v>
      </c>
      <c r="M5304" s="460">
        <f t="shared" si="186"/>
        <v>0.05</v>
      </c>
      <c r="N5304" s="464">
        <f t="shared" si="187"/>
        <v>212482</v>
      </c>
    </row>
    <row r="5305" spans="7:14" ht="11.25" customHeight="1" x14ac:dyDescent="0.3">
      <c r="G5305" s="459"/>
      <c r="H5305" s="459">
        <v>5298</v>
      </c>
      <c r="I5305" s="444">
        <f t="shared" ca="1" si="185"/>
        <v>-2050765433365469.3</v>
      </c>
      <c r="J5305" s="444">
        <f t="array" ref="J5305">IFERROR(INDEX('Retirement Calculator'!K:K,MATCH('Lorri 401b'!N5305,'Retirement Calculator'!A:A,0),0),0)</f>
        <v>0</v>
      </c>
      <c r="K5305" s="444">
        <f t="shared" ca="1" si="183"/>
        <v>-8544855972356.1221</v>
      </c>
      <c r="L5305" s="444">
        <f t="shared" ca="1" si="184"/>
        <v>-2059310289337825.3</v>
      </c>
      <c r="M5305" s="460">
        <f t="shared" si="186"/>
        <v>0.05</v>
      </c>
      <c r="N5305" s="464">
        <f t="shared" si="187"/>
        <v>212513</v>
      </c>
    </row>
    <row r="5306" spans="7:14" ht="11.25" customHeight="1" x14ac:dyDescent="0.3">
      <c r="G5306" s="459"/>
      <c r="H5306" s="459">
        <v>5299</v>
      </c>
      <c r="I5306" s="444">
        <f t="shared" ca="1" si="185"/>
        <v>-2059310289337825.3</v>
      </c>
      <c r="J5306" s="444">
        <f t="array" ref="J5306">IFERROR(INDEX('Retirement Calculator'!K:K,MATCH('Lorri 401b'!N5306,'Retirement Calculator'!A:A,0),0),0)</f>
        <v>0</v>
      </c>
      <c r="K5306" s="444">
        <f t="shared" ca="1" si="183"/>
        <v>-8580459538907.6064</v>
      </c>
      <c r="L5306" s="444">
        <f t="shared" ca="1" si="184"/>
        <v>-2067890748876732.8</v>
      </c>
      <c r="M5306" s="460">
        <f t="shared" si="186"/>
        <v>0.05</v>
      </c>
      <c r="N5306" s="464">
        <f t="shared" si="187"/>
        <v>212543</v>
      </c>
    </row>
    <row r="5307" spans="7:14" ht="11.25" customHeight="1" x14ac:dyDescent="0.3">
      <c r="G5307" s="459"/>
      <c r="H5307" s="459">
        <v>5300</v>
      </c>
      <c r="I5307" s="444">
        <f t="shared" ca="1" si="185"/>
        <v>-2067890748876732.8</v>
      </c>
      <c r="J5307" s="444">
        <f t="array" ref="J5307">IFERROR(INDEX('Retirement Calculator'!K:K,MATCH('Lorri 401b'!N5307,'Retirement Calculator'!A:A,0),0),0)</f>
        <v>0</v>
      </c>
      <c r="K5307" s="444">
        <f t="shared" ca="1" si="183"/>
        <v>-8616211453653.0537</v>
      </c>
      <c r="L5307" s="444">
        <f t="shared" ca="1" si="184"/>
        <v>-2076506960330385.8</v>
      </c>
      <c r="M5307" s="460">
        <f t="shared" si="186"/>
        <v>0.05</v>
      </c>
      <c r="N5307" s="464">
        <f t="shared" si="187"/>
        <v>212574</v>
      </c>
    </row>
    <row r="5308" spans="7:14" ht="11.25" customHeight="1" x14ac:dyDescent="0.3">
      <c r="G5308" s="459"/>
      <c r="H5308" s="459">
        <v>5301</v>
      </c>
      <c r="I5308" s="444">
        <f t="shared" ca="1" si="185"/>
        <v>-2076506960330385.8</v>
      </c>
      <c r="J5308" s="444">
        <f t="array" ref="J5308">IFERROR(INDEX('Retirement Calculator'!K:K,MATCH('Lorri 401b'!N5308,'Retirement Calculator'!A:A,0),0),0)</f>
        <v>0</v>
      </c>
      <c r="K5308" s="444">
        <f t="shared" ca="1" si="183"/>
        <v>-8652112334709.9404</v>
      </c>
      <c r="L5308" s="444">
        <f t="shared" ca="1" si="184"/>
        <v>-2085159072665095.8</v>
      </c>
      <c r="M5308" s="460">
        <f t="shared" si="186"/>
        <v>0.05</v>
      </c>
      <c r="N5308" s="464">
        <f t="shared" si="187"/>
        <v>212605</v>
      </c>
    </row>
    <row r="5309" spans="7:14" ht="11.25" customHeight="1" x14ac:dyDescent="0.3">
      <c r="G5309" s="459"/>
      <c r="H5309" s="459">
        <v>5302</v>
      </c>
      <c r="I5309" s="444">
        <f t="shared" ca="1" si="185"/>
        <v>-2085159072665095.8</v>
      </c>
      <c r="J5309" s="444">
        <f t="array" ref="J5309">IFERROR(INDEX('Retirement Calculator'!K:K,MATCH('Lorri 401b'!N5309,'Retirement Calculator'!A:A,0),0),0)</f>
        <v>0</v>
      </c>
      <c r="K5309" s="444">
        <f t="shared" ca="1" si="183"/>
        <v>-8688162802771.2324</v>
      </c>
      <c r="L5309" s="444">
        <f t="shared" ca="1" si="184"/>
        <v>-2093847235467867</v>
      </c>
      <c r="M5309" s="460">
        <f t="shared" si="186"/>
        <v>0.05</v>
      </c>
      <c r="N5309" s="464">
        <f t="shared" si="187"/>
        <v>212633</v>
      </c>
    </row>
    <row r="5310" spans="7:14" ht="11.25" customHeight="1" x14ac:dyDescent="0.3">
      <c r="G5310" s="459"/>
      <c r="H5310" s="459">
        <v>5303</v>
      </c>
      <c r="I5310" s="444">
        <f t="shared" ca="1" si="185"/>
        <v>-2093847235467867</v>
      </c>
      <c r="J5310" s="444">
        <f t="array" ref="J5310">IFERROR(INDEX('Retirement Calculator'!K:K,MATCH('Lorri 401b'!N5310,'Retirement Calculator'!A:A,0),0),0)</f>
        <v>0</v>
      </c>
      <c r="K5310" s="444">
        <f t="shared" ca="1" si="183"/>
        <v>-8724363481116.1123</v>
      </c>
      <c r="L5310" s="444">
        <f t="shared" ca="1" si="184"/>
        <v>-2102571598948983</v>
      </c>
      <c r="M5310" s="460">
        <f t="shared" si="186"/>
        <v>0.05</v>
      </c>
      <c r="N5310" s="464">
        <f t="shared" si="187"/>
        <v>212664</v>
      </c>
    </row>
    <row r="5311" spans="7:14" ht="11.25" customHeight="1" x14ac:dyDescent="0.3">
      <c r="G5311" s="459"/>
      <c r="H5311" s="459">
        <v>5304</v>
      </c>
      <c r="I5311" s="444">
        <f t="shared" ca="1" si="185"/>
        <v>-2102571598948983</v>
      </c>
      <c r="J5311" s="444">
        <f t="array" ref="J5311">IFERROR(INDEX('Retirement Calculator'!K:K,MATCH('Lorri 401b'!N5311,'Retirement Calculator'!A:A,0),0),0)</f>
        <v>0</v>
      </c>
      <c r="K5311" s="444">
        <f t="shared" ca="1" si="183"/>
        <v>-8760714995620.7627</v>
      </c>
      <c r="L5311" s="444">
        <f t="shared" ca="1" si="184"/>
        <v>-2111332313944603.8</v>
      </c>
      <c r="M5311" s="460">
        <f t="shared" si="186"/>
        <v>0.05</v>
      </c>
      <c r="N5311" s="464">
        <f t="shared" si="187"/>
        <v>212694</v>
      </c>
    </row>
    <row r="5312" spans="7:14" ht="11.25" customHeight="1" x14ac:dyDescent="0.3">
      <c r="G5312" s="459"/>
      <c r="H5312" s="459">
        <v>5305</v>
      </c>
      <c r="I5312" s="444">
        <f t="shared" ca="1" si="185"/>
        <v>-2111332313944603.8</v>
      </c>
      <c r="J5312" s="444">
        <f t="array" ref="J5312">IFERROR(INDEX('Retirement Calculator'!K:K,MATCH('Lorri 401b'!N5312,'Retirement Calculator'!A:A,0),0),0)</f>
        <v>0</v>
      </c>
      <c r="K5312" s="444">
        <f t="shared" ca="1" si="183"/>
        <v>-8797217974769.1816</v>
      </c>
      <c r="L5312" s="444">
        <f t="shared" ca="1" si="184"/>
        <v>-2120129531919373</v>
      </c>
      <c r="M5312" s="460">
        <f t="shared" si="186"/>
        <v>0.05</v>
      </c>
      <c r="N5312" s="464">
        <f t="shared" si="187"/>
        <v>212725</v>
      </c>
    </row>
    <row r="5313" spans="7:14" ht="11.25" customHeight="1" x14ac:dyDescent="0.3">
      <c r="G5313" s="459"/>
      <c r="H5313" s="459">
        <v>5306</v>
      </c>
      <c r="I5313" s="444">
        <f t="shared" ca="1" si="185"/>
        <v>-2120129531919373</v>
      </c>
      <c r="J5313" s="444">
        <f t="array" ref="J5313">IFERROR(INDEX('Retirement Calculator'!K:K,MATCH('Lorri 401b'!N5313,'Retirement Calculator'!A:A,0),0),0)</f>
        <v>0</v>
      </c>
      <c r="K5313" s="444">
        <f t="shared" ca="1" si="183"/>
        <v>-8833873049664.0547</v>
      </c>
      <c r="L5313" s="444">
        <f t="shared" ca="1" si="184"/>
        <v>-2128963404969037</v>
      </c>
      <c r="M5313" s="460">
        <f t="shared" si="186"/>
        <v>0.05</v>
      </c>
      <c r="N5313" s="464">
        <f t="shared" si="187"/>
        <v>212755</v>
      </c>
    </row>
    <row r="5314" spans="7:14" ht="11.25" customHeight="1" x14ac:dyDescent="0.3">
      <c r="G5314" s="459"/>
      <c r="H5314" s="459">
        <v>5307</v>
      </c>
      <c r="I5314" s="444">
        <f t="shared" ca="1" si="185"/>
        <v>-2128963404969037</v>
      </c>
      <c r="J5314" s="444">
        <f t="array" ref="J5314">IFERROR(INDEX('Retirement Calculator'!K:K,MATCH('Lorri 401b'!N5314,'Retirement Calculator'!A:A,0),0),0)</f>
        <v>0</v>
      </c>
      <c r="K5314" s="444">
        <f t="shared" ca="1" si="183"/>
        <v>-8870680854037.6543</v>
      </c>
      <c r="L5314" s="444">
        <f t="shared" ca="1" si="184"/>
        <v>-2137834085823074.8</v>
      </c>
      <c r="M5314" s="460">
        <f t="shared" si="186"/>
        <v>0.05</v>
      </c>
      <c r="N5314" s="464">
        <f t="shared" si="187"/>
        <v>212786</v>
      </c>
    </row>
    <row r="5315" spans="7:14" ht="11.25" customHeight="1" x14ac:dyDescent="0.3">
      <c r="G5315" s="459"/>
      <c r="H5315" s="459">
        <v>5308</v>
      </c>
      <c r="I5315" s="444">
        <f t="shared" ca="1" si="185"/>
        <v>-2137834085823074.8</v>
      </c>
      <c r="J5315" s="444">
        <f t="array" ref="J5315">IFERROR(INDEX('Retirement Calculator'!K:K,MATCH('Lorri 401b'!N5315,'Retirement Calculator'!A:A,0),0),0)</f>
        <v>0</v>
      </c>
      <c r="K5315" s="444">
        <f t="shared" ca="1" si="183"/>
        <v>-8907642024262.8105</v>
      </c>
      <c r="L5315" s="444">
        <f t="shared" ca="1" si="184"/>
        <v>-2146741727847337.5</v>
      </c>
      <c r="M5315" s="460">
        <f t="shared" si="186"/>
        <v>0.05</v>
      </c>
      <c r="N5315" s="464">
        <f t="shared" si="187"/>
        <v>212817</v>
      </c>
    </row>
    <row r="5316" spans="7:14" ht="11.25" customHeight="1" x14ac:dyDescent="0.3">
      <c r="G5316" s="459"/>
      <c r="H5316" s="459">
        <v>5309</v>
      </c>
      <c r="I5316" s="444">
        <f t="shared" ca="1" si="185"/>
        <v>-2146741727847337.5</v>
      </c>
      <c r="J5316" s="444">
        <f t="array" ref="J5316">IFERROR(INDEX('Retirement Calculator'!K:K,MATCH('Lorri 401b'!N5316,'Retirement Calculator'!A:A,0),0),0)</f>
        <v>0</v>
      </c>
      <c r="K5316" s="444">
        <f t="shared" ca="1" si="183"/>
        <v>-8944757199363.9063</v>
      </c>
      <c r="L5316" s="444">
        <f t="shared" ca="1" si="184"/>
        <v>-2155686485046701.5</v>
      </c>
      <c r="M5316" s="460">
        <f t="shared" si="186"/>
        <v>0.05</v>
      </c>
      <c r="N5316" s="464">
        <f t="shared" si="187"/>
        <v>212847</v>
      </c>
    </row>
    <row r="5317" spans="7:14" ht="11.25" customHeight="1" x14ac:dyDescent="0.3">
      <c r="G5317" s="459"/>
      <c r="H5317" s="459">
        <v>5310</v>
      </c>
      <c r="I5317" s="444">
        <f t="shared" ca="1" si="185"/>
        <v>-2155686485046701.5</v>
      </c>
      <c r="J5317" s="444">
        <f t="array" ref="J5317">IFERROR(INDEX('Retirement Calculator'!K:K,MATCH('Lorri 401b'!N5317,'Retirement Calculator'!A:A,0),0),0)</f>
        <v>0</v>
      </c>
      <c r="K5317" s="444">
        <f t="shared" ca="1" si="183"/>
        <v>-8982027021027.9238</v>
      </c>
      <c r="L5317" s="444">
        <f t="shared" ca="1" si="184"/>
        <v>-2164668512067729.5</v>
      </c>
      <c r="M5317" s="460">
        <f t="shared" si="186"/>
        <v>0.05</v>
      </c>
      <c r="N5317" s="464">
        <f t="shared" si="187"/>
        <v>212878</v>
      </c>
    </row>
    <row r="5318" spans="7:14" ht="11.25" customHeight="1" x14ac:dyDescent="0.3">
      <c r="G5318" s="459"/>
      <c r="H5318" s="459">
        <v>5311</v>
      </c>
      <c r="I5318" s="444">
        <f t="shared" ca="1" si="185"/>
        <v>-2164668512067729.5</v>
      </c>
      <c r="J5318" s="444">
        <f t="array" ref="J5318">IFERROR(INDEX('Retirement Calculator'!K:K,MATCH('Lorri 401b'!N5318,'Retirement Calculator'!A:A,0),0),0)</f>
        <v>0</v>
      </c>
      <c r="K5318" s="444">
        <f t="shared" ca="1" si="183"/>
        <v>-9019452133615.5391</v>
      </c>
      <c r="L5318" s="444">
        <f t="shared" ca="1" si="184"/>
        <v>-2173687964201345</v>
      </c>
      <c r="M5318" s="460">
        <f t="shared" si="186"/>
        <v>0.05</v>
      </c>
      <c r="N5318" s="464">
        <f t="shared" si="187"/>
        <v>212908</v>
      </c>
    </row>
    <row r="5319" spans="7:14" ht="11.25" customHeight="1" x14ac:dyDescent="0.3">
      <c r="G5319" s="459"/>
      <c r="H5319" s="459">
        <v>5312</v>
      </c>
      <c r="I5319" s="444">
        <f t="shared" ca="1" si="185"/>
        <v>-2173687964201345</v>
      </c>
      <c r="J5319" s="444">
        <f t="array" ref="J5319">IFERROR(INDEX('Retirement Calculator'!K:K,MATCH('Lorri 401b'!N5319,'Retirement Calculator'!A:A,0),0),0)</f>
        <v>0</v>
      </c>
      <c r="K5319" s="444">
        <f t="shared" ca="1" si="183"/>
        <v>-9057033184172.2715</v>
      </c>
      <c r="L5319" s="444">
        <f t="shared" ca="1" si="184"/>
        <v>-2182744997385517.3</v>
      </c>
      <c r="M5319" s="460">
        <f t="shared" si="186"/>
        <v>0.05</v>
      </c>
      <c r="N5319" s="464">
        <f t="shared" si="187"/>
        <v>212939</v>
      </c>
    </row>
    <row r="5320" spans="7:14" ht="11.25" customHeight="1" x14ac:dyDescent="0.3">
      <c r="G5320" s="459"/>
      <c r="H5320" s="459">
        <v>5313</v>
      </c>
      <c r="I5320" s="444">
        <f t="shared" ca="1" si="185"/>
        <v>-2182744997385517.3</v>
      </c>
      <c r="J5320" s="444">
        <f t="array" ref="J5320">IFERROR(INDEX('Retirement Calculator'!K:K,MATCH('Lorri 401b'!N5320,'Retirement Calculator'!A:A,0),0),0)</f>
        <v>0</v>
      </c>
      <c r="K5320" s="444">
        <f t="shared" ca="1" si="183"/>
        <v>-9094770822439.6543</v>
      </c>
      <c r="L5320" s="444">
        <f t="shared" ca="1" si="184"/>
        <v>-2191839768207957</v>
      </c>
      <c r="M5320" s="460">
        <f t="shared" si="186"/>
        <v>0.05</v>
      </c>
      <c r="N5320" s="464">
        <f t="shared" si="187"/>
        <v>212970</v>
      </c>
    </row>
    <row r="5321" spans="7:14" ht="11.25" customHeight="1" x14ac:dyDescent="0.3">
      <c r="G5321" s="459"/>
      <c r="H5321" s="459">
        <v>5314</v>
      </c>
      <c r="I5321" s="444">
        <f t="shared" ca="1" si="185"/>
        <v>-2191839768207957</v>
      </c>
      <c r="J5321" s="444">
        <f t="array" ref="J5321">IFERROR(INDEX('Retirement Calculator'!K:K,MATCH('Lorri 401b'!N5321,'Retirement Calculator'!A:A,0),0),0)</f>
        <v>0</v>
      </c>
      <c r="K5321" s="444">
        <f t="shared" ca="1" si="183"/>
        <v>-9132665700866.4883</v>
      </c>
      <c r="L5321" s="444">
        <f t="shared" ca="1" si="184"/>
        <v>-2200972433908823.5</v>
      </c>
      <c r="M5321" s="460">
        <f t="shared" si="186"/>
        <v>0.05</v>
      </c>
      <c r="N5321" s="464">
        <f t="shared" si="187"/>
        <v>212998</v>
      </c>
    </row>
    <row r="5322" spans="7:14" ht="11.25" customHeight="1" x14ac:dyDescent="0.3">
      <c r="G5322" s="459"/>
      <c r="H5322" s="459">
        <v>5315</v>
      </c>
      <c r="I5322" s="444">
        <f t="shared" ca="1" si="185"/>
        <v>-2200972433908823.5</v>
      </c>
      <c r="J5322" s="444">
        <f t="array" ref="J5322">IFERROR(INDEX('Retirement Calculator'!K:K,MATCH('Lorri 401b'!N5322,'Retirement Calculator'!A:A,0),0),0)</f>
        <v>0</v>
      </c>
      <c r="K5322" s="444">
        <f t="shared" ca="1" si="183"/>
        <v>-9170718474620.0977</v>
      </c>
      <c r="L5322" s="444">
        <f t="shared" ca="1" si="184"/>
        <v>-2210143152383443.5</v>
      </c>
      <c r="M5322" s="460">
        <f t="shared" si="186"/>
        <v>0.05</v>
      </c>
      <c r="N5322" s="464">
        <f t="shared" si="187"/>
        <v>213029</v>
      </c>
    </row>
    <row r="5323" spans="7:14" ht="11.25" customHeight="1" x14ac:dyDescent="0.3">
      <c r="G5323" s="459"/>
      <c r="H5323" s="459">
        <v>5316</v>
      </c>
      <c r="I5323" s="444">
        <f t="shared" ca="1" si="185"/>
        <v>-2210143152383443.5</v>
      </c>
      <c r="J5323" s="444">
        <f t="array" ref="J5323">IFERROR(INDEX('Retirement Calculator'!K:K,MATCH('Lorri 401b'!N5323,'Retirement Calculator'!A:A,0),0),0)</f>
        <v>0</v>
      </c>
      <c r="K5323" s="444">
        <f t="shared" ca="1" si="183"/>
        <v>-9208929801597.6816</v>
      </c>
      <c r="L5323" s="444">
        <f t="shared" ca="1" si="184"/>
        <v>-2219352082185041.3</v>
      </c>
      <c r="M5323" s="460">
        <f t="shared" si="186"/>
        <v>0.05</v>
      </c>
      <c r="N5323" s="464">
        <f t="shared" si="187"/>
        <v>213059</v>
      </c>
    </row>
    <row r="5324" spans="7:14" ht="11.25" customHeight="1" x14ac:dyDescent="0.3">
      <c r="G5324" s="459"/>
      <c r="H5324" s="459">
        <v>5317</v>
      </c>
      <c r="I5324" s="444">
        <f t="shared" ca="1" si="185"/>
        <v>-2219352082185041.3</v>
      </c>
      <c r="J5324" s="444">
        <f t="array" ref="J5324">IFERROR(INDEX('Retirement Calculator'!K:K,MATCH('Lorri 401b'!N5324,'Retirement Calculator'!A:A,0),0),0)</f>
        <v>0</v>
      </c>
      <c r="K5324" s="444">
        <f t="shared" ca="1" si="183"/>
        <v>-9247300342437.6719</v>
      </c>
      <c r="L5324" s="444">
        <f t="shared" ca="1" si="184"/>
        <v>-2228599382527479</v>
      </c>
      <c r="M5324" s="460">
        <f t="shared" si="186"/>
        <v>0.05</v>
      </c>
      <c r="N5324" s="464">
        <f t="shared" si="187"/>
        <v>213090</v>
      </c>
    </row>
    <row r="5325" spans="7:14" ht="11.25" customHeight="1" x14ac:dyDescent="0.3">
      <c r="G5325" s="459"/>
      <c r="H5325" s="459">
        <v>5318</v>
      </c>
      <c r="I5325" s="444">
        <f t="shared" ca="1" si="185"/>
        <v>-2228599382527479</v>
      </c>
      <c r="J5325" s="444">
        <f t="array" ref="J5325">IFERROR(INDEX('Retirement Calculator'!K:K,MATCH('Lorri 401b'!N5325,'Retirement Calculator'!A:A,0),0),0)</f>
        <v>0</v>
      </c>
      <c r="K5325" s="444">
        <f t="shared" ca="1" si="183"/>
        <v>-9285830760531.1621</v>
      </c>
      <c r="L5325" s="444">
        <f t="shared" ca="1" si="184"/>
        <v>-2237885213288010.3</v>
      </c>
      <c r="M5325" s="460">
        <f t="shared" si="186"/>
        <v>0.05</v>
      </c>
      <c r="N5325" s="464">
        <f t="shared" si="187"/>
        <v>213120</v>
      </c>
    </row>
    <row r="5326" spans="7:14" ht="11.25" customHeight="1" x14ac:dyDescent="0.3">
      <c r="G5326" s="459"/>
      <c r="H5326" s="459">
        <v>5319</v>
      </c>
      <c r="I5326" s="444">
        <f t="shared" ca="1" si="185"/>
        <v>-2237885213288010.3</v>
      </c>
      <c r="J5326" s="444">
        <f t="array" ref="J5326">IFERROR(INDEX('Retirement Calculator'!K:K,MATCH('Lorri 401b'!N5326,'Retirement Calculator'!A:A,0),0),0)</f>
        <v>0</v>
      </c>
      <c r="K5326" s="444">
        <f t="shared" ca="1" si="183"/>
        <v>-9324521722033.375</v>
      </c>
      <c r="L5326" s="444">
        <f t="shared" ca="1" si="184"/>
        <v>-2247209735010043.5</v>
      </c>
      <c r="M5326" s="460">
        <f t="shared" si="186"/>
        <v>0.05</v>
      </c>
      <c r="N5326" s="464">
        <f t="shared" si="187"/>
        <v>213151</v>
      </c>
    </row>
    <row r="5327" spans="7:14" ht="11.25" customHeight="1" x14ac:dyDescent="0.3">
      <c r="G5327" s="459"/>
      <c r="H5327" s="459">
        <v>5320</v>
      </c>
      <c r="I5327" s="444">
        <f t="shared" ca="1" si="185"/>
        <v>-2247209735010043.5</v>
      </c>
      <c r="J5327" s="444">
        <f t="array" ref="J5327">IFERROR(INDEX('Retirement Calculator'!K:K,MATCH('Lorri 401b'!N5327,'Retirement Calculator'!A:A,0),0),0)</f>
        <v>0</v>
      </c>
      <c r="K5327" s="444">
        <f t="shared" ca="1" si="183"/>
        <v>-9363373895875.1816</v>
      </c>
      <c r="L5327" s="444">
        <f t="shared" ca="1" si="184"/>
        <v>-2256573108905918.5</v>
      </c>
      <c r="M5327" s="460">
        <f t="shared" si="186"/>
        <v>0.05</v>
      </c>
      <c r="N5327" s="464">
        <f t="shared" si="187"/>
        <v>213182</v>
      </c>
    </row>
    <row r="5328" spans="7:14" ht="11.25" customHeight="1" x14ac:dyDescent="0.3">
      <c r="G5328" s="459"/>
      <c r="H5328" s="459">
        <v>5321</v>
      </c>
      <c r="I5328" s="444">
        <f t="shared" ca="1" si="185"/>
        <v>-2256573108905918.5</v>
      </c>
      <c r="J5328" s="444">
        <f t="array" ref="J5328">IFERROR(INDEX('Retirement Calculator'!K:K,MATCH('Lorri 401b'!N5328,'Retirement Calculator'!A:A,0),0),0)</f>
        <v>0</v>
      </c>
      <c r="K5328" s="444">
        <f t="shared" ca="1" si="183"/>
        <v>-9402387953774.6602</v>
      </c>
      <c r="L5328" s="444">
        <f t="shared" ca="1" si="184"/>
        <v>-2265975496859693</v>
      </c>
      <c r="M5328" s="460">
        <f t="shared" si="186"/>
        <v>0.05</v>
      </c>
      <c r="N5328" s="464">
        <f t="shared" si="187"/>
        <v>213212</v>
      </c>
    </row>
    <row r="5329" spans="7:14" ht="11.25" customHeight="1" x14ac:dyDescent="0.3">
      <c r="G5329" s="459"/>
      <c r="H5329" s="459">
        <v>5322</v>
      </c>
      <c r="I5329" s="444">
        <f t="shared" ca="1" si="185"/>
        <v>-2265975496859693</v>
      </c>
      <c r="J5329" s="444">
        <f t="array" ref="J5329">IFERROR(INDEX('Retirement Calculator'!K:K,MATCH('Lorri 401b'!N5329,'Retirement Calculator'!A:A,0),0),0)</f>
        <v>0</v>
      </c>
      <c r="K5329" s="444">
        <f t="shared" ca="1" si="183"/>
        <v>-9441564570248.7207</v>
      </c>
      <c r="L5329" s="444">
        <f t="shared" ca="1" si="184"/>
        <v>-2275417061429941.5</v>
      </c>
      <c r="M5329" s="460">
        <f t="shared" si="186"/>
        <v>0.05</v>
      </c>
      <c r="N5329" s="464">
        <f t="shared" si="187"/>
        <v>213243</v>
      </c>
    </row>
    <row r="5330" spans="7:14" ht="11.25" customHeight="1" x14ac:dyDescent="0.3">
      <c r="G5330" s="459"/>
      <c r="H5330" s="459">
        <v>5323</v>
      </c>
      <c r="I5330" s="444">
        <f t="shared" ca="1" si="185"/>
        <v>-2275417061429941.5</v>
      </c>
      <c r="J5330" s="444">
        <f t="array" ref="J5330">IFERROR(INDEX('Retirement Calculator'!K:K,MATCH('Lorri 401b'!N5330,'Retirement Calculator'!A:A,0),0),0)</f>
        <v>0</v>
      </c>
      <c r="K5330" s="444">
        <f t="shared" ca="1" si="183"/>
        <v>-9480904422624.7559</v>
      </c>
      <c r="L5330" s="444">
        <f t="shared" ca="1" si="184"/>
        <v>-2284897965852566.5</v>
      </c>
      <c r="M5330" s="460">
        <f t="shared" si="186"/>
        <v>0.05</v>
      </c>
      <c r="N5330" s="464">
        <f t="shared" si="187"/>
        <v>213273</v>
      </c>
    </row>
    <row r="5331" spans="7:14" ht="11.25" customHeight="1" x14ac:dyDescent="0.3">
      <c r="G5331" s="459"/>
      <c r="H5331" s="459">
        <v>5324</v>
      </c>
      <c r="I5331" s="444">
        <f t="shared" ca="1" si="185"/>
        <v>-2284897965852566.5</v>
      </c>
      <c r="J5331" s="444">
        <f t="array" ref="J5331">IFERROR(INDEX('Retirement Calculator'!K:K,MATCH('Lorri 401b'!N5331,'Retirement Calculator'!A:A,0),0),0)</f>
        <v>0</v>
      </c>
      <c r="K5331" s="444">
        <f t="shared" ca="1" si="183"/>
        <v>-9520408191052.3594</v>
      </c>
      <c r="L5331" s="444">
        <f t="shared" ca="1" si="184"/>
        <v>-2294418374043619</v>
      </c>
      <c r="M5331" s="460">
        <f t="shared" si="186"/>
        <v>0.05</v>
      </c>
      <c r="N5331" s="464">
        <f t="shared" si="187"/>
        <v>213304</v>
      </c>
    </row>
    <row r="5332" spans="7:14" ht="11.25" customHeight="1" x14ac:dyDescent="0.3">
      <c r="G5332" s="459"/>
      <c r="H5332" s="459">
        <v>5325</v>
      </c>
      <c r="I5332" s="444">
        <f t="shared" ca="1" si="185"/>
        <v>-2294418374043619</v>
      </c>
      <c r="J5332" s="444">
        <f t="array" ref="J5332">IFERROR(INDEX('Retirement Calculator'!K:K,MATCH('Lorri 401b'!N5332,'Retirement Calculator'!A:A,0),0),0)</f>
        <v>0</v>
      </c>
      <c r="K5332" s="444">
        <f t="shared" ca="1" si="183"/>
        <v>-9560076558515.0781</v>
      </c>
      <c r="L5332" s="444">
        <f t="shared" ca="1" si="184"/>
        <v>-2303978450602134</v>
      </c>
      <c r="M5332" s="460">
        <f t="shared" si="186"/>
        <v>0.05</v>
      </c>
      <c r="N5332" s="464">
        <f t="shared" si="187"/>
        <v>213335</v>
      </c>
    </row>
    <row r="5333" spans="7:14" ht="11.25" customHeight="1" x14ac:dyDescent="0.3">
      <c r="G5333" s="459"/>
      <c r="H5333" s="459">
        <v>5326</v>
      </c>
      <c r="I5333" s="444">
        <f t="shared" ca="1" si="185"/>
        <v>-2303978450602134</v>
      </c>
      <c r="J5333" s="444">
        <f t="array" ref="J5333">IFERROR(INDEX('Retirement Calculator'!K:K,MATCH('Lorri 401b'!N5333,'Retirement Calculator'!A:A,0),0),0)</f>
        <v>0</v>
      </c>
      <c r="K5333" s="444">
        <f t="shared" ca="1" si="183"/>
        <v>-9599910210842.2246</v>
      </c>
      <c r="L5333" s="444">
        <f t="shared" ca="1" si="184"/>
        <v>-2313578360812976</v>
      </c>
      <c r="M5333" s="460">
        <f t="shared" si="186"/>
        <v>0.05</v>
      </c>
      <c r="N5333" s="464">
        <f t="shared" si="187"/>
        <v>213364</v>
      </c>
    </row>
    <row r="5334" spans="7:14" ht="11.25" customHeight="1" x14ac:dyDescent="0.3">
      <c r="G5334" s="459"/>
      <c r="H5334" s="459">
        <v>5327</v>
      </c>
      <c r="I5334" s="444">
        <f t="shared" ca="1" si="185"/>
        <v>-2313578360812976</v>
      </c>
      <c r="J5334" s="444">
        <f t="array" ref="J5334">IFERROR(INDEX('Retirement Calculator'!K:K,MATCH('Lorri 401b'!N5334,'Retirement Calculator'!A:A,0),0),0)</f>
        <v>0</v>
      </c>
      <c r="K5334" s="444">
        <f t="shared" ca="1" si="183"/>
        <v>-9639909836720.7324</v>
      </c>
      <c r="L5334" s="444">
        <f t="shared" ca="1" si="184"/>
        <v>-2323218270649696.5</v>
      </c>
      <c r="M5334" s="460">
        <f t="shared" si="186"/>
        <v>0.05</v>
      </c>
      <c r="N5334" s="464">
        <f t="shared" si="187"/>
        <v>213395</v>
      </c>
    </row>
    <row r="5335" spans="7:14" ht="11.25" customHeight="1" x14ac:dyDescent="0.3">
      <c r="G5335" s="459"/>
      <c r="H5335" s="459">
        <v>5328</v>
      </c>
      <c r="I5335" s="444">
        <f t="shared" ca="1" si="185"/>
        <v>-2323218270649696.5</v>
      </c>
      <c r="J5335" s="444">
        <f t="array" ref="J5335">IFERROR(INDEX('Retirement Calculator'!K:K,MATCH('Lorri 401b'!N5335,'Retirement Calculator'!A:A,0),0),0)</f>
        <v>0</v>
      </c>
      <c r="K5335" s="444">
        <f t="shared" ca="1" si="183"/>
        <v>-9680076127707.0684</v>
      </c>
      <c r="L5335" s="444">
        <f t="shared" ca="1" si="184"/>
        <v>-2332898346777403.5</v>
      </c>
      <c r="M5335" s="460">
        <f t="shared" si="186"/>
        <v>0.05</v>
      </c>
      <c r="N5335" s="464">
        <f t="shared" si="187"/>
        <v>213425</v>
      </c>
    </row>
    <row r="5336" spans="7:14" ht="11.25" customHeight="1" x14ac:dyDescent="0.3">
      <c r="G5336" s="459"/>
      <c r="H5336" s="459">
        <v>5329</v>
      </c>
      <c r="I5336" s="444">
        <f t="shared" ca="1" si="185"/>
        <v>-2332898346777403.5</v>
      </c>
      <c r="J5336" s="444">
        <f t="array" ref="J5336">IFERROR(INDEX('Retirement Calculator'!K:K,MATCH('Lorri 401b'!N5336,'Retirement Calculator'!A:A,0),0),0)</f>
        <v>0</v>
      </c>
      <c r="K5336" s="444">
        <f t="shared" ca="1" si="183"/>
        <v>-9720409778239.1816</v>
      </c>
      <c r="L5336" s="444">
        <f t="shared" ca="1" si="184"/>
        <v>-2342618756555642.5</v>
      </c>
      <c r="M5336" s="460">
        <f t="shared" si="186"/>
        <v>0.05</v>
      </c>
      <c r="N5336" s="464">
        <f t="shared" si="187"/>
        <v>213456</v>
      </c>
    </row>
    <row r="5337" spans="7:14" ht="11.25" customHeight="1" x14ac:dyDescent="0.3">
      <c r="G5337" s="459"/>
      <c r="H5337" s="459">
        <v>5330</v>
      </c>
      <c r="I5337" s="444">
        <f t="shared" ca="1" si="185"/>
        <v>-2342618756555642.5</v>
      </c>
      <c r="J5337" s="444">
        <f t="array" ref="J5337">IFERROR(INDEX('Retirement Calculator'!K:K,MATCH('Lorri 401b'!N5337,'Retirement Calculator'!A:A,0),0),0)</f>
        <v>0</v>
      </c>
      <c r="K5337" s="444">
        <f t="shared" ca="1" si="183"/>
        <v>-9760911485648.5098</v>
      </c>
      <c r="L5337" s="444">
        <f t="shared" ca="1" si="184"/>
        <v>-2352379668041291</v>
      </c>
      <c r="M5337" s="460">
        <f t="shared" si="186"/>
        <v>0.05</v>
      </c>
      <c r="N5337" s="464">
        <f t="shared" si="187"/>
        <v>213486</v>
      </c>
    </row>
    <row r="5338" spans="7:14" ht="11.25" customHeight="1" x14ac:dyDescent="0.3">
      <c r="G5338" s="459"/>
      <c r="H5338" s="459">
        <v>5331</v>
      </c>
      <c r="I5338" s="444">
        <f t="shared" ca="1" si="185"/>
        <v>-2352379668041291</v>
      </c>
      <c r="J5338" s="444">
        <f t="array" ref="J5338">IFERROR(INDEX('Retirement Calculator'!K:K,MATCH('Lorri 401b'!N5338,'Retirement Calculator'!A:A,0),0),0)</f>
        <v>0</v>
      </c>
      <c r="K5338" s="444">
        <f t="shared" ca="1" si="183"/>
        <v>-9801581950172.0449</v>
      </c>
      <c r="L5338" s="444">
        <f t="shared" ca="1" si="184"/>
        <v>-2362181249991463</v>
      </c>
      <c r="M5338" s="460">
        <f t="shared" si="186"/>
        <v>0.05</v>
      </c>
      <c r="N5338" s="464">
        <f t="shared" si="187"/>
        <v>213517</v>
      </c>
    </row>
    <row r="5339" spans="7:14" ht="11.25" customHeight="1" x14ac:dyDescent="0.3">
      <c r="G5339" s="459"/>
      <c r="H5339" s="459">
        <v>5332</v>
      </c>
      <c r="I5339" s="444">
        <f t="shared" ca="1" si="185"/>
        <v>-2362181249991463</v>
      </c>
      <c r="J5339" s="444">
        <f t="array" ref="J5339">IFERROR(INDEX('Retirement Calculator'!K:K,MATCH('Lorri 401b'!N5339,'Retirement Calculator'!A:A,0),0),0)</f>
        <v>0</v>
      </c>
      <c r="K5339" s="444">
        <f t="shared" ca="1" si="183"/>
        <v>-9842421874964.4297</v>
      </c>
      <c r="L5339" s="444">
        <f t="shared" ca="1" si="184"/>
        <v>-2372023671866427.5</v>
      </c>
      <c r="M5339" s="460">
        <f t="shared" si="186"/>
        <v>0.05</v>
      </c>
      <c r="N5339" s="464">
        <f t="shared" si="187"/>
        <v>213548</v>
      </c>
    </row>
    <row r="5340" spans="7:14" ht="11.25" customHeight="1" x14ac:dyDescent="0.3">
      <c r="G5340" s="459"/>
      <c r="H5340" s="459">
        <v>5333</v>
      </c>
      <c r="I5340" s="444">
        <f t="shared" ca="1" si="185"/>
        <v>-2372023671866427.5</v>
      </c>
      <c r="J5340" s="444">
        <f t="array" ref="J5340">IFERROR(INDEX('Retirement Calculator'!K:K,MATCH('Lorri 401b'!N5340,'Retirement Calculator'!A:A,0),0),0)</f>
        <v>0</v>
      </c>
      <c r="K5340" s="444">
        <f t="shared" ca="1" si="183"/>
        <v>-9883431966110.1152</v>
      </c>
      <c r="L5340" s="444">
        <f t="shared" ca="1" si="184"/>
        <v>-2381907103832537.5</v>
      </c>
      <c r="M5340" s="460">
        <f t="shared" si="186"/>
        <v>0.05</v>
      </c>
      <c r="N5340" s="464">
        <f t="shared" si="187"/>
        <v>213578</v>
      </c>
    </row>
    <row r="5341" spans="7:14" ht="11.25" customHeight="1" x14ac:dyDescent="0.3">
      <c r="G5341" s="459"/>
      <c r="H5341" s="459">
        <v>5334</v>
      </c>
      <c r="I5341" s="444">
        <f t="shared" ca="1" si="185"/>
        <v>-2381907103832537.5</v>
      </c>
      <c r="J5341" s="444">
        <f t="array" ref="J5341">IFERROR(INDEX('Retirement Calculator'!K:K,MATCH('Lorri 401b'!N5341,'Retirement Calculator'!A:A,0),0),0)</f>
        <v>0</v>
      </c>
      <c r="K5341" s="444">
        <f t="shared" ca="1" si="183"/>
        <v>-9924612932635.5723</v>
      </c>
      <c r="L5341" s="444">
        <f t="shared" ca="1" si="184"/>
        <v>-2391831716765173</v>
      </c>
      <c r="M5341" s="460">
        <f t="shared" si="186"/>
        <v>0.05</v>
      </c>
      <c r="N5341" s="464">
        <f t="shared" si="187"/>
        <v>213609</v>
      </c>
    </row>
    <row r="5342" spans="7:14" ht="11.25" customHeight="1" x14ac:dyDescent="0.3">
      <c r="G5342" s="459"/>
      <c r="H5342" s="459">
        <v>5335</v>
      </c>
      <c r="I5342" s="444">
        <f t="shared" ca="1" si="185"/>
        <v>-2391831716765173</v>
      </c>
      <c r="J5342" s="444">
        <f t="array" ref="J5342">IFERROR(INDEX('Retirement Calculator'!K:K,MATCH('Lorri 401b'!N5342,'Retirement Calculator'!A:A,0),0),0)</f>
        <v>0</v>
      </c>
      <c r="K5342" s="444">
        <f t="shared" ca="1" si="183"/>
        <v>-9965965486521.5547</v>
      </c>
      <c r="L5342" s="444">
        <f t="shared" ca="1" si="184"/>
        <v>-2401797682251694.5</v>
      </c>
      <c r="M5342" s="460">
        <f t="shared" si="186"/>
        <v>0.05</v>
      </c>
      <c r="N5342" s="464">
        <f t="shared" si="187"/>
        <v>213639</v>
      </c>
    </row>
    <row r="5343" spans="7:14" ht="11.25" customHeight="1" x14ac:dyDescent="0.3">
      <c r="G5343" s="459"/>
      <c r="H5343" s="459">
        <v>5336</v>
      </c>
      <c r="I5343" s="444">
        <f t="shared" ca="1" si="185"/>
        <v>-2401797682251694.5</v>
      </c>
      <c r="J5343" s="444">
        <f t="array" ref="J5343">IFERROR(INDEX('Retirement Calculator'!K:K,MATCH('Lorri 401b'!N5343,'Retirement Calculator'!A:A,0),0),0)</f>
        <v>0</v>
      </c>
      <c r="K5343" s="444">
        <f t="shared" ca="1" si="183"/>
        <v>-10007490342715.395</v>
      </c>
      <c r="L5343" s="444">
        <f t="shared" ca="1" si="184"/>
        <v>-2411805172594410</v>
      </c>
      <c r="M5343" s="460">
        <f t="shared" si="186"/>
        <v>0.05</v>
      </c>
      <c r="N5343" s="464">
        <f t="shared" si="187"/>
        <v>213670</v>
      </c>
    </row>
    <row r="5344" spans="7:14" ht="11.25" customHeight="1" x14ac:dyDescent="0.3">
      <c r="G5344" s="459"/>
      <c r="H5344" s="459">
        <v>5337</v>
      </c>
      <c r="I5344" s="444">
        <f t="shared" ca="1" si="185"/>
        <v>-2411805172594410</v>
      </c>
      <c r="J5344" s="444">
        <f t="array" ref="J5344">IFERROR(INDEX('Retirement Calculator'!K:K,MATCH('Lorri 401b'!N5344,'Retirement Calculator'!A:A,0),0),0)</f>
        <v>0</v>
      </c>
      <c r="K5344" s="444">
        <f t="shared" ca="1" si="183"/>
        <v>-10049188219143.375</v>
      </c>
      <c r="L5344" s="444">
        <f t="shared" ca="1" si="184"/>
        <v>-2421854360813553.5</v>
      </c>
      <c r="M5344" s="460">
        <f t="shared" si="186"/>
        <v>0.05</v>
      </c>
      <c r="N5344" s="464">
        <f t="shared" si="187"/>
        <v>213701</v>
      </c>
    </row>
    <row r="5345" spans="7:14" ht="11.25" customHeight="1" x14ac:dyDescent="0.3">
      <c r="G5345" s="459"/>
      <c r="H5345" s="459">
        <v>5338</v>
      </c>
      <c r="I5345" s="444">
        <f t="shared" ca="1" si="185"/>
        <v>-2421854360813553.5</v>
      </c>
      <c r="J5345" s="444">
        <f t="array" ref="J5345">IFERROR(INDEX('Retirement Calculator'!K:K,MATCH('Lorri 401b'!N5345,'Retirement Calculator'!A:A,0),0),0)</f>
        <v>0</v>
      </c>
      <c r="K5345" s="444">
        <f t="shared" ca="1" si="183"/>
        <v>-10091059836723.139</v>
      </c>
      <c r="L5345" s="444">
        <f t="shared" ca="1" si="184"/>
        <v>-2431945420650276.5</v>
      </c>
      <c r="M5345" s="460">
        <f t="shared" si="186"/>
        <v>0.05</v>
      </c>
      <c r="N5345" s="464">
        <f t="shared" si="187"/>
        <v>213729</v>
      </c>
    </row>
    <row r="5346" spans="7:14" ht="11.25" customHeight="1" x14ac:dyDescent="0.3">
      <c r="G5346" s="459"/>
      <c r="H5346" s="459">
        <v>5339</v>
      </c>
      <c r="I5346" s="444">
        <f t="shared" ca="1" si="185"/>
        <v>-2431945420650276.5</v>
      </c>
      <c r="J5346" s="444">
        <f t="array" ref="J5346">IFERROR(INDEX('Retirement Calculator'!K:K,MATCH('Lorri 401b'!N5346,'Retirement Calculator'!A:A,0),0),0)</f>
        <v>0</v>
      </c>
      <c r="K5346" s="444">
        <f t="shared" ca="1" si="183"/>
        <v>-10133105919376.152</v>
      </c>
      <c r="L5346" s="444">
        <f t="shared" ca="1" si="184"/>
        <v>-2442078526569652.5</v>
      </c>
      <c r="M5346" s="460">
        <f t="shared" si="186"/>
        <v>0.05</v>
      </c>
      <c r="N5346" s="464">
        <f t="shared" si="187"/>
        <v>213760</v>
      </c>
    </row>
    <row r="5347" spans="7:14" ht="11.25" customHeight="1" x14ac:dyDescent="0.3">
      <c r="G5347" s="459"/>
      <c r="H5347" s="459">
        <v>5340</v>
      </c>
      <c r="I5347" s="444">
        <f t="shared" ca="1" si="185"/>
        <v>-2442078526569652.5</v>
      </c>
      <c r="J5347" s="444">
        <f t="array" ref="J5347">IFERROR(INDEX('Retirement Calculator'!K:K,MATCH('Lorri 401b'!N5347,'Retirement Calculator'!A:A,0),0),0)</f>
        <v>0</v>
      </c>
      <c r="K5347" s="444">
        <f t="shared" ca="1" si="183"/>
        <v>-10175327194040.219</v>
      </c>
      <c r="L5347" s="444">
        <f t="shared" ca="1" si="184"/>
        <v>-2452253853763692.5</v>
      </c>
      <c r="M5347" s="460">
        <f t="shared" si="186"/>
        <v>0.05</v>
      </c>
      <c r="N5347" s="464">
        <f t="shared" si="187"/>
        <v>213790</v>
      </c>
    </row>
    <row r="5348" spans="7:14" ht="11.25" customHeight="1" x14ac:dyDescent="0.3">
      <c r="G5348" s="459"/>
      <c r="H5348" s="459">
        <v>5341</v>
      </c>
      <c r="I5348" s="444">
        <f t="shared" ca="1" si="185"/>
        <v>-2452253853763692.5</v>
      </c>
      <c r="J5348" s="444">
        <f t="array" ref="J5348">IFERROR(INDEX('Retirement Calculator'!K:K,MATCH('Lorri 401b'!N5348,'Retirement Calculator'!A:A,0),0),0)</f>
        <v>0</v>
      </c>
      <c r="K5348" s="444">
        <f t="shared" ca="1" si="183"/>
        <v>-10217724390682.053</v>
      </c>
      <c r="L5348" s="444">
        <f t="shared" ca="1" si="184"/>
        <v>-2462471578154374.5</v>
      </c>
      <c r="M5348" s="460">
        <f t="shared" si="186"/>
        <v>0.05</v>
      </c>
      <c r="N5348" s="464">
        <f t="shared" si="187"/>
        <v>213821</v>
      </c>
    </row>
    <row r="5349" spans="7:14" ht="11.25" customHeight="1" x14ac:dyDescent="0.3">
      <c r="G5349" s="459"/>
      <c r="H5349" s="459">
        <v>5342</v>
      </c>
      <c r="I5349" s="444">
        <f t="shared" ca="1" si="185"/>
        <v>-2462471578154374.5</v>
      </c>
      <c r="J5349" s="444">
        <f t="array" ref="J5349">IFERROR(INDEX('Retirement Calculator'!K:K,MATCH('Lorri 401b'!N5349,'Retirement Calculator'!A:A,0),0),0)</f>
        <v>0</v>
      </c>
      <c r="K5349" s="444">
        <f t="shared" ca="1" si="183"/>
        <v>-10260298242309.895</v>
      </c>
      <c r="L5349" s="444">
        <f t="shared" ca="1" si="184"/>
        <v>-2472731876396684.5</v>
      </c>
      <c r="M5349" s="460">
        <f t="shared" si="186"/>
        <v>0.05</v>
      </c>
      <c r="N5349" s="464">
        <f t="shared" si="187"/>
        <v>213851</v>
      </c>
    </row>
    <row r="5350" spans="7:14" ht="11.25" customHeight="1" x14ac:dyDescent="0.3">
      <c r="G5350" s="459"/>
      <c r="H5350" s="459">
        <v>5343</v>
      </c>
      <c r="I5350" s="444">
        <f t="shared" ca="1" si="185"/>
        <v>-2472731876396684.5</v>
      </c>
      <c r="J5350" s="444">
        <f t="array" ref="J5350">IFERROR(INDEX('Retirement Calculator'!K:K,MATCH('Lorri 401b'!N5350,'Retirement Calculator'!A:A,0),0),0)</f>
        <v>0</v>
      </c>
      <c r="K5350" s="444">
        <f t="shared" ca="1" si="183"/>
        <v>-10303049484986.186</v>
      </c>
      <c r="L5350" s="444">
        <f t="shared" ca="1" si="184"/>
        <v>-2483034925881670.5</v>
      </c>
      <c r="M5350" s="460">
        <f t="shared" si="186"/>
        <v>0.05</v>
      </c>
      <c r="N5350" s="464">
        <f t="shared" si="187"/>
        <v>213882</v>
      </c>
    </row>
    <row r="5351" spans="7:14" ht="11.25" customHeight="1" x14ac:dyDescent="0.3">
      <c r="G5351" s="459"/>
      <c r="H5351" s="459">
        <v>5344</v>
      </c>
      <c r="I5351" s="444">
        <f t="shared" ca="1" si="185"/>
        <v>-2483034925881670.5</v>
      </c>
      <c r="J5351" s="444">
        <f t="array" ref="J5351">IFERROR(INDEX('Retirement Calculator'!K:K,MATCH('Lorri 401b'!N5351,'Retirement Calculator'!A:A,0),0),0)</f>
        <v>0</v>
      </c>
      <c r="K5351" s="444">
        <f t="shared" ca="1" si="183"/>
        <v>-10345978857840.293</v>
      </c>
      <c r="L5351" s="444">
        <f t="shared" ca="1" si="184"/>
        <v>-2493380904739511</v>
      </c>
      <c r="M5351" s="460">
        <f t="shared" si="186"/>
        <v>0.05</v>
      </c>
      <c r="N5351" s="464">
        <f t="shared" si="187"/>
        <v>213913</v>
      </c>
    </row>
    <row r="5352" spans="7:14" ht="11.25" customHeight="1" x14ac:dyDescent="0.3">
      <c r="G5352" s="459"/>
      <c r="H5352" s="459">
        <v>5345</v>
      </c>
      <c r="I5352" s="444">
        <f t="shared" ca="1" si="185"/>
        <v>-2493380904739511</v>
      </c>
      <c r="J5352" s="444">
        <f t="array" ref="J5352">IFERROR(INDEX('Retirement Calculator'!K:K,MATCH('Lorri 401b'!N5352,'Retirement Calculator'!A:A,0),0),0)</f>
        <v>0</v>
      </c>
      <c r="K5352" s="444">
        <f t="shared" ca="1" si="183"/>
        <v>-10389087103081.295</v>
      </c>
      <c r="L5352" s="444">
        <f t="shared" ca="1" si="184"/>
        <v>-2503769991842592.5</v>
      </c>
      <c r="M5352" s="460">
        <f t="shared" si="186"/>
        <v>0.05</v>
      </c>
      <c r="N5352" s="464">
        <f t="shared" si="187"/>
        <v>213943</v>
      </c>
    </row>
    <row r="5353" spans="7:14" ht="11.25" customHeight="1" x14ac:dyDescent="0.3">
      <c r="G5353" s="459"/>
      <c r="H5353" s="459">
        <v>5346</v>
      </c>
      <c r="I5353" s="444">
        <f t="shared" ca="1" si="185"/>
        <v>-2503769991842592.5</v>
      </c>
      <c r="J5353" s="444">
        <f t="array" ref="J5353">IFERROR(INDEX('Retirement Calculator'!K:K,MATCH('Lorri 401b'!N5353,'Retirement Calculator'!A:A,0),0),0)</f>
        <v>0</v>
      </c>
      <c r="K5353" s="444">
        <f t="shared" ca="1" si="183"/>
        <v>-10432374966010.803</v>
      </c>
      <c r="L5353" s="444">
        <f t="shared" ca="1" si="184"/>
        <v>-2514202366808603.5</v>
      </c>
      <c r="M5353" s="460">
        <f t="shared" si="186"/>
        <v>0.05</v>
      </c>
      <c r="N5353" s="464">
        <f t="shared" si="187"/>
        <v>213974</v>
      </c>
    </row>
    <row r="5354" spans="7:14" ht="11.25" customHeight="1" x14ac:dyDescent="0.3">
      <c r="G5354" s="459"/>
      <c r="H5354" s="459">
        <v>5347</v>
      </c>
      <c r="I5354" s="444">
        <f t="shared" ca="1" si="185"/>
        <v>-2514202366808603.5</v>
      </c>
      <c r="J5354" s="444">
        <f t="array" ref="J5354">IFERROR(INDEX('Retirement Calculator'!K:K,MATCH('Lorri 401b'!N5354,'Retirement Calculator'!A:A,0),0),0)</f>
        <v>0</v>
      </c>
      <c r="K5354" s="444">
        <f t="shared" ca="1" si="183"/>
        <v>-10475843195035.848</v>
      </c>
      <c r="L5354" s="444">
        <f t="shared" ca="1" si="184"/>
        <v>-2524678210003639.5</v>
      </c>
      <c r="M5354" s="460">
        <f t="shared" si="186"/>
        <v>0.05</v>
      </c>
      <c r="N5354" s="464">
        <f t="shared" si="187"/>
        <v>214004</v>
      </c>
    </row>
    <row r="5355" spans="7:14" ht="11.25" customHeight="1" x14ac:dyDescent="0.3">
      <c r="G5355" s="459"/>
      <c r="H5355" s="459">
        <v>5348</v>
      </c>
      <c r="I5355" s="444">
        <f t="shared" ca="1" si="185"/>
        <v>-2524678210003639.5</v>
      </c>
      <c r="J5355" s="444">
        <f t="array" ref="J5355">IFERROR(INDEX('Retirement Calculator'!K:K,MATCH('Lorri 401b'!N5355,'Retirement Calculator'!A:A,0),0),0)</f>
        <v>0</v>
      </c>
      <c r="K5355" s="444">
        <f t="shared" ca="1" si="183"/>
        <v>-10519492541681.832</v>
      </c>
      <c r="L5355" s="444">
        <f t="shared" ca="1" si="184"/>
        <v>-2535197702545321.5</v>
      </c>
      <c r="M5355" s="460">
        <f t="shared" si="186"/>
        <v>0.05</v>
      </c>
      <c r="N5355" s="464">
        <f t="shared" si="187"/>
        <v>214035</v>
      </c>
    </row>
    <row r="5356" spans="7:14" ht="11.25" customHeight="1" x14ac:dyDescent="0.3">
      <c r="G5356" s="459"/>
      <c r="H5356" s="459">
        <v>5349</v>
      </c>
      <c r="I5356" s="444">
        <f t="shared" ca="1" si="185"/>
        <v>-2535197702545321.5</v>
      </c>
      <c r="J5356" s="444">
        <f t="array" ref="J5356">IFERROR(INDEX('Retirement Calculator'!K:K,MATCH('Lorri 401b'!N5356,'Retirement Calculator'!A:A,0),0),0)</f>
        <v>0</v>
      </c>
      <c r="K5356" s="444">
        <f t="shared" ca="1" si="183"/>
        <v>-10563323760605.506</v>
      </c>
      <c r="L5356" s="444">
        <f t="shared" ca="1" si="184"/>
        <v>-2545761026305927</v>
      </c>
      <c r="M5356" s="460">
        <f t="shared" si="186"/>
        <v>0.05</v>
      </c>
      <c r="N5356" s="464">
        <f t="shared" si="187"/>
        <v>214066</v>
      </c>
    </row>
    <row r="5357" spans="7:14" ht="11.25" customHeight="1" x14ac:dyDescent="0.3">
      <c r="G5357" s="459"/>
      <c r="H5357" s="459">
        <v>5350</v>
      </c>
      <c r="I5357" s="444">
        <f t="shared" ca="1" si="185"/>
        <v>-2545761026305927</v>
      </c>
      <c r="J5357" s="444">
        <f t="array" ref="J5357">IFERROR(INDEX('Retirement Calculator'!K:K,MATCH('Lorri 401b'!N5357,'Retirement Calculator'!A:A,0),0),0)</f>
        <v>0</v>
      </c>
      <c r="K5357" s="444">
        <f t="shared" ca="1" si="183"/>
        <v>-10607337609608.029</v>
      </c>
      <c r="L5357" s="444">
        <f t="shared" ca="1" si="184"/>
        <v>-2556368363915535</v>
      </c>
      <c r="M5357" s="460">
        <f t="shared" si="186"/>
        <v>0.05</v>
      </c>
      <c r="N5357" s="464">
        <f t="shared" si="187"/>
        <v>214094</v>
      </c>
    </row>
    <row r="5358" spans="7:14" ht="11.25" customHeight="1" x14ac:dyDescent="0.3">
      <c r="G5358" s="459"/>
      <c r="H5358" s="459">
        <v>5351</v>
      </c>
      <c r="I5358" s="444">
        <f t="shared" ca="1" si="185"/>
        <v>-2556368363915535</v>
      </c>
      <c r="J5358" s="444">
        <f t="array" ref="J5358">IFERROR(INDEX('Retirement Calculator'!K:K,MATCH('Lorri 401b'!N5358,'Retirement Calculator'!A:A,0),0),0)</f>
        <v>0</v>
      </c>
      <c r="K5358" s="444">
        <f t="shared" ca="1" si="183"/>
        <v>-10651534849648.063</v>
      </c>
      <c r="L5358" s="444">
        <f t="shared" ca="1" si="184"/>
        <v>-2567019898765183</v>
      </c>
      <c r="M5358" s="460">
        <f t="shared" si="186"/>
        <v>0.05</v>
      </c>
      <c r="N5358" s="464">
        <f t="shared" si="187"/>
        <v>214125</v>
      </c>
    </row>
    <row r="5359" spans="7:14" ht="11.25" customHeight="1" x14ac:dyDescent="0.3">
      <c r="G5359" s="459"/>
      <c r="H5359" s="459">
        <v>5352</v>
      </c>
      <c r="I5359" s="444">
        <f t="shared" ca="1" si="185"/>
        <v>-2567019898765183</v>
      </c>
      <c r="J5359" s="444">
        <f t="array" ref="J5359">IFERROR(INDEX('Retirement Calculator'!K:K,MATCH('Lorri 401b'!N5359,'Retirement Calculator'!A:A,0),0),0)</f>
        <v>0</v>
      </c>
      <c r="K5359" s="444">
        <f t="shared" ca="1" si="183"/>
        <v>-10695916244854.93</v>
      </c>
      <c r="L5359" s="444">
        <f t="shared" ca="1" si="184"/>
        <v>-2577715815010038</v>
      </c>
      <c r="M5359" s="460">
        <f t="shared" si="186"/>
        <v>0.05</v>
      </c>
      <c r="N5359" s="464">
        <f t="shared" si="187"/>
        <v>214155</v>
      </c>
    </row>
    <row r="5360" spans="7:14" ht="11.25" customHeight="1" x14ac:dyDescent="0.3">
      <c r="G5360" s="459"/>
      <c r="H5360" s="459">
        <v>5353</v>
      </c>
      <c r="I5360" s="444">
        <f t="shared" ca="1" si="185"/>
        <v>-2577715815010038</v>
      </c>
      <c r="J5360" s="444">
        <f t="array" ref="J5360">IFERROR(INDEX('Retirement Calculator'!K:K,MATCH('Lorri 401b'!N5360,'Retirement Calculator'!A:A,0),0),0)</f>
        <v>0</v>
      </c>
      <c r="K5360" s="444">
        <f t="shared" ca="1" si="183"/>
        <v>-10740482562541.824</v>
      </c>
      <c r="L5360" s="444">
        <f t="shared" ca="1" si="184"/>
        <v>-2588456297572580</v>
      </c>
      <c r="M5360" s="460">
        <f t="shared" si="186"/>
        <v>0.05</v>
      </c>
      <c r="N5360" s="464">
        <f t="shared" si="187"/>
        <v>214186</v>
      </c>
    </row>
    <row r="5361" spans="7:14" ht="11.25" customHeight="1" x14ac:dyDescent="0.3">
      <c r="G5361" s="459"/>
      <c r="H5361" s="459">
        <v>5354</v>
      </c>
      <c r="I5361" s="444">
        <f t="shared" ca="1" si="185"/>
        <v>-2588456297572580</v>
      </c>
      <c r="J5361" s="444">
        <f t="array" ref="J5361">IFERROR(INDEX('Retirement Calculator'!K:K,MATCH('Lorri 401b'!N5361,'Retirement Calculator'!A:A,0),0),0)</f>
        <v>0</v>
      </c>
      <c r="K5361" s="444">
        <f t="shared" ca="1" si="183"/>
        <v>-10785234573219.084</v>
      </c>
      <c r="L5361" s="444">
        <f t="shared" ca="1" si="184"/>
        <v>-2599241532145799</v>
      </c>
      <c r="M5361" s="460">
        <f t="shared" si="186"/>
        <v>0.05</v>
      </c>
      <c r="N5361" s="464">
        <f t="shared" si="187"/>
        <v>214216</v>
      </c>
    </row>
    <row r="5362" spans="7:14" ht="11.25" customHeight="1" x14ac:dyDescent="0.3">
      <c r="G5362" s="459"/>
      <c r="H5362" s="459">
        <v>5355</v>
      </c>
      <c r="I5362" s="444">
        <f t="shared" ca="1" si="185"/>
        <v>-2599241532145799</v>
      </c>
      <c r="J5362" s="444">
        <f t="array" ref="J5362">IFERROR(INDEX('Retirement Calculator'!K:K,MATCH('Lorri 401b'!N5362,'Retirement Calculator'!A:A,0),0),0)</f>
        <v>0</v>
      </c>
      <c r="K5362" s="444">
        <f t="shared" ca="1" si="183"/>
        <v>-10830173050607.496</v>
      </c>
      <c r="L5362" s="444">
        <f t="shared" ca="1" si="184"/>
        <v>-2610071705196406.5</v>
      </c>
      <c r="M5362" s="460">
        <f t="shared" si="186"/>
        <v>0.05</v>
      </c>
      <c r="N5362" s="464">
        <f t="shared" si="187"/>
        <v>214247</v>
      </c>
    </row>
    <row r="5363" spans="7:14" ht="11.25" customHeight="1" x14ac:dyDescent="0.3">
      <c r="G5363" s="459"/>
      <c r="H5363" s="459">
        <v>5356</v>
      </c>
      <c r="I5363" s="444">
        <f t="shared" ca="1" si="185"/>
        <v>-2610071705196406.5</v>
      </c>
      <c r="J5363" s="444">
        <f t="array" ref="J5363">IFERROR(INDEX('Retirement Calculator'!K:K,MATCH('Lorri 401b'!N5363,'Retirement Calculator'!A:A,0),0),0)</f>
        <v>0</v>
      </c>
      <c r="K5363" s="444">
        <f t="shared" ref="K5363:K5617" ca="1" si="188">IPMT(M5363/12,1,12,-I5363+J5363,,0)</f>
        <v>-10875298771651.693</v>
      </c>
      <c r="L5363" s="444">
        <f t="shared" ref="L5363:L5617" ca="1" si="189">I5363-J5363+K5363</f>
        <v>-2620947003968058</v>
      </c>
      <c r="M5363" s="460">
        <f t="shared" si="186"/>
        <v>0.05</v>
      </c>
      <c r="N5363" s="464">
        <f t="shared" si="187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190">L5363</f>
        <v>-2620947003968058</v>
      </c>
      <c r="J5364" s="444">
        <f t="array" ref="J5364">IFERROR(INDEX('Retirement Calculator'!K:K,MATCH('Lorri 401b'!N5364,'Retirement Calculator'!A:A,0),0),0)</f>
        <v>0</v>
      </c>
      <c r="K5364" s="444">
        <f t="shared" ca="1" si="188"/>
        <v>-10920612516533.574</v>
      </c>
      <c r="L5364" s="444">
        <f t="shared" ca="1" si="189"/>
        <v>-2631867616484591.5</v>
      </c>
      <c r="M5364" s="460">
        <f t="shared" ref="M5364:M5618" si="191">M5363</f>
        <v>0.05</v>
      </c>
      <c r="N5364" s="464">
        <f t="shared" ref="N5364:N5618" si="192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190"/>
        <v>-2631867616484591.5</v>
      </c>
      <c r="J5365" s="444">
        <f t="array" ref="J5365">IFERROR(INDEX('Retirement Calculator'!K:K,MATCH('Lorri 401b'!N5365,'Retirement Calculator'!A:A,0),0),0)</f>
        <v>0</v>
      </c>
      <c r="K5365" s="444">
        <f t="shared" ca="1" si="188"/>
        <v>-10966115068685.797</v>
      </c>
      <c r="L5365" s="444">
        <f t="shared" ca="1" si="189"/>
        <v>-2642833731553277.5</v>
      </c>
      <c r="M5365" s="460">
        <f t="shared" si="191"/>
        <v>0.05</v>
      </c>
      <c r="N5365" s="464">
        <f t="shared" si="192"/>
        <v>214339</v>
      </c>
    </row>
    <row r="5366" spans="7:14" ht="11.25" customHeight="1" x14ac:dyDescent="0.3">
      <c r="G5366" s="459"/>
      <c r="H5366" s="459">
        <v>5359</v>
      </c>
      <c r="I5366" s="444">
        <f t="shared" ca="1" si="190"/>
        <v>-2642833731553277.5</v>
      </c>
      <c r="J5366" s="444">
        <f t="array" ref="J5366">IFERROR(INDEX('Retirement Calculator'!K:K,MATCH('Lorri 401b'!N5366,'Retirement Calculator'!A:A,0),0),0)</f>
        <v>0</v>
      </c>
      <c r="K5366" s="444">
        <f t="shared" ca="1" si="188"/>
        <v>-11011807214805.322</v>
      </c>
      <c r="L5366" s="444">
        <f t="shared" ca="1" si="189"/>
        <v>-2653845538768083</v>
      </c>
      <c r="M5366" s="460">
        <f t="shared" si="191"/>
        <v>0.05</v>
      </c>
      <c r="N5366" s="464">
        <f t="shared" si="192"/>
        <v>214369</v>
      </c>
    </row>
    <row r="5367" spans="7:14" ht="11.25" customHeight="1" x14ac:dyDescent="0.3">
      <c r="G5367" s="459"/>
      <c r="H5367" s="459">
        <v>5360</v>
      </c>
      <c r="I5367" s="444">
        <f t="shared" ca="1" si="190"/>
        <v>-2653845538768083</v>
      </c>
      <c r="J5367" s="444">
        <f t="array" ref="J5367">IFERROR(INDEX('Retirement Calculator'!K:K,MATCH('Lorri 401b'!N5367,'Retirement Calculator'!A:A,0),0),0)</f>
        <v>0</v>
      </c>
      <c r="K5367" s="444">
        <f t="shared" ca="1" si="188"/>
        <v>-11057689744867.012</v>
      </c>
      <c r="L5367" s="444">
        <f t="shared" ca="1" si="189"/>
        <v>-2664903228512950</v>
      </c>
      <c r="M5367" s="460">
        <f t="shared" si="191"/>
        <v>0.05</v>
      </c>
      <c r="N5367" s="464">
        <f t="shared" si="192"/>
        <v>214400</v>
      </c>
    </row>
    <row r="5368" spans="7:14" ht="11.25" customHeight="1" x14ac:dyDescent="0.3">
      <c r="G5368" s="459"/>
      <c r="H5368" s="459">
        <v>5361</v>
      </c>
      <c r="I5368" s="444">
        <f t="shared" ca="1" si="190"/>
        <v>-2664903228512950</v>
      </c>
      <c r="J5368" s="444">
        <f t="array" ref="J5368">IFERROR(INDEX('Retirement Calculator'!K:K,MATCH('Lorri 401b'!N5368,'Retirement Calculator'!A:A,0),0),0)</f>
        <v>0</v>
      </c>
      <c r="K5368" s="444">
        <f t="shared" ca="1" si="188"/>
        <v>-11103763452137.291</v>
      </c>
      <c r="L5368" s="444">
        <f t="shared" ca="1" si="189"/>
        <v>-2676006991965087.5</v>
      </c>
      <c r="M5368" s="460">
        <f t="shared" si="191"/>
        <v>0.05</v>
      </c>
      <c r="N5368" s="464">
        <f t="shared" si="192"/>
        <v>214431</v>
      </c>
    </row>
    <row r="5369" spans="7:14" ht="11.25" customHeight="1" x14ac:dyDescent="0.3">
      <c r="G5369" s="459"/>
      <c r="H5369" s="459">
        <v>5362</v>
      </c>
      <c r="I5369" s="444">
        <f t="shared" ca="1" si="190"/>
        <v>-2676006991965087.5</v>
      </c>
      <c r="J5369" s="444">
        <f t="array" ref="J5369">IFERROR(INDEX('Retirement Calculator'!K:K,MATCH('Lorri 401b'!N5369,'Retirement Calculator'!A:A,0),0),0)</f>
        <v>0</v>
      </c>
      <c r="K5369" s="444">
        <f t="shared" ca="1" si="188"/>
        <v>-11150029133187.865</v>
      </c>
      <c r="L5369" s="444">
        <f t="shared" ca="1" si="189"/>
        <v>-2687157021098275.5</v>
      </c>
      <c r="M5369" s="460">
        <f t="shared" si="191"/>
        <v>0.05</v>
      </c>
      <c r="N5369" s="464">
        <f t="shared" si="192"/>
        <v>214459</v>
      </c>
    </row>
    <row r="5370" spans="7:14" ht="11.25" customHeight="1" x14ac:dyDescent="0.3">
      <c r="G5370" s="459"/>
      <c r="H5370" s="459">
        <v>5363</v>
      </c>
      <c r="I5370" s="444">
        <f t="shared" ca="1" si="190"/>
        <v>-2687157021098275.5</v>
      </c>
      <c r="J5370" s="444">
        <f t="array" ref="J5370">IFERROR(INDEX('Retirement Calculator'!K:K,MATCH('Lorri 401b'!N5370,'Retirement Calculator'!A:A,0),0),0)</f>
        <v>0</v>
      </c>
      <c r="K5370" s="444">
        <f t="shared" ca="1" si="188"/>
        <v>-11196487587909.48</v>
      </c>
      <c r="L5370" s="444">
        <f t="shared" ca="1" si="189"/>
        <v>-2698353508686185</v>
      </c>
      <c r="M5370" s="460">
        <f t="shared" si="191"/>
        <v>0.05</v>
      </c>
      <c r="N5370" s="464">
        <f t="shared" si="192"/>
        <v>214490</v>
      </c>
    </row>
    <row r="5371" spans="7:14" ht="11.25" customHeight="1" x14ac:dyDescent="0.3">
      <c r="G5371" s="459"/>
      <c r="H5371" s="459">
        <v>5364</v>
      </c>
      <c r="I5371" s="444">
        <f t="shared" ca="1" si="190"/>
        <v>-2698353508686185</v>
      </c>
      <c r="J5371" s="444">
        <f t="array" ref="J5371">IFERROR(INDEX('Retirement Calculator'!K:K,MATCH('Lorri 401b'!N5371,'Retirement Calculator'!A:A,0),0),0)</f>
        <v>0</v>
      </c>
      <c r="K5371" s="444">
        <f t="shared" ca="1" si="188"/>
        <v>-11243139619525.771</v>
      </c>
      <c r="L5371" s="444">
        <f t="shared" ca="1" si="189"/>
        <v>-2709596648305711</v>
      </c>
      <c r="M5371" s="460">
        <f t="shared" si="191"/>
        <v>0.05</v>
      </c>
      <c r="N5371" s="464">
        <f t="shared" si="192"/>
        <v>214520</v>
      </c>
    </row>
    <row r="5372" spans="7:14" ht="11.25" customHeight="1" x14ac:dyDescent="0.3">
      <c r="G5372" s="459"/>
      <c r="H5372" s="459">
        <v>5365</v>
      </c>
      <c r="I5372" s="444">
        <f t="shared" ca="1" si="190"/>
        <v>-2709596648305711</v>
      </c>
      <c r="J5372" s="444">
        <f t="array" ref="J5372">IFERROR(INDEX('Retirement Calculator'!K:K,MATCH('Lorri 401b'!N5372,'Retirement Calculator'!A:A,0),0),0)</f>
        <v>0</v>
      </c>
      <c r="K5372" s="444">
        <f t="shared" ca="1" si="188"/>
        <v>-11289986034607.129</v>
      </c>
      <c r="L5372" s="444">
        <f t="shared" ca="1" si="189"/>
        <v>-2720886634340318</v>
      </c>
      <c r="M5372" s="460">
        <f t="shared" si="191"/>
        <v>0.05</v>
      </c>
      <c r="N5372" s="464">
        <f t="shared" si="192"/>
        <v>214551</v>
      </c>
    </row>
    <row r="5373" spans="7:14" ht="11.25" customHeight="1" x14ac:dyDescent="0.3">
      <c r="G5373" s="459"/>
      <c r="H5373" s="459">
        <v>5366</v>
      </c>
      <c r="I5373" s="444">
        <f t="shared" ca="1" si="190"/>
        <v>-2720886634340318</v>
      </c>
      <c r="J5373" s="444">
        <f t="array" ref="J5373">IFERROR(INDEX('Retirement Calculator'!K:K,MATCH('Lorri 401b'!N5373,'Retirement Calculator'!A:A,0),0),0)</f>
        <v>0</v>
      </c>
      <c r="K5373" s="444">
        <f t="shared" ca="1" si="188"/>
        <v>-11337027643084.658</v>
      </c>
      <c r="L5373" s="444">
        <f t="shared" ca="1" si="189"/>
        <v>-2732223661983402.5</v>
      </c>
      <c r="M5373" s="460">
        <f t="shared" si="191"/>
        <v>0.05</v>
      </c>
      <c r="N5373" s="464">
        <f t="shared" si="192"/>
        <v>214581</v>
      </c>
    </row>
    <row r="5374" spans="7:14" ht="11.25" customHeight="1" x14ac:dyDescent="0.3">
      <c r="G5374" s="459"/>
      <c r="H5374" s="459">
        <v>5367</v>
      </c>
      <c r="I5374" s="444">
        <f t="shared" ca="1" si="190"/>
        <v>-2732223661983402.5</v>
      </c>
      <c r="J5374" s="444">
        <f t="array" ref="J5374">IFERROR(INDEX('Retirement Calculator'!K:K,MATCH('Lorri 401b'!N5374,'Retirement Calculator'!A:A,0),0),0)</f>
        <v>0</v>
      </c>
      <c r="K5374" s="444">
        <f t="shared" ca="1" si="188"/>
        <v>-11384265258264.178</v>
      </c>
      <c r="L5374" s="444">
        <f t="shared" ca="1" si="189"/>
        <v>-2743607927241666.5</v>
      </c>
      <c r="M5374" s="460">
        <f t="shared" si="191"/>
        <v>0.05</v>
      </c>
      <c r="N5374" s="464">
        <f t="shared" si="192"/>
        <v>214612</v>
      </c>
    </row>
    <row r="5375" spans="7:14" ht="11.25" customHeight="1" x14ac:dyDescent="0.3">
      <c r="G5375" s="459"/>
      <c r="H5375" s="459">
        <v>5368</v>
      </c>
      <c r="I5375" s="444">
        <f t="shared" ca="1" si="190"/>
        <v>-2743607927241666.5</v>
      </c>
      <c r="J5375" s="444">
        <f t="array" ref="J5375">IFERROR(INDEX('Retirement Calculator'!K:K,MATCH('Lorri 401b'!N5375,'Retirement Calculator'!A:A,0),0),0)</f>
        <v>0</v>
      </c>
      <c r="K5375" s="444">
        <f t="shared" ca="1" si="188"/>
        <v>-11431699696840.277</v>
      </c>
      <c r="L5375" s="444">
        <f t="shared" ca="1" si="189"/>
        <v>-2755039626938507</v>
      </c>
      <c r="M5375" s="460">
        <f t="shared" si="191"/>
        <v>0.05</v>
      </c>
      <c r="N5375" s="464">
        <f t="shared" si="192"/>
        <v>214643</v>
      </c>
    </row>
    <row r="5376" spans="7:14" ht="11.25" customHeight="1" x14ac:dyDescent="0.3">
      <c r="G5376" s="459"/>
      <c r="H5376" s="459">
        <v>5369</v>
      </c>
      <c r="I5376" s="444">
        <f t="shared" ca="1" si="190"/>
        <v>-2755039626938507</v>
      </c>
      <c r="J5376" s="444">
        <f t="array" ref="J5376">IFERROR(INDEX('Retirement Calculator'!K:K,MATCH('Lorri 401b'!N5376,'Retirement Calculator'!A:A,0),0),0)</f>
        <v>0</v>
      </c>
      <c r="K5376" s="444">
        <f t="shared" ca="1" si="188"/>
        <v>-11479331778910.445</v>
      </c>
      <c r="L5376" s="444">
        <f t="shared" ca="1" si="189"/>
        <v>-2766518958717417.5</v>
      </c>
      <c r="M5376" s="460">
        <f t="shared" si="191"/>
        <v>0.05</v>
      </c>
      <c r="N5376" s="464">
        <f t="shared" si="192"/>
        <v>214673</v>
      </c>
    </row>
    <row r="5377" spans="7:14" ht="11.25" customHeight="1" x14ac:dyDescent="0.3">
      <c r="G5377" s="459"/>
      <c r="H5377" s="459">
        <v>5370</v>
      </c>
      <c r="I5377" s="444">
        <f t="shared" ca="1" si="190"/>
        <v>-2766518958717417.5</v>
      </c>
      <c r="J5377" s="444">
        <f t="array" ref="J5377">IFERROR(INDEX('Retirement Calculator'!K:K,MATCH('Lorri 401b'!N5377,'Retirement Calculator'!A:A,0),0),0)</f>
        <v>0</v>
      </c>
      <c r="K5377" s="444">
        <f t="shared" ca="1" si="188"/>
        <v>-11527162327989.24</v>
      </c>
      <c r="L5377" s="444">
        <f t="shared" ca="1" si="189"/>
        <v>-2778046121045406.5</v>
      </c>
      <c r="M5377" s="460">
        <f t="shared" si="191"/>
        <v>0.05</v>
      </c>
      <c r="N5377" s="464">
        <f t="shared" si="192"/>
        <v>214704</v>
      </c>
    </row>
    <row r="5378" spans="7:14" ht="11.25" customHeight="1" x14ac:dyDescent="0.3">
      <c r="G5378" s="459"/>
      <c r="H5378" s="459">
        <v>5371</v>
      </c>
      <c r="I5378" s="444">
        <f t="shared" ca="1" si="190"/>
        <v>-2778046121045406.5</v>
      </c>
      <c r="J5378" s="444">
        <f t="array" ref="J5378">IFERROR(INDEX('Retirement Calculator'!K:K,MATCH('Lorri 401b'!N5378,'Retirement Calculator'!A:A,0),0),0)</f>
        <v>0</v>
      </c>
      <c r="K5378" s="444">
        <f t="shared" ca="1" si="188"/>
        <v>-11575192171022.527</v>
      </c>
      <c r="L5378" s="444">
        <f t="shared" ca="1" si="189"/>
        <v>-2789621313216429</v>
      </c>
      <c r="M5378" s="460">
        <f t="shared" si="191"/>
        <v>0.05</v>
      </c>
      <c r="N5378" s="464">
        <f t="shared" si="192"/>
        <v>214734</v>
      </c>
    </row>
    <row r="5379" spans="7:14" ht="11.25" customHeight="1" x14ac:dyDescent="0.3">
      <c r="G5379" s="459"/>
      <c r="H5379" s="459">
        <v>5372</v>
      </c>
      <c r="I5379" s="444">
        <f t="shared" ca="1" si="190"/>
        <v>-2789621313216429</v>
      </c>
      <c r="J5379" s="444">
        <f t="array" ref="J5379">IFERROR(INDEX('Retirement Calculator'!K:K,MATCH('Lorri 401b'!N5379,'Retirement Calculator'!A:A,0),0),0)</f>
        <v>0</v>
      </c>
      <c r="K5379" s="444">
        <f t="shared" ca="1" si="188"/>
        <v>-11623422138401.787</v>
      </c>
      <c r="L5379" s="444">
        <f t="shared" ca="1" si="189"/>
        <v>-2801244735354831</v>
      </c>
      <c r="M5379" s="460">
        <f t="shared" si="191"/>
        <v>0.05</v>
      </c>
      <c r="N5379" s="464">
        <f t="shared" si="192"/>
        <v>214765</v>
      </c>
    </row>
    <row r="5380" spans="7:14" ht="11.25" customHeight="1" x14ac:dyDescent="0.3">
      <c r="G5380" s="459"/>
      <c r="H5380" s="459">
        <v>5373</v>
      </c>
      <c r="I5380" s="444">
        <f t="shared" ca="1" si="190"/>
        <v>-2801244735354831</v>
      </c>
      <c r="J5380" s="444">
        <f t="array" ref="J5380">IFERROR(INDEX('Retirement Calculator'!K:K,MATCH('Lorri 401b'!N5380,'Retirement Calculator'!A:A,0),0),0)</f>
        <v>0</v>
      </c>
      <c r="K5380" s="444">
        <f t="shared" ca="1" si="188"/>
        <v>-11671853063978.463</v>
      </c>
      <c r="L5380" s="444">
        <f t="shared" ca="1" si="189"/>
        <v>-2812916588418809.5</v>
      </c>
      <c r="M5380" s="460">
        <f t="shared" si="191"/>
        <v>0.05</v>
      </c>
      <c r="N5380" s="464">
        <f t="shared" si="192"/>
        <v>214796</v>
      </c>
    </row>
    <row r="5381" spans="7:14" ht="11.25" customHeight="1" x14ac:dyDescent="0.3">
      <c r="G5381" s="459"/>
      <c r="H5381" s="459">
        <v>5374</v>
      </c>
      <c r="I5381" s="444">
        <f t="shared" ca="1" si="190"/>
        <v>-2812916588418809.5</v>
      </c>
      <c r="J5381" s="444">
        <f t="array" ref="J5381">IFERROR(INDEX('Retirement Calculator'!K:K,MATCH('Lorri 401b'!N5381,'Retirement Calculator'!A:A,0),0),0)</f>
        <v>0</v>
      </c>
      <c r="K5381" s="444">
        <f t="shared" ca="1" si="188"/>
        <v>-11720485785078.373</v>
      </c>
      <c r="L5381" s="444">
        <f t="shared" ca="1" si="189"/>
        <v>-2824637074203888</v>
      </c>
      <c r="M5381" s="460">
        <f t="shared" si="191"/>
        <v>0.05</v>
      </c>
      <c r="N5381" s="464">
        <f t="shared" si="192"/>
        <v>214825</v>
      </c>
    </row>
    <row r="5382" spans="7:14" ht="11.25" customHeight="1" x14ac:dyDescent="0.3">
      <c r="G5382" s="459"/>
      <c r="H5382" s="459">
        <v>5375</v>
      </c>
      <c r="I5382" s="444">
        <f t="shared" ca="1" si="190"/>
        <v>-2824637074203888</v>
      </c>
      <c r="J5382" s="444">
        <f t="array" ref="J5382">IFERROR(INDEX('Retirement Calculator'!K:K,MATCH('Lorri 401b'!N5382,'Retirement Calculator'!A:A,0),0),0)</f>
        <v>0</v>
      </c>
      <c r="K5382" s="444">
        <f t="shared" ca="1" si="188"/>
        <v>-11769321142516.199</v>
      </c>
      <c r="L5382" s="444">
        <f t="shared" ca="1" si="189"/>
        <v>-2836406395346404</v>
      </c>
      <c r="M5382" s="460">
        <f t="shared" si="191"/>
        <v>0.05</v>
      </c>
      <c r="N5382" s="464">
        <f t="shared" si="192"/>
        <v>214856</v>
      </c>
    </row>
    <row r="5383" spans="7:14" ht="11.25" customHeight="1" x14ac:dyDescent="0.3">
      <c r="G5383" s="459"/>
      <c r="H5383" s="459">
        <v>5376</v>
      </c>
      <c r="I5383" s="444">
        <f t="shared" ca="1" si="190"/>
        <v>-2836406395346404</v>
      </c>
      <c r="J5383" s="444">
        <f t="array" ref="J5383">IFERROR(INDEX('Retirement Calculator'!K:K,MATCH('Lorri 401b'!N5383,'Retirement Calculator'!A:A,0),0),0)</f>
        <v>0</v>
      </c>
      <c r="K5383" s="444">
        <f t="shared" ca="1" si="188"/>
        <v>-11818359980610.016</v>
      </c>
      <c r="L5383" s="444">
        <f t="shared" ca="1" si="189"/>
        <v>-2848224755327014</v>
      </c>
      <c r="M5383" s="460">
        <f t="shared" si="191"/>
        <v>0.05</v>
      </c>
      <c r="N5383" s="464">
        <f t="shared" si="192"/>
        <v>214886</v>
      </c>
    </row>
    <row r="5384" spans="7:14" ht="11.25" customHeight="1" x14ac:dyDescent="0.3">
      <c r="G5384" s="459"/>
      <c r="H5384" s="459">
        <v>5377</v>
      </c>
      <c r="I5384" s="444">
        <f t="shared" ca="1" si="190"/>
        <v>-2848224755327014</v>
      </c>
      <c r="J5384" s="444">
        <f t="array" ref="J5384">IFERROR(INDEX('Retirement Calculator'!K:K,MATCH('Lorri 401b'!N5384,'Retirement Calculator'!A:A,0),0),0)</f>
        <v>0</v>
      </c>
      <c r="K5384" s="444">
        <f t="shared" ca="1" si="188"/>
        <v>-11867603147195.891</v>
      </c>
      <c r="L5384" s="444">
        <f t="shared" ca="1" si="189"/>
        <v>-2860092358474210</v>
      </c>
      <c r="M5384" s="460">
        <f t="shared" si="191"/>
        <v>0.05</v>
      </c>
      <c r="N5384" s="464">
        <f t="shared" si="192"/>
        <v>214917</v>
      </c>
    </row>
    <row r="5385" spans="7:14" ht="11.25" customHeight="1" x14ac:dyDescent="0.3">
      <c r="G5385" s="459"/>
      <c r="H5385" s="459">
        <v>5378</v>
      </c>
      <c r="I5385" s="444">
        <f t="shared" ca="1" si="190"/>
        <v>-2860092358474210</v>
      </c>
      <c r="J5385" s="444">
        <f t="array" ref="J5385">IFERROR(INDEX('Retirement Calculator'!K:K,MATCH('Lorri 401b'!N5385,'Retirement Calculator'!A:A,0),0),0)</f>
        <v>0</v>
      </c>
      <c r="K5385" s="444">
        <f t="shared" ca="1" si="188"/>
        <v>-11917051493642.541</v>
      </c>
      <c r="L5385" s="444">
        <f t="shared" ca="1" si="189"/>
        <v>-2872009409967852.5</v>
      </c>
      <c r="M5385" s="460">
        <f t="shared" si="191"/>
        <v>0.05</v>
      </c>
      <c r="N5385" s="464">
        <f t="shared" si="192"/>
        <v>214947</v>
      </c>
    </row>
    <row r="5386" spans="7:14" ht="11.25" customHeight="1" x14ac:dyDescent="0.3">
      <c r="G5386" s="459"/>
      <c r="H5386" s="459">
        <v>5379</v>
      </c>
      <c r="I5386" s="444">
        <f t="shared" ca="1" si="190"/>
        <v>-2872009409967852.5</v>
      </c>
      <c r="J5386" s="444">
        <f t="array" ref="J5386">IFERROR(INDEX('Retirement Calculator'!K:K,MATCH('Lorri 401b'!N5386,'Retirement Calculator'!A:A,0),0),0)</f>
        <v>0</v>
      </c>
      <c r="K5386" s="444">
        <f t="shared" ca="1" si="188"/>
        <v>-11966705874866.053</v>
      </c>
      <c r="L5386" s="444">
        <f t="shared" ca="1" si="189"/>
        <v>-2883976115842718.5</v>
      </c>
      <c r="M5386" s="460">
        <f t="shared" si="191"/>
        <v>0.05</v>
      </c>
      <c r="N5386" s="464">
        <f t="shared" si="192"/>
        <v>214978</v>
      </c>
    </row>
    <row r="5387" spans="7:14" ht="11.25" customHeight="1" x14ac:dyDescent="0.3">
      <c r="G5387" s="459"/>
      <c r="H5387" s="459">
        <v>5380</v>
      </c>
      <c r="I5387" s="444">
        <f t="shared" ca="1" si="190"/>
        <v>-2883976115842718.5</v>
      </c>
      <c r="J5387" s="444">
        <f t="array" ref="J5387">IFERROR(INDEX('Retirement Calculator'!K:K,MATCH('Lorri 401b'!N5387,'Retirement Calculator'!A:A,0),0),0)</f>
        <v>0</v>
      </c>
      <c r="K5387" s="444">
        <f t="shared" ca="1" si="188"/>
        <v>-12016567149344.66</v>
      </c>
      <c r="L5387" s="444">
        <f t="shared" ca="1" si="189"/>
        <v>-2895992682992063</v>
      </c>
      <c r="M5387" s="460">
        <f t="shared" si="191"/>
        <v>0.05</v>
      </c>
      <c r="N5387" s="464">
        <f t="shared" si="192"/>
        <v>215009</v>
      </c>
    </row>
    <row r="5388" spans="7:14" ht="11.25" customHeight="1" x14ac:dyDescent="0.3">
      <c r="G5388" s="459"/>
      <c r="H5388" s="459">
        <v>5381</v>
      </c>
      <c r="I5388" s="444">
        <f t="shared" ca="1" si="190"/>
        <v>-2895992682992063</v>
      </c>
      <c r="J5388" s="444">
        <f t="array" ref="J5388">IFERROR(INDEX('Retirement Calculator'!K:K,MATCH('Lorri 401b'!N5388,'Retirement Calculator'!A:A,0),0),0)</f>
        <v>0</v>
      </c>
      <c r="K5388" s="444">
        <f t="shared" ca="1" si="188"/>
        <v>-12066636179133.596</v>
      </c>
      <c r="L5388" s="444">
        <f t="shared" ca="1" si="189"/>
        <v>-2908059319171196.5</v>
      </c>
      <c r="M5388" s="460">
        <f t="shared" si="191"/>
        <v>0.05</v>
      </c>
      <c r="N5388" s="464">
        <f t="shared" si="192"/>
        <v>215039</v>
      </c>
    </row>
    <row r="5389" spans="7:14" ht="11.25" customHeight="1" x14ac:dyDescent="0.3">
      <c r="G5389" s="459"/>
      <c r="H5389" s="459">
        <v>5382</v>
      </c>
      <c r="I5389" s="444">
        <f t="shared" ca="1" si="190"/>
        <v>-2908059319171196.5</v>
      </c>
      <c r="J5389" s="444">
        <f t="array" ref="J5389">IFERROR(INDEX('Retirement Calculator'!K:K,MATCH('Lorri 401b'!N5389,'Retirement Calculator'!A:A,0),0),0)</f>
        <v>0</v>
      </c>
      <c r="K5389" s="444">
        <f t="shared" ca="1" si="188"/>
        <v>-12116913829879.984</v>
      </c>
      <c r="L5389" s="444">
        <f t="shared" ca="1" si="189"/>
        <v>-2920176233001076.5</v>
      </c>
      <c r="M5389" s="460">
        <f t="shared" si="191"/>
        <v>0.05</v>
      </c>
      <c r="N5389" s="464">
        <f t="shared" si="192"/>
        <v>215070</v>
      </c>
    </row>
    <row r="5390" spans="7:14" ht="11.25" customHeight="1" x14ac:dyDescent="0.3">
      <c r="G5390" s="459"/>
      <c r="H5390" s="459">
        <v>5383</v>
      </c>
      <c r="I5390" s="444">
        <f t="shared" ca="1" si="190"/>
        <v>-2920176233001076.5</v>
      </c>
      <c r="J5390" s="444">
        <f t="array" ref="J5390">IFERROR(INDEX('Retirement Calculator'!K:K,MATCH('Lorri 401b'!N5390,'Retirement Calculator'!A:A,0),0),0)</f>
        <v>0</v>
      </c>
      <c r="K5390" s="444">
        <f t="shared" ca="1" si="188"/>
        <v>-12167400970837.818</v>
      </c>
      <c r="L5390" s="444">
        <f t="shared" ca="1" si="189"/>
        <v>-2932343633971914.5</v>
      </c>
      <c r="M5390" s="460">
        <f t="shared" si="191"/>
        <v>0.05</v>
      </c>
      <c r="N5390" s="464">
        <f t="shared" si="192"/>
        <v>215100</v>
      </c>
    </row>
    <row r="5391" spans="7:14" ht="11.25" customHeight="1" x14ac:dyDescent="0.3">
      <c r="G5391" s="459"/>
      <c r="H5391" s="459">
        <v>5384</v>
      </c>
      <c r="I5391" s="444">
        <f t="shared" ca="1" si="190"/>
        <v>-2932343633971914.5</v>
      </c>
      <c r="J5391" s="444">
        <f t="array" ref="J5391">IFERROR(INDEX('Retirement Calculator'!K:K,MATCH('Lorri 401b'!N5391,'Retirement Calculator'!A:A,0),0),0)</f>
        <v>0</v>
      </c>
      <c r="K5391" s="444">
        <f t="shared" ca="1" si="188"/>
        <v>-12218098474882.977</v>
      </c>
      <c r="L5391" s="444">
        <f t="shared" ca="1" si="189"/>
        <v>-2944561732446797.5</v>
      </c>
      <c r="M5391" s="460">
        <f t="shared" si="191"/>
        <v>0.05</v>
      </c>
      <c r="N5391" s="464">
        <f t="shared" si="192"/>
        <v>215131</v>
      </c>
    </row>
    <row r="5392" spans="7:14" ht="11.25" customHeight="1" x14ac:dyDescent="0.3">
      <c r="G5392" s="459"/>
      <c r="H5392" s="459">
        <v>5385</v>
      </c>
      <c r="I5392" s="444">
        <f t="shared" ca="1" si="190"/>
        <v>-2944561732446797.5</v>
      </c>
      <c r="J5392" s="444">
        <f t="array" ref="J5392">IFERROR(INDEX('Retirement Calculator'!K:K,MATCH('Lorri 401b'!N5392,'Retirement Calculator'!A:A,0),0),0)</f>
        <v>0</v>
      </c>
      <c r="K5392" s="444">
        <f t="shared" ca="1" si="188"/>
        <v>-12269007218528.322</v>
      </c>
      <c r="L5392" s="444">
        <f t="shared" ca="1" si="189"/>
        <v>-2956830739665326</v>
      </c>
      <c r="M5392" s="460">
        <f t="shared" si="191"/>
        <v>0.05</v>
      </c>
      <c r="N5392" s="464">
        <f t="shared" si="192"/>
        <v>215162</v>
      </c>
    </row>
    <row r="5393" spans="7:14" ht="11.25" customHeight="1" x14ac:dyDescent="0.3">
      <c r="G5393" s="459"/>
      <c r="H5393" s="459">
        <v>5386</v>
      </c>
      <c r="I5393" s="444">
        <f t="shared" ca="1" si="190"/>
        <v>-2956830739665326</v>
      </c>
      <c r="J5393" s="444">
        <f t="array" ref="J5393">IFERROR(INDEX('Retirement Calculator'!K:K,MATCH('Lorri 401b'!N5393,'Retirement Calculator'!A:A,0),0),0)</f>
        <v>0</v>
      </c>
      <c r="K5393" s="444">
        <f t="shared" ca="1" si="188"/>
        <v>-12320128081938.857</v>
      </c>
      <c r="L5393" s="444">
        <f t="shared" ca="1" si="189"/>
        <v>-2969150867747265</v>
      </c>
      <c r="M5393" s="460">
        <f t="shared" si="191"/>
        <v>0.05</v>
      </c>
      <c r="N5393" s="464">
        <f t="shared" si="192"/>
        <v>215190</v>
      </c>
    </row>
    <row r="5394" spans="7:14" ht="11.25" customHeight="1" x14ac:dyDescent="0.3">
      <c r="G5394" s="459"/>
      <c r="H5394" s="459">
        <v>5387</v>
      </c>
      <c r="I5394" s="444">
        <f t="shared" ca="1" si="190"/>
        <v>-2969150867747265</v>
      </c>
      <c r="J5394" s="444">
        <f t="array" ref="J5394">IFERROR(INDEX('Retirement Calculator'!K:K,MATCH('Lorri 401b'!N5394,'Retirement Calculator'!A:A,0),0),0)</f>
        <v>0</v>
      </c>
      <c r="K5394" s="444">
        <f t="shared" ca="1" si="188"/>
        <v>-12371461948946.938</v>
      </c>
      <c r="L5394" s="444">
        <f t="shared" ca="1" si="189"/>
        <v>-2981522329696212</v>
      </c>
      <c r="M5394" s="460">
        <f t="shared" si="191"/>
        <v>0.05</v>
      </c>
      <c r="N5394" s="464">
        <f t="shared" si="192"/>
        <v>215221</v>
      </c>
    </row>
    <row r="5395" spans="7:14" ht="11.25" customHeight="1" x14ac:dyDescent="0.3">
      <c r="G5395" s="459"/>
      <c r="H5395" s="459">
        <v>5388</v>
      </c>
      <c r="I5395" s="444">
        <f t="shared" ca="1" si="190"/>
        <v>-2981522329696212</v>
      </c>
      <c r="J5395" s="444">
        <f t="array" ref="J5395">IFERROR(INDEX('Retirement Calculator'!K:K,MATCH('Lorri 401b'!N5395,'Retirement Calculator'!A:A,0),0),0)</f>
        <v>0</v>
      </c>
      <c r="K5395" s="444">
        <f t="shared" ca="1" si="188"/>
        <v>-12423009707067.551</v>
      </c>
      <c r="L5395" s="444">
        <f t="shared" ca="1" si="189"/>
        <v>-2993945339403279.5</v>
      </c>
      <c r="M5395" s="460">
        <f t="shared" si="191"/>
        <v>0.05</v>
      </c>
      <c r="N5395" s="464">
        <f t="shared" si="192"/>
        <v>215251</v>
      </c>
    </row>
    <row r="5396" spans="7:14" ht="11.25" customHeight="1" x14ac:dyDescent="0.3">
      <c r="G5396" s="459"/>
      <c r="H5396" s="459">
        <v>5389</v>
      </c>
      <c r="I5396" s="444">
        <f t="shared" ca="1" si="190"/>
        <v>-2993945339403279.5</v>
      </c>
      <c r="J5396" s="444">
        <f t="array" ref="J5396">IFERROR(INDEX('Retirement Calculator'!K:K,MATCH('Lorri 401b'!N5396,'Retirement Calculator'!A:A,0),0),0)</f>
        <v>0</v>
      </c>
      <c r="K5396" s="444">
        <f t="shared" ca="1" si="188"/>
        <v>-12474772247513.664</v>
      </c>
      <c r="L5396" s="444">
        <f t="shared" ca="1" si="189"/>
        <v>-3006420111650793</v>
      </c>
      <c r="M5396" s="460">
        <f t="shared" si="191"/>
        <v>0.05</v>
      </c>
      <c r="N5396" s="464">
        <f t="shared" si="192"/>
        <v>215282</v>
      </c>
    </row>
    <row r="5397" spans="7:14" ht="11.25" customHeight="1" x14ac:dyDescent="0.3">
      <c r="G5397" s="459"/>
      <c r="H5397" s="459">
        <v>5390</v>
      </c>
      <c r="I5397" s="444">
        <f t="shared" ca="1" si="190"/>
        <v>-3006420111650793</v>
      </c>
      <c r="J5397" s="444">
        <f t="array" ref="J5397">IFERROR(INDEX('Retirement Calculator'!K:K,MATCH('Lorri 401b'!N5397,'Retirement Calculator'!A:A,0),0),0)</f>
        <v>0</v>
      </c>
      <c r="K5397" s="444">
        <f t="shared" ca="1" si="188"/>
        <v>-12526750465211.637</v>
      </c>
      <c r="L5397" s="444">
        <f t="shared" ca="1" si="189"/>
        <v>-3018946862116004.5</v>
      </c>
      <c r="M5397" s="460">
        <f t="shared" si="191"/>
        <v>0.05</v>
      </c>
      <c r="N5397" s="464">
        <f t="shared" si="192"/>
        <v>215312</v>
      </c>
    </row>
    <row r="5398" spans="7:14" ht="11.25" customHeight="1" x14ac:dyDescent="0.3">
      <c r="G5398" s="459"/>
      <c r="H5398" s="459">
        <v>5391</v>
      </c>
      <c r="I5398" s="444">
        <f t="shared" ca="1" si="190"/>
        <v>-3018946862116004.5</v>
      </c>
      <c r="J5398" s="444">
        <f t="array" ref="J5398">IFERROR(INDEX('Retirement Calculator'!K:K,MATCH('Lorri 401b'!N5398,'Retirement Calculator'!A:A,0),0),0)</f>
        <v>0</v>
      </c>
      <c r="K5398" s="444">
        <f t="shared" ca="1" si="188"/>
        <v>-12578945258816.686</v>
      </c>
      <c r="L5398" s="444">
        <f t="shared" ca="1" si="189"/>
        <v>-3031525807374821</v>
      </c>
      <c r="M5398" s="460">
        <f t="shared" si="191"/>
        <v>0.05</v>
      </c>
      <c r="N5398" s="464">
        <f t="shared" si="192"/>
        <v>215343</v>
      </c>
    </row>
    <row r="5399" spans="7:14" ht="11.25" customHeight="1" x14ac:dyDescent="0.3">
      <c r="G5399" s="459"/>
      <c r="H5399" s="459">
        <v>5392</v>
      </c>
      <c r="I5399" s="444">
        <f t="shared" ca="1" si="190"/>
        <v>-3031525807374821</v>
      </c>
      <c r="J5399" s="444">
        <f t="array" ref="J5399">IFERROR(INDEX('Retirement Calculator'!K:K,MATCH('Lorri 401b'!N5399,'Retirement Calculator'!A:A,0),0),0)</f>
        <v>0</v>
      </c>
      <c r="K5399" s="444">
        <f t="shared" ca="1" si="188"/>
        <v>-12631357530728.42</v>
      </c>
      <c r="L5399" s="444">
        <f t="shared" ca="1" si="189"/>
        <v>-3044157164905549.5</v>
      </c>
      <c r="M5399" s="460">
        <f t="shared" si="191"/>
        <v>0.05</v>
      </c>
      <c r="N5399" s="464">
        <f t="shared" si="192"/>
        <v>215374</v>
      </c>
    </row>
    <row r="5400" spans="7:14" ht="11.25" customHeight="1" x14ac:dyDescent="0.3">
      <c r="G5400" s="459"/>
      <c r="H5400" s="459">
        <v>5393</v>
      </c>
      <c r="I5400" s="444">
        <f t="shared" ca="1" si="190"/>
        <v>-3044157164905549.5</v>
      </c>
      <c r="J5400" s="444">
        <f t="array" ref="J5400">IFERROR(INDEX('Retirement Calculator'!K:K,MATCH('Lorri 401b'!N5400,'Retirement Calculator'!A:A,0),0),0)</f>
        <v>0</v>
      </c>
      <c r="K5400" s="444">
        <f t="shared" ca="1" si="188"/>
        <v>-12683988187106.457</v>
      </c>
      <c r="L5400" s="444">
        <f t="shared" ca="1" si="189"/>
        <v>-3056841153092656</v>
      </c>
      <c r="M5400" s="460">
        <f t="shared" si="191"/>
        <v>0.05</v>
      </c>
      <c r="N5400" s="464">
        <f t="shared" si="192"/>
        <v>215404</v>
      </c>
    </row>
    <row r="5401" spans="7:14" ht="11.25" customHeight="1" x14ac:dyDescent="0.3">
      <c r="G5401" s="459"/>
      <c r="H5401" s="459">
        <v>5394</v>
      </c>
      <c r="I5401" s="444">
        <f t="shared" ca="1" si="190"/>
        <v>-3056841153092656</v>
      </c>
      <c r="J5401" s="444">
        <f t="array" ref="J5401">IFERROR(INDEX('Retirement Calculator'!K:K,MATCH('Lorri 401b'!N5401,'Retirement Calculator'!A:A,0),0),0)</f>
        <v>0</v>
      </c>
      <c r="K5401" s="444">
        <f t="shared" ca="1" si="188"/>
        <v>-12736838137886.066</v>
      </c>
      <c r="L5401" s="444">
        <f t="shared" ca="1" si="189"/>
        <v>-3069577991230542</v>
      </c>
      <c r="M5401" s="460">
        <f t="shared" si="191"/>
        <v>0.05</v>
      </c>
      <c r="N5401" s="464">
        <f t="shared" si="192"/>
        <v>215435</v>
      </c>
    </row>
    <row r="5402" spans="7:14" ht="11.25" customHeight="1" x14ac:dyDescent="0.3">
      <c r="G5402" s="459"/>
      <c r="H5402" s="459">
        <v>5395</v>
      </c>
      <c r="I5402" s="444">
        <f t="shared" ca="1" si="190"/>
        <v>-3069577991230542</v>
      </c>
      <c r="J5402" s="444">
        <f t="array" ref="J5402">IFERROR(INDEX('Retirement Calculator'!K:K,MATCH('Lorri 401b'!N5402,'Retirement Calculator'!A:A,0),0),0)</f>
        <v>0</v>
      </c>
      <c r="K5402" s="444">
        <f t="shared" ca="1" si="188"/>
        <v>-12789908296793.926</v>
      </c>
      <c r="L5402" s="444">
        <f t="shared" ca="1" si="189"/>
        <v>-3082367899527336</v>
      </c>
      <c r="M5402" s="460">
        <f t="shared" si="191"/>
        <v>0.05</v>
      </c>
      <c r="N5402" s="464">
        <f t="shared" si="192"/>
        <v>215465</v>
      </c>
    </row>
    <row r="5403" spans="7:14" ht="11.25" customHeight="1" x14ac:dyDescent="0.3">
      <c r="G5403" s="459"/>
      <c r="H5403" s="459">
        <v>5396</v>
      </c>
      <c r="I5403" s="444">
        <f t="shared" ca="1" si="190"/>
        <v>-3082367899527336</v>
      </c>
      <c r="J5403" s="444">
        <f t="array" ref="J5403">IFERROR(INDEX('Retirement Calculator'!K:K,MATCH('Lorri 401b'!N5403,'Retirement Calculator'!A:A,0),0),0)</f>
        <v>0</v>
      </c>
      <c r="K5403" s="444">
        <f t="shared" ca="1" si="188"/>
        <v>-12843199581363.9</v>
      </c>
      <c r="L5403" s="444">
        <f t="shared" ca="1" si="189"/>
        <v>-3095211099108700</v>
      </c>
      <c r="M5403" s="460">
        <f t="shared" si="191"/>
        <v>0.05</v>
      </c>
      <c r="N5403" s="464">
        <f t="shared" si="192"/>
        <v>215496</v>
      </c>
    </row>
    <row r="5404" spans="7:14" ht="11.25" customHeight="1" x14ac:dyDescent="0.3">
      <c r="G5404" s="459"/>
      <c r="H5404" s="459">
        <v>5397</v>
      </c>
      <c r="I5404" s="444">
        <f t="shared" ca="1" si="190"/>
        <v>-3095211099108700</v>
      </c>
      <c r="J5404" s="444">
        <f t="array" ref="J5404">IFERROR(INDEX('Retirement Calculator'!K:K,MATCH('Lorri 401b'!N5404,'Retirement Calculator'!A:A,0),0),0)</f>
        <v>0</v>
      </c>
      <c r="K5404" s="444">
        <f t="shared" ca="1" si="188"/>
        <v>-12896712912952.916</v>
      </c>
      <c r="L5404" s="444">
        <f t="shared" ca="1" si="189"/>
        <v>-3108107812021653</v>
      </c>
      <c r="M5404" s="460">
        <f t="shared" si="191"/>
        <v>0.05</v>
      </c>
      <c r="N5404" s="464">
        <f t="shared" si="192"/>
        <v>215527</v>
      </c>
    </row>
    <row r="5405" spans="7:14" ht="11.25" customHeight="1" x14ac:dyDescent="0.3">
      <c r="G5405" s="459"/>
      <c r="H5405" s="459">
        <v>5398</v>
      </c>
      <c r="I5405" s="444">
        <f t="shared" ca="1" si="190"/>
        <v>-3108107812021653</v>
      </c>
      <c r="J5405" s="444">
        <f t="array" ref="J5405">IFERROR(INDEX('Retirement Calculator'!K:K,MATCH('Lorri 401b'!N5405,'Retirement Calculator'!A:A,0),0),0)</f>
        <v>0</v>
      </c>
      <c r="K5405" s="444">
        <f t="shared" ca="1" si="188"/>
        <v>-12950449216756.887</v>
      </c>
      <c r="L5405" s="444">
        <f t="shared" ca="1" si="189"/>
        <v>-3121058261238410</v>
      </c>
      <c r="M5405" s="460">
        <f t="shared" si="191"/>
        <v>0.05</v>
      </c>
      <c r="N5405" s="464">
        <f t="shared" si="192"/>
        <v>215555</v>
      </c>
    </row>
    <row r="5406" spans="7:14" ht="11.25" customHeight="1" x14ac:dyDescent="0.3">
      <c r="G5406" s="459"/>
      <c r="H5406" s="459">
        <v>5399</v>
      </c>
      <c r="I5406" s="444">
        <f t="shared" ca="1" si="190"/>
        <v>-3121058261238410</v>
      </c>
      <c r="J5406" s="444">
        <f t="array" ref="J5406">IFERROR(INDEX('Retirement Calculator'!K:K,MATCH('Lorri 401b'!N5406,'Retirement Calculator'!A:A,0),0),0)</f>
        <v>0</v>
      </c>
      <c r="K5406" s="444">
        <f t="shared" ca="1" si="188"/>
        <v>-13004409421826.709</v>
      </c>
      <c r="L5406" s="444">
        <f t="shared" ca="1" si="189"/>
        <v>-3134062670660236.5</v>
      </c>
      <c r="M5406" s="460">
        <f t="shared" si="191"/>
        <v>0.05</v>
      </c>
      <c r="N5406" s="464">
        <f t="shared" si="192"/>
        <v>215586</v>
      </c>
    </row>
    <row r="5407" spans="7:14" ht="11.25" customHeight="1" x14ac:dyDescent="0.3">
      <c r="G5407" s="459"/>
      <c r="H5407" s="459">
        <v>5400</v>
      </c>
      <c r="I5407" s="444">
        <f t="shared" ca="1" si="190"/>
        <v>-3134062670660236.5</v>
      </c>
      <c r="J5407" s="444">
        <f t="array" ref="J5407">IFERROR(INDEX('Retirement Calculator'!K:K,MATCH('Lorri 401b'!N5407,'Retirement Calculator'!A:A,0),0),0)</f>
        <v>0</v>
      </c>
      <c r="K5407" s="444">
        <f t="shared" ca="1" si="188"/>
        <v>-13058594461084.318</v>
      </c>
      <c r="L5407" s="444">
        <f t="shared" ca="1" si="189"/>
        <v>-3147121265121321</v>
      </c>
      <c r="M5407" s="460">
        <f t="shared" si="191"/>
        <v>0.05</v>
      </c>
      <c r="N5407" s="464">
        <f t="shared" si="192"/>
        <v>215616</v>
      </c>
    </row>
    <row r="5408" spans="7:14" ht="11.25" customHeight="1" x14ac:dyDescent="0.3">
      <c r="G5408" s="459"/>
      <c r="H5408" s="459">
        <v>5401</v>
      </c>
      <c r="I5408" s="444">
        <f t="shared" ca="1" si="190"/>
        <v>-3147121265121321</v>
      </c>
      <c r="J5408" s="444">
        <f t="array" ref="J5408">IFERROR(INDEX('Retirement Calculator'!K:K,MATCH('Lorri 401b'!N5408,'Retirement Calculator'!A:A,0),0),0)</f>
        <v>0</v>
      </c>
      <c r="K5408" s="444">
        <f t="shared" ca="1" si="188"/>
        <v>-13113005271338.838</v>
      </c>
      <c r="L5408" s="444">
        <f t="shared" ca="1" si="189"/>
        <v>-3160234270392660</v>
      </c>
      <c r="M5408" s="460">
        <f t="shared" si="191"/>
        <v>0.05</v>
      </c>
      <c r="N5408" s="464">
        <f t="shared" si="192"/>
        <v>215647</v>
      </c>
    </row>
    <row r="5409" spans="7:14" ht="11.25" customHeight="1" x14ac:dyDescent="0.3">
      <c r="G5409" s="459"/>
      <c r="H5409" s="459">
        <v>5402</v>
      </c>
      <c r="I5409" s="444">
        <f t="shared" ca="1" si="190"/>
        <v>-3160234270392660</v>
      </c>
      <c r="J5409" s="444">
        <f t="array" ref="J5409">IFERROR(INDEX('Retirement Calculator'!K:K,MATCH('Lorri 401b'!N5409,'Retirement Calculator'!A:A,0),0),0)</f>
        <v>0</v>
      </c>
      <c r="K5409" s="444">
        <f t="shared" ca="1" si="188"/>
        <v>-13167642793302.75</v>
      </c>
      <c r="L5409" s="444">
        <f t="shared" ca="1" si="189"/>
        <v>-3173401913185963</v>
      </c>
      <c r="M5409" s="460">
        <f t="shared" si="191"/>
        <v>0.05</v>
      </c>
      <c r="N5409" s="464">
        <f t="shared" si="192"/>
        <v>215677</v>
      </c>
    </row>
    <row r="5410" spans="7:14" ht="11.25" customHeight="1" x14ac:dyDescent="0.3">
      <c r="G5410" s="459"/>
      <c r="H5410" s="459">
        <v>5403</v>
      </c>
      <c r="I5410" s="444">
        <f t="shared" ca="1" si="190"/>
        <v>-3173401913185963</v>
      </c>
      <c r="J5410" s="444">
        <f t="array" ref="J5410">IFERROR(INDEX('Retirement Calculator'!K:K,MATCH('Lorri 401b'!N5410,'Retirement Calculator'!A:A,0),0),0)</f>
        <v>0</v>
      </c>
      <c r="K5410" s="444">
        <f t="shared" ca="1" si="188"/>
        <v>-13222507971608.18</v>
      </c>
      <c r="L5410" s="444">
        <f t="shared" ca="1" si="189"/>
        <v>-3186624421157571</v>
      </c>
      <c r="M5410" s="460">
        <f t="shared" si="191"/>
        <v>0.05</v>
      </c>
      <c r="N5410" s="464">
        <f t="shared" si="192"/>
        <v>215708</v>
      </c>
    </row>
    <row r="5411" spans="7:14" ht="11.25" customHeight="1" x14ac:dyDescent="0.3">
      <c r="G5411" s="459"/>
      <c r="H5411" s="459">
        <v>5404</v>
      </c>
      <c r="I5411" s="444">
        <f t="shared" ca="1" si="190"/>
        <v>-3186624421157571</v>
      </c>
      <c r="J5411" s="444">
        <f t="array" ref="J5411">IFERROR(INDEX('Retirement Calculator'!K:K,MATCH('Lorri 401b'!N5411,'Retirement Calculator'!A:A,0),0),0)</f>
        <v>0</v>
      </c>
      <c r="K5411" s="444">
        <f t="shared" ca="1" si="188"/>
        <v>-13277601754823.213</v>
      </c>
      <c r="L5411" s="444">
        <f t="shared" ca="1" si="189"/>
        <v>-3199902022912394</v>
      </c>
      <c r="M5411" s="460">
        <f t="shared" si="191"/>
        <v>0.05</v>
      </c>
      <c r="N5411" s="464">
        <f t="shared" si="192"/>
        <v>215739</v>
      </c>
    </row>
    <row r="5412" spans="7:14" ht="11.25" customHeight="1" x14ac:dyDescent="0.3">
      <c r="G5412" s="459"/>
      <c r="H5412" s="459">
        <v>5405</v>
      </c>
      <c r="I5412" s="444">
        <f t="shared" ca="1" si="190"/>
        <v>-3199902022912394</v>
      </c>
      <c r="J5412" s="444">
        <f t="array" ref="J5412">IFERROR(INDEX('Retirement Calculator'!K:K,MATCH('Lorri 401b'!N5412,'Retirement Calculator'!A:A,0),0),0)</f>
        <v>0</v>
      </c>
      <c r="K5412" s="444">
        <f t="shared" ca="1" si="188"/>
        <v>-13332925095468.309</v>
      </c>
      <c r="L5412" s="444">
        <f t="shared" ca="1" si="189"/>
        <v>-3213234948007862.5</v>
      </c>
      <c r="M5412" s="460">
        <f t="shared" si="191"/>
        <v>0.05</v>
      </c>
      <c r="N5412" s="464">
        <f t="shared" si="192"/>
        <v>215769</v>
      </c>
    </row>
    <row r="5413" spans="7:14" ht="11.25" customHeight="1" x14ac:dyDescent="0.3">
      <c r="G5413" s="459"/>
      <c r="H5413" s="459">
        <v>5406</v>
      </c>
      <c r="I5413" s="444">
        <f t="shared" ca="1" si="190"/>
        <v>-3213234948007862.5</v>
      </c>
      <c r="J5413" s="444">
        <f t="array" ref="J5413">IFERROR(INDEX('Retirement Calculator'!K:K,MATCH('Lorri 401b'!N5413,'Retirement Calculator'!A:A,0),0),0)</f>
        <v>0</v>
      </c>
      <c r="K5413" s="444">
        <f t="shared" ca="1" si="188"/>
        <v>-13388478950032.76</v>
      </c>
      <c r="L5413" s="444">
        <f t="shared" ca="1" si="189"/>
        <v>-3226623426957895.5</v>
      </c>
      <c r="M5413" s="460">
        <f t="shared" si="191"/>
        <v>0.05</v>
      </c>
      <c r="N5413" s="464">
        <f t="shared" si="192"/>
        <v>215800</v>
      </c>
    </row>
    <row r="5414" spans="7:14" ht="11.25" customHeight="1" x14ac:dyDescent="0.3">
      <c r="G5414" s="459"/>
      <c r="H5414" s="459">
        <v>5407</v>
      </c>
      <c r="I5414" s="444">
        <f t="shared" ca="1" si="190"/>
        <v>-3226623426957895.5</v>
      </c>
      <c r="J5414" s="444">
        <f t="array" ref="J5414">IFERROR(INDEX('Retirement Calculator'!K:K,MATCH('Lorri 401b'!N5414,'Retirement Calculator'!A:A,0),0),0)</f>
        <v>0</v>
      </c>
      <c r="K5414" s="444">
        <f t="shared" ca="1" si="188"/>
        <v>-13444264278991.23</v>
      </c>
      <c r="L5414" s="444">
        <f t="shared" ca="1" si="189"/>
        <v>-3240067691236886.5</v>
      </c>
      <c r="M5414" s="460">
        <f t="shared" si="191"/>
        <v>0.05</v>
      </c>
      <c r="N5414" s="464">
        <f t="shared" si="192"/>
        <v>215830</v>
      </c>
    </row>
    <row r="5415" spans="7:14" ht="11.25" customHeight="1" x14ac:dyDescent="0.3">
      <c r="G5415" s="459"/>
      <c r="H5415" s="459">
        <v>5408</v>
      </c>
      <c r="I5415" s="444">
        <f t="shared" ca="1" si="190"/>
        <v>-3240067691236886.5</v>
      </c>
      <c r="J5415" s="444">
        <f t="array" ref="J5415">IFERROR(INDEX('Retirement Calculator'!K:K,MATCH('Lorri 401b'!N5415,'Retirement Calculator'!A:A,0),0),0)</f>
        <v>0</v>
      </c>
      <c r="K5415" s="444">
        <f t="shared" ca="1" si="188"/>
        <v>-13500282046820.359</v>
      </c>
      <c r="L5415" s="444">
        <f t="shared" ca="1" si="189"/>
        <v>-3253567973283707</v>
      </c>
      <c r="M5415" s="460">
        <f t="shared" si="191"/>
        <v>0.05</v>
      </c>
      <c r="N5415" s="464">
        <f t="shared" si="192"/>
        <v>215861</v>
      </c>
    </row>
    <row r="5416" spans="7:14" ht="11.25" customHeight="1" x14ac:dyDescent="0.3">
      <c r="G5416" s="459"/>
      <c r="H5416" s="459">
        <v>5409</v>
      </c>
      <c r="I5416" s="444">
        <f t="shared" ca="1" si="190"/>
        <v>-3253567973283707</v>
      </c>
      <c r="J5416" s="444">
        <f t="array" ref="J5416">IFERROR(INDEX('Retirement Calculator'!K:K,MATCH('Lorri 401b'!N5416,'Retirement Calculator'!A:A,0),0),0)</f>
        <v>0</v>
      </c>
      <c r="K5416" s="444">
        <f t="shared" ca="1" si="188"/>
        <v>-13556533222015.445</v>
      </c>
      <c r="L5416" s="444">
        <f t="shared" ca="1" si="189"/>
        <v>-3267124506505722.5</v>
      </c>
      <c r="M5416" s="460">
        <f t="shared" si="191"/>
        <v>0.05</v>
      </c>
      <c r="N5416" s="464">
        <f t="shared" si="192"/>
        <v>215892</v>
      </c>
    </row>
    <row r="5417" spans="7:14" ht="11.25" customHeight="1" x14ac:dyDescent="0.3">
      <c r="G5417" s="459"/>
      <c r="H5417" s="459">
        <v>5410</v>
      </c>
      <c r="I5417" s="444">
        <f t="shared" ca="1" si="190"/>
        <v>-3267124506505722.5</v>
      </c>
      <c r="J5417" s="444">
        <f t="array" ref="J5417">IFERROR(INDEX('Retirement Calculator'!K:K,MATCH('Lorri 401b'!N5417,'Retirement Calculator'!A:A,0),0),0)</f>
        <v>0</v>
      </c>
      <c r="K5417" s="444">
        <f t="shared" ca="1" si="188"/>
        <v>-13613018777107.178</v>
      </c>
      <c r="L5417" s="444">
        <f t="shared" ca="1" si="189"/>
        <v>-3280737525282829.5</v>
      </c>
      <c r="M5417" s="460">
        <f t="shared" si="191"/>
        <v>0.05</v>
      </c>
      <c r="N5417" s="464">
        <f t="shared" si="192"/>
        <v>215920</v>
      </c>
    </row>
    <row r="5418" spans="7:14" ht="11.25" customHeight="1" x14ac:dyDescent="0.3">
      <c r="G5418" s="459"/>
      <c r="H5418" s="459">
        <v>5411</v>
      </c>
      <c r="I5418" s="444">
        <f t="shared" ca="1" si="190"/>
        <v>-3280737525282829.5</v>
      </c>
      <c r="J5418" s="444">
        <f t="array" ref="J5418">IFERROR(INDEX('Retirement Calculator'!K:K,MATCH('Lorri 401b'!N5418,'Retirement Calculator'!A:A,0),0),0)</f>
        <v>0</v>
      </c>
      <c r="K5418" s="444">
        <f t="shared" ca="1" si="188"/>
        <v>-13669739688678.457</v>
      </c>
      <c r="L5418" s="444">
        <f t="shared" ca="1" si="189"/>
        <v>-3294407264971508</v>
      </c>
      <c r="M5418" s="460">
        <f t="shared" si="191"/>
        <v>0.05</v>
      </c>
      <c r="N5418" s="464">
        <f t="shared" si="192"/>
        <v>215951</v>
      </c>
    </row>
    <row r="5419" spans="7:14" ht="11.25" customHeight="1" x14ac:dyDescent="0.3">
      <c r="G5419" s="459"/>
      <c r="H5419" s="459">
        <v>5412</v>
      </c>
      <c r="I5419" s="444">
        <f t="shared" ca="1" si="190"/>
        <v>-3294407264971508</v>
      </c>
      <c r="J5419" s="444">
        <f t="array" ref="J5419">IFERROR(INDEX('Retirement Calculator'!K:K,MATCH('Lorri 401b'!N5419,'Retirement Calculator'!A:A,0),0),0)</f>
        <v>0</v>
      </c>
      <c r="K5419" s="444">
        <f t="shared" ca="1" si="188"/>
        <v>-13726696937381.283</v>
      </c>
      <c r="L5419" s="444">
        <f t="shared" ca="1" si="189"/>
        <v>-3308133961908889.5</v>
      </c>
      <c r="M5419" s="460">
        <f t="shared" si="191"/>
        <v>0.05</v>
      </c>
      <c r="N5419" s="464">
        <f t="shared" si="192"/>
        <v>215981</v>
      </c>
    </row>
    <row r="5420" spans="7:14" ht="11.25" customHeight="1" x14ac:dyDescent="0.3">
      <c r="G5420" s="459"/>
      <c r="H5420" s="459">
        <v>5413</v>
      </c>
      <c r="I5420" s="444">
        <f t="shared" ca="1" si="190"/>
        <v>-3308133961908889.5</v>
      </c>
      <c r="J5420" s="444">
        <f t="array" ref="J5420">IFERROR(INDEX('Retirement Calculator'!K:K,MATCH('Lorri 401b'!N5420,'Retirement Calculator'!A:A,0),0),0)</f>
        <v>0</v>
      </c>
      <c r="K5420" s="444">
        <f t="shared" ca="1" si="188"/>
        <v>-13783891507953.707</v>
      </c>
      <c r="L5420" s="444">
        <f t="shared" ca="1" si="189"/>
        <v>-3321917853416843</v>
      </c>
      <c r="M5420" s="460">
        <f t="shared" si="191"/>
        <v>0.05</v>
      </c>
      <c r="N5420" s="464">
        <f t="shared" si="192"/>
        <v>216012</v>
      </c>
    </row>
    <row r="5421" spans="7:14" ht="11.25" customHeight="1" x14ac:dyDescent="0.3">
      <c r="G5421" s="459"/>
      <c r="H5421" s="459">
        <v>5414</v>
      </c>
      <c r="I5421" s="444">
        <f t="shared" ca="1" si="190"/>
        <v>-3321917853416843</v>
      </c>
      <c r="J5421" s="444">
        <f t="array" ref="J5421">IFERROR(INDEX('Retirement Calculator'!K:K,MATCH('Lorri 401b'!N5421,'Retirement Calculator'!A:A,0),0),0)</f>
        <v>0</v>
      </c>
      <c r="K5421" s="444">
        <f t="shared" ca="1" si="188"/>
        <v>-13841324389236.846</v>
      </c>
      <c r="L5421" s="444">
        <f t="shared" ca="1" si="189"/>
        <v>-3335759177806080</v>
      </c>
      <c r="M5421" s="460">
        <f t="shared" si="191"/>
        <v>0.05</v>
      </c>
      <c r="N5421" s="464">
        <f t="shared" si="192"/>
        <v>216042</v>
      </c>
    </row>
    <row r="5422" spans="7:14" ht="11.25" customHeight="1" x14ac:dyDescent="0.3">
      <c r="G5422" s="459"/>
      <c r="H5422" s="459">
        <v>5415</v>
      </c>
      <c r="I5422" s="444">
        <f t="shared" ca="1" si="190"/>
        <v>-3335759177806080</v>
      </c>
      <c r="J5422" s="444">
        <f t="array" ref="J5422">IFERROR(INDEX('Retirement Calculator'!K:K,MATCH('Lorri 401b'!N5422,'Retirement Calculator'!A:A,0),0),0)</f>
        <v>0</v>
      </c>
      <c r="K5422" s="444">
        <f t="shared" ca="1" si="188"/>
        <v>-13898996574192</v>
      </c>
      <c r="L5422" s="444">
        <f t="shared" ca="1" si="189"/>
        <v>-3349658174380272</v>
      </c>
      <c r="M5422" s="460">
        <f t="shared" si="191"/>
        <v>0.05</v>
      </c>
      <c r="N5422" s="464">
        <f t="shared" si="192"/>
        <v>216073</v>
      </c>
    </row>
    <row r="5423" spans="7:14" ht="11.25" customHeight="1" x14ac:dyDescent="0.3">
      <c r="G5423" s="459"/>
      <c r="H5423" s="459">
        <v>5416</v>
      </c>
      <c r="I5423" s="444">
        <f t="shared" ca="1" si="190"/>
        <v>-3349658174380272</v>
      </c>
      <c r="J5423" s="444">
        <f t="array" ref="J5423">IFERROR(INDEX('Retirement Calculator'!K:K,MATCH('Lorri 401b'!N5423,'Retirement Calculator'!A:A,0),0),0)</f>
        <v>0</v>
      </c>
      <c r="K5423" s="444">
        <f t="shared" ca="1" si="188"/>
        <v>-13956909059917.801</v>
      </c>
      <c r="L5423" s="444">
        <f t="shared" ca="1" si="189"/>
        <v>-3363615083440190</v>
      </c>
      <c r="M5423" s="460">
        <f t="shared" si="191"/>
        <v>0.05</v>
      </c>
      <c r="N5423" s="464">
        <f t="shared" si="192"/>
        <v>216104</v>
      </c>
    </row>
    <row r="5424" spans="7:14" ht="11.25" customHeight="1" x14ac:dyDescent="0.3">
      <c r="G5424" s="459"/>
      <c r="H5424" s="459">
        <v>5417</v>
      </c>
      <c r="I5424" s="444">
        <f t="shared" ca="1" si="190"/>
        <v>-3363615083440190</v>
      </c>
      <c r="J5424" s="444">
        <f t="array" ref="J5424">IFERROR(INDEX('Retirement Calculator'!K:K,MATCH('Lorri 401b'!N5424,'Retirement Calculator'!A:A,0),0),0)</f>
        <v>0</v>
      </c>
      <c r="K5424" s="444">
        <f t="shared" ca="1" si="188"/>
        <v>-14015062847667.459</v>
      </c>
      <c r="L5424" s="444">
        <f t="shared" ca="1" si="189"/>
        <v>-3377630146287857.5</v>
      </c>
      <c r="M5424" s="460">
        <f t="shared" si="191"/>
        <v>0.05</v>
      </c>
      <c r="N5424" s="464">
        <f t="shared" si="192"/>
        <v>216134</v>
      </c>
    </row>
    <row r="5425" spans="7:14" ht="11.25" customHeight="1" x14ac:dyDescent="0.3">
      <c r="G5425" s="459"/>
      <c r="H5425" s="459">
        <v>5418</v>
      </c>
      <c r="I5425" s="444">
        <f t="shared" ca="1" si="190"/>
        <v>-3377630146287857.5</v>
      </c>
      <c r="J5425" s="444">
        <f t="array" ref="J5425">IFERROR(INDEX('Retirement Calculator'!K:K,MATCH('Lorri 401b'!N5425,'Retirement Calculator'!A:A,0),0),0)</f>
        <v>0</v>
      </c>
      <c r="K5425" s="444">
        <f t="shared" ca="1" si="188"/>
        <v>-14073458942866.072</v>
      </c>
      <c r="L5425" s="444">
        <f t="shared" ca="1" si="189"/>
        <v>-3391703605230723.5</v>
      </c>
      <c r="M5425" s="460">
        <f t="shared" si="191"/>
        <v>0.05</v>
      </c>
      <c r="N5425" s="464">
        <f t="shared" si="192"/>
        <v>216165</v>
      </c>
    </row>
    <row r="5426" spans="7:14" ht="11.25" customHeight="1" x14ac:dyDescent="0.3">
      <c r="G5426" s="459"/>
      <c r="H5426" s="459">
        <v>5419</v>
      </c>
      <c r="I5426" s="444">
        <f t="shared" ca="1" si="190"/>
        <v>-3391703605230723.5</v>
      </c>
      <c r="J5426" s="444">
        <f t="array" ref="J5426">IFERROR(INDEX('Retirement Calculator'!K:K,MATCH('Lorri 401b'!N5426,'Retirement Calculator'!A:A,0),0),0)</f>
        <v>0</v>
      </c>
      <c r="K5426" s="444">
        <f t="shared" ca="1" si="188"/>
        <v>-14132098355128.014</v>
      </c>
      <c r="L5426" s="444">
        <f t="shared" ca="1" si="189"/>
        <v>-3405835703585851.5</v>
      </c>
      <c r="M5426" s="460">
        <f t="shared" si="191"/>
        <v>0.05</v>
      </c>
      <c r="N5426" s="464">
        <f t="shared" si="192"/>
        <v>216195</v>
      </c>
    </row>
    <row r="5427" spans="7:14" ht="11.25" customHeight="1" x14ac:dyDescent="0.3">
      <c r="G5427" s="459"/>
      <c r="H5427" s="459">
        <v>5420</v>
      </c>
      <c r="I5427" s="444">
        <f t="shared" ca="1" si="190"/>
        <v>-3405835703585851.5</v>
      </c>
      <c r="J5427" s="444">
        <f t="array" ref="J5427">IFERROR(INDEX('Retirement Calculator'!K:K,MATCH('Lorri 401b'!N5427,'Retirement Calculator'!A:A,0),0),0)</f>
        <v>0</v>
      </c>
      <c r="K5427" s="444">
        <f t="shared" ca="1" si="188"/>
        <v>-14190982098274.381</v>
      </c>
      <c r="L5427" s="444">
        <f t="shared" ca="1" si="189"/>
        <v>-3420026685684126</v>
      </c>
      <c r="M5427" s="460">
        <f t="shared" si="191"/>
        <v>0.05</v>
      </c>
      <c r="N5427" s="464">
        <f t="shared" si="192"/>
        <v>216226</v>
      </c>
    </row>
    <row r="5428" spans="7:14" ht="11.25" customHeight="1" x14ac:dyDescent="0.3">
      <c r="G5428" s="459"/>
      <c r="H5428" s="459">
        <v>5421</v>
      </c>
      <c r="I5428" s="444">
        <f t="shared" ca="1" si="190"/>
        <v>-3420026685684126</v>
      </c>
      <c r="J5428" s="444">
        <f t="array" ref="J5428">IFERROR(INDEX('Retirement Calculator'!K:K,MATCH('Lorri 401b'!N5428,'Retirement Calculator'!A:A,0),0),0)</f>
        <v>0</v>
      </c>
      <c r="K5428" s="444">
        <f t="shared" ca="1" si="188"/>
        <v>-14250111190350.525</v>
      </c>
      <c r="L5428" s="444">
        <f t="shared" ca="1" si="189"/>
        <v>-3434276796874476.5</v>
      </c>
      <c r="M5428" s="460">
        <f t="shared" si="191"/>
        <v>0.05</v>
      </c>
      <c r="N5428" s="464">
        <f t="shared" si="192"/>
        <v>216257</v>
      </c>
    </row>
    <row r="5429" spans="7:14" ht="11.25" customHeight="1" x14ac:dyDescent="0.3">
      <c r="G5429" s="459"/>
      <c r="H5429" s="459">
        <v>5422</v>
      </c>
      <c r="I5429" s="444">
        <f t="shared" ca="1" si="190"/>
        <v>-3434276796874476.5</v>
      </c>
      <c r="J5429" s="444">
        <f t="array" ref="J5429">IFERROR(INDEX('Retirement Calculator'!K:K,MATCH('Lorri 401b'!N5429,'Retirement Calculator'!A:A,0),0),0)</f>
        <v>0</v>
      </c>
      <c r="K5429" s="444">
        <f t="shared" ca="1" si="188"/>
        <v>-14309486653643.652</v>
      </c>
      <c r="L5429" s="444">
        <f t="shared" ca="1" si="189"/>
        <v>-3448586283528120</v>
      </c>
      <c r="M5429" s="460">
        <f t="shared" si="191"/>
        <v>0.05</v>
      </c>
      <c r="N5429" s="464">
        <f t="shared" si="192"/>
        <v>216286</v>
      </c>
    </row>
    <row r="5430" spans="7:14" ht="11.25" customHeight="1" x14ac:dyDescent="0.3">
      <c r="G5430" s="459"/>
      <c r="H5430" s="459">
        <v>5423</v>
      </c>
      <c r="I5430" s="444">
        <f t="shared" ca="1" si="190"/>
        <v>-3448586283528120</v>
      </c>
      <c r="J5430" s="444">
        <f t="array" ref="J5430">IFERROR(INDEX('Retirement Calculator'!K:K,MATCH('Lorri 401b'!N5430,'Retirement Calculator'!A:A,0),0),0)</f>
        <v>0</v>
      </c>
      <c r="K5430" s="444">
        <f t="shared" ca="1" si="188"/>
        <v>-14369109514700.5</v>
      </c>
      <c r="L5430" s="444">
        <f t="shared" ca="1" si="189"/>
        <v>-3462955393042820.5</v>
      </c>
      <c r="M5430" s="460">
        <f t="shared" si="191"/>
        <v>0.05</v>
      </c>
      <c r="N5430" s="464">
        <f t="shared" si="192"/>
        <v>216317</v>
      </c>
    </row>
    <row r="5431" spans="7:14" ht="11.25" customHeight="1" x14ac:dyDescent="0.3">
      <c r="G5431" s="459"/>
      <c r="H5431" s="459">
        <v>5424</v>
      </c>
      <c r="I5431" s="444">
        <f t="shared" ca="1" si="190"/>
        <v>-3462955393042820.5</v>
      </c>
      <c r="J5431" s="444">
        <f t="array" ref="J5431">IFERROR(INDEX('Retirement Calculator'!K:K,MATCH('Lorri 401b'!N5431,'Retirement Calculator'!A:A,0),0),0)</f>
        <v>0</v>
      </c>
      <c r="K5431" s="444">
        <f t="shared" ca="1" si="188"/>
        <v>-14428980804345.086</v>
      </c>
      <c r="L5431" s="444">
        <f t="shared" ca="1" si="189"/>
        <v>-3477384373847165.5</v>
      </c>
      <c r="M5431" s="460">
        <f t="shared" si="191"/>
        <v>0.05</v>
      </c>
      <c r="N5431" s="464">
        <f t="shared" si="192"/>
        <v>216347</v>
      </c>
    </row>
    <row r="5432" spans="7:14" ht="11.25" customHeight="1" x14ac:dyDescent="0.3">
      <c r="G5432" s="459"/>
      <c r="H5432" s="459">
        <v>5425</v>
      </c>
      <c r="I5432" s="444">
        <f t="shared" ca="1" si="190"/>
        <v>-3477384373847165.5</v>
      </c>
      <c r="J5432" s="444">
        <f t="array" ref="J5432">IFERROR(INDEX('Retirement Calculator'!K:K,MATCH('Lorri 401b'!N5432,'Retirement Calculator'!A:A,0),0),0)</f>
        <v>0</v>
      </c>
      <c r="K5432" s="444">
        <f t="shared" ca="1" si="188"/>
        <v>-14489101557696.523</v>
      </c>
      <c r="L5432" s="444">
        <f t="shared" ca="1" si="189"/>
        <v>-3491873475404862</v>
      </c>
      <c r="M5432" s="460">
        <f t="shared" si="191"/>
        <v>0.05</v>
      </c>
      <c r="N5432" s="464">
        <f t="shared" si="192"/>
        <v>216378</v>
      </c>
    </row>
    <row r="5433" spans="7:14" ht="11.25" customHeight="1" x14ac:dyDescent="0.3">
      <c r="G5433" s="459"/>
      <c r="H5433" s="459">
        <v>5426</v>
      </c>
      <c r="I5433" s="444">
        <f t="shared" ca="1" si="190"/>
        <v>-3491873475404862</v>
      </c>
      <c r="J5433" s="444">
        <f t="array" ref="J5433">IFERROR(INDEX('Retirement Calculator'!K:K,MATCH('Lorri 401b'!N5433,'Retirement Calculator'!A:A,0),0),0)</f>
        <v>0</v>
      </c>
      <c r="K5433" s="444">
        <f t="shared" ca="1" si="188"/>
        <v>-14549472814186.924</v>
      </c>
      <c r="L5433" s="444">
        <f t="shared" ca="1" si="189"/>
        <v>-3506422948219049</v>
      </c>
      <c r="M5433" s="460">
        <f t="shared" si="191"/>
        <v>0.05</v>
      </c>
      <c r="N5433" s="464">
        <f t="shared" si="192"/>
        <v>216408</v>
      </c>
    </row>
    <row r="5434" spans="7:14" ht="11.25" customHeight="1" x14ac:dyDescent="0.3">
      <c r="G5434" s="459"/>
      <c r="H5434" s="459">
        <v>5427</v>
      </c>
      <c r="I5434" s="444">
        <f t="shared" ca="1" si="190"/>
        <v>-3506422948219049</v>
      </c>
      <c r="J5434" s="444">
        <f t="array" ref="J5434">IFERROR(INDEX('Retirement Calculator'!K:K,MATCH('Lorri 401b'!N5434,'Retirement Calculator'!A:A,0),0),0)</f>
        <v>0</v>
      </c>
      <c r="K5434" s="444">
        <f t="shared" ca="1" si="188"/>
        <v>-14610095617579.371</v>
      </c>
      <c r="L5434" s="444">
        <f t="shared" ca="1" si="189"/>
        <v>-3521033043836628.5</v>
      </c>
      <c r="M5434" s="460">
        <f t="shared" si="191"/>
        <v>0.05</v>
      </c>
      <c r="N5434" s="464">
        <f t="shared" si="192"/>
        <v>216439</v>
      </c>
    </row>
    <row r="5435" spans="7:14" ht="11.25" customHeight="1" x14ac:dyDescent="0.3">
      <c r="G5435" s="459"/>
      <c r="H5435" s="459">
        <v>5428</v>
      </c>
      <c r="I5435" s="444">
        <f t="shared" ca="1" si="190"/>
        <v>-3521033043836628.5</v>
      </c>
      <c r="J5435" s="444">
        <f t="array" ref="J5435">IFERROR(INDEX('Retirement Calculator'!K:K,MATCH('Lorri 401b'!N5435,'Retirement Calculator'!A:A,0),0),0)</f>
        <v>0</v>
      </c>
      <c r="K5435" s="444">
        <f t="shared" ca="1" si="188"/>
        <v>-14670971015985.949</v>
      </c>
      <c r="L5435" s="444">
        <f t="shared" ca="1" si="189"/>
        <v>-3535704014852614.5</v>
      </c>
      <c r="M5435" s="460">
        <f t="shared" si="191"/>
        <v>0.05</v>
      </c>
      <c r="N5435" s="464">
        <f t="shared" si="192"/>
        <v>216470</v>
      </c>
    </row>
    <row r="5436" spans="7:14" ht="11.25" customHeight="1" x14ac:dyDescent="0.3">
      <c r="G5436" s="459"/>
      <c r="H5436" s="459">
        <v>5429</v>
      </c>
      <c r="I5436" s="444">
        <f t="shared" ca="1" si="190"/>
        <v>-3535704014852614.5</v>
      </c>
      <c r="J5436" s="444">
        <f t="array" ref="J5436">IFERROR(INDEX('Retirement Calculator'!K:K,MATCH('Lorri 401b'!N5436,'Retirement Calculator'!A:A,0),0),0)</f>
        <v>0</v>
      </c>
      <c r="K5436" s="444">
        <f t="shared" ca="1" si="188"/>
        <v>-14732100061885.896</v>
      </c>
      <c r="L5436" s="444">
        <f t="shared" ca="1" si="189"/>
        <v>-3550436114914500.5</v>
      </c>
      <c r="M5436" s="460">
        <f t="shared" si="191"/>
        <v>0.05</v>
      </c>
      <c r="N5436" s="464">
        <f t="shared" si="192"/>
        <v>216500</v>
      </c>
    </row>
    <row r="5437" spans="7:14" ht="11.25" customHeight="1" x14ac:dyDescent="0.3">
      <c r="G5437" s="459"/>
      <c r="H5437" s="459">
        <v>5430</v>
      </c>
      <c r="I5437" s="444">
        <f t="shared" ca="1" si="190"/>
        <v>-3550436114914500.5</v>
      </c>
      <c r="J5437" s="444">
        <f t="array" ref="J5437">IFERROR(INDEX('Retirement Calculator'!K:K,MATCH('Lorri 401b'!N5437,'Retirement Calculator'!A:A,0),0),0)</f>
        <v>0</v>
      </c>
      <c r="K5437" s="444">
        <f t="shared" ca="1" si="188"/>
        <v>-14793483812143.75</v>
      </c>
      <c r="L5437" s="444">
        <f t="shared" ca="1" si="189"/>
        <v>-3565229598726644</v>
      </c>
      <c r="M5437" s="460">
        <f t="shared" si="191"/>
        <v>0.05</v>
      </c>
      <c r="N5437" s="464">
        <f t="shared" si="192"/>
        <v>216531</v>
      </c>
    </row>
    <row r="5438" spans="7:14" ht="11.25" customHeight="1" x14ac:dyDescent="0.3">
      <c r="G5438" s="459"/>
      <c r="H5438" s="459">
        <v>5431</v>
      </c>
      <c r="I5438" s="444">
        <f t="shared" ca="1" si="190"/>
        <v>-3565229598726644</v>
      </c>
      <c r="J5438" s="444">
        <f t="array" ref="J5438">IFERROR(INDEX('Retirement Calculator'!K:K,MATCH('Lorri 401b'!N5438,'Retirement Calculator'!A:A,0),0),0)</f>
        <v>0</v>
      </c>
      <c r="K5438" s="444">
        <f t="shared" ca="1" si="188"/>
        <v>-14855123328027.684</v>
      </c>
      <c r="L5438" s="444">
        <f t="shared" ca="1" si="189"/>
        <v>-3580084722054671.5</v>
      </c>
      <c r="M5438" s="460">
        <f t="shared" si="191"/>
        <v>0.05</v>
      </c>
      <c r="N5438" s="464">
        <f t="shared" si="192"/>
        <v>216561</v>
      </c>
    </row>
    <row r="5439" spans="7:14" ht="11.25" customHeight="1" x14ac:dyDescent="0.3">
      <c r="G5439" s="459"/>
      <c r="H5439" s="459">
        <v>5432</v>
      </c>
      <c r="I5439" s="444">
        <f t="shared" ca="1" si="190"/>
        <v>-3580084722054671.5</v>
      </c>
      <c r="J5439" s="444">
        <f t="array" ref="J5439">IFERROR(INDEX('Retirement Calculator'!K:K,MATCH('Lorri 401b'!N5439,'Retirement Calculator'!A:A,0),0),0)</f>
        <v>0</v>
      </c>
      <c r="K5439" s="444">
        <f t="shared" ca="1" si="188"/>
        <v>-14917019675227.795</v>
      </c>
      <c r="L5439" s="444">
        <f t="shared" ca="1" si="189"/>
        <v>-3595001741729899.5</v>
      </c>
      <c r="M5439" s="460">
        <f t="shared" si="191"/>
        <v>0.05</v>
      </c>
      <c r="N5439" s="464">
        <f t="shared" si="192"/>
        <v>216592</v>
      </c>
    </row>
    <row r="5440" spans="7:14" ht="11.25" customHeight="1" x14ac:dyDescent="0.3">
      <c r="G5440" s="459"/>
      <c r="H5440" s="459">
        <v>5433</v>
      </c>
      <c r="I5440" s="444">
        <f t="shared" ca="1" si="190"/>
        <v>-3595001741729899.5</v>
      </c>
      <c r="J5440" s="444">
        <f t="array" ref="J5440">IFERROR(INDEX('Retirement Calculator'!K:K,MATCH('Lorri 401b'!N5440,'Retirement Calculator'!A:A,0),0),0)</f>
        <v>0</v>
      </c>
      <c r="K5440" s="444">
        <f t="shared" ca="1" si="188"/>
        <v>-14979173923874.58</v>
      </c>
      <c r="L5440" s="444">
        <f t="shared" ca="1" si="189"/>
        <v>-3609980915653774</v>
      </c>
      <c r="M5440" s="460">
        <f t="shared" si="191"/>
        <v>0.05</v>
      </c>
      <c r="N5440" s="464">
        <f t="shared" si="192"/>
        <v>216623</v>
      </c>
    </row>
    <row r="5441" spans="7:14" ht="11.25" customHeight="1" x14ac:dyDescent="0.3">
      <c r="G5441" s="459"/>
      <c r="H5441" s="459">
        <v>5434</v>
      </c>
      <c r="I5441" s="444">
        <f t="shared" ca="1" si="190"/>
        <v>-3609980915653774</v>
      </c>
      <c r="J5441" s="444">
        <f t="array" ref="J5441">IFERROR(INDEX('Retirement Calculator'!K:K,MATCH('Lorri 401b'!N5441,'Retirement Calculator'!A:A,0),0),0)</f>
        <v>0</v>
      </c>
      <c r="K5441" s="444">
        <f t="shared" ca="1" si="188"/>
        <v>-15041587148557.391</v>
      </c>
      <c r="L5441" s="444">
        <f t="shared" ca="1" si="189"/>
        <v>-3625022502802331.5</v>
      </c>
      <c r="M5441" s="460">
        <f t="shared" si="191"/>
        <v>0.05</v>
      </c>
      <c r="N5441" s="464">
        <f t="shared" si="192"/>
        <v>216651</v>
      </c>
    </row>
    <row r="5442" spans="7:14" ht="11.25" customHeight="1" x14ac:dyDescent="0.3">
      <c r="G5442" s="459"/>
      <c r="H5442" s="459">
        <v>5435</v>
      </c>
      <c r="I5442" s="444">
        <f t="shared" ca="1" si="190"/>
        <v>-3625022502802331.5</v>
      </c>
      <c r="J5442" s="444">
        <f t="array" ref="J5442">IFERROR(INDEX('Retirement Calculator'!K:K,MATCH('Lorri 401b'!N5442,'Retirement Calculator'!A:A,0),0),0)</f>
        <v>0</v>
      </c>
      <c r="K5442" s="444">
        <f t="shared" ca="1" si="188"/>
        <v>-15104260428343.047</v>
      </c>
      <c r="L5442" s="444">
        <f t="shared" ca="1" si="189"/>
        <v>-3640126763230674.5</v>
      </c>
      <c r="M5442" s="460">
        <f t="shared" si="191"/>
        <v>0.05</v>
      </c>
      <c r="N5442" s="464">
        <f t="shared" si="192"/>
        <v>216682</v>
      </c>
    </row>
    <row r="5443" spans="7:14" ht="11.25" customHeight="1" x14ac:dyDescent="0.3">
      <c r="G5443" s="459"/>
      <c r="H5443" s="459">
        <v>5436</v>
      </c>
      <c r="I5443" s="444">
        <f t="shared" ca="1" si="190"/>
        <v>-3640126763230674.5</v>
      </c>
      <c r="J5443" s="444">
        <f t="array" ref="J5443">IFERROR(INDEX('Retirement Calculator'!K:K,MATCH('Lorri 401b'!N5443,'Retirement Calculator'!A:A,0),0),0)</f>
        <v>0</v>
      </c>
      <c r="K5443" s="444">
        <f t="shared" ca="1" si="188"/>
        <v>-15167194846794.475</v>
      </c>
      <c r="L5443" s="444">
        <f t="shared" ca="1" si="189"/>
        <v>-3655293958077469</v>
      </c>
      <c r="M5443" s="460">
        <f t="shared" si="191"/>
        <v>0.05</v>
      </c>
      <c r="N5443" s="464">
        <f t="shared" si="192"/>
        <v>216712</v>
      </c>
    </row>
    <row r="5444" spans="7:14" ht="11.25" customHeight="1" x14ac:dyDescent="0.3">
      <c r="G5444" s="459"/>
      <c r="H5444" s="459">
        <v>5437</v>
      </c>
      <c r="I5444" s="444">
        <f t="shared" ca="1" si="190"/>
        <v>-3655293958077469</v>
      </c>
      <c r="J5444" s="444">
        <f t="array" ref="J5444">IFERROR(INDEX('Retirement Calculator'!K:K,MATCH('Lorri 401b'!N5444,'Retirement Calculator'!A:A,0),0),0)</f>
        <v>0</v>
      </c>
      <c r="K5444" s="444">
        <f t="shared" ca="1" si="188"/>
        <v>-15230391491989.453</v>
      </c>
      <c r="L5444" s="444">
        <f t="shared" ca="1" si="189"/>
        <v>-3670524349569458.5</v>
      </c>
      <c r="M5444" s="460">
        <f t="shared" si="191"/>
        <v>0.05</v>
      </c>
      <c r="N5444" s="464">
        <f t="shared" si="192"/>
        <v>216743</v>
      </c>
    </row>
    <row r="5445" spans="7:14" ht="11.25" customHeight="1" x14ac:dyDescent="0.3">
      <c r="G5445" s="459"/>
      <c r="H5445" s="459">
        <v>5438</v>
      </c>
      <c r="I5445" s="444">
        <f t="shared" ca="1" si="190"/>
        <v>-3670524349569458.5</v>
      </c>
      <c r="J5445" s="444">
        <f t="array" ref="J5445">IFERROR(INDEX('Retirement Calculator'!K:K,MATCH('Lorri 401b'!N5445,'Retirement Calculator'!A:A,0),0),0)</f>
        <v>0</v>
      </c>
      <c r="K5445" s="444">
        <f t="shared" ca="1" si="188"/>
        <v>-15293851456539.412</v>
      </c>
      <c r="L5445" s="444">
        <f t="shared" ca="1" si="189"/>
        <v>-3685818201025998</v>
      </c>
      <c r="M5445" s="460">
        <f t="shared" si="191"/>
        <v>0.05</v>
      </c>
      <c r="N5445" s="464">
        <f t="shared" si="192"/>
        <v>216773</v>
      </c>
    </row>
    <row r="5446" spans="7:14" ht="11.25" customHeight="1" x14ac:dyDescent="0.3">
      <c r="G5446" s="459"/>
      <c r="H5446" s="459">
        <v>5439</v>
      </c>
      <c r="I5446" s="444">
        <f t="shared" ca="1" si="190"/>
        <v>-3685818201025998</v>
      </c>
      <c r="J5446" s="444">
        <f t="array" ref="J5446">IFERROR(INDEX('Retirement Calculator'!K:K,MATCH('Lorri 401b'!N5446,'Retirement Calculator'!A:A,0),0),0)</f>
        <v>0</v>
      </c>
      <c r="K5446" s="444">
        <f t="shared" ca="1" si="188"/>
        <v>-15357575837608.324</v>
      </c>
      <c r="L5446" s="444">
        <f t="shared" ca="1" si="189"/>
        <v>-3701175776863606.5</v>
      </c>
      <c r="M5446" s="460">
        <f t="shared" si="191"/>
        <v>0.05</v>
      </c>
      <c r="N5446" s="464">
        <f t="shared" si="192"/>
        <v>216804</v>
      </c>
    </row>
    <row r="5447" spans="7:14" ht="11.25" customHeight="1" x14ac:dyDescent="0.3">
      <c r="G5447" s="459"/>
      <c r="H5447" s="459">
        <v>5440</v>
      </c>
      <c r="I5447" s="444">
        <f t="shared" ca="1" si="190"/>
        <v>-3701175776863606.5</v>
      </c>
      <c r="J5447" s="444">
        <f t="array" ref="J5447">IFERROR(INDEX('Retirement Calculator'!K:K,MATCH('Lorri 401b'!N5447,'Retirement Calculator'!A:A,0),0),0)</f>
        <v>0</v>
      </c>
      <c r="K5447" s="444">
        <f t="shared" ca="1" si="188"/>
        <v>-15421565736931.693</v>
      </c>
      <c r="L5447" s="444">
        <f t="shared" ca="1" si="189"/>
        <v>-3716597342600538</v>
      </c>
      <c r="M5447" s="460">
        <f t="shared" si="191"/>
        <v>0.05</v>
      </c>
      <c r="N5447" s="464">
        <f t="shared" si="192"/>
        <v>216835</v>
      </c>
    </row>
    <row r="5448" spans="7:14" ht="11.25" customHeight="1" x14ac:dyDescent="0.3">
      <c r="G5448" s="459"/>
      <c r="H5448" s="459">
        <v>5441</v>
      </c>
      <c r="I5448" s="444">
        <f t="shared" ca="1" si="190"/>
        <v>-3716597342600538</v>
      </c>
      <c r="J5448" s="444">
        <f t="array" ref="J5448">IFERROR(INDEX('Retirement Calculator'!K:K,MATCH('Lorri 401b'!N5448,'Retirement Calculator'!A:A,0),0),0)</f>
        <v>0</v>
      </c>
      <c r="K5448" s="444">
        <f t="shared" ca="1" si="188"/>
        <v>-15485822260835.574</v>
      </c>
      <c r="L5448" s="444">
        <f t="shared" ca="1" si="189"/>
        <v>-3732083164861373.5</v>
      </c>
      <c r="M5448" s="460">
        <f t="shared" si="191"/>
        <v>0.05</v>
      </c>
      <c r="N5448" s="464">
        <f t="shared" si="192"/>
        <v>216865</v>
      </c>
    </row>
    <row r="5449" spans="7:14" ht="11.25" customHeight="1" x14ac:dyDescent="0.3">
      <c r="G5449" s="459"/>
      <c r="H5449" s="459">
        <v>5442</v>
      </c>
      <c r="I5449" s="444">
        <f t="shared" ca="1" si="190"/>
        <v>-3732083164861373.5</v>
      </c>
      <c r="J5449" s="444">
        <f t="array" ref="J5449">IFERROR(INDEX('Retirement Calculator'!K:K,MATCH('Lorri 401b'!N5449,'Retirement Calculator'!A:A,0),0),0)</f>
        <v>0</v>
      </c>
      <c r="K5449" s="444">
        <f t="shared" ca="1" si="188"/>
        <v>-15550346520255.723</v>
      </c>
      <c r="L5449" s="444">
        <f t="shared" ca="1" si="189"/>
        <v>-3747633511381629</v>
      </c>
      <c r="M5449" s="460">
        <f t="shared" si="191"/>
        <v>0.05</v>
      </c>
      <c r="N5449" s="464">
        <f t="shared" si="192"/>
        <v>216896</v>
      </c>
    </row>
    <row r="5450" spans="7:14" ht="11.25" customHeight="1" x14ac:dyDescent="0.3">
      <c r="G5450" s="459"/>
      <c r="H5450" s="459">
        <v>5443</v>
      </c>
      <c r="I5450" s="444">
        <f t="shared" ca="1" si="190"/>
        <v>-3747633511381629</v>
      </c>
      <c r="J5450" s="444">
        <f t="array" ref="J5450">IFERROR(INDEX('Retirement Calculator'!K:K,MATCH('Lorri 401b'!N5450,'Retirement Calculator'!A:A,0),0),0)</f>
        <v>0</v>
      </c>
      <c r="K5450" s="444">
        <f t="shared" ca="1" si="188"/>
        <v>-15615139630756.787</v>
      </c>
      <c r="L5450" s="444">
        <f t="shared" ca="1" si="189"/>
        <v>-3763248651012386</v>
      </c>
      <c r="M5450" s="460">
        <f t="shared" si="191"/>
        <v>0.05</v>
      </c>
      <c r="N5450" s="464">
        <f t="shared" si="192"/>
        <v>216926</v>
      </c>
    </row>
    <row r="5451" spans="7:14" ht="11.25" customHeight="1" x14ac:dyDescent="0.3">
      <c r="G5451" s="459"/>
      <c r="H5451" s="459">
        <v>5444</v>
      </c>
      <c r="I5451" s="444">
        <f t="shared" ca="1" si="190"/>
        <v>-3763248651012386</v>
      </c>
      <c r="J5451" s="444">
        <f t="array" ref="J5451">IFERROR(INDEX('Retirement Calculator'!K:K,MATCH('Lorri 401b'!N5451,'Retirement Calculator'!A:A,0),0),0)</f>
        <v>0</v>
      </c>
      <c r="K5451" s="444">
        <f t="shared" ca="1" si="188"/>
        <v>-15680202712551.607</v>
      </c>
      <c r="L5451" s="444">
        <f t="shared" ca="1" si="189"/>
        <v>-3778928853724937.5</v>
      </c>
      <c r="M5451" s="460">
        <f t="shared" si="191"/>
        <v>0.05</v>
      </c>
      <c r="N5451" s="464">
        <f t="shared" si="192"/>
        <v>216957</v>
      </c>
    </row>
    <row r="5452" spans="7:14" ht="11.25" customHeight="1" x14ac:dyDescent="0.3">
      <c r="G5452" s="459"/>
      <c r="H5452" s="459">
        <v>5445</v>
      </c>
      <c r="I5452" s="444">
        <f t="shared" ca="1" si="190"/>
        <v>-3778928853724937.5</v>
      </c>
      <c r="J5452" s="444">
        <f t="array" ref="J5452">IFERROR(INDEX('Retirement Calculator'!K:K,MATCH('Lorri 401b'!N5452,'Retirement Calculator'!A:A,0),0),0)</f>
        <v>0</v>
      </c>
      <c r="K5452" s="444">
        <f t="shared" ca="1" si="188"/>
        <v>-15745536890520.572</v>
      </c>
      <c r="L5452" s="444">
        <f t="shared" ca="1" si="189"/>
        <v>-3794674390615458</v>
      </c>
      <c r="M5452" s="460">
        <f t="shared" si="191"/>
        <v>0.05</v>
      </c>
      <c r="N5452" s="464">
        <f t="shared" si="192"/>
        <v>216988</v>
      </c>
    </row>
    <row r="5453" spans="7:14" ht="11.25" customHeight="1" x14ac:dyDescent="0.3">
      <c r="G5453" s="459"/>
      <c r="H5453" s="459">
        <v>5446</v>
      </c>
      <c r="I5453" s="444">
        <f t="shared" ca="1" si="190"/>
        <v>-3794674390615458</v>
      </c>
      <c r="J5453" s="444">
        <f t="array" ref="J5453">IFERROR(INDEX('Retirement Calculator'!K:K,MATCH('Lorri 401b'!N5453,'Retirement Calculator'!A:A,0),0),0)</f>
        <v>0</v>
      </c>
      <c r="K5453" s="444">
        <f t="shared" ca="1" si="188"/>
        <v>-15811143294231.072</v>
      </c>
      <c r="L5453" s="444">
        <f t="shared" ca="1" si="189"/>
        <v>-3810485533909689</v>
      </c>
      <c r="M5453" s="460">
        <f t="shared" si="191"/>
        <v>0.05</v>
      </c>
      <c r="N5453" s="464">
        <f t="shared" si="192"/>
        <v>217016</v>
      </c>
    </row>
    <row r="5454" spans="7:14" ht="11.25" customHeight="1" x14ac:dyDescent="0.3">
      <c r="G5454" s="459"/>
      <c r="H5454" s="459">
        <v>5447</v>
      </c>
      <c r="I5454" s="444">
        <f t="shared" ca="1" si="190"/>
        <v>-3810485533909689</v>
      </c>
      <c r="J5454" s="444">
        <f t="array" ref="J5454">IFERROR(INDEX('Retirement Calculator'!K:K,MATCH('Lorri 401b'!N5454,'Retirement Calculator'!A:A,0),0),0)</f>
        <v>0</v>
      </c>
      <c r="K5454" s="444">
        <f t="shared" ca="1" si="188"/>
        <v>-15877023057957.037</v>
      </c>
      <c r="L5454" s="444">
        <f t="shared" ca="1" si="189"/>
        <v>-3826362556967646</v>
      </c>
      <c r="M5454" s="460">
        <f t="shared" si="191"/>
        <v>0.05</v>
      </c>
      <c r="N5454" s="464">
        <f t="shared" si="192"/>
        <v>217047</v>
      </c>
    </row>
    <row r="5455" spans="7:14" ht="11.25" customHeight="1" x14ac:dyDescent="0.3">
      <c r="G5455" s="459"/>
      <c r="H5455" s="459">
        <v>5448</v>
      </c>
      <c r="I5455" s="444">
        <f t="shared" ca="1" si="190"/>
        <v>-3826362556967646</v>
      </c>
      <c r="J5455" s="444">
        <f t="array" ref="J5455">IFERROR(INDEX('Retirement Calculator'!K:K,MATCH('Lorri 401b'!N5455,'Retirement Calculator'!A:A,0),0),0)</f>
        <v>0</v>
      </c>
      <c r="K5455" s="444">
        <f t="shared" ca="1" si="188"/>
        <v>-15943177320698.525</v>
      </c>
      <c r="L5455" s="444">
        <f t="shared" ca="1" si="189"/>
        <v>-3842305734288344.5</v>
      </c>
      <c r="M5455" s="460">
        <f t="shared" si="191"/>
        <v>0.05</v>
      </c>
      <c r="N5455" s="464">
        <f t="shared" si="192"/>
        <v>217077</v>
      </c>
    </row>
    <row r="5456" spans="7:14" ht="11.25" customHeight="1" x14ac:dyDescent="0.3">
      <c r="G5456" s="459"/>
      <c r="H5456" s="459">
        <v>5449</v>
      </c>
      <c r="I5456" s="444">
        <f t="shared" ca="1" si="190"/>
        <v>-3842305734288344.5</v>
      </c>
      <c r="J5456" s="444">
        <f t="array" ref="J5456">IFERROR(INDEX('Retirement Calculator'!K:K,MATCH('Lorri 401b'!N5456,'Retirement Calculator'!A:A,0),0),0)</f>
        <v>0</v>
      </c>
      <c r="K5456" s="444">
        <f t="shared" ca="1" si="188"/>
        <v>-16009607226201.436</v>
      </c>
      <c r="L5456" s="444">
        <f t="shared" ca="1" si="189"/>
        <v>-3858315341514546</v>
      </c>
      <c r="M5456" s="460">
        <f t="shared" si="191"/>
        <v>0.05</v>
      </c>
      <c r="N5456" s="464">
        <f t="shared" si="192"/>
        <v>217108</v>
      </c>
    </row>
    <row r="5457" spans="7:14" ht="11.25" customHeight="1" x14ac:dyDescent="0.3">
      <c r="G5457" s="459"/>
      <c r="H5457" s="459">
        <v>5450</v>
      </c>
      <c r="I5457" s="444">
        <f t="shared" ca="1" si="190"/>
        <v>-3858315341514546</v>
      </c>
      <c r="J5457" s="444">
        <f t="array" ref="J5457">IFERROR(INDEX('Retirement Calculator'!K:K,MATCH('Lorri 401b'!N5457,'Retirement Calculator'!A:A,0),0),0)</f>
        <v>0</v>
      </c>
      <c r="K5457" s="444">
        <f t="shared" ca="1" si="188"/>
        <v>-16076313922977.273</v>
      </c>
      <c r="L5457" s="444">
        <f t="shared" ca="1" si="189"/>
        <v>-3874391655437523.5</v>
      </c>
      <c r="M5457" s="460">
        <f t="shared" si="191"/>
        <v>0.05</v>
      </c>
      <c r="N5457" s="464">
        <f t="shared" si="192"/>
        <v>217138</v>
      </c>
    </row>
    <row r="5458" spans="7:14" ht="11.25" customHeight="1" x14ac:dyDescent="0.3">
      <c r="G5458" s="459"/>
      <c r="H5458" s="459">
        <v>5451</v>
      </c>
      <c r="I5458" s="444">
        <f t="shared" ca="1" si="190"/>
        <v>-3874391655437523.5</v>
      </c>
      <c r="J5458" s="444">
        <f t="array" ref="J5458">IFERROR(INDEX('Retirement Calculator'!K:K,MATCH('Lorri 401b'!N5458,'Retirement Calculator'!A:A,0),0),0)</f>
        <v>0</v>
      </c>
      <c r="K5458" s="444">
        <f t="shared" ca="1" si="188"/>
        <v>-16143298564323.014</v>
      </c>
      <c r="L5458" s="444">
        <f t="shared" ca="1" si="189"/>
        <v>-3890534954001846.5</v>
      </c>
      <c r="M5458" s="460">
        <f t="shared" si="191"/>
        <v>0.05</v>
      </c>
      <c r="N5458" s="464">
        <f t="shared" si="192"/>
        <v>217169</v>
      </c>
    </row>
    <row r="5459" spans="7:14" ht="11.25" customHeight="1" x14ac:dyDescent="0.3">
      <c r="G5459" s="459"/>
      <c r="H5459" s="459">
        <v>5452</v>
      </c>
      <c r="I5459" s="444">
        <f t="shared" ca="1" si="190"/>
        <v>-3890534954001846.5</v>
      </c>
      <c r="J5459" s="444">
        <f t="array" ref="J5459">IFERROR(INDEX('Retirement Calculator'!K:K,MATCH('Lorri 401b'!N5459,'Retirement Calculator'!A:A,0),0),0)</f>
        <v>0</v>
      </c>
      <c r="K5459" s="444">
        <f t="shared" ca="1" si="188"/>
        <v>-16210562308341.027</v>
      </c>
      <c r="L5459" s="444">
        <f t="shared" ca="1" si="189"/>
        <v>-3906745516310187.5</v>
      </c>
      <c r="M5459" s="460">
        <f t="shared" si="191"/>
        <v>0.05</v>
      </c>
      <c r="N5459" s="464">
        <f t="shared" si="192"/>
        <v>217200</v>
      </c>
    </row>
    <row r="5460" spans="7:14" ht="11.25" customHeight="1" x14ac:dyDescent="0.3">
      <c r="G5460" s="459"/>
      <c r="H5460" s="459">
        <v>5453</v>
      </c>
      <c r="I5460" s="444">
        <f t="shared" ca="1" si="190"/>
        <v>-3906745516310187.5</v>
      </c>
      <c r="J5460" s="444">
        <f t="array" ref="J5460">IFERROR(INDEX('Retirement Calculator'!K:K,MATCH('Lorri 401b'!N5460,'Retirement Calculator'!A:A,0),0),0)</f>
        <v>0</v>
      </c>
      <c r="K5460" s="444">
        <f t="shared" ca="1" si="188"/>
        <v>-16278106317959.115</v>
      </c>
      <c r="L5460" s="444">
        <f t="shared" ca="1" si="189"/>
        <v>-3923023622628146.5</v>
      </c>
      <c r="M5460" s="460">
        <f t="shared" si="191"/>
        <v>0.05</v>
      </c>
      <c r="N5460" s="464">
        <f t="shared" si="192"/>
        <v>217230</v>
      </c>
    </row>
    <row r="5461" spans="7:14" ht="11.25" customHeight="1" x14ac:dyDescent="0.3">
      <c r="G5461" s="459"/>
      <c r="H5461" s="459">
        <v>5454</v>
      </c>
      <c r="I5461" s="444">
        <f t="shared" ca="1" si="190"/>
        <v>-3923023622628146.5</v>
      </c>
      <c r="J5461" s="444">
        <f t="array" ref="J5461">IFERROR(INDEX('Retirement Calculator'!K:K,MATCH('Lorri 401b'!N5461,'Retirement Calculator'!A:A,0),0),0)</f>
        <v>0</v>
      </c>
      <c r="K5461" s="444">
        <f t="shared" ca="1" si="188"/>
        <v>-16345931760950.609</v>
      </c>
      <c r="L5461" s="444">
        <f t="shared" ca="1" si="189"/>
        <v>-3939369554389097</v>
      </c>
      <c r="M5461" s="460">
        <f t="shared" si="191"/>
        <v>0.05</v>
      </c>
      <c r="N5461" s="464">
        <f t="shared" si="192"/>
        <v>217261</v>
      </c>
    </row>
    <row r="5462" spans="7:14" ht="11.25" customHeight="1" x14ac:dyDescent="0.3">
      <c r="G5462" s="459"/>
      <c r="H5462" s="459">
        <v>5455</v>
      </c>
      <c r="I5462" s="444">
        <f t="shared" ca="1" si="190"/>
        <v>-3939369554389097</v>
      </c>
      <c r="J5462" s="444">
        <f t="array" ref="J5462">IFERROR(INDEX('Retirement Calculator'!K:K,MATCH('Lorri 401b'!N5462,'Retirement Calculator'!A:A,0),0),0)</f>
        <v>0</v>
      </c>
      <c r="K5462" s="444">
        <f t="shared" ca="1" si="188"/>
        <v>-16414039809954.568</v>
      </c>
      <c r="L5462" s="444">
        <f t="shared" ca="1" si="189"/>
        <v>-3955783594199051.5</v>
      </c>
      <c r="M5462" s="460">
        <f t="shared" si="191"/>
        <v>0.05</v>
      </c>
      <c r="N5462" s="464">
        <f t="shared" si="192"/>
        <v>217291</v>
      </c>
    </row>
    <row r="5463" spans="7:14" ht="11.25" customHeight="1" x14ac:dyDescent="0.3">
      <c r="G5463" s="459"/>
      <c r="H5463" s="459">
        <v>5456</v>
      </c>
      <c r="I5463" s="444">
        <f t="shared" ca="1" si="190"/>
        <v>-3955783594199051.5</v>
      </c>
      <c r="J5463" s="444">
        <f t="array" ref="J5463">IFERROR(INDEX('Retirement Calculator'!K:K,MATCH('Lorri 401b'!N5463,'Retirement Calculator'!A:A,0),0),0)</f>
        <v>0</v>
      </c>
      <c r="K5463" s="444">
        <f t="shared" ca="1" si="188"/>
        <v>-16482431642496.047</v>
      </c>
      <c r="L5463" s="444">
        <f t="shared" ca="1" si="189"/>
        <v>-3972266025841547.5</v>
      </c>
      <c r="M5463" s="460">
        <f t="shared" si="191"/>
        <v>0.05</v>
      </c>
      <c r="N5463" s="464">
        <f t="shared" si="192"/>
        <v>217322</v>
      </c>
    </row>
    <row r="5464" spans="7:14" ht="11.25" customHeight="1" x14ac:dyDescent="0.3">
      <c r="G5464" s="459"/>
      <c r="H5464" s="459">
        <v>5457</v>
      </c>
      <c r="I5464" s="444">
        <f t="shared" ca="1" si="190"/>
        <v>-3972266025841547.5</v>
      </c>
      <c r="J5464" s="444">
        <f t="array" ref="J5464">IFERROR(INDEX('Retirement Calculator'!K:K,MATCH('Lorri 401b'!N5464,'Retirement Calculator'!A:A,0),0),0)</f>
        <v>0</v>
      </c>
      <c r="K5464" s="444">
        <f t="shared" ca="1" si="188"/>
        <v>-16551108441006.449</v>
      </c>
      <c r="L5464" s="444">
        <f t="shared" ca="1" si="189"/>
        <v>-3988817134282554</v>
      </c>
      <c r="M5464" s="460">
        <f t="shared" si="191"/>
        <v>0.05</v>
      </c>
      <c r="N5464" s="464">
        <f t="shared" si="192"/>
        <v>217353</v>
      </c>
    </row>
    <row r="5465" spans="7:14" ht="11.25" customHeight="1" x14ac:dyDescent="0.3">
      <c r="G5465" s="459"/>
      <c r="H5465" s="459">
        <v>5458</v>
      </c>
      <c r="I5465" s="444">
        <f t="shared" ca="1" si="190"/>
        <v>-3988817134282554</v>
      </c>
      <c r="J5465" s="444">
        <f t="array" ref="J5465">IFERROR(INDEX('Retirement Calculator'!K:K,MATCH('Lorri 401b'!N5465,'Retirement Calculator'!A:A,0),0),0)</f>
        <v>0</v>
      </c>
      <c r="K5465" s="444">
        <f t="shared" ca="1" si="188"/>
        <v>-16620071392843.975</v>
      </c>
      <c r="L5465" s="444">
        <f t="shared" ca="1" si="189"/>
        <v>-4005437205675398</v>
      </c>
      <c r="M5465" s="460">
        <f t="shared" si="191"/>
        <v>0.05</v>
      </c>
      <c r="N5465" s="464">
        <f t="shared" si="192"/>
        <v>217381</v>
      </c>
    </row>
    <row r="5466" spans="7:14" ht="11.25" customHeight="1" x14ac:dyDescent="0.3">
      <c r="G5466" s="459"/>
      <c r="H5466" s="459">
        <v>5459</v>
      </c>
      <c r="I5466" s="444">
        <f t="shared" ca="1" si="190"/>
        <v>-4005437205675398</v>
      </c>
      <c r="J5466" s="444">
        <f t="array" ref="J5466">IFERROR(INDEX('Retirement Calculator'!K:K,MATCH('Lorri 401b'!N5466,'Retirement Calculator'!A:A,0),0),0)</f>
        <v>0</v>
      </c>
      <c r="K5466" s="444">
        <f t="shared" ca="1" si="188"/>
        <v>-16689321690314.16</v>
      </c>
      <c r="L5466" s="444">
        <f t="shared" ca="1" si="189"/>
        <v>-4022126527365712</v>
      </c>
      <c r="M5466" s="460">
        <f t="shared" si="191"/>
        <v>0.05</v>
      </c>
      <c r="N5466" s="464">
        <f t="shared" si="192"/>
        <v>217412</v>
      </c>
    </row>
    <row r="5467" spans="7:14" ht="11.25" customHeight="1" x14ac:dyDescent="0.3">
      <c r="G5467" s="459"/>
      <c r="H5467" s="459">
        <v>5460</v>
      </c>
      <c r="I5467" s="444">
        <f t="shared" ca="1" si="190"/>
        <v>-4022126527365712</v>
      </c>
      <c r="J5467" s="444">
        <f t="array" ref="J5467">IFERROR(INDEX('Retirement Calculator'!K:K,MATCH('Lorri 401b'!N5467,'Retirement Calculator'!A:A,0),0),0)</f>
        <v>0</v>
      </c>
      <c r="K5467" s="444">
        <f t="shared" ca="1" si="188"/>
        <v>-16758860530690.467</v>
      </c>
      <c r="L5467" s="444">
        <f t="shared" ca="1" si="189"/>
        <v>-4038885387896402.5</v>
      </c>
      <c r="M5467" s="460">
        <f t="shared" si="191"/>
        <v>0.05</v>
      </c>
      <c r="N5467" s="464">
        <f t="shared" si="192"/>
        <v>217442</v>
      </c>
    </row>
    <row r="5468" spans="7:14" ht="11.25" customHeight="1" x14ac:dyDescent="0.3">
      <c r="G5468" s="459"/>
      <c r="H5468" s="459">
        <v>5461</v>
      </c>
      <c r="I5468" s="444">
        <f t="shared" ca="1" si="190"/>
        <v>-4038885387896402.5</v>
      </c>
      <c r="J5468" s="444">
        <f t="array" ref="J5468">IFERROR(INDEX('Retirement Calculator'!K:K,MATCH('Lorri 401b'!N5468,'Retirement Calculator'!A:A,0),0),0)</f>
        <v>0</v>
      </c>
      <c r="K5468" s="444">
        <f t="shared" ca="1" si="188"/>
        <v>-16828689116235.01</v>
      </c>
      <c r="L5468" s="444">
        <f t="shared" ca="1" si="189"/>
        <v>-4055714077012637.5</v>
      </c>
      <c r="M5468" s="460">
        <f t="shared" si="191"/>
        <v>0.05</v>
      </c>
      <c r="N5468" s="464">
        <f t="shared" si="192"/>
        <v>217473</v>
      </c>
    </row>
    <row r="5469" spans="7:14" ht="11.25" customHeight="1" x14ac:dyDescent="0.3">
      <c r="G5469" s="459"/>
      <c r="H5469" s="459">
        <v>5462</v>
      </c>
      <c r="I5469" s="444">
        <f t="shared" ca="1" si="190"/>
        <v>-4055714077012637.5</v>
      </c>
      <c r="J5469" s="444">
        <f t="array" ref="J5469">IFERROR(INDEX('Retirement Calculator'!K:K,MATCH('Lorri 401b'!N5469,'Retirement Calculator'!A:A,0),0),0)</f>
        <v>0</v>
      </c>
      <c r="K5469" s="444">
        <f t="shared" ca="1" si="188"/>
        <v>-16898808654219.322</v>
      </c>
      <c r="L5469" s="444">
        <f t="shared" ca="1" si="189"/>
        <v>-4072612885666857</v>
      </c>
      <c r="M5469" s="460">
        <f t="shared" si="191"/>
        <v>0.05</v>
      </c>
      <c r="N5469" s="464">
        <f t="shared" si="192"/>
        <v>217503</v>
      </c>
    </row>
    <row r="5470" spans="7:14" ht="11.25" customHeight="1" x14ac:dyDescent="0.3">
      <c r="G5470" s="459"/>
      <c r="H5470" s="459">
        <v>5463</v>
      </c>
      <c r="I5470" s="444">
        <f t="shared" ca="1" si="190"/>
        <v>-4072612885666857</v>
      </c>
      <c r="J5470" s="444">
        <f t="array" ref="J5470">IFERROR(INDEX('Retirement Calculator'!K:K,MATCH('Lorri 401b'!N5470,'Retirement Calculator'!A:A,0),0),0)</f>
        <v>0</v>
      </c>
      <c r="K5470" s="444">
        <f t="shared" ca="1" si="188"/>
        <v>-16969220356945.234</v>
      </c>
      <c r="L5470" s="444">
        <f t="shared" ca="1" si="189"/>
        <v>-4089582106023802</v>
      </c>
      <c r="M5470" s="460">
        <f t="shared" si="191"/>
        <v>0.05</v>
      </c>
      <c r="N5470" s="464">
        <f t="shared" si="192"/>
        <v>217534</v>
      </c>
    </row>
    <row r="5471" spans="7:14" ht="11.25" customHeight="1" x14ac:dyDescent="0.3">
      <c r="G5471" s="459"/>
      <c r="H5471" s="459">
        <v>5464</v>
      </c>
      <c r="I5471" s="444">
        <f t="shared" ca="1" si="190"/>
        <v>-4089582106023802</v>
      </c>
      <c r="J5471" s="444">
        <f t="array" ref="J5471">IFERROR(INDEX('Retirement Calculator'!K:K,MATCH('Lorri 401b'!N5471,'Retirement Calculator'!A:A,0),0),0)</f>
        <v>0</v>
      </c>
      <c r="K5471" s="444">
        <f t="shared" ca="1" si="188"/>
        <v>-17039925441765.842</v>
      </c>
      <c r="L5471" s="444">
        <f t="shared" ca="1" si="189"/>
        <v>-4106622031465568</v>
      </c>
      <c r="M5471" s="460">
        <f t="shared" si="191"/>
        <v>0.05</v>
      </c>
      <c r="N5471" s="464">
        <f t="shared" si="192"/>
        <v>217565</v>
      </c>
    </row>
    <row r="5472" spans="7:14" ht="11.25" customHeight="1" x14ac:dyDescent="0.3">
      <c r="G5472" s="459"/>
      <c r="H5472" s="459">
        <v>5465</v>
      </c>
      <c r="I5472" s="444">
        <f t="shared" ca="1" si="190"/>
        <v>-4106622031465568</v>
      </c>
      <c r="J5472" s="444">
        <f t="array" ref="J5472">IFERROR(INDEX('Retirement Calculator'!K:K,MATCH('Lorri 401b'!N5472,'Retirement Calculator'!A:A,0),0),0)</f>
        <v>0</v>
      </c>
      <c r="K5472" s="444">
        <f t="shared" ca="1" si="188"/>
        <v>-17110925131106.531</v>
      </c>
      <c r="L5472" s="444">
        <f t="shared" ca="1" si="189"/>
        <v>-4123732956596674.5</v>
      </c>
      <c r="M5472" s="460">
        <f t="shared" si="191"/>
        <v>0.05</v>
      </c>
      <c r="N5472" s="464">
        <f t="shared" si="192"/>
        <v>217595</v>
      </c>
    </row>
    <row r="5473" spans="7:14" ht="11.25" customHeight="1" x14ac:dyDescent="0.3">
      <c r="G5473" s="459"/>
      <c r="H5473" s="459">
        <v>5466</v>
      </c>
      <c r="I5473" s="444">
        <f t="shared" ca="1" si="190"/>
        <v>-4123732956596674.5</v>
      </c>
      <c r="J5473" s="444">
        <f t="array" ref="J5473">IFERROR(INDEX('Retirement Calculator'!K:K,MATCH('Lorri 401b'!N5473,'Retirement Calculator'!A:A,0),0),0)</f>
        <v>0</v>
      </c>
      <c r="K5473" s="444">
        <f t="shared" ca="1" si="188"/>
        <v>-17182220652486.143</v>
      </c>
      <c r="L5473" s="444">
        <f t="shared" ca="1" si="189"/>
        <v>-4140915177249160.5</v>
      </c>
      <c r="M5473" s="460">
        <f t="shared" si="191"/>
        <v>0.05</v>
      </c>
      <c r="N5473" s="464">
        <f t="shared" si="192"/>
        <v>217626</v>
      </c>
    </row>
    <row r="5474" spans="7:14" ht="11.25" customHeight="1" x14ac:dyDescent="0.3">
      <c r="G5474" s="459"/>
      <c r="H5474" s="459">
        <v>5467</v>
      </c>
      <c r="I5474" s="444">
        <f t="shared" ca="1" si="190"/>
        <v>-4140915177249160.5</v>
      </c>
      <c r="J5474" s="444">
        <f t="array" ref="J5474">IFERROR(INDEX('Retirement Calculator'!K:K,MATCH('Lorri 401b'!N5474,'Retirement Calculator'!A:A,0),0),0)</f>
        <v>0</v>
      </c>
      <c r="K5474" s="444">
        <f t="shared" ca="1" si="188"/>
        <v>-17253813238538.17</v>
      </c>
      <c r="L5474" s="444">
        <f t="shared" ca="1" si="189"/>
        <v>-4158168990487698.5</v>
      </c>
      <c r="M5474" s="460">
        <f t="shared" si="191"/>
        <v>0.05</v>
      </c>
      <c r="N5474" s="464">
        <f t="shared" si="192"/>
        <v>217656</v>
      </c>
    </row>
    <row r="5475" spans="7:14" ht="11.25" customHeight="1" x14ac:dyDescent="0.3">
      <c r="G5475" s="459"/>
      <c r="H5475" s="459">
        <v>5468</v>
      </c>
      <c r="I5475" s="444">
        <f t="shared" ca="1" si="190"/>
        <v>-4158168990487698.5</v>
      </c>
      <c r="J5475" s="444">
        <f t="array" ref="J5475">IFERROR(INDEX('Retirement Calculator'!K:K,MATCH('Lorri 401b'!N5475,'Retirement Calculator'!A:A,0),0),0)</f>
        <v>0</v>
      </c>
      <c r="K5475" s="444">
        <f t="shared" ca="1" si="188"/>
        <v>-17325704127032.076</v>
      </c>
      <c r="L5475" s="444">
        <f t="shared" ca="1" si="189"/>
        <v>-4175494694614730.5</v>
      </c>
      <c r="M5475" s="460">
        <f t="shared" si="191"/>
        <v>0.05</v>
      </c>
      <c r="N5475" s="464">
        <f t="shared" si="192"/>
        <v>217687</v>
      </c>
    </row>
    <row r="5476" spans="7:14" ht="11.25" customHeight="1" x14ac:dyDescent="0.3">
      <c r="G5476" s="459"/>
      <c r="H5476" s="459">
        <v>5469</v>
      </c>
      <c r="I5476" s="444">
        <f t="shared" ca="1" si="190"/>
        <v>-4175494694614730.5</v>
      </c>
      <c r="J5476" s="444">
        <f t="array" ref="J5476">IFERROR(INDEX('Retirement Calculator'!K:K,MATCH('Lorri 401b'!N5476,'Retirement Calculator'!A:A,0),0),0)</f>
        <v>0</v>
      </c>
      <c r="K5476" s="444">
        <f t="shared" ca="1" si="188"/>
        <v>-17397894560894.711</v>
      </c>
      <c r="L5476" s="444">
        <f t="shared" ca="1" si="189"/>
        <v>-4192892589175625</v>
      </c>
      <c r="M5476" s="460">
        <f t="shared" si="191"/>
        <v>0.05</v>
      </c>
      <c r="N5476" s="464">
        <f t="shared" si="192"/>
        <v>217718</v>
      </c>
    </row>
    <row r="5477" spans="7:14" ht="11.25" customHeight="1" x14ac:dyDescent="0.3">
      <c r="G5477" s="459"/>
      <c r="H5477" s="459">
        <v>5470</v>
      </c>
      <c r="I5477" s="444">
        <f t="shared" ca="1" si="190"/>
        <v>-4192892589175625</v>
      </c>
      <c r="J5477" s="444">
        <f t="array" ref="J5477">IFERROR(INDEX('Retirement Calculator'!K:K,MATCH('Lorri 401b'!N5477,'Retirement Calculator'!A:A,0),0),0)</f>
        <v>0</v>
      </c>
      <c r="K5477" s="444">
        <f t="shared" ca="1" si="188"/>
        <v>-17470385788231.773</v>
      </c>
      <c r="L5477" s="444">
        <f t="shared" ca="1" si="189"/>
        <v>-4210362974963857</v>
      </c>
      <c r="M5477" s="460">
        <f t="shared" si="191"/>
        <v>0.05</v>
      </c>
      <c r="N5477" s="464">
        <f t="shared" si="192"/>
        <v>217747</v>
      </c>
    </row>
    <row r="5478" spans="7:14" ht="11.25" customHeight="1" x14ac:dyDescent="0.3">
      <c r="G5478" s="459"/>
      <c r="H5478" s="459">
        <v>5471</v>
      </c>
      <c r="I5478" s="444">
        <f t="shared" ca="1" si="190"/>
        <v>-4210362974963857</v>
      </c>
      <c r="J5478" s="444">
        <f t="array" ref="J5478">IFERROR(INDEX('Retirement Calculator'!K:K,MATCH('Lorri 401b'!N5478,'Retirement Calculator'!A:A,0),0),0)</f>
        <v>0</v>
      </c>
      <c r="K5478" s="444">
        <f t="shared" ca="1" si="188"/>
        <v>-17543179062349.404</v>
      </c>
      <c r="L5478" s="444">
        <f t="shared" ca="1" si="189"/>
        <v>-4227906154026206.5</v>
      </c>
      <c r="M5478" s="460">
        <f t="shared" si="191"/>
        <v>0.05</v>
      </c>
      <c r="N5478" s="464">
        <f t="shared" si="192"/>
        <v>217778</v>
      </c>
    </row>
    <row r="5479" spans="7:14" ht="11.25" customHeight="1" x14ac:dyDescent="0.3">
      <c r="G5479" s="459"/>
      <c r="H5479" s="459">
        <v>5472</v>
      </c>
      <c r="I5479" s="444">
        <f t="shared" ca="1" si="190"/>
        <v>-4227906154026206.5</v>
      </c>
      <c r="J5479" s="444">
        <f t="array" ref="J5479">IFERROR(INDEX('Retirement Calculator'!K:K,MATCH('Lorri 401b'!N5479,'Retirement Calculator'!A:A,0),0),0)</f>
        <v>0</v>
      </c>
      <c r="K5479" s="444">
        <f t="shared" ca="1" si="188"/>
        <v>-17616275641775.863</v>
      </c>
      <c r="L5479" s="444">
        <f t="shared" ca="1" si="189"/>
        <v>-4245522429667982.5</v>
      </c>
      <c r="M5479" s="460">
        <f t="shared" si="191"/>
        <v>0.05</v>
      </c>
      <c r="N5479" s="464">
        <f t="shared" si="192"/>
        <v>217808</v>
      </c>
    </row>
    <row r="5480" spans="7:14" ht="11.25" customHeight="1" x14ac:dyDescent="0.3">
      <c r="G5480" s="459"/>
      <c r="H5480" s="459">
        <v>5473</v>
      </c>
      <c r="I5480" s="444">
        <f t="shared" ca="1" si="190"/>
        <v>-4245522429667982.5</v>
      </c>
      <c r="J5480" s="444">
        <f t="array" ref="J5480">IFERROR(INDEX('Retirement Calculator'!K:K,MATCH('Lorri 401b'!N5480,'Retirement Calculator'!A:A,0),0),0)</f>
        <v>0</v>
      </c>
      <c r="K5480" s="444">
        <f t="shared" ca="1" si="188"/>
        <v>-17689676790283.262</v>
      </c>
      <c r="L5480" s="444">
        <f t="shared" ca="1" si="189"/>
        <v>-4263212106458266</v>
      </c>
      <c r="M5480" s="460">
        <f t="shared" si="191"/>
        <v>0.05</v>
      </c>
      <c r="N5480" s="464">
        <f t="shared" si="192"/>
        <v>217839</v>
      </c>
    </row>
    <row r="5481" spans="7:14" ht="11.25" customHeight="1" x14ac:dyDescent="0.3">
      <c r="G5481" s="459"/>
      <c r="H5481" s="459">
        <v>5474</v>
      </c>
      <c r="I5481" s="444">
        <f t="shared" ca="1" si="190"/>
        <v>-4263212106458266</v>
      </c>
      <c r="J5481" s="444">
        <f t="array" ref="J5481">IFERROR(INDEX('Retirement Calculator'!K:K,MATCH('Lorri 401b'!N5481,'Retirement Calculator'!A:A,0),0),0)</f>
        <v>0</v>
      </c>
      <c r="K5481" s="444">
        <f t="shared" ca="1" si="188"/>
        <v>-17763383776909.441</v>
      </c>
      <c r="L5481" s="444">
        <f t="shared" ca="1" si="189"/>
        <v>-4280975490235175.5</v>
      </c>
      <c r="M5481" s="460">
        <f t="shared" si="191"/>
        <v>0.05</v>
      </c>
      <c r="N5481" s="464">
        <f t="shared" si="192"/>
        <v>217869</v>
      </c>
    </row>
    <row r="5482" spans="7:14" ht="11.25" customHeight="1" x14ac:dyDescent="0.3">
      <c r="G5482" s="459"/>
      <c r="H5482" s="459">
        <v>5475</v>
      </c>
      <c r="I5482" s="444">
        <f t="shared" ca="1" si="190"/>
        <v>-4280975490235175.5</v>
      </c>
      <c r="J5482" s="444">
        <f t="array" ref="J5482">IFERROR(INDEX('Retirement Calculator'!K:K,MATCH('Lorri 401b'!N5482,'Retirement Calculator'!A:A,0),0),0)</f>
        <v>0</v>
      </c>
      <c r="K5482" s="444">
        <f t="shared" ca="1" si="188"/>
        <v>-17837397875979.898</v>
      </c>
      <c r="L5482" s="444">
        <f t="shared" ca="1" si="189"/>
        <v>-4298812888111155.5</v>
      </c>
      <c r="M5482" s="460">
        <f t="shared" si="191"/>
        <v>0.05</v>
      </c>
      <c r="N5482" s="464">
        <f t="shared" si="192"/>
        <v>217900</v>
      </c>
    </row>
    <row r="5483" spans="7:14" ht="11.25" customHeight="1" x14ac:dyDescent="0.3">
      <c r="G5483" s="459"/>
      <c r="H5483" s="459">
        <v>5476</v>
      </c>
      <c r="I5483" s="444">
        <f t="shared" ca="1" si="190"/>
        <v>-4298812888111155.5</v>
      </c>
      <c r="J5483" s="444">
        <f t="array" ref="J5483">IFERROR(INDEX('Retirement Calculator'!K:K,MATCH('Lorri 401b'!N5483,'Retirement Calculator'!A:A,0),0),0)</f>
        <v>0</v>
      </c>
      <c r="K5483" s="444">
        <f t="shared" ca="1" si="188"/>
        <v>-17911720367129.813</v>
      </c>
      <c r="L5483" s="444">
        <f t="shared" ca="1" si="189"/>
        <v>-4316724608478285.5</v>
      </c>
      <c r="M5483" s="460">
        <f t="shared" si="191"/>
        <v>0.05</v>
      </c>
      <c r="N5483" s="464">
        <f t="shared" si="192"/>
        <v>217931</v>
      </c>
    </row>
    <row r="5484" spans="7:14" ht="11.25" customHeight="1" x14ac:dyDescent="0.3">
      <c r="G5484" s="459"/>
      <c r="H5484" s="459">
        <v>5477</v>
      </c>
      <c r="I5484" s="444">
        <f t="shared" ca="1" si="190"/>
        <v>-4316724608478285.5</v>
      </c>
      <c r="J5484" s="444">
        <f t="array" ref="J5484">IFERROR(INDEX('Retirement Calculator'!K:K,MATCH('Lorri 401b'!N5484,'Retirement Calculator'!A:A,0),0),0)</f>
        <v>0</v>
      </c>
      <c r="K5484" s="444">
        <f t="shared" ca="1" si="188"/>
        <v>-17986352535326.188</v>
      </c>
      <c r="L5484" s="444">
        <f t="shared" ca="1" si="189"/>
        <v>-4334710961013611.5</v>
      </c>
      <c r="M5484" s="460">
        <f t="shared" si="191"/>
        <v>0.05</v>
      </c>
      <c r="N5484" s="464">
        <f t="shared" si="192"/>
        <v>217961</v>
      </c>
    </row>
    <row r="5485" spans="7:14" ht="11.25" customHeight="1" x14ac:dyDescent="0.3">
      <c r="G5485" s="459"/>
      <c r="H5485" s="459">
        <v>5478</v>
      </c>
      <c r="I5485" s="444">
        <f t="shared" ca="1" si="190"/>
        <v>-4334710961013611.5</v>
      </c>
      <c r="J5485" s="444">
        <f t="array" ref="J5485">IFERROR(INDEX('Retirement Calculator'!K:K,MATCH('Lorri 401b'!N5485,'Retirement Calculator'!A:A,0),0),0)</f>
        <v>0</v>
      </c>
      <c r="K5485" s="444">
        <f t="shared" ca="1" si="188"/>
        <v>-18061295670890.047</v>
      </c>
      <c r="L5485" s="444">
        <f t="shared" ca="1" si="189"/>
        <v>-4352772256684501.5</v>
      </c>
      <c r="M5485" s="460">
        <f t="shared" si="191"/>
        <v>0.05</v>
      </c>
      <c r="N5485" s="464">
        <f t="shared" si="192"/>
        <v>217992</v>
      </c>
    </row>
    <row r="5486" spans="7:14" ht="11.25" customHeight="1" x14ac:dyDescent="0.3">
      <c r="G5486" s="459"/>
      <c r="H5486" s="459">
        <v>5479</v>
      </c>
      <c r="I5486" s="444">
        <f t="shared" ca="1" si="190"/>
        <v>-4352772256684501.5</v>
      </c>
      <c r="J5486" s="444">
        <f t="array" ref="J5486">IFERROR(INDEX('Retirement Calculator'!K:K,MATCH('Lorri 401b'!N5486,'Retirement Calculator'!A:A,0),0),0)</f>
        <v>0</v>
      </c>
      <c r="K5486" s="444">
        <f t="shared" ca="1" si="188"/>
        <v>-18136551069518.754</v>
      </c>
      <c r="L5486" s="444">
        <f t="shared" ca="1" si="189"/>
        <v>-4370908807754020.5</v>
      </c>
      <c r="M5486" s="460">
        <f t="shared" si="191"/>
        <v>0.05</v>
      </c>
      <c r="N5486" s="464">
        <f t="shared" si="192"/>
        <v>218022</v>
      </c>
    </row>
    <row r="5487" spans="7:14" ht="11.25" customHeight="1" x14ac:dyDescent="0.3">
      <c r="G5487" s="459"/>
      <c r="H5487" s="459">
        <v>5480</v>
      </c>
      <c r="I5487" s="444">
        <f t="shared" ca="1" si="190"/>
        <v>-4370908807754020.5</v>
      </c>
      <c r="J5487" s="444">
        <f t="array" ref="J5487">IFERROR(INDEX('Retirement Calculator'!K:K,MATCH('Lorri 401b'!N5487,'Retirement Calculator'!A:A,0),0),0)</f>
        <v>0</v>
      </c>
      <c r="K5487" s="444">
        <f t="shared" ca="1" si="188"/>
        <v>-18212120032308.418</v>
      </c>
      <c r="L5487" s="444">
        <f t="shared" ca="1" si="189"/>
        <v>-4389120927786329</v>
      </c>
      <c r="M5487" s="460">
        <f t="shared" si="191"/>
        <v>0.05</v>
      </c>
      <c r="N5487" s="464">
        <f t="shared" si="192"/>
        <v>218053</v>
      </c>
    </row>
    <row r="5488" spans="7:14" ht="11.25" customHeight="1" x14ac:dyDescent="0.3">
      <c r="G5488" s="459"/>
      <c r="H5488" s="459">
        <v>5481</v>
      </c>
      <c r="I5488" s="444">
        <f t="shared" ca="1" si="190"/>
        <v>-4389120927786329</v>
      </c>
      <c r="J5488" s="444">
        <f t="array" ref="J5488">IFERROR(INDEX('Retirement Calculator'!K:K,MATCH('Lorri 401b'!N5488,'Retirement Calculator'!A:A,0),0),0)</f>
        <v>0</v>
      </c>
      <c r="K5488" s="444">
        <f t="shared" ca="1" si="188"/>
        <v>-18288003865776.371</v>
      </c>
      <c r="L5488" s="444">
        <f t="shared" ca="1" si="189"/>
        <v>-4407408931652105.5</v>
      </c>
      <c r="M5488" s="460">
        <f t="shared" si="191"/>
        <v>0.05</v>
      </c>
      <c r="N5488" s="464">
        <f t="shared" si="192"/>
        <v>218084</v>
      </c>
    </row>
    <row r="5489" spans="7:14" ht="11.25" customHeight="1" x14ac:dyDescent="0.3">
      <c r="G5489" s="459"/>
      <c r="H5489" s="459">
        <v>5482</v>
      </c>
      <c r="I5489" s="444">
        <f t="shared" ca="1" si="190"/>
        <v>-4407408931652105.5</v>
      </c>
      <c r="J5489" s="444">
        <f t="array" ref="J5489">IFERROR(INDEX('Retirement Calculator'!K:K,MATCH('Lorri 401b'!N5489,'Retirement Calculator'!A:A,0),0),0)</f>
        <v>0</v>
      </c>
      <c r="K5489" s="444">
        <f t="shared" ca="1" si="188"/>
        <v>-18364203881883.773</v>
      </c>
      <c r="L5489" s="444">
        <f t="shared" ca="1" si="189"/>
        <v>-4425773135533989.5</v>
      </c>
      <c r="M5489" s="460">
        <f t="shared" si="191"/>
        <v>0.05</v>
      </c>
      <c r="N5489" s="464">
        <f t="shared" si="192"/>
        <v>218112</v>
      </c>
    </row>
    <row r="5490" spans="7:14" ht="11.25" customHeight="1" x14ac:dyDescent="0.3">
      <c r="G5490" s="459"/>
      <c r="H5490" s="459">
        <v>5483</v>
      </c>
      <c r="I5490" s="444">
        <f t="shared" ca="1" si="190"/>
        <v>-4425773135533989.5</v>
      </c>
      <c r="J5490" s="444">
        <f t="array" ref="J5490">IFERROR(INDEX('Retirement Calculator'!K:K,MATCH('Lorri 401b'!N5490,'Retirement Calculator'!A:A,0),0),0)</f>
        <v>0</v>
      </c>
      <c r="K5490" s="444">
        <f t="shared" ca="1" si="188"/>
        <v>-18440721398058.289</v>
      </c>
      <c r="L5490" s="444">
        <f t="shared" ca="1" si="189"/>
        <v>-4444213856932048</v>
      </c>
      <c r="M5490" s="460">
        <f t="shared" si="191"/>
        <v>0.05</v>
      </c>
      <c r="N5490" s="464">
        <f t="shared" si="192"/>
        <v>218143</v>
      </c>
    </row>
    <row r="5491" spans="7:14" ht="11.25" customHeight="1" x14ac:dyDescent="0.3">
      <c r="G5491" s="459"/>
      <c r="H5491" s="459">
        <v>5484</v>
      </c>
      <c r="I5491" s="444">
        <f t="shared" ca="1" si="190"/>
        <v>-4444213856932048</v>
      </c>
      <c r="J5491" s="444">
        <f t="array" ref="J5491">IFERROR(INDEX('Retirement Calculator'!K:K,MATCH('Lorri 401b'!N5491,'Retirement Calculator'!A:A,0),0),0)</f>
        <v>0</v>
      </c>
      <c r="K5491" s="444">
        <f t="shared" ca="1" si="188"/>
        <v>-18517557737216.863</v>
      </c>
      <c r="L5491" s="444">
        <f t="shared" ca="1" si="189"/>
        <v>-4462731414669265</v>
      </c>
      <c r="M5491" s="460">
        <f t="shared" si="191"/>
        <v>0.05</v>
      </c>
      <c r="N5491" s="464">
        <f t="shared" si="192"/>
        <v>218173</v>
      </c>
    </row>
    <row r="5492" spans="7:14" ht="11.25" customHeight="1" x14ac:dyDescent="0.3">
      <c r="G5492" s="459"/>
      <c r="H5492" s="459">
        <v>5485</v>
      </c>
      <c r="I5492" s="444">
        <f t="shared" ca="1" si="190"/>
        <v>-4462731414669265</v>
      </c>
      <c r="J5492" s="444">
        <f t="array" ref="J5492">IFERROR(INDEX('Retirement Calculator'!K:K,MATCH('Lorri 401b'!N5492,'Retirement Calculator'!A:A,0),0),0)</f>
        <v>0</v>
      </c>
      <c r="K5492" s="444">
        <f t="shared" ca="1" si="188"/>
        <v>-18594714227788.605</v>
      </c>
      <c r="L5492" s="444">
        <f t="shared" ca="1" si="189"/>
        <v>-4481326128897053.5</v>
      </c>
      <c r="M5492" s="460">
        <f t="shared" si="191"/>
        <v>0.05</v>
      </c>
      <c r="N5492" s="464">
        <f t="shared" si="192"/>
        <v>218204</v>
      </c>
    </row>
    <row r="5493" spans="7:14" ht="11.25" customHeight="1" x14ac:dyDescent="0.3">
      <c r="G5493" s="459"/>
      <c r="H5493" s="459">
        <v>5486</v>
      </c>
      <c r="I5493" s="444">
        <f t="shared" ca="1" si="190"/>
        <v>-4481326128897053.5</v>
      </c>
      <c r="J5493" s="444">
        <f t="array" ref="J5493">IFERROR(INDEX('Retirement Calculator'!K:K,MATCH('Lorri 401b'!N5493,'Retirement Calculator'!A:A,0),0),0)</f>
        <v>0</v>
      </c>
      <c r="K5493" s="444">
        <f t="shared" ca="1" si="188"/>
        <v>-18672192203737.723</v>
      </c>
      <c r="L5493" s="444">
        <f t="shared" ca="1" si="189"/>
        <v>-4499998321100791</v>
      </c>
      <c r="M5493" s="460">
        <f t="shared" si="191"/>
        <v>0.05</v>
      </c>
      <c r="N5493" s="464">
        <f t="shared" si="192"/>
        <v>218234</v>
      </c>
    </row>
    <row r="5494" spans="7:14" ht="11.25" customHeight="1" x14ac:dyDescent="0.3">
      <c r="G5494" s="459"/>
      <c r="H5494" s="459">
        <v>5487</v>
      </c>
      <c r="I5494" s="444">
        <f t="shared" ca="1" si="190"/>
        <v>-4499998321100791</v>
      </c>
      <c r="J5494" s="444">
        <f t="array" ref="J5494">IFERROR(INDEX('Retirement Calculator'!K:K,MATCH('Lorri 401b'!N5494,'Retirement Calculator'!A:A,0),0),0)</f>
        <v>0</v>
      </c>
      <c r="K5494" s="444">
        <f t="shared" ca="1" si="188"/>
        <v>-18749993004586.625</v>
      </c>
      <c r="L5494" s="444">
        <f t="shared" ca="1" si="189"/>
        <v>-4518748314105378</v>
      </c>
      <c r="M5494" s="460">
        <f t="shared" si="191"/>
        <v>0.05</v>
      </c>
      <c r="N5494" s="464">
        <f t="shared" si="192"/>
        <v>218265</v>
      </c>
    </row>
    <row r="5495" spans="7:14" ht="11.25" customHeight="1" x14ac:dyDescent="0.3">
      <c r="G5495" s="459"/>
      <c r="H5495" s="459">
        <v>5488</v>
      </c>
      <c r="I5495" s="444">
        <f t="shared" ca="1" si="190"/>
        <v>-4518748314105378</v>
      </c>
      <c r="J5495" s="444">
        <f t="array" ref="J5495">IFERROR(INDEX('Retirement Calculator'!K:K,MATCH('Lorri 401b'!N5495,'Retirement Calculator'!A:A,0),0),0)</f>
        <v>0</v>
      </c>
      <c r="K5495" s="444">
        <f t="shared" ca="1" si="188"/>
        <v>-18828117975439.074</v>
      </c>
      <c r="L5495" s="444">
        <f t="shared" ca="1" si="189"/>
        <v>-4537576432080817</v>
      </c>
      <c r="M5495" s="460">
        <f t="shared" si="191"/>
        <v>0.05</v>
      </c>
      <c r="N5495" s="464">
        <f t="shared" si="192"/>
        <v>218296</v>
      </c>
    </row>
    <row r="5496" spans="7:14" ht="11.25" customHeight="1" x14ac:dyDescent="0.3">
      <c r="G5496" s="459"/>
      <c r="H5496" s="459">
        <v>5489</v>
      </c>
      <c r="I5496" s="444">
        <f t="shared" ca="1" si="190"/>
        <v>-4537576432080817</v>
      </c>
      <c r="J5496" s="444">
        <f t="array" ref="J5496">IFERROR(INDEX('Retirement Calculator'!K:K,MATCH('Lorri 401b'!N5496,'Retirement Calculator'!A:A,0),0),0)</f>
        <v>0</v>
      </c>
      <c r="K5496" s="444">
        <f t="shared" ca="1" si="188"/>
        <v>-18906568467003.402</v>
      </c>
      <c r="L5496" s="444">
        <f t="shared" ca="1" si="189"/>
        <v>-4556483000547820</v>
      </c>
      <c r="M5496" s="460">
        <f t="shared" si="191"/>
        <v>0.05</v>
      </c>
      <c r="N5496" s="464">
        <f t="shared" si="192"/>
        <v>218326</v>
      </c>
    </row>
    <row r="5497" spans="7:14" ht="11.25" customHeight="1" x14ac:dyDescent="0.3">
      <c r="G5497" s="459"/>
      <c r="H5497" s="459">
        <v>5490</v>
      </c>
      <c r="I5497" s="444">
        <f t="shared" ca="1" si="190"/>
        <v>-4556483000547820</v>
      </c>
      <c r="J5497" s="444">
        <f t="array" ref="J5497">IFERROR(INDEX('Retirement Calculator'!K:K,MATCH('Lorri 401b'!N5497,'Retirement Calculator'!A:A,0),0),0)</f>
        <v>0</v>
      </c>
      <c r="K5497" s="444">
        <f t="shared" ca="1" si="188"/>
        <v>-18985345835615.918</v>
      </c>
      <c r="L5497" s="444">
        <f t="shared" ca="1" si="189"/>
        <v>-4575468346383436</v>
      </c>
      <c r="M5497" s="460">
        <f t="shared" si="191"/>
        <v>0.05</v>
      </c>
      <c r="N5497" s="464">
        <f t="shared" si="192"/>
        <v>218357</v>
      </c>
    </row>
    <row r="5498" spans="7:14" ht="11.25" customHeight="1" x14ac:dyDescent="0.3">
      <c r="G5498" s="459"/>
      <c r="H5498" s="459">
        <v>5491</v>
      </c>
      <c r="I5498" s="444">
        <f t="shared" ca="1" si="190"/>
        <v>-4575468346383436</v>
      </c>
      <c r="J5498" s="444">
        <f t="array" ref="J5498">IFERROR(INDEX('Retirement Calculator'!K:K,MATCH('Lorri 401b'!N5498,'Retirement Calculator'!A:A,0),0),0)</f>
        <v>0</v>
      </c>
      <c r="K5498" s="444">
        <f t="shared" ca="1" si="188"/>
        <v>-19064451443264.316</v>
      </c>
      <c r="L5498" s="444">
        <f t="shared" ca="1" si="189"/>
        <v>-4594532797826700</v>
      </c>
      <c r="M5498" s="460">
        <f t="shared" si="191"/>
        <v>0.05</v>
      </c>
      <c r="N5498" s="464">
        <f t="shared" si="192"/>
        <v>218387</v>
      </c>
    </row>
    <row r="5499" spans="7:14" ht="11.25" customHeight="1" x14ac:dyDescent="0.3">
      <c r="G5499" s="459"/>
      <c r="H5499" s="459">
        <v>5492</v>
      </c>
      <c r="I5499" s="444">
        <f t="shared" ca="1" si="190"/>
        <v>-4594532797826700</v>
      </c>
      <c r="J5499" s="444">
        <f t="array" ref="J5499">IFERROR(INDEX('Retirement Calculator'!K:K,MATCH('Lorri 401b'!N5499,'Retirement Calculator'!A:A,0),0),0)</f>
        <v>0</v>
      </c>
      <c r="K5499" s="444">
        <f t="shared" ca="1" si="188"/>
        <v>-19143886657611.25</v>
      </c>
      <c r="L5499" s="444">
        <f t="shared" ca="1" si="189"/>
        <v>-4613676684484311</v>
      </c>
      <c r="M5499" s="460">
        <f t="shared" si="191"/>
        <v>0.05</v>
      </c>
      <c r="N5499" s="464">
        <f t="shared" si="192"/>
        <v>218418</v>
      </c>
    </row>
    <row r="5500" spans="7:14" ht="11.25" customHeight="1" x14ac:dyDescent="0.3">
      <c r="G5500" s="459"/>
      <c r="H5500" s="459">
        <v>5493</v>
      </c>
      <c r="I5500" s="444">
        <f t="shared" ca="1" si="190"/>
        <v>-4613676684484311</v>
      </c>
      <c r="J5500" s="444">
        <f t="array" ref="J5500">IFERROR(INDEX('Retirement Calculator'!K:K,MATCH('Lorri 401b'!N5500,'Retirement Calculator'!A:A,0),0),0)</f>
        <v>0</v>
      </c>
      <c r="K5500" s="444">
        <f t="shared" ca="1" si="188"/>
        <v>-19223652852017.961</v>
      </c>
      <c r="L5500" s="444">
        <f t="shared" ca="1" si="189"/>
        <v>-4632900337336329</v>
      </c>
      <c r="M5500" s="460">
        <f t="shared" si="191"/>
        <v>0.05</v>
      </c>
      <c r="N5500" s="464">
        <f t="shared" si="192"/>
        <v>218449</v>
      </c>
    </row>
    <row r="5501" spans="7:14" ht="11.25" customHeight="1" x14ac:dyDescent="0.3">
      <c r="G5501" s="459"/>
      <c r="H5501" s="459">
        <v>5494</v>
      </c>
      <c r="I5501" s="444">
        <f t="shared" ca="1" si="190"/>
        <v>-4632900337336329</v>
      </c>
      <c r="J5501" s="444">
        <f t="array" ref="J5501">IFERROR(INDEX('Retirement Calculator'!K:K,MATCH('Lorri 401b'!N5501,'Retirement Calculator'!A:A,0),0),0)</f>
        <v>0</v>
      </c>
      <c r="K5501" s="444">
        <f t="shared" ca="1" si="188"/>
        <v>-19303751405568.039</v>
      </c>
      <c r="L5501" s="444">
        <f t="shared" ca="1" si="189"/>
        <v>-4652204088741897</v>
      </c>
      <c r="M5501" s="460">
        <f t="shared" si="191"/>
        <v>0.05</v>
      </c>
      <c r="N5501" s="464">
        <f t="shared" si="192"/>
        <v>218477</v>
      </c>
    </row>
    <row r="5502" spans="7:14" ht="11.25" customHeight="1" x14ac:dyDescent="0.3">
      <c r="G5502" s="459"/>
      <c r="H5502" s="459">
        <v>5495</v>
      </c>
      <c r="I5502" s="444">
        <f t="shared" ca="1" si="190"/>
        <v>-4652204088741897</v>
      </c>
      <c r="J5502" s="444">
        <f t="array" ref="J5502">IFERROR(INDEX('Retirement Calculator'!K:K,MATCH('Lorri 401b'!N5502,'Retirement Calculator'!A:A,0),0),0)</f>
        <v>0</v>
      </c>
      <c r="K5502" s="444">
        <f t="shared" ca="1" si="188"/>
        <v>-19384183703091.238</v>
      </c>
      <c r="L5502" s="444">
        <f t="shared" ca="1" si="189"/>
        <v>-4671588272444988</v>
      </c>
      <c r="M5502" s="460">
        <f t="shared" si="191"/>
        <v>0.05</v>
      </c>
      <c r="N5502" s="464">
        <f t="shared" si="192"/>
        <v>218508</v>
      </c>
    </row>
    <row r="5503" spans="7:14" ht="11.25" customHeight="1" x14ac:dyDescent="0.3">
      <c r="G5503" s="459"/>
      <c r="H5503" s="459">
        <v>5496</v>
      </c>
      <c r="I5503" s="444">
        <f t="shared" ca="1" si="190"/>
        <v>-4671588272444988</v>
      </c>
      <c r="J5503" s="444">
        <f t="array" ref="J5503">IFERROR(INDEX('Retirement Calculator'!K:K,MATCH('Lorri 401b'!N5503,'Retirement Calculator'!A:A,0),0),0)</f>
        <v>0</v>
      </c>
      <c r="K5503" s="444">
        <f t="shared" ca="1" si="188"/>
        <v>-19464951135187.449</v>
      </c>
      <c r="L5503" s="444">
        <f t="shared" ca="1" si="189"/>
        <v>-4691053223580175</v>
      </c>
      <c r="M5503" s="460">
        <f t="shared" si="191"/>
        <v>0.05</v>
      </c>
      <c r="N5503" s="464">
        <f t="shared" si="192"/>
        <v>218538</v>
      </c>
    </row>
    <row r="5504" spans="7:14" ht="11.25" customHeight="1" x14ac:dyDescent="0.3">
      <c r="G5504" s="459"/>
      <c r="H5504" s="459">
        <v>5497</v>
      </c>
      <c r="I5504" s="444">
        <f t="shared" ca="1" si="190"/>
        <v>-4691053223580175</v>
      </c>
      <c r="J5504" s="444">
        <f t="array" ref="J5504">IFERROR(INDEX('Retirement Calculator'!K:K,MATCH('Lorri 401b'!N5504,'Retirement Calculator'!A:A,0),0),0)</f>
        <v>0</v>
      </c>
      <c r="K5504" s="444">
        <f t="shared" ca="1" si="188"/>
        <v>-19546055098250.73</v>
      </c>
      <c r="L5504" s="444">
        <f t="shared" ca="1" si="189"/>
        <v>-4710599278678426</v>
      </c>
      <c r="M5504" s="460">
        <f t="shared" si="191"/>
        <v>0.05</v>
      </c>
      <c r="N5504" s="464">
        <f t="shared" si="192"/>
        <v>218569</v>
      </c>
    </row>
    <row r="5505" spans="7:14" ht="11.25" customHeight="1" x14ac:dyDescent="0.3">
      <c r="G5505" s="459"/>
      <c r="H5505" s="459">
        <v>5498</v>
      </c>
      <c r="I5505" s="444">
        <f t="shared" ca="1" si="190"/>
        <v>-4710599278678426</v>
      </c>
      <c r="J5505" s="444">
        <f t="array" ref="J5505">IFERROR(INDEX('Retirement Calculator'!K:K,MATCH('Lorri 401b'!N5505,'Retirement Calculator'!A:A,0),0),0)</f>
        <v>0</v>
      </c>
      <c r="K5505" s="444">
        <f t="shared" ca="1" si="188"/>
        <v>-19627496994493.441</v>
      </c>
      <c r="L5505" s="444">
        <f t="shared" ca="1" si="189"/>
        <v>-4730226775672919</v>
      </c>
      <c r="M5505" s="460">
        <f t="shared" si="191"/>
        <v>0.05</v>
      </c>
      <c r="N5505" s="464">
        <f t="shared" si="192"/>
        <v>218599</v>
      </c>
    </row>
    <row r="5506" spans="7:14" ht="11.25" customHeight="1" x14ac:dyDescent="0.3">
      <c r="G5506" s="459"/>
      <c r="H5506" s="459">
        <v>5499</v>
      </c>
      <c r="I5506" s="444">
        <f t="shared" ca="1" si="190"/>
        <v>-4730226775672919</v>
      </c>
      <c r="J5506" s="444">
        <f t="array" ref="J5506">IFERROR(INDEX('Retirement Calculator'!K:K,MATCH('Lorri 401b'!N5506,'Retirement Calculator'!A:A,0),0),0)</f>
        <v>0</v>
      </c>
      <c r="K5506" s="444">
        <f t="shared" ca="1" si="188"/>
        <v>-19709278231970.496</v>
      </c>
      <c r="L5506" s="444">
        <f t="shared" ca="1" si="189"/>
        <v>-4749936053904889</v>
      </c>
      <c r="M5506" s="460">
        <f t="shared" si="191"/>
        <v>0.05</v>
      </c>
      <c r="N5506" s="464">
        <f t="shared" si="192"/>
        <v>218630</v>
      </c>
    </row>
    <row r="5507" spans="7:14" ht="11.25" customHeight="1" x14ac:dyDescent="0.3">
      <c r="G5507" s="459"/>
      <c r="H5507" s="459">
        <v>5500</v>
      </c>
      <c r="I5507" s="444">
        <f t="shared" ca="1" si="190"/>
        <v>-4749936053904889</v>
      </c>
      <c r="J5507" s="444">
        <f t="array" ref="J5507">IFERROR(INDEX('Retirement Calculator'!K:K,MATCH('Lorri 401b'!N5507,'Retirement Calculator'!A:A,0),0),0)</f>
        <v>0</v>
      </c>
      <c r="K5507" s="444">
        <f t="shared" ca="1" si="188"/>
        <v>-19791400224603.703</v>
      </c>
      <c r="L5507" s="444">
        <f t="shared" ca="1" si="189"/>
        <v>-4769727454129493</v>
      </c>
      <c r="M5507" s="460">
        <f t="shared" si="191"/>
        <v>0.05</v>
      </c>
      <c r="N5507" s="464">
        <f t="shared" si="192"/>
        <v>218661</v>
      </c>
    </row>
    <row r="5508" spans="7:14" ht="11.25" customHeight="1" x14ac:dyDescent="0.3">
      <c r="G5508" s="459"/>
      <c r="H5508" s="459">
        <v>5501</v>
      </c>
      <c r="I5508" s="444">
        <f t="shared" ca="1" si="190"/>
        <v>-4769727454129493</v>
      </c>
      <c r="J5508" s="444">
        <f t="array" ref="J5508">IFERROR(INDEX('Retirement Calculator'!K:K,MATCH('Lorri 401b'!N5508,'Retirement Calculator'!A:A,0),0),0)</f>
        <v>0</v>
      </c>
      <c r="K5508" s="444">
        <f t="shared" ca="1" si="188"/>
        <v>-19873864392206.219</v>
      </c>
      <c r="L5508" s="444">
        <f t="shared" ca="1" si="189"/>
        <v>-4789601318521699</v>
      </c>
      <c r="M5508" s="460">
        <f t="shared" si="191"/>
        <v>0.05</v>
      </c>
      <c r="N5508" s="464">
        <f t="shared" si="192"/>
        <v>218691</v>
      </c>
    </row>
    <row r="5509" spans="7:14" ht="11.25" customHeight="1" x14ac:dyDescent="0.3">
      <c r="G5509" s="459"/>
      <c r="H5509" s="459">
        <v>5502</v>
      </c>
      <c r="I5509" s="444">
        <f t="shared" ca="1" si="190"/>
        <v>-4789601318521699</v>
      </c>
      <c r="J5509" s="444">
        <f t="array" ref="J5509">IFERROR(INDEX('Retirement Calculator'!K:K,MATCH('Lorri 401b'!N5509,'Retirement Calculator'!A:A,0),0),0)</f>
        <v>0</v>
      </c>
      <c r="K5509" s="444">
        <f t="shared" ca="1" si="188"/>
        <v>-19956672160507.078</v>
      </c>
      <c r="L5509" s="444">
        <f t="shared" ca="1" si="189"/>
        <v>-4809557990682206</v>
      </c>
      <c r="M5509" s="460">
        <f t="shared" si="191"/>
        <v>0.05</v>
      </c>
      <c r="N5509" s="464">
        <f t="shared" si="192"/>
        <v>218722</v>
      </c>
    </row>
    <row r="5510" spans="7:14" ht="11.25" customHeight="1" x14ac:dyDescent="0.3">
      <c r="G5510" s="459"/>
      <c r="H5510" s="459">
        <v>5503</v>
      </c>
      <c r="I5510" s="444">
        <f t="shared" ca="1" si="190"/>
        <v>-4809557990682206</v>
      </c>
      <c r="J5510" s="444">
        <f t="array" ref="J5510">IFERROR(INDEX('Retirement Calculator'!K:K,MATCH('Lorri 401b'!N5510,'Retirement Calculator'!A:A,0),0),0)</f>
        <v>0</v>
      </c>
      <c r="K5510" s="444">
        <f t="shared" ca="1" si="188"/>
        <v>-20039824961175.859</v>
      </c>
      <c r="L5510" s="444">
        <f t="shared" ca="1" si="189"/>
        <v>-4829597815643382</v>
      </c>
      <c r="M5510" s="460">
        <f t="shared" si="191"/>
        <v>0.05</v>
      </c>
      <c r="N5510" s="464">
        <f t="shared" si="192"/>
        <v>218752</v>
      </c>
    </row>
    <row r="5511" spans="7:14" ht="11.25" customHeight="1" x14ac:dyDescent="0.3">
      <c r="G5511" s="459"/>
      <c r="H5511" s="459">
        <v>5504</v>
      </c>
      <c r="I5511" s="444">
        <f t="shared" ca="1" si="190"/>
        <v>-4829597815643382</v>
      </c>
      <c r="J5511" s="444">
        <f t="array" ref="J5511">IFERROR(INDEX('Retirement Calculator'!K:K,MATCH('Lorri 401b'!N5511,'Retirement Calculator'!A:A,0),0),0)</f>
        <v>0</v>
      </c>
      <c r="K5511" s="444">
        <f t="shared" ca="1" si="188"/>
        <v>-20123324231847.426</v>
      </c>
      <c r="L5511" s="444">
        <f t="shared" ca="1" si="189"/>
        <v>-4849721139875229</v>
      </c>
      <c r="M5511" s="460">
        <f t="shared" si="191"/>
        <v>0.05</v>
      </c>
      <c r="N5511" s="464">
        <f t="shared" si="192"/>
        <v>218783</v>
      </c>
    </row>
    <row r="5512" spans="7:14" ht="11.25" customHeight="1" x14ac:dyDescent="0.3">
      <c r="G5512" s="459"/>
      <c r="H5512" s="459">
        <v>5505</v>
      </c>
      <c r="I5512" s="444">
        <f t="shared" ca="1" si="190"/>
        <v>-4849721139875229</v>
      </c>
      <c r="J5512" s="444">
        <f t="array" ref="J5512">IFERROR(INDEX('Retirement Calculator'!K:K,MATCH('Lorri 401b'!N5512,'Retirement Calculator'!A:A,0),0),0)</f>
        <v>0</v>
      </c>
      <c r="K5512" s="444">
        <f t="shared" ca="1" si="188"/>
        <v>-20207171416146.789</v>
      </c>
      <c r="L5512" s="444">
        <f t="shared" ca="1" si="189"/>
        <v>-4869928311291376</v>
      </c>
      <c r="M5512" s="460">
        <f t="shared" si="191"/>
        <v>0.05</v>
      </c>
      <c r="N5512" s="464">
        <f t="shared" si="192"/>
        <v>218814</v>
      </c>
    </row>
    <row r="5513" spans="7:14" ht="11.25" customHeight="1" x14ac:dyDescent="0.3">
      <c r="G5513" s="459"/>
      <c r="H5513" s="459">
        <v>5506</v>
      </c>
      <c r="I5513" s="444">
        <f t="shared" ca="1" si="190"/>
        <v>-4869928311291376</v>
      </c>
      <c r="J5513" s="444">
        <f t="array" ref="J5513">IFERROR(INDEX('Retirement Calculator'!K:K,MATCH('Lorri 401b'!N5513,'Retirement Calculator'!A:A,0),0),0)</f>
        <v>0</v>
      </c>
      <c r="K5513" s="444">
        <f t="shared" ca="1" si="188"/>
        <v>-20291367963714.066</v>
      </c>
      <c r="L5513" s="444">
        <f t="shared" ca="1" si="189"/>
        <v>-4890219679255090</v>
      </c>
      <c r="M5513" s="460">
        <f t="shared" si="191"/>
        <v>0.05</v>
      </c>
      <c r="N5513" s="464">
        <f t="shared" si="192"/>
        <v>218842</v>
      </c>
    </row>
    <row r="5514" spans="7:14" ht="11.25" customHeight="1" x14ac:dyDescent="0.3">
      <c r="G5514" s="459"/>
      <c r="H5514" s="459">
        <v>5507</v>
      </c>
      <c r="I5514" s="444">
        <f t="shared" ca="1" si="190"/>
        <v>-4890219679255090</v>
      </c>
      <c r="J5514" s="444">
        <f t="array" ref="J5514">IFERROR(INDEX('Retirement Calculator'!K:K,MATCH('Lorri 401b'!N5514,'Retirement Calculator'!A:A,0),0),0)</f>
        <v>0</v>
      </c>
      <c r="K5514" s="444">
        <f t="shared" ca="1" si="188"/>
        <v>-20375915330229.543</v>
      </c>
      <c r="L5514" s="444">
        <f t="shared" ca="1" si="189"/>
        <v>-4910595594585320</v>
      </c>
      <c r="M5514" s="460">
        <f t="shared" si="191"/>
        <v>0.05</v>
      </c>
      <c r="N5514" s="464">
        <f t="shared" si="192"/>
        <v>218873</v>
      </c>
    </row>
    <row r="5515" spans="7:14" ht="11.25" customHeight="1" x14ac:dyDescent="0.3">
      <c r="G5515" s="459"/>
      <c r="H5515" s="459">
        <v>5508</v>
      </c>
      <c r="I5515" s="444">
        <f t="shared" ca="1" si="190"/>
        <v>-4910595594585320</v>
      </c>
      <c r="J5515" s="444">
        <f t="array" ref="J5515">IFERROR(INDEX('Retirement Calculator'!K:K,MATCH('Lorri 401b'!N5515,'Retirement Calculator'!A:A,0),0),0)</f>
        <v>0</v>
      </c>
      <c r="K5515" s="444">
        <f t="shared" ca="1" si="188"/>
        <v>-20460814977438.832</v>
      </c>
      <c r="L5515" s="444">
        <f t="shared" ca="1" si="189"/>
        <v>-4931056409562759</v>
      </c>
      <c r="M5515" s="460">
        <f t="shared" si="191"/>
        <v>0.05</v>
      </c>
      <c r="N5515" s="464">
        <f t="shared" si="192"/>
        <v>218903</v>
      </c>
    </row>
    <row r="5516" spans="7:14" ht="11.25" customHeight="1" x14ac:dyDescent="0.3">
      <c r="G5516" s="459"/>
      <c r="H5516" s="459">
        <v>5509</v>
      </c>
      <c r="I5516" s="444">
        <f t="shared" ca="1" si="190"/>
        <v>-4931056409562759</v>
      </c>
      <c r="J5516" s="444">
        <f t="array" ref="J5516">IFERROR(INDEX('Retirement Calculator'!K:K,MATCH('Lorri 401b'!N5516,'Retirement Calculator'!A:A,0),0),0)</f>
        <v>0</v>
      </c>
      <c r="K5516" s="444">
        <f t="shared" ca="1" si="188"/>
        <v>-20546068373178.164</v>
      </c>
      <c r="L5516" s="444">
        <f t="shared" ca="1" si="189"/>
        <v>-4951602477935937</v>
      </c>
      <c r="M5516" s="460">
        <f t="shared" si="191"/>
        <v>0.05</v>
      </c>
      <c r="N5516" s="464">
        <f t="shared" si="192"/>
        <v>218934</v>
      </c>
    </row>
    <row r="5517" spans="7:14" ht="11.25" customHeight="1" x14ac:dyDescent="0.3">
      <c r="G5517" s="459"/>
      <c r="H5517" s="459">
        <v>5510</v>
      </c>
      <c r="I5517" s="444">
        <f t="shared" ca="1" si="190"/>
        <v>-4951602477935937</v>
      </c>
      <c r="J5517" s="444">
        <f t="array" ref="J5517">IFERROR(INDEX('Retirement Calculator'!K:K,MATCH('Lorri 401b'!N5517,'Retirement Calculator'!A:A,0),0),0)</f>
        <v>0</v>
      </c>
      <c r="K5517" s="444">
        <f t="shared" ca="1" si="188"/>
        <v>-20631676991399.738</v>
      </c>
      <c r="L5517" s="444">
        <f t="shared" ca="1" si="189"/>
        <v>-4972234154927337</v>
      </c>
      <c r="M5517" s="460">
        <f t="shared" si="191"/>
        <v>0.05</v>
      </c>
      <c r="N5517" s="464">
        <f t="shared" si="192"/>
        <v>218964</v>
      </c>
    </row>
    <row r="5518" spans="7:14" ht="11.25" customHeight="1" x14ac:dyDescent="0.3">
      <c r="G5518" s="459"/>
      <c r="H5518" s="459">
        <v>5511</v>
      </c>
      <c r="I5518" s="444">
        <f t="shared" ca="1" si="190"/>
        <v>-4972234154927337</v>
      </c>
      <c r="J5518" s="444">
        <f t="array" ref="J5518">IFERROR(INDEX('Retirement Calculator'!K:K,MATCH('Lorri 401b'!N5518,'Retirement Calculator'!A:A,0),0),0)</f>
        <v>0</v>
      </c>
      <c r="K5518" s="444">
        <f t="shared" ca="1" si="188"/>
        <v>-20717642312197.238</v>
      </c>
      <c r="L5518" s="444">
        <f t="shared" ca="1" si="189"/>
        <v>-4992951797239534</v>
      </c>
      <c r="M5518" s="460">
        <f t="shared" si="191"/>
        <v>0.05</v>
      </c>
      <c r="N5518" s="464">
        <f t="shared" si="192"/>
        <v>218995</v>
      </c>
    </row>
    <row r="5519" spans="7:14" ht="11.25" customHeight="1" x14ac:dyDescent="0.3">
      <c r="G5519" s="459"/>
      <c r="H5519" s="459">
        <v>5512</v>
      </c>
      <c r="I5519" s="444">
        <f t="shared" ca="1" si="190"/>
        <v>-4992951797239534</v>
      </c>
      <c r="J5519" s="444">
        <f t="array" ref="J5519">IFERROR(INDEX('Retirement Calculator'!K:K,MATCH('Lorri 401b'!N5519,'Retirement Calculator'!A:A,0),0),0)</f>
        <v>0</v>
      </c>
      <c r="K5519" s="444">
        <f t="shared" ca="1" si="188"/>
        <v>-20803965821831.391</v>
      </c>
      <c r="L5519" s="444">
        <f t="shared" ca="1" si="189"/>
        <v>-5013755763061365</v>
      </c>
      <c r="M5519" s="460">
        <f t="shared" si="191"/>
        <v>0.05</v>
      </c>
      <c r="N5519" s="464">
        <f t="shared" si="192"/>
        <v>219026</v>
      </c>
    </row>
    <row r="5520" spans="7:14" ht="11.25" customHeight="1" x14ac:dyDescent="0.3">
      <c r="G5520" s="459"/>
      <c r="H5520" s="459">
        <v>5513</v>
      </c>
      <c r="I5520" s="444">
        <f t="shared" ca="1" si="190"/>
        <v>-5013755763061365</v>
      </c>
      <c r="J5520" s="444">
        <f t="array" ref="J5520">IFERROR(INDEX('Retirement Calculator'!K:K,MATCH('Lorri 401b'!N5520,'Retirement Calculator'!A:A,0),0),0)</f>
        <v>0</v>
      </c>
      <c r="K5520" s="444">
        <f t="shared" ca="1" si="188"/>
        <v>-20890649012755.688</v>
      </c>
      <c r="L5520" s="444">
        <f t="shared" ca="1" si="189"/>
        <v>-5034646412074121</v>
      </c>
      <c r="M5520" s="460">
        <f t="shared" si="191"/>
        <v>0.05</v>
      </c>
      <c r="N5520" s="464">
        <f t="shared" si="192"/>
        <v>219056</v>
      </c>
    </row>
    <row r="5521" spans="7:14" ht="11.25" customHeight="1" x14ac:dyDescent="0.3">
      <c r="G5521" s="459"/>
      <c r="H5521" s="459">
        <v>5514</v>
      </c>
      <c r="I5521" s="444">
        <f t="shared" ca="1" si="190"/>
        <v>-5034646412074121</v>
      </c>
      <c r="J5521" s="444">
        <f t="array" ref="J5521">IFERROR(INDEX('Retirement Calculator'!K:K,MATCH('Lorri 401b'!N5521,'Retirement Calculator'!A:A,0),0),0)</f>
        <v>0</v>
      </c>
      <c r="K5521" s="444">
        <f t="shared" ca="1" si="188"/>
        <v>-20977693383642.172</v>
      </c>
      <c r="L5521" s="444">
        <f t="shared" ca="1" si="189"/>
        <v>-5055624105457763</v>
      </c>
      <c r="M5521" s="460">
        <f t="shared" si="191"/>
        <v>0.05</v>
      </c>
      <c r="N5521" s="464">
        <f t="shared" si="192"/>
        <v>219087</v>
      </c>
    </row>
    <row r="5522" spans="7:14" ht="11.25" customHeight="1" x14ac:dyDescent="0.3">
      <c r="G5522" s="459"/>
      <c r="H5522" s="459">
        <v>5515</v>
      </c>
      <c r="I5522" s="444">
        <f t="shared" ca="1" si="190"/>
        <v>-5055624105457763</v>
      </c>
      <c r="J5522" s="444">
        <f t="array" ref="J5522">IFERROR(INDEX('Retirement Calculator'!K:K,MATCH('Lorri 401b'!N5522,'Retirement Calculator'!A:A,0),0),0)</f>
        <v>0</v>
      </c>
      <c r="K5522" s="444">
        <f t="shared" ca="1" si="188"/>
        <v>-21065100439407.344</v>
      </c>
      <c r="L5522" s="444">
        <f t="shared" ca="1" si="189"/>
        <v>-5076689205897170</v>
      </c>
      <c r="M5522" s="460">
        <f t="shared" si="191"/>
        <v>0.05</v>
      </c>
      <c r="N5522" s="464">
        <f t="shared" si="192"/>
        <v>219117</v>
      </c>
    </row>
    <row r="5523" spans="7:14" ht="11.25" customHeight="1" x14ac:dyDescent="0.3">
      <c r="G5523" s="459"/>
      <c r="H5523" s="459">
        <v>5516</v>
      </c>
      <c r="I5523" s="444">
        <f t="shared" ca="1" si="190"/>
        <v>-5076689205897170</v>
      </c>
      <c r="J5523" s="444">
        <f t="array" ref="J5523">IFERROR(INDEX('Retirement Calculator'!K:K,MATCH('Lorri 401b'!N5523,'Retirement Calculator'!A:A,0),0),0)</f>
        <v>0</v>
      </c>
      <c r="K5523" s="444">
        <f t="shared" ca="1" si="188"/>
        <v>-21152871691238.207</v>
      </c>
      <c r="L5523" s="444">
        <f t="shared" ca="1" si="189"/>
        <v>-5097842077588408</v>
      </c>
      <c r="M5523" s="460">
        <f t="shared" si="191"/>
        <v>0.05</v>
      </c>
      <c r="N5523" s="464">
        <f t="shared" si="192"/>
        <v>219148</v>
      </c>
    </row>
    <row r="5524" spans="7:14" ht="11.25" customHeight="1" x14ac:dyDescent="0.3">
      <c r="G5524" s="459"/>
      <c r="H5524" s="459">
        <v>5517</v>
      </c>
      <c r="I5524" s="444">
        <f t="shared" ca="1" si="190"/>
        <v>-5097842077588408</v>
      </c>
      <c r="J5524" s="444">
        <f t="array" ref="J5524">IFERROR(INDEX('Retirement Calculator'!K:K,MATCH('Lorri 401b'!N5524,'Retirement Calculator'!A:A,0),0),0)</f>
        <v>0</v>
      </c>
      <c r="K5524" s="444">
        <f t="shared" ca="1" si="188"/>
        <v>-21241008656618.367</v>
      </c>
      <c r="L5524" s="444">
        <f t="shared" ca="1" si="189"/>
        <v>-5119083086245026</v>
      </c>
      <c r="M5524" s="460">
        <f t="shared" si="191"/>
        <v>0.05</v>
      </c>
      <c r="N5524" s="464">
        <f t="shared" si="192"/>
        <v>219179</v>
      </c>
    </row>
    <row r="5525" spans="7:14" ht="11.25" customHeight="1" x14ac:dyDescent="0.3">
      <c r="G5525" s="459"/>
      <c r="H5525" s="459">
        <v>5518</v>
      </c>
      <c r="I5525" s="444">
        <f t="shared" ca="1" si="190"/>
        <v>-5119083086245026</v>
      </c>
      <c r="J5525" s="444">
        <f t="array" ref="J5525">IFERROR(INDEX('Retirement Calculator'!K:K,MATCH('Lorri 401b'!N5525,'Retirement Calculator'!A:A,0),0),0)</f>
        <v>0</v>
      </c>
      <c r="K5525" s="444">
        <f t="shared" ca="1" si="188"/>
        <v>-21329512859354.273</v>
      </c>
      <c r="L5525" s="444">
        <f t="shared" ca="1" si="189"/>
        <v>-5140412599104380</v>
      </c>
      <c r="M5525" s="460">
        <f t="shared" si="191"/>
        <v>0.05</v>
      </c>
      <c r="N5525" s="464">
        <f t="shared" si="192"/>
        <v>219207</v>
      </c>
    </row>
    <row r="5526" spans="7:14" ht="11.25" customHeight="1" x14ac:dyDescent="0.3">
      <c r="G5526" s="459"/>
      <c r="H5526" s="459">
        <v>5519</v>
      </c>
      <c r="I5526" s="444">
        <f t="shared" ca="1" si="190"/>
        <v>-5140412599104380</v>
      </c>
      <c r="J5526" s="444">
        <f t="array" ref="J5526">IFERROR(INDEX('Retirement Calculator'!K:K,MATCH('Lorri 401b'!N5526,'Retirement Calculator'!A:A,0),0),0)</f>
        <v>0</v>
      </c>
      <c r="K5526" s="444">
        <f t="shared" ca="1" si="188"/>
        <v>-21418385829601.582</v>
      </c>
      <c r="L5526" s="444">
        <f t="shared" ca="1" si="189"/>
        <v>-5161830984933982</v>
      </c>
      <c r="M5526" s="460">
        <f t="shared" si="191"/>
        <v>0.05</v>
      </c>
      <c r="N5526" s="464">
        <f t="shared" si="192"/>
        <v>219238</v>
      </c>
    </row>
    <row r="5527" spans="7:14" ht="11.25" customHeight="1" x14ac:dyDescent="0.3">
      <c r="G5527" s="459"/>
      <c r="H5527" s="459">
        <v>5520</v>
      </c>
      <c r="I5527" s="444">
        <f t="shared" ca="1" si="190"/>
        <v>-5161830984933982</v>
      </c>
      <c r="J5527" s="444">
        <f t="array" ref="J5527">IFERROR(INDEX('Retirement Calculator'!K:K,MATCH('Lorri 401b'!N5527,'Retirement Calculator'!A:A,0),0),0)</f>
        <v>0</v>
      </c>
      <c r="K5527" s="444">
        <f t="shared" ca="1" si="188"/>
        <v>-21507629103891.59</v>
      </c>
      <c r="L5527" s="444">
        <f t="shared" ca="1" si="189"/>
        <v>-5183338614037874</v>
      </c>
      <c r="M5527" s="460">
        <f t="shared" si="191"/>
        <v>0.05</v>
      </c>
      <c r="N5527" s="464">
        <f t="shared" si="192"/>
        <v>219268</v>
      </c>
    </row>
    <row r="5528" spans="7:14" ht="11.25" customHeight="1" x14ac:dyDescent="0.3">
      <c r="G5528" s="459"/>
      <c r="H5528" s="459">
        <v>5521</v>
      </c>
      <c r="I5528" s="444">
        <f t="shared" ca="1" si="190"/>
        <v>-5183338614037874</v>
      </c>
      <c r="J5528" s="444">
        <f t="array" ref="J5528">IFERROR(INDEX('Retirement Calculator'!K:K,MATCH('Lorri 401b'!N5528,'Retirement Calculator'!A:A,0),0),0)</f>
        <v>0</v>
      </c>
      <c r="K5528" s="444">
        <f t="shared" ca="1" si="188"/>
        <v>-21597244225157.809</v>
      </c>
      <c r="L5528" s="444">
        <f t="shared" ca="1" si="189"/>
        <v>-5204935858263032</v>
      </c>
      <c r="M5528" s="460">
        <f t="shared" si="191"/>
        <v>0.05</v>
      </c>
      <c r="N5528" s="464">
        <f t="shared" si="192"/>
        <v>219299</v>
      </c>
    </row>
    <row r="5529" spans="7:14" ht="11.25" customHeight="1" x14ac:dyDescent="0.3">
      <c r="G5529" s="459"/>
      <c r="H5529" s="459">
        <v>5522</v>
      </c>
      <c r="I5529" s="444">
        <f t="shared" ca="1" si="190"/>
        <v>-5204935858263032</v>
      </c>
      <c r="J5529" s="444">
        <f t="array" ref="J5529">IFERROR(INDEX('Retirement Calculator'!K:K,MATCH('Lorri 401b'!N5529,'Retirement Calculator'!A:A,0),0),0)</f>
        <v>0</v>
      </c>
      <c r="K5529" s="444">
        <f t="shared" ca="1" si="188"/>
        <v>-21687232742762.633</v>
      </c>
      <c r="L5529" s="444">
        <f t="shared" ca="1" si="189"/>
        <v>-5226623091005795</v>
      </c>
      <c r="M5529" s="460">
        <f t="shared" si="191"/>
        <v>0.05</v>
      </c>
      <c r="N5529" s="464">
        <f t="shared" si="192"/>
        <v>219329</v>
      </c>
    </row>
    <row r="5530" spans="7:14" ht="11.25" customHeight="1" x14ac:dyDescent="0.3">
      <c r="G5530" s="459"/>
      <c r="H5530" s="459">
        <v>5523</v>
      </c>
      <c r="I5530" s="444">
        <f t="shared" ca="1" si="190"/>
        <v>-5226623091005795</v>
      </c>
      <c r="J5530" s="444">
        <f t="array" ref="J5530">IFERROR(INDEX('Retirement Calculator'!K:K,MATCH('Lorri 401b'!N5530,'Retirement Calculator'!A:A,0),0),0)</f>
        <v>0</v>
      </c>
      <c r="K5530" s="444">
        <f t="shared" ca="1" si="188"/>
        <v>-21777596212524.145</v>
      </c>
      <c r="L5530" s="444">
        <f t="shared" ca="1" si="189"/>
        <v>-5248400687218319</v>
      </c>
      <c r="M5530" s="460">
        <f t="shared" si="191"/>
        <v>0.05</v>
      </c>
      <c r="N5530" s="464">
        <f t="shared" si="192"/>
        <v>219360</v>
      </c>
    </row>
    <row r="5531" spans="7:14" ht="11.25" customHeight="1" x14ac:dyDescent="0.3">
      <c r="G5531" s="459"/>
      <c r="H5531" s="459">
        <v>5524</v>
      </c>
      <c r="I5531" s="444">
        <f t="shared" ca="1" si="190"/>
        <v>-5248400687218319</v>
      </c>
      <c r="J5531" s="444">
        <f t="array" ref="J5531">IFERROR(INDEX('Retirement Calculator'!K:K,MATCH('Lorri 401b'!N5531,'Retirement Calculator'!A:A,0),0),0)</f>
        <v>0</v>
      </c>
      <c r="K5531" s="444">
        <f t="shared" ca="1" si="188"/>
        <v>-21868336196742.996</v>
      </c>
      <c r="L5531" s="444">
        <f t="shared" ca="1" si="189"/>
        <v>-5270269023415062</v>
      </c>
      <c r="M5531" s="460">
        <f t="shared" si="191"/>
        <v>0.05</v>
      </c>
      <c r="N5531" s="464">
        <f t="shared" si="192"/>
        <v>219391</v>
      </c>
    </row>
    <row r="5532" spans="7:14" ht="11.25" customHeight="1" x14ac:dyDescent="0.3">
      <c r="G5532" s="459"/>
      <c r="H5532" s="459">
        <v>5525</v>
      </c>
      <c r="I5532" s="444">
        <f t="shared" ca="1" si="190"/>
        <v>-5270269023415062</v>
      </c>
      <c r="J5532" s="444">
        <f t="array" ref="J5532">IFERROR(INDEX('Retirement Calculator'!K:K,MATCH('Lorri 401b'!N5532,'Retirement Calculator'!A:A,0),0),0)</f>
        <v>0</v>
      </c>
      <c r="K5532" s="444">
        <f t="shared" ca="1" si="188"/>
        <v>-21959454264229.426</v>
      </c>
      <c r="L5532" s="444">
        <f t="shared" ca="1" si="189"/>
        <v>-5292228477679291</v>
      </c>
      <c r="M5532" s="460">
        <f t="shared" si="191"/>
        <v>0.05</v>
      </c>
      <c r="N5532" s="464">
        <f t="shared" si="192"/>
        <v>219421</v>
      </c>
    </row>
    <row r="5533" spans="7:14" ht="11.25" customHeight="1" x14ac:dyDescent="0.3">
      <c r="G5533" s="459"/>
      <c r="H5533" s="459">
        <v>5526</v>
      </c>
      <c r="I5533" s="444">
        <f t="shared" ca="1" si="190"/>
        <v>-5292228477679291</v>
      </c>
      <c r="J5533" s="444">
        <f t="array" ref="J5533">IFERROR(INDEX('Retirement Calculator'!K:K,MATCH('Lorri 401b'!N5533,'Retirement Calculator'!A:A,0),0),0)</f>
        <v>0</v>
      </c>
      <c r="K5533" s="444">
        <f t="shared" ca="1" si="188"/>
        <v>-22050951990330.379</v>
      </c>
      <c r="L5533" s="444">
        <f t="shared" ca="1" si="189"/>
        <v>-5314279429669621</v>
      </c>
      <c r="M5533" s="460">
        <f t="shared" si="191"/>
        <v>0.05</v>
      </c>
      <c r="N5533" s="464">
        <f t="shared" si="192"/>
        <v>219452</v>
      </c>
    </row>
    <row r="5534" spans="7:14" ht="11.25" customHeight="1" x14ac:dyDescent="0.3">
      <c r="G5534" s="459"/>
      <c r="H5534" s="459">
        <v>5527</v>
      </c>
      <c r="I5534" s="444">
        <f t="shared" ca="1" si="190"/>
        <v>-5314279429669621</v>
      </c>
      <c r="J5534" s="444">
        <f t="array" ref="J5534">IFERROR(INDEX('Retirement Calculator'!K:K,MATCH('Lorri 401b'!N5534,'Retirement Calculator'!A:A,0),0),0)</f>
        <v>0</v>
      </c>
      <c r="K5534" s="444">
        <f t="shared" ca="1" si="188"/>
        <v>-22142830956956.754</v>
      </c>
      <c r="L5534" s="444">
        <f t="shared" ca="1" si="189"/>
        <v>-5336422260626578</v>
      </c>
      <c r="M5534" s="460">
        <f t="shared" si="191"/>
        <v>0.05</v>
      </c>
      <c r="N5534" s="464">
        <f t="shared" si="192"/>
        <v>219482</v>
      </c>
    </row>
    <row r="5535" spans="7:14" ht="11.25" customHeight="1" x14ac:dyDescent="0.3">
      <c r="G5535" s="459"/>
      <c r="H5535" s="459">
        <v>5528</v>
      </c>
      <c r="I5535" s="444">
        <f t="shared" ca="1" si="190"/>
        <v>-5336422260626578</v>
      </c>
      <c r="J5535" s="444">
        <f t="array" ref="J5535">IFERROR(INDEX('Retirement Calculator'!K:K,MATCH('Lorri 401b'!N5535,'Retirement Calculator'!A:A,0),0),0)</f>
        <v>0</v>
      </c>
      <c r="K5535" s="444">
        <f t="shared" ca="1" si="188"/>
        <v>-22235092752610.742</v>
      </c>
      <c r="L5535" s="444">
        <f t="shared" ca="1" si="189"/>
        <v>-5358657353379189</v>
      </c>
      <c r="M5535" s="460">
        <f t="shared" si="191"/>
        <v>0.05</v>
      </c>
      <c r="N5535" s="464">
        <f t="shared" si="192"/>
        <v>219513</v>
      </c>
    </row>
    <row r="5536" spans="7:14" ht="11.25" customHeight="1" x14ac:dyDescent="0.3">
      <c r="G5536" s="459"/>
      <c r="H5536" s="459">
        <v>5529</v>
      </c>
      <c r="I5536" s="444">
        <f t="shared" ca="1" si="190"/>
        <v>-5358657353379189</v>
      </c>
      <c r="J5536" s="444">
        <f t="array" ref="J5536">IFERROR(INDEX('Retirement Calculator'!K:K,MATCH('Lorri 401b'!N5536,'Retirement Calculator'!A:A,0),0),0)</f>
        <v>0</v>
      </c>
      <c r="K5536" s="444">
        <f t="shared" ca="1" si="188"/>
        <v>-22327738972413.289</v>
      </c>
      <c r="L5536" s="444">
        <f t="shared" ca="1" si="189"/>
        <v>-5380985092351602</v>
      </c>
      <c r="M5536" s="460">
        <f t="shared" si="191"/>
        <v>0.05</v>
      </c>
      <c r="N5536" s="464">
        <f t="shared" si="192"/>
        <v>219544</v>
      </c>
    </row>
    <row r="5537" spans="7:14" ht="11.25" customHeight="1" x14ac:dyDescent="0.3">
      <c r="G5537" s="459"/>
      <c r="H5537" s="459">
        <v>5530</v>
      </c>
      <c r="I5537" s="444">
        <f t="shared" ca="1" si="190"/>
        <v>-5380985092351602</v>
      </c>
      <c r="J5537" s="444">
        <f t="array" ref="J5537">IFERROR(INDEX('Retirement Calculator'!K:K,MATCH('Lorri 401b'!N5537,'Retirement Calculator'!A:A,0),0),0)</f>
        <v>0</v>
      </c>
      <c r="K5537" s="444">
        <f t="shared" ca="1" si="188"/>
        <v>-22420771218131.676</v>
      </c>
      <c r="L5537" s="444">
        <f t="shared" ca="1" si="189"/>
        <v>-5403405863569734</v>
      </c>
      <c r="M5537" s="460">
        <f t="shared" si="191"/>
        <v>0.05</v>
      </c>
      <c r="N5537" s="464">
        <f t="shared" si="192"/>
        <v>219572</v>
      </c>
    </row>
    <row r="5538" spans="7:14" ht="11.25" customHeight="1" x14ac:dyDescent="0.3">
      <c r="G5538" s="459"/>
      <c r="H5538" s="459">
        <v>5531</v>
      </c>
      <c r="I5538" s="444">
        <f t="shared" ca="1" si="190"/>
        <v>-5403405863569734</v>
      </c>
      <c r="J5538" s="444">
        <f t="array" ref="J5538">IFERROR(INDEX('Retirement Calculator'!K:K,MATCH('Lorri 401b'!N5538,'Retirement Calculator'!A:A,0),0),0)</f>
        <v>0</v>
      </c>
      <c r="K5538" s="444">
        <f t="shared" ca="1" si="188"/>
        <v>-22514191098207.227</v>
      </c>
      <c r="L5538" s="444">
        <f t="shared" ca="1" si="189"/>
        <v>-5425920054667941</v>
      </c>
      <c r="M5538" s="460">
        <f t="shared" si="191"/>
        <v>0.05</v>
      </c>
      <c r="N5538" s="464">
        <f t="shared" si="192"/>
        <v>219603</v>
      </c>
    </row>
    <row r="5539" spans="7:14" ht="11.25" customHeight="1" x14ac:dyDescent="0.3">
      <c r="G5539" s="459"/>
      <c r="H5539" s="459">
        <v>5532</v>
      </c>
      <c r="I5539" s="444">
        <f t="shared" ca="1" si="190"/>
        <v>-5425920054667941</v>
      </c>
      <c r="J5539" s="444">
        <f t="array" ref="J5539">IFERROR(INDEX('Retirement Calculator'!K:K,MATCH('Lorri 401b'!N5539,'Retirement Calculator'!A:A,0),0),0)</f>
        <v>0</v>
      </c>
      <c r="K5539" s="444">
        <f t="shared" ca="1" si="188"/>
        <v>-22608000227783.086</v>
      </c>
      <c r="L5539" s="444">
        <f t="shared" ca="1" si="189"/>
        <v>-5448528054895724</v>
      </c>
      <c r="M5539" s="460">
        <f t="shared" si="191"/>
        <v>0.05</v>
      </c>
      <c r="N5539" s="464">
        <f t="shared" si="192"/>
        <v>219633</v>
      </c>
    </row>
    <row r="5540" spans="7:14" ht="11.25" customHeight="1" x14ac:dyDescent="0.3">
      <c r="G5540" s="459"/>
      <c r="H5540" s="459">
        <v>5533</v>
      </c>
      <c r="I5540" s="444">
        <f t="shared" ca="1" si="190"/>
        <v>-5448528054895724</v>
      </c>
      <c r="J5540" s="444">
        <f t="array" ref="J5540">IFERROR(INDEX('Retirement Calculator'!K:K,MATCH('Lorri 401b'!N5540,'Retirement Calculator'!A:A,0),0),0)</f>
        <v>0</v>
      </c>
      <c r="K5540" s="444">
        <f t="shared" ca="1" si="188"/>
        <v>-22702200228732.184</v>
      </c>
      <c r="L5540" s="444">
        <f t="shared" ca="1" si="189"/>
        <v>-5471230255124456</v>
      </c>
      <c r="M5540" s="460">
        <f t="shared" si="191"/>
        <v>0.05</v>
      </c>
      <c r="N5540" s="464">
        <f t="shared" si="192"/>
        <v>219664</v>
      </c>
    </row>
    <row r="5541" spans="7:14" ht="11.25" customHeight="1" x14ac:dyDescent="0.3">
      <c r="G5541" s="459"/>
      <c r="H5541" s="459">
        <v>5534</v>
      </c>
      <c r="I5541" s="444">
        <f t="shared" ca="1" si="190"/>
        <v>-5471230255124456</v>
      </c>
      <c r="J5541" s="444">
        <f t="array" ref="J5541">IFERROR(INDEX('Retirement Calculator'!K:K,MATCH('Lorri 401b'!N5541,'Retirement Calculator'!A:A,0),0),0)</f>
        <v>0</v>
      </c>
      <c r="K5541" s="444">
        <f t="shared" ca="1" si="188"/>
        <v>-22796792729685.234</v>
      </c>
      <c r="L5541" s="444">
        <f t="shared" ca="1" si="189"/>
        <v>-5494027047854141</v>
      </c>
      <c r="M5541" s="460">
        <f t="shared" si="191"/>
        <v>0.05</v>
      </c>
      <c r="N5541" s="464">
        <f t="shared" si="192"/>
        <v>219694</v>
      </c>
    </row>
    <row r="5542" spans="7:14" ht="11.25" customHeight="1" x14ac:dyDescent="0.3">
      <c r="G5542" s="459"/>
      <c r="H5542" s="459">
        <v>5535</v>
      </c>
      <c r="I5542" s="444">
        <f t="shared" ca="1" si="190"/>
        <v>-5494027047854141</v>
      </c>
      <c r="J5542" s="444">
        <f t="array" ref="J5542">IFERROR(INDEX('Retirement Calculator'!K:K,MATCH('Lorri 401b'!N5542,'Retirement Calculator'!A:A,0),0),0)</f>
        <v>0</v>
      </c>
      <c r="K5542" s="444">
        <f t="shared" ca="1" si="188"/>
        <v>-22891779366058.922</v>
      </c>
      <c r="L5542" s="444">
        <f t="shared" ca="1" si="189"/>
        <v>-5516918827220200</v>
      </c>
      <c r="M5542" s="460">
        <f t="shared" si="191"/>
        <v>0.05</v>
      </c>
      <c r="N5542" s="464">
        <f t="shared" si="192"/>
        <v>219725</v>
      </c>
    </row>
    <row r="5543" spans="7:14" ht="11.25" customHeight="1" x14ac:dyDescent="0.3">
      <c r="G5543" s="459"/>
      <c r="H5543" s="459">
        <v>5536</v>
      </c>
      <c r="I5543" s="444">
        <f t="shared" ca="1" si="190"/>
        <v>-5516918827220200</v>
      </c>
      <c r="J5543" s="444">
        <f t="array" ref="J5543">IFERROR(INDEX('Retirement Calculator'!K:K,MATCH('Lorri 401b'!N5543,'Retirement Calculator'!A:A,0),0),0)</f>
        <v>0</v>
      </c>
      <c r="K5543" s="444">
        <f t="shared" ca="1" si="188"/>
        <v>-22987161780084.168</v>
      </c>
      <c r="L5543" s="444">
        <f t="shared" ca="1" si="189"/>
        <v>-5539905989000284</v>
      </c>
      <c r="M5543" s="460">
        <f t="shared" si="191"/>
        <v>0.05</v>
      </c>
      <c r="N5543" s="464">
        <f t="shared" si="192"/>
        <v>219756</v>
      </c>
    </row>
    <row r="5544" spans="7:14" ht="11.25" customHeight="1" x14ac:dyDescent="0.3">
      <c r="G5544" s="459"/>
      <c r="H5544" s="459">
        <v>5537</v>
      </c>
      <c r="I5544" s="444">
        <f t="shared" ca="1" si="190"/>
        <v>-5539905989000284</v>
      </c>
      <c r="J5544" s="444">
        <f t="array" ref="J5544">IFERROR(INDEX('Retirement Calculator'!K:K,MATCH('Lorri 401b'!N5544,'Retirement Calculator'!A:A,0),0),0)</f>
        <v>0</v>
      </c>
      <c r="K5544" s="444">
        <f t="shared" ca="1" si="188"/>
        <v>-23082941620834.516</v>
      </c>
      <c r="L5544" s="444">
        <f t="shared" ca="1" si="189"/>
        <v>-5562988930621119</v>
      </c>
      <c r="M5544" s="460">
        <f t="shared" si="191"/>
        <v>0.05</v>
      </c>
      <c r="N5544" s="464">
        <f t="shared" si="192"/>
        <v>219786</v>
      </c>
    </row>
    <row r="5545" spans="7:14" ht="11.25" customHeight="1" x14ac:dyDescent="0.3">
      <c r="G5545" s="459"/>
      <c r="H5545" s="459">
        <v>5538</v>
      </c>
      <c r="I5545" s="444">
        <f t="shared" ca="1" si="190"/>
        <v>-5562988930621119</v>
      </c>
      <c r="J5545" s="444">
        <f t="array" ref="J5545">IFERROR(INDEX('Retirement Calculator'!K:K,MATCH('Lorri 401b'!N5545,'Retirement Calculator'!A:A,0),0),0)</f>
        <v>0</v>
      </c>
      <c r="K5545" s="444">
        <f t="shared" ca="1" si="188"/>
        <v>-23179120544254.664</v>
      </c>
      <c r="L5545" s="444">
        <f t="shared" ca="1" si="189"/>
        <v>-5586168051165374</v>
      </c>
      <c r="M5545" s="460">
        <f t="shared" si="191"/>
        <v>0.05</v>
      </c>
      <c r="N5545" s="464">
        <f t="shared" si="192"/>
        <v>219817</v>
      </c>
    </row>
    <row r="5546" spans="7:14" ht="11.25" customHeight="1" x14ac:dyDescent="0.3">
      <c r="G5546" s="459"/>
      <c r="H5546" s="459">
        <v>5539</v>
      </c>
      <c r="I5546" s="444">
        <f t="shared" ca="1" si="190"/>
        <v>-5586168051165374</v>
      </c>
      <c r="J5546" s="444">
        <f t="array" ref="J5546">IFERROR(INDEX('Retirement Calculator'!K:K,MATCH('Lorri 401b'!N5546,'Retirement Calculator'!A:A,0),0),0)</f>
        <v>0</v>
      </c>
      <c r="K5546" s="444">
        <f t="shared" ca="1" si="188"/>
        <v>-23275700213189.059</v>
      </c>
      <c r="L5546" s="444">
        <f t="shared" ca="1" si="189"/>
        <v>-5609443751378563</v>
      </c>
      <c r="M5546" s="460">
        <f t="shared" si="191"/>
        <v>0.05</v>
      </c>
      <c r="N5546" s="464">
        <f t="shared" si="192"/>
        <v>219847</v>
      </c>
    </row>
    <row r="5547" spans="7:14" ht="11.25" customHeight="1" x14ac:dyDescent="0.3">
      <c r="G5547" s="459"/>
      <c r="H5547" s="459">
        <v>5540</v>
      </c>
      <c r="I5547" s="444">
        <f t="shared" ca="1" si="190"/>
        <v>-5609443751378563</v>
      </c>
      <c r="J5547" s="444">
        <f t="array" ref="J5547">IFERROR(INDEX('Retirement Calculator'!K:K,MATCH('Lorri 401b'!N5547,'Retirement Calculator'!A:A,0),0),0)</f>
        <v>0</v>
      </c>
      <c r="K5547" s="444">
        <f t="shared" ca="1" si="188"/>
        <v>-23372682297410.68</v>
      </c>
      <c r="L5547" s="444">
        <f t="shared" ca="1" si="189"/>
        <v>-5632816433675974</v>
      </c>
      <c r="M5547" s="460">
        <f t="shared" si="191"/>
        <v>0.05</v>
      </c>
      <c r="N5547" s="464">
        <f t="shared" si="192"/>
        <v>219878</v>
      </c>
    </row>
    <row r="5548" spans="7:14" ht="11.25" customHeight="1" x14ac:dyDescent="0.3">
      <c r="G5548" s="459"/>
      <c r="H5548" s="459">
        <v>5541</v>
      </c>
      <c r="I5548" s="444">
        <f t="shared" ca="1" si="190"/>
        <v>-5632816433675974</v>
      </c>
      <c r="J5548" s="444">
        <f t="array" ref="J5548">IFERROR(INDEX('Retirement Calculator'!K:K,MATCH('Lorri 401b'!N5548,'Retirement Calculator'!A:A,0),0),0)</f>
        <v>0</v>
      </c>
      <c r="K5548" s="444">
        <f t="shared" ca="1" si="188"/>
        <v>-23470068473649.891</v>
      </c>
      <c r="L5548" s="444">
        <f t="shared" ca="1" si="189"/>
        <v>-5656286502149624</v>
      </c>
      <c r="M5548" s="460">
        <f t="shared" si="191"/>
        <v>0.05</v>
      </c>
      <c r="N5548" s="464">
        <f t="shared" si="192"/>
        <v>219909</v>
      </c>
    </row>
    <row r="5549" spans="7:14" ht="11.25" customHeight="1" x14ac:dyDescent="0.3">
      <c r="G5549" s="459"/>
      <c r="H5549" s="459">
        <v>5542</v>
      </c>
      <c r="I5549" s="444">
        <f t="shared" ca="1" si="190"/>
        <v>-5656286502149624</v>
      </c>
      <c r="J5549" s="444">
        <f t="array" ref="J5549">IFERROR(INDEX('Retirement Calculator'!K:K,MATCH('Lorri 401b'!N5549,'Retirement Calculator'!A:A,0),0),0)</f>
        <v>0</v>
      </c>
      <c r="K5549" s="444">
        <f t="shared" ca="1" si="188"/>
        <v>-23567860425623.434</v>
      </c>
      <c r="L5549" s="444">
        <f t="shared" ca="1" si="189"/>
        <v>-5679854362575247</v>
      </c>
      <c r="M5549" s="460">
        <f t="shared" si="191"/>
        <v>0.05</v>
      </c>
      <c r="N5549" s="464">
        <f t="shared" si="192"/>
        <v>219937</v>
      </c>
    </row>
    <row r="5550" spans="7:14" ht="11.25" customHeight="1" x14ac:dyDescent="0.3">
      <c r="G5550" s="459"/>
      <c r="H5550" s="459">
        <v>5543</v>
      </c>
      <c r="I5550" s="444">
        <f t="shared" ca="1" si="190"/>
        <v>-5679854362575247</v>
      </c>
      <c r="J5550" s="444">
        <f t="array" ref="J5550">IFERROR(INDEX('Retirement Calculator'!K:K,MATCH('Lorri 401b'!N5550,'Retirement Calculator'!A:A,0),0),0)</f>
        <v>0</v>
      </c>
      <c r="K5550" s="444">
        <f t="shared" ca="1" si="188"/>
        <v>-23666059844063.527</v>
      </c>
      <c r="L5550" s="444">
        <f t="shared" ca="1" si="189"/>
        <v>-5703520422419311</v>
      </c>
      <c r="M5550" s="460">
        <f t="shared" si="191"/>
        <v>0.05</v>
      </c>
      <c r="N5550" s="464">
        <f t="shared" si="192"/>
        <v>219968</v>
      </c>
    </row>
    <row r="5551" spans="7:14" ht="11.25" customHeight="1" x14ac:dyDescent="0.3">
      <c r="G5551" s="459"/>
      <c r="H5551" s="459">
        <v>5544</v>
      </c>
      <c r="I5551" s="444">
        <f t="shared" ca="1" si="190"/>
        <v>-5703520422419311</v>
      </c>
      <c r="J5551" s="444">
        <f t="array" ref="J5551">IFERROR(INDEX('Retirement Calculator'!K:K,MATCH('Lorri 401b'!N5551,'Retirement Calculator'!A:A,0),0),0)</f>
        <v>0</v>
      </c>
      <c r="K5551" s="444">
        <f t="shared" ca="1" si="188"/>
        <v>-23764668426747.129</v>
      </c>
      <c r="L5551" s="444">
        <f t="shared" ca="1" si="189"/>
        <v>-5727285090846058</v>
      </c>
      <c r="M5551" s="460">
        <f t="shared" si="191"/>
        <v>0.05</v>
      </c>
      <c r="N5551" s="464">
        <f t="shared" si="192"/>
        <v>219998</v>
      </c>
    </row>
    <row r="5552" spans="7:14" ht="11.25" customHeight="1" x14ac:dyDescent="0.3">
      <c r="G5552" s="459"/>
      <c r="H5552" s="459">
        <v>5545</v>
      </c>
      <c r="I5552" s="444">
        <f t="shared" ca="1" si="190"/>
        <v>-5727285090846058</v>
      </c>
      <c r="J5552" s="444">
        <f t="array" ref="J5552">IFERROR(INDEX('Retirement Calculator'!K:K,MATCH('Lorri 401b'!N5552,'Retirement Calculator'!A:A,0),0),0)</f>
        <v>0</v>
      </c>
      <c r="K5552" s="444">
        <f t="shared" ca="1" si="188"/>
        <v>-23863687878525.242</v>
      </c>
      <c r="L5552" s="444">
        <f t="shared" ca="1" si="189"/>
        <v>-5751148778724583</v>
      </c>
      <c r="M5552" s="460">
        <f t="shared" si="191"/>
        <v>0.05</v>
      </c>
      <c r="N5552" s="464">
        <f t="shared" si="192"/>
        <v>220029</v>
      </c>
    </row>
    <row r="5553" spans="7:14" ht="11.25" customHeight="1" x14ac:dyDescent="0.3">
      <c r="G5553" s="459"/>
      <c r="H5553" s="459">
        <v>5546</v>
      </c>
      <c r="I5553" s="444">
        <f t="shared" ca="1" si="190"/>
        <v>-5751148778724583</v>
      </c>
      <c r="J5553" s="444">
        <f t="array" ref="J5553">IFERROR(INDEX('Retirement Calculator'!K:K,MATCH('Lorri 401b'!N5553,'Retirement Calculator'!A:A,0),0),0)</f>
        <v>0</v>
      </c>
      <c r="K5553" s="444">
        <f t="shared" ca="1" si="188"/>
        <v>-23963119911352.43</v>
      </c>
      <c r="L5553" s="444">
        <f t="shared" ca="1" si="189"/>
        <v>-5775111898635935</v>
      </c>
      <c r="M5553" s="460">
        <f t="shared" si="191"/>
        <v>0.05</v>
      </c>
      <c r="N5553" s="464">
        <f t="shared" si="192"/>
        <v>220059</v>
      </c>
    </row>
    <row r="5554" spans="7:14" ht="11.25" customHeight="1" x14ac:dyDescent="0.3">
      <c r="G5554" s="459"/>
      <c r="H5554" s="459">
        <v>5547</v>
      </c>
      <c r="I5554" s="444">
        <f t="shared" ca="1" si="190"/>
        <v>-5775111898635935</v>
      </c>
      <c r="J5554" s="444">
        <f t="array" ref="J5554">IFERROR(INDEX('Retirement Calculator'!K:K,MATCH('Lorri 401b'!N5554,'Retirement Calculator'!A:A,0),0),0)</f>
        <v>0</v>
      </c>
      <c r="K5554" s="444">
        <f t="shared" ca="1" si="188"/>
        <v>-24062966244316.395</v>
      </c>
      <c r="L5554" s="444">
        <f t="shared" ca="1" si="189"/>
        <v>-5799174864880251</v>
      </c>
      <c r="M5554" s="460">
        <f t="shared" si="191"/>
        <v>0.05</v>
      </c>
      <c r="N5554" s="464">
        <f t="shared" si="192"/>
        <v>220090</v>
      </c>
    </row>
    <row r="5555" spans="7:14" ht="11.25" customHeight="1" x14ac:dyDescent="0.3">
      <c r="G5555" s="459"/>
      <c r="H5555" s="459">
        <v>5548</v>
      </c>
      <c r="I5555" s="444">
        <f t="shared" ca="1" si="190"/>
        <v>-5799174864880251</v>
      </c>
      <c r="J5555" s="444">
        <f t="array" ref="J5555">IFERROR(INDEX('Retirement Calculator'!K:K,MATCH('Lorri 401b'!N5555,'Retirement Calculator'!A:A,0),0),0)</f>
        <v>0</v>
      </c>
      <c r="K5555" s="444">
        <f t="shared" ca="1" si="188"/>
        <v>-24163228603667.711</v>
      </c>
      <c r="L5555" s="444">
        <f t="shared" ca="1" si="189"/>
        <v>-5823338093483919</v>
      </c>
      <c r="M5555" s="460">
        <f t="shared" si="191"/>
        <v>0.05</v>
      </c>
      <c r="N5555" s="464">
        <f t="shared" si="192"/>
        <v>220121</v>
      </c>
    </row>
    <row r="5556" spans="7:14" ht="11.25" customHeight="1" x14ac:dyDescent="0.3">
      <c r="G5556" s="459"/>
      <c r="H5556" s="459">
        <v>5549</v>
      </c>
      <c r="I5556" s="444">
        <f t="shared" ca="1" si="190"/>
        <v>-5823338093483919</v>
      </c>
      <c r="J5556" s="444">
        <f t="array" ref="J5556">IFERROR(INDEX('Retirement Calculator'!K:K,MATCH('Lorri 401b'!N5556,'Retirement Calculator'!A:A,0),0),0)</f>
        <v>0</v>
      </c>
      <c r="K5556" s="444">
        <f t="shared" ca="1" si="188"/>
        <v>-24263908722849.664</v>
      </c>
      <c r="L5556" s="444">
        <f t="shared" ca="1" si="189"/>
        <v>-5847602002206769</v>
      </c>
      <c r="M5556" s="460">
        <f t="shared" si="191"/>
        <v>0.05</v>
      </c>
      <c r="N5556" s="464">
        <f t="shared" si="192"/>
        <v>220151</v>
      </c>
    </row>
    <row r="5557" spans="7:14" ht="11.25" customHeight="1" x14ac:dyDescent="0.3">
      <c r="G5557" s="459"/>
      <c r="H5557" s="459">
        <v>5550</v>
      </c>
      <c r="I5557" s="444">
        <f t="shared" ca="1" si="190"/>
        <v>-5847602002206769</v>
      </c>
      <c r="J5557" s="444">
        <f t="array" ref="J5557">IFERROR(INDEX('Retirement Calculator'!K:K,MATCH('Lorri 401b'!N5557,'Retirement Calculator'!A:A,0),0),0)</f>
        <v>0</v>
      </c>
      <c r="K5557" s="444">
        <f t="shared" ca="1" si="188"/>
        <v>-24365008342528.203</v>
      </c>
      <c r="L5557" s="444">
        <f t="shared" ca="1" si="189"/>
        <v>-5871967010549297</v>
      </c>
      <c r="M5557" s="460">
        <f t="shared" si="191"/>
        <v>0.05</v>
      </c>
      <c r="N5557" s="464">
        <f t="shared" si="192"/>
        <v>220182</v>
      </c>
    </row>
    <row r="5558" spans="7:14" ht="11.25" customHeight="1" x14ac:dyDescent="0.3">
      <c r="G5558" s="459"/>
      <c r="H5558" s="459">
        <v>5551</v>
      </c>
      <c r="I5558" s="444">
        <f t="shared" ca="1" si="190"/>
        <v>-5871967010549297</v>
      </c>
      <c r="J5558" s="444">
        <f t="array" ref="J5558">IFERROR(INDEX('Retirement Calculator'!K:K,MATCH('Lorri 401b'!N5558,'Retirement Calculator'!A:A,0),0),0)</f>
        <v>0</v>
      </c>
      <c r="K5558" s="444">
        <f t="shared" ca="1" si="188"/>
        <v>-24466529210622.07</v>
      </c>
      <c r="L5558" s="444">
        <f t="shared" ca="1" si="189"/>
        <v>-5896433539759919</v>
      </c>
      <c r="M5558" s="460">
        <f t="shared" si="191"/>
        <v>0.05</v>
      </c>
      <c r="N5558" s="464">
        <f t="shared" si="192"/>
        <v>220212</v>
      </c>
    </row>
    <row r="5559" spans="7:14" ht="11.25" customHeight="1" x14ac:dyDescent="0.3">
      <c r="G5559" s="459"/>
      <c r="H5559" s="459">
        <v>5552</v>
      </c>
      <c r="I5559" s="444">
        <f t="shared" ca="1" si="190"/>
        <v>-5896433539759919</v>
      </c>
      <c r="J5559" s="444">
        <f t="array" ref="J5559">IFERROR(INDEX('Retirement Calculator'!K:K,MATCH('Lorri 401b'!N5559,'Retirement Calculator'!A:A,0),0),0)</f>
        <v>0</v>
      </c>
      <c r="K5559" s="444">
        <f t="shared" ca="1" si="188"/>
        <v>-24568473082332.996</v>
      </c>
      <c r="L5559" s="444">
        <f t="shared" ca="1" si="189"/>
        <v>-5921002012842252</v>
      </c>
      <c r="M5559" s="460">
        <f t="shared" si="191"/>
        <v>0.05</v>
      </c>
      <c r="N5559" s="464">
        <f t="shared" si="192"/>
        <v>220243</v>
      </c>
    </row>
    <row r="5560" spans="7:14" ht="11.25" customHeight="1" x14ac:dyDescent="0.3">
      <c r="G5560" s="459"/>
      <c r="H5560" s="459">
        <v>5553</v>
      </c>
      <c r="I5560" s="444">
        <f t="shared" ca="1" si="190"/>
        <v>-5921002012842252</v>
      </c>
      <c r="J5560" s="444">
        <f t="array" ref="J5560">IFERROR(INDEX('Retirement Calculator'!K:K,MATCH('Lorri 401b'!N5560,'Retirement Calculator'!A:A,0),0),0)</f>
        <v>0</v>
      </c>
      <c r="K5560" s="444">
        <f t="shared" ca="1" si="188"/>
        <v>-24670841720176.051</v>
      </c>
      <c r="L5560" s="444">
        <f t="shared" ca="1" si="189"/>
        <v>-5945672854562428</v>
      </c>
      <c r="M5560" s="460">
        <f t="shared" si="191"/>
        <v>0.05</v>
      </c>
      <c r="N5560" s="464">
        <f t="shared" si="192"/>
        <v>220274</v>
      </c>
    </row>
    <row r="5561" spans="7:14" ht="11.25" customHeight="1" x14ac:dyDescent="0.3">
      <c r="G5561" s="459"/>
      <c r="H5561" s="459">
        <v>5554</v>
      </c>
      <c r="I5561" s="444">
        <f t="shared" ca="1" si="190"/>
        <v>-5945672854562428</v>
      </c>
      <c r="J5561" s="444">
        <f t="array" ref="J5561">IFERROR(INDEX('Retirement Calculator'!K:K,MATCH('Lorri 401b'!N5561,'Retirement Calculator'!A:A,0),0),0)</f>
        <v>0</v>
      </c>
      <c r="K5561" s="444">
        <f t="shared" ca="1" si="188"/>
        <v>-24773636894010.117</v>
      </c>
      <c r="L5561" s="444">
        <f t="shared" ca="1" si="189"/>
        <v>-5970446491456438</v>
      </c>
      <c r="M5561" s="460">
        <f t="shared" si="191"/>
        <v>0.05</v>
      </c>
      <c r="N5561" s="464">
        <f t="shared" si="192"/>
        <v>220302</v>
      </c>
    </row>
    <row r="5562" spans="7:14" ht="11.25" customHeight="1" x14ac:dyDescent="0.3">
      <c r="G5562" s="459"/>
      <c r="H5562" s="459">
        <v>5555</v>
      </c>
      <c r="I5562" s="444">
        <f t="shared" ca="1" si="190"/>
        <v>-5970446491456438</v>
      </c>
      <c r="J5562" s="444">
        <f t="array" ref="J5562">IFERROR(INDEX('Retirement Calculator'!K:K,MATCH('Lorri 401b'!N5562,'Retirement Calculator'!A:A,0),0),0)</f>
        <v>0</v>
      </c>
      <c r="K5562" s="444">
        <f t="shared" ca="1" si="188"/>
        <v>-24876860381068.492</v>
      </c>
      <c r="L5562" s="444">
        <f t="shared" ca="1" si="189"/>
        <v>-5995323351837506</v>
      </c>
      <c r="M5562" s="460">
        <f t="shared" si="191"/>
        <v>0.05</v>
      </c>
      <c r="N5562" s="464">
        <f t="shared" si="192"/>
        <v>220333</v>
      </c>
    </row>
    <row r="5563" spans="7:14" ht="11.25" customHeight="1" x14ac:dyDescent="0.3">
      <c r="G5563" s="459"/>
      <c r="H5563" s="459">
        <v>5556</v>
      </c>
      <c r="I5563" s="444">
        <f t="shared" ca="1" si="190"/>
        <v>-5995323351837506</v>
      </c>
      <c r="J5563" s="444">
        <f t="array" ref="J5563">IFERROR(INDEX('Retirement Calculator'!K:K,MATCH('Lorri 401b'!N5563,'Retirement Calculator'!A:A,0),0),0)</f>
        <v>0</v>
      </c>
      <c r="K5563" s="444">
        <f t="shared" ca="1" si="188"/>
        <v>-24980513965989.609</v>
      </c>
      <c r="L5563" s="444">
        <f t="shared" ca="1" si="189"/>
        <v>-6020303865803496</v>
      </c>
      <c r="M5563" s="460">
        <f t="shared" si="191"/>
        <v>0.05</v>
      </c>
      <c r="N5563" s="464">
        <f t="shared" si="192"/>
        <v>220363</v>
      </c>
    </row>
    <row r="5564" spans="7:14" ht="11.25" customHeight="1" x14ac:dyDescent="0.3">
      <c r="G5564" s="459"/>
      <c r="H5564" s="459">
        <v>5557</v>
      </c>
      <c r="I5564" s="444">
        <f t="shared" ca="1" si="190"/>
        <v>-6020303865803496</v>
      </c>
      <c r="J5564" s="444">
        <f t="array" ref="J5564">IFERROR(INDEX('Retirement Calculator'!K:K,MATCH('Lorri 401b'!N5564,'Retirement Calculator'!A:A,0),0),0)</f>
        <v>0</v>
      </c>
      <c r="K5564" s="444">
        <f t="shared" ca="1" si="188"/>
        <v>-25084599440847.898</v>
      </c>
      <c r="L5564" s="444">
        <f t="shared" ca="1" si="189"/>
        <v>-6045388465244344</v>
      </c>
      <c r="M5564" s="460">
        <f t="shared" si="191"/>
        <v>0.05</v>
      </c>
      <c r="N5564" s="464">
        <f t="shared" si="192"/>
        <v>220394</v>
      </c>
    </row>
    <row r="5565" spans="7:14" ht="11.25" customHeight="1" x14ac:dyDescent="0.3">
      <c r="G5565" s="459"/>
      <c r="H5565" s="459">
        <v>5558</v>
      </c>
      <c r="I5565" s="444">
        <f t="shared" ca="1" si="190"/>
        <v>-6045388465244344</v>
      </c>
      <c r="J5565" s="444">
        <f t="array" ref="J5565">IFERROR(INDEX('Retirement Calculator'!K:K,MATCH('Lorri 401b'!N5565,'Retirement Calculator'!A:A,0),0),0)</f>
        <v>0</v>
      </c>
      <c r="K5565" s="444">
        <f t="shared" ca="1" si="188"/>
        <v>-25189118605184.766</v>
      </c>
      <c r="L5565" s="444">
        <f t="shared" ca="1" si="189"/>
        <v>-6070577583849529</v>
      </c>
      <c r="M5565" s="460">
        <f t="shared" si="191"/>
        <v>0.05</v>
      </c>
      <c r="N5565" s="464">
        <f t="shared" si="192"/>
        <v>220424</v>
      </c>
    </row>
    <row r="5566" spans="7:14" ht="11.25" customHeight="1" x14ac:dyDescent="0.3">
      <c r="G5566" s="459"/>
      <c r="H5566" s="459">
        <v>5559</v>
      </c>
      <c r="I5566" s="444">
        <f t="shared" ca="1" si="190"/>
        <v>-6070577583849529</v>
      </c>
      <c r="J5566" s="444">
        <f t="array" ref="J5566">IFERROR(INDEX('Retirement Calculator'!K:K,MATCH('Lorri 401b'!N5566,'Retirement Calculator'!A:A,0),0),0)</f>
        <v>0</v>
      </c>
      <c r="K5566" s="444">
        <f t="shared" ca="1" si="188"/>
        <v>-25294073266039.703</v>
      </c>
      <c r="L5566" s="444">
        <f t="shared" ca="1" si="189"/>
        <v>-6095871657115569</v>
      </c>
      <c r="M5566" s="460">
        <f t="shared" si="191"/>
        <v>0.05</v>
      </c>
      <c r="N5566" s="464">
        <f t="shared" si="192"/>
        <v>220455</v>
      </c>
    </row>
    <row r="5567" spans="7:14" ht="11.25" customHeight="1" x14ac:dyDescent="0.3">
      <c r="G5567" s="459"/>
      <c r="H5567" s="459">
        <v>5560</v>
      </c>
      <c r="I5567" s="444">
        <f t="shared" ca="1" si="190"/>
        <v>-6095871657115569</v>
      </c>
      <c r="J5567" s="444">
        <f t="array" ref="J5567">IFERROR(INDEX('Retirement Calculator'!K:K,MATCH('Lorri 401b'!N5567,'Retirement Calculator'!A:A,0),0),0)</f>
        <v>0</v>
      </c>
      <c r="K5567" s="444">
        <f t="shared" ca="1" si="188"/>
        <v>-25399465237981.539</v>
      </c>
      <c r="L5567" s="444">
        <f t="shared" ca="1" si="189"/>
        <v>-6121271122353551</v>
      </c>
      <c r="M5567" s="460">
        <f t="shared" si="191"/>
        <v>0.05</v>
      </c>
      <c r="N5567" s="464">
        <f t="shared" si="192"/>
        <v>220486</v>
      </c>
    </row>
    <row r="5568" spans="7:14" ht="11.25" customHeight="1" x14ac:dyDescent="0.3">
      <c r="G5568" s="459"/>
      <c r="H5568" s="459">
        <v>5561</v>
      </c>
      <c r="I5568" s="444">
        <f t="shared" ca="1" si="190"/>
        <v>-6121271122353551</v>
      </c>
      <c r="J5568" s="444">
        <f t="array" ref="J5568">IFERROR(INDEX('Retirement Calculator'!K:K,MATCH('Lorri 401b'!N5568,'Retirement Calculator'!A:A,0),0),0)</f>
        <v>0</v>
      </c>
      <c r="K5568" s="444">
        <f t="shared" ca="1" si="188"/>
        <v>-25505296343139.797</v>
      </c>
      <c r="L5568" s="444">
        <f t="shared" ca="1" si="189"/>
        <v>-6146776418696691</v>
      </c>
      <c r="M5568" s="460">
        <f t="shared" si="191"/>
        <v>0.05</v>
      </c>
      <c r="N5568" s="464">
        <f t="shared" si="192"/>
        <v>220516</v>
      </c>
    </row>
    <row r="5569" spans="7:14" ht="11.25" customHeight="1" x14ac:dyDescent="0.3">
      <c r="G5569" s="459"/>
      <c r="H5569" s="459">
        <v>5562</v>
      </c>
      <c r="I5569" s="444">
        <f t="shared" ca="1" si="190"/>
        <v>-6146776418696691</v>
      </c>
      <c r="J5569" s="444">
        <f t="array" ref="J5569">IFERROR(INDEX('Retirement Calculator'!K:K,MATCH('Lorri 401b'!N5569,'Retirement Calculator'!A:A,0),0),0)</f>
        <v>0</v>
      </c>
      <c r="K5569" s="444">
        <f t="shared" ca="1" si="188"/>
        <v>-25611568411236.211</v>
      </c>
      <c r="L5569" s="444">
        <f t="shared" ca="1" si="189"/>
        <v>-6172387987107927</v>
      </c>
      <c r="M5569" s="460">
        <f t="shared" si="191"/>
        <v>0.05</v>
      </c>
      <c r="N5569" s="464">
        <f t="shared" si="192"/>
        <v>220547</v>
      </c>
    </row>
    <row r="5570" spans="7:14" ht="11.25" customHeight="1" x14ac:dyDescent="0.3">
      <c r="G5570" s="459"/>
      <c r="H5570" s="459">
        <v>5563</v>
      </c>
      <c r="I5570" s="444">
        <f t="shared" ca="1" si="190"/>
        <v>-6172387987107927</v>
      </c>
      <c r="J5570" s="444">
        <f t="array" ref="J5570">IFERROR(INDEX('Retirement Calculator'!K:K,MATCH('Lorri 401b'!N5570,'Retirement Calculator'!A:A,0),0),0)</f>
        <v>0</v>
      </c>
      <c r="K5570" s="444">
        <f t="shared" ca="1" si="188"/>
        <v>-25718283279616.363</v>
      </c>
      <c r="L5570" s="444">
        <f t="shared" ca="1" si="189"/>
        <v>-6198106270387543</v>
      </c>
      <c r="M5570" s="460">
        <f t="shared" si="191"/>
        <v>0.05</v>
      </c>
      <c r="N5570" s="464">
        <f t="shared" si="192"/>
        <v>220577</v>
      </c>
    </row>
    <row r="5571" spans="7:14" ht="11.25" customHeight="1" x14ac:dyDescent="0.3">
      <c r="G5571" s="459"/>
      <c r="H5571" s="459">
        <v>5564</v>
      </c>
      <c r="I5571" s="444">
        <f t="shared" ca="1" si="190"/>
        <v>-6198106270387543</v>
      </c>
      <c r="J5571" s="444">
        <f t="array" ref="J5571">IFERROR(INDEX('Retirement Calculator'!K:K,MATCH('Lorri 401b'!N5571,'Retirement Calculator'!A:A,0),0),0)</f>
        <v>0</v>
      </c>
      <c r="K5571" s="444">
        <f t="shared" ca="1" si="188"/>
        <v>-25825442793281.43</v>
      </c>
      <c r="L5571" s="444">
        <f t="shared" ca="1" si="189"/>
        <v>-6223931713180824</v>
      </c>
      <c r="M5571" s="460">
        <f t="shared" si="191"/>
        <v>0.05</v>
      </c>
      <c r="N5571" s="464">
        <f t="shared" si="192"/>
        <v>220608</v>
      </c>
    </row>
    <row r="5572" spans="7:14" ht="11.25" customHeight="1" x14ac:dyDescent="0.3">
      <c r="G5572" s="459"/>
      <c r="H5572" s="459">
        <v>5565</v>
      </c>
      <c r="I5572" s="444">
        <f t="shared" ca="1" si="190"/>
        <v>-6223931713180824</v>
      </c>
      <c r="J5572" s="444">
        <f t="array" ref="J5572">IFERROR(INDEX('Retirement Calculator'!K:K,MATCH('Lorri 401b'!N5572,'Retirement Calculator'!A:A,0),0),0)</f>
        <v>0</v>
      </c>
      <c r="K5572" s="444">
        <f t="shared" ca="1" si="188"/>
        <v>-25933048804920.102</v>
      </c>
      <c r="L5572" s="444">
        <f t="shared" ca="1" si="189"/>
        <v>-6249864761985744</v>
      </c>
      <c r="M5572" s="460">
        <f t="shared" si="191"/>
        <v>0.05</v>
      </c>
      <c r="N5572" s="464">
        <f t="shared" si="192"/>
        <v>220639</v>
      </c>
    </row>
    <row r="5573" spans="7:14" ht="11.25" customHeight="1" x14ac:dyDescent="0.3">
      <c r="G5573" s="459"/>
      <c r="H5573" s="459">
        <v>5566</v>
      </c>
      <c r="I5573" s="444">
        <f t="shared" ca="1" si="190"/>
        <v>-6249864761985744</v>
      </c>
      <c r="J5573" s="444">
        <f t="array" ref="J5573">IFERROR(INDEX('Retirement Calculator'!K:K,MATCH('Lorri 401b'!N5573,'Retirement Calculator'!A:A,0),0),0)</f>
        <v>0</v>
      </c>
      <c r="K5573" s="444">
        <f t="shared" ca="1" si="188"/>
        <v>-26041103174940.602</v>
      </c>
      <c r="L5573" s="444">
        <f t="shared" ca="1" si="189"/>
        <v>-6275905865160685</v>
      </c>
      <c r="M5573" s="460">
        <f t="shared" si="191"/>
        <v>0.05</v>
      </c>
      <c r="N5573" s="464">
        <f t="shared" si="192"/>
        <v>220668</v>
      </c>
    </row>
    <row r="5574" spans="7:14" ht="11.25" customHeight="1" x14ac:dyDescent="0.3">
      <c r="G5574" s="459"/>
      <c r="H5574" s="459">
        <v>5567</v>
      </c>
      <c r="I5574" s="444">
        <f t="shared" ca="1" si="190"/>
        <v>-6275905865160685</v>
      </c>
      <c r="J5574" s="444">
        <f t="array" ref="J5574">IFERROR(INDEX('Retirement Calculator'!K:K,MATCH('Lorri 401b'!N5574,'Retirement Calculator'!A:A,0),0),0)</f>
        <v>0</v>
      </c>
      <c r="K5574" s="444">
        <f t="shared" ca="1" si="188"/>
        <v>-26149607771502.855</v>
      </c>
      <c r="L5574" s="444">
        <f t="shared" ca="1" si="189"/>
        <v>-6302055472932188</v>
      </c>
      <c r="M5574" s="460">
        <f t="shared" si="191"/>
        <v>0.05</v>
      </c>
      <c r="N5574" s="464">
        <f t="shared" si="192"/>
        <v>220699</v>
      </c>
    </row>
    <row r="5575" spans="7:14" ht="11.25" customHeight="1" x14ac:dyDescent="0.3">
      <c r="G5575" s="459"/>
      <c r="H5575" s="459">
        <v>5568</v>
      </c>
      <c r="I5575" s="444">
        <f t="shared" ca="1" si="190"/>
        <v>-6302055472932188</v>
      </c>
      <c r="J5575" s="444">
        <f t="array" ref="J5575">IFERROR(INDEX('Retirement Calculator'!K:K,MATCH('Lorri 401b'!N5575,'Retirement Calculator'!A:A,0),0),0)</f>
        <v>0</v>
      </c>
      <c r="K5575" s="444">
        <f t="shared" ca="1" si="188"/>
        <v>-26258564470550.781</v>
      </c>
      <c r="L5575" s="444">
        <f t="shared" ca="1" si="189"/>
        <v>-6328314037402739</v>
      </c>
      <c r="M5575" s="460">
        <f t="shared" si="191"/>
        <v>0.05</v>
      </c>
      <c r="N5575" s="464">
        <f t="shared" si="192"/>
        <v>220729</v>
      </c>
    </row>
    <row r="5576" spans="7:14" ht="11.25" customHeight="1" x14ac:dyDescent="0.3">
      <c r="G5576" s="459"/>
      <c r="H5576" s="459">
        <v>5569</v>
      </c>
      <c r="I5576" s="444">
        <f t="shared" ca="1" si="190"/>
        <v>-6328314037402739</v>
      </c>
      <c r="J5576" s="444">
        <f t="array" ref="J5576">IFERROR(INDEX('Retirement Calculator'!K:K,MATCH('Lorri 401b'!N5576,'Retirement Calculator'!A:A,0),0),0)</f>
        <v>0</v>
      </c>
      <c r="K5576" s="444">
        <f t="shared" ca="1" si="188"/>
        <v>-26367975155844.746</v>
      </c>
      <c r="L5576" s="444">
        <f t="shared" ca="1" si="189"/>
        <v>-6354682012558584</v>
      </c>
      <c r="M5576" s="460">
        <f t="shared" si="191"/>
        <v>0.05</v>
      </c>
      <c r="N5576" s="464">
        <f t="shared" si="192"/>
        <v>220760</v>
      </c>
    </row>
    <row r="5577" spans="7:14" ht="11.25" customHeight="1" x14ac:dyDescent="0.3">
      <c r="G5577" s="459"/>
      <c r="H5577" s="459">
        <v>5570</v>
      </c>
      <c r="I5577" s="444">
        <f t="shared" ca="1" si="190"/>
        <v>-6354682012558584</v>
      </c>
      <c r="J5577" s="444">
        <f t="array" ref="J5577">IFERROR(INDEX('Retirement Calculator'!K:K,MATCH('Lorri 401b'!N5577,'Retirement Calculator'!A:A,0),0),0)</f>
        <v>0</v>
      </c>
      <c r="K5577" s="444">
        <f t="shared" ca="1" si="188"/>
        <v>-26477841718994.102</v>
      </c>
      <c r="L5577" s="444">
        <f t="shared" ca="1" si="189"/>
        <v>-6381159854277578</v>
      </c>
      <c r="M5577" s="460">
        <f t="shared" si="191"/>
        <v>0.05</v>
      </c>
      <c r="N5577" s="464">
        <f t="shared" si="192"/>
        <v>220790</v>
      </c>
    </row>
    <row r="5578" spans="7:14" ht="11.25" customHeight="1" x14ac:dyDescent="0.3">
      <c r="G5578" s="459"/>
      <c r="H5578" s="459">
        <v>5571</v>
      </c>
      <c r="I5578" s="444">
        <f t="shared" ca="1" si="190"/>
        <v>-6381159854277578</v>
      </c>
      <c r="J5578" s="444">
        <f t="array" ref="J5578">IFERROR(INDEX('Retirement Calculator'!K:K,MATCH('Lorri 401b'!N5578,'Retirement Calculator'!A:A,0),0),0)</f>
        <v>0</v>
      </c>
      <c r="K5578" s="444">
        <f t="shared" ca="1" si="188"/>
        <v>-26588166059489.906</v>
      </c>
      <c r="L5578" s="444">
        <f t="shared" ca="1" si="189"/>
        <v>-6407748020337068</v>
      </c>
      <c r="M5578" s="460">
        <f t="shared" si="191"/>
        <v>0.05</v>
      </c>
      <c r="N5578" s="464">
        <f t="shared" si="192"/>
        <v>220821</v>
      </c>
    </row>
    <row r="5579" spans="7:14" ht="11.25" customHeight="1" x14ac:dyDescent="0.3">
      <c r="G5579" s="459"/>
      <c r="H5579" s="459">
        <v>5572</v>
      </c>
      <c r="I5579" s="444">
        <f t="shared" ca="1" si="190"/>
        <v>-6407748020337068</v>
      </c>
      <c r="J5579" s="444">
        <f t="array" ref="J5579">IFERROR(INDEX('Retirement Calculator'!K:K,MATCH('Lorri 401b'!N5579,'Retirement Calculator'!A:A,0),0),0)</f>
        <v>0</v>
      </c>
      <c r="K5579" s="444">
        <f t="shared" ca="1" si="188"/>
        <v>-26698950084737.781</v>
      </c>
      <c r="L5579" s="444">
        <f t="shared" ca="1" si="189"/>
        <v>-6434446970421806</v>
      </c>
      <c r="M5579" s="460">
        <f t="shared" si="191"/>
        <v>0.05</v>
      </c>
      <c r="N5579" s="464">
        <f t="shared" si="192"/>
        <v>220852</v>
      </c>
    </row>
    <row r="5580" spans="7:14" ht="11.25" customHeight="1" x14ac:dyDescent="0.3">
      <c r="G5580" s="459"/>
      <c r="H5580" s="459">
        <v>5573</v>
      </c>
      <c r="I5580" s="444">
        <f t="shared" ca="1" si="190"/>
        <v>-6434446970421806</v>
      </c>
      <c r="J5580" s="444">
        <f t="array" ref="J5580">IFERROR(INDEX('Retirement Calculator'!K:K,MATCH('Lorri 401b'!N5580,'Retirement Calculator'!A:A,0),0),0)</f>
        <v>0</v>
      </c>
      <c r="K5580" s="444">
        <f t="shared" ca="1" si="188"/>
        <v>-26810195710090.859</v>
      </c>
      <c r="L5580" s="444">
        <f t="shared" ca="1" si="189"/>
        <v>-6461257166131897</v>
      </c>
      <c r="M5580" s="460">
        <f t="shared" si="191"/>
        <v>0.05</v>
      </c>
      <c r="N5580" s="464">
        <f t="shared" si="192"/>
        <v>220882</v>
      </c>
    </row>
    <row r="5581" spans="7:14" ht="11.25" customHeight="1" x14ac:dyDescent="0.3">
      <c r="G5581" s="459"/>
      <c r="H5581" s="459">
        <v>5574</v>
      </c>
      <c r="I5581" s="444">
        <f t="shared" ca="1" si="190"/>
        <v>-6461257166131897</v>
      </c>
      <c r="J5581" s="444">
        <f t="array" ref="J5581">IFERROR(INDEX('Retirement Calculator'!K:K,MATCH('Lorri 401b'!N5581,'Retirement Calculator'!A:A,0),0),0)</f>
        <v>0</v>
      </c>
      <c r="K5581" s="444">
        <f t="shared" ca="1" si="188"/>
        <v>-26921904858882.902</v>
      </c>
      <c r="L5581" s="444">
        <f t="shared" ca="1" si="189"/>
        <v>-6488179070990780</v>
      </c>
      <c r="M5581" s="460">
        <f t="shared" si="191"/>
        <v>0.05</v>
      </c>
      <c r="N5581" s="464">
        <f t="shared" si="192"/>
        <v>220913</v>
      </c>
    </row>
    <row r="5582" spans="7:14" ht="11.25" customHeight="1" x14ac:dyDescent="0.3">
      <c r="G5582" s="459"/>
      <c r="H5582" s="459">
        <v>5575</v>
      </c>
      <c r="I5582" s="444">
        <f t="shared" ca="1" si="190"/>
        <v>-6488179070990780</v>
      </c>
      <c r="J5582" s="444">
        <f t="array" ref="J5582">IFERROR(INDEX('Retirement Calculator'!K:K,MATCH('Lorri 401b'!N5582,'Retirement Calculator'!A:A,0),0),0)</f>
        <v>0</v>
      </c>
      <c r="K5582" s="444">
        <f t="shared" ca="1" si="188"/>
        <v>-27034079462461.582</v>
      </c>
      <c r="L5582" s="444">
        <f t="shared" ca="1" si="189"/>
        <v>-6515213150453242</v>
      </c>
      <c r="M5582" s="460">
        <f t="shared" si="191"/>
        <v>0.05</v>
      </c>
      <c r="N5582" s="464">
        <f t="shared" si="192"/>
        <v>220943</v>
      </c>
    </row>
    <row r="5583" spans="7:14" ht="11.25" customHeight="1" x14ac:dyDescent="0.3">
      <c r="G5583" s="459"/>
      <c r="H5583" s="459">
        <v>5576</v>
      </c>
      <c r="I5583" s="444">
        <f t="shared" ca="1" si="190"/>
        <v>-6515213150453242</v>
      </c>
      <c r="J5583" s="444">
        <f t="array" ref="J5583">IFERROR(INDEX('Retirement Calculator'!K:K,MATCH('Lorri 401b'!N5583,'Retirement Calculator'!A:A,0),0),0)</f>
        <v>0</v>
      </c>
      <c r="K5583" s="444">
        <f t="shared" ca="1" si="188"/>
        <v>-27146721460221.84</v>
      </c>
      <c r="L5583" s="444">
        <f t="shared" ca="1" si="189"/>
        <v>-6542359871913464</v>
      </c>
      <c r="M5583" s="460">
        <f t="shared" si="191"/>
        <v>0.05</v>
      </c>
      <c r="N5583" s="464">
        <f t="shared" si="192"/>
        <v>220974</v>
      </c>
    </row>
    <row r="5584" spans="7:14" ht="11.25" customHeight="1" x14ac:dyDescent="0.3">
      <c r="G5584" s="459"/>
      <c r="H5584" s="459">
        <v>5577</v>
      </c>
      <c r="I5584" s="444">
        <f t="shared" ca="1" si="190"/>
        <v>-6542359871913464</v>
      </c>
      <c r="J5584" s="444">
        <f t="array" ref="J5584">IFERROR(INDEX('Retirement Calculator'!K:K,MATCH('Lorri 401b'!N5584,'Retirement Calculator'!A:A,0),0),0)</f>
        <v>0</v>
      </c>
      <c r="K5584" s="444">
        <f t="shared" ca="1" si="188"/>
        <v>-27259832799639.434</v>
      </c>
      <c r="L5584" s="444">
        <f t="shared" ca="1" si="189"/>
        <v>-6569619704713103</v>
      </c>
      <c r="M5584" s="460">
        <f t="shared" si="191"/>
        <v>0.05</v>
      </c>
      <c r="N5584" s="464">
        <f t="shared" si="192"/>
        <v>221005</v>
      </c>
    </row>
    <row r="5585" spans="7:14" ht="11.25" customHeight="1" x14ac:dyDescent="0.3">
      <c r="G5585" s="459"/>
      <c r="H5585" s="459">
        <v>5578</v>
      </c>
      <c r="I5585" s="444">
        <f t="shared" ca="1" si="190"/>
        <v>-6569619704713103</v>
      </c>
      <c r="J5585" s="444">
        <f t="array" ref="J5585">IFERROR(INDEX('Retirement Calculator'!K:K,MATCH('Lorri 401b'!N5585,'Retirement Calculator'!A:A,0),0),0)</f>
        <v>0</v>
      </c>
      <c r="K5585" s="444">
        <f t="shared" ca="1" si="188"/>
        <v>-27373415436304.594</v>
      </c>
      <c r="L5585" s="444">
        <f t="shared" ca="1" si="189"/>
        <v>-6596993120149408</v>
      </c>
      <c r="M5585" s="460">
        <f t="shared" si="191"/>
        <v>0.05</v>
      </c>
      <c r="N5585" s="464">
        <f t="shared" si="192"/>
        <v>221033</v>
      </c>
    </row>
    <row r="5586" spans="7:14" ht="11.25" customHeight="1" x14ac:dyDescent="0.3">
      <c r="G5586" s="459"/>
      <c r="H5586" s="459">
        <v>5579</v>
      </c>
      <c r="I5586" s="444">
        <f t="shared" ca="1" si="190"/>
        <v>-6596993120149408</v>
      </c>
      <c r="J5586" s="444">
        <f t="array" ref="J5586">IFERROR(INDEX('Retirement Calculator'!K:K,MATCH('Lorri 401b'!N5586,'Retirement Calculator'!A:A,0),0),0)</f>
        <v>0</v>
      </c>
      <c r="K5586" s="444">
        <f t="shared" ca="1" si="188"/>
        <v>-27487471333955.867</v>
      </c>
      <c r="L5586" s="444">
        <f t="shared" ca="1" si="189"/>
        <v>-6624480591483364</v>
      </c>
      <c r="M5586" s="460">
        <f t="shared" si="191"/>
        <v>0.05</v>
      </c>
      <c r="N5586" s="464">
        <f t="shared" si="192"/>
        <v>221064</v>
      </c>
    </row>
    <row r="5587" spans="7:14" ht="11.25" customHeight="1" x14ac:dyDescent="0.3">
      <c r="G5587" s="459"/>
      <c r="H5587" s="459">
        <v>5580</v>
      </c>
      <c r="I5587" s="444">
        <f t="shared" ca="1" si="190"/>
        <v>-6624480591483364</v>
      </c>
      <c r="J5587" s="444">
        <f t="array" ref="J5587">IFERROR(INDEX('Retirement Calculator'!K:K,MATCH('Lorri 401b'!N5587,'Retirement Calculator'!A:A,0),0),0)</f>
        <v>0</v>
      </c>
      <c r="K5587" s="444">
        <f t="shared" ca="1" si="188"/>
        <v>-27602002464514.016</v>
      </c>
      <c r="L5587" s="444">
        <f t="shared" ca="1" si="189"/>
        <v>-6652082593947878</v>
      </c>
      <c r="M5587" s="460">
        <f t="shared" si="191"/>
        <v>0.05</v>
      </c>
      <c r="N5587" s="464">
        <f t="shared" si="192"/>
        <v>221094</v>
      </c>
    </row>
    <row r="5588" spans="7:14" ht="11.25" customHeight="1" x14ac:dyDescent="0.3">
      <c r="G5588" s="459"/>
      <c r="H5588" s="459">
        <v>5581</v>
      </c>
      <c r="I5588" s="444">
        <f t="shared" ca="1" si="190"/>
        <v>-6652082593947878</v>
      </c>
      <c r="J5588" s="444">
        <f t="array" ref="J5588">IFERROR(INDEX('Retirement Calculator'!K:K,MATCH('Lorri 401b'!N5588,'Retirement Calculator'!A:A,0),0),0)</f>
        <v>0</v>
      </c>
      <c r="K5588" s="444">
        <f t="shared" ca="1" si="188"/>
        <v>-27717010808116.156</v>
      </c>
      <c r="L5588" s="444">
        <f t="shared" ca="1" si="189"/>
        <v>-6679799604755994</v>
      </c>
      <c r="M5588" s="460">
        <f t="shared" si="191"/>
        <v>0.05</v>
      </c>
      <c r="N5588" s="464">
        <f t="shared" si="192"/>
        <v>221125</v>
      </c>
    </row>
    <row r="5589" spans="7:14" ht="11.25" customHeight="1" x14ac:dyDescent="0.3">
      <c r="G5589" s="459"/>
      <c r="H5589" s="459">
        <v>5582</v>
      </c>
      <c r="I5589" s="444">
        <f t="shared" ca="1" si="190"/>
        <v>-6679799604755994</v>
      </c>
      <c r="J5589" s="444">
        <f t="array" ref="J5589">IFERROR(INDEX('Retirement Calculator'!K:K,MATCH('Lorri 401b'!N5589,'Retirement Calculator'!A:A,0),0),0)</f>
        <v>0</v>
      </c>
      <c r="K5589" s="444">
        <f t="shared" ca="1" si="188"/>
        <v>-27832498353149.977</v>
      </c>
      <c r="L5589" s="444">
        <f t="shared" ca="1" si="189"/>
        <v>-6707632103109144</v>
      </c>
      <c r="M5589" s="460">
        <f t="shared" si="191"/>
        <v>0.05</v>
      </c>
      <c r="N5589" s="464">
        <f t="shared" si="192"/>
        <v>221155</v>
      </c>
    </row>
    <row r="5590" spans="7:14" ht="11.25" customHeight="1" x14ac:dyDescent="0.3">
      <c r="G5590" s="459"/>
      <c r="H5590" s="459">
        <v>5583</v>
      </c>
      <c r="I5590" s="444">
        <f t="shared" ca="1" si="190"/>
        <v>-6707632103109144</v>
      </c>
      <c r="J5590" s="444">
        <f t="array" ref="J5590">IFERROR(INDEX('Retirement Calculator'!K:K,MATCH('Lorri 401b'!N5590,'Retirement Calculator'!A:A,0),0),0)</f>
        <v>0</v>
      </c>
      <c r="K5590" s="444">
        <f t="shared" ca="1" si="188"/>
        <v>-27948467096288.102</v>
      </c>
      <c r="L5590" s="444">
        <f t="shared" ca="1" si="189"/>
        <v>-6735580570205432</v>
      </c>
      <c r="M5590" s="460">
        <f t="shared" si="191"/>
        <v>0.05</v>
      </c>
      <c r="N5590" s="464">
        <f t="shared" si="192"/>
        <v>221186</v>
      </c>
    </row>
    <row r="5591" spans="7:14" ht="11.25" customHeight="1" x14ac:dyDescent="0.3">
      <c r="G5591" s="459"/>
      <c r="H5591" s="459">
        <v>5584</v>
      </c>
      <c r="I5591" s="444">
        <f t="shared" ca="1" si="190"/>
        <v>-6735580570205432</v>
      </c>
      <c r="J5591" s="444">
        <f t="array" ref="J5591">IFERROR(INDEX('Retirement Calculator'!K:K,MATCH('Lorri 401b'!N5591,'Retirement Calculator'!A:A,0),0),0)</f>
        <v>0</v>
      </c>
      <c r="K5591" s="444">
        <f t="shared" ca="1" si="188"/>
        <v>-28064919042522.633</v>
      </c>
      <c r="L5591" s="444">
        <f t="shared" ca="1" si="189"/>
        <v>-6763645489247955</v>
      </c>
      <c r="M5591" s="460">
        <f t="shared" si="191"/>
        <v>0.05</v>
      </c>
      <c r="N5591" s="464">
        <f t="shared" si="192"/>
        <v>221217</v>
      </c>
    </row>
    <row r="5592" spans="7:14" ht="11.25" customHeight="1" x14ac:dyDescent="0.3">
      <c r="G5592" s="459"/>
      <c r="H5592" s="459">
        <v>5585</v>
      </c>
      <c r="I5592" s="444">
        <f t="shared" ca="1" si="190"/>
        <v>-6763645489247955</v>
      </c>
      <c r="J5592" s="444">
        <f t="array" ref="J5592">IFERROR(INDEX('Retirement Calculator'!K:K,MATCH('Lorri 401b'!N5592,'Retirement Calculator'!A:A,0),0),0)</f>
        <v>0</v>
      </c>
      <c r="K5592" s="444">
        <f t="shared" ca="1" si="188"/>
        <v>-28181856205199.813</v>
      </c>
      <c r="L5592" s="444">
        <f t="shared" ca="1" si="189"/>
        <v>-6791827345453155</v>
      </c>
      <c r="M5592" s="460">
        <f t="shared" si="191"/>
        <v>0.05</v>
      </c>
      <c r="N5592" s="464">
        <f t="shared" si="192"/>
        <v>221247</v>
      </c>
    </row>
    <row r="5593" spans="7:14" ht="11.25" customHeight="1" x14ac:dyDescent="0.3">
      <c r="G5593" s="459"/>
      <c r="H5593" s="459">
        <v>5586</v>
      </c>
      <c r="I5593" s="444">
        <f t="shared" ca="1" si="190"/>
        <v>-6791827345453155</v>
      </c>
      <c r="J5593" s="444">
        <f t="array" ref="J5593">IFERROR(INDEX('Retirement Calculator'!K:K,MATCH('Lorri 401b'!N5593,'Retirement Calculator'!A:A,0),0),0)</f>
        <v>0</v>
      </c>
      <c r="K5593" s="444">
        <f t="shared" ca="1" si="188"/>
        <v>-28299280606054.813</v>
      </c>
      <c r="L5593" s="444">
        <f t="shared" ca="1" si="189"/>
        <v>-6820126626059210</v>
      </c>
      <c r="M5593" s="460">
        <f t="shared" si="191"/>
        <v>0.05</v>
      </c>
      <c r="N5593" s="464">
        <f t="shared" si="192"/>
        <v>221278</v>
      </c>
    </row>
    <row r="5594" spans="7:14" ht="11.25" customHeight="1" x14ac:dyDescent="0.3">
      <c r="G5594" s="459"/>
      <c r="H5594" s="459">
        <v>5587</v>
      </c>
      <c r="I5594" s="444">
        <f t="shared" ca="1" si="190"/>
        <v>-6820126626059210</v>
      </c>
      <c r="J5594" s="444">
        <f t="array" ref="J5594">IFERROR(INDEX('Retirement Calculator'!K:K,MATCH('Lorri 401b'!N5594,'Retirement Calculator'!A:A,0),0),0)</f>
        <v>0</v>
      </c>
      <c r="K5594" s="444">
        <f t="shared" ca="1" si="188"/>
        <v>-28417194275246.707</v>
      </c>
      <c r="L5594" s="444">
        <f t="shared" ca="1" si="189"/>
        <v>-6848543820334457</v>
      </c>
      <c r="M5594" s="460">
        <f t="shared" si="191"/>
        <v>0.05</v>
      </c>
      <c r="N5594" s="464">
        <f t="shared" si="192"/>
        <v>221308</v>
      </c>
    </row>
    <row r="5595" spans="7:14" ht="11.25" customHeight="1" x14ac:dyDescent="0.3">
      <c r="G5595" s="459"/>
      <c r="H5595" s="459">
        <v>5588</v>
      </c>
      <c r="I5595" s="444">
        <f t="shared" ca="1" si="190"/>
        <v>-6848543820334457</v>
      </c>
      <c r="J5595" s="444">
        <f t="array" ref="J5595">IFERROR(INDEX('Retirement Calculator'!K:K,MATCH('Lorri 401b'!N5595,'Retirement Calculator'!A:A,0),0),0)</f>
        <v>0</v>
      </c>
      <c r="K5595" s="444">
        <f t="shared" ca="1" si="188"/>
        <v>-28535599251393.57</v>
      </c>
      <c r="L5595" s="444">
        <f t="shared" ca="1" si="189"/>
        <v>-6877079419585851</v>
      </c>
      <c r="M5595" s="460">
        <f t="shared" si="191"/>
        <v>0.05</v>
      </c>
      <c r="N5595" s="464">
        <f t="shared" si="192"/>
        <v>221339</v>
      </c>
    </row>
    <row r="5596" spans="7:14" ht="11.25" customHeight="1" x14ac:dyDescent="0.3">
      <c r="G5596" s="459"/>
      <c r="H5596" s="459">
        <v>5589</v>
      </c>
      <c r="I5596" s="444">
        <f t="shared" ca="1" si="190"/>
        <v>-6877079419585851</v>
      </c>
      <c r="J5596" s="444">
        <f t="array" ref="J5596">IFERROR(INDEX('Retirement Calculator'!K:K,MATCH('Lorri 401b'!N5596,'Retirement Calculator'!A:A,0),0),0)</f>
        <v>0</v>
      </c>
      <c r="K5596" s="444">
        <f t="shared" ca="1" si="188"/>
        <v>-28654497581607.711</v>
      </c>
      <c r="L5596" s="444">
        <f t="shared" ca="1" si="189"/>
        <v>-6905733917167459</v>
      </c>
      <c r="M5596" s="460">
        <f t="shared" si="191"/>
        <v>0.05</v>
      </c>
      <c r="N5596" s="464">
        <f t="shared" si="192"/>
        <v>221370</v>
      </c>
    </row>
    <row r="5597" spans="7:14" ht="11.25" customHeight="1" x14ac:dyDescent="0.3">
      <c r="G5597" s="459"/>
      <c r="H5597" s="459">
        <v>5590</v>
      </c>
      <c r="I5597" s="444">
        <f t="shared" ca="1" si="190"/>
        <v>-6905733917167459</v>
      </c>
      <c r="J5597" s="444">
        <f t="array" ref="J5597">IFERROR(INDEX('Retirement Calculator'!K:K,MATCH('Lorri 401b'!N5597,'Retirement Calculator'!A:A,0),0),0)</f>
        <v>0</v>
      </c>
      <c r="K5597" s="444">
        <f t="shared" ca="1" si="188"/>
        <v>-28773891321531.078</v>
      </c>
      <c r="L5597" s="444">
        <f t="shared" ca="1" si="189"/>
        <v>-6934507808488990</v>
      </c>
      <c r="M5597" s="460">
        <f t="shared" si="191"/>
        <v>0.05</v>
      </c>
      <c r="N5597" s="464">
        <f t="shared" si="192"/>
        <v>221398</v>
      </c>
    </row>
    <row r="5598" spans="7:14" ht="11.25" customHeight="1" x14ac:dyDescent="0.3">
      <c r="G5598" s="459"/>
      <c r="H5598" s="459">
        <v>5591</v>
      </c>
      <c r="I5598" s="444">
        <f t="shared" ca="1" si="190"/>
        <v>-6934507808488990</v>
      </c>
      <c r="J5598" s="444">
        <f t="array" ref="J5598">IFERROR(INDEX('Retirement Calculator'!K:K,MATCH('Lorri 401b'!N5598,'Retirement Calculator'!A:A,0),0),0)</f>
        <v>0</v>
      </c>
      <c r="K5598" s="444">
        <f t="shared" ca="1" si="188"/>
        <v>-28893782535370.793</v>
      </c>
      <c r="L5598" s="444">
        <f t="shared" ca="1" si="189"/>
        <v>-6963401591024361</v>
      </c>
      <c r="M5598" s="460">
        <f t="shared" si="191"/>
        <v>0.05</v>
      </c>
      <c r="N5598" s="464">
        <f t="shared" si="192"/>
        <v>221429</v>
      </c>
    </row>
    <row r="5599" spans="7:14" ht="11.25" customHeight="1" x14ac:dyDescent="0.3">
      <c r="G5599" s="459"/>
      <c r="H5599" s="459">
        <v>5592</v>
      </c>
      <c r="I5599" s="444">
        <f t="shared" ca="1" si="190"/>
        <v>-6963401591024361</v>
      </c>
      <c r="J5599" s="444">
        <f t="array" ref="J5599">IFERROR(INDEX('Retirement Calculator'!K:K,MATCH('Lorri 401b'!N5599,'Retirement Calculator'!A:A,0),0),0)</f>
        <v>0</v>
      </c>
      <c r="K5599" s="444">
        <f t="shared" ca="1" si="188"/>
        <v>-29014173295934.836</v>
      </c>
      <c r="L5599" s="444">
        <f t="shared" ca="1" si="189"/>
        <v>-6992415764320296</v>
      </c>
      <c r="M5599" s="460">
        <f t="shared" si="191"/>
        <v>0.05</v>
      </c>
      <c r="N5599" s="464">
        <f t="shared" si="192"/>
        <v>221459</v>
      </c>
    </row>
    <row r="5600" spans="7:14" ht="11.25" customHeight="1" x14ac:dyDescent="0.3">
      <c r="G5600" s="459"/>
      <c r="H5600" s="459">
        <v>5593</v>
      </c>
      <c r="I5600" s="444">
        <f t="shared" ca="1" si="190"/>
        <v>-6992415764320296</v>
      </c>
      <c r="J5600" s="444">
        <f t="array" ref="J5600">IFERROR(INDEX('Retirement Calculator'!K:K,MATCH('Lorri 401b'!N5600,'Retirement Calculator'!A:A,0),0),0)</f>
        <v>0</v>
      </c>
      <c r="K5600" s="444">
        <f t="shared" ca="1" si="188"/>
        <v>-29135065684667.898</v>
      </c>
      <c r="L5600" s="444">
        <f t="shared" ca="1" si="189"/>
        <v>-7021550830004964</v>
      </c>
      <c r="M5600" s="460">
        <f t="shared" si="191"/>
        <v>0.05</v>
      </c>
      <c r="N5600" s="464">
        <f t="shared" si="192"/>
        <v>221490</v>
      </c>
    </row>
    <row r="5601" spans="7:14" ht="11.25" customHeight="1" x14ac:dyDescent="0.3">
      <c r="G5601" s="459"/>
      <c r="H5601" s="459">
        <v>5594</v>
      </c>
      <c r="I5601" s="444">
        <f t="shared" ca="1" si="190"/>
        <v>-7021550830004964</v>
      </c>
      <c r="J5601" s="444">
        <f t="array" ref="J5601">IFERROR(INDEX('Retirement Calculator'!K:K,MATCH('Lorri 401b'!N5601,'Retirement Calculator'!A:A,0),0),0)</f>
        <v>0</v>
      </c>
      <c r="K5601" s="444">
        <f t="shared" ca="1" si="188"/>
        <v>-29256461791687.355</v>
      </c>
      <c r="L5601" s="444">
        <f t="shared" ca="1" si="189"/>
        <v>-7050807291796651</v>
      </c>
      <c r="M5601" s="460">
        <f t="shared" si="191"/>
        <v>0.05</v>
      </c>
      <c r="N5601" s="464">
        <f t="shared" si="192"/>
        <v>221520</v>
      </c>
    </row>
    <row r="5602" spans="7:14" ht="11.25" customHeight="1" x14ac:dyDescent="0.3">
      <c r="G5602" s="459"/>
      <c r="H5602" s="459">
        <v>5595</v>
      </c>
      <c r="I5602" s="444">
        <f t="shared" ca="1" si="190"/>
        <v>-7050807291796651</v>
      </c>
      <c r="J5602" s="444">
        <f t="array" ref="J5602">IFERROR(INDEX('Retirement Calculator'!K:K,MATCH('Lorri 401b'!N5602,'Retirement Calculator'!A:A,0),0),0)</f>
        <v>0</v>
      </c>
      <c r="K5602" s="444">
        <f t="shared" ca="1" si="188"/>
        <v>-29378363715819.379</v>
      </c>
      <c r="L5602" s="444">
        <f t="shared" ca="1" si="189"/>
        <v>-7080185655512470</v>
      </c>
      <c r="M5602" s="460">
        <f t="shared" si="191"/>
        <v>0.05</v>
      </c>
      <c r="N5602" s="464">
        <f t="shared" si="192"/>
        <v>221551</v>
      </c>
    </row>
    <row r="5603" spans="7:14" ht="11.25" customHeight="1" x14ac:dyDescent="0.3">
      <c r="G5603" s="459"/>
      <c r="H5603" s="459">
        <v>5596</v>
      </c>
      <c r="I5603" s="444">
        <f t="shared" ca="1" si="190"/>
        <v>-7080185655512470</v>
      </c>
      <c r="J5603" s="444">
        <f t="array" ref="J5603">IFERROR(INDEX('Retirement Calculator'!K:K,MATCH('Lorri 401b'!N5603,'Retirement Calculator'!A:A,0),0),0)</f>
        <v>0</v>
      </c>
      <c r="K5603" s="444">
        <f t="shared" ca="1" si="188"/>
        <v>-29500773564635.293</v>
      </c>
      <c r="L5603" s="444">
        <f t="shared" ca="1" si="189"/>
        <v>-7109686429077105</v>
      </c>
      <c r="M5603" s="460">
        <f t="shared" si="191"/>
        <v>0.05</v>
      </c>
      <c r="N5603" s="464">
        <f t="shared" si="192"/>
        <v>221582</v>
      </c>
    </row>
    <row r="5604" spans="7:14" ht="11.25" customHeight="1" x14ac:dyDescent="0.3">
      <c r="G5604" s="459"/>
      <c r="H5604" s="459">
        <v>5597</v>
      </c>
      <c r="I5604" s="444">
        <f t="shared" ca="1" si="190"/>
        <v>-7109686429077105</v>
      </c>
      <c r="J5604" s="444">
        <f t="array" ref="J5604">IFERROR(INDEX('Retirement Calculator'!K:K,MATCH('Lorri 401b'!N5604,'Retirement Calculator'!A:A,0),0),0)</f>
        <v>0</v>
      </c>
      <c r="K5604" s="444">
        <f t="shared" ca="1" si="188"/>
        <v>-29623693454487.938</v>
      </c>
      <c r="L5604" s="444">
        <f t="shared" ca="1" si="189"/>
        <v>-7139310122531593</v>
      </c>
      <c r="M5604" s="460">
        <f t="shared" si="191"/>
        <v>0.05</v>
      </c>
      <c r="N5604" s="464">
        <f t="shared" si="192"/>
        <v>221612</v>
      </c>
    </row>
    <row r="5605" spans="7:14" ht="11.25" customHeight="1" x14ac:dyDescent="0.3">
      <c r="G5605" s="459"/>
      <c r="H5605" s="459">
        <v>5598</v>
      </c>
      <c r="I5605" s="444">
        <f t="shared" ca="1" si="190"/>
        <v>-7139310122531593</v>
      </c>
      <c r="J5605" s="444">
        <f t="array" ref="J5605">IFERROR(INDEX('Retirement Calculator'!K:K,MATCH('Lorri 401b'!N5605,'Retirement Calculator'!A:A,0),0),0)</f>
        <v>0</v>
      </c>
      <c r="K5605" s="444">
        <f t="shared" ca="1" si="188"/>
        <v>-29747125510548.305</v>
      </c>
      <c r="L5605" s="444">
        <f t="shared" ca="1" si="189"/>
        <v>-7169057248042141</v>
      </c>
      <c r="M5605" s="460">
        <f t="shared" si="191"/>
        <v>0.05</v>
      </c>
      <c r="N5605" s="464">
        <f t="shared" si="192"/>
        <v>221643</v>
      </c>
    </row>
    <row r="5606" spans="7:14" ht="11.25" customHeight="1" x14ac:dyDescent="0.3">
      <c r="G5606" s="459"/>
      <c r="H5606" s="459">
        <v>5599</v>
      </c>
      <c r="I5606" s="444">
        <f t="shared" ca="1" si="190"/>
        <v>-7169057248042141</v>
      </c>
      <c r="J5606" s="444">
        <f t="array" ref="J5606">IFERROR(INDEX('Retirement Calculator'!K:K,MATCH('Lorri 401b'!N5606,'Retirement Calculator'!A:A,0),0),0)</f>
        <v>0</v>
      </c>
      <c r="K5606" s="444">
        <f t="shared" ca="1" si="188"/>
        <v>-29871071866842.254</v>
      </c>
      <c r="L5606" s="444">
        <f t="shared" ca="1" si="189"/>
        <v>-7198928319908983</v>
      </c>
      <c r="M5606" s="460">
        <f t="shared" si="191"/>
        <v>0.05</v>
      </c>
      <c r="N5606" s="464">
        <f t="shared" si="192"/>
        <v>221673</v>
      </c>
    </row>
    <row r="5607" spans="7:14" ht="11.25" customHeight="1" x14ac:dyDescent="0.3">
      <c r="G5607" s="459"/>
      <c r="H5607" s="459">
        <v>5600</v>
      </c>
      <c r="I5607" s="444">
        <f t="shared" ca="1" si="190"/>
        <v>-7198928319908983</v>
      </c>
      <c r="J5607" s="444">
        <f t="array" ref="J5607">IFERROR(INDEX('Retirement Calculator'!K:K,MATCH('Lorri 401b'!N5607,'Retirement Calculator'!A:A,0),0),0)</f>
        <v>0</v>
      </c>
      <c r="K5607" s="444">
        <f t="shared" ca="1" si="188"/>
        <v>-29995534666287.43</v>
      </c>
      <c r="L5607" s="444">
        <f t="shared" ca="1" si="189"/>
        <v>-7228923854575270</v>
      </c>
      <c r="M5607" s="460">
        <f t="shared" si="191"/>
        <v>0.05</v>
      </c>
      <c r="N5607" s="464">
        <f t="shared" si="192"/>
        <v>221704</v>
      </c>
    </row>
    <row r="5608" spans="7:14" ht="11.25" customHeight="1" x14ac:dyDescent="0.3">
      <c r="G5608" s="459"/>
      <c r="H5608" s="459">
        <v>5601</v>
      </c>
      <c r="I5608" s="444">
        <f t="shared" ca="1" si="190"/>
        <v>-7228923854575270</v>
      </c>
      <c r="J5608" s="444">
        <f t="array" ref="J5608">IFERROR(INDEX('Retirement Calculator'!K:K,MATCH('Lorri 401b'!N5608,'Retirement Calculator'!A:A,0),0),0)</f>
        <v>0</v>
      </c>
      <c r="K5608" s="444">
        <f t="shared" ca="1" si="188"/>
        <v>-30120516060730.293</v>
      </c>
      <c r="L5608" s="444">
        <f t="shared" ca="1" si="189"/>
        <v>-7259044370636000</v>
      </c>
      <c r="M5608" s="460">
        <f t="shared" si="191"/>
        <v>0.05</v>
      </c>
      <c r="N5608" s="464">
        <f t="shared" si="192"/>
        <v>221735</v>
      </c>
    </row>
    <row r="5609" spans="7:14" ht="11.25" customHeight="1" x14ac:dyDescent="0.3">
      <c r="G5609" s="459"/>
      <c r="H5609" s="459">
        <v>5602</v>
      </c>
      <c r="I5609" s="444">
        <f t="shared" ca="1" si="190"/>
        <v>-7259044370636000</v>
      </c>
      <c r="J5609" s="444">
        <f t="array" ref="J5609">IFERROR(INDEX('Retirement Calculator'!K:K,MATCH('Lorri 401b'!N5609,'Retirement Calculator'!A:A,0),0),0)</f>
        <v>0</v>
      </c>
      <c r="K5609" s="444">
        <f t="shared" ca="1" si="188"/>
        <v>-30246018210983.336</v>
      </c>
      <c r="L5609" s="444">
        <f t="shared" ca="1" si="189"/>
        <v>-7289290388846983</v>
      </c>
      <c r="M5609" s="460">
        <f t="shared" si="191"/>
        <v>0.05</v>
      </c>
      <c r="N5609" s="464">
        <f t="shared" si="192"/>
        <v>221763</v>
      </c>
    </row>
    <row r="5610" spans="7:14" ht="11.25" customHeight="1" x14ac:dyDescent="0.3">
      <c r="G5610" s="459"/>
      <c r="H5610" s="459">
        <v>5603</v>
      </c>
      <c r="I5610" s="444">
        <f t="shared" ca="1" si="190"/>
        <v>-7289290388846983</v>
      </c>
      <c r="J5610" s="444">
        <f t="array" ref="J5610">IFERROR(INDEX('Retirement Calculator'!K:K,MATCH('Lorri 401b'!N5610,'Retirement Calculator'!A:A,0),0),0)</f>
        <v>0</v>
      </c>
      <c r="K5610" s="444">
        <f t="shared" ca="1" si="188"/>
        <v>-30372043286862.426</v>
      </c>
      <c r="L5610" s="444">
        <f t="shared" ca="1" si="189"/>
        <v>-7319662432133845</v>
      </c>
      <c r="M5610" s="460">
        <f t="shared" si="191"/>
        <v>0.05</v>
      </c>
      <c r="N5610" s="464">
        <f t="shared" si="192"/>
        <v>221794</v>
      </c>
    </row>
    <row r="5611" spans="7:14" ht="11.25" customHeight="1" x14ac:dyDescent="0.3">
      <c r="G5611" s="459"/>
      <c r="H5611" s="459">
        <v>5604</v>
      </c>
      <c r="I5611" s="444">
        <f t="shared" ca="1" si="190"/>
        <v>-7319662432133845</v>
      </c>
      <c r="J5611" s="444">
        <f t="array" ref="J5611">IFERROR(INDEX('Retirement Calculator'!K:K,MATCH('Lorri 401b'!N5611,'Retirement Calculator'!A:A,0),0),0)</f>
        <v>0</v>
      </c>
      <c r="K5611" s="444">
        <f t="shared" ca="1" si="188"/>
        <v>-30498593467224.359</v>
      </c>
      <c r="L5611" s="444">
        <f t="shared" ca="1" si="189"/>
        <v>-7350161025601069</v>
      </c>
      <c r="M5611" s="460">
        <f t="shared" si="191"/>
        <v>0.05</v>
      </c>
      <c r="N5611" s="464">
        <f t="shared" si="192"/>
        <v>221824</v>
      </c>
    </row>
    <row r="5612" spans="7:14" ht="11.25" customHeight="1" x14ac:dyDescent="0.3">
      <c r="G5612" s="459"/>
      <c r="H5612" s="459">
        <v>5605</v>
      </c>
      <c r="I5612" s="444">
        <f t="shared" ca="1" si="190"/>
        <v>-7350161025601069</v>
      </c>
      <c r="J5612" s="444">
        <f t="array" ref="J5612">IFERROR(INDEX('Retirement Calculator'!K:K,MATCH('Lorri 401b'!N5612,'Retirement Calculator'!A:A,0),0),0)</f>
        <v>0</v>
      </c>
      <c r="K5612" s="444">
        <f t="shared" ca="1" si="188"/>
        <v>-30625670940004.453</v>
      </c>
      <c r="L5612" s="444">
        <f t="shared" ca="1" si="189"/>
        <v>-7380786696541073</v>
      </c>
      <c r="M5612" s="460">
        <f t="shared" si="191"/>
        <v>0.05</v>
      </c>
      <c r="N5612" s="464">
        <f t="shared" si="192"/>
        <v>221855</v>
      </c>
    </row>
    <row r="5613" spans="7:14" ht="11.25" customHeight="1" x14ac:dyDescent="0.3">
      <c r="G5613" s="459"/>
      <c r="H5613" s="459">
        <v>5606</v>
      </c>
      <c r="I5613" s="444">
        <f t="shared" ca="1" si="190"/>
        <v>-7380786696541073</v>
      </c>
      <c r="J5613" s="444">
        <f t="array" ref="J5613">IFERROR(INDEX('Retirement Calculator'!K:K,MATCH('Lorri 401b'!N5613,'Retirement Calculator'!A:A,0),0),0)</f>
        <v>0</v>
      </c>
      <c r="K5613" s="444">
        <f t="shared" ca="1" si="188"/>
        <v>-30753277902254.469</v>
      </c>
      <c r="L5613" s="444">
        <f t="shared" ca="1" si="189"/>
        <v>-7411539974443327</v>
      </c>
      <c r="M5613" s="460">
        <f t="shared" si="191"/>
        <v>0.05</v>
      </c>
      <c r="N5613" s="464">
        <f t="shared" si="192"/>
        <v>221885</v>
      </c>
    </row>
    <row r="5614" spans="7:14" ht="11.25" customHeight="1" x14ac:dyDescent="0.3">
      <c r="G5614" s="459"/>
      <c r="H5614" s="459">
        <v>5607</v>
      </c>
      <c r="I5614" s="444">
        <f t="shared" ca="1" si="190"/>
        <v>-7411539974443327</v>
      </c>
      <c r="J5614" s="444">
        <f t="array" ref="J5614">IFERROR(INDEX('Retirement Calculator'!K:K,MATCH('Lorri 401b'!N5614,'Retirement Calculator'!A:A,0),0),0)</f>
        <v>0</v>
      </c>
      <c r="K5614" s="444">
        <f t="shared" ca="1" si="188"/>
        <v>-30881416560180.523</v>
      </c>
      <c r="L5614" s="444">
        <f t="shared" ca="1" si="189"/>
        <v>-7442421391003508</v>
      </c>
      <c r="M5614" s="460">
        <f t="shared" si="191"/>
        <v>0.05</v>
      </c>
      <c r="N5614" s="464">
        <f t="shared" si="192"/>
        <v>221916</v>
      </c>
    </row>
    <row r="5615" spans="7:14" ht="11.25" customHeight="1" x14ac:dyDescent="0.3">
      <c r="G5615" s="459"/>
      <c r="H5615" s="459">
        <v>5608</v>
      </c>
      <c r="I5615" s="444">
        <f t="shared" ca="1" si="190"/>
        <v>-7442421391003508</v>
      </c>
      <c r="J5615" s="444">
        <f t="array" ref="J5615">IFERROR(INDEX('Retirement Calculator'!K:K,MATCH('Lorri 401b'!N5615,'Retirement Calculator'!A:A,0),0),0)</f>
        <v>0</v>
      </c>
      <c r="K5615" s="444">
        <f t="shared" ca="1" si="188"/>
        <v>-31010089129181.285</v>
      </c>
      <c r="L5615" s="444">
        <f t="shared" ca="1" si="189"/>
        <v>-7473431480132689</v>
      </c>
      <c r="M5615" s="460">
        <f t="shared" si="191"/>
        <v>0.05</v>
      </c>
      <c r="N5615" s="464">
        <f t="shared" si="192"/>
        <v>221947</v>
      </c>
    </row>
    <row r="5616" spans="7:14" ht="11.25" customHeight="1" x14ac:dyDescent="0.3">
      <c r="G5616" s="459"/>
      <c r="H5616" s="459">
        <v>5609</v>
      </c>
      <c r="I5616" s="444">
        <f t="shared" ca="1" si="190"/>
        <v>-7473431480132689</v>
      </c>
      <c r="J5616" s="444">
        <f t="array" ref="J5616">IFERROR(INDEX('Retirement Calculator'!K:K,MATCH('Lorri 401b'!N5616,'Retirement Calculator'!A:A,0),0),0)</f>
        <v>0</v>
      </c>
      <c r="K5616" s="444">
        <f t="shared" ca="1" si="188"/>
        <v>-31139297833886.203</v>
      </c>
      <c r="L5616" s="444">
        <f t="shared" ca="1" si="189"/>
        <v>-7504570777966575</v>
      </c>
      <c r="M5616" s="460">
        <f t="shared" si="191"/>
        <v>0.05</v>
      </c>
      <c r="N5616" s="464">
        <f t="shared" si="192"/>
        <v>221977</v>
      </c>
    </row>
    <row r="5617" spans="7:14" ht="11.25" customHeight="1" x14ac:dyDescent="0.3">
      <c r="G5617" s="459"/>
      <c r="H5617" s="459">
        <v>5610</v>
      </c>
      <c r="I5617" s="444">
        <f t="shared" ca="1" si="190"/>
        <v>-7504570777966575</v>
      </c>
      <c r="J5617" s="444">
        <f t="array" ref="J5617">IFERROR(INDEX('Retirement Calculator'!K:K,MATCH('Lorri 401b'!N5617,'Retirement Calculator'!A:A,0),0),0)</f>
        <v>0</v>
      </c>
      <c r="K5617" s="444">
        <f t="shared" ca="1" si="188"/>
        <v>-31269044908194.063</v>
      </c>
      <c r="L5617" s="444">
        <f t="shared" ca="1" si="189"/>
        <v>-7535839822874769</v>
      </c>
      <c r="M5617" s="460">
        <f t="shared" si="191"/>
        <v>0.05</v>
      </c>
      <c r="N5617" s="464">
        <f t="shared" si="192"/>
        <v>222008</v>
      </c>
    </row>
    <row r="5618" spans="7:14" ht="11.25" customHeight="1" x14ac:dyDescent="0.3">
      <c r="G5618" s="459"/>
      <c r="H5618" s="459">
        <v>5611</v>
      </c>
      <c r="I5618" s="444">
        <f t="shared" ca="1" si="190"/>
        <v>-7535839822874769</v>
      </c>
      <c r="J5618" s="444">
        <f t="array" ref="J5618">IFERROR(INDEX('Retirement Calculator'!K:K,MATCH('Lorri 401b'!N5618,'Retirement Calculator'!A:A,0),0),0)</f>
        <v>0</v>
      </c>
      <c r="K5618" s="444">
        <f t="shared" ref="K5618:K5872" ca="1" si="193">IPMT(M5618/12,1,12,-I5618+J5618,,0)</f>
        <v>-31399332595311.543</v>
      </c>
      <c r="L5618" s="444">
        <f t="shared" ref="L5618:L5872" ca="1" si="194">I5618-J5618+K5618</f>
        <v>-7567239155470081</v>
      </c>
      <c r="M5618" s="460">
        <f t="shared" si="191"/>
        <v>0.05</v>
      </c>
      <c r="N5618" s="464">
        <f t="shared" si="192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195">L5618</f>
        <v>-7567239155470081</v>
      </c>
      <c r="J5619" s="444">
        <f t="array" ref="J5619">IFERROR(INDEX('Retirement Calculator'!K:K,MATCH('Lorri 401b'!N5619,'Retirement Calculator'!A:A,0),0),0)</f>
        <v>0</v>
      </c>
      <c r="K5619" s="444">
        <f t="shared" ca="1" si="193"/>
        <v>-31530163147792.008</v>
      </c>
      <c r="L5619" s="444">
        <f t="shared" ca="1" si="194"/>
        <v>-7598769318617873</v>
      </c>
      <c r="M5619" s="460">
        <f t="shared" ref="M5619:M5873" si="196">M5618</f>
        <v>0.05</v>
      </c>
      <c r="N5619" s="464">
        <f t="shared" ref="N5619:N5873" si="197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195"/>
        <v>-7598769318617873</v>
      </c>
      <c r="J5620" s="444">
        <f t="array" ref="J5620">IFERROR(INDEX('Retirement Calculator'!K:K,MATCH('Lorri 401b'!N5620,'Retirement Calculator'!A:A,0),0),0)</f>
        <v>0</v>
      </c>
      <c r="K5620" s="444">
        <f t="shared" ca="1" si="193"/>
        <v>-31661538827574.473</v>
      </c>
      <c r="L5620" s="444">
        <f t="shared" ca="1" si="194"/>
        <v>-7630430857445447</v>
      </c>
      <c r="M5620" s="460">
        <f t="shared" si="196"/>
        <v>0.05</v>
      </c>
      <c r="N5620" s="464">
        <f t="shared" si="197"/>
        <v>222100</v>
      </c>
    </row>
    <row r="5621" spans="7:14" ht="11.25" customHeight="1" x14ac:dyDescent="0.3">
      <c r="G5621" s="459"/>
      <c r="H5621" s="459">
        <v>5614</v>
      </c>
      <c r="I5621" s="444">
        <f t="shared" ca="1" si="195"/>
        <v>-7630430857445447</v>
      </c>
      <c r="J5621" s="444">
        <f t="array" ref="J5621">IFERROR(INDEX('Retirement Calculator'!K:K,MATCH('Lorri 401b'!N5621,'Retirement Calculator'!A:A,0),0),0)</f>
        <v>0</v>
      </c>
      <c r="K5621" s="444">
        <f t="shared" ca="1" si="193"/>
        <v>-31793461906022.691</v>
      </c>
      <c r="L5621" s="444">
        <f t="shared" ca="1" si="194"/>
        <v>-7662224319351470</v>
      </c>
      <c r="M5621" s="460">
        <f t="shared" si="196"/>
        <v>0.05</v>
      </c>
      <c r="N5621" s="464">
        <f t="shared" si="197"/>
        <v>222129</v>
      </c>
    </row>
    <row r="5622" spans="7:14" ht="11.25" customHeight="1" x14ac:dyDescent="0.3">
      <c r="G5622" s="459"/>
      <c r="H5622" s="459">
        <v>5615</v>
      </c>
      <c r="I5622" s="444">
        <f t="shared" ca="1" si="195"/>
        <v>-7662224319351470</v>
      </c>
      <c r="J5622" s="444">
        <f t="array" ref="J5622">IFERROR(INDEX('Retirement Calculator'!K:K,MATCH('Lorri 401b'!N5622,'Retirement Calculator'!A:A,0),0),0)</f>
        <v>0</v>
      </c>
      <c r="K5622" s="444">
        <f t="shared" ca="1" si="193"/>
        <v>-31925934663964.457</v>
      </c>
      <c r="L5622" s="444">
        <f t="shared" ca="1" si="194"/>
        <v>-7694150254015434</v>
      </c>
      <c r="M5622" s="460">
        <f t="shared" si="196"/>
        <v>0.05</v>
      </c>
      <c r="N5622" s="464">
        <f t="shared" si="197"/>
        <v>222160</v>
      </c>
    </row>
    <row r="5623" spans="7:14" ht="11.25" customHeight="1" x14ac:dyDescent="0.3">
      <c r="G5623" s="459"/>
      <c r="H5623" s="459">
        <v>5616</v>
      </c>
      <c r="I5623" s="444">
        <f t="shared" ca="1" si="195"/>
        <v>-7694150254015434</v>
      </c>
      <c r="J5623" s="444">
        <f t="array" ref="J5623">IFERROR(INDEX('Retirement Calculator'!K:K,MATCH('Lorri 401b'!N5623,'Retirement Calculator'!A:A,0),0),0)</f>
        <v>0</v>
      </c>
      <c r="K5623" s="444">
        <f t="shared" ca="1" si="193"/>
        <v>-32058959391730.973</v>
      </c>
      <c r="L5623" s="444">
        <f t="shared" ca="1" si="194"/>
        <v>-7726209213407165</v>
      </c>
      <c r="M5623" s="460">
        <f t="shared" si="196"/>
        <v>0.05</v>
      </c>
      <c r="N5623" s="464">
        <f t="shared" si="197"/>
        <v>222190</v>
      </c>
    </row>
    <row r="5624" spans="7:14" ht="11.25" customHeight="1" x14ac:dyDescent="0.3">
      <c r="G5624" s="459"/>
      <c r="H5624" s="459">
        <v>5617</v>
      </c>
      <c r="I5624" s="444">
        <f t="shared" ca="1" si="195"/>
        <v>-7726209213407165</v>
      </c>
      <c r="J5624" s="444">
        <f t="array" ref="J5624">IFERROR(INDEX('Retirement Calculator'!K:K,MATCH('Lorri 401b'!N5624,'Retirement Calculator'!A:A,0),0),0)</f>
        <v>0</v>
      </c>
      <c r="K5624" s="444">
        <f t="shared" ca="1" si="193"/>
        <v>-32192538389196.52</v>
      </c>
      <c r="L5624" s="444">
        <f t="shared" ca="1" si="194"/>
        <v>-7758401751796362</v>
      </c>
      <c r="M5624" s="460">
        <f t="shared" si="196"/>
        <v>0.05</v>
      </c>
      <c r="N5624" s="464">
        <f t="shared" si="197"/>
        <v>222221</v>
      </c>
    </row>
    <row r="5625" spans="7:14" ht="11.25" customHeight="1" x14ac:dyDescent="0.3">
      <c r="G5625" s="459"/>
      <c r="H5625" s="459">
        <v>5618</v>
      </c>
      <c r="I5625" s="444">
        <f t="shared" ca="1" si="195"/>
        <v>-7758401751796362</v>
      </c>
      <c r="J5625" s="444">
        <f t="array" ref="J5625">IFERROR(INDEX('Retirement Calculator'!K:K,MATCH('Lorri 401b'!N5625,'Retirement Calculator'!A:A,0),0),0)</f>
        <v>0</v>
      </c>
      <c r="K5625" s="444">
        <f t="shared" ca="1" si="193"/>
        <v>-32326673965818.176</v>
      </c>
      <c r="L5625" s="444">
        <f t="shared" ca="1" si="194"/>
        <v>-7790728425762180</v>
      </c>
      <c r="M5625" s="460">
        <f t="shared" si="196"/>
        <v>0.05</v>
      </c>
      <c r="N5625" s="464">
        <f t="shared" si="197"/>
        <v>222251</v>
      </c>
    </row>
    <row r="5626" spans="7:14" ht="11.25" customHeight="1" x14ac:dyDescent="0.3">
      <c r="G5626" s="459"/>
      <c r="H5626" s="459">
        <v>5619</v>
      </c>
      <c r="I5626" s="444">
        <f t="shared" ca="1" si="195"/>
        <v>-7790728425762180</v>
      </c>
      <c r="J5626" s="444">
        <f t="array" ref="J5626">IFERROR(INDEX('Retirement Calculator'!K:K,MATCH('Lorri 401b'!N5626,'Retirement Calculator'!A:A,0),0),0)</f>
        <v>0</v>
      </c>
      <c r="K5626" s="444">
        <f t="shared" ca="1" si="193"/>
        <v>-32461368440675.754</v>
      </c>
      <c r="L5626" s="444">
        <f t="shared" ca="1" si="194"/>
        <v>-7823189794202856</v>
      </c>
      <c r="M5626" s="460">
        <f t="shared" si="196"/>
        <v>0.05</v>
      </c>
      <c r="N5626" s="464">
        <f t="shared" si="197"/>
        <v>222282</v>
      </c>
    </row>
    <row r="5627" spans="7:14" ht="11.25" customHeight="1" x14ac:dyDescent="0.3">
      <c r="G5627" s="459"/>
      <c r="H5627" s="459">
        <v>5620</v>
      </c>
      <c r="I5627" s="444">
        <f t="shared" ca="1" si="195"/>
        <v>-7823189794202856</v>
      </c>
      <c r="J5627" s="444">
        <f t="array" ref="J5627">IFERROR(INDEX('Retirement Calculator'!K:K,MATCH('Lorri 401b'!N5627,'Retirement Calculator'!A:A,0),0),0)</f>
        <v>0</v>
      </c>
      <c r="K5627" s="444">
        <f t="shared" ca="1" si="193"/>
        <v>-32596624142511.898</v>
      </c>
      <c r="L5627" s="444">
        <f t="shared" ca="1" si="194"/>
        <v>-7855786418345368</v>
      </c>
      <c r="M5627" s="460">
        <f t="shared" si="196"/>
        <v>0.05</v>
      </c>
      <c r="N5627" s="464">
        <f t="shared" si="197"/>
        <v>222313</v>
      </c>
    </row>
    <row r="5628" spans="7:14" ht="11.25" customHeight="1" x14ac:dyDescent="0.3">
      <c r="G5628" s="459"/>
      <c r="H5628" s="459">
        <v>5621</v>
      </c>
      <c r="I5628" s="444">
        <f t="shared" ca="1" si="195"/>
        <v>-7855786418345368</v>
      </c>
      <c r="J5628" s="444">
        <f t="array" ref="J5628">IFERROR(INDEX('Retirement Calculator'!K:K,MATCH('Lorri 401b'!N5628,'Retirement Calculator'!A:A,0),0),0)</f>
        <v>0</v>
      </c>
      <c r="K5628" s="444">
        <f t="shared" ca="1" si="193"/>
        <v>-32732443409772.367</v>
      </c>
      <c r="L5628" s="444">
        <f t="shared" ca="1" si="194"/>
        <v>-7888518861755140</v>
      </c>
      <c r="M5628" s="460">
        <f t="shared" si="196"/>
        <v>0.05</v>
      </c>
      <c r="N5628" s="464">
        <f t="shared" si="197"/>
        <v>222343</v>
      </c>
    </row>
    <row r="5629" spans="7:14" ht="11.25" customHeight="1" x14ac:dyDescent="0.3">
      <c r="G5629" s="459"/>
      <c r="H5629" s="459">
        <v>5622</v>
      </c>
      <c r="I5629" s="444">
        <f t="shared" ca="1" si="195"/>
        <v>-7888518861755140</v>
      </c>
      <c r="J5629" s="444">
        <f t="array" ref="J5629">IFERROR(INDEX('Retirement Calculator'!K:K,MATCH('Lorri 401b'!N5629,'Retirement Calculator'!A:A,0),0),0)</f>
        <v>0</v>
      </c>
      <c r="K5629" s="444">
        <f t="shared" ca="1" si="193"/>
        <v>-32868828590646.41</v>
      </c>
      <c r="L5629" s="444">
        <f t="shared" ca="1" si="194"/>
        <v>-7921387690345786</v>
      </c>
      <c r="M5629" s="460">
        <f t="shared" si="196"/>
        <v>0.05</v>
      </c>
      <c r="N5629" s="464">
        <f t="shared" si="197"/>
        <v>222374</v>
      </c>
    </row>
    <row r="5630" spans="7:14" ht="11.25" customHeight="1" x14ac:dyDescent="0.3">
      <c r="G5630" s="459"/>
      <c r="H5630" s="459">
        <v>5623</v>
      </c>
      <c r="I5630" s="444">
        <f t="shared" ca="1" si="195"/>
        <v>-7921387690345786</v>
      </c>
      <c r="J5630" s="444">
        <f t="array" ref="J5630">IFERROR(INDEX('Retirement Calculator'!K:K,MATCH('Lorri 401b'!N5630,'Retirement Calculator'!A:A,0),0),0)</f>
        <v>0</v>
      </c>
      <c r="K5630" s="444">
        <f t="shared" ca="1" si="193"/>
        <v>-33005782043107.441</v>
      </c>
      <c r="L5630" s="444">
        <f t="shared" ca="1" si="194"/>
        <v>-7954393472388893</v>
      </c>
      <c r="M5630" s="460">
        <f t="shared" si="196"/>
        <v>0.05</v>
      </c>
      <c r="N5630" s="464">
        <f t="shared" si="197"/>
        <v>222404</v>
      </c>
    </row>
    <row r="5631" spans="7:14" ht="11.25" customHeight="1" x14ac:dyDescent="0.3">
      <c r="G5631" s="459"/>
      <c r="H5631" s="459">
        <v>5624</v>
      </c>
      <c r="I5631" s="444">
        <f t="shared" ca="1" si="195"/>
        <v>-7954393472388893</v>
      </c>
      <c r="J5631" s="444">
        <f t="array" ref="J5631">IFERROR(INDEX('Retirement Calculator'!K:K,MATCH('Lorri 401b'!N5631,'Retirement Calculator'!A:A,0),0),0)</f>
        <v>0</v>
      </c>
      <c r="K5631" s="444">
        <f t="shared" ca="1" si="193"/>
        <v>-33143306134953.719</v>
      </c>
      <c r="L5631" s="444">
        <f t="shared" ca="1" si="194"/>
        <v>-7987536778523847</v>
      </c>
      <c r="M5631" s="460">
        <f t="shared" si="196"/>
        <v>0.05</v>
      </c>
      <c r="N5631" s="464">
        <f t="shared" si="197"/>
        <v>222435</v>
      </c>
    </row>
    <row r="5632" spans="7:14" ht="11.25" customHeight="1" x14ac:dyDescent="0.3">
      <c r="G5632" s="459"/>
      <c r="H5632" s="459">
        <v>5625</v>
      </c>
      <c r="I5632" s="444">
        <f t="shared" ca="1" si="195"/>
        <v>-7987536778523847</v>
      </c>
      <c r="J5632" s="444">
        <f t="array" ref="J5632">IFERROR(INDEX('Retirement Calculator'!K:K,MATCH('Lorri 401b'!N5632,'Retirement Calculator'!A:A,0),0),0)</f>
        <v>0</v>
      </c>
      <c r="K5632" s="444">
        <f t="shared" ca="1" si="193"/>
        <v>-33281403243849.363</v>
      </c>
      <c r="L5632" s="444">
        <f t="shared" ca="1" si="194"/>
        <v>-8020818181767696</v>
      </c>
      <c r="M5632" s="460">
        <f t="shared" si="196"/>
        <v>0.05</v>
      </c>
      <c r="N5632" s="464">
        <f t="shared" si="197"/>
        <v>222466</v>
      </c>
    </row>
    <row r="5633" spans="7:14" ht="11.25" customHeight="1" x14ac:dyDescent="0.3">
      <c r="G5633" s="459"/>
      <c r="H5633" s="459">
        <v>5626</v>
      </c>
      <c r="I5633" s="444">
        <f t="shared" ca="1" si="195"/>
        <v>-8020818181767696</v>
      </c>
      <c r="J5633" s="444">
        <f t="array" ref="J5633">IFERROR(INDEX('Retirement Calculator'!K:K,MATCH('Lorri 401b'!N5633,'Retirement Calculator'!A:A,0),0),0)</f>
        <v>0</v>
      </c>
      <c r="K5633" s="444">
        <f t="shared" ca="1" si="193"/>
        <v>-33420075757365.402</v>
      </c>
      <c r="L5633" s="444">
        <f t="shared" ca="1" si="194"/>
        <v>-8054238257525061</v>
      </c>
      <c r="M5633" s="460">
        <f t="shared" si="196"/>
        <v>0.05</v>
      </c>
      <c r="N5633" s="464">
        <f t="shared" si="197"/>
        <v>222494</v>
      </c>
    </row>
    <row r="5634" spans="7:14" ht="11.25" customHeight="1" x14ac:dyDescent="0.3">
      <c r="G5634" s="459"/>
      <c r="H5634" s="459">
        <v>5627</v>
      </c>
      <c r="I5634" s="444">
        <f t="shared" ca="1" si="195"/>
        <v>-8054238257525061</v>
      </c>
      <c r="J5634" s="444">
        <f t="array" ref="J5634">IFERROR(INDEX('Retirement Calculator'!K:K,MATCH('Lorri 401b'!N5634,'Retirement Calculator'!A:A,0),0),0)</f>
        <v>0</v>
      </c>
      <c r="K5634" s="444">
        <f t="shared" ca="1" si="193"/>
        <v>-33559326073021.086</v>
      </c>
      <c r="L5634" s="444">
        <f t="shared" ca="1" si="194"/>
        <v>-8087797583598082</v>
      </c>
      <c r="M5634" s="460">
        <f t="shared" si="196"/>
        <v>0.05</v>
      </c>
      <c r="N5634" s="464">
        <f t="shared" si="197"/>
        <v>222525</v>
      </c>
    </row>
    <row r="5635" spans="7:14" ht="11.25" customHeight="1" x14ac:dyDescent="0.3">
      <c r="G5635" s="459"/>
      <c r="H5635" s="459">
        <v>5628</v>
      </c>
      <c r="I5635" s="444">
        <f t="shared" ca="1" si="195"/>
        <v>-8087797583598082</v>
      </c>
      <c r="J5635" s="444">
        <f t="array" ref="J5635">IFERROR(INDEX('Retirement Calculator'!K:K,MATCH('Lorri 401b'!N5635,'Retirement Calculator'!A:A,0),0),0)</f>
        <v>0</v>
      </c>
      <c r="K5635" s="444">
        <f t="shared" ca="1" si="193"/>
        <v>-33699156598325.336</v>
      </c>
      <c r="L5635" s="444">
        <f t="shared" ca="1" si="194"/>
        <v>-8121496740196407</v>
      </c>
      <c r="M5635" s="460">
        <f t="shared" si="196"/>
        <v>0.05</v>
      </c>
      <c r="N5635" s="464">
        <f t="shared" si="197"/>
        <v>222555</v>
      </c>
    </row>
    <row r="5636" spans="7:14" ht="11.25" customHeight="1" x14ac:dyDescent="0.3">
      <c r="G5636" s="459"/>
      <c r="H5636" s="459">
        <v>5629</v>
      </c>
      <c r="I5636" s="444">
        <f t="shared" ca="1" si="195"/>
        <v>-8121496740196407</v>
      </c>
      <c r="J5636" s="444">
        <f t="array" ref="J5636">IFERROR(INDEX('Retirement Calculator'!K:K,MATCH('Lorri 401b'!N5636,'Retirement Calculator'!A:A,0),0),0)</f>
        <v>0</v>
      </c>
      <c r="K5636" s="444">
        <f t="shared" ca="1" si="193"/>
        <v>-33839569750818.363</v>
      </c>
      <c r="L5636" s="444">
        <f t="shared" ca="1" si="194"/>
        <v>-8155336309947225</v>
      </c>
      <c r="M5636" s="460">
        <f t="shared" si="196"/>
        <v>0.05</v>
      </c>
      <c r="N5636" s="464">
        <f t="shared" si="197"/>
        <v>222586</v>
      </c>
    </row>
    <row r="5637" spans="7:14" ht="11.25" customHeight="1" x14ac:dyDescent="0.3">
      <c r="G5637" s="459"/>
      <c r="H5637" s="459">
        <v>5630</v>
      </c>
      <c r="I5637" s="444">
        <f t="shared" ca="1" si="195"/>
        <v>-8155336309947225</v>
      </c>
      <c r="J5637" s="444">
        <f t="array" ref="J5637">IFERROR(INDEX('Retirement Calculator'!K:K,MATCH('Lorri 401b'!N5637,'Retirement Calculator'!A:A,0),0),0)</f>
        <v>0</v>
      </c>
      <c r="K5637" s="444">
        <f t="shared" ca="1" si="193"/>
        <v>-33980567958113.434</v>
      </c>
      <c r="L5637" s="444">
        <f t="shared" ca="1" si="194"/>
        <v>-8189316877905338</v>
      </c>
      <c r="M5637" s="460">
        <f t="shared" si="196"/>
        <v>0.05</v>
      </c>
      <c r="N5637" s="464">
        <f t="shared" si="197"/>
        <v>222616</v>
      </c>
    </row>
    <row r="5638" spans="7:14" ht="11.25" customHeight="1" x14ac:dyDescent="0.3">
      <c r="G5638" s="459"/>
      <c r="H5638" s="459">
        <v>5631</v>
      </c>
      <c r="I5638" s="444">
        <f t="shared" ca="1" si="195"/>
        <v>-8189316877905338</v>
      </c>
      <c r="J5638" s="444">
        <f t="array" ref="J5638">IFERROR(INDEX('Retirement Calculator'!K:K,MATCH('Lorri 401b'!N5638,'Retirement Calculator'!A:A,0),0),0)</f>
        <v>0</v>
      </c>
      <c r="K5638" s="444">
        <f t="shared" ca="1" si="193"/>
        <v>-34122153657938.906</v>
      </c>
      <c r="L5638" s="444">
        <f t="shared" ca="1" si="194"/>
        <v>-8223439031563277</v>
      </c>
      <c r="M5638" s="460">
        <f t="shared" si="196"/>
        <v>0.05</v>
      </c>
      <c r="N5638" s="464">
        <f t="shared" si="197"/>
        <v>222647</v>
      </c>
    </row>
    <row r="5639" spans="7:14" ht="11.25" customHeight="1" x14ac:dyDescent="0.3">
      <c r="G5639" s="459"/>
      <c r="H5639" s="459">
        <v>5632</v>
      </c>
      <c r="I5639" s="444">
        <f t="shared" ca="1" si="195"/>
        <v>-8223439031563277</v>
      </c>
      <c r="J5639" s="444">
        <f t="array" ref="J5639">IFERROR(INDEX('Retirement Calculator'!K:K,MATCH('Lorri 401b'!N5639,'Retirement Calculator'!A:A,0),0),0)</f>
        <v>0</v>
      </c>
      <c r="K5639" s="444">
        <f t="shared" ca="1" si="193"/>
        <v>-34264329298180.324</v>
      </c>
      <c r="L5639" s="444">
        <f t="shared" ca="1" si="194"/>
        <v>-8257703360861457</v>
      </c>
      <c r="M5639" s="460">
        <f t="shared" si="196"/>
        <v>0.05</v>
      </c>
      <c r="N5639" s="464">
        <f t="shared" si="197"/>
        <v>222678</v>
      </c>
    </row>
    <row r="5640" spans="7:14" ht="11.25" customHeight="1" x14ac:dyDescent="0.3">
      <c r="G5640" s="459"/>
      <c r="H5640" s="459">
        <v>5633</v>
      </c>
      <c r="I5640" s="444">
        <f t="shared" ca="1" si="195"/>
        <v>-8257703360861457</v>
      </c>
      <c r="J5640" s="444">
        <f t="array" ref="J5640">IFERROR(INDEX('Retirement Calculator'!K:K,MATCH('Lorri 401b'!N5640,'Retirement Calculator'!A:A,0),0),0)</f>
        <v>0</v>
      </c>
      <c r="K5640" s="444">
        <f t="shared" ca="1" si="193"/>
        <v>-34407097336922.734</v>
      </c>
      <c r="L5640" s="444">
        <f t="shared" ca="1" si="194"/>
        <v>-8292110458198380</v>
      </c>
      <c r="M5640" s="460">
        <f t="shared" si="196"/>
        <v>0.05</v>
      </c>
      <c r="N5640" s="464">
        <f t="shared" si="197"/>
        <v>222708</v>
      </c>
    </row>
    <row r="5641" spans="7:14" ht="11.25" customHeight="1" x14ac:dyDescent="0.3">
      <c r="G5641" s="459"/>
      <c r="H5641" s="459">
        <v>5634</v>
      </c>
      <c r="I5641" s="444">
        <f t="shared" ca="1" si="195"/>
        <v>-8292110458198380</v>
      </c>
      <c r="J5641" s="444">
        <f t="array" ref="J5641">IFERROR(INDEX('Retirement Calculator'!K:K,MATCH('Lorri 401b'!N5641,'Retirement Calculator'!A:A,0),0),0)</f>
        <v>0</v>
      </c>
      <c r="K5641" s="444">
        <f t="shared" ca="1" si="193"/>
        <v>-34550460242493.25</v>
      </c>
      <c r="L5641" s="444">
        <f t="shared" ca="1" si="194"/>
        <v>-8326660918440873</v>
      </c>
      <c r="M5641" s="460">
        <f t="shared" si="196"/>
        <v>0.05</v>
      </c>
      <c r="N5641" s="464">
        <f t="shared" si="197"/>
        <v>222739</v>
      </c>
    </row>
    <row r="5642" spans="7:14" ht="11.25" customHeight="1" x14ac:dyDescent="0.3">
      <c r="G5642" s="459"/>
      <c r="H5642" s="459">
        <v>5635</v>
      </c>
      <c r="I5642" s="444">
        <f t="shared" ca="1" si="195"/>
        <v>-8326660918440873</v>
      </c>
      <c r="J5642" s="444">
        <f t="array" ref="J5642">IFERROR(INDEX('Retirement Calculator'!K:K,MATCH('Lorri 401b'!N5642,'Retirement Calculator'!A:A,0),0),0)</f>
        <v>0</v>
      </c>
      <c r="K5642" s="444">
        <f t="shared" ca="1" si="193"/>
        <v>-34694420493503.637</v>
      </c>
      <c r="L5642" s="444">
        <f t="shared" ca="1" si="194"/>
        <v>-8361355338934377</v>
      </c>
      <c r="M5642" s="460">
        <f t="shared" si="196"/>
        <v>0.05</v>
      </c>
      <c r="N5642" s="464">
        <f t="shared" si="197"/>
        <v>222769</v>
      </c>
    </row>
    <row r="5643" spans="7:14" ht="11.25" customHeight="1" x14ac:dyDescent="0.3">
      <c r="G5643" s="459"/>
      <c r="H5643" s="459">
        <v>5636</v>
      </c>
      <c r="I5643" s="444">
        <f t="shared" ca="1" si="195"/>
        <v>-8361355338934377</v>
      </c>
      <c r="J5643" s="444">
        <f t="array" ref="J5643">IFERROR(INDEX('Retirement Calculator'!K:K,MATCH('Lorri 401b'!N5643,'Retirement Calculator'!A:A,0),0),0)</f>
        <v>0</v>
      </c>
      <c r="K5643" s="444">
        <f t="shared" ca="1" si="193"/>
        <v>-34838980578893.238</v>
      </c>
      <c r="L5643" s="444">
        <f t="shared" ca="1" si="194"/>
        <v>-8396194319513270</v>
      </c>
      <c r="M5643" s="460">
        <f t="shared" si="196"/>
        <v>0.05</v>
      </c>
      <c r="N5643" s="464">
        <f t="shared" si="197"/>
        <v>222800</v>
      </c>
    </row>
    <row r="5644" spans="7:14" ht="11.25" customHeight="1" x14ac:dyDescent="0.3">
      <c r="G5644" s="459"/>
      <c r="H5644" s="459">
        <v>5637</v>
      </c>
      <c r="I5644" s="444">
        <f t="shared" ca="1" si="195"/>
        <v>-8396194319513270</v>
      </c>
      <c r="J5644" s="444">
        <f t="array" ref="J5644">IFERROR(INDEX('Retirement Calculator'!K:K,MATCH('Lorri 401b'!N5644,'Retirement Calculator'!A:A,0),0),0)</f>
        <v>0</v>
      </c>
      <c r="K5644" s="444">
        <f t="shared" ca="1" si="193"/>
        <v>-34984142997971.957</v>
      </c>
      <c r="L5644" s="444">
        <f t="shared" ca="1" si="194"/>
        <v>-8431178462511242</v>
      </c>
      <c r="M5644" s="460">
        <f t="shared" si="196"/>
        <v>0.05</v>
      </c>
      <c r="N5644" s="464">
        <f t="shared" si="197"/>
        <v>222831</v>
      </c>
    </row>
    <row r="5645" spans="7:14" ht="11.25" customHeight="1" x14ac:dyDescent="0.3">
      <c r="G5645" s="459"/>
      <c r="H5645" s="459">
        <v>5638</v>
      </c>
      <c r="I5645" s="444">
        <f t="shared" ca="1" si="195"/>
        <v>-8431178462511242</v>
      </c>
      <c r="J5645" s="444">
        <f t="array" ref="J5645">IFERROR(INDEX('Retirement Calculator'!K:K,MATCH('Lorri 401b'!N5645,'Retirement Calculator'!A:A,0),0),0)</f>
        <v>0</v>
      </c>
      <c r="K5645" s="444">
        <f t="shared" ca="1" si="193"/>
        <v>-35129910260463.508</v>
      </c>
      <c r="L5645" s="444">
        <f t="shared" ca="1" si="194"/>
        <v>-8466308372771706</v>
      </c>
      <c r="M5645" s="460">
        <f t="shared" si="196"/>
        <v>0.05</v>
      </c>
      <c r="N5645" s="464">
        <f t="shared" si="197"/>
        <v>222859</v>
      </c>
    </row>
    <row r="5646" spans="7:14" ht="11.25" customHeight="1" x14ac:dyDescent="0.3">
      <c r="G5646" s="459"/>
      <c r="H5646" s="459">
        <v>5639</v>
      </c>
      <c r="I5646" s="444">
        <f t="shared" ca="1" si="195"/>
        <v>-8466308372771706</v>
      </c>
      <c r="J5646" s="444">
        <f t="array" ref="J5646">IFERROR(INDEX('Retirement Calculator'!K:K,MATCH('Lorri 401b'!N5646,'Retirement Calculator'!A:A,0),0),0)</f>
        <v>0</v>
      </c>
      <c r="K5646" s="444">
        <f t="shared" ca="1" si="193"/>
        <v>-35276284886548.773</v>
      </c>
      <c r="L5646" s="444">
        <f t="shared" ca="1" si="194"/>
        <v>-8501584657658255</v>
      </c>
      <c r="M5646" s="460">
        <f t="shared" si="196"/>
        <v>0.05</v>
      </c>
      <c r="N5646" s="464">
        <f t="shared" si="197"/>
        <v>222890</v>
      </c>
    </row>
    <row r="5647" spans="7:14" ht="11.25" customHeight="1" x14ac:dyDescent="0.3">
      <c r="G5647" s="459"/>
      <c r="H5647" s="459">
        <v>5640</v>
      </c>
      <c r="I5647" s="444">
        <f t="shared" ca="1" si="195"/>
        <v>-8501584657658255</v>
      </c>
      <c r="J5647" s="444">
        <f t="array" ref="J5647">IFERROR(INDEX('Retirement Calculator'!K:K,MATCH('Lorri 401b'!N5647,'Retirement Calculator'!A:A,0),0),0)</f>
        <v>0</v>
      </c>
      <c r="K5647" s="444">
        <f t="shared" ca="1" si="193"/>
        <v>-35423269406909.398</v>
      </c>
      <c r="L5647" s="444">
        <f t="shared" ca="1" si="194"/>
        <v>-8537007927065164</v>
      </c>
      <c r="M5647" s="460">
        <f t="shared" si="196"/>
        <v>0.05</v>
      </c>
      <c r="N5647" s="464">
        <f t="shared" si="197"/>
        <v>222920</v>
      </c>
    </row>
    <row r="5648" spans="7:14" ht="11.25" customHeight="1" x14ac:dyDescent="0.3">
      <c r="G5648" s="459"/>
      <c r="H5648" s="459">
        <v>5641</v>
      </c>
      <c r="I5648" s="444">
        <f t="shared" ca="1" si="195"/>
        <v>-8537007927065164</v>
      </c>
      <c r="J5648" s="444">
        <f t="array" ref="J5648">IFERROR(INDEX('Retirement Calculator'!K:K,MATCH('Lorri 401b'!N5648,'Retirement Calculator'!A:A,0),0),0)</f>
        <v>0</v>
      </c>
      <c r="K5648" s="444">
        <f t="shared" ca="1" si="193"/>
        <v>-35570866362771.516</v>
      </c>
      <c r="L5648" s="444">
        <f t="shared" ca="1" si="194"/>
        <v>-8572578793427936</v>
      </c>
      <c r="M5648" s="460">
        <f t="shared" si="196"/>
        <v>0.05</v>
      </c>
      <c r="N5648" s="464">
        <f t="shared" si="197"/>
        <v>222951</v>
      </c>
    </row>
    <row r="5649" spans="7:14" ht="11.25" customHeight="1" x14ac:dyDescent="0.3">
      <c r="G5649" s="459"/>
      <c r="H5649" s="459">
        <v>5642</v>
      </c>
      <c r="I5649" s="444">
        <f t="shared" ca="1" si="195"/>
        <v>-8572578793427936</v>
      </c>
      <c r="J5649" s="444">
        <f t="array" ref="J5649">IFERROR(INDEX('Retirement Calculator'!K:K,MATCH('Lorri 401b'!N5649,'Retirement Calculator'!A:A,0),0),0)</f>
        <v>0</v>
      </c>
      <c r="K5649" s="444">
        <f t="shared" ca="1" si="193"/>
        <v>-35719078305949.734</v>
      </c>
      <c r="L5649" s="444">
        <f t="shared" ca="1" si="194"/>
        <v>-8608297871733886</v>
      </c>
      <c r="M5649" s="460">
        <f t="shared" si="196"/>
        <v>0.05</v>
      </c>
      <c r="N5649" s="464">
        <f t="shared" si="197"/>
        <v>222981</v>
      </c>
    </row>
    <row r="5650" spans="7:14" ht="11.25" customHeight="1" x14ac:dyDescent="0.3">
      <c r="G5650" s="459"/>
      <c r="H5650" s="459">
        <v>5643</v>
      </c>
      <c r="I5650" s="444">
        <f t="shared" ca="1" si="195"/>
        <v>-8608297871733886</v>
      </c>
      <c r="J5650" s="444">
        <f t="array" ref="J5650">IFERROR(INDEX('Retirement Calculator'!K:K,MATCH('Lorri 401b'!N5650,'Retirement Calculator'!A:A,0),0),0)</f>
        <v>0</v>
      </c>
      <c r="K5650" s="444">
        <f t="shared" ca="1" si="193"/>
        <v>-35867907798891.188</v>
      </c>
      <c r="L5650" s="444">
        <f t="shared" ca="1" si="194"/>
        <v>-8644165779532777</v>
      </c>
      <c r="M5650" s="460">
        <f t="shared" si="196"/>
        <v>0.05</v>
      </c>
      <c r="N5650" s="464">
        <f t="shared" si="197"/>
        <v>223012</v>
      </c>
    </row>
    <row r="5651" spans="7:14" ht="11.25" customHeight="1" x14ac:dyDescent="0.3">
      <c r="G5651" s="459"/>
      <c r="H5651" s="459">
        <v>5644</v>
      </c>
      <c r="I5651" s="444">
        <f t="shared" ca="1" si="195"/>
        <v>-8644165779532777</v>
      </c>
      <c r="J5651" s="444">
        <f t="array" ref="J5651">IFERROR(INDEX('Retirement Calculator'!K:K,MATCH('Lorri 401b'!N5651,'Retirement Calculator'!A:A,0),0),0)</f>
        <v>0</v>
      </c>
      <c r="K5651" s="444">
        <f t="shared" ca="1" si="193"/>
        <v>-36017357414719.906</v>
      </c>
      <c r="L5651" s="444">
        <f t="shared" ca="1" si="194"/>
        <v>-8680183136947497</v>
      </c>
      <c r="M5651" s="460">
        <f t="shared" si="196"/>
        <v>0.05</v>
      </c>
      <c r="N5651" s="464">
        <f t="shared" si="197"/>
        <v>223043</v>
      </c>
    </row>
    <row r="5652" spans="7:14" ht="11.25" customHeight="1" x14ac:dyDescent="0.3">
      <c r="G5652" s="459"/>
      <c r="H5652" s="459">
        <v>5645</v>
      </c>
      <c r="I5652" s="444">
        <f t="shared" ca="1" si="195"/>
        <v>-8680183136947497</v>
      </c>
      <c r="J5652" s="444">
        <f t="array" ref="J5652">IFERROR(INDEX('Retirement Calculator'!K:K,MATCH('Lorri 401b'!N5652,'Retirement Calculator'!A:A,0),0),0)</f>
        <v>0</v>
      </c>
      <c r="K5652" s="444">
        <f t="shared" ca="1" si="193"/>
        <v>-36167429737281.234</v>
      </c>
      <c r="L5652" s="444">
        <f t="shared" ca="1" si="194"/>
        <v>-8716350566684778</v>
      </c>
      <c r="M5652" s="460">
        <f t="shared" si="196"/>
        <v>0.05</v>
      </c>
      <c r="N5652" s="464">
        <f t="shared" si="197"/>
        <v>223073</v>
      </c>
    </row>
    <row r="5653" spans="7:14" ht="11.25" customHeight="1" x14ac:dyDescent="0.3">
      <c r="G5653" s="459"/>
      <c r="H5653" s="459">
        <v>5646</v>
      </c>
      <c r="I5653" s="444">
        <f t="shared" ca="1" si="195"/>
        <v>-8716350566684778</v>
      </c>
      <c r="J5653" s="444">
        <f t="array" ref="J5653">IFERROR(INDEX('Retirement Calculator'!K:K,MATCH('Lorri 401b'!N5653,'Retirement Calculator'!A:A,0),0),0)</f>
        <v>0</v>
      </c>
      <c r="K5653" s="444">
        <f t="shared" ca="1" si="193"/>
        <v>-36318127361186.578</v>
      </c>
      <c r="L5653" s="444">
        <f t="shared" ca="1" si="194"/>
        <v>-8752668694045965</v>
      </c>
      <c r="M5653" s="460">
        <f t="shared" si="196"/>
        <v>0.05</v>
      </c>
      <c r="N5653" s="464">
        <f t="shared" si="197"/>
        <v>223104</v>
      </c>
    </row>
    <row r="5654" spans="7:14" ht="11.25" customHeight="1" x14ac:dyDescent="0.3">
      <c r="G5654" s="459"/>
      <c r="H5654" s="459">
        <v>5647</v>
      </c>
      <c r="I5654" s="444">
        <f t="shared" ca="1" si="195"/>
        <v>-8752668694045965</v>
      </c>
      <c r="J5654" s="444">
        <f t="array" ref="J5654">IFERROR(INDEX('Retirement Calculator'!K:K,MATCH('Lorri 401b'!N5654,'Retirement Calculator'!A:A,0),0),0)</f>
        <v>0</v>
      </c>
      <c r="K5654" s="444">
        <f t="shared" ca="1" si="193"/>
        <v>-36469452891858.18</v>
      </c>
      <c r="L5654" s="444">
        <f t="shared" ca="1" si="194"/>
        <v>-8789138146937823</v>
      </c>
      <c r="M5654" s="460">
        <f t="shared" si="196"/>
        <v>0.05</v>
      </c>
      <c r="N5654" s="464">
        <f t="shared" si="197"/>
        <v>223134</v>
      </c>
    </row>
    <row r="5655" spans="7:14" ht="11.25" customHeight="1" x14ac:dyDescent="0.3">
      <c r="G5655" s="459"/>
      <c r="H5655" s="459">
        <v>5648</v>
      </c>
      <c r="I5655" s="444">
        <f t="shared" ca="1" si="195"/>
        <v>-8789138146937823</v>
      </c>
      <c r="J5655" s="444">
        <f t="array" ref="J5655">IFERROR(INDEX('Retirement Calculator'!K:K,MATCH('Lorri 401b'!N5655,'Retirement Calculator'!A:A,0),0),0)</f>
        <v>0</v>
      </c>
      <c r="K5655" s="444">
        <f t="shared" ca="1" si="193"/>
        <v>-36621408945574.266</v>
      </c>
      <c r="L5655" s="444">
        <f t="shared" ca="1" si="194"/>
        <v>-8825759555883397</v>
      </c>
      <c r="M5655" s="460">
        <f t="shared" si="196"/>
        <v>0.05</v>
      </c>
      <c r="N5655" s="464">
        <f t="shared" si="197"/>
        <v>223165</v>
      </c>
    </row>
    <row r="5656" spans="7:14" ht="11.25" customHeight="1" x14ac:dyDescent="0.3">
      <c r="G5656" s="459"/>
      <c r="H5656" s="459">
        <v>5649</v>
      </c>
      <c r="I5656" s="444">
        <f t="shared" ca="1" si="195"/>
        <v>-8825759555883397</v>
      </c>
      <c r="J5656" s="444">
        <f t="array" ref="J5656">IFERROR(INDEX('Retirement Calculator'!K:K,MATCH('Lorri 401b'!N5656,'Retirement Calculator'!A:A,0),0),0)</f>
        <v>0</v>
      </c>
      <c r="K5656" s="444">
        <f t="shared" ca="1" si="193"/>
        <v>-36773998149514.148</v>
      </c>
      <c r="L5656" s="444">
        <f t="shared" ca="1" si="194"/>
        <v>-8862533554032911</v>
      </c>
      <c r="M5656" s="460">
        <f t="shared" si="196"/>
        <v>0.05</v>
      </c>
      <c r="N5656" s="464">
        <f t="shared" si="197"/>
        <v>223196</v>
      </c>
    </row>
    <row r="5657" spans="7:14" ht="11.25" customHeight="1" x14ac:dyDescent="0.3">
      <c r="G5657" s="459"/>
      <c r="H5657" s="459">
        <v>5650</v>
      </c>
      <c r="I5657" s="444">
        <f t="shared" ca="1" si="195"/>
        <v>-8862533554032911</v>
      </c>
      <c r="J5657" s="444">
        <f t="array" ref="J5657">IFERROR(INDEX('Retirement Calculator'!K:K,MATCH('Lorri 401b'!N5657,'Retirement Calculator'!A:A,0),0),0)</f>
        <v>0</v>
      </c>
      <c r="K5657" s="444">
        <f t="shared" ca="1" si="193"/>
        <v>-36927223141803.797</v>
      </c>
      <c r="L5657" s="444">
        <f t="shared" ca="1" si="194"/>
        <v>-8899460777174715</v>
      </c>
      <c r="M5657" s="460">
        <f t="shared" si="196"/>
        <v>0.05</v>
      </c>
      <c r="N5657" s="464">
        <f t="shared" si="197"/>
        <v>223224</v>
      </c>
    </row>
    <row r="5658" spans="7:14" ht="11.25" customHeight="1" x14ac:dyDescent="0.3">
      <c r="G5658" s="459"/>
      <c r="H5658" s="459">
        <v>5651</v>
      </c>
      <c r="I5658" s="444">
        <f t="shared" ca="1" si="195"/>
        <v>-8899460777174715</v>
      </c>
      <c r="J5658" s="444">
        <f t="array" ref="J5658">IFERROR(INDEX('Retirement Calculator'!K:K,MATCH('Lorri 401b'!N5658,'Retirement Calculator'!A:A,0),0),0)</f>
        <v>0</v>
      </c>
      <c r="K5658" s="444">
        <f t="shared" ca="1" si="193"/>
        <v>-37081086571561.313</v>
      </c>
      <c r="L5658" s="444">
        <f t="shared" ca="1" si="194"/>
        <v>-8936541863746276</v>
      </c>
      <c r="M5658" s="460">
        <f t="shared" si="196"/>
        <v>0.05</v>
      </c>
      <c r="N5658" s="464">
        <f t="shared" si="197"/>
        <v>223255</v>
      </c>
    </row>
    <row r="5659" spans="7:14" ht="11.25" customHeight="1" x14ac:dyDescent="0.3">
      <c r="G5659" s="459"/>
      <c r="H5659" s="459">
        <v>5652</v>
      </c>
      <c r="I5659" s="444">
        <f t="shared" ca="1" si="195"/>
        <v>-8936541863746276</v>
      </c>
      <c r="J5659" s="444">
        <f t="array" ref="J5659">IFERROR(INDEX('Retirement Calculator'!K:K,MATCH('Lorri 401b'!N5659,'Retirement Calculator'!A:A,0),0),0)</f>
        <v>0</v>
      </c>
      <c r="K5659" s="444">
        <f t="shared" ca="1" si="193"/>
        <v>-37235591098942.82</v>
      </c>
      <c r="L5659" s="444">
        <f t="shared" ca="1" si="194"/>
        <v>-8973777454845219</v>
      </c>
      <c r="M5659" s="460">
        <f t="shared" si="196"/>
        <v>0.05</v>
      </c>
      <c r="N5659" s="464">
        <f t="shared" si="197"/>
        <v>223285</v>
      </c>
    </row>
    <row r="5660" spans="7:14" ht="11.25" customHeight="1" x14ac:dyDescent="0.3">
      <c r="G5660" s="459"/>
      <c r="H5660" s="459">
        <v>5653</v>
      </c>
      <c r="I5660" s="444">
        <f t="shared" ca="1" si="195"/>
        <v>-8973777454845219</v>
      </c>
      <c r="J5660" s="444">
        <f t="array" ref="J5660">IFERROR(INDEX('Retirement Calculator'!K:K,MATCH('Lorri 401b'!N5660,'Retirement Calculator'!A:A,0),0),0)</f>
        <v>0</v>
      </c>
      <c r="K5660" s="444">
        <f t="shared" ca="1" si="193"/>
        <v>-37390739395188.406</v>
      </c>
      <c r="L5660" s="444">
        <f t="shared" ca="1" si="194"/>
        <v>-9011168194240408</v>
      </c>
      <c r="M5660" s="460">
        <f t="shared" si="196"/>
        <v>0.05</v>
      </c>
      <c r="N5660" s="464">
        <f t="shared" si="197"/>
        <v>223316</v>
      </c>
    </row>
    <row r="5661" spans="7:14" ht="11.25" customHeight="1" x14ac:dyDescent="0.3">
      <c r="G5661" s="459"/>
      <c r="H5661" s="459">
        <v>5654</v>
      </c>
      <c r="I5661" s="444">
        <f t="shared" ca="1" si="195"/>
        <v>-9011168194240408</v>
      </c>
      <c r="J5661" s="444">
        <f t="array" ref="J5661">IFERROR(INDEX('Retirement Calculator'!K:K,MATCH('Lorri 401b'!N5661,'Retirement Calculator'!A:A,0),0),0)</f>
        <v>0</v>
      </c>
      <c r="K5661" s="444">
        <f t="shared" ca="1" si="193"/>
        <v>-37546534142668.367</v>
      </c>
      <c r="L5661" s="444">
        <f t="shared" ca="1" si="194"/>
        <v>-9048714728383076</v>
      </c>
      <c r="M5661" s="460">
        <f t="shared" si="196"/>
        <v>0.05</v>
      </c>
      <c r="N5661" s="464">
        <f t="shared" si="197"/>
        <v>223346</v>
      </c>
    </row>
    <row r="5662" spans="7:14" ht="11.25" customHeight="1" x14ac:dyDescent="0.3">
      <c r="G5662" s="459"/>
      <c r="H5662" s="459">
        <v>5655</v>
      </c>
      <c r="I5662" s="444">
        <f t="shared" ca="1" si="195"/>
        <v>-9048714728383076</v>
      </c>
      <c r="J5662" s="444">
        <f t="array" ref="J5662">IFERROR(INDEX('Retirement Calculator'!K:K,MATCH('Lorri 401b'!N5662,'Retirement Calculator'!A:A,0),0),0)</f>
        <v>0</v>
      </c>
      <c r="K5662" s="444">
        <f t="shared" ca="1" si="193"/>
        <v>-37702978034929.484</v>
      </c>
      <c r="L5662" s="444">
        <f t="shared" ca="1" si="194"/>
        <v>-9086417706418006</v>
      </c>
      <c r="M5662" s="460">
        <f t="shared" si="196"/>
        <v>0.05</v>
      </c>
      <c r="N5662" s="464">
        <f t="shared" si="197"/>
        <v>223377</v>
      </c>
    </row>
    <row r="5663" spans="7:14" ht="11.25" customHeight="1" x14ac:dyDescent="0.3">
      <c r="G5663" s="459"/>
      <c r="H5663" s="459">
        <v>5656</v>
      </c>
      <c r="I5663" s="444">
        <f t="shared" ca="1" si="195"/>
        <v>-9086417706418006</v>
      </c>
      <c r="J5663" s="444">
        <f t="array" ref="J5663">IFERROR(INDEX('Retirement Calculator'!K:K,MATCH('Lorri 401b'!N5663,'Retirement Calculator'!A:A,0),0),0)</f>
        <v>0</v>
      </c>
      <c r="K5663" s="444">
        <f t="shared" ca="1" si="193"/>
        <v>-37860073776741.688</v>
      </c>
      <c r="L5663" s="444">
        <f t="shared" ca="1" si="194"/>
        <v>-9124277780194748</v>
      </c>
      <c r="M5663" s="460">
        <f t="shared" si="196"/>
        <v>0.05</v>
      </c>
      <c r="N5663" s="464">
        <f t="shared" si="197"/>
        <v>223408</v>
      </c>
    </row>
    <row r="5664" spans="7:14" ht="11.25" customHeight="1" x14ac:dyDescent="0.3">
      <c r="G5664" s="459"/>
      <c r="H5664" s="459">
        <v>5657</v>
      </c>
      <c r="I5664" s="444">
        <f t="shared" ca="1" si="195"/>
        <v>-9124277780194748</v>
      </c>
      <c r="J5664" s="444">
        <f t="array" ref="J5664">IFERROR(INDEX('Retirement Calculator'!K:K,MATCH('Lorri 401b'!N5664,'Retirement Calculator'!A:A,0),0),0)</f>
        <v>0</v>
      </c>
      <c r="K5664" s="444">
        <f t="shared" ca="1" si="193"/>
        <v>-38017824084144.781</v>
      </c>
      <c r="L5664" s="444">
        <f t="shared" ca="1" si="194"/>
        <v>-9162295604278892</v>
      </c>
      <c r="M5664" s="460">
        <f t="shared" si="196"/>
        <v>0.05</v>
      </c>
      <c r="N5664" s="464">
        <f t="shared" si="197"/>
        <v>223438</v>
      </c>
    </row>
    <row r="5665" spans="7:14" ht="11.25" customHeight="1" x14ac:dyDescent="0.3">
      <c r="G5665" s="459"/>
      <c r="H5665" s="459">
        <v>5658</v>
      </c>
      <c r="I5665" s="444">
        <f t="shared" ca="1" si="195"/>
        <v>-9162295604278892</v>
      </c>
      <c r="J5665" s="444">
        <f t="array" ref="J5665">IFERROR(INDEX('Retirement Calculator'!K:K,MATCH('Lorri 401b'!N5665,'Retirement Calculator'!A:A,0),0),0)</f>
        <v>0</v>
      </c>
      <c r="K5665" s="444">
        <f t="shared" ca="1" si="193"/>
        <v>-38176231684495.383</v>
      </c>
      <c r="L5665" s="444">
        <f t="shared" ca="1" si="194"/>
        <v>-9200471835963388</v>
      </c>
      <c r="M5665" s="460">
        <f t="shared" si="196"/>
        <v>0.05</v>
      </c>
      <c r="N5665" s="464">
        <f t="shared" si="197"/>
        <v>223469</v>
      </c>
    </row>
    <row r="5666" spans="7:14" ht="11.25" customHeight="1" x14ac:dyDescent="0.3">
      <c r="G5666" s="459"/>
      <c r="H5666" s="459">
        <v>5659</v>
      </c>
      <c r="I5666" s="444">
        <f t="shared" ca="1" si="195"/>
        <v>-9200471835963388</v>
      </c>
      <c r="J5666" s="444">
        <f t="array" ref="J5666">IFERROR(INDEX('Retirement Calculator'!K:K,MATCH('Lorri 401b'!N5666,'Retirement Calculator'!A:A,0),0),0)</f>
        <v>0</v>
      </c>
      <c r="K5666" s="444">
        <f t="shared" ca="1" si="193"/>
        <v>-38335299316514.117</v>
      </c>
      <c r="L5666" s="444">
        <f t="shared" ca="1" si="194"/>
        <v>-9238807135279902</v>
      </c>
      <c r="M5666" s="460">
        <f t="shared" si="196"/>
        <v>0.05</v>
      </c>
      <c r="N5666" s="464">
        <f t="shared" si="197"/>
        <v>223499</v>
      </c>
    </row>
    <row r="5667" spans="7:14" ht="11.25" customHeight="1" x14ac:dyDescent="0.3">
      <c r="G5667" s="459"/>
      <c r="H5667" s="459">
        <v>5660</v>
      </c>
      <c r="I5667" s="444">
        <f t="shared" ca="1" si="195"/>
        <v>-9238807135279902</v>
      </c>
      <c r="J5667" s="444">
        <f t="array" ref="J5667">IFERROR(INDEX('Retirement Calculator'!K:K,MATCH('Lorri 401b'!N5667,'Retirement Calculator'!A:A,0),0),0)</f>
        <v>0</v>
      </c>
      <c r="K5667" s="444">
        <f t="shared" ca="1" si="193"/>
        <v>-38495029730332.922</v>
      </c>
      <c r="L5667" s="444">
        <f t="shared" ca="1" si="194"/>
        <v>-9277302165010234</v>
      </c>
      <c r="M5667" s="460">
        <f t="shared" si="196"/>
        <v>0.05</v>
      </c>
      <c r="N5667" s="464">
        <f t="shared" si="197"/>
        <v>223530</v>
      </c>
    </row>
    <row r="5668" spans="7:14" ht="11.25" customHeight="1" x14ac:dyDescent="0.3">
      <c r="G5668" s="459"/>
      <c r="H5668" s="459">
        <v>5661</v>
      </c>
      <c r="I5668" s="444">
        <f t="shared" ca="1" si="195"/>
        <v>-9277302165010234</v>
      </c>
      <c r="J5668" s="444">
        <f t="array" ref="J5668">IFERROR(INDEX('Retirement Calculator'!K:K,MATCH('Lorri 401b'!N5668,'Retirement Calculator'!A:A,0),0),0)</f>
        <v>0</v>
      </c>
      <c r="K5668" s="444">
        <f t="shared" ca="1" si="193"/>
        <v>-38655425687542.641</v>
      </c>
      <c r="L5668" s="444">
        <f t="shared" ca="1" si="194"/>
        <v>-9315957590697776</v>
      </c>
      <c r="M5668" s="460">
        <f t="shared" si="196"/>
        <v>0.05</v>
      </c>
      <c r="N5668" s="464">
        <f t="shared" si="197"/>
        <v>223561</v>
      </c>
    </row>
    <row r="5669" spans="7:14" ht="11.25" customHeight="1" x14ac:dyDescent="0.3">
      <c r="G5669" s="459"/>
      <c r="H5669" s="459">
        <v>5662</v>
      </c>
      <c r="I5669" s="444">
        <f t="shared" ca="1" si="195"/>
        <v>-9315957590697776</v>
      </c>
      <c r="J5669" s="444">
        <f t="array" ref="J5669">IFERROR(INDEX('Retirement Calculator'!K:K,MATCH('Lorri 401b'!N5669,'Retirement Calculator'!A:A,0),0),0)</f>
        <v>0</v>
      </c>
      <c r="K5669" s="444">
        <f t="shared" ca="1" si="193"/>
        <v>-38816489961240.734</v>
      </c>
      <c r="L5669" s="444">
        <f t="shared" ca="1" si="194"/>
        <v>-9354774080659016</v>
      </c>
      <c r="M5669" s="460">
        <f t="shared" si="196"/>
        <v>0.05</v>
      </c>
      <c r="N5669" s="464">
        <f t="shared" si="197"/>
        <v>223590</v>
      </c>
    </row>
    <row r="5670" spans="7:14" ht="11.25" customHeight="1" x14ac:dyDescent="0.3">
      <c r="G5670" s="459"/>
      <c r="H5670" s="459">
        <v>5663</v>
      </c>
      <c r="I5670" s="444">
        <f t="shared" ca="1" si="195"/>
        <v>-9354774080659016</v>
      </c>
      <c r="J5670" s="444">
        <f t="array" ref="J5670">IFERROR(INDEX('Retirement Calculator'!K:K,MATCH('Lorri 401b'!N5670,'Retirement Calculator'!A:A,0),0),0)</f>
        <v>0</v>
      </c>
      <c r="K5670" s="444">
        <f t="shared" ca="1" si="193"/>
        <v>-38978225336079.234</v>
      </c>
      <c r="L5670" s="444">
        <f t="shared" ca="1" si="194"/>
        <v>-9393752305995096</v>
      </c>
      <c r="M5670" s="460">
        <f t="shared" si="196"/>
        <v>0.05</v>
      </c>
      <c r="N5670" s="464">
        <f t="shared" si="197"/>
        <v>223621</v>
      </c>
    </row>
    <row r="5671" spans="7:14" ht="11.25" customHeight="1" x14ac:dyDescent="0.3">
      <c r="G5671" s="459"/>
      <c r="H5671" s="459">
        <v>5664</v>
      </c>
      <c r="I5671" s="444">
        <f t="shared" ca="1" si="195"/>
        <v>-9393752305995096</v>
      </c>
      <c r="J5671" s="444">
        <f t="array" ref="J5671">IFERROR(INDEX('Retirement Calculator'!K:K,MATCH('Lorri 401b'!N5671,'Retirement Calculator'!A:A,0),0),0)</f>
        <v>0</v>
      </c>
      <c r="K5671" s="444">
        <f t="shared" ca="1" si="193"/>
        <v>-39140634608312.898</v>
      </c>
      <c r="L5671" s="444">
        <f t="shared" ca="1" si="194"/>
        <v>-9432892940603408</v>
      </c>
      <c r="M5671" s="460">
        <f t="shared" si="196"/>
        <v>0.05</v>
      </c>
      <c r="N5671" s="464">
        <f t="shared" si="197"/>
        <v>223651</v>
      </c>
    </row>
    <row r="5672" spans="7:14" ht="11.25" customHeight="1" x14ac:dyDescent="0.3">
      <c r="G5672" s="459"/>
      <c r="H5672" s="459">
        <v>5665</v>
      </c>
      <c r="I5672" s="444">
        <f t="shared" ca="1" si="195"/>
        <v>-9432892940603408</v>
      </c>
      <c r="J5672" s="444">
        <f t="array" ref="J5672">IFERROR(INDEX('Retirement Calculator'!K:K,MATCH('Lorri 401b'!N5672,'Retirement Calculator'!A:A,0),0),0)</f>
        <v>0</v>
      </c>
      <c r="K5672" s="444">
        <f t="shared" ca="1" si="193"/>
        <v>-39303720585847.531</v>
      </c>
      <c r="L5672" s="444">
        <f t="shared" ca="1" si="194"/>
        <v>-9472196661189256</v>
      </c>
      <c r="M5672" s="460">
        <f t="shared" si="196"/>
        <v>0.05</v>
      </c>
      <c r="N5672" s="464">
        <f t="shared" si="197"/>
        <v>223682</v>
      </c>
    </row>
    <row r="5673" spans="7:14" ht="11.25" customHeight="1" x14ac:dyDescent="0.3">
      <c r="G5673" s="459"/>
      <c r="H5673" s="459">
        <v>5666</v>
      </c>
      <c r="I5673" s="444">
        <f t="shared" ca="1" si="195"/>
        <v>-9472196661189256</v>
      </c>
      <c r="J5673" s="444">
        <f t="array" ref="J5673">IFERROR(INDEX('Retirement Calculator'!K:K,MATCH('Lorri 401b'!N5673,'Retirement Calculator'!A:A,0),0),0)</f>
        <v>0</v>
      </c>
      <c r="K5673" s="444">
        <f t="shared" ca="1" si="193"/>
        <v>-39467486088288.563</v>
      </c>
      <c r="L5673" s="444">
        <f t="shared" ca="1" si="194"/>
        <v>-9511664147277544</v>
      </c>
      <c r="M5673" s="460">
        <f t="shared" si="196"/>
        <v>0.05</v>
      </c>
      <c r="N5673" s="464">
        <f t="shared" si="197"/>
        <v>223712</v>
      </c>
    </row>
    <row r="5674" spans="7:14" ht="11.25" customHeight="1" x14ac:dyDescent="0.3">
      <c r="G5674" s="459"/>
      <c r="H5674" s="459">
        <v>5667</v>
      </c>
      <c r="I5674" s="444">
        <f t="shared" ca="1" si="195"/>
        <v>-9511664147277544</v>
      </c>
      <c r="J5674" s="444">
        <f t="array" ref="J5674">IFERROR(INDEX('Retirement Calculator'!K:K,MATCH('Lorri 401b'!N5674,'Retirement Calculator'!A:A,0),0),0)</f>
        <v>0</v>
      </c>
      <c r="K5674" s="444">
        <f t="shared" ca="1" si="193"/>
        <v>-39631933946989.766</v>
      </c>
      <c r="L5674" s="444">
        <f t="shared" ca="1" si="194"/>
        <v>-9551296081224534</v>
      </c>
      <c r="M5674" s="460">
        <f t="shared" si="196"/>
        <v>0.05</v>
      </c>
      <c r="N5674" s="464">
        <f t="shared" si="197"/>
        <v>223743</v>
      </c>
    </row>
    <row r="5675" spans="7:14" ht="11.25" customHeight="1" x14ac:dyDescent="0.3">
      <c r="G5675" s="459"/>
      <c r="H5675" s="459">
        <v>5668</v>
      </c>
      <c r="I5675" s="444">
        <f t="shared" ca="1" si="195"/>
        <v>-9551296081224534</v>
      </c>
      <c r="J5675" s="444">
        <f t="array" ref="J5675">IFERROR(INDEX('Retirement Calculator'!K:K,MATCH('Lorri 401b'!N5675,'Retirement Calculator'!A:A,0),0),0)</f>
        <v>0</v>
      </c>
      <c r="K5675" s="444">
        <f t="shared" ca="1" si="193"/>
        <v>-39797067005102.227</v>
      </c>
      <c r="L5675" s="444">
        <f t="shared" ca="1" si="194"/>
        <v>-9591093148229636</v>
      </c>
      <c r="M5675" s="460">
        <f t="shared" si="196"/>
        <v>0.05</v>
      </c>
      <c r="N5675" s="464">
        <f t="shared" si="197"/>
        <v>223774</v>
      </c>
    </row>
    <row r="5676" spans="7:14" ht="11.25" customHeight="1" x14ac:dyDescent="0.3">
      <c r="G5676" s="459"/>
      <c r="H5676" s="459">
        <v>5669</v>
      </c>
      <c r="I5676" s="444">
        <f t="shared" ca="1" si="195"/>
        <v>-9591093148229636</v>
      </c>
      <c r="J5676" s="444">
        <f t="array" ref="J5676">IFERROR(INDEX('Retirement Calculator'!K:K,MATCH('Lorri 401b'!N5676,'Retirement Calculator'!A:A,0),0),0)</f>
        <v>0</v>
      </c>
      <c r="K5676" s="444">
        <f t="shared" ca="1" si="193"/>
        <v>-39962888117623.484</v>
      </c>
      <c r="L5676" s="444">
        <f t="shared" ca="1" si="194"/>
        <v>-9631056036347260</v>
      </c>
      <c r="M5676" s="460">
        <f t="shared" si="196"/>
        <v>0.05</v>
      </c>
      <c r="N5676" s="464">
        <f t="shared" si="197"/>
        <v>223804</v>
      </c>
    </row>
    <row r="5677" spans="7:14" ht="11.25" customHeight="1" x14ac:dyDescent="0.3">
      <c r="G5677" s="459"/>
      <c r="H5677" s="459">
        <v>5670</v>
      </c>
      <c r="I5677" s="444">
        <f t="shared" ca="1" si="195"/>
        <v>-9631056036347260</v>
      </c>
      <c r="J5677" s="444">
        <f t="array" ref="J5677">IFERROR(INDEX('Retirement Calculator'!K:K,MATCH('Lorri 401b'!N5677,'Retirement Calculator'!A:A,0),0),0)</f>
        <v>0</v>
      </c>
      <c r="K5677" s="444">
        <f t="shared" ca="1" si="193"/>
        <v>-40129400151446.914</v>
      </c>
      <c r="L5677" s="444">
        <f t="shared" ca="1" si="194"/>
        <v>-9671185436498706</v>
      </c>
      <c r="M5677" s="460">
        <f t="shared" si="196"/>
        <v>0.05</v>
      </c>
      <c r="N5677" s="464">
        <f t="shared" si="197"/>
        <v>223835</v>
      </c>
    </row>
    <row r="5678" spans="7:14" ht="11.25" customHeight="1" x14ac:dyDescent="0.3">
      <c r="G5678" s="459"/>
      <c r="H5678" s="459">
        <v>5671</v>
      </c>
      <c r="I5678" s="444">
        <f t="shared" ca="1" si="195"/>
        <v>-9671185436498706</v>
      </c>
      <c r="J5678" s="444">
        <f t="array" ref="J5678">IFERROR(INDEX('Retirement Calculator'!K:K,MATCH('Lorri 401b'!N5678,'Retirement Calculator'!A:A,0),0),0)</f>
        <v>0</v>
      </c>
      <c r="K5678" s="444">
        <f t="shared" ca="1" si="193"/>
        <v>-40296605985411.273</v>
      </c>
      <c r="L5678" s="444">
        <f t="shared" ca="1" si="194"/>
        <v>-9711482042484118</v>
      </c>
      <c r="M5678" s="460">
        <f t="shared" si="196"/>
        <v>0.05</v>
      </c>
      <c r="N5678" s="464">
        <f t="shared" si="197"/>
        <v>223865</v>
      </c>
    </row>
    <row r="5679" spans="7:14" ht="11.25" customHeight="1" x14ac:dyDescent="0.3">
      <c r="G5679" s="459"/>
      <c r="H5679" s="459">
        <v>5672</v>
      </c>
      <c r="I5679" s="444">
        <f t="shared" ca="1" si="195"/>
        <v>-9711482042484118</v>
      </c>
      <c r="J5679" s="444">
        <f t="array" ref="J5679">IFERROR(INDEX('Retirement Calculator'!K:K,MATCH('Lorri 401b'!N5679,'Retirement Calculator'!A:A,0),0),0)</f>
        <v>0</v>
      </c>
      <c r="K5679" s="444">
        <f t="shared" ca="1" si="193"/>
        <v>-40464508510350.492</v>
      </c>
      <c r="L5679" s="444">
        <f t="shared" ca="1" si="194"/>
        <v>-9751946550994468</v>
      </c>
      <c r="M5679" s="460">
        <f t="shared" si="196"/>
        <v>0.05</v>
      </c>
      <c r="N5679" s="464">
        <f t="shared" si="197"/>
        <v>223896</v>
      </c>
    </row>
    <row r="5680" spans="7:14" ht="11.25" customHeight="1" x14ac:dyDescent="0.3">
      <c r="G5680" s="459"/>
      <c r="H5680" s="459">
        <v>5673</v>
      </c>
      <c r="I5680" s="444">
        <f t="shared" ca="1" si="195"/>
        <v>-9751946550994468</v>
      </c>
      <c r="J5680" s="444">
        <f t="array" ref="J5680">IFERROR(INDEX('Retirement Calculator'!K:K,MATCH('Lorri 401b'!N5680,'Retirement Calculator'!A:A,0),0),0)</f>
        <v>0</v>
      </c>
      <c r="K5680" s="444">
        <f t="shared" ca="1" si="193"/>
        <v>-40633110629143.617</v>
      </c>
      <c r="L5680" s="444">
        <f t="shared" ca="1" si="194"/>
        <v>-9792579661623612</v>
      </c>
      <c r="M5680" s="460">
        <f t="shared" si="196"/>
        <v>0.05</v>
      </c>
      <c r="N5680" s="464">
        <f t="shared" si="197"/>
        <v>223927</v>
      </c>
    </row>
    <row r="5681" spans="7:14" ht="11.25" customHeight="1" x14ac:dyDescent="0.3">
      <c r="G5681" s="459"/>
      <c r="H5681" s="459">
        <v>5674</v>
      </c>
      <c r="I5681" s="444">
        <f t="shared" ca="1" si="195"/>
        <v>-9792579661623612</v>
      </c>
      <c r="J5681" s="444">
        <f t="array" ref="J5681">IFERROR(INDEX('Retirement Calculator'!K:K,MATCH('Lorri 401b'!N5681,'Retirement Calculator'!A:A,0),0),0)</f>
        <v>0</v>
      </c>
      <c r="K5681" s="444">
        <f t="shared" ca="1" si="193"/>
        <v>-40802415256765.047</v>
      </c>
      <c r="L5681" s="444">
        <f t="shared" ca="1" si="194"/>
        <v>-9833382076880378</v>
      </c>
      <c r="M5681" s="460">
        <f t="shared" si="196"/>
        <v>0.05</v>
      </c>
      <c r="N5681" s="464">
        <f t="shared" si="197"/>
        <v>223955</v>
      </c>
    </row>
    <row r="5682" spans="7:14" ht="11.25" customHeight="1" x14ac:dyDescent="0.3">
      <c r="G5682" s="459"/>
      <c r="H5682" s="459">
        <v>5675</v>
      </c>
      <c r="I5682" s="444">
        <f t="shared" ca="1" si="195"/>
        <v>-9833382076880378</v>
      </c>
      <c r="J5682" s="444">
        <f t="array" ref="J5682">IFERROR(INDEX('Retirement Calculator'!K:K,MATCH('Lorri 401b'!N5682,'Retirement Calculator'!A:A,0),0),0)</f>
        <v>0</v>
      </c>
      <c r="K5682" s="444">
        <f t="shared" ca="1" si="193"/>
        <v>-40972425320334.906</v>
      </c>
      <c r="L5682" s="444">
        <f t="shared" ca="1" si="194"/>
        <v>-9874354502200712</v>
      </c>
      <c r="M5682" s="460">
        <f t="shared" si="196"/>
        <v>0.05</v>
      </c>
      <c r="N5682" s="464">
        <f t="shared" si="197"/>
        <v>223986</v>
      </c>
    </row>
    <row r="5683" spans="7:14" ht="11.25" customHeight="1" x14ac:dyDescent="0.3">
      <c r="G5683" s="459"/>
      <c r="H5683" s="459">
        <v>5676</v>
      </c>
      <c r="I5683" s="444">
        <f t="shared" ca="1" si="195"/>
        <v>-9874354502200712</v>
      </c>
      <c r="J5683" s="444">
        <f t="array" ref="J5683">IFERROR(INDEX('Retirement Calculator'!K:K,MATCH('Lorri 401b'!N5683,'Retirement Calculator'!A:A,0),0),0)</f>
        <v>0</v>
      </c>
      <c r="K5683" s="444">
        <f t="shared" ca="1" si="193"/>
        <v>-41143143759169.633</v>
      </c>
      <c r="L5683" s="444">
        <f t="shared" ca="1" si="194"/>
        <v>-9915497645959882</v>
      </c>
      <c r="M5683" s="460">
        <f t="shared" si="196"/>
        <v>0.05</v>
      </c>
      <c r="N5683" s="464">
        <f t="shared" si="197"/>
        <v>224016</v>
      </c>
    </row>
    <row r="5684" spans="7:14" ht="11.25" customHeight="1" x14ac:dyDescent="0.3">
      <c r="G5684" s="459"/>
      <c r="H5684" s="459">
        <v>5677</v>
      </c>
      <c r="I5684" s="444">
        <f t="shared" ca="1" si="195"/>
        <v>-9915497645959882</v>
      </c>
      <c r="J5684" s="444">
        <f t="array" ref="J5684">IFERROR(INDEX('Retirement Calculator'!K:K,MATCH('Lorri 401b'!N5684,'Retirement Calculator'!A:A,0),0),0)</f>
        <v>0</v>
      </c>
      <c r="K5684" s="444">
        <f t="shared" ca="1" si="193"/>
        <v>-41314573524832.844</v>
      </c>
      <c r="L5684" s="444">
        <f t="shared" ca="1" si="194"/>
        <v>-9956812219484714</v>
      </c>
      <c r="M5684" s="460">
        <f t="shared" si="196"/>
        <v>0.05</v>
      </c>
      <c r="N5684" s="464">
        <f t="shared" si="197"/>
        <v>224047</v>
      </c>
    </row>
    <row r="5685" spans="7:14" ht="11.25" customHeight="1" x14ac:dyDescent="0.3">
      <c r="G5685" s="459"/>
      <c r="H5685" s="459">
        <v>5678</v>
      </c>
      <c r="I5685" s="444">
        <f t="shared" ca="1" si="195"/>
        <v>-9956812219484714</v>
      </c>
      <c r="J5685" s="444">
        <f t="array" ref="J5685">IFERROR(INDEX('Retirement Calculator'!K:K,MATCH('Lorri 401b'!N5685,'Retirement Calculator'!A:A,0),0),0)</f>
        <v>0</v>
      </c>
      <c r="K5685" s="444">
        <f t="shared" ca="1" si="193"/>
        <v>-41486717581186.305</v>
      </c>
      <c r="L5685" s="444">
        <f t="shared" ca="1" si="194"/>
        <v>-9998298937065900</v>
      </c>
      <c r="M5685" s="460">
        <f t="shared" si="196"/>
        <v>0.05</v>
      </c>
      <c r="N5685" s="464">
        <f t="shared" si="197"/>
        <v>224077</v>
      </c>
    </row>
    <row r="5686" spans="7:14" ht="11.25" customHeight="1" x14ac:dyDescent="0.3">
      <c r="G5686" s="459"/>
      <c r="H5686" s="459">
        <v>5679</v>
      </c>
      <c r="I5686" s="444">
        <f t="shared" ca="1" si="195"/>
        <v>-9998298937065900</v>
      </c>
      <c r="J5686" s="444">
        <f t="array" ref="J5686">IFERROR(INDEX('Retirement Calculator'!K:K,MATCH('Lorri 401b'!N5686,'Retirement Calculator'!A:A,0),0),0)</f>
        <v>0</v>
      </c>
      <c r="K5686" s="444">
        <f t="shared" ca="1" si="193"/>
        <v>-41659578904441.25</v>
      </c>
      <c r="L5686" s="444">
        <f t="shared" ca="1" si="194"/>
        <v>-1.0039958515970342E+16</v>
      </c>
      <c r="M5686" s="460">
        <f t="shared" si="196"/>
        <v>0.05</v>
      </c>
      <c r="N5686" s="464">
        <f t="shared" si="197"/>
        <v>224108</v>
      </c>
    </row>
    <row r="5687" spans="7:14" ht="11.25" customHeight="1" x14ac:dyDescent="0.3">
      <c r="G5687" s="459"/>
      <c r="H5687" s="459">
        <v>5680</v>
      </c>
      <c r="I5687" s="444">
        <f t="shared" ca="1" si="195"/>
        <v>-1.0039958515970342E+16</v>
      </c>
      <c r="J5687" s="444">
        <f t="array" ref="J5687">IFERROR(INDEX('Retirement Calculator'!K:K,MATCH('Lorri 401b'!N5687,'Retirement Calculator'!A:A,0),0),0)</f>
        <v>0</v>
      </c>
      <c r="K5687" s="444">
        <f t="shared" ca="1" si="193"/>
        <v>-41833160483209.758</v>
      </c>
      <c r="L5687" s="444">
        <f t="shared" ca="1" si="194"/>
        <v>-1.0081791676453552E+16</v>
      </c>
      <c r="M5687" s="460">
        <f t="shared" si="196"/>
        <v>0.05</v>
      </c>
      <c r="N5687" s="464">
        <f t="shared" si="197"/>
        <v>224139</v>
      </c>
    </row>
    <row r="5688" spans="7:14" ht="11.25" customHeight="1" x14ac:dyDescent="0.3">
      <c r="G5688" s="459"/>
      <c r="H5688" s="459">
        <v>5681</v>
      </c>
      <c r="I5688" s="444">
        <f t="shared" ca="1" si="195"/>
        <v>-1.0081791676453552E+16</v>
      </c>
      <c r="J5688" s="444">
        <f t="array" ref="J5688">IFERROR(INDEX('Retirement Calculator'!K:K,MATCH('Lorri 401b'!N5688,'Retirement Calculator'!A:A,0),0),0)</f>
        <v>0</v>
      </c>
      <c r="K5688" s="444">
        <f t="shared" ca="1" si="193"/>
        <v>-42007465318556.469</v>
      </c>
      <c r="L5688" s="444">
        <f t="shared" ca="1" si="194"/>
        <v>-1.0123799141772108E+16</v>
      </c>
      <c r="M5688" s="460">
        <f t="shared" si="196"/>
        <v>0.05</v>
      </c>
      <c r="N5688" s="464">
        <f t="shared" si="197"/>
        <v>224169</v>
      </c>
    </row>
    <row r="5689" spans="7:14" ht="11.25" customHeight="1" x14ac:dyDescent="0.3">
      <c r="G5689" s="459"/>
      <c r="H5689" s="459">
        <v>5682</v>
      </c>
      <c r="I5689" s="444">
        <f t="shared" ca="1" si="195"/>
        <v>-1.0123799141772108E+16</v>
      </c>
      <c r="J5689" s="444">
        <f t="array" ref="J5689">IFERROR(INDEX('Retirement Calculator'!K:K,MATCH('Lorri 401b'!N5689,'Retirement Calculator'!A:A,0),0),0)</f>
        <v>0</v>
      </c>
      <c r="K5689" s="444">
        <f t="shared" ca="1" si="193"/>
        <v>-42182496424050.453</v>
      </c>
      <c r="L5689" s="444">
        <f t="shared" ca="1" si="194"/>
        <v>-1.0165981638196158E+16</v>
      </c>
      <c r="M5689" s="460">
        <f t="shared" si="196"/>
        <v>0.05</v>
      </c>
      <c r="N5689" s="464">
        <f t="shared" si="197"/>
        <v>224200</v>
      </c>
    </row>
    <row r="5690" spans="7:14" ht="11.25" customHeight="1" x14ac:dyDescent="0.3">
      <c r="G5690" s="459"/>
      <c r="H5690" s="459">
        <v>5683</v>
      </c>
      <c r="I5690" s="444">
        <f t="shared" ca="1" si="195"/>
        <v>-1.0165981638196158E+16</v>
      </c>
      <c r="J5690" s="444">
        <f t="array" ref="J5690">IFERROR(INDEX('Retirement Calculator'!K:K,MATCH('Lorri 401b'!N5690,'Retirement Calculator'!A:A,0),0),0)</f>
        <v>0</v>
      </c>
      <c r="K5690" s="444">
        <f t="shared" ca="1" si="193"/>
        <v>-42358256825817.328</v>
      </c>
      <c r="L5690" s="444">
        <f t="shared" ca="1" si="194"/>
        <v>-1.0208339895021976E+16</v>
      </c>
      <c r="M5690" s="460">
        <f t="shared" si="196"/>
        <v>0.05</v>
      </c>
      <c r="N5690" s="464">
        <f t="shared" si="197"/>
        <v>224230</v>
      </c>
    </row>
    <row r="5691" spans="7:14" ht="11.25" customHeight="1" x14ac:dyDescent="0.3">
      <c r="G5691" s="459"/>
      <c r="H5691" s="459">
        <v>5684</v>
      </c>
      <c r="I5691" s="444">
        <f t="shared" ca="1" si="195"/>
        <v>-1.0208339895021976E+16</v>
      </c>
      <c r="J5691" s="444">
        <f t="array" ref="J5691">IFERROR(INDEX('Retirement Calculator'!K:K,MATCH('Lorri 401b'!N5691,'Retirement Calculator'!A:A,0),0),0)</f>
        <v>0</v>
      </c>
      <c r="K5691" s="444">
        <f t="shared" ca="1" si="193"/>
        <v>-42534749562591.563</v>
      </c>
      <c r="L5691" s="444">
        <f t="shared" ca="1" si="194"/>
        <v>-1.0250874644584568E+16</v>
      </c>
      <c r="M5691" s="460">
        <f t="shared" si="196"/>
        <v>0.05</v>
      </c>
      <c r="N5691" s="464">
        <f t="shared" si="197"/>
        <v>224261</v>
      </c>
    </row>
    <row r="5692" spans="7:14" ht="11.25" customHeight="1" x14ac:dyDescent="0.3">
      <c r="G5692" s="459"/>
      <c r="H5692" s="459">
        <v>5685</v>
      </c>
      <c r="I5692" s="444">
        <f t="shared" ca="1" si="195"/>
        <v>-1.0250874644584568E+16</v>
      </c>
      <c r="J5692" s="444">
        <f t="array" ref="J5692">IFERROR(INDEX('Retirement Calculator'!K:K,MATCH('Lorri 401b'!N5692,'Retirement Calculator'!A:A,0),0),0)</f>
        <v>0</v>
      </c>
      <c r="K5692" s="444">
        <f t="shared" ca="1" si="193"/>
        <v>-42711977685769.031</v>
      </c>
      <c r="L5692" s="444">
        <f t="shared" ca="1" si="194"/>
        <v>-1.0293586622270338E+16</v>
      </c>
      <c r="M5692" s="460">
        <f t="shared" si="196"/>
        <v>0.05</v>
      </c>
      <c r="N5692" s="464">
        <f t="shared" si="197"/>
        <v>224292</v>
      </c>
    </row>
    <row r="5693" spans="7:14" ht="11.25" customHeight="1" x14ac:dyDescent="0.3">
      <c r="G5693" s="459"/>
      <c r="H5693" s="459">
        <v>5686</v>
      </c>
      <c r="I5693" s="444">
        <f t="shared" ca="1" si="195"/>
        <v>-1.0293586622270338E+16</v>
      </c>
      <c r="J5693" s="444">
        <f t="array" ref="J5693">IFERROR(INDEX('Retirement Calculator'!K:K,MATCH('Lorri 401b'!N5693,'Retirement Calculator'!A:A,0),0),0)</f>
        <v>0</v>
      </c>
      <c r="K5693" s="444">
        <f t="shared" ca="1" si="193"/>
        <v>-42889944259459.742</v>
      </c>
      <c r="L5693" s="444">
        <f t="shared" ca="1" si="194"/>
        <v>-1.0336476566529798E+16</v>
      </c>
      <c r="M5693" s="460">
        <f t="shared" si="196"/>
        <v>0.05</v>
      </c>
      <c r="N5693" s="464">
        <f t="shared" si="197"/>
        <v>224320</v>
      </c>
    </row>
    <row r="5694" spans="7:14" ht="11.25" customHeight="1" x14ac:dyDescent="0.3">
      <c r="G5694" s="459"/>
      <c r="H5694" s="459">
        <v>5687</v>
      </c>
      <c r="I5694" s="444">
        <f t="shared" ca="1" si="195"/>
        <v>-1.0336476566529798E+16</v>
      </c>
      <c r="J5694" s="444">
        <f t="array" ref="J5694">IFERROR(INDEX('Retirement Calculator'!K:K,MATCH('Lorri 401b'!N5694,'Retirement Calculator'!A:A,0),0),0)</f>
        <v>0</v>
      </c>
      <c r="K5694" s="444">
        <f t="shared" ca="1" si="193"/>
        <v>-43068652360540.828</v>
      </c>
      <c r="L5694" s="444">
        <f t="shared" ca="1" si="194"/>
        <v>-1.0379545218890338E+16</v>
      </c>
      <c r="M5694" s="460">
        <f t="shared" si="196"/>
        <v>0.05</v>
      </c>
      <c r="N5694" s="464">
        <f t="shared" si="197"/>
        <v>224351</v>
      </c>
    </row>
    <row r="5695" spans="7:14" ht="11.25" customHeight="1" x14ac:dyDescent="0.3">
      <c r="G5695" s="459"/>
      <c r="H5695" s="459">
        <v>5688</v>
      </c>
      <c r="I5695" s="444">
        <f t="shared" ca="1" si="195"/>
        <v>-1.0379545218890338E+16</v>
      </c>
      <c r="J5695" s="444">
        <f t="array" ref="J5695">IFERROR(INDEX('Retirement Calculator'!K:K,MATCH('Lorri 401b'!N5695,'Retirement Calculator'!A:A,0),0),0)</f>
        <v>0</v>
      </c>
      <c r="K5695" s="444">
        <f t="shared" ca="1" si="193"/>
        <v>-43248105078709.742</v>
      </c>
      <c r="L5695" s="444">
        <f t="shared" ca="1" si="194"/>
        <v>-1.0422793323969048E+16</v>
      </c>
      <c r="M5695" s="460">
        <f t="shared" si="196"/>
        <v>0.05</v>
      </c>
      <c r="N5695" s="464">
        <f t="shared" si="197"/>
        <v>224381</v>
      </c>
    </row>
    <row r="5696" spans="7:14" ht="11.25" customHeight="1" x14ac:dyDescent="0.3">
      <c r="G5696" s="459"/>
      <c r="H5696" s="459">
        <v>5689</v>
      </c>
      <c r="I5696" s="444">
        <f t="shared" ca="1" si="195"/>
        <v>-1.0422793323969048E+16</v>
      </c>
      <c r="J5696" s="444">
        <f t="array" ref="J5696">IFERROR(INDEX('Retirement Calculator'!K:K,MATCH('Lorri 401b'!N5696,'Retirement Calculator'!A:A,0),0),0)</f>
        <v>0</v>
      </c>
      <c r="K5696" s="444">
        <f t="shared" ca="1" si="193"/>
        <v>-43428305516537.703</v>
      </c>
      <c r="L5696" s="444">
        <f t="shared" ca="1" si="194"/>
        <v>-1.0466221629485586E+16</v>
      </c>
      <c r="M5696" s="460">
        <f t="shared" si="196"/>
        <v>0.05</v>
      </c>
      <c r="N5696" s="464">
        <f t="shared" si="197"/>
        <v>224412</v>
      </c>
    </row>
    <row r="5697" spans="7:14" ht="11.25" customHeight="1" x14ac:dyDescent="0.3">
      <c r="G5697" s="459"/>
      <c r="H5697" s="459">
        <v>5690</v>
      </c>
      <c r="I5697" s="444">
        <f t="shared" ca="1" si="195"/>
        <v>-1.0466221629485586E+16</v>
      </c>
      <c r="J5697" s="444">
        <f t="array" ref="J5697">IFERROR(INDEX('Retirement Calculator'!K:K,MATCH('Lorri 401b'!N5697,'Retirement Calculator'!A:A,0),0),0)</f>
        <v>0</v>
      </c>
      <c r="K5697" s="444">
        <f t="shared" ca="1" si="193"/>
        <v>-43609256789523.273</v>
      </c>
      <c r="L5697" s="444">
        <f t="shared" ca="1" si="194"/>
        <v>-1.050983088627511E+16</v>
      </c>
      <c r="M5697" s="460">
        <f t="shared" si="196"/>
        <v>0.05</v>
      </c>
      <c r="N5697" s="464">
        <f t="shared" si="197"/>
        <v>224442</v>
      </c>
    </row>
    <row r="5698" spans="7:14" ht="11.25" customHeight="1" x14ac:dyDescent="0.3">
      <c r="G5698" s="459"/>
      <c r="H5698" s="459">
        <v>5691</v>
      </c>
      <c r="I5698" s="444">
        <f t="shared" ca="1" si="195"/>
        <v>-1.050983088627511E+16</v>
      </c>
      <c r="J5698" s="444">
        <f t="array" ref="J5698">IFERROR(INDEX('Retirement Calculator'!K:K,MATCH('Lorri 401b'!N5698,'Retirement Calculator'!A:A,0),0),0)</f>
        <v>0</v>
      </c>
      <c r="K5698" s="444">
        <f t="shared" ca="1" si="193"/>
        <v>-43790962026146.289</v>
      </c>
      <c r="L5698" s="444">
        <f t="shared" ca="1" si="194"/>
        <v>-1.0553621848301256E+16</v>
      </c>
      <c r="M5698" s="460">
        <f t="shared" si="196"/>
        <v>0.05</v>
      </c>
      <c r="N5698" s="464">
        <f t="shared" si="197"/>
        <v>224473</v>
      </c>
    </row>
    <row r="5699" spans="7:14" ht="11.25" customHeight="1" x14ac:dyDescent="0.3">
      <c r="G5699" s="459"/>
      <c r="H5699" s="459">
        <v>5692</v>
      </c>
      <c r="I5699" s="444">
        <f t="shared" ca="1" si="195"/>
        <v>-1.0553621848301256E+16</v>
      </c>
      <c r="J5699" s="444">
        <f t="array" ref="J5699">IFERROR(INDEX('Retirement Calculator'!K:K,MATCH('Lorri 401b'!N5699,'Retirement Calculator'!A:A,0),0),0)</f>
        <v>0</v>
      </c>
      <c r="K5699" s="444">
        <f t="shared" ca="1" si="193"/>
        <v>-43973424367921.898</v>
      </c>
      <c r="L5699" s="444">
        <f t="shared" ca="1" si="194"/>
        <v>-1.0597595272669178E+16</v>
      </c>
      <c r="M5699" s="460">
        <f t="shared" si="196"/>
        <v>0.05</v>
      </c>
      <c r="N5699" s="464">
        <f t="shared" si="197"/>
        <v>224504</v>
      </c>
    </row>
    <row r="5700" spans="7:14" ht="11.25" customHeight="1" x14ac:dyDescent="0.3">
      <c r="G5700" s="459"/>
      <c r="H5700" s="459">
        <v>5693</v>
      </c>
      <c r="I5700" s="444">
        <f t="shared" ca="1" si="195"/>
        <v>-1.0597595272669178E+16</v>
      </c>
      <c r="J5700" s="444">
        <f t="array" ref="J5700">IFERROR(INDEX('Retirement Calculator'!K:K,MATCH('Lorri 401b'!N5700,'Retirement Calculator'!A:A,0),0),0)</f>
        <v>0</v>
      </c>
      <c r="K5700" s="444">
        <f t="shared" ca="1" si="193"/>
        <v>-44156646969454.906</v>
      </c>
      <c r="L5700" s="444">
        <f t="shared" ca="1" si="194"/>
        <v>-1.0641751919638632E+16</v>
      </c>
      <c r="M5700" s="460">
        <f t="shared" si="196"/>
        <v>0.05</v>
      </c>
      <c r="N5700" s="464">
        <f t="shared" si="197"/>
        <v>224534</v>
      </c>
    </row>
    <row r="5701" spans="7:14" ht="11.25" customHeight="1" x14ac:dyDescent="0.3">
      <c r="G5701" s="459"/>
      <c r="H5701" s="459">
        <v>5694</v>
      </c>
      <c r="I5701" s="444">
        <f t="shared" ca="1" si="195"/>
        <v>-1.0641751919638632E+16</v>
      </c>
      <c r="J5701" s="444">
        <f t="array" ref="J5701">IFERROR(INDEX('Retirement Calculator'!K:K,MATCH('Lorri 401b'!N5701,'Retirement Calculator'!A:A,0),0),0)</f>
        <v>0</v>
      </c>
      <c r="K5701" s="444">
        <f t="shared" ca="1" si="193"/>
        <v>-44340632998494.297</v>
      </c>
      <c r="L5701" s="444">
        <f t="shared" ca="1" si="194"/>
        <v>-1.0686092552637126E+16</v>
      </c>
      <c r="M5701" s="460">
        <f t="shared" si="196"/>
        <v>0.05</v>
      </c>
      <c r="N5701" s="464">
        <f t="shared" si="197"/>
        <v>224565</v>
      </c>
    </row>
    <row r="5702" spans="7:14" ht="11.25" customHeight="1" x14ac:dyDescent="0.3">
      <c r="G5702" s="459"/>
      <c r="H5702" s="459">
        <v>5695</v>
      </c>
      <c r="I5702" s="444">
        <f t="shared" ca="1" si="195"/>
        <v>-1.0686092552637126E+16</v>
      </c>
      <c r="J5702" s="444">
        <f t="array" ref="J5702">IFERROR(INDEX('Retirement Calculator'!K:K,MATCH('Lorri 401b'!N5702,'Retirement Calculator'!A:A,0),0),0)</f>
        <v>0</v>
      </c>
      <c r="K5702" s="444">
        <f t="shared" ca="1" si="193"/>
        <v>-44525385635988.023</v>
      </c>
      <c r="L5702" s="444">
        <f t="shared" ca="1" si="194"/>
        <v>-1.0730617938273114E+16</v>
      </c>
      <c r="M5702" s="460">
        <f t="shared" si="196"/>
        <v>0.05</v>
      </c>
      <c r="N5702" s="464">
        <f t="shared" si="197"/>
        <v>224595</v>
      </c>
    </row>
    <row r="5703" spans="7:14" ht="11.25" customHeight="1" x14ac:dyDescent="0.3">
      <c r="G5703" s="459"/>
      <c r="H5703" s="459">
        <v>5696</v>
      </c>
      <c r="I5703" s="444">
        <f t="shared" ca="1" si="195"/>
        <v>-1.0730617938273114E+16</v>
      </c>
      <c r="J5703" s="444">
        <f t="array" ref="J5703">IFERROR(INDEX('Retirement Calculator'!K:K,MATCH('Lorri 401b'!N5703,'Retirement Calculator'!A:A,0),0),0)</f>
        <v>0</v>
      </c>
      <c r="K5703" s="444">
        <f t="shared" ca="1" si="193"/>
        <v>-44710908076137.977</v>
      </c>
      <c r="L5703" s="444">
        <f t="shared" ca="1" si="194"/>
        <v>-1.0775328846349252E+16</v>
      </c>
      <c r="M5703" s="460">
        <f t="shared" si="196"/>
        <v>0.05</v>
      </c>
      <c r="N5703" s="464">
        <f t="shared" si="197"/>
        <v>224626</v>
      </c>
    </row>
    <row r="5704" spans="7:14" ht="11.25" customHeight="1" x14ac:dyDescent="0.3">
      <c r="G5704" s="459"/>
      <c r="H5704" s="459">
        <v>5697</v>
      </c>
      <c r="I5704" s="444">
        <f t="shared" ca="1" si="195"/>
        <v>-1.0775328846349252E+16</v>
      </c>
      <c r="J5704" s="444">
        <f t="array" ref="J5704">IFERROR(INDEX('Retirement Calculator'!K:K,MATCH('Lorri 401b'!N5704,'Retirement Calculator'!A:A,0),0),0)</f>
        <v>0</v>
      </c>
      <c r="K5704" s="444">
        <f t="shared" ca="1" si="193"/>
        <v>-44897203526455.219</v>
      </c>
      <c r="L5704" s="444">
        <f t="shared" ca="1" si="194"/>
        <v>-1.0820226049875708E+16</v>
      </c>
      <c r="M5704" s="460">
        <f t="shared" si="196"/>
        <v>0.05</v>
      </c>
      <c r="N5704" s="464">
        <f t="shared" si="197"/>
        <v>224657</v>
      </c>
    </row>
    <row r="5705" spans="7:14" ht="11.25" customHeight="1" x14ac:dyDescent="0.3">
      <c r="G5705" s="459"/>
      <c r="H5705" s="459">
        <v>5698</v>
      </c>
      <c r="I5705" s="444">
        <f t="shared" ca="1" si="195"/>
        <v>-1.0820226049875708E+16</v>
      </c>
      <c r="J5705" s="444">
        <f t="array" ref="J5705">IFERROR(INDEX('Retirement Calculator'!K:K,MATCH('Lorri 401b'!N5705,'Retirement Calculator'!A:A,0),0),0)</f>
        <v>0</v>
      </c>
      <c r="K5705" s="444">
        <f t="shared" ca="1" si="193"/>
        <v>-45084275207815.453</v>
      </c>
      <c r="L5705" s="444">
        <f t="shared" ca="1" si="194"/>
        <v>-1.0865310325083524E+16</v>
      </c>
      <c r="M5705" s="460">
        <f t="shared" si="196"/>
        <v>0.05</v>
      </c>
      <c r="N5705" s="464">
        <f t="shared" si="197"/>
        <v>224685</v>
      </c>
    </row>
    <row r="5706" spans="7:14" ht="11.25" customHeight="1" x14ac:dyDescent="0.3">
      <c r="G5706" s="459"/>
      <c r="H5706" s="459">
        <v>5699</v>
      </c>
      <c r="I5706" s="444">
        <f t="shared" ca="1" si="195"/>
        <v>-1.0865310325083524E+16</v>
      </c>
      <c r="J5706" s="444">
        <f t="array" ref="J5706">IFERROR(INDEX('Retirement Calculator'!K:K,MATCH('Lorri 401b'!N5706,'Retirement Calculator'!A:A,0),0),0)</f>
        <v>0</v>
      </c>
      <c r="K5706" s="444">
        <f t="shared" ca="1" si="193"/>
        <v>-45272126354514.68</v>
      </c>
      <c r="L5706" s="444">
        <f t="shared" ca="1" si="194"/>
        <v>-1.0910582451438038E+16</v>
      </c>
      <c r="M5706" s="460">
        <f t="shared" si="196"/>
        <v>0.05</v>
      </c>
      <c r="N5706" s="464">
        <f t="shared" si="197"/>
        <v>224716</v>
      </c>
    </row>
    <row r="5707" spans="7:14" ht="11.25" customHeight="1" x14ac:dyDescent="0.3">
      <c r="G5707" s="459"/>
      <c r="H5707" s="459">
        <v>5700</v>
      </c>
      <c r="I5707" s="444">
        <f t="shared" ca="1" si="195"/>
        <v>-1.0910582451438038E+16</v>
      </c>
      <c r="J5707" s="444">
        <f t="array" ref="J5707">IFERROR(INDEX('Retirement Calculator'!K:K,MATCH('Lorri 401b'!N5707,'Retirement Calculator'!A:A,0),0),0)</f>
        <v>0</v>
      </c>
      <c r="K5707" s="444">
        <f t="shared" ca="1" si="193"/>
        <v>-45460760214325.156</v>
      </c>
      <c r="L5707" s="444">
        <f t="shared" ca="1" si="194"/>
        <v>-1.0956043211652364E+16</v>
      </c>
      <c r="M5707" s="460">
        <f t="shared" si="196"/>
        <v>0.05</v>
      </c>
      <c r="N5707" s="464">
        <f t="shared" si="197"/>
        <v>224746</v>
      </c>
    </row>
    <row r="5708" spans="7:14" ht="11.25" customHeight="1" x14ac:dyDescent="0.3">
      <c r="G5708" s="459"/>
      <c r="H5708" s="459">
        <v>5701</v>
      </c>
      <c r="I5708" s="444">
        <f t="shared" ca="1" si="195"/>
        <v>-1.0956043211652364E+16</v>
      </c>
      <c r="J5708" s="444">
        <f t="array" ref="J5708">IFERROR(INDEX('Retirement Calculator'!K:K,MATCH('Lorri 401b'!N5708,'Retirement Calculator'!A:A,0),0),0)</f>
        <v>0</v>
      </c>
      <c r="K5708" s="444">
        <f t="shared" ca="1" si="193"/>
        <v>-45650180048551.516</v>
      </c>
      <c r="L5708" s="444">
        <f t="shared" ca="1" si="194"/>
        <v>-1.1001693391700916E+16</v>
      </c>
      <c r="M5708" s="460">
        <f t="shared" si="196"/>
        <v>0.05</v>
      </c>
      <c r="N5708" s="464">
        <f t="shared" si="197"/>
        <v>224777</v>
      </c>
    </row>
    <row r="5709" spans="7:14" ht="11.25" customHeight="1" x14ac:dyDescent="0.3">
      <c r="G5709" s="459"/>
      <c r="H5709" s="459">
        <v>5702</v>
      </c>
      <c r="I5709" s="444">
        <f t="shared" ca="1" si="195"/>
        <v>-1.1001693391700916E+16</v>
      </c>
      <c r="J5709" s="444">
        <f t="array" ref="J5709">IFERROR(INDEX('Retirement Calculator'!K:K,MATCH('Lorri 401b'!N5709,'Retirement Calculator'!A:A,0),0),0)</f>
        <v>0</v>
      </c>
      <c r="K5709" s="444">
        <f t="shared" ca="1" si="193"/>
        <v>-45840389132087.148</v>
      </c>
      <c r="L5709" s="444">
        <f t="shared" ca="1" si="194"/>
        <v>-1.1047533780833004E+16</v>
      </c>
      <c r="M5709" s="460">
        <f t="shared" si="196"/>
        <v>0.05</v>
      </c>
      <c r="N5709" s="464">
        <f t="shared" si="197"/>
        <v>224807</v>
      </c>
    </row>
    <row r="5710" spans="7:14" ht="11.25" customHeight="1" x14ac:dyDescent="0.3">
      <c r="G5710" s="459"/>
      <c r="H5710" s="459">
        <v>5703</v>
      </c>
      <c r="I5710" s="444">
        <f t="shared" ca="1" si="195"/>
        <v>-1.1047533780833004E+16</v>
      </c>
      <c r="J5710" s="444">
        <f t="array" ref="J5710">IFERROR(INDEX('Retirement Calculator'!K:K,MATCH('Lorri 401b'!N5710,'Retirement Calculator'!A:A,0),0),0)</f>
        <v>0</v>
      </c>
      <c r="K5710" s="444">
        <f t="shared" ca="1" si="193"/>
        <v>-46031390753470.852</v>
      </c>
      <c r="L5710" s="444">
        <f t="shared" ca="1" si="194"/>
        <v>-1.1093565171586474E+16</v>
      </c>
      <c r="M5710" s="460">
        <f t="shared" si="196"/>
        <v>0.05</v>
      </c>
      <c r="N5710" s="464">
        <f t="shared" si="197"/>
        <v>224838</v>
      </c>
    </row>
    <row r="5711" spans="7:14" ht="11.25" customHeight="1" x14ac:dyDescent="0.3">
      <c r="G5711" s="459"/>
      <c r="H5711" s="459">
        <v>5704</v>
      </c>
      <c r="I5711" s="444">
        <f t="shared" ca="1" si="195"/>
        <v>-1.1093565171586474E+16</v>
      </c>
      <c r="J5711" s="444">
        <f t="array" ref="J5711">IFERROR(INDEX('Retirement Calculator'!K:K,MATCH('Lorri 401b'!N5711,'Retirement Calculator'!A:A,0),0),0)</f>
        <v>0</v>
      </c>
      <c r="K5711" s="444">
        <f t="shared" ca="1" si="193"/>
        <v>-46223188214943.641</v>
      </c>
      <c r="L5711" s="444">
        <f t="shared" ca="1" si="194"/>
        <v>-1.1139788359801418E+16</v>
      </c>
      <c r="M5711" s="460">
        <f t="shared" si="196"/>
        <v>0.05</v>
      </c>
      <c r="N5711" s="464">
        <f t="shared" si="197"/>
        <v>224869</v>
      </c>
    </row>
    <row r="5712" spans="7:14" ht="11.25" customHeight="1" x14ac:dyDescent="0.3">
      <c r="G5712" s="459"/>
      <c r="H5712" s="459">
        <v>5705</v>
      </c>
      <c r="I5712" s="444">
        <f t="shared" ca="1" si="195"/>
        <v>-1.1139788359801418E+16</v>
      </c>
      <c r="J5712" s="444">
        <f t="array" ref="J5712">IFERROR(INDEX('Retirement Calculator'!K:K,MATCH('Lorri 401b'!N5712,'Retirement Calculator'!A:A,0),0),0)</f>
        <v>0</v>
      </c>
      <c r="K5712" s="444">
        <f t="shared" ca="1" si="193"/>
        <v>-46415784832505.906</v>
      </c>
      <c r="L5712" s="444">
        <f t="shared" ca="1" si="194"/>
        <v>-1.1186204144633924E+16</v>
      </c>
      <c r="M5712" s="460">
        <f t="shared" si="196"/>
        <v>0.05</v>
      </c>
      <c r="N5712" s="464">
        <f t="shared" si="197"/>
        <v>224899</v>
      </c>
    </row>
    <row r="5713" spans="7:14" ht="11.25" customHeight="1" x14ac:dyDescent="0.3">
      <c r="G5713" s="459"/>
      <c r="H5713" s="459">
        <v>5706</v>
      </c>
      <c r="I5713" s="444">
        <f t="shared" ca="1" si="195"/>
        <v>-1.1186204144633924E+16</v>
      </c>
      <c r="J5713" s="444">
        <f t="array" ref="J5713">IFERROR(INDEX('Retirement Calculator'!K:K,MATCH('Lorri 401b'!N5713,'Retirement Calculator'!A:A,0),0),0)</f>
        <v>0</v>
      </c>
      <c r="K5713" s="444">
        <f t="shared" ca="1" si="193"/>
        <v>-46609183935974.68</v>
      </c>
      <c r="L5713" s="444">
        <f t="shared" ca="1" si="194"/>
        <v>-1.1232813328569898E+16</v>
      </c>
      <c r="M5713" s="460">
        <f t="shared" si="196"/>
        <v>0.05</v>
      </c>
      <c r="N5713" s="464">
        <f t="shared" si="197"/>
        <v>224930</v>
      </c>
    </row>
    <row r="5714" spans="7:14" ht="11.25" customHeight="1" x14ac:dyDescent="0.3">
      <c r="G5714" s="459"/>
      <c r="H5714" s="459">
        <v>5707</v>
      </c>
      <c r="I5714" s="444">
        <f t="shared" ca="1" si="195"/>
        <v>-1.1232813328569898E+16</v>
      </c>
      <c r="J5714" s="444">
        <f t="array" ref="J5714">IFERROR(INDEX('Retirement Calculator'!K:K,MATCH('Lorri 401b'!N5714,'Retirement Calculator'!A:A,0),0),0)</f>
        <v>0</v>
      </c>
      <c r="K5714" s="444">
        <f t="shared" ca="1" si="193"/>
        <v>-46803388869041.242</v>
      </c>
      <c r="L5714" s="444">
        <f t="shared" ca="1" si="194"/>
        <v>-1.127961671743894E+16</v>
      </c>
      <c r="M5714" s="460">
        <f t="shared" si="196"/>
        <v>0.05</v>
      </c>
      <c r="N5714" s="464">
        <f t="shared" si="197"/>
        <v>224960</v>
      </c>
    </row>
    <row r="5715" spans="7:14" ht="11.25" customHeight="1" x14ac:dyDescent="0.3">
      <c r="G5715" s="459"/>
      <c r="H5715" s="459">
        <v>5708</v>
      </c>
      <c r="I5715" s="444">
        <f t="shared" ca="1" si="195"/>
        <v>-1.127961671743894E+16</v>
      </c>
      <c r="J5715" s="444">
        <f t="array" ref="J5715">IFERROR(INDEX('Retirement Calculator'!K:K,MATCH('Lorri 401b'!N5715,'Retirement Calculator'!A:A,0),0),0)</f>
        <v>0</v>
      </c>
      <c r="K5715" s="444">
        <f t="shared" ca="1" si="193"/>
        <v>-46998402989328.914</v>
      </c>
      <c r="L5715" s="444">
        <f t="shared" ca="1" si="194"/>
        <v>-1.1326615120428268E+16</v>
      </c>
      <c r="M5715" s="460">
        <f t="shared" si="196"/>
        <v>0.05</v>
      </c>
      <c r="N5715" s="464">
        <f t="shared" si="197"/>
        <v>224991</v>
      </c>
    </row>
    <row r="5716" spans="7:14" ht="11.25" customHeight="1" x14ac:dyDescent="0.3">
      <c r="G5716" s="459"/>
      <c r="H5716" s="459">
        <v>5709</v>
      </c>
      <c r="I5716" s="444">
        <f t="shared" ca="1" si="195"/>
        <v>-1.1326615120428268E+16</v>
      </c>
      <c r="J5716" s="444">
        <f t="array" ref="J5716">IFERROR(INDEX('Retirement Calculator'!K:K,MATCH('Lorri 401b'!N5716,'Retirement Calculator'!A:A,0),0),0)</f>
        <v>0</v>
      </c>
      <c r="K5716" s="444">
        <f t="shared" ca="1" si="193"/>
        <v>-47194229668451.117</v>
      </c>
      <c r="L5716" s="444">
        <f t="shared" ca="1" si="194"/>
        <v>-1.137380935009672E+16</v>
      </c>
      <c r="M5716" s="460">
        <f t="shared" si="196"/>
        <v>0.05</v>
      </c>
      <c r="N5716" s="464">
        <f t="shared" si="197"/>
        <v>225022</v>
      </c>
    </row>
    <row r="5717" spans="7:14" ht="11.25" customHeight="1" x14ac:dyDescent="0.3">
      <c r="G5717" s="459"/>
      <c r="H5717" s="459">
        <v>5710</v>
      </c>
      <c r="I5717" s="444">
        <f t="shared" ca="1" si="195"/>
        <v>-1.137380935009672E+16</v>
      </c>
      <c r="J5717" s="444">
        <f t="array" ref="J5717">IFERROR(INDEX('Retirement Calculator'!K:K,MATCH('Lorri 401b'!N5717,'Retirement Calculator'!A:A,0),0),0)</f>
        <v>0</v>
      </c>
      <c r="K5717" s="444">
        <f t="shared" ca="1" si="193"/>
        <v>-47390872292069.664</v>
      </c>
      <c r="L5717" s="444">
        <f t="shared" ca="1" si="194"/>
        <v>-1.142120022238879E+16</v>
      </c>
      <c r="M5717" s="460">
        <f t="shared" si="196"/>
        <v>0.05</v>
      </c>
      <c r="N5717" s="464">
        <f t="shared" si="197"/>
        <v>225051</v>
      </c>
    </row>
    <row r="5718" spans="7:14" ht="11.25" customHeight="1" x14ac:dyDescent="0.3">
      <c r="G5718" s="459"/>
      <c r="H5718" s="459">
        <v>5711</v>
      </c>
      <c r="I5718" s="444">
        <f t="shared" ca="1" si="195"/>
        <v>-1.142120022238879E+16</v>
      </c>
      <c r="J5718" s="444">
        <f t="array" ref="J5718">IFERROR(INDEX('Retirement Calculator'!K:K,MATCH('Lorri 401b'!N5718,'Retirement Calculator'!A:A,0),0),0)</f>
        <v>0</v>
      </c>
      <c r="K5718" s="444">
        <f t="shared" ca="1" si="193"/>
        <v>-47588334259953.289</v>
      </c>
      <c r="L5718" s="444">
        <f t="shared" ca="1" si="194"/>
        <v>-1.1468788556648744E+16</v>
      </c>
      <c r="M5718" s="460">
        <f t="shared" si="196"/>
        <v>0.05</v>
      </c>
      <c r="N5718" s="464">
        <f t="shared" si="197"/>
        <v>225082</v>
      </c>
    </row>
    <row r="5719" spans="7:14" ht="11.25" customHeight="1" x14ac:dyDescent="0.3">
      <c r="G5719" s="459"/>
      <c r="H5719" s="459">
        <v>5712</v>
      </c>
      <c r="I5719" s="444">
        <f t="shared" ca="1" si="195"/>
        <v>-1.1468788556648744E+16</v>
      </c>
      <c r="J5719" s="444">
        <f t="array" ref="J5719">IFERROR(INDEX('Retirement Calculator'!K:K,MATCH('Lorri 401b'!N5719,'Retirement Calculator'!A:A,0),0),0)</f>
        <v>0</v>
      </c>
      <c r="K5719" s="444">
        <f t="shared" ca="1" si="193"/>
        <v>-47786618986036.43</v>
      </c>
      <c r="L5719" s="444">
        <f t="shared" ca="1" si="194"/>
        <v>-1.151657517563478E+16</v>
      </c>
      <c r="M5719" s="460">
        <f t="shared" si="196"/>
        <v>0.05</v>
      </c>
      <c r="N5719" s="464">
        <f t="shared" si="197"/>
        <v>225112</v>
      </c>
    </row>
    <row r="5720" spans="7:14" ht="11.25" customHeight="1" x14ac:dyDescent="0.3">
      <c r="G5720" s="459"/>
      <c r="H5720" s="459">
        <v>5713</v>
      </c>
      <c r="I5720" s="444">
        <f t="shared" ca="1" si="195"/>
        <v>-1.151657517563478E+16</v>
      </c>
      <c r="J5720" s="444">
        <f t="array" ref="J5720">IFERROR(INDEX('Retirement Calculator'!K:K,MATCH('Lorri 401b'!N5720,'Retirement Calculator'!A:A,0),0),0)</f>
        <v>0</v>
      </c>
      <c r="K5720" s="444">
        <f t="shared" ca="1" si="193"/>
        <v>-47985729898478.25</v>
      </c>
      <c r="L5720" s="444">
        <f t="shared" ca="1" si="194"/>
        <v>-1.1564560905533258E+16</v>
      </c>
      <c r="M5720" s="460">
        <f t="shared" si="196"/>
        <v>0.05</v>
      </c>
      <c r="N5720" s="464">
        <f t="shared" si="197"/>
        <v>225143</v>
      </c>
    </row>
    <row r="5721" spans="7:14" ht="11.25" customHeight="1" x14ac:dyDescent="0.3">
      <c r="G5721" s="459"/>
      <c r="H5721" s="459">
        <v>5714</v>
      </c>
      <c r="I5721" s="444">
        <f t="shared" ca="1" si="195"/>
        <v>-1.1564560905533258E+16</v>
      </c>
      <c r="J5721" s="444">
        <f t="array" ref="J5721">IFERROR(INDEX('Retirement Calculator'!K:K,MATCH('Lorri 401b'!N5721,'Retirement Calculator'!A:A,0),0),0)</f>
        <v>0</v>
      </c>
      <c r="K5721" s="444">
        <f t="shared" ca="1" si="193"/>
        <v>-48185670439721.906</v>
      </c>
      <c r="L5721" s="444">
        <f t="shared" ca="1" si="194"/>
        <v>-1.161274657597298E+16</v>
      </c>
      <c r="M5721" s="460">
        <f t="shared" si="196"/>
        <v>0.05</v>
      </c>
      <c r="N5721" s="464">
        <f t="shared" si="197"/>
        <v>225173</v>
      </c>
    </row>
    <row r="5722" spans="7:14" ht="11.25" customHeight="1" x14ac:dyDescent="0.3">
      <c r="G5722" s="459"/>
      <c r="H5722" s="459">
        <v>5715</v>
      </c>
      <c r="I5722" s="444">
        <f t="shared" ca="1" si="195"/>
        <v>-1.161274657597298E+16</v>
      </c>
      <c r="J5722" s="444">
        <f t="array" ref="J5722">IFERROR(INDEX('Retirement Calculator'!K:K,MATCH('Lorri 401b'!N5722,'Retirement Calculator'!A:A,0),0),0)</f>
        <v>0</v>
      </c>
      <c r="K5722" s="444">
        <f t="shared" ca="1" si="193"/>
        <v>-48386444066554.086</v>
      </c>
      <c r="L5722" s="444">
        <f t="shared" ca="1" si="194"/>
        <v>-1.1661133020039534E+16</v>
      </c>
      <c r="M5722" s="460">
        <f t="shared" si="196"/>
        <v>0.05</v>
      </c>
      <c r="N5722" s="464">
        <f t="shared" si="197"/>
        <v>225204</v>
      </c>
    </row>
    <row r="5723" spans="7:14" ht="11.25" customHeight="1" x14ac:dyDescent="0.3">
      <c r="G5723" s="459"/>
      <c r="H5723" s="459">
        <v>5716</v>
      </c>
      <c r="I5723" s="444">
        <f t="shared" ca="1" si="195"/>
        <v>-1.1661133020039534E+16</v>
      </c>
      <c r="J5723" s="444">
        <f t="array" ref="J5723">IFERROR(INDEX('Retirement Calculator'!K:K,MATCH('Lorri 401b'!N5723,'Retirement Calculator'!A:A,0),0),0)</f>
        <v>0</v>
      </c>
      <c r="K5723" s="444">
        <f t="shared" ca="1" si="193"/>
        <v>-48588054250164.727</v>
      </c>
      <c r="L5723" s="444">
        <f t="shared" ca="1" si="194"/>
        <v>-1.1709721074289698E+16</v>
      </c>
      <c r="M5723" s="460">
        <f t="shared" si="196"/>
        <v>0.05</v>
      </c>
      <c r="N5723" s="464">
        <f t="shared" si="197"/>
        <v>225235</v>
      </c>
    </row>
    <row r="5724" spans="7:14" ht="11.25" customHeight="1" x14ac:dyDescent="0.3">
      <c r="G5724" s="459"/>
      <c r="H5724" s="459">
        <v>5717</v>
      </c>
      <c r="I5724" s="444">
        <f t="shared" ca="1" si="195"/>
        <v>-1.1709721074289698E+16</v>
      </c>
      <c r="J5724" s="444">
        <f t="array" ref="J5724">IFERROR(INDEX('Retirement Calculator'!K:K,MATCH('Lorri 401b'!N5724,'Retirement Calculator'!A:A,0),0),0)</f>
        <v>0</v>
      </c>
      <c r="K5724" s="444">
        <f t="shared" ca="1" si="193"/>
        <v>-48790504476207.078</v>
      </c>
      <c r="L5724" s="444">
        <f t="shared" ca="1" si="194"/>
        <v>-1.1758511578765906E+16</v>
      </c>
      <c r="M5724" s="460">
        <f t="shared" si="196"/>
        <v>0.05</v>
      </c>
      <c r="N5724" s="464">
        <f t="shared" si="197"/>
        <v>225265</v>
      </c>
    </row>
    <row r="5725" spans="7:14" ht="11.25" customHeight="1" x14ac:dyDescent="0.3">
      <c r="G5725" s="459"/>
      <c r="H5725" s="459">
        <v>5718</v>
      </c>
      <c r="I5725" s="444">
        <f t="shared" ca="1" si="195"/>
        <v>-1.1758511578765906E+16</v>
      </c>
      <c r="J5725" s="444">
        <f t="array" ref="J5725">IFERROR(INDEX('Retirement Calculator'!K:K,MATCH('Lorri 401b'!N5725,'Retirement Calculator'!A:A,0),0),0)</f>
        <v>0</v>
      </c>
      <c r="K5725" s="444">
        <f t="shared" ca="1" si="193"/>
        <v>-48993798244857.938</v>
      </c>
      <c r="L5725" s="444">
        <f t="shared" ca="1" si="194"/>
        <v>-1.1807505377010764E+16</v>
      </c>
      <c r="M5725" s="460">
        <f t="shared" si="196"/>
        <v>0.05</v>
      </c>
      <c r="N5725" s="464">
        <f t="shared" si="197"/>
        <v>225296</v>
      </c>
    </row>
    <row r="5726" spans="7:14" ht="11.25" customHeight="1" x14ac:dyDescent="0.3">
      <c r="G5726" s="459"/>
      <c r="H5726" s="459">
        <v>5719</v>
      </c>
      <c r="I5726" s="444">
        <f t="shared" ca="1" si="195"/>
        <v>-1.1807505377010764E+16</v>
      </c>
      <c r="J5726" s="444">
        <f t="array" ref="J5726">IFERROR(INDEX('Retirement Calculator'!K:K,MATCH('Lorri 401b'!N5726,'Retirement Calculator'!A:A,0),0),0)</f>
        <v>0</v>
      </c>
      <c r="K5726" s="444">
        <f t="shared" ca="1" si="193"/>
        <v>-49197939070878.18</v>
      </c>
      <c r="L5726" s="444">
        <f t="shared" ca="1" si="194"/>
        <v>-1.1856703316081642E+16</v>
      </c>
      <c r="M5726" s="460">
        <f t="shared" si="196"/>
        <v>0.05</v>
      </c>
      <c r="N5726" s="464">
        <f t="shared" si="197"/>
        <v>225326</v>
      </c>
    </row>
    <row r="5727" spans="7:14" ht="11.25" customHeight="1" x14ac:dyDescent="0.3">
      <c r="G5727" s="459"/>
      <c r="H5727" s="459">
        <v>5720</v>
      </c>
      <c r="I5727" s="444">
        <f t="shared" ca="1" si="195"/>
        <v>-1.1856703316081642E+16</v>
      </c>
      <c r="J5727" s="444">
        <f t="array" ref="J5727">IFERROR(INDEX('Retirement Calculator'!K:K,MATCH('Lorri 401b'!N5727,'Retirement Calculator'!A:A,0),0),0)</f>
        <v>0</v>
      </c>
      <c r="K5727" s="444">
        <f t="shared" ca="1" si="193"/>
        <v>-49402930483673.508</v>
      </c>
      <c r="L5727" s="444">
        <f t="shared" ca="1" si="194"/>
        <v>-1.1906106246565316E+16</v>
      </c>
      <c r="M5727" s="460">
        <f t="shared" si="196"/>
        <v>0.05</v>
      </c>
      <c r="N5727" s="464">
        <f t="shared" si="197"/>
        <v>225357</v>
      </c>
    </row>
    <row r="5728" spans="7:14" ht="11.25" customHeight="1" x14ac:dyDescent="0.3">
      <c r="G5728" s="459"/>
      <c r="H5728" s="459">
        <v>5721</v>
      </c>
      <c r="I5728" s="444">
        <f t="shared" ca="1" si="195"/>
        <v>-1.1906106246565316E+16</v>
      </c>
      <c r="J5728" s="444">
        <f t="array" ref="J5728">IFERROR(INDEX('Retirement Calculator'!K:K,MATCH('Lorri 401b'!N5728,'Retirement Calculator'!A:A,0),0),0)</f>
        <v>0</v>
      </c>
      <c r="K5728" s="444">
        <f t="shared" ca="1" si="193"/>
        <v>-49608776027355.484</v>
      </c>
      <c r="L5728" s="444">
        <f t="shared" ca="1" si="194"/>
        <v>-1.1955715022592672E+16</v>
      </c>
      <c r="M5728" s="460">
        <f t="shared" si="196"/>
        <v>0.05</v>
      </c>
      <c r="N5728" s="464">
        <f t="shared" si="197"/>
        <v>225388</v>
      </c>
    </row>
    <row r="5729" spans="7:14" ht="11.25" customHeight="1" x14ac:dyDescent="0.3">
      <c r="G5729" s="459"/>
      <c r="H5729" s="459">
        <v>5722</v>
      </c>
      <c r="I5729" s="444">
        <f t="shared" ca="1" si="195"/>
        <v>-1.1955715022592672E+16</v>
      </c>
      <c r="J5729" s="444">
        <f t="array" ref="J5729">IFERROR(INDEX('Retirement Calculator'!K:K,MATCH('Lorri 401b'!N5729,'Retirement Calculator'!A:A,0),0),0)</f>
        <v>0</v>
      </c>
      <c r="K5729" s="444">
        <f t="shared" ca="1" si="193"/>
        <v>-49815479260802.797</v>
      </c>
      <c r="L5729" s="444">
        <f t="shared" ca="1" si="194"/>
        <v>-1.2005530501853474E+16</v>
      </c>
      <c r="M5729" s="460">
        <f t="shared" si="196"/>
        <v>0.05</v>
      </c>
      <c r="N5729" s="464">
        <f t="shared" si="197"/>
        <v>225416</v>
      </c>
    </row>
    <row r="5730" spans="7:14" ht="11.25" customHeight="1" x14ac:dyDescent="0.3">
      <c r="G5730" s="459"/>
      <c r="H5730" s="459">
        <v>5723</v>
      </c>
      <c r="I5730" s="444">
        <f t="shared" ca="1" si="195"/>
        <v>-1.2005530501853474E+16</v>
      </c>
      <c r="J5730" s="444">
        <f t="array" ref="J5730">IFERROR(INDEX('Retirement Calculator'!K:K,MATCH('Lorri 401b'!N5730,'Retirement Calculator'!A:A,0),0),0)</f>
        <v>0</v>
      </c>
      <c r="K5730" s="444">
        <f t="shared" ca="1" si="193"/>
        <v>-50023043757722.805</v>
      </c>
      <c r="L5730" s="444">
        <f t="shared" ca="1" si="194"/>
        <v>-1.2055553545611196E+16</v>
      </c>
      <c r="M5730" s="460">
        <f t="shared" si="196"/>
        <v>0.05</v>
      </c>
      <c r="N5730" s="464">
        <f t="shared" si="197"/>
        <v>225447</v>
      </c>
    </row>
    <row r="5731" spans="7:14" ht="11.25" customHeight="1" x14ac:dyDescent="0.3">
      <c r="G5731" s="459"/>
      <c r="H5731" s="459">
        <v>5724</v>
      </c>
      <c r="I5731" s="444">
        <f t="shared" ca="1" si="195"/>
        <v>-1.2055553545611196E+16</v>
      </c>
      <c r="J5731" s="444">
        <f t="array" ref="J5731">IFERROR(INDEX('Retirement Calculator'!K:K,MATCH('Lorri 401b'!N5731,'Retirement Calculator'!A:A,0),0),0)</f>
        <v>0</v>
      </c>
      <c r="K5731" s="444">
        <f t="shared" ca="1" si="193"/>
        <v>-50231473106713.313</v>
      </c>
      <c r="L5731" s="444">
        <f t="shared" ca="1" si="194"/>
        <v>-1.210578501871791E+16</v>
      </c>
      <c r="M5731" s="460">
        <f t="shared" si="196"/>
        <v>0.05</v>
      </c>
      <c r="N5731" s="464">
        <f t="shared" si="197"/>
        <v>225477</v>
      </c>
    </row>
    <row r="5732" spans="7:14" ht="11.25" customHeight="1" x14ac:dyDescent="0.3">
      <c r="G5732" s="459"/>
      <c r="H5732" s="459">
        <v>5725</v>
      </c>
      <c r="I5732" s="444">
        <f t="shared" ca="1" si="195"/>
        <v>-1.210578501871791E+16</v>
      </c>
      <c r="J5732" s="444">
        <f t="array" ref="J5732">IFERROR(INDEX('Retirement Calculator'!K:K,MATCH('Lorri 401b'!N5732,'Retirement Calculator'!A:A,0),0),0)</f>
        <v>0</v>
      </c>
      <c r="K5732" s="444">
        <f t="shared" ca="1" si="193"/>
        <v>-50440770911324.625</v>
      </c>
      <c r="L5732" s="444">
        <f t="shared" ca="1" si="194"/>
        <v>-1.2156225789629234E+16</v>
      </c>
      <c r="M5732" s="460">
        <f t="shared" si="196"/>
        <v>0.05</v>
      </c>
      <c r="N5732" s="464">
        <f t="shared" si="197"/>
        <v>225508</v>
      </c>
    </row>
    <row r="5733" spans="7:14" ht="11.25" customHeight="1" x14ac:dyDescent="0.3">
      <c r="G5733" s="459"/>
      <c r="H5733" s="459">
        <v>5726</v>
      </c>
      <c r="I5733" s="444">
        <f t="shared" ca="1" si="195"/>
        <v>-1.2156225789629234E+16</v>
      </c>
      <c r="J5733" s="444">
        <f t="array" ref="J5733">IFERROR(INDEX('Retirement Calculator'!K:K,MATCH('Lorri 401b'!N5733,'Retirement Calculator'!A:A,0),0),0)</f>
        <v>0</v>
      </c>
      <c r="K5733" s="444">
        <f t="shared" ca="1" si="193"/>
        <v>-50650940790121.805</v>
      </c>
      <c r="L5733" s="444">
        <f t="shared" ca="1" si="194"/>
        <v>-1.2206876730419356E+16</v>
      </c>
      <c r="M5733" s="460">
        <f t="shared" si="196"/>
        <v>0.05</v>
      </c>
      <c r="N5733" s="464">
        <f t="shared" si="197"/>
        <v>225538</v>
      </c>
    </row>
    <row r="5734" spans="7:14" ht="11.25" customHeight="1" x14ac:dyDescent="0.3">
      <c r="G5734" s="459"/>
      <c r="H5734" s="459">
        <v>5727</v>
      </c>
      <c r="I5734" s="444">
        <f t="shared" ca="1" si="195"/>
        <v>-1.2206876730419356E+16</v>
      </c>
      <c r="J5734" s="444">
        <f t="array" ref="J5734">IFERROR(INDEX('Retirement Calculator'!K:K,MATCH('Lorri 401b'!N5734,'Retirement Calculator'!A:A,0),0),0)</f>
        <v>0</v>
      </c>
      <c r="K5734" s="444">
        <f t="shared" ca="1" si="193"/>
        <v>-50861986376747.313</v>
      </c>
      <c r="L5734" s="444">
        <f t="shared" ca="1" si="194"/>
        <v>-1.2257738716796104E+16</v>
      </c>
      <c r="M5734" s="460">
        <f t="shared" si="196"/>
        <v>0.05</v>
      </c>
      <c r="N5734" s="464">
        <f t="shared" si="197"/>
        <v>225569</v>
      </c>
    </row>
    <row r="5735" spans="7:14" ht="11.25" customHeight="1" x14ac:dyDescent="0.3">
      <c r="G5735" s="459"/>
      <c r="H5735" s="459">
        <v>5728</v>
      </c>
      <c r="I5735" s="444">
        <f t="shared" ca="1" si="195"/>
        <v>-1.2257738716796104E+16</v>
      </c>
      <c r="J5735" s="444">
        <f t="array" ref="J5735">IFERROR(INDEX('Retirement Calculator'!K:K,MATCH('Lorri 401b'!N5735,'Retirement Calculator'!A:A,0),0),0)</f>
        <v>0</v>
      </c>
      <c r="K5735" s="444">
        <f t="shared" ca="1" si="193"/>
        <v>-51073911319983.766</v>
      </c>
      <c r="L5735" s="444">
        <f t="shared" ca="1" si="194"/>
        <v>-1.2308812628116088E+16</v>
      </c>
      <c r="M5735" s="460">
        <f t="shared" si="196"/>
        <v>0.05</v>
      </c>
      <c r="N5735" s="464">
        <f t="shared" si="197"/>
        <v>225600</v>
      </c>
    </row>
    <row r="5736" spans="7:14" ht="11.25" customHeight="1" x14ac:dyDescent="0.3">
      <c r="G5736" s="459"/>
      <c r="H5736" s="459">
        <v>5729</v>
      </c>
      <c r="I5736" s="444">
        <f t="shared" ca="1" si="195"/>
        <v>-1.2308812628116088E+16</v>
      </c>
      <c r="J5736" s="444">
        <f t="array" ref="J5736">IFERROR(INDEX('Retirement Calculator'!K:K,MATCH('Lorri 401b'!N5736,'Retirement Calculator'!A:A,0),0),0)</f>
        <v>0</v>
      </c>
      <c r="K5736" s="444">
        <f t="shared" ca="1" si="193"/>
        <v>-51286719283817.031</v>
      </c>
      <c r="L5736" s="444">
        <f t="shared" ca="1" si="194"/>
        <v>-1.2360099347399906E+16</v>
      </c>
      <c r="M5736" s="460">
        <f t="shared" si="196"/>
        <v>0.05</v>
      </c>
      <c r="N5736" s="464">
        <f t="shared" si="197"/>
        <v>225630</v>
      </c>
    </row>
    <row r="5737" spans="7:14" ht="11.25" customHeight="1" x14ac:dyDescent="0.3">
      <c r="G5737" s="459"/>
      <c r="H5737" s="459">
        <v>5730</v>
      </c>
      <c r="I5737" s="444">
        <f t="shared" ca="1" si="195"/>
        <v>-1.2360099347399906E+16</v>
      </c>
      <c r="J5737" s="444">
        <f t="array" ref="J5737">IFERROR(INDEX('Retirement Calculator'!K:K,MATCH('Lorri 401b'!N5737,'Retirement Calculator'!A:A,0),0),0)</f>
        <v>0</v>
      </c>
      <c r="K5737" s="444">
        <f t="shared" ca="1" si="193"/>
        <v>-51500413947499.609</v>
      </c>
      <c r="L5737" s="444">
        <f t="shared" ca="1" si="194"/>
        <v>-1.2411599761347406E+16</v>
      </c>
      <c r="M5737" s="460">
        <f t="shared" si="196"/>
        <v>0.05</v>
      </c>
      <c r="N5737" s="464">
        <f t="shared" si="197"/>
        <v>225661</v>
      </c>
    </row>
    <row r="5738" spans="7:14" ht="11.25" customHeight="1" x14ac:dyDescent="0.3">
      <c r="G5738" s="459"/>
      <c r="H5738" s="459">
        <v>5731</v>
      </c>
      <c r="I5738" s="444">
        <f t="shared" ca="1" si="195"/>
        <v>-1.2411599761347406E+16</v>
      </c>
      <c r="J5738" s="444">
        <f t="array" ref="J5738">IFERROR(INDEX('Retirement Calculator'!K:K,MATCH('Lorri 401b'!N5738,'Retirement Calculator'!A:A,0),0),0)</f>
        <v>0</v>
      </c>
      <c r="K5738" s="444">
        <f t="shared" ca="1" si="193"/>
        <v>-51714999005614.188</v>
      </c>
      <c r="L5738" s="444">
        <f t="shared" ca="1" si="194"/>
        <v>-1.246331476035302E+16</v>
      </c>
      <c r="M5738" s="460">
        <f t="shared" si="196"/>
        <v>0.05</v>
      </c>
      <c r="N5738" s="464">
        <f t="shared" si="197"/>
        <v>225691</v>
      </c>
    </row>
    <row r="5739" spans="7:14" ht="11.25" customHeight="1" x14ac:dyDescent="0.3">
      <c r="G5739" s="459"/>
      <c r="H5739" s="459">
        <v>5732</v>
      </c>
      <c r="I5739" s="444">
        <f t="shared" ca="1" si="195"/>
        <v>-1.246331476035302E+16</v>
      </c>
      <c r="J5739" s="444">
        <f t="array" ref="J5739">IFERROR(INDEX('Retirement Calculator'!K:K,MATCH('Lorri 401b'!N5739,'Retirement Calculator'!A:A,0),0),0)</f>
        <v>0</v>
      </c>
      <c r="K5739" s="444">
        <f t="shared" ca="1" si="193"/>
        <v>-51930478168137.586</v>
      </c>
      <c r="L5739" s="444">
        <f t="shared" ca="1" si="194"/>
        <v>-1.2515245238521158E+16</v>
      </c>
      <c r="M5739" s="460">
        <f t="shared" si="196"/>
        <v>0.05</v>
      </c>
      <c r="N5739" s="464">
        <f t="shared" si="197"/>
        <v>225722</v>
      </c>
    </row>
    <row r="5740" spans="7:14" ht="11.25" customHeight="1" x14ac:dyDescent="0.3">
      <c r="G5740" s="459"/>
      <c r="H5740" s="459">
        <v>5733</v>
      </c>
      <c r="I5740" s="444">
        <f t="shared" ca="1" si="195"/>
        <v>-1.2515245238521158E+16</v>
      </c>
      <c r="J5740" s="444">
        <f t="array" ref="J5740">IFERROR(INDEX('Retirement Calculator'!K:K,MATCH('Lorri 401b'!N5740,'Retirement Calculator'!A:A,0),0),0)</f>
        <v>0</v>
      </c>
      <c r="K5740" s="444">
        <f t="shared" ca="1" si="193"/>
        <v>-52146855160504.828</v>
      </c>
      <c r="L5740" s="444">
        <f t="shared" ca="1" si="194"/>
        <v>-1.2567392093681662E+16</v>
      </c>
      <c r="M5740" s="460">
        <f t="shared" si="196"/>
        <v>0.05</v>
      </c>
      <c r="N5740" s="464">
        <f t="shared" si="197"/>
        <v>225753</v>
      </c>
    </row>
    <row r="5741" spans="7:14" ht="11.25" customHeight="1" x14ac:dyDescent="0.3">
      <c r="G5741" s="459"/>
      <c r="H5741" s="459">
        <v>5734</v>
      </c>
      <c r="I5741" s="444">
        <f t="shared" ca="1" si="195"/>
        <v>-1.2567392093681662E+16</v>
      </c>
      <c r="J5741" s="444">
        <f t="array" ref="J5741">IFERROR(INDEX('Retirement Calculator'!K:K,MATCH('Lorri 401b'!N5741,'Retirement Calculator'!A:A,0),0),0)</f>
        <v>0</v>
      </c>
      <c r="K5741" s="444">
        <f t="shared" ca="1" si="193"/>
        <v>-52364133723673.594</v>
      </c>
      <c r="L5741" s="444">
        <f t="shared" ca="1" si="194"/>
        <v>-1.2619756227405336E+16</v>
      </c>
      <c r="M5741" s="460">
        <f t="shared" si="196"/>
        <v>0.05</v>
      </c>
      <c r="N5741" s="464">
        <f t="shared" si="197"/>
        <v>225781</v>
      </c>
    </row>
    <row r="5742" spans="7:14" ht="11.25" customHeight="1" x14ac:dyDescent="0.3">
      <c r="G5742" s="459"/>
      <c r="H5742" s="459">
        <v>5735</v>
      </c>
      <c r="I5742" s="444">
        <f t="shared" ca="1" si="195"/>
        <v>-1.2619756227405336E+16</v>
      </c>
      <c r="J5742" s="444">
        <f t="array" ref="J5742">IFERROR(INDEX('Retirement Calculator'!K:K,MATCH('Lorri 401b'!N5742,'Retirement Calculator'!A:A,0),0),0)</f>
        <v>0</v>
      </c>
      <c r="K5742" s="444">
        <f t="shared" ca="1" si="193"/>
        <v>-52582317614188.898</v>
      </c>
      <c r="L5742" s="444">
        <f t="shared" ca="1" si="194"/>
        <v>-1.2672338545019524E+16</v>
      </c>
      <c r="M5742" s="460">
        <f t="shared" si="196"/>
        <v>0.05</v>
      </c>
      <c r="N5742" s="464">
        <f t="shared" si="197"/>
        <v>225812</v>
      </c>
    </row>
    <row r="5743" spans="7:14" ht="11.25" customHeight="1" x14ac:dyDescent="0.3">
      <c r="G5743" s="459"/>
      <c r="H5743" s="459">
        <v>5736</v>
      </c>
      <c r="I5743" s="444">
        <f t="shared" ca="1" si="195"/>
        <v>-1.2672338545019524E+16</v>
      </c>
      <c r="J5743" s="444">
        <f t="array" ref="J5743">IFERROR(INDEX('Retirement Calculator'!K:K,MATCH('Lorri 401b'!N5743,'Retirement Calculator'!A:A,0),0),0)</f>
        <v>0</v>
      </c>
      <c r="K5743" s="444">
        <f t="shared" ca="1" si="193"/>
        <v>-52801410604248.016</v>
      </c>
      <c r="L5743" s="444">
        <f t="shared" ca="1" si="194"/>
        <v>-1.2725139955623772E+16</v>
      </c>
      <c r="M5743" s="460">
        <f t="shared" si="196"/>
        <v>0.05</v>
      </c>
      <c r="N5743" s="464">
        <f t="shared" si="197"/>
        <v>225842</v>
      </c>
    </row>
    <row r="5744" spans="7:14" ht="11.25" customHeight="1" x14ac:dyDescent="0.3">
      <c r="G5744" s="459"/>
      <c r="H5744" s="459">
        <v>5737</v>
      </c>
      <c r="I5744" s="444">
        <f t="shared" ca="1" si="195"/>
        <v>-1.2725139955623772E+16</v>
      </c>
      <c r="J5744" s="444">
        <f t="array" ref="J5744">IFERROR(INDEX('Retirement Calculator'!K:K,MATCH('Lorri 401b'!N5744,'Retirement Calculator'!A:A,0),0),0)</f>
        <v>0</v>
      </c>
      <c r="K5744" s="444">
        <f t="shared" ca="1" si="193"/>
        <v>-53021416481765.719</v>
      </c>
      <c r="L5744" s="444">
        <f t="shared" ca="1" si="194"/>
        <v>-1.2778161372105538E+16</v>
      </c>
      <c r="M5744" s="460">
        <f t="shared" si="196"/>
        <v>0.05</v>
      </c>
      <c r="N5744" s="464">
        <f t="shared" si="197"/>
        <v>225873</v>
      </c>
    </row>
    <row r="5745" spans="7:14" ht="11.25" customHeight="1" x14ac:dyDescent="0.3">
      <c r="G5745" s="459"/>
      <c r="H5745" s="459">
        <v>5738</v>
      </c>
      <c r="I5745" s="444">
        <f t="shared" ca="1" si="195"/>
        <v>-1.2778161372105538E+16</v>
      </c>
      <c r="J5745" s="444">
        <f t="array" ref="J5745">IFERROR(INDEX('Retirement Calculator'!K:K,MATCH('Lorri 401b'!N5745,'Retirement Calculator'!A:A,0),0),0)</f>
        <v>0</v>
      </c>
      <c r="K5745" s="444">
        <f t="shared" ca="1" si="193"/>
        <v>-53242339050439.742</v>
      </c>
      <c r="L5745" s="444">
        <f t="shared" ca="1" si="194"/>
        <v>-1.2831403711155978E+16</v>
      </c>
      <c r="M5745" s="460">
        <f t="shared" si="196"/>
        <v>0.05</v>
      </c>
      <c r="N5745" s="464">
        <f t="shared" si="197"/>
        <v>225903</v>
      </c>
    </row>
    <row r="5746" spans="7:14" ht="11.25" customHeight="1" x14ac:dyDescent="0.3">
      <c r="G5746" s="459"/>
      <c r="H5746" s="459">
        <v>5739</v>
      </c>
      <c r="I5746" s="444">
        <f t="shared" ca="1" si="195"/>
        <v>-1.2831403711155978E+16</v>
      </c>
      <c r="J5746" s="444">
        <f t="array" ref="J5746">IFERROR(INDEX('Retirement Calculator'!K:K,MATCH('Lorri 401b'!N5746,'Retirement Calculator'!A:A,0),0),0)</f>
        <v>0</v>
      </c>
      <c r="K5746" s="444">
        <f t="shared" ca="1" si="193"/>
        <v>-53464182129816.578</v>
      </c>
      <c r="L5746" s="444">
        <f t="shared" ca="1" si="194"/>
        <v>-1.2884867893285794E+16</v>
      </c>
      <c r="M5746" s="460">
        <f t="shared" si="196"/>
        <v>0.05</v>
      </c>
      <c r="N5746" s="464">
        <f t="shared" si="197"/>
        <v>225934</v>
      </c>
    </row>
    <row r="5747" spans="7:14" ht="11.25" customHeight="1" x14ac:dyDescent="0.3">
      <c r="G5747" s="459"/>
      <c r="H5747" s="459">
        <v>5740</v>
      </c>
      <c r="I5747" s="444">
        <f t="shared" ca="1" si="195"/>
        <v>-1.2884867893285794E+16</v>
      </c>
      <c r="J5747" s="444">
        <f t="array" ref="J5747">IFERROR(INDEX('Retirement Calculator'!K:K,MATCH('Lorri 401b'!N5747,'Retirement Calculator'!A:A,0),0),0)</f>
        <v>0</v>
      </c>
      <c r="K5747" s="444">
        <f t="shared" ca="1" si="193"/>
        <v>-53686949555357.477</v>
      </c>
      <c r="L5747" s="444">
        <f t="shared" ca="1" si="194"/>
        <v>-1.2938554842841152E+16</v>
      </c>
      <c r="M5747" s="460">
        <f t="shared" si="196"/>
        <v>0.05</v>
      </c>
      <c r="N5747" s="464">
        <f t="shared" si="197"/>
        <v>225965</v>
      </c>
    </row>
    <row r="5748" spans="7:14" ht="11.25" customHeight="1" x14ac:dyDescent="0.3">
      <c r="G5748" s="459"/>
      <c r="H5748" s="459">
        <v>5741</v>
      </c>
      <c r="I5748" s="444">
        <f t="shared" ca="1" si="195"/>
        <v>-1.2938554842841152E+16</v>
      </c>
      <c r="J5748" s="444">
        <f t="array" ref="J5748">IFERROR(INDEX('Retirement Calculator'!K:K,MATCH('Lorri 401b'!N5748,'Retirement Calculator'!A:A,0),0),0)</f>
        <v>0</v>
      </c>
      <c r="K5748" s="444">
        <f t="shared" ca="1" si="193"/>
        <v>-53910645178504.797</v>
      </c>
      <c r="L5748" s="444">
        <f t="shared" ca="1" si="194"/>
        <v>-1.2992465488019656E+16</v>
      </c>
      <c r="M5748" s="460">
        <f t="shared" si="196"/>
        <v>0.05</v>
      </c>
      <c r="N5748" s="464">
        <f t="shared" si="197"/>
        <v>225995</v>
      </c>
    </row>
    <row r="5749" spans="7:14" ht="11.25" customHeight="1" x14ac:dyDescent="0.3">
      <c r="G5749" s="459"/>
      <c r="H5749" s="459">
        <v>5742</v>
      </c>
      <c r="I5749" s="444">
        <f t="shared" ca="1" si="195"/>
        <v>-1.2992465488019656E+16</v>
      </c>
      <c r="J5749" s="444">
        <f t="array" ref="J5749">IFERROR(INDEX('Retirement Calculator'!K:K,MATCH('Lorri 401b'!N5749,'Retirement Calculator'!A:A,0),0),0)</f>
        <v>0</v>
      </c>
      <c r="K5749" s="444">
        <f t="shared" ca="1" si="193"/>
        <v>-54135272866748.563</v>
      </c>
      <c r="L5749" s="444">
        <f t="shared" ca="1" si="194"/>
        <v>-1.3046600760886404E+16</v>
      </c>
      <c r="M5749" s="460">
        <f t="shared" si="196"/>
        <v>0.05</v>
      </c>
      <c r="N5749" s="464">
        <f t="shared" si="197"/>
        <v>226026</v>
      </c>
    </row>
    <row r="5750" spans="7:14" ht="11.25" customHeight="1" x14ac:dyDescent="0.3">
      <c r="G5750" s="459"/>
      <c r="H5750" s="459">
        <v>5743</v>
      </c>
      <c r="I5750" s="444">
        <f t="shared" ca="1" si="195"/>
        <v>-1.3046600760886404E+16</v>
      </c>
      <c r="J5750" s="444">
        <f t="array" ref="J5750">IFERROR(INDEX('Retirement Calculator'!K:K,MATCH('Lorri 401b'!N5750,'Retirement Calculator'!A:A,0),0),0)</f>
        <v>0</v>
      </c>
      <c r="K5750" s="444">
        <f t="shared" ca="1" si="193"/>
        <v>-54360836503693.352</v>
      </c>
      <c r="L5750" s="444">
        <f t="shared" ca="1" si="194"/>
        <v>-1.3100961597390098E+16</v>
      </c>
      <c r="M5750" s="460">
        <f t="shared" si="196"/>
        <v>0.05</v>
      </c>
      <c r="N5750" s="464">
        <f t="shared" si="197"/>
        <v>226056</v>
      </c>
    </row>
    <row r="5751" spans="7:14" ht="11.25" customHeight="1" x14ac:dyDescent="0.3">
      <c r="G5751" s="459"/>
      <c r="H5751" s="459">
        <v>5744</v>
      </c>
      <c r="I5751" s="444">
        <f t="shared" ca="1" si="195"/>
        <v>-1.3100961597390098E+16</v>
      </c>
      <c r="J5751" s="444">
        <f t="array" ref="J5751">IFERROR(INDEX('Retirement Calculator'!K:K,MATCH('Lorri 401b'!N5751,'Retirement Calculator'!A:A,0),0),0)</f>
        <v>0</v>
      </c>
      <c r="K5751" s="444">
        <f t="shared" ca="1" si="193"/>
        <v>-54587339989125.406</v>
      </c>
      <c r="L5751" s="444">
        <f t="shared" ca="1" si="194"/>
        <v>-1.3155548937379224E+16</v>
      </c>
      <c r="M5751" s="460">
        <f t="shared" si="196"/>
        <v>0.05</v>
      </c>
      <c r="N5751" s="464">
        <f t="shared" si="197"/>
        <v>226087</v>
      </c>
    </row>
    <row r="5752" spans="7:14" ht="11.25" customHeight="1" x14ac:dyDescent="0.3">
      <c r="G5752" s="459"/>
      <c r="H5752" s="459">
        <v>5745</v>
      </c>
      <c r="I5752" s="444">
        <f t="shared" ca="1" si="195"/>
        <v>-1.3155548937379224E+16</v>
      </c>
      <c r="J5752" s="444">
        <f t="array" ref="J5752">IFERROR(INDEX('Retirement Calculator'!K:K,MATCH('Lorri 401b'!N5752,'Retirement Calculator'!A:A,0),0),0)</f>
        <v>0</v>
      </c>
      <c r="K5752" s="444">
        <f t="shared" ca="1" si="193"/>
        <v>-54814787239080.102</v>
      </c>
      <c r="L5752" s="444">
        <f t="shared" ca="1" si="194"/>
        <v>-1.3210363724618304E+16</v>
      </c>
      <c r="M5752" s="460">
        <f t="shared" si="196"/>
        <v>0.05</v>
      </c>
      <c r="N5752" s="464">
        <f t="shared" si="197"/>
        <v>226118</v>
      </c>
    </row>
    <row r="5753" spans="7:14" ht="11.25" customHeight="1" x14ac:dyDescent="0.3">
      <c r="G5753" s="459"/>
      <c r="H5753" s="459">
        <v>5746</v>
      </c>
      <c r="I5753" s="444">
        <f t="shared" ca="1" si="195"/>
        <v>-1.3210363724618304E+16</v>
      </c>
      <c r="J5753" s="444">
        <f t="array" ref="J5753">IFERROR(INDEX('Retirement Calculator'!K:K,MATCH('Lorri 401b'!N5753,'Retirement Calculator'!A:A,0),0),0)</f>
        <v>0</v>
      </c>
      <c r="K5753" s="444">
        <f t="shared" ca="1" si="193"/>
        <v>-55043182185909.602</v>
      </c>
      <c r="L5753" s="444">
        <f t="shared" ca="1" si="194"/>
        <v>-1.3265406906804214E+16</v>
      </c>
      <c r="M5753" s="460">
        <f t="shared" si="196"/>
        <v>0.05</v>
      </c>
      <c r="N5753" s="464">
        <f t="shared" si="197"/>
        <v>226146</v>
      </c>
    </row>
    <row r="5754" spans="7:14" ht="11.25" customHeight="1" x14ac:dyDescent="0.3">
      <c r="G5754" s="459"/>
      <c r="H5754" s="459">
        <v>5747</v>
      </c>
      <c r="I5754" s="444">
        <f t="shared" ca="1" si="195"/>
        <v>-1.3265406906804214E+16</v>
      </c>
      <c r="J5754" s="444">
        <f t="array" ref="J5754">IFERROR(INDEX('Retirement Calculator'!K:K,MATCH('Lorri 401b'!N5754,'Retirement Calculator'!A:A,0),0),0)</f>
        <v>0</v>
      </c>
      <c r="K5754" s="444">
        <f t="shared" ca="1" si="193"/>
        <v>-55272528778350.891</v>
      </c>
      <c r="L5754" s="444">
        <f t="shared" ca="1" si="194"/>
        <v>-1.3320679435582564E+16</v>
      </c>
      <c r="M5754" s="460">
        <f t="shared" si="196"/>
        <v>0.05</v>
      </c>
      <c r="N5754" s="464">
        <f t="shared" si="197"/>
        <v>226177</v>
      </c>
    </row>
    <row r="5755" spans="7:14" ht="11.25" customHeight="1" x14ac:dyDescent="0.3">
      <c r="G5755" s="459"/>
      <c r="H5755" s="459">
        <v>5748</v>
      </c>
      <c r="I5755" s="444">
        <f t="shared" ca="1" si="195"/>
        <v>-1.3320679435582564E+16</v>
      </c>
      <c r="J5755" s="444">
        <f t="array" ref="J5755">IFERROR(INDEX('Retirement Calculator'!K:K,MATCH('Lorri 401b'!N5755,'Retirement Calculator'!A:A,0),0),0)</f>
        <v>0</v>
      </c>
      <c r="K5755" s="444">
        <f t="shared" ca="1" si="193"/>
        <v>-55502830981594.016</v>
      </c>
      <c r="L5755" s="444">
        <f t="shared" ca="1" si="194"/>
        <v>-1.3376182266564158E+16</v>
      </c>
      <c r="M5755" s="460">
        <f t="shared" si="196"/>
        <v>0.05</v>
      </c>
      <c r="N5755" s="464">
        <f t="shared" si="197"/>
        <v>226207</v>
      </c>
    </row>
    <row r="5756" spans="7:14" ht="11.25" customHeight="1" x14ac:dyDescent="0.3">
      <c r="G5756" s="459"/>
      <c r="H5756" s="459">
        <v>5749</v>
      </c>
      <c r="I5756" s="444">
        <f t="shared" ca="1" si="195"/>
        <v>-1.3376182266564158E+16</v>
      </c>
      <c r="J5756" s="444">
        <f t="array" ref="J5756">IFERROR(INDEX('Retirement Calculator'!K:K,MATCH('Lorri 401b'!N5756,'Retirement Calculator'!A:A,0),0),0)</f>
        <v>0</v>
      </c>
      <c r="K5756" s="444">
        <f t="shared" ca="1" si="193"/>
        <v>-55734092777350.656</v>
      </c>
      <c r="L5756" s="444">
        <f t="shared" ca="1" si="194"/>
        <v>-1.3431916359341508E+16</v>
      </c>
      <c r="M5756" s="460">
        <f t="shared" si="196"/>
        <v>0.05</v>
      </c>
      <c r="N5756" s="464">
        <f t="shared" si="197"/>
        <v>226238</v>
      </c>
    </row>
    <row r="5757" spans="7:14" ht="11.25" customHeight="1" x14ac:dyDescent="0.3">
      <c r="G5757" s="459"/>
      <c r="H5757" s="459">
        <v>5750</v>
      </c>
      <c r="I5757" s="444">
        <f t="shared" ca="1" si="195"/>
        <v>-1.3431916359341508E+16</v>
      </c>
      <c r="J5757" s="444">
        <f t="array" ref="J5757">IFERROR(INDEX('Retirement Calculator'!K:K,MATCH('Lorri 401b'!N5757,'Retirement Calculator'!A:A,0),0),0)</f>
        <v>0</v>
      </c>
      <c r="K5757" s="444">
        <f t="shared" ca="1" si="193"/>
        <v>-55966318163922.953</v>
      </c>
      <c r="L5757" s="444">
        <f t="shared" ca="1" si="194"/>
        <v>-1.348788267750543E+16</v>
      </c>
      <c r="M5757" s="460">
        <f t="shared" si="196"/>
        <v>0.05</v>
      </c>
      <c r="N5757" s="464">
        <f t="shared" si="197"/>
        <v>226268</v>
      </c>
    </row>
    <row r="5758" spans="7:14" ht="11.25" customHeight="1" x14ac:dyDescent="0.3">
      <c r="G5758" s="459"/>
      <c r="H5758" s="459">
        <v>5751</v>
      </c>
      <c r="I5758" s="444">
        <f t="shared" ca="1" si="195"/>
        <v>-1.348788267750543E+16</v>
      </c>
      <c r="J5758" s="444">
        <f t="array" ref="J5758">IFERROR(INDEX('Retirement Calculator'!K:K,MATCH('Lorri 401b'!N5758,'Retirement Calculator'!A:A,0),0),0)</f>
        <v>0</v>
      </c>
      <c r="K5758" s="444">
        <f t="shared" ca="1" si="193"/>
        <v>-56199511156272.625</v>
      </c>
      <c r="L5758" s="444">
        <f t="shared" ca="1" si="194"/>
        <v>-1.3544082188661702E+16</v>
      </c>
      <c r="M5758" s="460">
        <f t="shared" si="196"/>
        <v>0.05</v>
      </c>
      <c r="N5758" s="464">
        <f t="shared" si="197"/>
        <v>226299</v>
      </c>
    </row>
    <row r="5759" spans="7:14" ht="11.25" customHeight="1" x14ac:dyDescent="0.3">
      <c r="G5759" s="459"/>
      <c r="H5759" s="459">
        <v>5752</v>
      </c>
      <c r="I5759" s="444">
        <f t="shared" ca="1" si="195"/>
        <v>-1.3544082188661702E+16</v>
      </c>
      <c r="J5759" s="444">
        <f t="array" ref="J5759">IFERROR(INDEX('Retirement Calculator'!K:K,MATCH('Lorri 401b'!N5759,'Retirement Calculator'!A:A,0),0),0)</f>
        <v>0</v>
      </c>
      <c r="K5759" s="444">
        <f t="shared" ca="1" si="193"/>
        <v>-56433675786090.422</v>
      </c>
      <c r="L5759" s="444">
        <f t="shared" ca="1" si="194"/>
        <v>-1.3600515864447792E+16</v>
      </c>
      <c r="M5759" s="460">
        <f t="shared" si="196"/>
        <v>0.05</v>
      </c>
      <c r="N5759" s="464">
        <f t="shared" si="197"/>
        <v>226330</v>
      </c>
    </row>
    <row r="5760" spans="7:14" ht="11.25" customHeight="1" x14ac:dyDescent="0.3">
      <c r="G5760" s="459"/>
      <c r="H5760" s="459">
        <v>5753</v>
      </c>
      <c r="I5760" s="444">
        <f t="shared" ca="1" si="195"/>
        <v>-1.3600515864447792E+16</v>
      </c>
      <c r="J5760" s="444">
        <f t="array" ref="J5760">IFERROR(INDEX('Retirement Calculator'!K:K,MATCH('Lorri 401b'!N5760,'Retirement Calculator'!A:A,0),0),0)</f>
        <v>0</v>
      </c>
      <c r="K5760" s="444">
        <f t="shared" ca="1" si="193"/>
        <v>-56668816101865.797</v>
      </c>
      <c r="L5760" s="444">
        <f t="shared" ca="1" si="194"/>
        <v>-1.3657184680549658E+16</v>
      </c>
      <c r="M5760" s="460">
        <f t="shared" si="196"/>
        <v>0.05</v>
      </c>
      <c r="N5760" s="464">
        <f t="shared" si="197"/>
        <v>226360</v>
      </c>
    </row>
    <row r="5761" spans="7:14" ht="11.25" customHeight="1" x14ac:dyDescent="0.3">
      <c r="G5761" s="459"/>
      <c r="H5761" s="459">
        <v>5754</v>
      </c>
      <c r="I5761" s="444">
        <f t="shared" ca="1" si="195"/>
        <v>-1.3657184680549658E+16</v>
      </c>
      <c r="J5761" s="444">
        <f t="array" ref="J5761">IFERROR(INDEX('Retirement Calculator'!K:K,MATCH('Lorri 401b'!N5761,'Retirement Calculator'!A:A,0),0),0)</f>
        <v>0</v>
      </c>
      <c r="K5761" s="444">
        <f t="shared" ca="1" si="193"/>
        <v>-56904936168956.906</v>
      </c>
      <c r="L5761" s="444">
        <f t="shared" ca="1" si="194"/>
        <v>-1.3714089616718614E+16</v>
      </c>
      <c r="M5761" s="460">
        <f t="shared" si="196"/>
        <v>0.05</v>
      </c>
      <c r="N5761" s="464">
        <f t="shared" si="197"/>
        <v>226391</v>
      </c>
    </row>
    <row r="5762" spans="7:14" ht="11.25" customHeight="1" x14ac:dyDescent="0.3">
      <c r="G5762" s="459"/>
      <c r="H5762" s="459">
        <v>5755</v>
      </c>
      <c r="I5762" s="444">
        <f t="shared" ca="1" si="195"/>
        <v>-1.3714089616718614E+16</v>
      </c>
      <c r="J5762" s="444">
        <f t="array" ref="J5762">IFERROR(INDEX('Retirement Calculator'!K:K,MATCH('Lorri 401b'!N5762,'Retirement Calculator'!A:A,0),0),0)</f>
        <v>0</v>
      </c>
      <c r="K5762" s="444">
        <f t="shared" ca="1" si="193"/>
        <v>-57142040069660.891</v>
      </c>
      <c r="L5762" s="444">
        <f t="shared" ca="1" si="194"/>
        <v>-1.3771231656788274E+16</v>
      </c>
      <c r="M5762" s="460">
        <f t="shared" si="196"/>
        <v>0.05</v>
      </c>
      <c r="N5762" s="464">
        <f t="shared" si="197"/>
        <v>226421</v>
      </c>
    </row>
    <row r="5763" spans="7:14" ht="11.25" customHeight="1" x14ac:dyDescent="0.3">
      <c r="G5763" s="459"/>
      <c r="H5763" s="459">
        <v>5756</v>
      </c>
      <c r="I5763" s="444">
        <f t="shared" ca="1" si="195"/>
        <v>-1.3771231656788274E+16</v>
      </c>
      <c r="J5763" s="444">
        <f t="array" ref="J5763">IFERROR(INDEX('Retirement Calculator'!K:K,MATCH('Lorri 401b'!N5763,'Retirement Calculator'!A:A,0),0),0)</f>
        <v>0</v>
      </c>
      <c r="K5763" s="444">
        <f t="shared" ca="1" si="193"/>
        <v>-57380131903284.477</v>
      </c>
      <c r="L5763" s="444">
        <f t="shared" ca="1" si="194"/>
        <v>-1.3828611788691558E+16</v>
      </c>
      <c r="M5763" s="460">
        <f t="shared" si="196"/>
        <v>0.05</v>
      </c>
      <c r="N5763" s="464">
        <f t="shared" si="197"/>
        <v>226452</v>
      </c>
    </row>
    <row r="5764" spans="7:14" ht="11.25" customHeight="1" x14ac:dyDescent="0.3">
      <c r="G5764" s="459"/>
      <c r="H5764" s="459">
        <v>5757</v>
      </c>
      <c r="I5764" s="444">
        <f t="shared" ca="1" si="195"/>
        <v>-1.3828611788691558E+16</v>
      </c>
      <c r="J5764" s="444">
        <f t="array" ref="J5764">IFERROR(INDEX('Retirement Calculator'!K:K,MATCH('Lorri 401b'!N5764,'Retirement Calculator'!A:A,0),0),0)</f>
        <v>0</v>
      </c>
      <c r="K5764" s="444">
        <f t="shared" ca="1" si="193"/>
        <v>-57619215786214.82</v>
      </c>
      <c r="L5764" s="444">
        <f t="shared" ca="1" si="194"/>
        <v>-1.3886231004477772E+16</v>
      </c>
      <c r="M5764" s="460">
        <f t="shared" si="196"/>
        <v>0.05</v>
      </c>
      <c r="N5764" s="464">
        <f t="shared" si="197"/>
        <v>226483</v>
      </c>
    </row>
    <row r="5765" spans="7:14" ht="11.25" customHeight="1" x14ac:dyDescent="0.3">
      <c r="G5765" s="459"/>
      <c r="H5765" s="459">
        <v>5758</v>
      </c>
      <c r="I5765" s="444">
        <f t="shared" ca="1" si="195"/>
        <v>-1.3886231004477772E+16</v>
      </c>
      <c r="J5765" s="444">
        <f t="array" ref="J5765">IFERROR(INDEX('Retirement Calculator'!K:K,MATCH('Lorri 401b'!N5765,'Retirement Calculator'!A:A,0),0),0)</f>
        <v>0</v>
      </c>
      <c r="K5765" s="444">
        <f t="shared" ca="1" si="193"/>
        <v>-57859295851990.719</v>
      </c>
      <c r="L5765" s="444">
        <f t="shared" ca="1" si="194"/>
        <v>-1.3944090300329762E+16</v>
      </c>
      <c r="M5765" s="460">
        <f t="shared" si="196"/>
        <v>0.05</v>
      </c>
      <c r="N5765" s="464">
        <f t="shared" si="197"/>
        <v>226512</v>
      </c>
    </row>
    <row r="5766" spans="7:14" ht="11.25" customHeight="1" x14ac:dyDescent="0.3">
      <c r="G5766" s="459"/>
      <c r="H5766" s="459">
        <v>5759</v>
      </c>
      <c r="I5766" s="444">
        <f t="shared" ca="1" si="195"/>
        <v>-1.3944090300329762E+16</v>
      </c>
      <c r="J5766" s="444">
        <f t="array" ref="J5766">IFERROR(INDEX('Retirement Calculator'!K:K,MATCH('Lorri 401b'!N5766,'Retirement Calculator'!A:A,0),0),0)</f>
        <v>0</v>
      </c>
      <c r="K5766" s="444">
        <f t="shared" ca="1" si="193"/>
        <v>-58100376251374.008</v>
      </c>
      <c r="L5766" s="444">
        <f t="shared" ca="1" si="194"/>
        <v>-1.4002190676581136E+16</v>
      </c>
      <c r="M5766" s="460">
        <f t="shared" si="196"/>
        <v>0.05</v>
      </c>
      <c r="N5766" s="464">
        <f t="shared" si="197"/>
        <v>226543</v>
      </c>
    </row>
    <row r="5767" spans="7:14" ht="11.25" customHeight="1" x14ac:dyDescent="0.3">
      <c r="G5767" s="459"/>
      <c r="H5767" s="459">
        <v>5760</v>
      </c>
      <c r="I5767" s="444">
        <f t="shared" ca="1" si="195"/>
        <v>-1.4002190676581136E+16</v>
      </c>
      <c r="J5767" s="444">
        <f t="array" ref="J5767">IFERROR(INDEX('Retirement Calculator'!K:K,MATCH('Lorri 401b'!N5767,'Retirement Calculator'!A:A,0),0),0)</f>
        <v>0</v>
      </c>
      <c r="K5767" s="444">
        <f t="shared" ca="1" si="193"/>
        <v>-58342461152421.398</v>
      </c>
      <c r="L5767" s="444">
        <f t="shared" ca="1" si="194"/>
        <v>-1.4060533137733558E+16</v>
      </c>
      <c r="M5767" s="460">
        <f t="shared" si="196"/>
        <v>0.05</v>
      </c>
      <c r="N5767" s="464">
        <f t="shared" si="197"/>
        <v>226573</v>
      </c>
    </row>
    <row r="5768" spans="7:14" ht="11.25" customHeight="1" x14ac:dyDescent="0.3">
      <c r="G5768" s="459"/>
      <c r="H5768" s="459">
        <v>5761</v>
      </c>
      <c r="I5768" s="444">
        <f t="shared" ca="1" si="195"/>
        <v>-1.4060533137733558E+16</v>
      </c>
      <c r="J5768" s="444">
        <f t="array" ref="J5768">IFERROR(INDEX('Retirement Calculator'!K:K,MATCH('Lorri 401b'!N5768,'Retirement Calculator'!A:A,0),0),0)</f>
        <v>0</v>
      </c>
      <c r="K5768" s="444">
        <f t="shared" ca="1" si="193"/>
        <v>-58585554740556.5</v>
      </c>
      <c r="L5768" s="444">
        <f t="shared" ca="1" si="194"/>
        <v>-1.4119118692474114E+16</v>
      </c>
      <c r="M5768" s="460">
        <f t="shared" si="196"/>
        <v>0.05</v>
      </c>
      <c r="N5768" s="464">
        <f t="shared" si="197"/>
        <v>226604</v>
      </c>
    </row>
    <row r="5769" spans="7:14" ht="11.25" customHeight="1" x14ac:dyDescent="0.3">
      <c r="G5769" s="459"/>
      <c r="H5769" s="459">
        <v>5762</v>
      </c>
      <c r="I5769" s="444">
        <f t="shared" ca="1" si="195"/>
        <v>-1.4119118692474114E+16</v>
      </c>
      <c r="J5769" s="444">
        <f t="array" ref="J5769">IFERROR(INDEX('Retirement Calculator'!K:K,MATCH('Lorri 401b'!N5769,'Retirement Calculator'!A:A,0),0),0)</f>
        <v>0</v>
      </c>
      <c r="K5769" s="444">
        <f t="shared" ca="1" si="193"/>
        <v>-58829661218642.141</v>
      </c>
      <c r="L5769" s="444">
        <f t="shared" ca="1" si="194"/>
        <v>-1.4177948353692756E+16</v>
      </c>
      <c r="M5769" s="460">
        <f t="shared" si="196"/>
        <v>0.05</v>
      </c>
      <c r="N5769" s="464">
        <f t="shared" si="197"/>
        <v>226634</v>
      </c>
    </row>
    <row r="5770" spans="7:14" ht="11.25" customHeight="1" x14ac:dyDescent="0.3">
      <c r="G5770" s="459"/>
      <c r="H5770" s="459">
        <v>5763</v>
      </c>
      <c r="I5770" s="444">
        <f t="shared" ca="1" si="195"/>
        <v>-1.4177948353692756E+16</v>
      </c>
      <c r="J5770" s="444">
        <f t="array" ref="J5770">IFERROR(INDEX('Retirement Calculator'!K:K,MATCH('Lorri 401b'!N5770,'Retirement Calculator'!A:A,0),0),0)</f>
        <v>0</v>
      </c>
      <c r="K5770" s="444">
        <f t="shared" ca="1" si="193"/>
        <v>-59074784807053.141</v>
      </c>
      <c r="L5770" s="444">
        <f t="shared" ca="1" si="194"/>
        <v>-1.423702313849981E+16</v>
      </c>
      <c r="M5770" s="460">
        <f t="shared" si="196"/>
        <v>0.05</v>
      </c>
      <c r="N5770" s="464">
        <f t="shared" si="197"/>
        <v>226665</v>
      </c>
    </row>
    <row r="5771" spans="7:14" ht="11.25" customHeight="1" x14ac:dyDescent="0.3">
      <c r="G5771" s="459"/>
      <c r="H5771" s="459">
        <v>5764</v>
      </c>
      <c r="I5771" s="444">
        <f t="shared" ca="1" si="195"/>
        <v>-1.423702313849981E+16</v>
      </c>
      <c r="J5771" s="444">
        <f t="array" ref="J5771">IFERROR(INDEX('Retirement Calculator'!K:K,MATCH('Lorri 401b'!N5771,'Retirement Calculator'!A:A,0),0),0)</f>
        <v>0</v>
      </c>
      <c r="K5771" s="444">
        <f t="shared" ca="1" si="193"/>
        <v>-59320929743749.219</v>
      </c>
      <c r="L5771" s="444">
        <f t="shared" ca="1" si="194"/>
        <v>-1.429634406824356E+16</v>
      </c>
      <c r="M5771" s="460">
        <f t="shared" si="196"/>
        <v>0.05</v>
      </c>
      <c r="N5771" s="464">
        <f t="shared" si="197"/>
        <v>226696</v>
      </c>
    </row>
    <row r="5772" spans="7:14" ht="11.25" customHeight="1" x14ac:dyDescent="0.3">
      <c r="G5772" s="459"/>
      <c r="H5772" s="459">
        <v>5765</v>
      </c>
      <c r="I5772" s="444">
        <f t="shared" ca="1" si="195"/>
        <v>-1.429634406824356E+16</v>
      </c>
      <c r="J5772" s="444">
        <f t="array" ref="J5772">IFERROR(INDEX('Retirement Calculator'!K:K,MATCH('Lorri 401b'!N5772,'Retirement Calculator'!A:A,0),0),0)</f>
        <v>0</v>
      </c>
      <c r="K5772" s="444">
        <f t="shared" ca="1" si="193"/>
        <v>-59568100284348.156</v>
      </c>
      <c r="L5772" s="444">
        <f t="shared" ca="1" si="194"/>
        <v>-1.4355912168527908E+16</v>
      </c>
      <c r="M5772" s="460">
        <f t="shared" si="196"/>
        <v>0.05</v>
      </c>
      <c r="N5772" s="464">
        <f t="shared" si="197"/>
        <v>226726</v>
      </c>
    </row>
    <row r="5773" spans="7:14" ht="11.25" customHeight="1" x14ac:dyDescent="0.3">
      <c r="G5773" s="459"/>
      <c r="H5773" s="459">
        <v>5766</v>
      </c>
      <c r="I5773" s="444">
        <f t="shared" ca="1" si="195"/>
        <v>-1.4355912168527908E+16</v>
      </c>
      <c r="J5773" s="444">
        <f t="array" ref="J5773">IFERROR(INDEX('Retirement Calculator'!K:K,MATCH('Lorri 401b'!N5773,'Retirement Calculator'!A:A,0),0),0)</f>
        <v>0</v>
      </c>
      <c r="K5773" s="444">
        <f t="shared" ca="1" si="193"/>
        <v>-59816300702199.625</v>
      </c>
      <c r="L5773" s="444">
        <f t="shared" ca="1" si="194"/>
        <v>-1.4415728469230108E+16</v>
      </c>
      <c r="M5773" s="460">
        <f t="shared" si="196"/>
        <v>0.05</v>
      </c>
      <c r="N5773" s="464">
        <f t="shared" si="197"/>
        <v>226757</v>
      </c>
    </row>
    <row r="5774" spans="7:14" ht="11.25" customHeight="1" x14ac:dyDescent="0.3">
      <c r="G5774" s="459"/>
      <c r="H5774" s="459">
        <v>5767</v>
      </c>
      <c r="I5774" s="444">
        <f t="shared" ca="1" si="195"/>
        <v>-1.4415728469230108E+16</v>
      </c>
      <c r="J5774" s="444">
        <f t="array" ref="J5774">IFERROR(INDEX('Retirement Calculator'!K:K,MATCH('Lorri 401b'!N5774,'Retirement Calculator'!A:A,0),0),0)</f>
        <v>0</v>
      </c>
      <c r="K5774" s="444">
        <f t="shared" ca="1" si="193"/>
        <v>-60065535288458.773</v>
      </c>
      <c r="L5774" s="444">
        <f t="shared" ca="1" si="194"/>
        <v>-1.4475794004518566E+16</v>
      </c>
      <c r="M5774" s="460">
        <f t="shared" si="196"/>
        <v>0.05</v>
      </c>
      <c r="N5774" s="464">
        <f t="shared" si="197"/>
        <v>226787</v>
      </c>
    </row>
    <row r="5775" spans="7:14" ht="11.25" customHeight="1" x14ac:dyDescent="0.3">
      <c r="G5775" s="459"/>
      <c r="H5775" s="459">
        <v>5768</v>
      </c>
      <c r="I5775" s="444">
        <f t="shared" ca="1" si="195"/>
        <v>-1.4475794004518566E+16</v>
      </c>
      <c r="J5775" s="444">
        <f t="array" ref="J5775">IFERROR(INDEX('Retirement Calculator'!K:K,MATCH('Lorri 401b'!N5775,'Retirement Calculator'!A:A,0),0),0)</f>
        <v>0</v>
      </c>
      <c r="K5775" s="444">
        <f t="shared" ca="1" si="193"/>
        <v>-60315808352160.688</v>
      </c>
      <c r="L5775" s="444">
        <f t="shared" ca="1" si="194"/>
        <v>-1.4536109812870726E+16</v>
      </c>
      <c r="M5775" s="460">
        <f t="shared" si="196"/>
        <v>0.05</v>
      </c>
      <c r="N5775" s="464">
        <f t="shared" si="197"/>
        <v>226818</v>
      </c>
    </row>
    <row r="5776" spans="7:14" ht="11.25" customHeight="1" x14ac:dyDescent="0.3">
      <c r="G5776" s="459"/>
      <c r="H5776" s="459">
        <v>5769</v>
      </c>
      <c r="I5776" s="444">
        <f t="shared" ca="1" si="195"/>
        <v>-1.4536109812870726E+16</v>
      </c>
      <c r="J5776" s="444">
        <f t="array" ref="J5776">IFERROR(INDEX('Retirement Calculator'!K:K,MATCH('Lorri 401b'!N5776,'Retirement Calculator'!A:A,0),0),0)</f>
        <v>0</v>
      </c>
      <c r="K5776" s="444">
        <f t="shared" ca="1" si="193"/>
        <v>-60567124220294.688</v>
      </c>
      <c r="L5776" s="444">
        <f t="shared" ca="1" si="194"/>
        <v>-1.459667693709102E+16</v>
      </c>
      <c r="M5776" s="460">
        <f t="shared" si="196"/>
        <v>0.05</v>
      </c>
      <c r="N5776" s="464">
        <f t="shared" si="197"/>
        <v>226849</v>
      </c>
    </row>
    <row r="5777" spans="7:14" ht="11.25" customHeight="1" x14ac:dyDescent="0.3">
      <c r="G5777" s="459"/>
      <c r="H5777" s="459">
        <v>5770</v>
      </c>
      <c r="I5777" s="444">
        <f t="shared" ca="1" si="195"/>
        <v>-1.459667693709102E+16</v>
      </c>
      <c r="J5777" s="444">
        <f t="array" ref="J5777">IFERROR(INDEX('Retirement Calculator'!K:K,MATCH('Lorri 401b'!N5777,'Retirement Calculator'!A:A,0),0),0)</f>
        <v>0</v>
      </c>
      <c r="K5777" s="444">
        <f t="shared" ca="1" si="193"/>
        <v>-60819487237879.25</v>
      </c>
      <c r="L5777" s="444">
        <f t="shared" ca="1" si="194"/>
        <v>-1.46574964243289E+16</v>
      </c>
      <c r="M5777" s="460">
        <f t="shared" si="196"/>
        <v>0.05</v>
      </c>
      <c r="N5777" s="464">
        <f t="shared" si="197"/>
        <v>226877</v>
      </c>
    </row>
    <row r="5778" spans="7:14" ht="11.25" customHeight="1" x14ac:dyDescent="0.3">
      <c r="G5778" s="459"/>
      <c r="H5778" s="459">
        <v>5771</v>
      </c>
      <c r="I5778" s="444">
        <f t="shared" ca="1" si="195"/>
        <v>-1.46574964243289E+16</v>
      </c>
      <c r="J5778" s="444">
        <f t="array" ref="J5778">IFERROR(INDEX('Retirement Calculator'!K:K,MATCH('Lorri 401b'!N5778,'Retirement Calculator'!A:A,0),0),0)</f>
        <v>0</v>
      </c>
      <c r="K5778" s="444">
        <f t="shared" ca="1" si="193"/>
        <v>-61072901768037.086</v>
      </c>
      <c r="L5778" s="444">
        <f t="shared" ca="1" si="194"/>
        <v>-1.4718569326096938E+16</v>
      </c>
      <c r="M5778" s="460">
        <f t="shared" si="196"/>
        <v>0.05</v>
      </c>
      <c r="N5778" s="464">
        <f t="shared" si="197"/>
        <v>226908</v>
      </c>
    </row>
    <row r="5779" spans="7:14" ht="11.25" customHeight="1" x14ac:dyDescent="0.3">
      <c r="G5779" s="459"/>
      <c r="H5779" s="459">
        <v>5772</v>
      </c>
      <c r="I5779" s="444">
        <f t="shared" ca="1" si="195"/>
        <v>-1.4718569326096938E+16</v>
      </c>
      <c r="J5779" s="444">
        <f t="array" ref="J5779">IFERROR(INDEX('Retirement Calculator'!K:K,MATCH('Lorri 401b'!N5779,'Retirement Calculator'!A:A,0),0),0)</f>
        <v>0</v>
      </c>
      <c r="K5779" s="444">
        <f t="shared" ca="1" si="193"/>
        <v>-61327372192070.563</v>
      </c>
      <c r="L5779" s="444">
        <f t="shared" ca="1" si="194"/>
        <v>-1.4779896698289008E+16</v>
      </c>
      <c r="M5779" s="460">
        <f t="shared" si="196"/>
        <v>0.05</v>
      </c>
      <c r="N5779" s="464">
        <f t="shared" si="197"/>
        <v>226938</v>
      </c>
    </row>
    <row r="5780" spans="7:14" ht="11.25" customHeight="1" x14ac:dyDescent="0.3">
      <c r="G5780" s="459"/>
      <c r="H5780" s="459">
        <v>5773</v>
      </c>
      <c r="I5780" s="444">
        <f t="shared" ca="1" si="195"/>
        <v>-1.4779896698289008E+16</v>
      </c>
      <c r="J5780" s="444">
        <f t="array" ref="J5780">IFERROR(INDEX('Retirement Calculator'!K:K,MATCH('Lorri 401b'!N5780,'Retirement Calculator'!A:A,0),0),0)</f>
        <v>0</v>
      </c>
      <c r="K5780" s="444">
        <f t="shared" ca="1" si="193"/>
        <v>-61582902909537.523</v>
      </c>
      <c r="L5780" s="444">
        <f t="shared" ca="1" si="194"/>
        <v>-1.4841479601198546E+16</v>
      </c>
      <c r="M5780" s="460">
        <f t="shared" si="196"/>
        <v>0.05</v>
      </c>
      <c r="N5780" s="464">
        <f t="shared" si="197"/>
        <v>226969</v>
      </c>
    </row>
    <row r="5781" spans="7:14" ht="11.25" customHeight="1" x14ac:dyDescent="0.3">
      <c r="G5781" s="459"/>
      <c r="H5781" s="459">
        <v>5774</v>
      </c>
      <c r="I5781" s="444">
        <f t="shared" ca="1" si="195"/>
        <v>-1.4841479601198546E+16</v>
      </c>
      <c r="J5781" s="444">
        <f t="array" ref="J5781">IFERROR(INDEX('Retirement Calculator'!K:K,MATCH('Lorri 401b'!N5781,'Retirement Calculator'!A:A,0),0),0)</f>
        <v>0</v>
      </c>
      <c r="K5781" s="444">
        <f t="shared" ca="1" si="193"/>
        <v>-61839498338327.273</v>
      </c>
      <c r="L5781" s="444">
        <f t="shared" ca="1" si="194"/>
        <v>-1.4903319099536874E+16</v>
      </c>
      <c r="M5781" s="460">
        <f t="shared" si="196"/>
        <v>0.05</v>
      </c>
      <c r="N5781" s="464">
        <f t="shared" si="197"/>
        <v>226999</v>
      </c>
    </row>
    <row r="5782" spans="7:14" ht="11.25" customHeight="1" x14ac:dyDescent="0.3">
      <c r="G5782" s="459"/>
      <c r="H5782" s="459">
        <v>5775</v>
      </c>
      <c r="I5782" s="444">
        <f t="shared" ca="1" si="195"/>
        <v>-1.4903319099536874E+16</v>
      </c>
      <c r="J5782" s="444">
        <f t="array" ref="J5782">IFERROR(INDEX('Retirement Calculator'!K:K,MATCH('Lorri 401b'!N5782,'Retirement Calculator'!A:A,0),0),0)</f>
        <v>0</v>
      </c>
      <c r="K5782" s="444">
        <f t="shared" ca="1" si="193"/>
        <v>-62097162914736.977</v>
      </c>
      <c r="L5782" s="444">
        <f t="shared" ca="1" si="194"/>
        <v>-1.496541626245161E+16</v>
      </c>
      <c r="M5782" s="460">
        <f t="shared" si="196"/>
        <v>0.05</v>
      </c>
      <c r="N5782" s="464">
        <f t="shared" si="197"/>
        <v>227030</v>
      </c>
    </row>
    <row r="5783" spans="7:14" ht="11.25" customHeight="1" x14ac:dyDescent="0.3">
      <c r="G5783" s="459"/>
      <c r="H5783" s="459">
        <v>5776</v>
      </c>
      <c r="I5783" s="444">
        <f t="shared" ca="1" si="195"/>
        <v>-1.496541626245161E+16</v>
      </c>
      <c r="J5783" s="444">
        <f t="array" ref="J5783">IFERROR(INDEX('Retirement Calculator'!K:K,MATCH('Lorri 401b'!N5783,'Retirement Calculator'!A:A,0),0),0)</f>
        <v>0</v>
      </c>
      <c r="K5783" s="444">
        <f t="shared" ca="1" si="193"/>
        <v>-62355901093548.375</v>
      </c>
      <c r="L5783" s="444">
        <f t="shared" ca="1" si="194"/>
        <v>-1.5027772163545158E+16</v>
      </c>
      <c r="M5783" s="460">
        <f t="shared" si="196"/>
        <v>0.05</v>
      </c>
      <c r="N5783" s="464">
        <f t="shared" si="197"/>
        <v>227061</v>
      </c>
    </row>
    <row r="5784" spans="7:14" ht="11.25" customHeight="1" x14ac:dyDescent="0.3">
      <c r="G5784" s="459"/>
      <c r="H5784" s="459">
        <v>5777</v>
      </c>
      <c r="I5784" s="444">
        <f t="shared" ca="1" si="195"/>
        <v>-1.5027772163545158E+16</v>
      </c>
      <c r="J5784" s="444">
        <f t="array" ref="J5784">IFERROR(INDEX('Retirement Calculator'!K:K,MATCH('Lorri 401b'!N5784,'Retirement Calculator'!A:A,0),0),0)</f>
        <v>0</v>
      </c>
      <c r="K5784" s="444">
        <f t="shared" ca="1" si="193"/>
        <v>-62615717348104.82</v>
      </c>
      <c r="L5784" s="444">
        <f t="shared" ca="1" si="194"/>
        <v>-1.5090387880893262E+16</v>
      </c>
      <c r="M5784" s="460">
        <f t="shared" si="196"/>
        <v>0.05</v>
      </c>
      <c r="N5784" s="464">
        <f t="shared" si="197"/>
        <v>227091</v>
      </c>
    </row>
    <row r="5785" spans="7:14" ht="11.25" customHeight="1" x14ac:dyDescent="0.3">
      <c r="G5785" s="459"/>
      <c r="H5785" s="459">
        <v>5778</v>
      </c>
      <c r="I5785" s="444">
        <f t="shared" ca="1" si="195"/>
        <v>-1.5090387880893262E+16</v>
      </c>
      <c r="J5785" s="444">
        <f t="array" ref="J5785">IFERROR(INDEX('Retirement Calculator'!K:K,MATCH('Lorri 401b'!N5785,'Retirement Calculator'!A:A,0),0),0)</f>
        <v>0</v>
      </c>
      <c r="K5785" s="444">
        <f t="shared" ca="1" si="193"/>
        <v>-62876616170388.594</v>
      </c>
      <c r="L5785" s="444">
        <f t="shared" ca="1" si="194"/>
        <v>-1.515326449706365E+16</v>
      </c>
      <c r="M5785" s="460">
        <f t="shared" si="196"/>
        <v>0.05</v>
      </c>
      <c r="N5785" s="464">
        <f t="shared" si="197"/>
        <v>227122</v>
      </c>
    </row>
    <row r="5786" spans="7:14" ht="11.25" customHeight="1" x14ac:dyDescent="0.3">
      <c r="G5786" s="459"/>
      <c r="H5786" s="459">
        <v>5779</v>
      </c>
      <c r="I5786" s="444">
        <f t="shared" ca="1" si="195"/>
        <v>-1.515326449706365E+16</v>
      </c>
      <c r="J5786" s="444">
        <f t="array" ref="J5786">IFERROR(INDEX('Retirement Calculator'!K:K,MATCH('Lorri 401b'!N5786,'Retirement Calculator'!A:A,0),0),0)</f>
        <v>0</v>
      </c>
      <c r="K5786" s="444">
        <f t="shared" ca="1" si="193"/>
        <v>-63138602071098.539</v>
      </c>
      <c r="L5786" s="444">
        <f t="shared" ca="1" si="194"/>
        <v>-1.5216403099134748E+16</v>
      </c>
      <c r="M5786" s="460">
        <f t="shared" si="196"/>
        <v>0.05</v>
      </c>
      <c r="N5786" s="464">
        <f t="shared" si="197"/>
        <v>227152</v>
      </c>
    </row>
    <row r="5787" spans="7:14" ht="11.25" customHeight="1" x14ac:dyDescent="0.3">
      <c r="G5787" s="459"/>
      <c r="H5787" s="459">
        <v>5780</v>
      </c>
      <c r="I5787" s="444">
        <f t="shared" ca="1" si="195"/>
        <v>-1.5216403099134748E+16</v>
      </c>
      <c r="J5787" s="444">
        <f t="array" ref="J5787">IFERROR(INDEX('Retirement Calculator'!K:K,MATCH('Lorri 401b'!N5787,'Retirement Calculator'!A:A,0),0),0)</f>
        <v>0</v>
      </c>
      <c r="K5787" s="444">
        <f t="shared" ca="1" si="193"/>
        <v>-63401679579728.117</v>
      </c>
      <c r="L5787" s="444">
        <f t="shared" ca="1" si="194"/>
        <v>-1.5279804778714476E+16</v>
      </c>
      <c r="M5787" s="460">
        <f t="shared" si="196"/>
        <v>0.05</v>
      </c>
      <c r="N5787" s="464">
        <f t="shared" si="197"/>
        <v>227183</v>
      </c>
    </row>
    <row r="5788" spans="7:14" ht="11.25" customHeight="1" x14ac:dyDescent="0.3">
      <c r="G5788" s="459"/>
      <c r="H5788" s="459">
        <v>5781</v>
      </c>
      <c r="I5788" s="444">
        <f t="shared" ca="1" si="195"/>
        <v>-1.5279804778714476E+16</v>
      </c>
      <c r="J5788" s="444">
        <f t="array" ref="J5788">IFERROR(INDEX('Retirement Calculator'!K:K,MATCH('Lorri 401b'!N5788,'Retirement Calculator'!A:A,0),0),0)</f>
        <v>0</v>
      </c>
      <c r="K5788" s="444">
        <f t="shared" ca="1" si="193"/>
        <v>-63665853244643.648</v>
      </c>
      <c r="L5788" s="444">
        <f t="shared" ca="1" si="194"/>
        <v>-1.534347063195912E+16</v>
      </c>
      <c r="M5788" s="460">
        <f t="shared" si="196"/>
        <v>0.05</v>
      </c>
      <c r="N5788" s="464">
        <f t="shared" si="197"/>
        <v>227214</v>
      </c>
    </row>
    <row r="5789" spans="7:14" ht="11.25" customHeight="1" x14ac:dyDescent="0.3">
      <c r="G5789" s="459"/>
      <c r="H5789" s="459">
        <v>5782</v>
      </c>
      <c r="I5789" s="444">
        <f t="shared" ca="1" si="195"/>
        <v>-1.534347063195912E+16</v>
      </c>
      <c r="J5789" s="444">
        <f t="array" ref="J5789">IFERROR(INDEX('Retirement Calculator'!K:K,MATCH('Lorri 401b'!N5789,'Retirement Calculator'!A:A,0),0),0)</f>
        <v>0</v>
      </c>
      <c r="K5789" s="444">
        <f t="shared" ca="1" si="193"/>
        <v>-63931127633163</v>
      </c>
      <c r="L5789" s="444">
        <f t="shared" ca="1" si="194"/>
        <v>-1.5407401759592284E+16</v>
      </c>
      <c r="M5789" s="460">
        <f t="shared" si="196"/>
        <v>0.05</v>
      </c>
      <c r="N5789" s="464">
        <f t="shared" si="197"/>
        <v>227242</v>
      </c>
    </row>
    <row r="5790" spans="7:14" ht="11.25" customHeight="1" x14ac:dyDescent="0.3">
      <c r="G5790" s="459"/>
      <c r="H5790" s="459">
        <v>5783</v>
      </c>
      <c r="I5790" s="444">
        <f t="shared" ca="1" si="195"/>
        <v>-1.5407401759592284E+16</v>
      </c>
      <c r="J5790" s="444">
        <f t="array" ref="J5790">IFERROR(INDEX('Retirement Calculator'!K:K,MATCH('Lorri 401b'!N5790,'Retirement Calculator'!A:A,0),0),0)</f>
        <v>0</v>
      </c>
      <c r="K5790" s="444">
        <f t="shared" ca="1" si="193"/>
        <v>-64197507331634.516</v>
      </c>
      <c r="L5790" s="444">
        <f t="shared" ca="1" si="194"/>
        <v>-1.5471599266923918E+16</v>
      </c>
      <c r="M5790" s="460">
        <f t="shared" si="196"/>
        <v>0.05</v>
      </c>
      <c r="N5790" s="464">
        <f t="shared" si="197"/>
        <v>227273</v>
      </c>
    </row>
    <row r="5791" spans="7:14" ht="11.25" customHeight="1" x14ac:dyDescent="0.3">
      <c r="G5791" s="459"/>
      <c r="H5791" s="459">
        <v>5784</v>
      </c>
      <c r="I5791" s="444">
        <f t="shared" ca="1" si="195"/>
        <v>-1.5471599266923918E+16</v>
      </c>
      <c r="J5791" s="444">
        <f t="array" ref="J5791">IFERROR(INDEX('Retirement Calculator'!K:K,MATCH('Lorri 401b'!N5791,'Retirement Calculator'!A:A,0),0),0)</f>
        <v>0</v>
      </c>
      <c r="K5791" s="444">
        <f t="shared" ca="1" si="193"/>
        <v>-64464996945516.32</v>
      </c>
      <c r="L5791" s="444">
        <f t="shared" ca="1" si="194"/>
        <v>-1.5536064263869434E+16</v>
      </c>
      <c r="M5791" s="460">
        <f t="shared" si="196"/>
        <v>0.05</v>
      </c>
      <c r="N5791" s="464">
        <f t="shared" si="197"/>
        <v>227303</v>
      </c>
    </row>
    <row r="5792" spans="7:14" ht="11.25" customHeight="1" x14ac:dyDescent="0.3">
      <c r="G5792" s="459"/>
      <c r="H5792" s="459">
        <v>5785</v>
      </c>
      <c r="I5792" s="444">
        <f t="shared" ca="1" si="195"/>
        <v>-1.5536064263869434E+16</v>
      </c>
      <c r="J5792" s="444">
        <f t="array" ref="J5792">IFERROR(INDEX('Retirement Calculator'!K:K,MATCH('Lorri 401b'!N5792,'Retirement Calculator'!A:A,0),0),0)</f>
        <v>0</v>
      </c>
      <c r="K5792" s="444">
        <f t="shared" ca="1" si="193"/>
        <v>-64733601099455.977</v>
      </c>
      <c r="L5792" s="444">
        <f t="shared" ca="1" si="194"/>
        <v>-1.560079786496889E+16</v>
      </c>
      <c r="M5792" s="460">
        <f t="shared" si="196"/>
        <v>0.05</v>
      </c>
      <c r="N5792" s="464">
        <f t="shared" si="197"/>
        <v>227334</v>
      </c>
    </row>
    <row r="5793" spans="7:14" ht="11.25" customHeight="1" x14ac:dyDescent="0.3">
      <c r="G5793" s="459"/>
      <c r="H5793" s="459">
        <v>5786</v>
      </c>
      <c r="I5793" s="444">
        <f t="shared" ca="1" si="195"/>
        <v>-1.560079786496889E+16</v>
      </c>
      <c r="J5793" s="444">
        <f t="array" ref="J5793">IFERROR(INDEX('Retirement Calculator'!K:K,MATCH('Lorri 401b'!N5793,'Retirement Calculator'!A:A,0),0),0)</f>
        <v>0</v>
      </c>
      <c r="K5793" s="444">
        <f t="shared" ca="1" si="193"/>
        <v>-65003324437370.375</v>
      </c>
      <c r="L5793" s="444">
        <f t="shared" ca="1" si="194"/>
        <v>-1.566580118940626E+16</v>
      </c>
      <c r="M5793" s="460">
        <f t="shared" si="196"/>
        <v>0.05</v>
      </c>
      <c r="N5793" s="464">
        <f t="shared" si="197"/>
        <v>227364</v>
      </c>
    </row>
    <row r="5794" spans="7:14" ht="11.25" customHeight="1" x14ac:dyDescent="0.3">
      <c r="G5794" s="459"/>
      <c r="H5794" s="459">
        <v>5787</v>
      </c>
      <c r="I5794" s="444">
        <f t="shared" ca="1" si="195"/>
        <v>-1.566580118940626E+16</v>
      </c>
      <c r="J5794" s="444">
        <f t="array" ref="J5794">IFERROR(INDEX('Retirement Calculator'!K:K,MATCH('Lorri 401b'!N5794,'Retirement Calculator'!A:A,0),0),0)</f>
        <v>0</v>
      </c>
      <c r="K5794" s="444">
        <f t="shared" ca="1" si="193"/>
        <v>-65274171622526.094</v>
      </c>
      <c r="L5794" s="444">
        <f t="shared" ca="1" si="194"/>
        <v>-1.5731075361028786E+16</v>
      </c>
      <c r="M5794" s="460">
        <f t="shared" si="196"/>
        <v>0.05</v>
      </c>
      <c r="N5794" s="464">
        <f t="shared" si="197"/>
        <v>227395</v>
      </c>
    </row>
    <row r="5795" spans="7:14" ht="11.25" customHeight="1" x14ac:dyDescent="0.3">
      <c r="G5795" s="459"/>
      <c r="H5795" s="459">
        <v>5788</v>
      </c>
      <c r="I5795" s="444">
        <f t="shared" ca="1" si="195"/>
        <v>-1.5731075361028786E+16</v>
      </c>
      <c r="J5795" s="444">
        <f t="array" ref="J5795">IFERROR(INDEX('Retirement Calculator'!K:K,MATCH('Lorri 401b'!N5795,'Retirement Calculator'!A:A,0),0),0)</f>
        <v>0</v>
      </c>
      <c r="K5795" s="444">
        <f t="shared" ca="1" si="193"/>
        <v>-65546147337619.938</v>
      </c>
      <c r="L5795" s="444">
        <f t="shared" ca="1" si="194"/>
        <v>-1.5796621508366406E+16</v>
      </c>
      <c r="M5795" s="460">
        <f t="shared" si="196"/>
        <v>0.05</v>
      </c>
      <c r="N5795" s="464">
        <f t="shared" si="197"/>
        <v>227426</v>
      </c>
    </row>
    <row r="5796" spans="7:14" ht="11.25" customHeight="1" x14ac:dyDescent="0.3">
      <c r="G5796" s="459"/>
      <c r="H5796" s="459">
        <v>5789</v>
      </c>
      <c r="I5796" s="444">
        <f t="shared" ca="1" si="195"/>
        <v>-1.5796621508366406E+16</v>
      </c>
      <c r="J5796" s="444">
        <f t="array" ref="J5796">IFERROR(INDEX('Retirement Calculator'!K:K,MATCH('Lorri 401b'!N5796,'Retirement Calculator'!A:A,0),0),0)</f>
        <v>0</v>
      </c>
      <c r="K5796" s="444">
        <f t="shared" ca="1" si="193"/>
        <v>-65819256284860.023</v>
      </c>
      <c r="L5796" s="444">
        <f t="shared" ca="1" si="194"/>
        <v>-1.5862440764651266E+16</v>
      </c>
      <c r="M5796" s="460">
        <f t="shared" si="196"/>
        <v>0.05</v>
      </c>
      <c r="N5796" s="464">
        <f t="shared" si="197"/>
        <v>227456</v>
      </c>
    </row>
    <row r="5797" spans="7:14" ht="11.25" customHeight="1" x14ac:dyDescent="0.3">
      <c r="G5797" s="459"/>
      <c r="H5797" s="459">
        <v>5790</v>
      </c>
      <c r="I5797" s="444">
        <f t="shared" ca="1" si="195"/>
        <v>-1.5862440764651266E+16</v>
      </c>
      <c r="J5797" s="444">
        <f t="array" ref="J5797">IFERROR(INDEX('Retirement Calculator'!K:K,MATCH('Lorri 401b'!N5797,'Retirement Calculator'!A:A,0),0),0)</f>
        <v>0</v>
      </c>
      <c r="K5797" s="444">
        <f t="shared" ca="1" si="193"/>
        <v>-66093503186046.938</v>
      </c>
      <c r="L5797" s="444">
        <f t="shared" ca="1" si="194"/>
        <v>-1.5928534267837312E+16</v>
      </c>
      <c r="M5797" s="460">
        <f t="shared" si="196"/>
        <v>0.05</v>
      </c>
      <c r="N5797" s="464">
        <f t="shared" si="197"/>
        <v>227487</v>
      </c>
    </row>
    <row r="5798" spans="7:14" ht="11.25" customHeight="1" x14ac:dyDescent="0.3">
      <c r="G5798" s="459"/>
      <c r="H5798" s="459">
        <v>5791</v>
      </c>
      <c r="I5798" s="444">
        <f t="shared" ca="1" si="195"/>
        <v>-1.5928534267837312E+16</v>
      </c>
      <c r="J5798" s="444">
        <f t="array" ref="J5798">IFERROR(INDEX('Retirement Calculator'!K:K,MATCH('Lorri 401b'!N5798,'Retirement Calculator'!A:A,0),0),0)</f>
        <v>0</v>
      </c>
      <c r="K5798" s="444">
        <f t="shared" ca="1" si="193"/>
        <v>-66368892782655.469</v>
      </c>
      <c r="L5798" s="444">
        <f t="shared" ca="1" si="194"/>
        <v>-1.5994903160619968E+16</v>
      </c>
      <c r="M5798" s="460">
        <f t="shared" si="196"/>
        <v>0.05</v>
      </c>
      <c r="N5798" s="464">
        <f t="shared" si="197"/>
        <v>227517</v>
      </c>
    </row>
    <row r="5799" spans="7:14" ht="11.25" customHeight="1" x14ac:dyDescent="0.3">
      <c r="G5799" s="459"/>
      <c r="H5799" s="459">
        <v>5792</v>
      </c>
      <c r="I5799" s="444">
        <f t="shared" ca="1" si="195"/>
        <v>-1.5994903160619968E+16</v>
      </c>
      <c r="J5799" s="444">
        <f t="array" ref="J5799">IFERROR(INDEX('Retirement Calculator'!K:K,MATCH('Lorri 401b'!N5799,'Retirement Calculator'!A:A,0),0),0)</f>
        <v>0</v>
      </c>
      <c r="K5799" s="444">
        <f t="shared" ca="1" si="193"/>
        <v>-66645429835916.539</v>
      </c>
      <c r="L5799" s="444">
        <f t="shared" ca="1" si="194"/>
        <v>-1.6061548590455884E+16</v>
      </c>
      <c r="M5799" s="460">
        <f t="shared" si="196"/>
        <v>0.05</v>
      </c>
      <c r="N5799" s="464">
        <f t="shared" si="197"/>
        <v>227548</v>
      </c>
    </row>
    <row r="5800" spans="7:14" ht="11.25" customHeight="1" x14ac:dyDescent="0.3">
      <c r="G5800" s="459"/>
      <c r="H5800" s="459">
        <v>5793</v>
      </c>
      <c r="I5800" s="444">
        <f t="shared" ca="1" si="195"/>
        <v>-1.6061548590455884E+16</v>
      </c>
      <c r="J5800" s="444">
        <f t="array" ref="J5800">IFERROR(INDEX('Retirement Calculator'!K:K,MATCH('Lorri 401b'!N5800,'Retirement Calculator'!A:A,0),0),0)</f>
        <v>0</v>
      </c>
      <c r="K5800" s="444">
        <f t="shared" ca="1" si="193"/>
        <v>-66923119126899.516</v>
      </c>
      <c r="L5800" s="444">
        <f t="shared" ca="1" si="194"/>
        <v>-1.6128471709582784E+16</v>
      </c>
      <c r="M5800" s="460">
        <f t="shared" si="196"/>
        <v>0.05</v>
      </c>
      <c r="N5800" s="464">
        <f t="shared" si="197"/>
        <v>227579</v>
      </c>
    </row>
    <row r="5801" spans="7:14" ht="11.25" customHeight="1" x14ac:dyDescent="0.3">
      <c r="G5801" s="459"/>
      <c r="H5801" s="459">
        <v>5794</v>
      </c>
      <c r="I5801" s="444">
        <f t="shared" ca="1" si="195"/>
        <v>-1.6128471709582784E+16</v>
      </c>
      <c r="J5801" s="444">
        <f t="array" ref="J5801">IFERROR(INDEX('Retirement Calculator'!K:K,MATCH('Lorri 401b'!N5801,'Retirement Calculator'!A:A,0),0),0)</f>
        <v>0</v>
      </c>
      <c r="K5801" s="444">
        <f t="shared" ca="1" si="193"/>
        <v>-67201965456594.93</v>
      </c>
      <c r="L5801" s="444">
        <f t="shared" ca="1" si="194"/>
        <v>-1.6195673675039378E+16</v>
      </c>
      <c r="M5801" s="460">
        <f t="shared" si="196"/>
        <v>0.05</v>
      </c>
      <c r="N5801" s="464">
        <f t="shared" si="197"/>
        <v>227607</v>
      </c>
    </row>
    <row r="5802" spans="7:14" ht="11.25" customHeight="1" x14ac:dyDescent="0.3">
      <c r="G5802" s="459"/>
      <c r="H5802" s="459">
        <v>5795</v>
      </c>
      <c r="I5802" s="444">
        <f t="shared" ca="1" si="195"/>
        <v>-1.6195673675039378E+16</v>
      </c>
      <c r="J5802" s="444">
        <f t="array" ref="J5802">IFERROR(INDEX('Retirement Calculator'!K:K,MATCH('Lorri 401b'!N5802,'Retirement Calculator'!A:A,0),0),0)</f>
        <v>0</v>
      </c>
      <c r="K5802" s="444">
        <f t="shared" ca="1" si="193"/>
        <v>-67481973645997.406</v>
      </c>
      <c r="L5802" s="444">
        <f t="shared" ca="1" si="194"/>
        <v>-1.6263155648685376E+16</v>
      </c>
      <c r="M5802" s="460">
        <f t="shared" si="196"/>
        <v>0.05</v>
      </c>
      <c r="N5802" s="464">
        <f t="shared" si="197"/>
        <v>227638</v>
      </c>
    </row>
    <row r="5803" spans="7:14" ht="11.25" customHeight="1" x14ac:dyDescent="0.3">
      <c r="G5803" s="459"/>
      <c r="H5803" s="459">
        <v>5796</v>
      </c>
      <c r="I5803" s="444">
        <f t="shared" ca="1" si="195"/>
        <v>-1.6263155648685376E+16</v>
      </c>
      <c r="J5803" s="444">
        <f t="array" ref="J5803">IFERROR(INDEX('Retirement Calculator'!K:K,MATCH('Lorri 401b'!N5803,'Retirement Calculator'!A:A,0),0),0)</f>
        <v>0</v>
      </c>
      <c r="K5803" s="444">
        <f t="shared" ca="1" si="193"/>
        <v>-67763148536189.063</v>
      </c>
      <c r="L5803" s="444">
        <f t="shared" ca="1" si="194"/>
        <v>-1.6330918797221566E+16</v>
      </c>
      <c r="M5803" s="460">
        <f t="shared" si="196"/>
        <v>0.05</v>
      </c>
      <c r="N5803" s="464">
        <f t="shared" si="197"/>
        <v>227668</v>
      </c>
    </row>
    <row r="5804" spans="7:14" ht="11.25" customHeight="1" x14ac:dyDescent="0.3">
      <c r="G5804" s="459"/>
      <c r="H5804" s="459">
        <v>5797</v>
      </c>
      <c r="I5804" s="444">
        <f t="shared" ca="1" si="195"/>
        <v>-1.6330918797221566E+16</v>
      </c>
      <c r="J5804" s="444">
        <f t="array" ref="J5804">IFERROR(INDEX('Retirement Calculator'!K:K,MATCH('Lorri 401b'!N5804,'Retirement Calculator'!A:A,0),0),0)</f>
        <v>0</v>
      </c>
      <c r="K5804" s="444">
        <f t="shared" ca="1" si="193"/>
        <v>-68045494988423.188</v>
      </c>
      <c r="L5804" s="444">
        <f t="shared" ca="1" si="194"/>
        <v>-1.639896429220999E+16</v>
      </c>
      <c r="M5804" s="460">
        <f t="shared" si="196"/>
        <v>0.05</v>
      </c>
      <c r="N5804" s="464">
        <f t="shared" si="197"/>
        <v>227699</v>
      </c>
    </row>
    <row r="5805" spans="7:14" ht="11.25" customHeight="1" x14ac:dyDescent="0.3">
      <c r="G5805" s="459"/>
      <c r="H5805" s="459">
        <v>5798</v>
      </c>
      <c r="I5805" s="444">
        <f t="shared" ca="1" si="195"/>
        <v>-1.639896429220999E+16</v>
      </c>
      <c r="J5805" s="444">
        <f t="array" ref="J5805">IFERROR(INDEX('Retirement Calculator'!K:K,MATCH('Lorri 401b'!N5805,'Retirement Calculator'!A:A,0),0),0)</f>
        <v>0</v>
      </c>
      <c r="K5805" s="444">
        <f t="shared" ca="1" si="193"/>
        <v>-68329017884208.297</v>
      </c>
      <c r="L5805" s="444">
        <f t="shared" ca="1" si="194"/>
        <v>-1.6467293310094198E+16</v>
      </c>
      <c r="M5805" s="460">
        <f t="shared" si="196"/>
        <v>0.05</v>
      </c>
      <c r="N5805" s="464">
        <f t="shared" si="197"/>
        <v>227729</v>
      </c>
    </row>
    <row r="5806" spans="7:14" ht="11.25" customHeight="1" x14ac:dyDescent="0.3">
      <c r="G5806" s="459"/>
      <c r="H5806" s="459">
        <v>5799</v>
      </c>
      <c r="I5806" s="444">
        <f t="shared" ca="1" si="195"/>
        <v>-1.6467293310094198E+16</v>
      </c>
      <c r="J5806" s="444">
        <f t="array" ref="J5806">IFERROR(INDEX('Retirement Calculator'!K:K,MATCH('Lorri 401b'!N5806,'Retirement Calculator'!A:A,0),0),0)</f>
        <v>0</v>
      </c>
      <c r="K5806" s="444">
        <f t="shared" ca="1" si="193"/>
        <v>-68613722125392.492</v>
      </c>
      <c r="L5806" s="444">
        <f t="shared" ca="1" si="194"/>
        <v>-1.653590703221959E+16</v>
      </c>
      <c r="M5806" s="460">
        <f t="shared" si="196"/>
        <v>0.05</v>
      </c>
      <c r="N5806" s="464">
        <f t="shared" si="197"/>
        <v>227760</v>
      </c>
    </row>
    <row r="5807" spans="7:14" ht="11.25" customHeight="1" x14ac:dyDescent="0.3">
      <c r="G5807" s="459"/>
      <c r="H5807" s="459">
        <v>5800</v>
      </c>
      <c r="I5807" s="444">
        <f t="shared" ca="1" si="195"/>
        <v>-1.653590703221959E+16</v>
      </c>
      <c r="J5807" s="444">
        <f t="array" ref="J5807">IFERROR(INDEX('Retirement Calculator'!K:K,MATCH('Lorri 401b'!N5807,'Retirement Calculator'!A:A,0),0),0)</f>
        <v>0</v>
      </c>
      <c r="K5807" s="444">
        <f t="shared" ca="1" si="193"/>
        <v>-68899612634248.281</v>
      </c>
      <c r="L5807" s="444">
        <f t="shared" ca="1" si="194"/>
        <v>-1.6604806644853838E+16</v>
      </c>
      <c r="M5807" s="460">
        <f t="shared" si="196"/>
        <v>0.05</v>
      </c>
      <c r="N5807" s="464">
        <f t="shared" si="197"/>
        <v>227791</v>
      </c>
    </row>
    <row r="5808" spans="7:14" ht="11.25" customHeight="1" x14ac:dyDescent="0.3">
      <c r="G5808" s="459"/>
      <c r="H5808" s="459">
        <v>5801</v>
      </c>
      <c r="I5808" s="444">
        <f t="shared" ca="1" si="195"/>
        <v>-1.6604806644853838E+16</v>
      </c>
      <c r="J5808" s="444">
        <f t="array" ref="J5808">IFERROR(INDEX('Retirement Calculator'!K:K,MATCH('Lorri 401b'!N5808,'Retirement Calculator'!A:A,0),0),0)</f>
        <v>0</v>
      </c>
      <c r="K5808" s="444">
        <f t="shared" ca="1" si="193"/>
        <v>-69186694353557.656</v>
      </c>
      <c r="L5808" s="444">
        <f t="shared" ca="1" si="194"/>
        <v>-1.6673993339207396E+16</v>
      </c>
      <c r="M5808" s="460">
        <f t="shared" si="196"/>
        <v>0.05</v>
      </c>
      <c r="N5808" s="464">
        <f t="shared" si="197"/>
        <v>227821</v>
      </c>
    </row>
    <row r="5809" spans="7:14" ht="11.25" customHeight="1" x14ac:dyDescent="0.3">
      <c r="G5809" s="459"/>
      <c r="H5809" s="459">
        <v>5802</v>
      </c>
      <c r="I5809" s="444">
        <f t="shared" ca="1" si="195"/>
        <v>-1.6673993339207396E+16</v>
      </c>
      <c r="J5809" s="444">
        <f t="array" ref="J5809">IFERROR(INDEX('Retirement Calculator'!K:K,MATCH('Lorri 401b'!N5809,'Retirement Calculator'!A:A,0),0),0)</f>
        <v>0</v>
      </c>
      <c r="K5809" s="444">
        <f t="shared" ca="1" si="193"/>
        <v>-69474972246697.492</v>
      </c>
      <c r="L5809" s="444">
        <f t="shared" ca="1" si="194"/>
        <v>-1.6743468311454094E+16</v>
      </c>
      <c r="M5809" s="460">
        <f t="shared" si="196"/>
        <v>0.05</v>
      </c>
      <c r="N5809" s="464">
        <f t="shared" si="197"/>
        <v>227852</v>
      </c>
    </row>
    <row r="5810" spans="7:14" ht="11.25" customHeight="1" x14ac:dyDescent="0.3">
      <c r="G5810" s="459"/>
      <c r="H5810" s="459">
        <v>5803</v>
      </c>
      <c r="I5810" s="444">
        <f t="shared" ca="1" si="195"/>
        <v>-1.6743468311454094E+16</v>
      </c>
      <c r="J5810" s="444">
        <f t="array" ref="J5810">IFERROR(INDEX('Retirement Calculator'!K:K,MATCH('Lorri 401b'!N5810,'Retirement Calculator'!A:A,0),0),0)</f>
        <v>0</v>
      </c>
      <c r="K5810" s="444">
        <f t="shared" ca="1" si="193"/>
        <v>-69764451297725.398</v>
      </c>
      <c r="L5810" s="444">
        <f t="shared" ca="1" si="194"/>
        <v>-1.681323276275182E+16</v>
      </c>
      <c r="M5810" s="460">
        <f t="shared" si="196"/>
        <v>0.05</v>
      </c>
      <c r="N5810" s="464">
        <f t="shared" si="197"/>
        <v>227882</v>
      </c>
    </row>
    <row r="5811" spans="7:14" ht="11.25" customHeight="1" x14ac:dyDescent="0.3">
      <c r="G5811" s="459"/>
      <c r="H5811" s="459">
        <v>5804</v>
      </c>
      <c r="I5811" s="444">
        <f t="shared" ca="1" si="195"/>
        <v>-1.681323276275182E+16</v>
      </c>
      <c r="J5811" s="444">
        <f t="array" ref="J5811">IFERROR(INDEX('Retirement Calculator'!K:K,MATCH('Lorri 401b'!N5811,'Retirement Calculator'!A:A,0),0),0)</f>
        <v>0</v>
      </c>
      <c r="K5811" s="444">
        <f t="shared" ca="1" si="193"/>
        <v>-70055136511465.906</v>
      </c>
      <c r="L5811" s="444">
        <f t="shared" ca="1" si="194"/>
        <v>-1.6883287899263286E+16</v>
      </c>
      <c r="M5811" s="460">
        <f t="shared" si="196"/>
        <v>0.05</v>
      </c>
      <c r="N5811" s="464">
        <f t="shared" si="197"/>
        <v>227913</v>
      </c>
    </row>
    <row r="5812" spans="7:14" ht="11.25" customHeight="1" x14ac:dyDescent="0.3">
      <c r="G5812" s="459"/>
      <c r="H5812" s="459">
        <v>5805</v>
      </c>
      <c r="I5812" s="444">
        <f t="shared" ca="1" si="195"/>
        <v>-1.6883287899263286E+16</v>
      </c>
      <c r="J5812" s="444">
        <f t="array" ref="J5812">IFERROR(INDEX('Retirement Calculator'!K:K,MATCH('Lorri 401b'!N5812,'Retirement Calculator'!A:A,0),0),0)</f>
        <v>0</v>
      </c>
      <c r="K5812" s="444">
        <f t="shared" ca="1" si="193"/>
        <v>-70347032913597.031</v>
      </c>
      <c r="L5812" s="444">
        <f t="shared" ca="1" si="194"/>
        <v>-1.6953634932176884E+16</v>
      </c>
      <c r="M5812" s="460">
        <f t="shared" si="196"/>
        <v>0.05</v>
      </c>
      <c r="N5812" s="464">
        <f t="shared" si="197"/>
        <v>227944</v>
      </c>
    </row>
    <row r="5813" spans="7:14" ht="11.25" customHeight="1" x14ac:dyDescent="0.3">
      <c r="G5813" s="459"/>
      <c r="H5813" s="459">
        <v>5806</v>
      </c>
      <c r="I5813" s="444">
        <f t="shared" ca="1" si="195"/>
        <v>-1.6953634932176884E+16</v>
      </c>
      <c r="J5813" s="444">
        <f t="array" ref="J5813">IFERROR(INDEX('Retirement Calculator'!K:K,MATCH('Lorri 401b'!N5813,'Retirement Calculator'!A:A,0),0),0)</f>
        <v>0</v>
      </c>
      <c r="K5813" s="444">
        <f t="shared" ca="1" si="193"/>
        <v>-70640145550737.016</v>
      </c>
      <c r="L5813" s="444">
        <f t="shared" ca="1" si="194"/>
        <v>-1.7024275077727622E+16</v>
      </c>
      <c r="M5813" s="460">
        <f t="shared" si="196"/>
        <v>0.05</v>
      </c>
      <c r="N5813" s="464">
        <f t="shared" si="197"/>
        <v>227973</v>
      </c>
    </row>
    <row r="5814" spans="7:14" ht="11.25" customHeight="1" x14ac:dyDescent="0.3">
      <c r="G5814" s="459"/>
      <c r="H5814" s="459">
        <v>5807</v>
      </c>
      <c r="I5814" s="444">
        <f t="shared" ca="1" si="195"/>
        <v>-1.7024275077727622E+16</v>
      </c>
      <c r="J5814" s="444">
        <f t="array" ref="J5814">IFERROR(INDEX('Retirement Calculator'!K:K,MATCH('Lorri 401b'!N5814,'Retirement Calculator'!A:A,0),0),0)</f>
        <v>0</v>
      </c>
      <c r="K5814" s="444">
        <f t="shared" ca="1" si="193"/>
        <v>-70934479490531.75</v>
      </c>
      <c r="L5814" s="444">
        <f t="shared" ca="1" si="194"/>
        <v>-1.7095209557218154E+16</v>
      </c>
      <c r="M5814" s="460">
        <f t="shared" si="196"/>
        <v>0.05</v>
      </c>
      <c r="N5814" s="464">
        <f t="shared" si="197"/>
        <v>228004</v>
      </c>
    </row>
    <row r="5815" spans="7:14" ht="11.25" customHeight="1" x14ac:dyDescent="0.3">
      <c r="G5815" s="459"/>
      <c r="H5815" s="459">
        <v>5808</v>
      </c>
      <c r="I5815" s="444">
        <f t="shared" ca="1" si="195"/>
        <v>-1.7095209557218154E+16</v>
      </c>
      <c r="J5815" s="444">
        <f t="array" ref="J5815">IFERROR(INDEX('Retirement Calculator'!K:K,MATCH('Lorri 401b'!N5815,'Retirement Calculator'!A:A,0),0),0)</f>
        <v>0</v>
      </c>
      <c r="K5815" s="444">
        <f t="shared" ca="1" si="193"/>
        <v>-71230039821742.313</v>
      </c>
      <c r="L5815" s="444">
        <f t="shared" ca="1" si="194"/>
        <v>-1.7166439597039896E+16</v>
      </c>
      <c r="M5815" s="460">
        <f t="shared" si="196"/>
        <v>0.05</v>
      </c>
      <c r="N5815" s="464">
        <f t="shared" si="197"/>
        <v>228034</v>
      </c>
    </row>
    <row r="5816" spans="7:14" ht="11.25" customHeight="1" x14ac:dyDescent="0.3">
      <c r="G5816" s="459"/>
      <c r="H5816" s="459">
        <v>5809</v>
      </c>
      <c r="I5816" s="444">
        <f t="shared" ca="1" si="195"/>
        <v>-1.7166439597039896E+16</v>
      </c>
      <c r="J5816" s="444">
        <f t="array" ref="J5816">IFERROR(INDEX('Retirement Calculator'!K:K,MATCH('Lorri 401b'!N5816,'Retirement Calculator'!A:A,0),0),0)</f>
        <v>0</v>
      </c>
      <c r="K5816" s="444">
        <f t="shared" ca="1" si="193"/>
        <v>-71526831654332.906</v>
      </c>
      <c r="L5816" s="444">
        <f t="shared" ca="1" si="194"/>
        <v>-1.7237966428694228E+16</v>
      </c>
      <c r="M5816" s="460">
        <f t="shared" si="196"/>
        <v>0.05</v>
      </c>
      <c r="N5816" s="464">
        <f t="shared" si="197"/>
        <v>228065</v>
      </c>
    </row>
    <row r="5817" spans="7:14" ht="11.25" customHeight="1" x14ac:dyDescent="0.3">
      <c r="G5817" s="459"/>
      <c r="H5817" s="459">
        <v>5810</v>
      </c>
      <c r="I5817" s="444">
        <f t="shared" ca="1" si="195"/>
        <v>-1.7237966428694228E+16</v>
      </c>
      <c r="J5817" s="444">
        <f t="array" ref="J5817">IFERROR(INDEX('Retirement Calculator'!K:K,MATCH('Lorri 401b'!N5817,'Retirement Calculator'!A:A,0),0),0)</f>
        <v>0</v>
      </c>
      <c r="K5817" s="444">
        <f t="shared" ca="1" si="193"/>
        <v>-71824860119559.281</v>
      </c>
      <c r="L5817" s="444">
        <f t="shared" ca="1" si="194"/>
        <v>-1.7309791288813788E+16</v>
      </c>
      <c r="M5817" s="460">
        <f t="shared" si="196"/>
        <v>0.05</v>
      </c>
      <c r="N5817" s="464">
        <f t="shared" si="197"/>
        <v>228095</v>
      </c>
    </row>
    <row r="5818" spans="7:14" ht="11.25" customHeight="1" x14ac:dyDescent="0.3">
      <c r="G5818" s="459"/>
      <c r="H5818" s="459">
        <v>5811</v>
      </c>
      <c r="I5818" s="444">
        <f t="shared" ca="1" si="195"/>
        <v>-1.7309791288813788E+16</v>
      </c>
      <c r="J5818" s="444">
        <f t="array" ref="J5818">IFERROR(INDEX('Retirement Calculator'!K:K,MATCH('Lorri 401b'!N5818,'Retirement Calculator'!A:A,0),0),0)</f>
        <v>0</v>
      </c>
      <c r="K5818" s="444">
        <f t="shared" ca="1" si="193"/>
        <v>-72124130370057.453</v>
      </c>
      <c r="L5818" s="444">
        <f t="shared" ca="1" si="194"/>
        <v>-1.7381915419183846E+16</v>
      </c>
      <c r="M5818" s="460">
        <f t="shared" si="196"/>
        <v>0.05</v>
      </c>
      <c r="N5818" s="464">
        <f t="shared" si="197"/>
        <v>228126</v>
      </c>
    </row>
    <row r="5819" spans="7:14" ht="11.25" customHeight="1" x14ac:dyDescent="0.3">
      <c r="G5819" s="459"/>
      <c r="H5819" s="459">
        <v>5812</v>
      </c>
      <c r="I5819" s="444">
        <f t="shared" ca="1" si="195"/>
        <v>-1.7381915419183846E+16</v>
      </c>
      <c r="J5819" s="444">
        <f t="array" ref="J5819">IFERROR(INDEX('Retirement Calculator'!K:K,MATCH('Lorri 401b'!N5819,'Retirement Calculator'!A:A,0),0),0)</f>
        <v>0</v>
      </c>
      <c r="K5819" s="444">
        <f t="shared" ca="1" si="193"/>
        <v>-72424647579932.688</v>
      </c>
      <c r="L5819" s="444">
        <f t="shared" ca="1" si="194"/>
        <v>-1.7454340066763778E+16</v>
      </c>
      <c r="M5819" s="460">
        <f t="shared" si="196"/>
        <v>0.05</v>
      </c>
      <c r="N5819" s="464">
        <f t="shared" si="197"/>
        <v>228157</v>
      </c>
    </row>
    <row r="5820" spans="7:14" ht="11.25" customHeight="1" x14ac:dyDescent="0.3">
      <c r="G5820" s="459"/>
      <c r="H5820" s="459">
        <v>5813</v>
      </c>
      <c r="I5820" s="444">
        <f t="shared" ca="1" si="195"/>
        <v>-1.7454340066763778E+16</v>
      </c>
      <c r="J5820" s="444">
        <f t="array" ref="J5820">IFERROR(INDEX('Retirement Calculator'!K:K,MATCH('Lorri 401b'!N5820,'Retirement Calculator'!A:A,0),0),0)</f>
        <v>0</v>
      </c>
      <c r="K5820" s="444">
        <f t="shared" ca="1" si="193"/>
        <v>-72726416944849.078</v>
      </c>
      <c r="L5820" s="444">
        <f t="shared" ca="1" si="194"/>
        <v>-1.7527066483708628E+16</v>
      </c>
      <c r="M5820" s="460">
        <f t="shared" si="196"/>
        <v>0.05</v>
      </c>
      <c r="N5820" s="464">
        <f t="shared" si="197"/>
        <v>228187</v>
      </c>
    </row>
    <row r="5821" spans="7:14" ht="11.25" customHeight="1" x14ac:dyDescent="0.3">
      <c r="G5821" s="459"/>
      <c r="H5821" s="459">
        <v>5814</v>
      </c>
      <c r="I5821" s="444">
        <f t="shared" ca="1" si="195"/>
        <v>-1.7527066483708628E+16</v>
      </c>
      <c r="J5821" s="444">
        <f t="array" ref="J5821">IFERROR(INDEX('Retirement Calculator'!K:K,MATCH('Lorri 401b'!N5821,'Retirement Calculator'!A:A,0),0),0)</f>
        <v>0</v>
      </c>
      <c r="K5821" s="444">
        <f t="shared" ca="1" si="193"/>
        <v>-73029443682119.281</v>
      </c>
      <c r="L5821" s="444">
        <f t="shared" ca="1" si="194"/>
        <v>-1.7600095927390748E+16</v>
      </c>
      <c r="M5821" s="460">
        <f t="shared" si="196"/>
        <v>0.05</v>
      </c>
      <c r="N5821" s="464">
        <f t="shared" si="197"/>
        <v>228218</v>
      </c>
    </row>
    <row r="5822" spans="7:14" ht="11.25" customHeight="1" x14ac:dyDescent="0.3">
      <c r="G5822" s="459"/>
      <c r="H5822" s="459">
        <v>5815</v>
      </c>
      <c r="I5822" s="444">
        <f t="shared" ca="1" si="195"/>
        <v>-1.7600095927390748E+16</v>
      </c>
      <c r="J5822" s="444">
        <f t="array" ref="J5822">IFERROR(INDEX('Retirement Calculator'!K:K,MATCH('Lorri 401b'!N5822,'Retirement Calculator'!A:A,0),0),0)</f>
        <v>0</v>
      </c>
      <c r="K5822" s="444">
        <f t="shared" ca="1" si="193"/>
        <v>-73333733030794.781</v>
      </c>
      <c r="L5822" s="444">
        <f t="shared" ca="1" si="194"/>
        <v>-1.7673429660421542E+16</v>
      </c>
      <c r="M5822" s="460">
        <f t="shared" si="196"/>
        <v>0.05</v>
      </c>
      <c r="N5822" s="464">
        <f t="shared" si="197"/>
        <v>228248</v>
      </c>
    </row>
    <row r="5823" spans="7:14" ht="11.25" customHeight="1" x14ac:dyDescent="0.3">
      <c r="G5823" s="459"/>
      <c r="H5823" s="459">
        <v>5816</v>
      </c>
      <c r="I5823" s="444">
        <f t="shared" ca="1" si="195"/>
        <v>-1.7673429660421542E+16</v>
      </c>
      <c r="J5823" s="444">
        <f t="array" ref="J5823">IFERROR(INDEX('Retirement Calculator'!K:K,MATCH('Lorri 401b'!N5823,'Retirement Calculator'!A:A,0),0),0)</f>
        <v>0</v>
      </c>
      <c r="K5823" s="444">
        <f t="shared" ca="1" si="193"/>
        <v>-73639290251756.422</v>
      </c>
      <c r="L5823" s="444">
        <f t="shared" ca="1" si="194"/>
        <v>-1.7747068950673298E+16</v>
      </c>
      <c r="M5823" s="460">
        <f t="shared" si="196"/>
        <v>0.05</v>
      </c>
      <c r="N5823" s="464">
        <f t="shared" si="197"/>
        <v>228279</v>
      </c>
    </row>
    <row r="5824" spans="7:14" ht="11.25" customHeight="1" x14ac:dyDescent="0.3">
      <c r="G5824" s="459"/>
      <c r="H5824" s="459">
        <v>5817</v>
      </c>
      <c r="I5824" s="444">
        <f t="shared" ca="1" si="195"/>
        <v>-1.7747068950673298E+16</v>
      </c>
      <c r="J5824" s="444">
        <f t="array" ref="J5824">IFERROR(INDEX('Retirement Calculator'!K:K,MATCH('Lorri 401b'!N5824,'Retirement Calculator'!A:A,0),0),0)</f>
        <v>0</v>
      </c>
      <c r="K5824" s="444">
        <f t="shared" ca="1" si="193"/>
        <v>-73946120627805.422</v>
      </c>
      <c r="L5824" s="444">
        <f t="shared" ca="1" si="194"/>
        <v>-1.7821015071301104E+16</v>
      </c>
      <c r="M5824" s="460">
        <f t="shared" si="196"/>
        <v>0.05</v>
      </c>
      <c r="N5824" s="464">
        <f t="shared" si="197"/>
        <v>228310</v>
      </c>
    </row>
    <row r="5825" spans="7:14" ht="11.25" customHeight="1" x14ac:dyDescent="0.3">
      <c r="G5825" s="459"/>
      <c r="H5825" s="459">
        <v>5818</v>
      </c>
      <c r="I5825" s="444">
        <f t="shared" ca="1" si="195"/>
        <v>-1.7821015071301104E+16</v>
      </c>
      <c r="J5825" s="444">
        <f t="array" ref="J5825">IFERROR(INDEX('Retirement Calculator'!K:K,MATCH('Lorri 401b'!N5825,'Retirement Calculator'!A:A,0),0),0)</f>
        <v>0</v>
      </c>
      <c r="K5825" s="444">
        <f t="shared" ca="1" si="193"/>
        <v>-74254229463754.594</v>
      </c>
      <c r="L5825" s="444">
        <f t="shared" ca="1" si="194"/>
        <v>-1.7895269300764858E+16</v>
      </c>
      <c r="M5825" s="460">
        <f t="shared" si="196"/>
        <v>0.05</v>
      </c>
      <c r="N5825" s="464">
        <f t="shared" si="197"/>
        <v>228338</v>
      </c>
    </row>
    <row r="5826" spans="7:14" ht="11.25" customHeight="1" x14ac:dyDescent="0.3">
      <c r="G5826" s="459"/>
      <c r="H5826" s="459">
        <v>5819</v>
      </c>
      <c r="I5826" s="444">
        <f t="shared" ca="1" si="195"/>
        <v>-1.7895269300764858E+16</v>
      </c>
      <c r="J5826" s="444">
        <f t="array" ref="J5826">IFERROR(INDEX('Retirement Calculator'!K:K,MATCH('Lorri 401b'!N5826,'Retirement Calculator'!A:A,0),0),0)</f>
        <v>0</v>
      </c>
      <c r="K5826" s="444">
        <f t="shared" ca="1" si="193"/>
        <v>-74563622086520.234</v>
      </c>
      <c r="L5826" s="444">
        <f t="shared" ca="1" si="194"/>
        <v>-1.7969832922851378E+16</v>
      </c>
      <c r="M5826" s="460">
        <f t="shared" si="196"/>
        <v>0.05</v>
      </c>
      <c r="N5826" s="464">
        <f t="shared" si="197"/>
        <v>228369</v>
      </c>
    </row>
    <row r="5827" spans="7:14" ht="11.25" customHeight="1" x14ac:dyDescent="0.3">
      <c r="G5827" s="459"/>
      <c r="H5827" s="459">
        <v>5820</v>
      </c>
      <c r="I5827" s="444">
        <f t="shared" ca="1" si="195"/>
        <v>-1.7969832922851378E+16</v>
      </c>
      <c r="J5827" s="444">
        <f t="array" ref="J5827">IFERROR(INDEX('Retirement Calculator'!K:K,MATCH('Lorri 401b'!N5827,'Retirement Calculator'!A:A,0),0),0)</f>
        <v>0</v>
      </c>
      <c r="K5827" s="444">
        <f t="shared" ca="1" si="193"/>
        <v>-74874303845214.063</v>
      </c>
      <c r="L5827" s="444">
        <f t="shared" ca="1" si="194"/>
        <v>-1.8044707226696592E+16</v>
      </c>
      <c r="M5827" s="460">
        <f t="shared" si="196"/>
        <v>0.05</v>
      </c>
      <c r="N5827" s="464">
        <f t="shared" si="197"/>
        <v>228399</v>
      </c>
    </row>
    <row r="5828" spans="7:14" ht="11.25" customHeight="1" x14ac:dyDescent="0.3">
      <c r="G5828" s="459"/>
      <c r="H5828" s="459">
        <v>5821</v>
      </c>
      <c r="I5828" s="444">
        <f t="shared" ca="1" si="195"/>
        <v>-1.8044707226696592E+16</v>
      </c>
      <c r="J5828" s="444">
        <f t="array" ref="J5828">IFERROR(INDEX('Retirement Calculator'!K:K,MATCH('Lorri 401b'!N5828,'Retirement Calculator'!A:A,0),0),0)</f>
        <v>0</v>
      </c>
      <c r="K5828" s="444">
        <f t="shared" ca="1" si="193"/>
        <v>-75186280111235.797</v>
      </c>
      <c r="L5828" s="444">
        <f t="shared" ca="1" si="194"/>
        <v>-1.8119893506807828E+16</v>
      </c>
      <c r="M5828" s="460">
        <f t="shared" si="196"/>
        <v>0.05</v>
      </c>
      <c r="N5828" s="464">
        <f t="shared" si="197"/>
        <v>228430</v>
      </c>
    </row>
    <row r="5829" spans="7:14" ht="11.25" customHeight="1" x14ac:dyDescent="0.3">
      <c r="G5829" s="459"/>
      <c r="H5829" s="459">
        <v>5822</v>
      </c>
      <c r="I5829" s="444">
        <f t="shared" ca="1" si="195"/>
        <v>-1.8119893506807828E+16</v>
      </c>
      <c r="J5829" s="444">
        <f t="array" ref="J5829">IFERROR(INDEX('Retirement Calculator'!K:K,MATCH('Lorri 401b'!N5829,'Retirement Calculator'!A:A,0),0),0)</f>
        <v>0</v>
      </c>
      <c r="K5829" s="444">
        <f t="shared" ca="1" si="193"/>
        <v>-75499556278365.953</v>
      </c>
      <c r="L5829" s="444">
        <f t="shared" ca="1" si="194"/>
        <v>-1.8195393063086192E+16</v>
      </c>
      <c r="M5829" s="460">
        <f t="shared" si="196"/>
        <v>0.05</v>
      </c>
      <c r="N5829" s="464">
        <f t="shared" si="197"/>
        <v>228460</v>
      </c>
    </row>
    <row r="5830" spans="7:14" ht="11.25" customHeight="1" x14ac:dyDescent="0.3">
      <c r="G5830" s="459"/>
      <c r="H5830" s="459">
        <v>5823</v>
      </c>
      <c r="I5830" s="444">
        <f t="shared" ca="1" si="195"/>
        <v>-1.8195393063086192E+16</v>
      </c>
      <c r="J5830" s="444">
        <f t="array" ref="J5830">IFERROR(INDEX('Retirement Calculator'!K:K,MATCH('Lorri 401b'!N5830,'Retirement Calculator'!A:A,0),0),0)</f>
        <v>0</v>
      </c>
      <c r="K5830" s="444">
        <f t="shared" ca="1" si="193"/>
        <v>-75814137762859.125</v>
      </c>
      <c r="L5830" s="444">
        <f t="shared" ca="1" si="194"/>
        <v>-1.8271207200849052E+16</v>
      </c>
      <c r="M5830" s="460">
        <f t="shared" si="196"/>
        <v>0.05</v>
      </c>
      <c r="N5830" s="464">
        <f t="shared" si="197"/>
        <v>228491</v>
      </c>
    </row>
    <row r="5831" spans="7:14" ht="11.25" customHeight="1" x14ac:dyDescent="0.3">
      <c r="G5831" s="459"/>
      <c r="H5831" s="459">
        <v>5824</v>
      </c>
      <c r="I5831" s="444">
        <f t="shared" ca="1" si="195"/>
        <v>-1.8271207200849052E+16</v>
      </c>
      <c r="J5831" s="444">
        <f t="array" ref="J5831">IFERROR(INDEX('Retirement Calculator'!K:K,MATCH('Lorri 401b'!N5831,'Retirement Calculator'!A:A,0),0),0)</f>
        <v>0</v>
      </c>
      <c r="K5831" s="444">
        <f t="shared" ca="1" si="193"/>
        <v>-76130030003537.719</v>
      </c>
      <c r="L5831" s="444">
        <f t="shared" ca="1" si="194"/>
        <v>-1.8347337230852588E+16</v>
      </c>
      <c r="M5831" s="460">
        <f t="shared" si="196"/>
        <v>0.05</v>
      </c>
      <c r="N5831" s="464">
        <f t="shared" si="197"/>
        <v>228522</v>
      </c>
    </row>
    <row r="5832" spans="7:14" ht="11.25" customHeight="1" x14ac:dyDescent="0.3">
      <c r="G5832" s="459"/>
      <c r="H5832" s="459">
        <v>5825</v>
      </c>
      <c r="I5832" s="444">
        <f t="shared" ca="1" si="195"/>
        <v>-1.8347337230852588E+16</v>
      </c>
      <c r="J5832" s="444">
        <f t="array" ref="J5832">IFERROR(INDEX('Retirement Calculator'!K:K,MATCH('Lorri 401b'!N5832,'Retirement Calculator'!A:A,0),0),0)</f>
        <v>0</v>
      </c>
      <c r="K5832" s="444">
        <f t="shared" ca="1" si="193"/>
        <v>-76447238461885.781</v>
      </c>
      <c r="L5832" s="444">
        <f t="shared" ca="1" si="194"/>
        <v>-1.8423784469314472E+16</v>
      </c>
      <c r="M5832" s="460">
        <f t="shared" si="196"/>
        <v>0.05</v>
      </c>
      <c r="N5832" s="464">
        <f t="shared" si="197"/>
        <v>228552</v>
      </c>
    </row>
    <row r="5833" spans="7:14" ht="11.25" customHeight="1" x14ac:dyDescent="0.3">
      <c r="G5833" s="459"/>
      <c r="H5833" s="459">
        <v>5826</v>
      </c>
      <c r="I5833" s="444">
        <f t="shared" ca="1" si="195"/>
        <v>-1.8423784469314472E+16</v>
      </c>
      <c r="J5833" s="444">
        <f t="array" ref="J5833">IFERROR(INDEX('Retirement Calculator'!K:K,MATCH('Lorri 401b'!N5833,'Retirement Calculator'!A:A,0),0),0)</f>
        <v>0</v>
      </c>
      <c r="K5833" s="444">
        <f t="shared" ca="1" si="193"/>
        <v>-76765768622143.625</v>
      </c>
      <c r="L5833" s="444">
        <f t="shared" ca="1" si="194"/>
        <v>-1.8500550237936616E+16</v>
      </c>
      <c r="M5833" s="460">
        <f t="shared" si="196"/>
        <v>0.05</v>
      </c>
      <c r="N5833" s="464">
        <f t="shared" si="197"/>
        <v>228583</v>
      </c>
    </row>
    <row r="5834" spans="7:14" ht="11.25" customHeight="1" x14ac:dyDescent="0.3">
      <c r="G5834" s="459"/>
      <c r="H5834" s="459">
        <v>5827</v>
      </c>
      <c r="I5834" s="444">
        <f t="shared" ca="1" si="195"/>
        <v>-1.8500550237936616E+16</v>
      </c>
      <c r="J5834" s="444">
        <f t="array" ref="J5834">IFERROR(INDEX('Retirement Calculator'!K:K,MATCH('Lorri 401b'!N5834,'Retirement Calculator'!A:A,0),0),0)</f>
        <v>0</v>
      </c>
      <c r="K5834" s="444">
        <f t="shared" ca="1" si="193"/>
        <v>-77085625991402.563</v>
      </c>
      <c r="L5834" s="444">
        <f t="shared" ca="1" si="194"/>
        <v>-1.857763586392802E+16</v>
      </c>
      <c r="M5834" s="460">
        <f t="shared" si="196"/>
        <v>0.05</v>
      </c>
      <c r="N5834" s="464">
        <f t="shared" si="197"/>
        <v>228613</v>
      </c>
    </row>
    <row r="5835" spans="7:14" ht="11.25" customHeight="1" x14ac:dyDescent="0.3">
      <c r="G5835" s="459"/>
      <c r="H5835" s="459">
        <v>5828</v>
      </c>
      <c r="I5835" s="444">
        <f t="shared" ca="1" si="195"/>
        <v>-1.857763586392802E+16</v>
      </c>
      <c r="J5835" s="444">
        <f t="array" ref="J5835">IFERROR(INDEX('Retirement Calculator'!K:K,MATCH('Lorri 401b'!N5835,'Retirement Calculator'!A:A,0),0),0)</f>
        <v>0</v>
      </c>
      <c r="K5835" s="444">
        <f t="shared" ca="1" si="193"/>
        <v>-77406816099700.078</v>
      </c>
      <c r="L5835" s="444">
        <f t="shared" ca="1" si="194"/>
        <v>-1.865504268002772E+16</v>
      </c>
      <c r="M5835" s="460">
        <f t="shared" si="196"/>
        <v>0.05</v>
      </c>
      <c r="N5835" s="464">
        <f t="shared" si="197"/>
        <v>228644</v>
      </c>
    </row>
    <row r="5836" spans="7:14" ht="11.25" customHeight="1" x14ac:dyDescent="0.3">
      <c r="G5836" s="459"/>
      <c r="H5836" s="459">
        <v>5829</v>
      </c>
      <c r="I5836" s="444">
        <f t="shared" ca="1" si="195"/>
        <v>-1.865504268002772E+16</v>
      </c>
      <c r="J5836" s="444">
        <f t="array" ref="J5836">IFERROR(INDEX('Retirement Calculator'!K:K,MATCH('Lorri 401b'!N5836,'Retirement Calculator'!A:A,0),0),0)</f>
        <v>0</v>
      </c>
      <c r="K5836" s="444">
        <f t="shared" ca="1" si="193"/>
        <v>-77729344500115.5</v>
      </c>
      <c r="L5836" s="444">
        <f t="shared" ca="1" si="194"/>
        <v>-1.8732772024527836E+16</v>
      </c>
      <c r="M5836" s="460">
        <f t="shared" si="196"/>
        <v>0.05</v>
      </c>
      <c r="N5836" s="464">
        <f t="shared" si="197"/>
        <v>228675</v>
      </c>
    </row>
    <row r="5837" spans="7:14" ht="11.25" customHeight="1" x14ac:dyDescent="0.3">
      <c r="G5837" s="459"/>
      <c r="H5837" s="459">
        <v>5830</v>
      </c>
      <c r="I5837" s="444">
        <f t="shared" ca="1" si="195"/>
        <v>-1.8732772024527836E+16</v>
      </c>
      <c r="J5837" s="444">
        <f t="array" ref="J5837">IFERROR(INDEX('Retirement Calculator'!K:K,MATCH('Lorri 401b'!N5837,'Retirement Calculator'!A:A,0),0),0)</f>
        <v>0</v>
      </c>
      <c r="K5837" s="444">
        <f t="shared" ca="1" si="193"/>
        <v>-78053216768865.984</v>
      </c>
      <c r="L5837" s="444">
        <f t="shared" ca="1" si="194"/>
        <v>-1.88108252412967E+16</v>
      </c>
      <c r="M5837" s="460">
        <f t="shared" si="196"/>
        <v>0.05</v>
      </c>
      <c r="N5837" s="464">
        <f t="shared" si="197"/>
        <v>228703</v>
      </c>
    </row>
    <row r="5838" spans="7:14" ht="11.25" customHeight="1" x14ac:dyDescent="0.3">
      <c r="G5838" s="459"/>
      <c r="H5838" s="459">
        <v>5831</v>
      </c>
      <c r="I5838" s="444">
        <f t="shared" ca="1" si="195"/>
        <v>-1.88108252412967E+16</v>
      </c>
      <c r="J5838" s="444">
        <f t="array" ref="J5838">IFERROR(INDEX('Retirement Calculator'!K:K,MATCH('Lorri 401b'!N5838,'Retirement Calculator'!A:A,0),0),0)</f>
        <v>0</v>
      </c>
      <c r="K5838" s="444">
        <f t="shared" ca="1" si="193"/>
        <v>-78378438505402.922</v>
      </c>
      <c r="L5838" s="444">
        <f t="shared" ca="1" si="194"/>
        <v>-1.8889203679802104E+16</v>
      </c>
      <c r="M5838" s="460">
        <f t="shared" si="196"/>
        <v>0.05</v>
      </c>
      <c r="N5838" s="464">
        <f t="shared" si="197"/>
        <v>228734</v>
      </c>
    </row>
    <row r="5839" spans="7:14" ht="11.25" customHeight="1" x14ac:dyDescent="0.3">
      <c r="G5839" s="459"/>
      <c r="H5839" s="459">
        <v>5832</v>
      </c>
      <c r="I5839" s="444">
        <f t="shared" ca="1" si="195"/>
        <v>-1.8889203679802104E+16</v>
      </c>
      <c r="J5839" s="444">
        <f t="array" ref="J5839">IFERROR(INDEX('Retirement Calculator'!K:K,MATCH('Lorri 401b'!N5839,'Retirement Calculator'!A:A,0),0),0)</f>
        <v>0</v>
      </c>
      <c r="K5839" s="444">
        <f t="shared" ca="1" si="193"/>
        <v>-78705015332508.766</v>
      </c>
      <c r="L5839" s="444">
        <f t="shared" ca="1" si="194"/>
        <v>-1.8967908695134612E+16</v>
      </c>
      <c r="M5839" s="460">
        <f t="shared" si="196"/>
        <v>0.05</v>
      </c>
      <c r="N5839" s="464">
        <f t="shared" si="197"/>
        <v>228764</v>
      </c>
    </row>
    <row r="5840" spans="7:14" ht="11.25" customHeight="1" x14ac:dyDescent="0.3">
      <c r="G5840" s="459"/>
      <c r="H5840" s="459">
        <v>5833</v>
      </c>
      <c r="I5840" s="444">
        <f t="shared" ca="1" si="195"/>
        <v>-1.8967908695134612E+16</v>
      </c>
      <c r="J5840" s="444">
        <f t="array" ref="J5840">IFERROR(INDEX('Retirement Calculator'!K:K,MATCH('Lorri 401b'!N5840,'Retirement Calculator'!A:A,0),0),0)</f>
        <v>0</v>
      </c>
      <c r="K5840" s="444">
        <f t="shared" ca="1" si="193"/>
        <v>-79032952896394.219</v>
      </c>
      <c r="L5840" s="444">
        <f t="shared" ca="1" si="194"/>
        <v>-1.9046941648031008E+16</v>
      </c>
      <c r="M5840" s="460">
        <f t="shared" si="196"/>
        <v>0.05</v>
      </c>
      <c r="N5840" s="464">
        <f t="shared" si="197"/>
        <v>228795</v>
      </c>
    </row>
    <row r="5841" spans="7:14" ht="11.25" customHeight="1" x14ac:dyDescent="0.3">
      <c r="G5841" s="459"/>
      <c r="H5841" s="459">
        <v>5834</v>
      </c>
      <c r="I5841" s="444">
        <f t="shared" ca="1" si="195"/>
        <v>-1.9046941648031008E+16</v>
      </c>
      <c r="J5841" s="444">
        <f t="array" ref="J5841">IFERROR(INDEX('Retirement Calculator'!K:K,MATCH('Lorri 401b'!N5841,'Retirement Calculator'!A:A,0),0),0)</f>
        <v>0</v>
      </c>
      <c r="K5841" s="444">
        <f t="shared" ca="1" si="193"/>
        <v>-79362256866795.859</v>
      </c>
      <c r="L5841" s="444">
        <f t="shared" ca="1" si="194"/>
        <v>-1.9126303904897804E+16</v>
      </c>
      <c r="M5841" s="460">
        <f t="shared" si="196"/>
        <v>0.05</v>
      </c>
      <c r="N5841" s="464">
        <f t="shared" si="197"/>
        <v>228825</v>
      </c>
    </row>
    <row r="5842" spans="7:14" ht="11.25" customHeight="1" x14ac:dyDescent="0.3">
      <c r="G5842" s="459"/>
      <c r="H5842" s="459">
        <v>5835</v>
      </c>
      <c r="I5842" s="444">
        <f t="shared" ca="1" si="195"/>
        <v>-1.9126303904897804E+16</v>
      </c>
      <c r="J5842" s="444">
        <f t="array" ref="J5842">IFERROR(INDEX('Retirement Calculator'!K:K,MATCH('Lorri 401b'!N5842,'Retirement Calculator'!A:A,0),0),0)</f>
        <v>0</v>
      </c>
      <c r="K5842" s="444">
        <f t="shared" ca="1" si="193"/>
        <v>-79692932937074.188</v>
      </c>
      <c r="L5842" s="444">
        <f t="shared" ca="1" si="194"/>
        <v>-1.920599683783488E+16</v>
      </c>
      <c r="M5842" s="460">
        <f t="shared" si="196"/>
        <v>0.05</v>
      </c>
      <c r="N5842" s="464">
        <f t="shared" si="197"/>
        <v>228856</v>
      </c>
    </row>
    <row r="5843" spans="7:14" ht="11.25" customHeight="1" x14ac:dyDescent="0.3">
      <c r="G5843" s="459"/>
      <c r="H5843" s="459">
        <v>5836</v>
      </c>
      <c r="I5843" s="444">
        <f t="shared" ca="1" si="195"/>
        <v>-1.920599683783488E+16</v>
      </c>
      <c r="J5843" s="444">
        <f t="array" ref="J5843">IFERROR(INDEX('Retirement Calculator'!K:K,MATCH('Lorri 401b'!N5843,'Retirement Calculator'!A:A,0),0),0)</f>
        <v>0</v>
      </c>
      <c r="K5843" s="444">
        <f t="shared" ca="1" si="193"/>
        <v>-80024986824312</v>
      </c>
      <c r="L5843" s="444">
        <f t="shared" ca="1" si="194"/>
        <v>-1.9286021824659192E+16</v>
      </c>
      <c r="M5843" s="460">
        <f t="shared" si="196"/>
        <v>0.05</v>
      </c>
      <c r="N5843" s="464">
        <f t="shared" si="197"/>
        <v>228887</v>
      </c>
    </row>
    <row r="5844" spans="7:14" ht="11.25" customHeight="1" x14ac:dyDescent="0.3">
      <c r="G5844" s="459"/>
      <c r="H5844" s="459">
        <v>5837</v>
      </c>
      <c r="I5844" s="444">
        <f t="shared" ca="1" si="195"/>
        <v>-1.9286021824659192E+16</v>
      </c>
      <c r="J5844" s="444">
        <f t="array" ref="J5844">IFERROR(INDEX('Retirement Calculator'!K:K,MATCH('Lorri 401b'!N5844,'Retirement Calculator'!A:A,0),0),0)</f>
        <v>0</v>
      </c>
      <c r="K5844" s="444">
        <f t="shared" ca="1" si="193"/>
        <v>-80358424269413.297</v>
      </c>
      <c r="L5844" s="444">
        <f t="shared" ca="1" si="194"/>
        <v>-1.9366380248928604E+16</v>
      </c>
      <c r="M5844" s="460">
        <f t="shared" si="196"/>
        <v>0.05</v>
      </c>
      <c r="N5844" s="464">
        <f t="shared" si="197"/>
        <v>228917</v>
      </c>
    </row>
    <row r="5845" spans="7:14" ht="11.25" customHeight="1" x14ac:dyDescent="0.3">
      <c r="G5845" s="459"/>
      <c r="H5845" s="459">
        <v>5838</v>
      </c>
      <c r="I5845" s="444">
        <f t="shared" ca="1" si="195"/>
        <v>-1.9366380248928604E+16</v>
      </c>
      <c r="J5845" s="444">
        <f t="array" ref="J5845">IFERROR(INDEX('Retirement Calculator'!K:K,MATCH('Lorri 401b'!N5845,'Retirement Calculator'!A:A,0),0),0)</f>
        <v>0</v>
      </c>
      <c r="K5845" s="444">
        <f t="shared" ca="1" si="193"/>
        <v>-80693251037202.516</v>
      </c>
      <c r="L5845" s="444">
        <f t="shared" ca="1" si="194"/>
        <v>-1.9447073499965808E+16</v>
      </c>
      <c r="M5845" s="460">
        <f t="shared" si="196"/>
        <v>0.05</v>
      </c>
      <c r="N5845" s="464">
        <f t="shared" si="197"/>
        <v>228948</v>
      </c>
    </row>
    <row r="5846" spans="7:14" ht="11.25" customHeight="1" x14ac:dyDescent="0.3">
      <c r="G5846" s="459"/>
      <c r="H5846" s="459">
        <v>5839</v>
      </c>
      <c r="I5846" s="444">
        <f t="shared" ca="1" si="195"/>
        <v>-1.9447073499965808E+16</v>
      </c>
      <c r="J5846" s="444">
        <f t="array" ref="J5846">IFERROR(INDEX('Retirement Calculator'!K:K,MATCH('Lorri 401b'!N5846,'Retirement Calculator'!A:A,0),0),0)</f>
        <v>0</v>
      </c>
      <c r="K5846" s="444">
        <f t="shared" ca="1" si="193"/>
        <v>-81029472916524.203</v>
      </c>
      <c r="L5846" s="444">
        <f t="shared" ca="1" si="194"/>
        <v>-1.9528102972882332E+16</v>
      </c>
      <c r="M5846" s="460">
        <f t="shared" si="196"/>
        <v>0.05</v>
      </c>
      <c r="N5846" s="464">
        <f t="shared" si="197"/>
        <v>228978</v>
      </c>
    </row>
    <row r="5847" spans="7:14" ht="11.25" customHeight="1" x14ac:dyDescent="0.3">
      <c r="G5847" s="459"/>
      <c r="H5847" s="459">
        <v>5840</v>
      </c>
      <c r="I5847" s="444">
        <f t="shared" ca="1" si="195"/>
        <v>-1.9528102972882332E+16</v>
      </c>
      <c r="J5847" s="444">
        <f t="array" ref="J5847">IFERROR(INDEX('Retirement Calculator'!K:K,MATCH('Lorri 401b'!N5847,'Retirement Calculator'!A:A,0),0),0)</f>
        <v>0</v>
      </c>
      <c r="K5847" s="444">
        <f t="shared" ca="1" si="193"/>
        <v>-81367095720343.047</v>
      </c>
      <c r="L5847" s="444">
        <f t="shared" ca="1" si="194"/>
        <v>-1.9609470068602676E+16</v>
      </c>
      <c r="M5847" s="460">
        <f t="shared" si="196"/>
        <v>0.05</v>
      </c>
      <c r="N5847" s="464">
        <f t="shared" si="197"/>
        <v>229009</v>
      </c>
    </row>
    <row r="5848" spans="7:14" ht="11.25" customHeight="1" x14ac:dyDescent="0.3">
      <c r="G5848" s="459"/>
      <c r="H5848" s="459">
        <v>5841</v>
      </c>
      <c r="I5848" s="444">
        <f t="shared" ca="1" si="195"/>
        <v>-1.9609470068602676E+16</v>
      </c>
      <c r="J5848" s="444">
        <f t="array" ref="J5848">IFERROR(INDEX('Retirement Calculator'!K:K,MATCH('Lorri 401b'!N5848,'Retirement Calculator'!A:A,0),0),0)</f>
        <v>0</v>
      </c>
      <c r="K5848" s="444">
        <f t="shared" ca="1" si="193"/>
        <v>-81706125285844.484</v>
      </c>
      <c r="L5848" s="444">
        <f t="shared" ca="1" si="194"/>
        <v>-1.969117619388852E+16</v>
      </c>
      <c r="M5848" s="460">
        <f t="shared" si="196"/>
        <v>0.05</v>
      </c>
      <c r="N5848" s="464">
        <f t="shared" si="197"/>
        <v>229040</v>
      </c>
    </row>
    <row r="5849" spans="7:14" ht="11.25" customHeight="1" x14ac:dyDescent="0.3">
      <c r="G5849" s="459"/>
      <c r="H5849" s="459">
        <v>5842</v>
      </c>
      <c r="I5849" s="444">
        <f t="shared" ca="1" si="195"/>
        <v>-1.969117619388852E+16</v>
      </c>
      <c r="J5849" s="444">
        <f t="array" ref="J5849">IFERROR(INDEX('Retirement Calculator'!K:K,MATCH('Lorri 401b'!N5849,'Retirement Calculator'!A:A,0),0),0)</f>
        <v>0</v>
      </c>
      <c r="K5849" s="444">
        <f t="shared" ca="1" si="193"/>
        <v>-82046567474535.5</v>
      </c>
      <c r="L5849" s="444">
        <f t="shared" ca="1" si="194"/>
        <v>-1.9773222761363056E+16</v>
      </c>
      <c r="M5849" s="460">
        <f t="shared" si="196"/>
        <v>0.05</v>
      </c>
      <c r="N5849" s="464">
        <f t="shared" si="197"/>
        <v>229068</v>
      </c>
    </row>
    <row r="5850" spans="7:14" ht="11.25" customHeight="1" x14ac:dyDescent="0.3">
      <c r="G5850" s="459"/>
      <c r="H5850" s="459">
        <v>5843</v>
      </c>
      <c r="I5850" s="444">
        <f t="shared" ca="1" si="195"/>
        <v>-1.9773222761363056E+16</v>
      </c>
      <c r="J5850" s="444">
        <f t="array" ref="J5850">IFERROR(INDEX('Retirement Calculator'!K:K,MATCH('Lorri 401b'!N5850,'Retirement Calculator'!A:A,0),0),0)</f>
        <v>0</v>
      </c>
      <c r="K5850" s="444">
        <f t="shared" ca="1" si="193"/>
        <v>-82388428172346.063</v>
      </c>
      <c r="L5850" s="444">
        <f t="shared" ca="1" si="194"/>
        <v>-1.9855611189535404E+16</v>
      </c>
      <c r="M5850" s="460">
        <f t="shared" si="196"/>
        <v>0.05</v>
      </c>
      <c r="N5850" s="464">
        <f t="shared" si="197"/>
        <v>229099</v>
      </c>
    </row>
    <row r="5851" spans="7:14" ht="11.25" customHeight="1" x14ac:dyDescent="0.3">
      <c r="G5851" s="459"/>
      <c r="H5851" s="459">
        <v>5844</v>
      </c>
      <c r="I5851" s="444">
        <f t="shared" ca="1" si="195"/>
        <v>-1.9855611189535404E+16</v>
      </c>
      <c r="J5851" s="444">
        <f t="array" ref="J5851">IFERROR(INDEX('Retirement Calculator'!K:K,MATCH('Lorri 401b'!N5851,'Retirement Calculator'!A:A,0),0),0)</f>
        <v>0</v>
      </c>
      <c r="K5851" s="444">
        <f t="shared" ca="1" si="193"/>
        <v>-82731713289730.844</v>
      </c>
      <c r="L5851" s="444">
        <f t="shared" ca="1" si="194"/>
        <v>-1.9938342902825136E+16</v>
      </c>
      <c r="M5851" s="460">
        <f t="shared" si="196"/>
        <v>0.05</v>
      </c>
      <c r="N5851" s="464">
        <f t="shared" si="197"/>
        <v>229129</v>
      </c>
    </row>
    <row r="5852" spans="7:14" ht="11.25" customHeight="1" x14ac:dyDescent="0.3">
      <c r="G5852" s="459"/>
      <c r="H5852" s="459">
        <v>5845</v>
      </c>
      <c r="I5852" s="444">
        <f t="shared" ca="1" si="195"/>
        <v>-1.9938342902825136E+16</v>
      </c>
      <c r="J5852" s="444">
        <f t="array" ref="J5852">IFERROR(INDEX('Retirement Calculator'!K:K,MATCH('Lorri 401b'!N5852,'Retirement Calculator'!A:A,0),0),0)</f>
        <v>0</v>
      </c>
      <c r="K5852" s="444">
        <f t="shared" ca="1" si="193"/>
        <v>-83076428761771.406</v>
      </c>
      <c r="L5852" s="444">
        <f t="shared" ca="1" si="194"/>
        <v>-2.0021419331586908E+16</v>
      </c>
      <c r="M5852" s="460">
        <f t="shared" si="196"/>
        <v>0.05</v>
      </c>
      <c r="N5852" s="464">
        <f t="shared" si="197"/>
        <v>229160</v>
      </c>
    </row>
    <row r="5853" spans="7:14" ht="11.25" customHeight="1" x14ac:dyDescent="0.3">
      <c r="G5853" s="459"/>
      <c r="H5853" s="459">
        <v>5846</v>
      </c>
      <c r="I5853" s="444">
        <f t="shared" ca="1" si="195"/>
        <v>-2.0021419331586908E+16</v>
      </c>
      <c r="J5853" s="444">
        <f t="array" ref="J5853">IFERROR(INDEX('Retirement Calculator'!K:K,MATCH('Lorri 401b'!N5853,'Retirement Calculator'!A:A,0),0),0)</f>
        <v>0</v>
      </c>
      <c r="K5853" s="444">
        <f t="shared" ca="1" si="193"/>
        <v>-83422580548278.781</v>
      </c>
      <c r="L5853" s="444">
        <f t="shared" ca="1" si="194"/>
        <v>-2.0104841912135188E+16</v>
      </c>
      <c r="M5853" s="460">
        <f t="shared" si="196"/>
        <v>0.05</v>
      </c>
      <c r="N5853" s="464">
        <f t="shared" si="197"/>
        <v>229190</v>
      </c>
    </row>
    <row r="5854" spans="7:14" ht="11.25" customHeight="1" x14ac:dyDescent="0.3">
      <c r="G5854" s="459"/>
      <c r="H5854" s="459">
        <v>5847</v>
      </c>
      <c r="I5854" s="444">
        <f t="shared" ca="1" si="195"/>
        <v>-2.0104841912135188E+16</v>
      </c>
      <c r="J5854" s="444">
        <f t="array" ref="J5854">IFERROR(INDEX('Retirement Calculator'!K:K,MATCH('Lorri 401b'!N5854,'Retirement Calculator'!A:A,0),0),0)</f>
        <v>0</v>
      </c>
      <c r="K5854" s="444">
        <f t="shared" ca="1" si="193"/>
        <v>-83770174633896.609</v>
      </c>
      <c r="L5854" s="444">
        <f t="shared" ca="1" si="194"/>
        <v>-2.0188612086769084E+16</v>
      </c>
      <c r="M5854" s="460">
        <f t="shared" si="196"/>
        <v>0.05</v>
      </c>
      <c r="N5854" s="464">
        <f t="shared" si="197"/>
        <v>229221</v>
      </c>
    </row>
    <row r="5855" spans="7:14" ht="11.25" customHeight="1" x14ac:dyDescent="0.3">
      <c r="G5855" s="459"/>
      <c r="H5855" s="459">
        <v>5848</v>
      </c>
      <c r="I5855" s="444">
        <f t="shared" ca="1" si="195"/>
        <v>-2.0188612086769084E+16</v>
      </c>
      <c r="J5855" s="444">
        <f t="array" ref="J5855">IFERROR(INDEX('Retirement Calculator'!K:K,MATCH('Lorri 401b'!N5855,'Retirement Calculator'!A:A,0),0),0)</f>
        <v>0</v>
      </c>
      <c r="K5855" s="444">
        <f t="shared" ca="1" si="193"/>
        <v>-84119217028204.516</v>
      </c>
      <c r="L5855" s="444">
        <f t="shared" ca="1" si="194"/>
        <v>-2.0272731303797288E+16</v>
      </c>
      <c r="M5855" s="460">
        <f t="shared" si="196"/>
        <v>0.05</v>
      </c>
      <c r="N5855" s="464">
        <f t="shared" si="197"/>
        <v>229252</v>
      </c>
    </row>
    <row r="5856" spans="7:14" ht="11.25" customHeight="1" x14ac:dyDescent="0.3">
      <c r="G5856" s="459"/>
      <c r="H5856" s="459">
        <v>5849</v>
      </c>
      <c r="I5856" s="444">
        <f t="shared" ca="1" si="195"/>
        <v>-2.0272731303797288E+16</v>
      </c>
      <c r="J5856" s="444">
        <f t="array" ref="J5856">IFERROR(INDEX('Retirement Calculator'!K:K,MATCH('Lorri 401b'!N5856,'Retirement Calculator'!A:A,0),0),0)</f>
        <v>0</v>
      </c>
      <c r="K5856" s="444">
        <f t="shared" ca="1" si="193"/>
        <v>-84469713765822.031</v>
      </c>
      <c r="L5856" s="444">
        <f t="shared" ca="1" si="194"/>
        <v>-2.0357201017563112E+16</v>
      </c>
      <c r="M5856" s="460">
        <f t="shared" si="196"/>
        <v>0.05</v>
      </c>
      <c r="N5856" s="464">
        <f t="shared" si="197"/>
        <v>229282</v>
      </c>
    </row>
    <row r="5857" spans="7:14" ht="11.25" customHeight="1" x14ac:dyDescent="0.3">
      <c r="G5857" s="459"/>
      <c r="H5857" s="459">
        <v>5850</v>
      </c>
      <c r="I5857" s="444">
        <f t="shared" ca="1" si="195"/>
        <v>-2.0357201017563112E+16</v>
      </c>
      <c r="J5857" s="444">
        <f t="array" ref="J5857">IFERROR(INDEX('Retirement Calculator'!K:K,MATCH('Lorri 401b'!N5857,'Retirement Calculator'!A:A,0),0),0)</f>
        <v>0</v>
      </c>
      <c r="K5857" s="444">
        <f t="shared" ca="1" si="193"/>
        <v>-84821670906512.969</v>
      </c>
      <c r="L5857" s="444">
        <f t="shared" ca="1" si="194"/>
        <v>-2.0442022688469624E+16</v>
      </c>
      <c r="M5857" s="460">
        <f t="shared" si="196"/>
        <v>0.05</v>
      </c>
      <c r="N5857" s="464">
        <f t="shared" si="197"/>
        <v>229313</v>
      </c>
    </row>
    <row r="5858" spans="7:14" ht="11.25" customHeight="1" x14ac:dyDescent="0.3">
      <c r="G5858" s="459"/>
      <c r="H5858" s="459">
        <v>5851</v>
      </c>
      <c r="I5858" s="444">
        <f t="shared" ca="1" si="195"/>
        <v>-2.0442022688469624E+16</v>
      </c>
      <c r="J5858" s="444">
        <f t="array" ref="J5858">IFERROR(INDEX('Retirement Calculator'!K:K,MATCH('Lorri 401b'!N5858,'Retirement Calculator'!A:A,0),0),0)</f>
        <v>0</v>
      </c>
      <c r="K5858" s="444">
        <f t="shared" ca="1" si="193"/>
        <v>-85175094535290.094</v>
      </c>
      <c r="L5858" s="444">
        <f t="shared" ca="1" si="194"/>
        <v>-2.0527197783004916E+16</v>
      </c>
      <c r="M5858" s="460">
        <f t="shared" si="196"/>
        <v>0.05</v>
      </c>
      <c r="N5858" s="464">
        <f t="shared" si="197"/>
        <v>229343</v>
      </c>
    </row>
    <row r="5859" spans="7:14" ht="11.25" customHeight="1" x14ac:dyDescent="0.3">
      <c r="G5859" s="459"/>
      <c r="H5859" s="459">
        <v>5852</v>
      </c>
      <c r="I5859" s="444">
        <f t="shared" ca="1" si="195"/>
        <v>-2.0527197783004916E+16</v>
      </c>
      <c r="J5859" s="444">
        <f t="array" ref="J5859">IFERROR(INDEX('Retirement Calculator'!K:K,MATCH('Lorri 401b'!N5859,'Retirement Calculator'!A:A,0),0),0)</f>
        <v>0</v>
      </c>
      <c r="K5859" s="444">
        <f t="shared" ca="1" si="193"/>
        <v>-85529990762520.484</v>
      </c>
      <c r="L5859" s="444">
        <f t="shared" ca="1" si="194"/>
        <v>-2.0612727773767436E+16</v>
      </c>
      <c r="M5859" s="460">
        <f t="shared" si="196"/>
        <v>0.05</v>
      </c>
      <c r="N5859" s="464">
        <f t="shared" si="197"/>
        <v>229374</v>
      </c>
    </row>
    <row r="5860" spans="7:14" ht="11.25" customHeight="1" x14ac:dyDescent="0.3">
      <c r="G5860" s="459"/>
      <c r="H5860" s="459">
        <v>5853</v>
      </c>
      <c r="I5860" s="444">
        <f t="shared" ca="1" si="195"/>
        <v>-2.0612727773767436E+16</v>
      </c>
      <c r="J5860" s="444">
        <f t="array" ref="J5860">IFERROR(INDEX('Retirement Calculator'!K:K,MATCH('Lorri 401b'!N5860,'Retirement Calculator'!A:A,0),0),0)</f>
        <v>0</v>
      </c>
      <c r="K5860" s="444">
        <f t="shared" ca="1" si="193"/>
        <v>-85886365724030.984</v>
      </c>
      <c r="L5860" s="444">
        <f t="shared" ca="1" si="194"/>
        <v>-2.0698614139491468E+16</v>
      </c>
      <c r="M5860" s="460">
        <f t="shared" si="196"/>
        <v>0.05</v>
      </c>
      <c r="N5860" s="464">
        <f t="shared" si="197"/>
        <v>229405</v>
      </c>
    </row>
    <row r="5861" spans="7:14" ht="11.25" customHeight="1" x14ac:dyDescent="0.3">
      <c r="G5861" s="459"/>
      <c r="H5861" s="459">
        <v>5854</v>
      </c>
      <c r="I5861" s="444">
        <f t="shared" ca="1" si="195"/>
        <v>-2.0698614139491468E+16</v>
      </c>
      <c r="J5861" s="444">
        <f t="array" ref="J5861">IFERROR(INDEX('Retirement Calculator'!K:K,MATCH('Lorri 401b'!N5861,'Retirement Calculator'!A:A,0),0),0)</f>
        <v>0</v>
      </c>
      <c r="K5861" s="444">
        <f t="shared" ca="1" si="193"/>
        <v>-86244225581214.453</v>
      </c>
      <c r="L5861" s="444">
        <f t="shared" ca="1" si="194"/>
        <v>-2.0784858365072684E+16</v>
      </c>
      <c r="M5861" s="460">
        <f t="shared" si="196"/>
        <v>0.05</v>
      </c>
      <c r="N5861" s="464">
        <f t="shared" si="197"/>
        <v>229434</v>
      </c>
    </row>
    <row r="5862" spans="7:14" ht="11.25" customHeight="1" x14ac:dyDescent="0.3">
      <c r="G5862" s="459"/>
      <c r="H5862" s="459">
        <v>5855</v>
      </c>
      <c r="I5862" s="444">
        <f t="shared" ca="1" si="195"/>
        <v>-2.0784858365072684E+16</v>
      </c>
      <c r="J5862" s="444">
        <f t="array" ref="J5862">IFERROR(INDEX('Retirement Calculator'!K:K,MATCH('Lorri 401b'!N5862,'Retirement Calculator'!A:A,0),0),0)</f>
        <v>0</v>
      </c>
      <c r="K5862" s="444">
        <f t="shared" ca="1" si="193"/>
        <v>-86603576521136.188</v>
      </c>
      <c r="L5862" s="444">
        <f t="shared" ca="1" si="194"/>
        <v>-2.087146194159382E+16</v>
      </c>
      <c r="M5862" s="460">
        <f t="shared" si="196"/>
        <v>0.05</v>
      </c>
      <c r="N5862" s="464">
        <f t="shared" si="197"/>
        <v>229465</v>
      </c>
    </row>
    <row r="5863" spans="7:14" ht="11.25" customHeight="1" x14ac:dyDescent="0.3">
      <c r="G5863" s="459"/>
      <c r="H5863" s="459">
        <v>5856</v>
      </c>
      <c r="I5863" s="444">
        <f t="shared" ca="1" si="195"/>
        <v>-2.087146194159382E+16</v>
      </c>
      <c r="J5863" s="444">
        <f t="array" ref="J5863">IFERROR(INDEX('Retirement Calculator'!K:K,MATCH('Lorri 401b'!N5863,'Retirement Calculator'!A:A,0),0),0)</f>
        <v>0</v>
      </c>
      <c r="K5863" s="444">
        <f t="shared" ca="1" si="193"/>
        <v>-86964424756640.922</v>
      </c>
      <c r="L5863" s="444">
        <f t="shared" ca="1" si="194"/>
        <v>-2.095842636635046E+16</v>
      </c>
      <c r="M5863" s="460">
        <f t="shared" si="196"/>
        <v>0.05</v>
      </c>
      <c r="N5863" s="464">
        <f t="shared" si="197"/>
        <v>229495</v>
      </c>
    </row>
    <row r="5864" spans="7:14" ht="11.25" customHeight="1" x14ac:dyDescent="0.3">
      <c r="G5864" s="459"/>
      <c r="H5864" s="459">
        <v>5857</v>
      </c>
      <c r="I5864" s="444">
        <f t="shared" ca="1" si="195"/>
        <v>-2.095842636635046E+16</v>
      </c>
      <c r="J5864" s="444">
        <f t="array" ref="J5864">IFERROR(INDEX('Retirement Calculator'!K:K,MATCH('Lorri 401b'!N5864,'Retirement Calculator'!A:A,0),0),0)</f>
        <v>0</v>
      </c>
      <c r="K5864" s="444">
        <f t="shared" ca="1" si="193"/>
        <v>-87326776526460.25</v>
      </c>
      <c r="L5864" s="444">
        <f t="shared" ca="1" si="194"/>
        <v>-2.104575314287692E+16</v>
      </c>
      <c r="M5864" s="460">
        <f t="shared" si="196"/>
        <v>0.05</v>
      </c>
      <c r="N5864" s="464">
        <f t="shared" si="197"/>
        <v>229526</v>
      </c>
    </row>
    <row r="5865" spans="7:14" ht="11.25" customHeight="1" x14ac:dyDescent="0.3">
      <c r="G5865" s="459"/>
      <c r="H5865" s="459">
        <v>5858</v>
      </c>
      <c r="I5865" s="444">
        <f t="shared" ca="1" si="195"/>
        <v>-2.104575314287692E+16</v>
      </c>
      <c r="J5865" s="444">
        <f t="array" ref="J5865">IFERROR(INDEX('Retirement Calculator'!K:K,MATCH('Lorri 401b'!N5865,'Retirement Calculator'!A:A,0),0),0)</f>
        <v>0</v>
      </c>
      <c r="K5865" s="444">
        <f t="shared" ca="1" si="193"/>
        <v>-87690638095320.5</v>
      </c>
      <c r="L5865" s="444">
        <f t="shared" ca="1" si="194"/>
        <v>-2.113344378097224E+16</v>
      </c>
      <c r="M5865" s="460">
        <f t="shared" si="196"/>
        <v>0.05</v>
      </c>
      <c r="N5865" s="464">
        <f t="shared" si="197"/>
        <v>229556</v>
      </c>
    </row>
    <row r="5866" spans="7:14" ht="11.25" customHeight="1" x14ac:dyDescent="0.3">
      <c r="G5866" s="459"/>
      <c r="H5866" s="459">
        <v>5859</v>
      </c>
      <c r="I5866" s="444">
        <f t="shared" ca="1" si="195"/>
        <v>-2.113344378097224E+16</v>
      </c>
      <c r="J5866" s="444">
        <f t="array" ref="J5866">IFERROR(INDEX('Retirement Calculator'!K:K,MATCH('Lorri 401b'!N5866,'Retirement Calculator'!A:A,0),0),0)</f>
        <v>0</v>
      </c>
      <c r="K5866" s="444">
        <f t="shared" ca="1" si="193"/>
        <v>-88056015754051</v>
      </c>
      <c r="L5866" s="444">
        <f t="shared" ca="1" si="194"/>
        <v>-2.1221499796726292E+16</v>
      </c>
      <c r="M5866" s="460">
        <f t="shared" si="196"/>
        <v>0.05</v>
      </c>
      <c r="N5866" s="464">
        <f t="shared" si="197"/>
        <v>229587</v>
      </c>
    </row>
    <row r="5867" spans="7:14" ht="11.25" customHeight="1" x14ac:dyDescent="0.3">
      <c r="G5867" s="459"/>
      <c r="H5867" s="459">
        <v>5860</v>
      </c>
      <c r="I5867" s="444">
        <f t="shared" ca="1" si="195"/>
        <v>-2.1221499796726292E+16</v>
      </c>
      <c r="J5867" s="444">
        <f t="array" ref="J5867">IFERROR(INDEX('Retirement Calculator'!K:K,MATCH('Lorri 401b'!N5867,'Retirement Calculator'!A:A,0),0),0)</f>
        <v>0</v>
      </c>
      <c r="K5867" s="444">
        <f t="shared" ca="1" si="193"/>
        <v>-88422915819692.875</v>
      </c>
      <c r="L5867" s="444">
        <f t="shared" ca="1" si="194"/>
        <v>-2.1309922712545984E+16</v>
      </c>
      <c r="M5867" s="460">
        <f t="shared" si="196"/>
        <v>0.05</v>
      </c>
      <c r="N5867" s="464">
        <f t="shared" si="197"/>
        <v>229618</v>
      </c>
    </row>
    <row r="5868" spans="7:14" ht="11.25" customHeight="1" x14ac:dyDescent="0.3">
      <c r="G5868" s="459"/>
      <c r="H5868" s="459">
        <v>5861</v>
      </c>
      <c r="I5868" s="444">
        <f t="shared" ca="1" si="195"/>
        <v>-2.1309922712545984E+16</v>
      </c>
      <c r="J5868" s="444">
        <f t="array" ref="J5868">IFERROR(INDEX('Retirement Calculator'!K:K,MATCH('Lorri 401b'!N5868,'Retirement Calculator'!A:A,0),0),0)</f>
        <v>0</v>
      </c>
      <c r="K5868" s="444">
        <f t="shared" ca="1" si="193"/>
        <v>-88791344635608.266</v>
      </c>
      <c r="L5868" s="444">
        <f t="shared" ca="1" si="194"/>
        <v>-2.1398714057181592E+16</v>
      </c>
      <c r="M5868" s="460">
        <f t="shared" si="196"/>
        <v>0.05</v>
      </c>
      <c r="N5868" s="464">
        <f t="shared" si="197"/>
        <v>229648</v>
      </c>
    </row>
    <row r="5869" spans="7:14" ht="11.25" customHeight="1" x14ac:dyDescent="0.3">
      <c r="G5869" s="459"/>
      <c r="H5869" s="459">
        <v>5862</v>
      </c>
      <c r="I5869" s="444">
        <f t="shared" ca="1" si="195"/>
        <v>-2.1398714057181592E+16</v>
      </c>
      <c r="J5869" s="444">
        <f t="array" ref="J5869">IFERROR(INDEX('Retirement Calculator'!K:K,MATCH('Lorri 401b'!N5869,'Retirement Calculator'!A:A,0),0),0)</f>
        <v>0</v>
      </c>
      <c r="K5869" s="444">
        <f t="shared" ca="1" si="193"/>
        <v>-89161308571589.969</v>
      </c>
      <c r="L5869" s="444">
        <f t="shared" ca="1" si="194"/>
        <v>-2.148787536575318E+16</v>
      </c>
      <c r="M5869" s="460">
        <f t="shared" si="196"/>
        <v>0.05</v>
      </c>
      <c r="N5869" s="464">
        <f t="shared" si="197"/>
        <v>229679</v>
      </c>
    </row>
    <row r="5870" spans="7:14" ht="11.25" customHeight="1" x14ac:dyDescent="0.3">
      <c r="G5870" s="459"/>
      <c r="H5870" s="459">
        <v>5863</v>
      </c>
      <c r="I5870" s="444">
        <f t="shared" ca="1" si="195"/>
        <v>-2.148787536575318E+16</v>
      </c>
      <c r="J5870" s="444">
        <f t="array" ref="J5870">IFERROR(INDEX('Retirement Calculator'!K:K,MATCH('Lorri 401b'!N5870,'Retirement Calculator'!A:A,0),0),0)</f>
        <v>0</v>
      </c>
      <c r="K5870" s="444">
        <f t="shared" ca="1" si="193"/>
        <v>-89532814023971.578</v>
      </c>
      <c r="L5870" s="444">
        <f t="shared" ca="1" si="194"/>
        <v>-2.1577408179777152E+16</v>
      </c>
      <c r="M5870" s="460">
        <f t="shared" si="196"/>
        <v>0.05</v>
      </c>
      <c r="N5870" s="464">
        <f t="shared" si="197"/>
        <v>229709</v>
      </c>
    </row>
    <row r="5871" spans="7:14" ht="11.25" customHeight="1" x14ac:dyDescent="0.3">
      <c r="G5871" s="459"/>
      <c r="H5871" s="459">
        <v>5864</v>
      </c>
      <c r="I5871" s="444">
        <f t="shared" ca="1" si="195"/>
        <v>-2.1577408179777152E+16</v>
      </c>
      <c r="J5871" s="444">
        <f t="array" ref="J5871">IFERROR(INDEX('Retirement Calculator'!K:K,MATCH('Lorri 401b'!N5871,'Retirement Calculator'!A:A,0),0),0)</f>
        <v>0</v>
      </c>
      <c r="K5871" s="444">
        <f t="shared" ca="1" si="193"/>
        <v>-89905867415738.125</v>
      </c>
      <c r="L5871" s="444">
        <f t="shared" ca="1" si="194"/>
        <v>-2.1667314047192892E+16</v>
      </c>
      <c r="M5871" s="460">
        <f t="shared" si="196"/>
        <v>0.05</v>
      </c>
      <c r="N5871" s="464">
        <f t="shared" si="197"/>
        <v>229740</v>
      </c>
    </row>
    <row r="5872" spans="7:14" ht="11.25" customHeight="1" x14ac:dyDescent="0.3">
      <c r="G5872" s="459"/>
      <c r="H5872" s="459">
        <v>5865</v>
      </c>
      <c r="I5872" s="444">
        <f t="shared" ca="1" si="195"/>
        <v>-2.1667314047192892E+16</v>
      </c>
      <c r="J5872" s="444">
        <f t="array" ref="J5872">IFERROR(INDEX('Retirement Calculator'!K:K,MATCH('Lorri 401b'!N5872,'Retirement Calculator'!A:A,0),0),0)</f>
        <v>0</v>
      </c>
      <c r="K5872" s="444">
        <f t="shared" ca="1" si="193"/>
        <v>-90280475196637.047</v>
      </c>
      <c r="L5872" s="444">
        <f t="shared" ca="1" si="194"/>
        <v>-2.1757594522389528E+16</v>
      </c>
      <c r="M5872" s="460">
        <f t="shared" si="196"/>
        <v>0.05</v>
      </c>
      <c r="N5872" s="464">
        <f t="shared" si="197"/>
        <v>229771</v>
      </c>
    </row>
    <row r="5873" spans="7:14" ht="11.25" customHeight="1" x14ac:dyDescent="0.3">
      <c r="G5873" s="459"/>
      <c r="H5873" s="459">
        <v>5866</v>
      </c>
      <c r="I5873" s="444">
        <f t="shared" ca="1" si="195"/>
        <v>-2.1757594522389528E+16</v>
      </c>
      <c r="J5873" s="444">
        <f t="array" ref="J5873">IFERROR(INDEX('Retirement Calculator'!K:K,MATCH('Lorri 401b'!N5873,'Retirement Calculator'!A:A,0),0),0)</f>
        <v>0</v>
      </c>
      <c r="K5873" s="444">
        <f t="shared" ref="K5873:K6127" ca="1" si="198">IPMT(M5873/12,1,12,-I5873+J5873,,0)</f>
        <v>-90656643843289.703</v>
      </c>
      <c r="L5873" s="444">
        <f t="shared" ref="L5873:L6127" ca="1" si="199">I5873-J5873+K5873</f>
        <v>-2.1848251166232816E+16</v>
      </c>
      <c r="M5873" s="460">
        <f t="shared" si="196"/>
        <v>0.05</v>
      </c>
      <c r="N5873" s="464">
        <f t="shared" si="197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00">L5873</f>
        <v>-2.1848251166232816E+16</v>
      </c>
      <c r="J5874" s="444">
        <f t="array" ref="J5874">IFERROR(INDEX('Retirement Calculator'!K:K,MATCH('Lorri 401b'!N5874,'Retirement Calculator'!A:A,0),0),0)</f>
        <v>0</v>
      </c>
      <c r="K5874" s="444">
        <f t="shared" ca="1" si="198"/>
        <v>-91034379859303.406</v>
      </c>
      <c r="L5874" s="444">
        <f t="shared" ca="1" si="199"/>
        <v>-2.193928554609212E+16</v>
      </c>
      <c r="M5874" s="460">
        <f t="shared" ref="M5874:M6128" si="201">M5873</f>
        <v>0.05</v>
      </c>
      <c r="N5874" s="464">
        <f t="shared" ref="N5874:N6128" si="202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00"/>
        <v>-2.193928554609212E+16</v>
      </c>
      <c r="J5875" s="444">
        <f t="array" ref="J5875">IFERROR(INDEX('Retirement Calculator'!K:K,MATCH('Lorri 401b'!N5875,'Retirement Calculator'!A:A,0),0),0)</f>
        <v>0</v>
      </c>
      <c r="K5875" s="444">
        <f t="shared" ca="1" si="198"/>
        <v>-91413689775383.828</v>
      </c>
      <c r="L5875" s="444">
        <f t="shared" ca="1" si="199"/>
        <v>-2.2030699235867504E+16</v>
      </c>
      <c r="M5875" s="460">
        <f t="shared" si="201"/>
        <v>0.05</v>
      </c>
      <c r="N5875" s="464">
        <f t="shared" si="202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00"/>
        <v>-2.2030699235867504E+16</v>
      </c>
      <c r="J5876" s="444">
        <f t="array" ref="J5876">IFERROR(INDEX('Retirement Calculator'!K:K,MATCH('Lorri 401b'!N5876,'Retirement Calculator'!A:A,0),0),0)</f>
        <v>0</v>
      </c>
      <c r="K5876" s="444">
        <f t="shared" ca="1" si="198"/>
        <v>-91794580149447.938</v>
      </c>
      <c r="L5876" s="444">
        <f t="shared" ca="1" si="199"/>
        <v>-2.2122493816016952E+16</v>
      </c>
      <c r="M5876" s="460">
        <f t="shared" si="201"/>
        <v>0.05</v>
      </c>
      <c r="N5876" s="464">
        <f t="shared" si="202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00"/>
        <v>-2.2122493816016952E+16</v>
      </c>
      <c r="J5877" s="444">
        <f t="array" ref="J5877">IFERROR(INDEX('Retirement Calculator'!K:K,MATCH('Lorri 401b'!N5877,'Retirement Calculator'!A:A,0),0),0)</f>
        <v>0</v>
      </c>
      <c r="K5877" s="444">
        <f t="shared" ca="1" si="198"/>
        <v>-92177057566737.297</v>
      </c>
      <c r="L5877" s="444">
        <f t="shared" ca="1" si="199"/>
        <v>-2.2214670873583688E+16</v>
      </c>
      <c r="M5877" s="460">
        <f t="shared" si="201"/>
        <v>0.05</v>
      </c>
      <c r="N5877" s="464">
        <f t="shared" si="202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00"/>
        <v>-2.2214670873583688E+16</v>
      </c>
      <c r="J5878" s="444">
        <f t="array" ref="J5878">IFERROR(INDEX('Retirement Calculator'!K:K,MATCH('Lorri 401b'!N5878,'Retirement Calculator'!A:A,0),0),0)</f>
        <v>0</v>
      </c>
      <c r="K5878" s="444">
        <f t="shared" ca="1" si="198"/>
        <v>-92561128639932.031</v>
      </c>
      <c r="L5878" s="444">
        <f t="shared" ca="1" si="199"/>
        <v>-2.230723200222362E+16</v>
      </c>
      <c r="M5878" s="460">
        <f t="shared" si="201"/>
        <v>0.05</v>
      </c>
      <c r="N5878" s="464">
        <f t="shared" si="202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00"/>
        <v>-2.230723200222362E+16</v>
      </c>
      <c r="J5879" s="444">
        <f t="array" ref="J5879">IFERROR(INDEX('Retirement Calculator'!K:K,MATCH('Lorri 401b'!N5879,'Retirement Calculator'!A:A,0),0),0)</f>
        <v>0</v>
      </c>
      <c r="K5879" s="444">
        <f t="shared" ca="1" si="198"/>
        <v>-92946800009265.078</v>
      </c>
      <c r="L5879" s="444">
        <f t="shared" ca="1" si="199"/>
        <v>-2.2400178802232884E+16</v>
      </c>
      <c r="M5879" s="460">
        <f t="shared" si="201"/>
        <v>0.05</v>
      </c>
      <c r="N5879" s="464">
        <f t="shared" si="202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00"/>
        <v>-2.2400178802232884E+16</v>
      </c>
      <c r="J5880" s="444">
        <f t="array" ref="J5880">IFERROR(INDEX('Retirement Calculator'!K:K,MATCH('Lorri 401b'!N5880,'Retirement Calculator'!A:A,0),0),0)</f>
        <v>0</v>
      </c>
      <c r="K5880" s="444">
        <f t="shared" ca="1" si="198"/>
        <v>-93334078342637.016</v>
      </c>
      <c r="L5880" s="444">
        <f t="shared" ca="1" si="199"/>
        <v>-2.249351288057552E+16</v>
      </c>
      <c r="M5880" s="460">
        <f t="shared" si="201"/>
        <v>0.05</v>
      </c>
      <c r="N5880" s="464">
        <f t="shared" si="202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00"/>
        <v>-2.249351288057552E+16</v>
      </c>
      <c r="J5881" s="444">
        <f t="array" ref="J5881">IFERROR(INDEX('Retirement Calculator'!K:K,MATCH('Lorri 401b'!N5881,'Retirement Calculator'!A:A,0),0),0)</f>
        <v>0</v>
      </c>
      <c r="K5881" s="444">
        <f t="shared" ca="1" si="198"/>
        <v>-93722970335731.328</v>
      </c>
      <c r="L5881" s="444">
        <f t="shared" ca="1" si="199"/>
        <v>-2.2587235850911252E+16</v>
      </c>
      <c r="M5881" s="460">
        <f t="shared" si="201"/>
        <v>0.05</v>
      </c>
      <c r="N5881" s="464">
        <f t="shared" si="202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00"/>
        <v>-2.2587235850911252E+16</v>
      </c>
      <c r="J5882" s="444">
        <f t="array" ref="J5882">IFERROR(INDEX('Retirement Calculator'!K:K,MATCH('Lorri 401b'!N5882,'Retirement Calculator'!A:A,0),0),0)</f>
        <v>0</v>
      </c>
      <c r="K5882" s="444">
        <f t="shared" ca="1" si="198"/>
        <v>-94113482712130.219</v>
      </c>
      <c r="L5882" s="444">
        <f t="shared" ca="1" si="199"/>
        <v>-2.2681349333623384E+16</v>
      </c>
      <c r="M5882" s="460">
        <f t="shared" si="201"/>
        <v>0.05</v>
      </c>
      <c r="N5882" s="464">
        <f t="shared" si="202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00"/>
        <v>-2.2681349333623384E+16</v>
      </c>
      <c r="J5883" s="444">
        <f t="array" ref="J5883">IFERROR(INDEX('Retirement Calculator'!K:K,MATCH('Lorri 401b'!N5883,'Retirement Calculator'!A:A,0),0),0)</f>
        <v>0</v>
      </c>
      <c r="K5883" s="444">
        <f t="shared" ca="1" si="198"/>
        <v>-94505622223430.766</v>
      </c>
      <c r="L5883" s="444">
        <f t="shared" ca="1" si="199"/>
        <v>-2.2775854955846816E+16</v>
      </c>
      <c r="M5883" s="460">
        <f t="shared" si="201"/>
        <v>0.05</v>
      </c>
      <c r="N5883" s="464">
        <f t="shared" si="202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00"/>
        <v>-2.2775854955846816E+16</v>
      </c>
      <c r="J5884" s="444">
        <f t="array" ref="J5884">IFERROR(INDEX('Retirement Calculator'!K:K,MATCH('Lorri 401b'!N5884,'Retirement Calculator'!A:A,0),0),0)</f>
        <v>0</v>
      </c>
      <c r="K5884" s="444">
        <f t="shared" ca="1" si="198"/>
        <v>-94899395649361.734</v>
      </c>
      <c r="L5884" s="444">
        <f t="shared" ca="1" si="199"/>
        <v>-2.2870754351496176E+16</v>
      </c>
      <c r="M5884" s="460">
        <f t="shared" si="201"/>
        <v>0.05</v>
      </c>
      <c r="N5884" s="464">
        <f t="shared" si="202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00"/>
        <v>-2.2870754351496176E+16</v>
      </c>
      <c r="J5885" s="444">
        <f t="array" ref="J5885">IFERROR(INDEX('Retirement Calculator'!K:K,MATCH('Lorri 401b'!N5885,'Retirement Calculator'!A:A,0),0),0)</f>
        <v>0</v>
      </c>
      <c r="K5885" s="444">
        <f t="shared" ca="1" si="198"/>
        <v>-95294809797900.734</v>
      </c>
      <c r="L5885" s="444">
        <f t="shared" ca="1" si="199"/>
        <v>-2.2966049161294076E+16</v>
      </c>
      <c r="M5885" s="460">
        <f t="shared" si="201"/>
        <v>0.05</v>
      </c>
      <c r="N5885" s="464">
        <f t="shared" si="202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00"/>
        <v>-2.2966049161294076E+16</v>
      </c>
      <c r="J5886" s="444">
        <f t="array" ref="J5886">IFERROR(INDEX('Retirement Calculator'!K:K,MATCH('Lorri 401b'!N5886,'Retirement Calculator'!A:A,0),0),0)</f>
        <v>0</v>
      </c>
      <c r="K5886" s="444">
        <f t="shared" ca="1" si="198"/>
        <v>-95691871505391.984</v>
      </c>
      <c r="L5886" s="444">
        <f t="shared" ca="1" si="199"/>
        <v>-2.3061741032799468E+16</v>
      </c>
      <c r="M5886" s="460">
        <f t="shared" si="201"/>
        <v>0.05</v>
      </c>
      <c r="N5886" s="464">
        <f t="shared" si="202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00"/>
        <v>-2.3061741032799468E+16</v>
      </c>
      <c r="J5887" s="444">
        <f t="array" ref="J5887">IFERROR(INDEX('Retirement Calculator'!K:K,MATCH('Lorri 401b'!N5887,'Retirement Calculator'!A:A,0),0),0)</f>
        <v>0</v>
      </c>
      <c r="K5887" s="444">
        <f t="shared" ca="1" si="198"/>
        <v>-96090587636664.453</v>
      </c>
      <c r="L5887" s="444">
        <f t="shared" ca="1" si="199"/>
        <v>-2.3157831620436132E+16</v>
      </c>
      <c r="M5887" s="460">
        <f t="shared" si="201"/>
        <v>0.05</v>
      </c>
      <c r="N5887" s="464">
        <f t="shared" si="202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00"/>
        <v>-2.3157831620436132E+16</v>
      </c>
      <c r="J5888" s="444">
        <f t="array" ref="J5888">IFERROR(INDEX('Retirement Calculator'!K:K,MATCH('Lorri 401b'!N5888,'Retirement Calculator'!A:A,0),0),0)</f>
        <v>0</v>
      </c>
      <c r="K5888" s="444">
        <f t="shared" ca="1" si="198"/>
        <v>-96490965085150.547</v>
      </c>
      <c r="L5888" s="444">
        <f t="shared" ca="1" si="199"/>
        <v>-2.3254322585521284E+16</v>
      </c>
      <c r="M5888" s="460">
        <f t="shared" si="201"/>
        <v>0.05</v>
      </c>
      <c r="N5888" s="464">
        <f t="shared" si="202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00"/>
        <v>-2.3254322585521284E+16</v>
      </c>
      <c r="J5889" s="444">
        <f t="array" ref="J5889">IFERROR(INDEX('Retirement Calculator'!K:K,MATCH('Lorri 401b'!N5889,'Retirement Calculator'!A:A,0),0),0)</f>
        <v>0</v>
      </c>
      <c r="K5889" s="444">
        <f t="shared" ca="1" si="198"/>
        <v>-96893010773005.344</v>
      </c>
      <c r="L5889" s="444">
        <f t="shared" ca="1" si="199"/>
        <v>-2.3351215596294288E+16</v>
      </c>
      <c r="M5889" s="460">
        <f t="shared" si="201"/>
        <v>0.05</v>
      </c>
      <c r="N5889" s="464">
        <f t="shared" si="202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00"/>
        <v>-2.3351215596294288E+16</v>
      </c>
      <c r="J5890" s="444">
        <f t="array" ref="J5890">IFERROR(INDEX('Retirement Calculator'!K:K,MATCH('Lorri 401b'!N5890,'Retirement Calculator'!A:A,0),0),0)</f>
        <v>0</v>
      </c>
      <c r="K5890" s="444">
        <f t="shared" ca="1" si="198"/>
        <v>-97296731651226.203</v>
      </c>
      <c r="L5890" s="444">
        <f t="shared" ca="1" si="199"/>
        <v>-2.3448512327945516E+16</v>
      </c>
      <c r="M5890" s="460">
        <f t="shared" si="201"/>
        <v>0.05</v>
      </c>
      <c r="N5890" s="464">
        <f t="shared" si="202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00"/>
        <v>-2.3448512327945516E+16</v>
      </c>
      <c r="J5891" s="444">
        <f t="array" ref="J5891">IFERROR(INDEX('Retirement Calculator'!K:K,MATCH('Lorri 401b'!N5891,'Retirement Calculator'!A:A,0),0),0)</f>
        <v>0</v>
      </c>
      <c r="K5891" s="444">
        <f t="shared" ca="1" si="198"/>
        <v>-97702134699772.984</v>
      </c>
      <c r="L5891" s="444">
        <f t="shared" ca="1" si="199"/>
        <v>-2.3546214462645288E+16</v>
      </c>
      <c r="M5891" s="460">
        <f t="shared" si="201"/>
        <v>0.05</v>
      </c>
      <c r="N5891" s="464">
        <f t="shared" si="202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00"/>
        <v>-2.3546214462645288E+16</v>
      </c>
      <c r="J5892" s="444">
        <f t="array" ref="J5892">IFERROR(INDEX('Retirement Calculator'!K:K,MATCH('Lorri 401b'!N5892,'Retirement Calculator'!A:A,0),0),0)</f>
        <v>0</v>
      </c>
      <c r="K5892" s="444">
        <f t="shared" ca="1" si="198"/>
        <v>-98109226927688.703</v>
      </c>
      <c r="L5892" s="444">
        <f t="shared" ca="1" si="199"/>
        <v>-2.3644323689572976E+16</v>
      </c>
      <c r="M5892" s="460">
        <f t="shared" si="201"/>
        <v>0.05</v>
      </c>
      <c r="N5892" s="464">
        <f t="shared" si="202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00"/>
        <v>-2.3644323689572976E+16</v>
      </c>
      <c r="J5893" s="444">
        <f t="array" ref="J5893">IFERROR(INDEX('Retirement Calculator'!K:K,MATCH('Lorri 401b'!N5893,'Retirement Calculator'!A:A,0),0),0)</f>
        <v>0</v>
      </c>
      <c r="K5893" s="444">
        <f t="shared" ca="1" si="198"/>
        <v>-98518015373220.734</v>
      </c>
      <c r="L5893" s="444">
        <f t="shared" ca="1" si="199"/>
        <v>-2.3742841704946196E+16</v>
      </c>
      <c r="M5893" s="460">
        <f t="shared" si="201"/>
        <v>0.05</v>
      </c>
      <c r="N5893" s="464">
        <f t="shared" si="202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00"/>
        <v>-2.3742841704946196E+16</v>
      </c>
      <c r="J5894" s="444">
        <f t="array" ref="J5894">IFERROR(INDEX('Retirement Calculator'!K:K,MATCH('Lorri 401b'!N5894,'Retirement Calculator'!A:A,0),0),0)</f>
        <v>0</v>
      </c>
      <c r="K5894" s="444">
        <f t="shared" ca="1" si="198"/>
        <v>-98928507103942.484</v>
      </c>
      <c r="L5894" s="444">
        <f t="shared" ca="1" si="199"/>
        <v>-2.384177021205014E+16</v>
      </c>
      <c r="M5894" s="460">
        <f t="shared" si="201"/>
        <v>0.05</v>
      </c>
      <c r="N5894" s="464">
        <f t="shared" si="202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00"/>
        <v>-2.384177021205014E+16</v>
      </c>
      <c r="J5895" s="444">
        <f t="array" ref="J5895">IFERROR(INDEX('Retirement Calculator'!K:K,MATCH('Lorri 401b'!N5895,'Retirement Calculator'!A:A,0),0),0)</f>
        <v>0</v>
      </c>
      <c r="K5895" s="444">
        <f t="shared" ca="1" si="198"/>
        <v>-99340709216875.578</v>
      </c>
      <c r="L5895" s="444">
        <f t="shared" ca="1" si="199"/>
        <v>-2.3941110921267016E+16</v>
      </c>
      <c r="M5895" s="460">
        <f t="shared" si="201"/>
        <v>0.05</v>
      </c>
      <c r="N5895" s="464">
        <f t="shared" si="202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00"/>
        <v>-2.3941110921267016E+16</v>
      </c>
      <c r="J5896" s="444">
        <f t="array" ref="J5896">IFERROR(INDEX('Retirement Calculator'!K:K,MATCH('Lorri 401b'!N5896,'Retirement Calculator'!A:A,0),0),0)</f>
        <v>0</v>
      </c>
      <c r="K5896" s="444">
        <f t="shared" ca="1" si="198"/>
        <v>-99754628838612.563</v>
      </c>
      <c r="L5896" s="444">
        <f t="shared" ca="1" si="199"/>
        <v>-2.4040865550105628E+16</v>
      </c>
      <c r="M5896" s="460">
        <f t="shared" si="201"/>
        <v>0.05</v>
      </c>
      <c r="N5896" s="464">
        <f t="shared" si="202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00"/>
        <v>-2.4040865550105628E+16</v>
      </c>
      <c r="J5897" s="444">
        <f t="array" ref="J5897">IFERROR(INDEX('Retirement Calculator'!K:K,MATCH('Lorri 401b'!N5897,'Retirement Calculator'!A:A,0),0),0)</f>
        <v>0</v>
      </c>
      <c r="K5897" s="444">
        <f t="shared" ca="1" si="198"/>
        <v>-100170273125440.11</v>
      </c>
      <c r="L5897" s="444">
        <f t="shared" ca="1" si="199"/>
        <v>-2.4141035823231068E+16</v>
      </c>
      <c r="M5897" s="460">
        <f t="shared" si="201"/>
        <v>0.05</v>
      </c>
      <c r="N5897" s="464">
        <f t="shared" si="202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00"/>
        <v>-2.4141035823231068E+16</v>
      </c>
      <c r="J5898" s="444">
        <f t="array" ref="J5898">IFERROR(INDEX('Retirement Calculator'!K:K,MATCH('Lorri 401b'!N5898,'Retirement Calculator'!A:A,0),0),0)</f>
        <v>0</v>
      </c>
      <c r="K5898" s="444">
        <f t="shared" ca="1" si="198"/>
        <v>-100587649263462.78</v>
      </c>
      <c r="L5898" s="444">
        <f t="shared" ca="1" si="199"/>
        <v>-2.4241623472494532E+16</v>
      </c>
      <c r="M5898" s="460">
        <f t="shared" si="201"/>
        <v>0.05</v>
      </c>
      <c r="N5898" s="464">
        <f t="shared" si="202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00"/>
        <v>-2.4241623472494532E+16</v>
      </c>
      <c r="J5899" s="444">
        <f t="array" ref="J5899">IFERROR(INDEX('Retirement Calculator'!K:K,MATCH('Lorri 401b'!N5899,'Retirement Calculator'!A:A,0),0),0)</f>
        <v>0</v>
      </c>
      <c r="K5899" s="444">
        <f t="shared" ca="1" si="198"/>
        <v>-101006764468727.22</v>
      </c>
      <c r="L5899" s="444">
        <f t="shared" ca="1" si="199"/>
        <v>-2.434263023696326E+16</v>
      </c>
      <c r="M5899" s="460">
        <f t="shared" si="201"/>
        <v>0.05</v>
      </c>
      <c r="N5899" s="464">
        <f t="shared" si="202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00"/>
        <v>-2.434263023696326E+16</v>
      </c>
      <c r="J5900" s="444">
        <f t="array" ref="J5900">IFERROR(INDEX('Retirement Calculator'!K:K,MATCH('Lorri 401b'!N5900,'Retirement Calculator'!A:A,0),0),0)</f>
        <v>0</v>
      </c>
      <c r="K5900" s="444">
        <f t="shared" ca="1" si="198"/>
        <v>-101427625987346.92</v>
      </c>
      <c r="L5900" s="444">
        <f t="shared" ca="1" si="199"/>
        <v>-2.4444057862950608E+16</v>
      </c>
      <c r="M5900" s="460">
        <f t="shared" si="201"/>
        <v>0.05</v>
      </c>
      <c r="N5900" s="464">
        <f t="shared" si="202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00"/>
        <v>-2.4444057862950608E+16</v>
      </c>
      <c r="J5901" s="444">
        <f t="array" ref="J5901">IFERROR(INDEX('Retirement Calculator'!K:K,MATCH('Lorri 401b'!N5901,'Retirement Calculator'!A:A,0),0),0)</f>
        <v>0</v>
      </c>
      <c r="K5901" s="444">
        <f t="shared" ca="1" si="198"/>
        <v>-101850241095627.53</v>
      </c>
      <c r="L5901" s="444">
        <f t="shared" ca="1" si="199"/>
        <v>-2.4545908104046236E+16</v>
      </c>
      <c r="M5901" s="460">
        <f t="shared" si="201"/>
        <v>0.05</v>
      </c>
      <c r="N5901" s="464">
        <f t="shared" si="202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00"/>
        <v>-2.4545908104046236E+16</v>
      </c>
      <c r="J5902" s="444">
        <f t="array" ref="J5902">IFERROR(INDEX('Retirement Calculator'!K:K,MATCH('Lorri 401b'!N5902,'Retirement Calculator'!A:A,0),0),0)</f>
        <v>0</v>
      </c>
      <c r="K5902" s="444">
        <f t="shared" ca="1" si="198"/>
        <v>-102274617100192.66</v>
      </c>
      <c r="L5902" s="444">
        <f t="shared" ca="1" si="199"/>
        <v>-2.4648182721146428E+16</v>
      </c>
      <c r="M5902" s="460">
        <f t="shared" si="201"/>
        <v>0.05</v>
      </c>
      <c r="N5902" s="464">
        <f t="shared" si="202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00"/>
        <v>-2.4648182721146428E+16</v>
      </c>
      <c r="J5903" s="444">
        <f t="array" ref="J5903">IFERROR(INDEX('Retirement Calculator'!K:K,MATCH('Lorri 401b'!N5903,'Retirement Calculator'!A:A,0),0),0)</f>
        <v>0</v>
      </c>
      <c r="K5903" s="444">
        <f t="shared" ca="1" si="198"/>
        <v>-102700761338110.11</v>
      </c>
      <c r="L5903" s="444">
        <f t="shared" ca="1" si="199"/>
        <v>-2.475088348248454E+16</v>
      </c>
      <c r="M5903" s="460">
        <f t="shared" si="201"/>
        <v>0.05</v>
      </c>
      <c r="N5903" s="464">
        <f t="shared" si="202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00"/>
        <v>-2.475088348248454E+16</v>
      </c>
      <c r="J5904" s="444">
        <f t="array" ref="J5904">IFERROR(INDEX('Retirement Calculator'!K:K,MATCH('Lorri 401b'!N5904,'Retirement Calculator'!A:A,0),0),0)</f>
        <v>0</v>
      </c>
      <c r="K5904" s="444">
        <f t="shared" ca="1" si="198"/>
        <v>-103128681177018.92</v>
      </c>
      <c r="L5904" s="444">
        <f t="shared" ca="1" si="199"/>
        <v>-2.485401216366156E+16</v>
      </c>
      <c r="M5904" s="460">
        <f t="shared" si="201"/>
        <v>0.05</v>
      </c>
      <c r="N5904" s="464">
        <f t="shared" si="202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00"/>
        <v>-2.485401216366156E+16</v>
      </c>
      <c r="J5905" s="444">
        <f t="array" ref="J5905">IFERROR(INDEX('Retirement Calculator'!K:K,MATCH('Lorri 401b'!N5905,'Retirement Calculator'!A:A,0),0),0)</f>
        <v>0</v>
      </c>
      <c r="K5905" s="444">
        <f t="shared" ca="1" si="198"/>
        <v>-103558384015256.5</v>
      </c>
      <c r="L5905" s="444">
        <f t="shared" ca="1" si="199"/>
        <v>-2.4957570547676816E+16</v>
      </c>
      <c r="M5905" s="460">
        <f t="shared" si="201"/>
        <v>0.05</v>
      </c>
      <c r="N5905" s="464">
        <f t="shared" si="202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00"/>
        <v>-2.4957570547676816E+16</v>
      </c>
      <c r="J5906" s="444">
        <f t="array" ref="J5906">IFERROR(INDEX('Retirement Calculator'!K:K,MATCH('Lorri 401b'!N5906,'Retirement Calculator'!A:A,0),0),0)</f>
        <v>0</v>
      </c>
      <c r="K5906" s="444">
        <f t="shared" ca="1" si="198"/>
        <v>-103989877281986.73</v>
      </c>
      <c r="L5906" s="444">
        <f t="shared" ca="1" si="199"/>
        <v>-2.5061560424958804E+16</v>
      </c>
      <c r="M5906" s="460">
        <f t="shared" si="201"/>
        <v>0.05</v>
      </c>
      <c r="N5906" s="464">
        <f t="shared" si="202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00"/>
        <v>-2.5061560424958804E+16</v>
      </c>
      <c r="J5907" s="444">
        <f t="array" ref="J5907">IFERROR(INDEX('Retirement Calculator'!K:K,MATCH('Lorri 401b'!N5907,'Retirement Calculator'!A:A,0),0),0)</f>
        <v>0</v>
      </c>
      <c r="K5907" s="444">
        <f t="shared" ca="1" si="198"/>
        <v>-104423168437328.34</v>
      </c>
      <c r="L5907" s="444">
        <f t="shared" ca="1" si="199"/>
        <v>-2.5165983593396132E+16</v>
      </c>
      <c r="M5907" s="460">
        <f t="shared" si="201"/>
        <v>0.05</v>
      </c>
      <c r="N5907" s="464">
        <f t="shared" si="202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00"/>
        <v>-2.5165983593396132E+16</v>
      </c>
      <c r="J5908" s="444">
        <f t="array" ref="J5908">IFERROR(INDEX('Retirement Calculator'!K:K,MATCH('Lorri 401b'!N5908,'Retirement Calculator'!A:A,0),0),0)</f>
        <v>0</v>
      </c>
      <c r="K5908" s="444">
        <f t="shared" ca="1" si="198"/>
        <v>-104858264972483.88</v>
      </c>
      <c r="L5908" s="444">
        <f t="shared" ca="1" si="199"/>
        <v>-2.5270841858368616E+16</v>
      </c>
      <c r="M5908" s="460">
        <f t="shared" si="201"/>
        <v>0.05</v>
      </c>
      <c r="N5908" s="464">
        <f t="shared" si="202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00"/>
        <v>-2.5270841858368616E+16</v>
      </c>
      <c r="J5909" s="444">
        <f t="array" ref="J5909">IFERROR(INDEX('Retirement Calculator'!K:K,MATCH('Lorri 401b'!N5909,'Retirement Calculator'!A:A,0),0),0)</f>
        <v>0</v>
      </c>
      <c r="K5909" s="444">
        <f t="shared" ca="1" si="198"/>
        <v>-105295174409869.23</v>
      </c>
      <c r="L5909" s="444">
        <f t="shared" ca="1" si="199"/>
        <v>-2.5376137032778484E+16</v>
      </c>
      <c r="M5909" s="460">
        <f t="shared" si="201"/>
        <v>0.05</v>
      </c>
      <c r="N5909" s="464">
        <f t="shared" si="202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00"/>
        <v>-2.5376137032778484E+16</v>
      </c>
      <c r="J5910" s="444">
        <f t="array" ref="J5910">IFERROR(INDEX('Retirement Calculator'!K:K,MATCH('Lorri 401b'!N5910,'Retirement Calculator'!A:A,0),0),0)</f>
        <v>0</v>
      </c>
      <c r="K5910" s="444">
        <f t="shared" ca="1" si="198"/>
        <v>-105733904303243.69</v>
      </c>
      <c r="L5910" s="444">
        <f t="shared" ca="1" si="199"/>
        <v>-2.5481870937081728E+16</v>
      </c>
      <c r="M5910" s="460">
        <f t="shared" si="201"/>
        <v>0.05</v>
      </c>
      <c r="N5910" s="464">
        <f t="shared" si="202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00"/>
        <v>-2.5481870937081728E+16</v>
      </c>
      <c r="J5911" s="444">
        <f t="array" ref="J5911">IFERROR(INDEX('Retirement Calculator'!K:K,MATCH('Lorri 401b'!N5911,'Retirement Calculator'!A:A,0),0),0)</f>
        <v>0</v>
      </c>
      <c r="K5911" s="444">
        <f t="shared" ca="1" si="198"/>
        <v>-106174462237840.53</v>
      </c>
      <c r="L5911" s="444">
        <f t="shared" ca="1" si="199"/>
        <v>-2.5588045399319568E+16</v>
      </c>
      <c r="M5911" s="460">
        <f t="shared" si="201"/>
        <v>0.05</v>
      </c>
      <c r="N5911" s="464">
        <f t="shared" si="202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00"/>
        <v>-2.5588045399319568E+16</v>
      </c>
      <c r="J5912" s="444">
        <f t="array" ref="J5912">IFERROR(INDEX('Retirement Calculator'!K:K,MATCH('Lorri 401b'!N5912,'Retirement Calculator'!A:A,0),0),0)</f>
        <v>0</v>
      </c>
      <c r="K5912" s="444">
        <f t="shared" ca="1" si="198"/>
        <v>-106616855830498.2</v>
      </c>
      <c r="L5912" s="444">
        <f t="shared" ca="1" si="199"/>
        <v>-2.5694662255150068E+16</v>
      </c>
      <c r="M5912" s="460">
        <f t="shared" si="201"/>
        <v>0.05</v>
      </c>
      <c r="N5912" s="464">
        <f t="shared" si="202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00"/>
        <v>-2.5694662255150068E+16</v>
      </c>
      <c r="J5913" s="444">
        <f t="array" ref="J5913">IFERROR(INDEX('Retirement Calculator'!K:K,MATCH('Lorri 401b'!N5913,'Retirement Calculator'!A:A,0),0),0)</f>
        <v>0</v>
      </c>
      <c r="K5913" s="444">
        <f t="shared" ca="1" si="198"/>
        <v>-107061092729791.95</v>
      </c>
      <c r="L5913" s="444">
        <f t="shared" ca="1" si="199"/>
        <v>-2.580172334787986E+16</v>
      </c>
      <c r="M5913" s="460">
        <f t="shared" si="201"/>
        <v>0.05</v>
      </c>
      <c r="N5913" s="464">
        <f t="shared" si="202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00"/>
        <v>-2.580172334787986E+16</v>
      </c>
      <c r="J5914" s="444">
        <f t="array" ref="J5914">IFERROR(INDEX('Retirement Calculator'!K:K,MATCH('Lorri 401b'!N5914,'Retirement Calculator'!A:A,0),0),0)</f>
        <v>0</v>
      </c>
      <c r="K5914" s="444">
        <f t="shared" ca="1" si="198"/>
        <v>-107507180616166.08</v>
      </c>
      <c r="L5914" s="444">
        <f t="shared" ca="1" si="199"/>
        <v>-2.5909230528496028E+16</v>
      </c>
      <c r="M5914" s="460">
        <f t="shared" si="201"/>
        <v>0.05</v>
      </c>
      <c r="N5914" s="464">
        <f t="shared" si="202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00"/>
        <v>-2.5909230528496028E+16</v>
      </c>
      <c r="J5915" s="444">
        <f t="array" ref="J5915">IFERROR(INDEX('Retirement Calculator'!K:K,MATCH('Lorri 401b'!N5915,'Retirement Calculator'!A:A,0),0),0)</f>
        <v>0</v>
      </c>
      <c r="K5915" s="444">
        <f t="shared" ca="1" si="198"/>
        <v>-107955127202066.78</v>
      </c>
      <c r="L5915" s="444">
        <f t="shared" ca="1" si="199"/>
        <v>-2.6017185655698096E+16</v>
      </c>
      <c r="M5915" s="460">
        <f t="shared" si="201"/>
        <v>0.05</v>
      </c>
      <c r="N5915" s="464">
        <f t="shared" si="202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00"/>
        <v>-2.6017185655698096E+16</v>
      </c>
      <c r="J5916" s="444">
        <f t="array" ref="J5916">IFERROR(INDEX('Retirement Calculator'!K:K,MATCH('Lorri 401b'!N5916,'Retirement Calculator'!A:A,0),0),0)</f>
        <v>0</v>
      </c>
      <c r="K5916" s="444">
        <f t="shared" ca="1" si="198"/>
        <v>-108404940232075.41</v>
      </c>
      <c r="L5916" s="444">
        <f t="shared" ca="1" si="199"/>
        <v>-2.6125590595930172E+16</v>
      </c>
      <c r="M5916" s="460">
        <f t="shared" si="201"/>
        <v>0.05</v>
      </c>
      <c r="N5916" s="464">
        <f t="shared" si="202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00"/>
        <v>-2.6125590595930172E+16</v>
      </c>
      <c r="J5917" s="444">
        <f t="array" ref="J5917">IFERROR(INDEX('Retirement Calculator'!K:K,MATCH('Lorri 401b'!N5917,'Retirement Calculator'!A:A,0),0),0)</f>
        <v>0</v>
      </c>
      <c r="K5917" s="444">
        <f t="shared" ca="1" si="198"/>
        <v>-108856627483042.38</v>
      </c>
      <c r="L5917" s="444">
        <f t="shared" ca="1" si="199"/>
        <v>-2.6234447223413216E+16</v>
      </c>
      <c r="M5917" s="460">
        <f t="shared" si="201"/>
        <v>0.05</v>
      </c>
      <c r="N5917" s="464">
        <f t="shared" si="202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00"/>
        <v>-2.6234447223413216E+16</v>
      </c>
      <c r="J5918" s="444">
        <f t="array" ref="J5918">IFERROR(INDEX('Retirement Calculator'!K:K,MATCH('Lorri 401b'!N5918,'Retirement Calculator'!A:A,0),0),0)</f>
        <v>0</v>
      </c>
      <c r="K5918" s="444">
        <f t="shared" ca="1" si="198"/>
        <v>-109310196764221.73</v>
      </c>
      <c r="L5918" s="444">
        <f t="shared" ca="1" si="199"/>
        <v>-2.6343757420177436E+16</v>
      </c>
      <c r="M5918" s="460">
        <f t="shared" si="201"/>
        <v>0.05</v>
      </c>
      <c r="N5918" s="464">
        <f t="shared" si="202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00"/>
        <v>-2.6343757420177436E+16</v>
      </c>
      <c r="J5919" s="444">
        <f t="array" ref="J5919">IFERROR(INDEX('Retirement Calculator'!K:K,MATCH('Lorri 401b'!N5919,'Retirement Calculator'!A:A,0),0),0)</f>
        <v>0</v>
      </c>
      <c r="K5919" s="444">
        <f t="shared" ca="1" si="198"/>
        <v>-109765655917405.98</v>
      </c>
      <c r="L5919" s="444">
        <f t="shared" ca="1" si="199"/>
        <v>-2.645352307609484E+16</v>
      </c>
      <c r="M5919" s="460">
        <f t="shared" si="201"/>
        <v>0.05</v>
      </c>
      <c r="N5919" s="464">
        <f t="shared" si="202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00"/>
        <v>-2.645352307609484E+16</v>
      </c>
      <c r="J5920" s="444">
        <f t="array" ref="J5920">IFERROR(INDEX('Retirement Calculator'!K:K,MATCH('Lorri 401b'!N5920,'Retirement Calculator'!A:A,0),0),0)</f>
        <v>0</v>
      </c>
      <c r="K5920" s="444">
        <f t="shared" ca="1" si="198"/>
        <v>-110223012817061.83</v>
      </c>
      <c r="L5920" s="444">
        <f t="shared" ca="1" si="199"/>
        <v>-2.65637460889119E+16</v>
      </c>
      <c r="M5920" s="460">
        <f t="shared" si="201"/>
        <v>0.05</v>
      </c>
      <c r="N5920" s="464">
        <f t="shared" si="202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00"/>
        <v>-2.65637460889119E+16</v>
      </c>
      <c r="J5921" s="444">
        <f t="array" ref="J5921">IFERROR(INDEX('Retirement Calculator'!K:K,MATCH('Lorri 401b'!N5921,'Retirement Calculator'!A:A,0),0),0)</f>
        <v>0</v>
      </c>
      <c r="K5921" s="444">
        <f t="shared" ca="1" si="198"/>
        <v>-110682275370466.25</v>
      </c>
      <c r="L5921" s="444">
        <f t="shared" ca="1" si="199"/>
        <v>-2.6674428364282368E+16</v>
      </c>
      <c r="M5921" s="460">
        <f t="shared" si="201"/>
        <v>0.05</v>
      </c>
      <c r="N5921" s="464">
        <f t="shared" si="202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00"/>
        <v>-2.6674428364282368E+16</v>
      </c>
      <c r="J5922" s="444">
        <f t="array" ref="J5922">IFERROR(INDEX('Retirement Calculator'!K:K,MATCH('Lorri 401b'!N5922,'Retirement Calculator'!A:A,0),0),0)</f>
        <v>0</v>
      </c>
      <c r="K5922" s="444">
        <f t="shared" ca="1" si="198"/>
        <v>-111143451517843.2</v>
      </c>
      <c r="L5922" s="444">
        <f t="shared" ca="1" si="199"/>
        <v>-2.6785571815800212E+16</v>
      </c>
      <c r="M5922" s="460">
        <f t="shared" si="201"/>
        <v>0.05</v>
      </c>
      <c r="N5922" s="464">
        <f t="shared" si="202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00"/>
        <v>-2.6785571815800212E+16</v>
      </c>
      <c r="J5923" s="444">
        <f t="array" ref="J5923">IFERROR(INDEX('Retirement Calculator'!K:K,MATCH('Lorri 401b'!N5923,'Retirement Calculator'!A:A,0),0),0)</f>
        <v>0</v>
      </c>
      <c r="K5923" s="444">
        <f t="shared" ca="1" si="198"/>
        <v>-111606549232500.88</v>
      </c>
      <c r="L5923" s="444">
        <f t="shared" ca="1" si="199"/>
        <v>-2.6897178365032712E+16</v>
      </c>
      <c r="M5923" s="460">
        <f t="shared" si="201"/>
        <v>0.05</v>
      </c>
      <c r="N5923" s="464">
        <f t="shared" si="202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00"/>
        <v>-2.6897178365032712E+16</v>
      </c>
      <c r="J5924" s="444">
        <f t="array" ref="J5924">IFERROR(INDEX('Retirement Calculator'!K:K,MATCH('Lorri 401b'!N5924,'Retirement Calculator'!A:A,0),0),0)</f>
        <v>0</v>
      </c>
      <c r="K5924" s="444">
        <f t="shared" ca="1" si="198"/>
        <v>-112071576520969.63</v>
      </c>
      <c r="L5924" s="444">
        <f t="shared" ca="1" si="199"/>
        <v>-2.700924994155368E+16</v>
      </c>
      <c r="M5924" s="460">
        <f t="shared" si="201"/>
        <v>0.05</v>
      </c>
      <c r="N5924" s="464">
        <f t="shared" si="202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00"/>
        <v>-2.700924994155368E+16</v>
      </c>
      <c r="J5925" s="444">
        <f t="array" ref="J5925">IFERROR(INDEX('Retirement Calculator'!K:K,MATCH('Lorri 401b'!N5925,'Retirement Calculator'!A:A,0),0),0)</f>
        <v>0</v>
      </c>
      <c r="K5925" s="444">
        <f t="shared" ca="1" si="198"/>
        <v>-112538541423140.33</v>
      </c>
      <c r="L5925" s="444">
        <f t="shared" ca="1" si="199"/>
        <v>-2.712178848297682E+16</v>
      </c>
      <c r="M5925" s="460">
        <f t="shared" si="201"/>
        <v>0.05</v>
      </c>
      <c r="N5925" s="464">
        <f t="shared" si="202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00"/>
        <v>-2.712178848297682E+16</v>
      </c>
      <c r="J5926" s="444">
        <f t="array" ref="J5926">IFERROR(INDEX('Retirement Calculator'!K:K,MATCH('Lorri 401b'!N5926,'Retirement Calculator'!A:A,0),0),0)</f>
        <v>0</v>
      </c>
      <c r="K5926" s="444">
        <f t="shared" ca="1" si="198"/>
        <v>-113007452012403.42</v>
      </c>
      <c r="L5926" s="444">
        <f t="shared" ca="1" si="199"/>
        <v>-2.7234795934989224E+16</v>
      </c>
      <c r="M5926" s="460">
        <f t="shared" si="201"/>
        <v>0.05</v>
      </c>
      <c r="N5926" s="464">
        <f t="shared" si="202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00"/>
        <v>-2.7234795934989224E+16</v>
      </c>
      <c r="J5927" s="444">
        <f t="array" ref="J5927">IFERROR(INDEX('Retirement Calculator'!K:K,MATCH('Lorri 401b'!N5927,'Retirement Calculator'!A:A,0),0),0)</f>
        <v>0</v>
      </c>
      <c r="K5927" s="444">
        <f t="shared" ca="1" si="198"/>
        <v>-113478316395788.44</v>
      </c>
      <c r="L5927" s="444">
        <f t="shared" ca="1" si="199"/>
        <v>-2.7348274251385012E+16</v>
      </c>
      <c r="M5927" s="460">
        <f t="shared" si="201"/>
        <v>0.05</v>
      </c>
      <c r="N5927" s="464">
        <f t="shared" si="202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00"/>
        <v>-2.7348274251385012E+16</v>
      </c>
      <c r="J5928" s="444">
        <f t="array" ref="J5928">IFERROR(INDEX('Retirement Calculator'!K:K,MATCH('Lorri 401b'!N5928,'Retirement Calculator'!A:A,0),0),0)</f>
        <v>0</v>
      </c>
      <c r="K5928" s="444">
        <f t="shared" ca="1" si="198"/>
        <v>-113951142714104.22</v>
      </c>
      <c r="L5928" s="444">
        <f t="shared" ca="1" si="199"/>
        <v>-2.7462225394099116E+16</v>
      </c>
      <c r="M5928" s="460">
        <f t="shared" si="201"/>
        <v>0.05</v>
      </c>
      <c r="N5928" s="464">
        <f t="shared" si="202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00"/>
        <v>-2.7462225394099116E+16</v>
      </c>
      <c r="J5929" s="444">
        <f t="array" ref="J5929">IFERROR(INDEX('Retirement Calculator'!K:K,MATCH('Lorri 401b'!N5929,'Retirement Calculator'!A:A,0),0),0)</f>
        <v>0</v>
      </c>
      <c r="K5929" s="444">
        <f t="shared" ca="1" si="198"/>
        <v>-114425939142079.64</v>
      </c>
      <c r="L5929" s="444">
        <f t="shared" ca="1" si="199"/>
        <v>-2.7576651333241196E+16</v>
      </c>
      <c r="M5929" s="460">
        <f t="shared" si="201"/>
        <v>0.05</v>
      </c>
      <c r="N5929" s="464">
        <f t="shared" si="202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00"/>
        <v>-2.7576651333241196E+16</v>
      </c>
      <c r="J5930" s="444">
        <f t="array" ref="J5930">IFERROR(INDEX('Retirement Calculator'!K:K,MATCH('Lorri 401b'!N5930,'Retirement Calculator'!A:A,0),0),0)</f>
        <v>0</v>
      </c>
      <c r="K5930" s="444">
        <f t="shared" ca="1" si="198"/>
        <v>-114902713888504.98</v>
      </c>
      <c r="L5930" s="444">
        <f t="shared" ca="1" si="199"/>
        <v>-2.76915540471297E+16</v>
      </c>
      <c r="M5930" s="460">
        <f t="shared" si="201"/>
        <v>0.05</v>
      </c>
      <c r="N5930" s="464">
        <f t="shared" si="202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00"/>
        <v>-2.76915540471297E+16</v>
      </c>
      <c r="J5931" s="444">
        <f t="array" ref="J5931">IFERROR(INDEX('Retirement Calculator'!K:K,MATCH('Lorri 401b'!N5931,'Retirement Calculator'!A:A,0),0),0)</f>
        <v>0</v>
      </c>
      <c r="K5931" s="444">
        <f t="shared" ca="1" si="198"/>
        <v>-115381475196373.75</v>
      </c>
      <c r="L5931" s="444">
        <f t="shared" ca="1" si="199"/>
        <v>-2.7806935522326072E+16</v>
      </c>
      <c r="M5931" s="460">
        <f t="shared" si="201"/>
        <v>0.05</v>
      </c>
      <c r="N5931" s="464">
        <f t="shared" si="202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00"/>
        <v>-2.7806935522326072E+16</v>
      </c>
      <c r="J5932" s="444">
        <f t="array" ref="J5932">IFERROR(INDEX('Retirement Calculator'!K:K,MATCH('Lorri 401b'!N5932,'Retirement Calculator'!A:A,0),0),0)</f>
        <v>0</v>
      </c>
      <c r="K5932" s="444">
        <f t="shared" ca="1" si="198"/>
        <v>-115862231343025.3</v>
      </c>
      <c r="L5932" s="444">
        <f t="shared" ca="1" si="199"/>
        <v>-2.7922797753669096E+16</v>
      </c>
      <c r="M5932" s="460">
        <f t="shared" si="201"/>
        <v>0.05</v>
      </c>
      <c r="N5932" s="464">
        <f t="shared" si="202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00"/>
        <v>-2.7922797753669096E+16</v>
      </c>
      <c r="J5933" s="444">
        <f t="array" ref="J5933">IFERROR(INDEX('Retirement Calculator'!K:K,MATCH('Lorri 401b'!N5933,'Retirement Calculator'!A:A,0),0),0)</f>
        <v>0</v>
      </c>
      <c r="K5933" s="444">
        <f t="shared" ca="1" si="198"/>
        <v>-116344990640287.89</v>
      </c>
      <c r="L5933" s="444">
        <f t="shared" ca="1" si="199"/>
        <v>-2.8039142744309384E+16</v>
      </c>
      <c r="M5933" s="460">
        <f t="shared" si="201"/>
        <v>0.05</v>
      </c>
      <c r="N5933" s="464">
        <f t="shared" si="202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00"/>
        <v>-2.8039142744309384E+16</v>
      </c>
      <c r="J5934" s="444">
        <f t="array" ref="J5934">IFERROR(INDEX('Retirement Calculator'!K:K,MATCH('Lorri 401b'!N5934,'Retirement Calculator'!A:A,0),0),0)</f>
        <v>0</v>
      </c>
      <c r="K5934" s="444">
        <f t="shared" ca="1" si="198"/>
        <v>-116829761434622.44</v>
      </c>
      <c r="L5934" s="444">
        <f t="shared" ca="1" si="199"/>
        <v>-2.8155972505744008E+16</v>
      </c>
      <c r="M5934" s="460">
        <f t="shared" si="201"/>
        <v>0.05</v>
      </c>
      <c r="N5934" s="464">
        <f t="shared" si="202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00"/>
        <v>-2.8155972505744008E+16</v>
      </c>
      <c r="J5935" s="444">
        <f t="array" ref="J5935">IFERROR(INDEX('Retirement Calculator'!K:K,MATCH('Lorri 401b'!N5935,'Retirement Calculator'!A:A,0),0),0)</f>
        <v>0</v>
      </c>
      <c r="K5935" s="444">
        <f t="shared" ca="1" si="198"/>
        <v>-117316552107266.7</v>
      </c>
      <c r="L5935" s="444">
        <f t="shared" ca="1" si="199"/>
        <v>-2.8273289057851276E+16</v>
      </c>
      <c r="M5935" s="460">
        <f t="shared" si="201"/>
        <v>0.05</v>
      </c>
      <c r="N5935" s="464">
        <f t="shared" si="202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00"/>
        <v>-2.8273289057851276E+16</v>
      </c>
      <c r="J5936" s="444">
        <f t="array" ref="J5936">IFERROR(INDEX('Retirement Calculator'!K:K,MATCH('Lorri 401b'!N5936,'Retirement Calculator'!A:A,0),0),0)</f>
        <v>0</v>
      </c>
      <c r="K5936" s="444">
        <f t="shared" ca="1" si="198"/>
        <v>-117805371074380.3</v>
      </c>
      <c r="L5936" s="444">
        <f t="shared" ca="1" si="199"/>
        <v>-2.8391094428925656E+16</v>
      </c>
      <c r="M5936" s="460">
        <f t="shared" si="201"/>
        <v>0.05</v>
      </c>
      <c r="N5936" s="464">
        <f t="shared" si="202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00"/>
        <v>-2.8391094428925656E+16</v>
      </c>
      <c r="J5937" s="444">
        <f t="array" ref="J5937">IFERROR(INDEX('Retirement Calculator'!K:K,MATCH('Lorri 401b'!N5937,'Retirement Calculator'!A:A,0),0),0)</f>
        <v>0</v>
      </c>
      <c r="K5937" s="444">
        <f t="shared" ca="1" si="198"/>
        <v>-118296226787190.22</v>
      </c>
      <c r="L5937" s="444">
        <f t="shared" ca="1" si="199"/>
        <v>-2.8509390655712848E+16</v>
      </c>
      <c r="M5937" s="460">
        <f t="shared" si="201"/>
        <v>0.05</v>
      </c>
      <c r="N5937" s="464">
        <f t="shared" si="202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00"/>
        <v>-2.8509390655712848E+16</v>
      </c>
      <c r="J5938" s="444">
        <f t="array" ref="J5938">IFERROR(INDEX('Retirement Calculator'!K:K,MATCH('Lorri 401b'!N5938,'Retirement Calculator'!A:A,0),0),0)</f>
        <v>0</v>
      </c>
      <c r="K5938" s="444">
        <f t="shared" ca="1" si="198"/>
        <v>-118789127732136.86</v>
      </c>
      <c r="L5938" s="444">
        <f t="shared" ca="1" si="199"/>
        <v>-2.8628179783444984E+16</v>
      </c>
      <c r="M5938" s="460">
        <f t="shared" si="201"/>
        <v>0.05</v>
      </c>
      <c r="N5938" s="464">
        <f t="shared" si="202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00"/>
        <v>-2.8628179783444984E+16</v>
      </c>
      <c r="J5939" s="444">
        <f t="array" ref="J5939">IFERROR(INDEX('Retirement Calculator'!K:K,MATCH('Lorri 401b'!N5939,'Retirement Calculator'!A:A,0),0),0)</f>
        <v>0</v>
      </c>
      <c r="K5939" s="444">
        <f t="shared" ca="1" si="198"/>
        <v>-119284082431020.77</v>
      </c>
      <c r="L5939" s="444">
        <f t="shared" ca="1" si="199"/>
        <v>-2.8747463865876004E+16</v>
      </c>
      <c r="M5939" s="460">
        <f t="shared" si="201"/>
        <v>0.05</v>
      </c>
      <c r="N5939" s="464">
        <f t="shared" si="202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00"/>
        <v>-2.8747463865876004E+16</v>
      </c>
      <c r="J5940" s="444">
        <f t="array" ref="J5940">IFERROR(INDEX('Retirement Calculator'!K:K,MATCH('Lorri 401b'!N5940,'Retirement Calculator'!A:A,0),0),0)</f>
        <v>0</v>
      </c>
      <c r="K5940" s="444">
        <f t="shared" ca="1" si="198"/>
        <v>-119781099441150.02</v>
      </c>
      <c r="L5940" s="444">
        <f t="shared" ca="1" si="199"/>
        <v>-2.8867244965317156E+16</v>
      </c>
      <c r="M5940" s="460">
        <f t="shared" si="201"/>
        <v>0.05</v>
      </c>
      <c r="N5940" s="464">
        <f t="shared" si="202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00"/>
        <v>-2.8867244965317156E+16</v>
      </c>
      <c r="J5941" s="444">
        <f t="array" ref="J5941">IFERROR(INDEX('Retirement Calculator'!K:K,MATCH('Lorri 401b'!N5941,'Retirement Calculator'!A:A,0),0),0)</f>
        <v>0</v>
      </c>
      <c r="K5941" s="444">
        <f t="shared" ca="1" si="198"/>
        <v>-120280187355488.14</v>
      </c>
      <c r="L5941" s="444">
        <f t="shared" ca="1" si="199"/>
        <v>-2.8987525152672644E+16</v>
      </c>
      <c r="M5941" s="460">
        <f t="shared" si="201"/>
        <v>0.05</v>
      </c>
      <c r="N5941" s="464">
        <f t="shared" si="202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00"/>
        <v>-2.8987525152672644E+16</v>
      </c>
      <c r="J5942" s="444">
        <f t="array" ref="J5942">IFERROR(INDEX('Retirement Calculator'!K:K,MATCH('Lorri 401b'!N5942,'Retirement Calculator'!A:A,0),0),0)</f>
        <v>0</v>
      </c>
      <c r="K5942" s="444">
        <f t="shared" ca="1" si="198"/>
        <v>-120781354802802.69</v>
      </c>
      <c r="L5942" s="444">
        <f t="shared" ca="1" si="199"/>
        <v>-2.9108306507475448E+16</v>
      </c>
      <c r="M5942" s="460">
        <f t="shared" si="201"/>
        <v>0.05</v>
      </c>
      <c r="N5942" s="464">
        <f t="shared" si="202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00"/>
        <v>-2.9108306507475448E+16</v>
      </c>
      <c r="J5943" s="444">
        <f t="array" ref="J5943">IFERROR(INDEX('Retirement Calculator'!K:K,MATCH('Lorri 401b'!N5943,'Retirement Calculator'!A:A,0),0),0)</f>
        <v>0</v>
      </c>
      <c r="K5943" s="444">
        <f t="shared" ca="1" si="198"/>
        <v>-121284610447814.34</v>
      </c>
      <c r="L5943" s="444">
        <f t="shared" ca="1" si="199"/>
        <v>-2.9229591117923264E+16</v>
      </c>
      <c r="M5943" s="460">
        <f t="shared" si="201"/>
        <v>0.05</v>
      </c>
      <c r="N5943" s="464">
        <f t="shared" si="202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00"/>
        <v>-2.9229591117923264E+16</v>
      </c>
      <c r="J5944" s="444">
        <f t="array" ref="J5944">IFERROR(INDEX('Retirement Calculator'!K:K,MATCH('Lorri 401b'!N5944,'Retirement Calculator'!A:A,0),0),0)</f>
        <v>0</v>
      </c>
      <c r="K5944" s="444">
        <f t="shared" ca="1" si="198"/>
        <v>-121789962991346.94</v>
      </c>
      <c r="L5944" s="444">
        <f t="shared" ca="1" si="199"/>
        <v>-2.9351381080914612E+16</v>
      </c>
      <c r="M5944" s="460">
        <f t="shared" si="201"/>
        <v>0.05</v>
      </c>
      <c r="N5944" s="464">
        <f t="shared" si="202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00"/>
        <v>-2.9351381080914612E+16</v>
      </c>
      <c r="J5945" s="444">
        <f t="array" ref="J5945">IFERROR(INDEX('Retirement Calculator'!K:K,MATCH('Lorri 401b'!N5945,'Retirement Calculator'!A:A,0),0),0)</f>
        <v>0</v>
      </c>
      <c r="K5945" s="444">
        <f t="shared" ca="1" si="198"/>
        <v>-122297421170477.55</v>
      </c>
      <c r="L5945" s="444">
        <f t="shared" ca="1" si="199"/>
        <v>-2.9473678502085088E+16</v>
      </c>
      <c r="M5945" s="460">
        <f t="shared" si="201"/>
        <v>0.05</v>
      </c>
      <c r="N5945" s="464">
        <f t="shared" si="202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00"/>
        <v>-2.9473678502085088E+16</v>
      </c>
      <c r="J5946" s="444">
        <f t="array" ref="J5946">IFERROR(INDEX('Retirement Calculator'!K:K,MATCH('Lorri 401b'!N5946,'Retirement Calculator'!A:A,0),0),0)</f>
        <v>0</v>
      </c>
      <c r="K5946" s="444">
        <f t="shared" ca="1" si="198"/>
        <v>-122806993758687.88</v>
      </c>
      <c r="L5946" s="444">
        <f t="shared" ca="1" si="199"/>
        <v>-2.9596485495843776E+16</v>
      </c>
      <c r="M5946" s="460">
        <f t="shared" si="201"/>
        <v>0.05</v>
      </c>
      <c r="N5946" s="464">
        <f t="shared" si="202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00"/>
        <v>-2.9596485495843776E+16</v>
      </c>
      <c r="J5947" s="444">
        <f t="array" ref="J5947">IFERROR(INDEX('Retirement Calculator'!K:K,MATCH('Lorri 401b'!N5947,'Retirement Calculator'!A:A,0),0),0)</f>
        <v>0</v>
      </c>
      <c r="K5947" s="444">
        <f t="shared" ca="1" si="198"/>
        <v>-123318689566015.72</v>
      </c>
      <c r="L5947" s="444">
        <f t="shared" ca="1" si="199"/>
        <v>-2.9719804185409792E+16</v>
      </c>
      <c r="M5947" s="460">
        <f t="shared" si="201"/>
        <v>0.05</v>
      </c>
      <c r="N5947" s="464">
        <f t="shared" si="202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00"/>
        <v>-2.9719804185409792E+16</v>
      </c>
      <c r="J5948" s="444">
        <f t="array" ref="J5948">IFERROR(INDEX('Retirement Calculator'!K:K,MATCH('Lorri 401b'!N5948,'Retirement Calculator'!A:A,0),0),0)</f>
        <v>0</v>
      </c>
      <c r="K5948" s="444">
        <f t="shared" ca="1" si="198"/>
        <v>-123832517439207.47</v>
      </c>
      <c r="L5948" s="444">
        <f t="shared" ca="1" si="199"/>
        <v>-2.9843636702849E+16</v>
      </c>
      <c r="M5948" s="460">
        <f t="shared" si="201"/>
        <v>0.05</v>
      </c>
      <c r="N5948" s="464">
        <f t="shared" si="202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00"/>
        <v>-2.9843636702849E+16</v>
      </c>
      <c r="J5949" s="444">
        <f t="array" ref="J5949">IFERROR(INDEX('Retirement Calculator'!K:K,MATCH('Lorri 401b'!N5949,'Retirement Calculator'!A:A,0),0),0)</f>
        <v>0</v>
      </c>
      <c r="K5949" s="444">
        <f t="shared" ca="1" si="198"/>
        <v>-124348486261870.83</v>
      </c>
      <c r="L5949" s="444">
        <f t="shared" ca="1" si="199"/>
        <v>-2.9967985189110872E+16</v>
      </c>
      <c r="M5949" s="460">
        <f t="shared" si="201"/>
        <v>0.05</v>
      </c>
      <c r="N5949" s="464">
        <f t="shared" si="202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00"/>
        <v>-2.9967985189110872E+16</v>
      </c>
      <c r="J5950" s="444">
        <f t="array" ref="J5950">IFERROR(INDEX('Retirement Calculator'!K:K,MATCH('Lorri 401b'!N5950,'Retirement Calculator'!A:A,0),0),0)</f>
        <v>0</v>
      </c>
      <c r="K5950" s="444">
        <f t="shared" ca="1" si="198"/>
        <v>-124866604954628.64</v>
      </c>
      <c r="L5950" s="444">
        <f t="shared" ca="1" si="199"/>
        <v>-3.00928517940655E+16</v>
      </c>
      <c r="M5950" s="460">
        <f t="shared" si="201"/>
        <v>0.05</v>
      </c>
      <c r="N5950" s="464">
        <f t="shared" si="202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00"/>
        <v>-3.00928517940655E+16</v>
      </c>
      <c r="J5951" s="444">
        <f t="array" ref="J5951">IFERROR(INDEX('Retirement Calculator'!K:K,MATCH('Lorri 401b'!N5951,'Retirement Calculator'!A:A,0),0),0)</f>
        <v>0</v>
      </c>
      <c r="K5951" s="444">
        <f t="shared" ca="1" si="198"/>
        <v>-125386882475272.94</v>
      </c>
      <c r="L5951" s="444">
        <f t="shared" ca="1" si="199"/>
        <v>-3.0218238676540772E+16</v>
      </c>
      <c r="M5951" s="460">
        <f t="shared" si="201"/>
        <v>0.05</v>
      </c>
      <c r="N5951" s="464">
        <f t="shared" si="202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00"/>
        <v>-3.0218238676540772E+16</v>
      </c>
      <c r="J5952" s="444">
        <f t="array" ref="J5952">IFERROR(INDEX('Retirement Calculator'!K:K,MATCH('Lorri 401b'!N5952,'Retirement Calculator'!A:A,0),0),0)</f>
        <v>0</v>
      </c>
      <c r="K5952" s="444">
        <f t="shared" ca="1" si="198"/>
        <v>-125909327818919.88</v>
      </c>
      <c r="L5952" s="444">
        <f t="shared" ca="1" si="199"/>
        <v>-3.0344148004359692E+16</v>
      </c>
      <c r="M5952" s="460">
        <f t="shared" si="201"/>
        <v>0.05</v>
      </c>
      <c r="N5952" s="464">
        <f t="shared" si="202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00"/>
        <v>-3.0344148004359692E+16</v>
      </c>
      <c r="J5953" s="444">
        <f t="array" ref="J5953">IFERROR(INDEX('Retirement Calculator'!K:K,MATCH('Lorri 401b'!N5953,'Retirement Calculator'!A:A,0),0),0)</f>
        <v>0</v>
      </c>
      <c r="K5953" s="444">
        <f t="shared" ca="1" si="198"/>
        <v>-126433950018165.36</v>
      </c>
      <c r="L5953" s="444">
        <f t="shared" ca="1" si="199"/>
        <v>-3.0470581954377856E+16</v>
      </c>
      <c r="M5953" s="460">
        <f t="shared" si="201"/>
        <v>0.05</v>
      </c>
      <c r="N5953" s="464">
        <f t="shared" si="202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00"/>
        <v>-3.0470581954377856E+16</v>
      </c>
      <c r="J5954" s="444">
        <f t="array" ref="J5954">IFERROR(INDEX('Retirement Calculator'!K:K,MATCH('Lorri 401b'!N5954,'Retirement Calculator'!A:A,0),0),0)</f>
        <v>0</v>
      </c>
      <c r="K5954" s="444">
        <f t="shared" ca="1" si="198"/>
        <v>-126960758143241.06</v>
      </c>
      <c r="L5954" s="444">
        <f t="shared" ca="1" si="199"/>
        <v>-3.0597542712521096E+16</v>
      </c>
      <c r="M5954" s="460">
        <f t="shared" si="201"/>
        <v>0.05</v>
      </c>
      <c r="N5954" s="464">
        <f t="shared" si="202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00"/>
        <v>-3.0597542712521096E+16</v>
      </c>
      <c r="J5955" s="444">
        <f t="array" ref="J5955">IFERROR(INDEX('Retirement Calculator'!K:K,MATCH('Lorri 401b'!N5955,'Retirement Calculator'!A:A,0),0),0)</f>
        <v>0</v>
      </c>
      <c r="K5955" s="444">
        <f t="shared" ca="1" si="198"/>
        <v>-127489761302171.22</v>
      </c>
      <c r="L5955" s="444">
        <f t="shared" ca="1" si="199"/>
        <v>-3.0725032473823268E+16</v>
      </c>
      <c r="M5955" s="460">
        <f t="shared" si="201"/>
        <v>0.05</v>
      </c>
      <c r="N5955" s="464">
        <f t="shared" si="202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00"/>
        <v>-3.0725032473823268E+16</v>
      </c>
      <c r="J5956" s="444">
        <f t="array" ref="J5956">IFERROR(INDEX('Retirement Calculator'!K:K,MATCH('Lorri 401b'!N5956,'Retirement Calculator'!A:A,0),0),0)</f>
        <v>0</v>
      </c>
      <c r="K5956" s="444">
        <f t="shared" ca="1" si="198"/>
        <v>-128020968640930.28</v>
      </c>
      <c r="L5956" s="444">
        <f t="shared" ca="1" si="199"/>
        <v>-3.08530534424642E+16</v>
      </c>
      <c r="M5956" s="460">
        <f t="shared" si="201"/>
        <v>0.05</v>
      </c>
      <c r="N5956" s="464">
        <f t="shared" si="202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00"/>
        <v>-3.08530534424642E+16</v>
      </c>
      <c r="J5957" s="444">
        <f t="array" ref="J5957">IFERROR(INDEX('Retirement Calculator'!K:K,MATCH('Lorri 401b'!N5957,'Retirement Calculator'!A:A,0),0),0)</f>
        <v>0</v>
      </c>
      <c r="K5957" s="444">
        <f t="shared" ca="1" si="198"/>
        <v>-128554389343600.84</v>
      </c>
      <c r="L5957" s="444">
        <f t="shared" ca="1" si="199"/>
        <v>-3.09816078318078E+16</v>
      </c>
      <c r="M5957" s="460">
        <f t="shared" si="201"/>
        <v>0.05</v>
      </c>
      <c r="N5957" s="464">
        <f t="shared" si="202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00"/>
        <v>-3.09816078318078E+16</v>
      </c>
      <c r="J5958" s="444">
        <f t="array" ref="J5958">IFERROR(INDEX('Retirement Calculator'!K:K,MATCH('Lorri 401b'!N5958,'Retirement Calculator'!A:A,0),0),0)</f>
        <v>0</v>
      </c>
      <c r="K5958" s="444">
        <f t="shared" ca="1" si="198"/>
        <v>-129090032632532.5</v>
      </c>
      <c r="L5958" s="444">
        <f t="shared" ca="1" si="199"/>
        <v>-3.1110697864440332E+16</v>
      </c>
      <c r="M5958" s="460">
        <f t="shared" si="201"/>
        <v>0.05</v>
      </c>
      <c r="N5958" s="464">
        <f t="shared" si="202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00"/>
        <v>-3.1110697864440332E+16</v>
      </c>
      <c r="J5959" s="444">
        <f t="array" ref="J5959">IFERROR(INDEX('Retirement Calculator'!K:K,MATCH('Lorri 401b'!N5959,'Retirement Calculator'!A:A,0),0),0)</f>
        <v>0</v>
      </c>
      <c r="K5959" s="444">
        <f t="shared" ca="1" si="198"/>
        <v>-129627907768501.39</v>
      </c>
      <c r="L5959" s="444">
        <f t="shared" ca="1" si="199"/>
        <v>-3.1240325772208832E+16</v>
      </c>
      <c r="M5959" s="460">
        <f t="shared" si="201"/>
        <v>0.05</v>
      </c>
      <c r="N5959" s="464">
        <f t="shared" si="202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00"/>
        <v>-3.1240325772208832E+16</v>
      </c>
      <c r="J5960" s="444">
        <f t="array" ref="J5960">IFERROR(INDEX('Retirement Calculator'!K:K,MATCH('Lorri 401b'!N5960,'Retirement Calculator'!A:A,0),0),0)</f>
        <v>0</v>
      </c>
      <c r="K5960" s="444">
        <f t="shared" ca="1" si="198"/>
        <v>-130168024050870.13</v>
      </c>
      <c r="L5960" s="444">
        <f t="shared" ca="1" si="199"/>
        <v>-3.1370493796259704E+16</v>
      </c>
      <c r="M5960" s="460">
        <f t="shared" si="201"/>
        <v>0.05</v>
      </c>
      <c r="N5960" s="464">
        <f t="shared" si="202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00"/>
        <v>-3.1370493796259704E+16</v>
      </c>
      <c r="J5961" s="444">
        <f t="array" ref="J5961">IFERROR(INDEX('Retirement Calculator'!K:K,MATCH('Lorri 401b'!N5961,'Retirement Calculator'!A:A,0),0),0)</f>
        <v>0</v>
      </c>
      <c r="K5961" s="444">
        <f t="shared" ca="1" si="198"/>
        <v>-130710390817748.77</v>
      </c>
      <c r="L5961" s="444">
        <f t="shared" ca="1" si="199"/>
        <v>-3.1501204187077452E+16</v>
      </c>
      <c r="M5961" s="460">
        <f t="shared" si="201"/>
        <v>0.05</v>
      </c>
      <c r="N5961" s="464">
        <f t="shared" si="202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00"/>
        <v>-3.1501204187077452E+16</v>
      </c>
      <c r="J5962" s="444">
        <f t="array" ref="J5962">IFERROR(INDEX('Retirement Calculator'!K:K,MATCH('Lorri 401b'!N5962,'Retirement Calculator'!A:A,0),0),0)</f>
        <v>0</v>
      </c>
      <c r="K5962" s="444">
        <f t="shared" ca="1" si="198"/>
        <v>-131255017446156.05</v>
      </c>
      <c r="L5962" s="444">
        <f t="shared" ca="1" si="199"/>
        <v>-3.1632459204523608E+16</v>
      </c>
      <c r="M5962" s="460">
        <f t="shared" si="201"/>
        <v>0.05</v>
      </c>
      <c r="N5962" s="464">
        <f t="shared" si="202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00"/>
        <v>-3.1632459204523608E+16</v>
      </c>
      <c r="J5963" s="444">
        <f t="array" ref="J5963">IFERROR(INDEX('Retirement Calculator'!K:K,MATCH('Lorri 401b'!N5963,'Retirement Calculator'!A:A,0),0),0)</f>
        <v>0</v>
      </c>
      <c r="K5963" s="444">
        <f t="shared" ca="1" si="198"/>
        <v>-131801913352181.7</v>
      </c>
      <c r="L5963" s="444">
        <f t="shared" ca="1" si="199"/>
        <v>-3.1764261117875788E+16</v>
      </c>
      <c r="M5963" s="460">
        <f t="shared" si="201"/>
        <v>0.05</v>
      </c>
      <c r="N5963" s="464">
        <f t="shared" si="202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00"/>
        <v>-3.1764261117875788E+16</v>
      </c>
      <c r="J5964" s="444">
        <f t="array" ref="J5964">IFERROR(INDEX('Retirement Calculator'!K:K,MATCH('Lorri 401b'!N5964,'Retirement Calculator'!A:A,0),0),0)</f>
        <v>0</v>
      </c>
      <c r="K5964" s="444">
        <f t="shared" ca="1" si="198"/>
        <v>-132351087991149.11</v>
      </c>
      <c r="L5964" s="444">
        <f t="shared" ca="1" si="199"/>
        <v>-3.1896612205866936E+16</v>
      </c>
      <c r="M5964" s="460">
        <f t="shared" si="201"/>
        <v>0.05</v>
      </c>
      <c r="N5964" s="464">
        <f t="shared" si="202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00"/>
        <v>-3.1896612205866936E+16</v>
      </c>
      <c r="J5965" s="444">
        <f t="array" ref="J5965">IFERROR(INDEX('Retirement Calculator'!K:K,MATCH('Lorri 401b'!N5965,'Retirement Calculator'!A:A,0),0),0)</f>
        <v>0</v>
      </c>
      <c r="K5965" s="444">
        <f t="shared" ca="1" si="198"/>
        <v>-132902550857778.89</v>
      </c>
      <c r="L5965" s="444">
        <f t="shared" ca="1" si="199"/>
        <v>-3.2029514756724716E+16</v>
      </c>
      <c r="M5965" s="460">
        <f t="shared" si="201"/>
        <v>0.05</v>
      </c>
      <c r="N5965" s="464">
        <f t="shared" si="202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00"/>
        <v>-3.2029514756724716E+16</v>
      </c>
      <c r="J5966" s="444">
        <f t="array" ref="J5966">IFERROR(INDEX('Retirement Calculator'!K:K,MATCH('Lorri 401b'!N5966,'Retirement Calculator'!A:A,0),0),0)</f>
        <v>0</v>
      </c>
      <c r="K5966" s="444">
        <f t="shared" ca="1" si="198"/>
        <v>-133456311486352.98</v>
      </c>
      <c r="L5966" s="444">
        <f t="shared" ca="1" si="199"/>
        <v>-3.2162971068211068E+16</v>
      </c>
      <c r="M5966" s="460">
        <f t="shared" si="201"/>
        <v>0.05</v>
      </c>
      <c r="N5966" s="464">
        <f t="shared" si="202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00"/>
        <v>-3.2162971068211068E+16</v>
      </c>
      <c r="J5967" s="444">
        <f t="array" ref="J5967">IFERROR(INDEX('Retirement Calculator'!K:K,MATCH('Lorri 401b'!N5967,'Retirement Calculator'!A:A,0),0),0)</f>
        <v>0</v>
      </c>
      <c r="K5967" s="444">
        <f t="shared" ca="1" si="198"/>
        <v>-134012379450879.45</v>
      </c>
      <c r="L5967" s="444">
        <f t="shared" ca="1" si="199"/>
        <v>-3.2296983447661948E+16</v>
      </c>
      <c r="M5967" s="460">
        <f t="shared" si="201"/>
        <v>0.05</v>
      </c>
      <c r="N5967" s="464">
        <f t="shared" si="202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00"/>
        <v>-3.2296983447661948E+16</v>
      </c>
      <c r="J5968" s="444">
        <f t="array" ref="J5968">IFERROR(INDEX('Retirement Calculator'!K:K,MATCH('Lorri 401b'!N5968,'Retirement Calculator'!A:A,0),0),0)</f>
        <v>0</v>
      </c>
      <c r="K5968" s="444">
        <f t="shared" ca="1" si="198"/>
        <v>-134570764365258.11</v>
      </c>
      <c r="L5968" s="444">
        <f t="shared" ca="1" si="199"/>
        <v>-3.2431554212027208E+16</v>
      </c>
      <c r="M5968" s="460">
        <f t="shared" si="201"/>
        <v>0.05</v>
      </c>
      <c r="N5968" s="464">
        <f t="shared" si="202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00"/>
        <v>-3.2431554212027208E+16</v>
      </c>
      <c r="J5969" s="444">
        <f t="array" ref="J5969">IFERROR(INDEX('Retirement Calculator'!K:K,MATCH('Lorri 401b'!N5969,'Retirement Calculator'!A:A,0),0),0)</f>
        <v>0</v>
      </c>
      <c r="K5969" s="444">
        <f t="shared" ca="1" si="198"/>
        <v>-135131475883446.7</v>
      </c>
      <c r="L5969" s="444">
        <f t="shared" ca="1" si="199"/>
        <v>-3.2566685687910656E+16</v>
      </c>
      <c r="M5969" s="460">
        <f t="shared" si="201"/>
        <v>0.05</v>
      </c>
      <c r="N5969" s="464">
        <f t="shared" si="202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00"/>
        <v>-3.2566685687910656E+16</v>
      </c>
      <c r="J5970" s="444">
        <f t="array" ref="J5970">IFERROR(INDEX('Retirement Calculator'!K:K,MATCH('Lorri 401b'!N5970,'Retirement Calculator'!A:A,0),0),0)</f>
        <v>0</v>
      </c>
      <c r="K5970" s="444">
        <f t="shared" ca="1" si="198"/>
        <v>-135694523699627.73</v>
      </c>
      <c r="L5970" s="444">
        <f t="shared" ca="1" si="199"/>
        <v>-3.2702380211610284E+16</v>
      </c>
      <c r="M5970" s="460">
        <f t="shared" si="201"/>
        <v>0.05</v>
      </c>
      <c r="N5970" s="464">
        <f t="shared" si="202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00"/>
        <v>-3.2702380211610284E+16</v>
      </c>
      <c r="J5971" s="444">
        <f t="array" ref="J5971">IFERROR(INDEX('Retirement Calculator'!K:K,MATCH('Lorri 401b'!N5971,'Retirement Calculator'!A:A,0),0),0)</f>
        <v>0</v>
      </c>
      <c r="K5971" s="444">
        <f t="shared" ca="1" si="198"/>
        <v>-136259917548376.19</v>
      </c>
      <c r="L5971" s="444">
        <f t="shared" ca="1" si="199"/>
        <v>-3.283864012915866E+16</v>
      </c>
      <c r="M5971" s="460">
        <f t="shared" si="201"/>
        <v>0.05</v>
      </c>
      <c r="N5971" s="464">
        <f t="shared" si="202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00"/>
        <v>-3.283864012915866E+16</v>
      </c>
      <c r="J5972" s="444">
        <f t="array" ref="J5972">IFERROR(INDEX('Retirement Calculator'!K:K,MATCH('Lorri 401b'!N5972,'Retirement Calculator'!A:A,0),0),0)</f>
        <v>0</v>
      </c>
      <c r="K5972" s="444">
        <f t="shared" ca="1" si="198"/>
        <v>-136827667204827.75</v>
      </c>
      <c r="L5972" s="444">
        <f t="shared" ca="1" si="199"/>
        <v>-3.2975467796363488E+16</v>
      </c>
      <c r="M5972" s="460">
        <f t="shared" si="201"/>
        <v>0.05</v>
      </c>
      <c r="N5972" s="464">
        <f t="shared" si="202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00"/>
        <v>-3.2975467796363488E+16</v>
      </c>
      <c r="J5973" s="444">
        <f t="array" ref="J5973">IFERROR(INDEX('Retirement Calculator'!K:K,MATCH('Lorri 401b'!N5973,'Retirement Calculator'!A:A,0),0),0)</f>
        <v>0</v>
      </c>
      <c r="K5973" s="444">
        <f t="shared" ca="1" si="198"/>
        <v>-137397782484847.86</v>
      </c>
      <c r="L5973" s="444">
        <f t="shared" ca="1" si="199"/>
        <v>-3.3112865578848336E+16</v>
      </c>
      <c r="M5973" s="460">
        <f t="shared" si="201"/>
        <v>0.05</v>
      </c>
      <c r="N5973" s="464">
        <f t="shared" si="202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00"/>
        <v>-3.3112865578848336E+16</v>
      </c>
      <c r="J5974" s="444">
        <f t="array" ref="J5974">IFERROR(INDEX('Retirement Calculator'!K:K,MATCH('Lorri 401b'!N5974,'Retirement Calculator'!A:A,0),0),0)</f>
        <v>0</v>
      </c>
      <c r="K5974" s="444">
        <f t="shared" ca="1" si="198"/>
        <v>-137970273245201.42</v>
      </c>
      <c r="L5974" s="444">
        <f t="shared" ca="1" si="199"/>
        <v>-3.3250835852093536E+16</v>
      </c>
      <c r="M5974" s="460">
        <f t="shared" si="201"/>
        <v>0.05</v>
      </c>
      <c r="N5974" s="464">
        <f t="shared" si="202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00"/>
        <v>-3.3250835852093536E+16</v>
      </c>
      <c r="J5975" s="444">
        <f t="array" ref="J5975">IFERROR(INDEX('Retirement Calculator'!K:K,MATCH('Lorri 401b'!N5975,'Retirement Calculator'!A:A,0),0),0)</f>
        <v>0</v>
      </c>
      <c r="K5975" s="444">
        <f t="shared" ca="1" si="198"/>
        <v>-138545149383723.08</v>
      </c>
      <c r="L5975" s="444">
        <f t="shared" ca="1" si="199"/>
        <v>-3.338938100147726E+16</v>
      </c>
      <c r="M5975" s="460">
        <f t="shared" si="201"/>
        <v>0.05</v>
      </c>
      <c r="N5975" s="464">
        <f t="shared" si="202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00"/>
        <v>-3.338938100147726E+16</v>
      </c>
      <c r="J5976" s="444">
        <f t="array" ref="J5976">IFERROR(INDEX('Retirement Calculator'!K:K,MATCH('Lorri 401b'!N5976,'Retirement Calculator'!A:A,0),0),0)</f>
        <v>0</v>
      </c>
      <c r="K5976" s="444">
        <f t="shared" ca="1" si="198"/>
        <v>-139122420839488.56</v>
      </c>
      <c r="L5976" s="444">
        <f t="shared" ca="1" si="199"/>
        <v>-3.3528503422316748E+16</v>
      </c>
      <c r="M5976" s="460">
        <f t="shared" si="201"/>
        <v>0.05</v>
      </c>
      <c r="N5976" s="464">
        <f t="shared" si="202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00"/>
        <v>-3.3528503422316748E+16</v>
      </c>
      <c r="J5977" s="444">
        <f t="array" ref="J5977">IFERROR(INDEX('Retirement Calculator'!K:K,MATCH('Lorri 401b'!N5977,'Retirement Calculator'!A:A,0),0),0)</f>
        <v>0</v>
      </c>
      <c r="K5977" s="444">
        <f t="shared" ca="1" si="198"/>
        <v>-139702097592986.45</v>
      </c>
      <c r="L5977" s="444">
        <f t="shared" ca="1" si="199"/>
        <v>-3.3668205519909736E+16</v>
      </c>
      <c r="M5977" s="460">
        <f t="shared" si="201"/>
        <v>0.05</v>
      </c>
      <c r="N5977" s="464">
        <f t="shared" si="202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00"/>
        <v>-3.3668205519909736E+16</v>
      </c>
      <c r="J5978" s="444">
        <f t="array" ref="J5978">IFERROR(INDEX('Retirement Calculator'!K:K,MATCH('Lorri 401b'!N5978,'Retirement Calculator'!A:A,0),0),0)</f>
        <v>0</v>
      </c>
      <c r="K5978" s="444">
        <f t="shared" ca="1" si="198"/>
        <v>-140284189666290.56</v>
      </c>
      <c r="L5978" s="444">
        <f t="shared" ca="1" si="199"/>
        <v>-3.3808489709576028E+16</v>
      </c>
      <c r="M5978" s="460">
        <f t="shared" si="201"/>
        <v>0.05</v>
      </c>
      <c r="N5978" s="464">
        <f t="shared" si="202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00"/>
        <v>-3.3808489709576028E+16</v>
      </c>
      <c r="J5979" s="444">
        <f t="array" ref="J5979">IFERROR(INDEX('Retirement Calculator'!K:K,MATCH('Lorri 401b'!N5979,'Retirement Calculator'!A:A,0),0),0)</f>
        <v>0</v>
      </c>
      <c r="K5979" s="444">
        <f t="shared" ca="1" si="198"/>
        <v>-140868707123233.44</v>
      </c>
      <c r="L5979" s="444">
        <f t="shared" ca="1" si="199"/>
        <v>-3.394935841669926E+16</v>
      </c>
      <c r="M5979" s="460">
        <f t="shared" si="201"/>
        <v>0.05</v>
      </c>
      <c r="N5979" s="464">
        <f t="shared" si="202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00"/>
        <v>-3.394935841669926E+16</v>
      </c>
      <c r="J5980" s="444">
        <f t="array" ref="J5980">IFERROR(INDEX('Retirement Calculator'!K:K,MATCH('Lorri 401b'!N5980,'Retirement Calculator'!A:A,0),0),0)</f>
        <v>0</v>
      </c>
      <c r="K5980" s="444">
        <f t="shared" ca="1" si="198"/>
        <v>-141455660069580.25</v>
      </c>
      <c r="L5980" s="444">
        <f t="shared" ca="1" si="199"/>
        <v>-3.409081407676884E+16</v>
      </c>
      <c r="M5980" s="460">
        <f t="shared" si="201"/>
        <v>0.05</v>
      </c>
      <c r="N5980" s="464">
        <f t="shared" si="202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00"/>
        <v>-3.409081407676884E+16</v>
      </c>
      <c r="J5981" s="444">
        <f t="array" ref="J5981">IFERROR(INDEX('Retirement Calculator'!K:K,MATCH('Lorri 401b'!N5981,'Retirement Calculator'!A:A,0),0),0)</f>
        <v>0</v>
      </c>
      <c r="K5981" s="444">
        <f t="shared" ca="1" si="198"/>
        <v>-142045058653203.5</v>
      </c>
      <c r="L5981" s="444">
        <f t="shared" ca="1" si="199"/>
        <v>-3.4232859135422044E+16</v>
      </c>
      <c r="M5981" s="460">
        <f t="shared" si="201"/>
        <v>0.05</v>
      </c>
      <c r="N5981" s="464">
        <f t="shared" si="202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00"/>
        <v>-3.4232859135422044E+16</v>
      </c>
      <c r="J5982" s="444">
        <f t="array" ref="J5982">IFERROR(INDEX('Retirement Calculator'!K:K,MATCH('Lorri 401b'!N5982,'Retirement Calculator'!A:A,0),0),0)</f>
        <v>0</v>
      </c>
      <c r="K5982" s="444">
        <f t="shared" ca="1" si="198"/>
        <v>-142636913064258.5</v>
      </c>
      <c r="L5982" s="444">
        <f t="shared" ca="1" si="199"/>
        <v>-3.4375496048486304E+16</v>
      </c>
      <c r="M5982" s="460">
        <f t="shared" si="201"/>
        <v>0.05</v>
      </c>
      <c r="N5982" s="464">
        <f t="shared" si="202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00"/>
        <v>-3.4375496048486304E+16</v>
      </c>
      <c r="J5983" s="444">
        <f t="array" ref="J5983">IFERROR(INDEX('Retirement Calculator'!K:K,MATCH('Lorri 401b'!N5983,'Retirement Calculator'!A:A,0),0),0)</f>
        <v>0</v>
      </c>
      <c r="K5983" s="444">
        <f t="shared" ca="1" si="198"/>
        <v>-143231233535359.59</v>
      </c>
      <c r="L5983" s="444">
        <f t="shared" ca="1" si="199"/>
        <v>-3.4518727282021664E+16</v>
      </c>
      <c r="M5983" s="460">
        <f t="shared" si="201"/>
        <v>0.05</v>
      </c>
      <c r="N5983" s="464">
        <f t="shared" si="202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00"/>
        <v>-3.4518727282021664E+16</v>
      </c>
      <c r="J5984" s="444">
        <f t="array" ref="J5984">IFERROR(INDEX('Retirement Calculator'!K:K,MATCH('Lorri 401b'!N5984,'Retirement Calculator'!A:A,0),0),0)</f>
        <v>0</v>
      </c>
      <c r="K5984" s="444">
        <f t="shared" ca="1" si="198"/>
        <v>-143828030341756.91</v>
      </c>
      <c r="L5984" s="444">
        <f t="shared" ca="1" si="199"/>
        <v>-3.466255531236342E+16</v>
      </c>
      <c r="M5984" s="460">
        <f t="shared" si="201"/>
        <v>0.05</v>
      </c>
      <c r="N5984" s="464">
        <f t="shared" si="202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00"/>
        <v>-3.466255531236342E+16</v>
      </c>
      <c r="J5985" s="444">
        <f t="array" ref="J5985">IFERROR(INDEX('Retirement Calculator'!K:K,MATCH('Lorri 401b'!N5985,'Retirement Calculator'!A:A,0),0),0)</f>
        <v>0</v>
      </c>
      <c r="K5985" s="444">
        <f t="shared" ca="1" si="198"/>
        <v>-144427313801514.25</v>
      </c>
      <c r="L5985" s="444">
        <f t="shared" ca="1" si="199"/>
        <v>-3.4806982626164936E+16</v>
      </c>
      <c r="M5985" s="460">
        <f t="shared" si="201"/>
        <v>0.05</v>
      </c>
      <c r="N5985" s="464">
        <f t="shared" si="202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00"/>
        <v>-3.4806982626164936E+16</v>
      </c>
      <c r="J5986" s="444">
        <f t="array" ref="J5986">IFERROR(INDEX('Retirement Calculator'!K:K,MATCH('Lorri 401b'!N5986,'Retirement Calculator'!A:A,0),0),0)</f>
        <v>0</v>
      </c>
      <c r="K5986" s="444">
        <f t="shared" ca="1" si="198"/>
        <v>-145029094275687.22</v>
      </c>
      <c r="L5986" s="444">
        <f t="shared" ca="1" si="199"/>
        <v>-3.4952011720440624E+16</v>
      </c>
      <c r="M5986" s="460">
        <f t="shared" si="201"/>
        <v>0.05</v>
      </c>
      <c r="N5986" s="464">
        <f t="shared" si="202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00"/>
        <v>-3.4952011720440624E+16</v>
      </c>
      <c r="J5987" s="444">
        <f t="array" ref="J5987">IFERROR(INDEX('Retirement Calculator'!K:K,MATCH('Lorri 401b'!N5987,'Retirement Calculator'!A:A,0),0),0)</f>
        <v>0</v>
      </c>
      <c r="K5987" s="444">
        <f t="shared" ca="1" si="198"/>
        <v>-145633382168502.59</v>
      </c>
      <c r="L5987" s="444">
        <f t="shared" ca="1" si="199"/>
        <v>-3.5097645102609128E+16</v>
      </c>
      <c r="M5987" s="460">
        <f t="shared" si="201"/>
        <v>0.05</v>
      </c>
      <c r="N5987" s="464">
        <f t="shared" si="202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00"/>
        <v>-3.5097645102609128E+16</v>
      </c>
      <c r="J5988" s="444">
        <f t="array" ref="J5988">IFERROR(INDEX('Retirement Calculator'!K:K,MATCH('Lorri 401b'!N5988,'Retirement Calculator'!A:A,0),0),0)</f>
        <v>0</v>
      </c>
      <c r="K5988" s="444">
        <f t="shared" ca="1" si="198"/>
        <v>-146240187927538.03</v>
      </c>
      <c r="L5988" s="444">
        <f t="shared" ca="1" si="199"/>
        <v>-3.5243885290536668E+16</v>
      </c>
      <c r="M5988" s="460">
        <f t="shared" si="201"/>
        <v>0.05</v>
      </c>
      <c r="N5988" s="464">
        <f t="shared" si="202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00"/>
        <v>-3.5243885290536668E+16</v>
      </c>
      <c r="J5989" s="444">
        <f t="array" ref="J5989">IFERROR(INDEX('Retirement Calculator'!K:K,MATCH('Lorri 401b'!N5989,'Retirement Calculator'!A:A,0),0),0)</f>
        <v>0</v>
      </c>
      <c r="K5989" s="444">
        <f t="shared" ca="1" si="198"/>
        <v>-146849522043902.75</v>
      </c>
      <c r="L5989" s="444">
        <f t="shared" ca="1" si="199"/>
        <v>-3.5390734812580572E+16</v>
      </c>
      <c r="M5989" s="460">
        <f t="shared" si="201"/>
        <v>0.05</v>
      </c>
      <c r="N5989" s="464">
        <f t="shared" si="202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00"/>
        <v>-3.5390734812580572E+16</v>
      </c>
      <c r="J5990" s="444">
        <f t="array" ref="J5990">IFERROR(INDEX('Retirement Calculator'!K:K,MATCH('Lorri 401b'!N5990,'Retirement Calculator'!A:A,0),0),0)</f>
        <v>0</v>
      </c>
      <c r="K5990" s="444">
        <f t="shared" ca="1" si="198"/>
        <v>-147461395052419.06</v>
      </c>
      <c r="L5990" s="444">
        <f t="shared" ca="1" si="199"/>
        <v>-3.5538196207632992E+16</v>
      </c>
      <c r="M5990" s="460">
        <f t="shared" si="201"/>
        <v>0.05</v>
      </c>
      <c r="N5990" s="464">
        <f t="shared" si="202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00"/>
        <v>-3.5538196207632992E+16</v>
      </c>
      <c r="J5991" s="444">
        <f t="array" ref="J5991">IFERROR(INDEX('Retirement Calculator'!K:K,MATCH('Lorri 401b'!N5991,'Retirement Calculator'!A:A,0),0),0)</f>
        <v>0</v>
      </c>
      <c r="K5991" s="444">
        <f t="shared" ca="1" si="198"/>
        <v>-148075817531804.13</v>
      </c>
      <c r="L5991" s="444">
        <f t="shared" ca="1" si="199"/>
        <v>-3.5686272025164796E+16</v>
      </c>
      <c r="M5991" s="460">
        <f t="shared" si="201"/>
        <v>0.05</v>
      </c>
      <c r="N5991" s="464">
        <f t="shared" si="202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00"/>
        <v>-3.5686272025164796E+16</v>
      </c>
      <c r="J5992" s="444">
        <f t="array" ref="J5992">IFERROR(INDEX('Retirement Calculator'!K:K,MATCH('Lorri 401b'!N5992,'Retirement Calculator'!A:A,0),0),0)</f>
        <v>0</v>
      </c>
      <c r="K5992" s="444">
        <f t="shared" ca="1" si="198"/>
        <v>-148692800104853.31</v>
      </c>
      <c r="L5992" s="444">
        <f t="shared" ca="1" si="199"/>
        <v>-3.5834964825269648E+16</v>
      </c>
      <c r="M5992" s="460">
        <f t="shared" si="201"/>
        <v>0.05</v>
      </c>
      <c r="N5992" s="464">
        <f t="shared" si="202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00"/>
        <v>-3.5834964825269648E+16</v>
      </c>
      <c r="J5993" s="444">
        <f t="array" ref="J5993">IFERROR(INDEX('Retirement Calculator'!K:K,MATCH('Lorri 401b'!N5993,'Retirement Calculator'!A:A,0),0),0)</f>
        <v>0</v>
      </c>
      <c r="K5993" s="444">
        <f t="shared" ca="1" si="198"/>
        <v>-149312353438623.53</v>
      </c>
      <c r="L5993" s="444">
        <f t="shared" ca="1" si="199"/>
        <v>-3.5984277178708272E+16</v>
      </c>
      <c r="M5993" s="460">
        <f t="shared" si="201"/>
        <v>0.05</v>
      </c>
      <c r="N5993" s="464">
        <f t="shared" si="202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00"/>
        <v>-3.5984277178708272E+16</v>
      </c>
      <c r="J5994" s="444">
        <f t="array" ref="J5994">IFERROR(INDEX('Retirement Calculator'!K:K,MATCH('Lorri 401b'!N5994,'Retirement Calculator'!A:A,0),0),0)</f>
        <v>0</v>
      </c>
      <c r="K5994" s="444">
        <f t="shared" ca="1" si="198"/>
        <v>-149934488244617.81</v>
      </c>
      <c r="L5994" s="444">
        <f t="shared" ca="1" si="199"/>
        <v>-3.6134211666952888E+16</v>
      </c>
      <c r="M5994" s="460">
        <f t="shared" si="201"/>
        <v>0.05</v>
      </c>
      <c r="N5994" s="464">
        <f t="shared" si="202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00"/>
        <v>-3.6134211666952888E+16</v>
      </c>
      <c r="J5995" s="444">
        <f t="array" ref="J5995">IFERROR(INDEX('Retirement Calculator'!K:K,MATCH('Lorri 401b'!N5995,'Retirement Calculator'!A:A,0),0),0)</f>
        <v>0</v>
      </c>
      <c r="K5995" s="444">
        <f t="shared" ca="1" si="198"/>
        <v>-150559215278970.38</v>
      </c>
      <c r="L5995" s="444">
        <f t="shared" ca="1" si="199"/>
        <v>-3.6284770882231856E+16</v>
      </c>
      <c r="M5995" s="460">
        <f t="shared" si="201"/>
        <v>0.05</v>
      </c>
      <c r="N5995" s="464">
        <f t="shared" si="202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00"/>
        <v>-3.6284770882231856E+16</v>
      </c>
      <c r="J5996" s="444">
        <f t="array" ref="J5996">IFERROR(INDEX('Retirement Calculator'!K:K,MATCH('Lorri 401b'!N5996,'Retirement Calculator'!A:A,0),0),0)</f>
        <v>0</v>
      </c>
      <c r="K5996" s="444">
        <f t="shared" ca="1" si="198"/>
        <v>-151186545342632.72</v>
      </c>
      <c r="L5996" s="444">
        <f t="shared" ca="1" si="199"/>
        <v>-3.6435957427574488E+16</v>
      </c>
      <c r="M5996" s="460">
        <f t="shared" si="201"/>
        <v>0.05</v>
      </c>
      <c r="N5996" s="464">
        <f t="shared" si="202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00"/>
        <v>-3.6435957427574488E+16</v>
      </c>
      <c r="J5997" s="444">
        <f t="array" ref="J5997">IFERROR(INDEX('Retirement Calculator'!K:K,MATCH('Lorri 401b'!N5997,'Retirement Calculator'!A:A,0),0),0)</f>
        <v>0</v>
      </c>
      <c r="K5997" s="444">
        <f t="shared" ca="1" si="198"/>
        <v>-151816489281560.38</v>
      </c>
      <c r="L5997" s="444">
        <f t="shared" ca="1" si="199"/>
        <v>-3.6587773916856048E+16</v>
      </c>
      <c r="M5997" s="460">
        <f t="shared" si="201"/>
        <v>0.05</v>
      </c>
      <c r="N5997" s="464">
        <f t="shared" si="202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00"/>
        <v>-3.6587773916856048E+16</v>
      </c>
      <c r="J5998" s="444">
        <f t="array" ref="J5998">IFERROR(INDEX('Retirement Calculator'!K:K,MATCH('Lorri 401b'!N5998,'Retirement Calculator'!A:A,0),0),0)</f>
        <v>0</v>
      </c>
      <c r="K5998" s="444">
        <f t="shared" ca="1" si="198"/>
        <v>-152449057986900.19</v>
      </c>
      <c r="L5998" s="444">
        <f t="shared" ca="1" si="199"/>
        <v>-3.6740222974842952E+16</v>
      </c>
      <c r="M5998" s="460">
        <f t="shared" si="201"/>
        <v>0.05</v>
      </c>
      <c r="N5998" s="464">
        <f t="shared" si="202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00"/>
        <v>-3.6740222974842952E+16</v>
      </c>
      <c r="J5999" s="444">
        <f t="array" ref="J5999">IFERROR(INDEX('Retirement Calculator'!K:K,MATCH('Lorri 401b'!N5999,'Retirement Calculator'!A:A,0),0),0)</f>
        <v>0</v>
      </c>
      <c r="K5999" s="444">
        <f t="shared" ca="1" si="198"/>
        <v>-153084262395178.97</v>
      </c>
      <c r="L5999" s="444">
        <f t="shared" ca="1" si="199"/>
        <v>-3.6893307237238128E+16</v>
      </c>
      <c r="M5999" s="460">
        <f t="shared" si="201"/>
        <v>0.05</v>
      </c>
      <c r="N5999" s="464">
        <f t="shared" si="202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00"/>
        <v>-3.6893307237238128E+16</v>
      </c>
      <c r="J6000" s="444">
        <f t="array" ref="J6000">IFERROR(INDEX('Retirement Calculator'!K:K,MATCH('Lorri 401b'!N6000,'Retirement Calculator'!A:A,0),0),0)</f>
        <v>0</v>
      </c>
      <c r="K6000" s="444">
        <f t="shared" ca="1" si="198"/>
        <v>-153722113488492.19</v>
      </c>
      <c r="L6000" s="444">
        <f t="shared" ca="1" si="199"/>
        <v>-3.7047029350726624E+16</v>
      </c>
      <c r="M6000" s="460">
        <f t="shared" si="201"/>
        <v>0.05</v>
      </c>
      <c r="N6000" s="464">
        <f t="shared" si="202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00"/>
        <v>-3.7047029350726624E+16</v>
      </c>
      <c r="J6001" s="444">
        <f t="array" ref="J6001">IFERROR(INDEX('Retirement Calculator'!K:K,MATCH('Lorri 401b'!N6001,'Retirement Calculator'!A:A,0),0),0)</f>
        <v>0</v>
      </c>
      <c r="K6001" s="444">
        <f t="shared" ca="1" si="198"/>
        <v>-154362622294694.25</v>
      </c>
      <c r="L6001" s="444">
        <f t="shared" ca="1" si="199"/>
        <v>-3.720139197302132E+16</v>
      </c>
      <c r="M6001" s="460">
        <f t="shared" si="201"/>
        <v>0.05</v>
      </c>
      <c r="N6001" s="464">
        <f t="shared" si="202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00"/>
        <v>-3.720139197302132E+16</v>
      </c>
      <c r="J6002" s="444">
        <f t="array" ref="J6002">IFERROR(INDEX('Retirement Calculator'!K:K,MATCH('Lorri 401b'!N6002,'Retirement Calculator'!A:A,0),0),0)</f>
        <v>0</v>
      </c>
      <c r="K6002" s="444">
        <f t="shared" ca="1" si="198"/>
        <v>-155005799887588.84</v>
      </c>
      <c r="L6002" s="444">
        <f t="shared" ca="1" si="199"/>
        <v>-3.7356397772908912E+16</v>
      </c>
      <c r="M6002" s="460">
        <f t="shared" si="201"/>
        <v>0.05</v>
      </c>
      <c r="N6002" s="464">
        <f t="shared" si="202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00"/>
        <v>-3.7356397772908912E+16</v>
      </c>
      <c r="J6003" s="444">
        <f t="array" ref="J6003">IFERROR(INDEX('Retirement Calculator'!K:K,MATCH('Lorri 401b'!N6003,'Retirement Calculator'!A:A,0),0),0)</f>
        <v>0</v>
      </c>
      <c r="K6003" s="444">
        <f t="shared" ca="1" si="198"/>
        <v>-155651657387120.47</v>
      </c>
      <c r="L6003" s="444">
        <f t="shared" ca="1" si="199"/>
        <v>-3.7512049430296032E+16</v>
      </c>
      <c r="M6003" s="460">
        <f t="shared" si="201"/>
        <v>0.05</v>
      </c>
      <c r="N6003" s="464">
        <f t="shared" si="202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00"/>
        <v>-3.7512049430296032E+16</v>
      </c>
      <c r="J6004" s="444">
        <f t="array" ref="J6004">IFERROR(INDEX('Retirement Calculator'!K:K,MATCH('Lorri 401b'!N6004,'Retirement Calculator'!A:A,0),0),0)</f>
        <v>0</v>
      </c>
      <c r="K6004" s="444">
        <f t="shared" ca="1" si="198"/>
        <v>-156300205959566.81</v>
      </c>
      <c r="L6004" s="444">
        <f t="shared" ca="1" si="199"/>
        <v>-3.76683496362556E+16</v>
      </c>
      <c r="M6004" s="460">
        <f t="shared" si="201"/>
        <v>0.05</v>
      </c>
      <c r="N6004" s="464">
        <f t="shared" si="202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00"/>
        <v>-3.76683496362556E+16</v>
      </c>
      <c r="J6005" s="444">
        <f t="array" ref="J6005">IFERROR(INDEX('Retirement Calculator'!K:K,MATCH('Lorri 401b'!N6005,'Retirement Calculator'!A:A,0),0),0)</f>
        <v>0</v>
      </c>
      <c r="K6005" s="444">
        <f t="shared" ca="1" si="198"/>
        <v>-156951456817731.66</v>
      </c>
      <c r="L6005" s="444">
        <f t="shared" ca="1" si="199"/>
        <v>-3.7825301093073328E+16</v>
      </c>
      <c r="M6005" s="460">
        <f t="shared" si="201"/>
        <v>0.05</v>
      </c>
      <c r="N6005" s="464">
        <f t="shared" si="202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00"/>
        <v>-3.7825301093073328E+16</v>
      </c>
      <c r="J6006" s="444">
        <f t="array" ref="J6006">IFERROR(INDEX('Retirement Calculator'!K:K,MATCH('Lorri 401b'!N6006,'Retirement Calculator'!A:A,0),0),0)</f>
        <v>0</v>
      </c>
      <c r="K6006" s="444">
        <f t="shared" ca="1" si="198"/>
        <v>-157605421221138.88</v>
      </c>
      <c r="L6006" s="444">
        <f t="shared" ca="1" si="199"/>
        <v>-3.7982906514294464E+16</v>
      </c>
      <c r="M6006" s="460">
        <f t="shared" si="201"/>
        <v>0.05</v>
      </c>
      <c r="N6006" s="464">
        <f t="shared" si="202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00"/>
        <v>-3.7982906514294464E+16</v>
      </c>
      <c r="J6007" s="444">
        <f t="array" ref="J6007">IFERROR(INDEX('Retirement Calculator'!K:K,MATCH('Lorri 401b'!N6007,'Retirement Calculator'!A:A,0),0),0)</f>
        <v>0</v>
      </c>
      <c r="K6007" s="444">
        <f t="shared" ca="1" si="198"/>
        <v>-158262110476226.94</v>
      </c>
      <c r="L6007" s="444">
        <f t="shared" ca="1" si="199"/>
        <v>-3.8141168624770688E+16</v>
      </c>
      <c r="M6007" s="460">
        <f t="shared" si="201"/>
        <v>0.05</v>
      </c>
      <c r="N6007" s="464">
        <f t="shared" si="202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00"/>
        <v>-3.8141168624770688E+16</v>
      </c>
      <c r="J6008" s="444">
        <f t="array" ref="J6008">IFERROR(INDEX('Retirement Calculator'!K:K,MATCH('Lorri 401b'!N6008,'Retirement Calculator'!A:A,0),0),0)</f>
        <v>0</v>
      </c>
      <c r="K6008" s="444">
        <f t="shared" ca="1" si="198"/>
        <v>-158921535936544.53</v>
      </c>
      <c r="L6008" s="444">
        <f t="shared" ca="1" si="199"/>
        <v>-3.8300090160707232E+16</v>
      </c>
      <c r="M6008" s="460">
        <f t="shared" si="201"/>
        <v>0.05</v>
      </c>
      <c r="N6008" s="464">
        <f t="shared" si="202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00"/>
        <v>-3.8300090160707232E+16</v>
      </c>
      <c r="J6009" s="444">
        <f t="array" ref="J6009">IFERROR(INDEX('Retirement Calculator'!K:K,MATCH('Lorri 401b'!N6009,'Retirement Calculator'!A:A,0),0),0)</f>
        <v>0</v>
      </c>
      <c r="K6009" s="444">
        <f t="shared" ca="1" si="198"/>
        <v>-159583709002946.81</v>
      </c>
      <c r="L6009" s="444">
        <f t="shared" ca="1" si="199"/>
        <v>-3.8459673869710176E+16</v>
      </c>
      <c r="M6009" s="460">
        <f t="shared" si="201"/>
        <v>0.05</v>
      </c>
      <c r="N6009" s="464">
        <f t="shared" si="202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00"/>
        <v>-3.8459673869710176E+16</v>
      </c>
      <c r="J6010" s="444">
        <f t="array" ref="J6010">IFERROR(INDEX('Retirement Calculator'!K:K,MATCH('Lorri 401b'!N6010,'Retirement Calculator'!A:A,0),0),0)</f>
        <v>0</v>
      </c>
      <c r="K6010" s="444">
        <f t="shared" ca="1" si="198"/>
        <v>-160248641123792.41</v>
      </c>
      <c r="L6010" s="444">
        <f t="shared" ca="1" si="199"/>
        <v>-3.8619922510833968E+16</v>
      </c>
      <c r="M6010" s="460">
        <f t="shared" si="201"/>
        <v>0.05</v>
      </c>
      <c r="N6010" s="464">
        <f t="shared" si="202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00"/>
        <v>-3.8619922510833968E+16</v>
      </c>
      <c r="J6011" s="444">
        <f t="array" ref="J6011">IFERROR(INDEX('Retirement Calculator'!K:K,MATCH('Lorri 401b'!N6011,'Retirement Calculator'!A:A,0),0),0)</f>
        <v>0</v>
      </c>
      <c r="K6011" s="444">
        <f t="shared" ca="1" si="198"/>
        <v>-160916343795141.53</v>
      </c>
      <c r="L6011" s="444">
        <f t="shared" ca="1" si="199"/>
        <v>-3.8780838854629112E+16</v>
      </c>
      <c r="M6011" s="460">
        <f t="shared" si="201"/>
        <v>0.05</v>
      </c>
      <c r="N6011" s="464">
        <f t="shared" si="202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00"/>
        <v>-3.8780838854629112E+16</v>
      </c>
      <c r="J6012" s="444">
        <f t="array" ref="J6012">IFERROR(INDEX('Retirement Calculator'!K:K,MATCH('Lorri 401b'!N6012,'Retirement Calculator'!A:A,0),0),0)</f>
        <v>0</v>
      </c>
      <c r="K6012" s="444">
        <f t="shared" ca="1" si="198"/>
        <v>-161586828560954.63</v>
      </c>
      <c r="L6012" s="444">
        <f t="shared" ca="1" si="199"/>
        <v>-3.8942425683190064E+16</v>
      </c>
      <c r="M6012" s="460">
        <f t="shared" si="201"/>
        <v>0.05</v>
      </c>
      <c r="N6012" s="464">
        <f t="shared" si="202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00"/>
        <v>-3.8942425683190064E+16</v>
      </c>
      <c r="J6013" s="444">
        <f t="array" ref="J6013">IFERROR(INDEX('Retirement Calculator'!K:K,MATCH('Lorri 401b'!N6013,'Retirement Calculator'!A:A,0),0),0)</f>
        <v>0</v>
      </c>
      <c r="K6013" s="444">
        <f t="shared" ca="1" si="198"/>
        <v>-162260107013291.94</v>
      </c>
      <c r="L6013" s="444">
        <f t="shared" ca="1" si="199"/>
        <v>-3.9104685790203352E+16</v>
      </c>
      <c r="M6013" s="460">
        <f t="shared" si="201"/>
        <v>0.05</v>
      </c>
      <c r="N6013" s="464">
        <f t="shared" si="202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00"/>
        <v>-3.9104685790203352E+16</v>
      </c>
      <c r="J6014" s="444">
        <f t="array" ref="J6014">IFERROR(INDEX('Retirement Calculator'!K:K,MATCH('Lorri 401b'!N6014,'Retirement Calculator'!A:A,0),0),0)</f>
        <v>0</v>
      </c>
      <c r="K6014" s="444">
        <f t="shared" ca="1" si="198"/>
        <v>-162936190792513.97</v>
      </c>
      <c r="L6014" s="444">
        <f t="shared" ca="1" si="199"/>
        <v>-3.9267621980995864E+16</v>
      </c>
      <c r="M6014" s="460">
        <f t="shared" si="201"/>
        <v>0.05</v>
      </c>
      <c r="N6014" s="464">
        <f t="shared" si="202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00"/>
        <v>-3.9267621980995864E+16</v>
      </c>
      <c r="J6015" s="444">
        <f t="array" ref="J6015">IFERROR(INDEX('Retirement Calculator'!K:K,MATCH('Lorri 401b'!N6015,'Retirement Calculator'!A:A,0),0),0)</f>
        <v>0</v>
      </c>
      <c r="K6015" s="444">
        <f t="shared" ca="1" si="198"/>
        <v>-163615091587482.75</v>
      </c>
      <c r="L6015" s="444">
        <f t="shared" ca="1" si="199"/>
        <v>-3.9431237072583344E+16</v>
      </c>
      <c r="M6015" s="460">
        <f t="shared" si="201"/>
        <v>0.05</v>
      </c>
      <c r="N6015" s="464">
        <f t="shared" si="202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00"/>
        <v>-3.9431237072583344E+16</v>
      </c>
      <c r="J6016" s="444">
        <f t="array" ref="J6016">IFERROR(INDEX('Retirement Calculator'!K:K,MATCH('Lorri 401b'!N6016,'Retirement Calculator'!A:A,0),0),0)</f>
        <v>0</v>
      </c>
      <c r="K6016" s="444">
        <f t="shared" ca="1" si="198"/>
        <v>-164296821135763.94</v>
      </c>
      <c r="L6016" s="444">
        <f t="shared" ca="1" si="199"/>
        <v>-3.9595533893719104E+16</v>
      </c>
      <c r="M6016" s="460">
        <f t="shared" si="201"/>
        <v>0.05</v>
      </c>
      <c r="N6016" s="464">
        <f t="shared" si="202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00"/>
        <v>-3.9595533893719104E+16</v>
      </c>
      <c r="J6017" s="444">
        <f t="array" ref="J6017">IFERROR(INDEX('Retirement Calculator'!K:K,MATCH('Lorri 401b'!N6017,'Retirement Calculator'!A:A,0),0),0)</f>
        <v>0</v>
      </c>
      <c r="K6017" s="444">
        <f t="shared" ca="1" si="198"/>
        <v>-164981391223829.59</v>
      </c>
      <c r="L6017" s="444">
        <f t="shared" ca="1" si="199"/>
        <v>-3.9760515284942936E+16</v>
      </c>
      <c r="M6017" s="460">
        <f t="shared" si="201"/>
        <v>0.05</v>
      </c>
      <c r="N6017" s="464">
        <f t="shared" si="202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00"/>
        <v>-3.9760515284942936E+16</v>
      </c>
      <c r="J6018" s="444">
        <f t="array" ref="J6018">IFERROR(INDEX('Retirement Calculator'!K:K,MATCH('Lorri 401b'!N6018,'Retirement Calculator'!A:A,0),0),0)</f>
        <v>0</v>
      </c>
      <c r="K6018" s="444">
        <f t="shared" ca="1" si="198"/>
        <v>-165668813687262.22</v>
      </c>
      <c r="L6018" s="444">
        <f t="shared" ca="1" si="199"/>
        <v>-3.99261840986302E+16</v>
      </c>
      <c r="M6018" s="460">
        <f t="shared" si="201"/>
        <v>0.05</v>
      </c>
      <c r="N6018" s="464">
        <f t="shared" si="202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00"/>
        <v>-3.99261840986302E+16</v>
      </c>
      <c r="J6019" s="444">
        <f t="array" ref="J6019">IFERROR(INDEX('Retirement Calculator'!K:K,MATCH('Lorri 401b'!N6019,'Retirement Calculator'!A:A,0),0),0)</f>
        <v>0</v>
      </c>
      <c r="K6019" s="444">
        <f t="shared" ca="1" si="198"/>
        <v>-166359100410959.16</v>
      </c>
      <c r="L6019" s="444">
        <f t="shared" ca="1" si="199"/>
        <v>-4.009254319904116E+16</v>
      </c>
      <c r="M6019" s="460">
        <f t="shared" si="201"/>
        <v>0.05</v>
      </c>
      <c r="N6019" s="464">
        <f t="shared" si="202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00"/>
        <v>-4.009254319904116E+16</v>
      </c>
      <c r="J6020" s="444">
        <f t="array" ref="J6020">IFERROR(INDEX('Retirement Calculator'!K:K,MATCH('Lorri 401b'!N6020,'Retirement Calculator'!A:A,0),0),0)</f>
        <v>0</v>
      </c>
      <c r="K6020" s="444">
        <f t="shared" ca="1" si="198"/>
        <v>-167052263329338.16</v>
      </c>
      <c r="L6020" s="444">
        <f t="shared" ca="1" si="199"/>
        <v>-4.0259595462370496E+16</v>
      </c>
      <c r="M6020" s="460">
        <f t="shared" si="201"/>
        <v>0.05</v>
      </c>
      <c r="N6020" s="464">
        <f t="shared" si="202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00"/>
        <v>-4.0259595462370496E+16</v>
      </c>
      <c r="J6021" s="444">
        <f t="array" ref="J6021">IFERROR(INDEX('Retirement Calculator'!K:K,MATCH('Lorri 401b'!N6021,'Retirement Calculator'!A:A,0),0),0)</f>
        <v>0</v>
      </c>
      <c r="K6021" s="444">
        <f t="shared" ca="1" si="198"/>
        <v>-167748314426543.72</v>
      </c>
      <c r="L6021" s="444">
        <f t="shared" ca="1" si="199"/>
        <v>-4.042734377679704E+16</v>
      </c>
      <c r="M6021" s="460">
        <f t="shared" si="201"/>
        <v>0.05</v>
      </c>
      <c r="N6021" s="464">
        <f t="shared" si="202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00"/>
        <v>-4.042734377679704E+16</v>
      </c>
      <c r="J6022" s="444">
        <f t="array" ref="J6022">IFERROR(INDEX('Retirement Calculator'!K:K,MATCH('Lorri 401b'!N6022,'Retirement Calculator'!A:A,0),0),0)</f>
        <v>0</v>
      </c>
      <c r="K6022" s="444">
        <f t="shared" ca="1" si="198"/>
        <v>-168447265736654.34</v>
      </c>
      <c r="L6022" s="444">
        <f t="shared" ca="1" si="199"/>
        <v>-4.0595791042533696E+16</v>
      </c>
      <c r="M6022" s="460">
        <f t="shared" si="201"/>
        <v>0.05</v>
      </c>
      <c r="N6022" s="464">
        <f t="shared" si="202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00"/>
        <v>-4.0595791042533696E+16</v>
      </c>
      <c r="J6023" s="444">
        <f t="array" ref="J6023">IFERROR(INDEX('Retirement Calculator'!K:K,MATCH('Lorri 401b'!N6023,'Retirement Calculator'!A:A,0),0),0)</f>
        <v>0</v>
      </c>
      <c r="K6023" s="444">
        <f t="shared" ca="1" si="198"/>
        <v>-169149129343890.41</v>
      </c>
      <c r="L6023" s="444">
        <f t="shared" ca="1" si="199"/>
        <v>-4.0764940171877584E+16</v>
      </c>
      <c r="M6023" s="460">
        <f t="shared" si="201"/>
        <v>0.05</v>
      </c>
      <c r="N6023" s="464">
        <f t="shared" si="202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00"/>
        <v>-4.0764940171877584E+16</v>
      </c>
      <c r="J6024" s="444">
        <f t="array" ref="J6024">IFERROR(INDEX('Retirement Calculator'!K:K,MATCH('Lorri 401b'!N6024,'Retirement Calculator'!A:A,0),0),0)</f>
        <v>0</v>
      </c>
      <c r="K6024" s="444">
        <f t="shared" ca="1" si="198"/>
        <v>-169853917382823.25</v>
      </c>
      <c r="L6024" s="444">
        <f t="shared" ca="1" si="199"/>
        <v>-4.0934794089260408E+16</v>
      </c>
      <c r="M6024" s="460">
        <f t="shared" si="201"/>
        <v>0.05</v>
      </c>
      <c r="N6024" s="464">
        <f t="shared" si="202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00"/>
        <v>-4.0934794089260408E+16</v>
      </c>
      <c r="J6025" s="444">
        <f t="array" ref="J6025">IFERROR(INDEX('Retirement Calculator'!K:K,MATCH('Lorri 401b'!N6025,'Retirement Calculator'!A:A,0),0),0)</f>
        <v>0</v>
      </c>
      <c r="K6025" s="444">
        <f t="shared" ca="1" si="198"/>
        <v>-170561642038585.03</v>
      </c>
      <c r="L6025" s="444">
        <f t="shared" ca="1" si="199"/>
        <v>-4.1105355731298992E+16</v>
      </c>
      <c r="M6025" s="460">
        <f t="shared" si="201"/>
        <v>0.05</v>
      </c>
      <c r="N6025" s="464">
        <f t="shared" si="202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00"/>
        <v>-4.1105355731298992E+16</v>
      </c>
      <c r="J6026" s="444">
        <f t="array" ref="J6026">IFERROR(INDEX('Retirement Calculator'!K:K,MATCH('Lorri 401b'!N6026,'Retirement Calculator'!A:A,0),0),0)</f>
        <v>0</v>
      </c>
      <c r="K6026" s="444">
        <f t="shared" ca="1" si="198"/>
        <v>-171272315547079.13</v>
      </c>
      <c r="L6026" s="444">
        <f t="shared" ca="1" si="199"/>
        <v>-4.1276628046846072E+16</v>
      </c>
      <c r="M6026" s="460">
        <f t="shared" si="201"/>
        <v>0.05</v>
      </c>
      <c r="N6026" s="464">
        <f t="shared" si="202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00"/>
        <v>-4.1276628046846072E+16</v>
      </c>
      <c r="J6027" s="444">
        <f t="array" ref="J6027">IFERROR(INDEX('Retirement Calculator'!K:K,MATCH('Lorri 401b'!N6027,'Retirement Calculator'!A:A,0),0),0)</f>
        <v>0</v>
      </c>
      <c r="K6027" s="444">
        <f t="shared" ca="1" si="198"/>
        <v>-171985950195191.97</v>
      </c>
      <c r="L6027" s="444">
        <f t="shared" ca="1" si="199"/>
        <v>-4.1448613997041264E+16</v>
      </c>
      <c r="M6027" s="460">
        <f t="shared" si="201"/>
        <v>0.05</v>
      </c>
      <c r="N6027" s="464">
        <f t="shared" si="202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00"/>
        <v>-4.1448613997041264E+16</v>
      </c>
      <c r="J6028" s="444">
        <f t="array" ref="J6028">IFERROR(INDEX('Retirement Calculator'!K:K,MATCH('Lorri 401b'!N6028,'Retirement Calculator'!A:A,0),0),0)</f>
        <v>0</v>
      </c>
      <c r="K6028" s="444">
        <f t="shared" ca="1" si="198"/>
        <v>-172702558321005.25</v>
      </c>
      <c r="L6028" s="444">
        <f t="shared" ca="1" si="199"/>
        <v>-4.1621316555362272E+16</v>
      </c>
      <c r="M6028" s="460">
        <f t="shared" si="201"/>
        <v>0.05</v>
      </c>
      <c r="N6028" s="464">
        <f t="shared" si="202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00"/>
        <v>-4.1621316555362272E+16</v>
      </c>
      <c r="J6029" s="444">
        <f t="array" ref="J6029">IFERROR(INDEX('Retirement Calculator'!K:K,MATCH('Lorri 401b'!N6029,'Retirement Calculator'!A:A,0),0),0)</f>
        <v>0</v>
      </c>
      <c r="K6029" s="444">
        <f t="shared" ca="1" si="198"/>
        <v>-173422152314009.47</v>
      </c>
      <c r="L6029" s="444">
        <f t="shared" ca="1" si="199"/>
        <v>-4.179473870767628E+16</v>
      </c>
      <c r="M6029" s="460">
        <f t="shared" si="201"/>
        <v>0.05</v>
      </c>
      <c r="N6029" s="464">
        <f t="shared" si="202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00"/>
        <v>-4.179473870767628E+16</v>
      </c>
      <c r="J6030" s="444">
        <f t="array" ref="J6030">IFERROR(INDEX('Retirement Calculator'!K:K,MATCH('Lorri 401b'!N6030,'Retirement Calculator'!A:A,0),0),0)</f>
        <v>0</v>
      </c>
      <c r="K6030" s="444">
        <f t="shared" ca="1" si="198"/>
        <v>-174144744615317.84</v>
      </c>
      <c r="L6030" s="444">
        <f t="shared" ca="1" si="199"/>
        <v>-4.19688834522916E+16</v>
      </c>
      <c r="M6030" s="460">
        <f t="shared" si="201"/>
        <v>0.05</v>
      </c>
      <c r="N6030" s="464">
        <f t="shared" si="202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00"/>
        <v>-4.19688834522916E+16</v>
      </c>
      <c r="J6031" s="444">
        <f t="array" ref="J6031">IFERROR(INDEX('Retirement Calculator'!K:K,MATCH('Lorri 401b'!N6031,'Retirement Calculator'!A:A,0),0),0)</f>
        <v>0</v>
      </c>
      <c r="K6031" s="444">
        <f t="shared" ca="1" si="198"/>
        <v>-174870347717881.66</v>
      </c>
      <c r="L6031" s="444">
        <f t="shared" ca="1" si="199"/>
        <v>-4.214375380000948E+16</v>
      </c>
      <c r="M6031" s="460">
        <f t="shared" si="201"/>
        <v>0.05</v>
      </c>
      <c r="N6031" s="464">
        <f t="shared" si="202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00"/>
        <v>-4.214375380000948E+16</v>
      </c>
      <c r="J6032" s="444">
        <f t="array" ref="J6032">IFERROR(INDEX('Retirement Calculator'!K:K,MATCH('Lorri 401b'!N6032,'Retirement Calculator'!A:A,0),0),0)</f>
        <v>0</v>
      </c>
      <c r="K6032" s="444">
        <f t="shared" ca="1" si="198"/>
        <v>-175598974166706.16</v>
      </c>
      <c r="L6032" s="444">
        <f t="shared" ca="1" si="199"/>
        <v>-4.2319352774176184E+16</v>
      </c>
      <c r="M6032" s="460">
        <f t="shared" si="201"/>
        <v>0.05</v>
      </c>
      <c r="N6032" s="464">
        <f t="shared" si="202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00"/>
        <v>-4.2319352774176184E+16</v>
      </c>
      <c r="J6033" s="444">
        <f t="array" ref="J6033">IFERROR(INDEX('Retirement Calculator'!K:K,MATCH('Lorri 401b'!N6033,'Retirement Calculator'!A:A,0),0),0)</f>
        <v>0</v>
      </c>
      <c r="K6033" s="444">
        <f t="shared" ca="1" si="198"/>
        <v>-176330636559067.44</v>
      </c>
      <c r="L6033" s="444">
        <f t="shared" ca="1" si="199"/>
        <v>-4.2495683410735248E+16</v>
      </c>
      <c r="M6033" s="460">
        <f t="shared" si="201"/>
        <v>0.05</v>
      </c>
      <c r="N6033" s="464">
        <f t="shared" si="202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00"/>
        <v>-4.2495683410735248E+16</v>
      </c>
      <c r="J6034" s="444">
        <f t="array" ref="J6034">IFERROR(INDEX('Retirement Calculator'!K:K,MATCH('Lorri 401b'!N6034,'Retirement Calculator'!A:A,0),0),0)</f>
        <v>0</v>
      </c>
      <c r="K6034" s="444">
        <f t="shared" ca="1" si="198"/>
        <v>-177065347544730.19</v>
      </c>
      <c r="L6034" s="444">
        <f t="shared" ca="1" si="199"/>
        <v>-4.2672748758279976E+16</v>
      </c>
      <c r="M6034" s="460">
        <f t="shared" si="201"/>
        <v>0.05</v>
      </c>
      <c r="N6034" s="464">
        <f t="shared" si="202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00"/>
        <v>-4.2672748758279976E+16</v>
      </c>
      <c r="J6035" s="444">
        <f t="array" ref="J6035">IFERROR(INDEX('Retirement Calculator'!K:K,MATCH('Lorri 401b'!N6035,'Retirement Calculator'!A:A,0),0),0)</f>
        <v>0</v>
      </c>
      <c r="K6035" s="444">
        <f t="shared" ca="1" si="198"/>
        <v>-177803119826166.56</v>
      </c>
      <c r="L6035" s="444">
        <f t="shared" ca="1" si="199"/>
        <v>-4.2850551878106144E+16</v>
      </c>
      <c r="M6035" s="460">
        <f t="shared" si="201"/>
        <v>0.05</v>
      </c>
      <c r="N6035" s="464">
        <f t="shared" si="202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00"/>
        <v>-4.2850551878106144E+16</v>
      </c>
      <c r="J6036" s="444">
        <f t="array" ref="J6036">IFERROR(INDEX('Retirement Calculator'!K:K,MATCH('Lorri 401b'!N6036,'Retirement Calculator'!A:A,0),0),0)</f>
        <v>0</v>
      </c>
      <c r="K6036" s="444">
        <f t="shared" ca="1" si="198"/>
        <v>-178543966158775.59</v>
      </c>
      <c r="L6036" s="444">
        <f t="shared" ca="1" si="199"/>
        <v>-4.302909584426492E+16</v>
      </c>
      <c r="M6036" s="460">
        <f t="shared" si="201"/>
        <v>0.05</v>
      </c>
      <c r="N6036" s="464">
        <f t="shared" si="202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00"/>
        <v>-4.302909584426492E+16</v>
      </c>
      <c r="J6037" s="444">
        <f t="array" ref="J6037">IFERROR(INDEX('Retirement Calculator'!K:K,MATCH('Lorri 401b'!N6037,'Retirement Calculator'!A:A,0),0),0)</f>
        <v>0</v>
      </c>
      <c r="K6037" s="444">
        <f t="shared" ca="1" si="198"/>
        <v>-179287899351103.84</v>
      </c>
      <c r="L6037" s="444">
        <f t="shared" ca="1" si="199"/>
        <v>-4.3208383743616024E+16</v>
      </c>
      <c r="M6037" s="460">
        <f t="shared" si="201"/>
        <v>0.05</v>
      </c>
      <c r="N6037" s="464">
        <f t="shared" si="202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00"/>
        <v>-4.3208383743616024E+16</v>
      </c>
      <c r="J6038" s="444">
        <f t="array" ref="J6038">IFERROR(INDEX('Retirement Calculator'!K:K,MATCH('Lorri 401b'!N6038,'Retirement Calculator'!A:A,0),0),0)</f>
        <v>0</v>
      </c>
      <c r="K6038" s="444">
        <f t="shared" ca="1" si="198"/>
        <v>-180034932265066.75</v>
      </c>
      <c r="L6038" s="444">
        <f t="shared" ca="1" si="199"/>
        <v>-4.3388418675881088E+16</v>
      </c>
      <c r="M6038" s="460">
        <f t="shared" si="201"/>
        <v>0.05</v>
      </c>
      <c r="N6038" s="464">
        <f t="shared" si="202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00"/>
        <v>-4.3388418675881088E+16</v>
      </c>
      <c r="J6039" s="444">
        <f t="array" ref="J6039">IFERROR(INDEX('Retirement Calculator'!K:K,MATCH('Lorri 401b'!N6039,'Retirement Calculator'!A:A,0),0),0)</f>
        <v>0</v>
      </c>
      <c r="K6039" s="444">
        <f t="shared" ca="1" si="198"/>
        <v>-180785077816171.19</v>
      </c>
      <c r="L6039" s="444">
        <f t="shared" ca="1" si="199"/>
        <v>-4.3569203753697256E+16</v>
      </c>
      <c r="M6039" s="460">
        <f t="shared" si="201"/>
        <v>0.05</v>
      </c>
      <c r="N6039" s="464">
        <f t="shared" si="202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00"/>
        <v>-4.3569203753697256E+16</v>
      </c>
      <c r="J6040" s="444">
        <f t="array" ref="J6040">IFERROR(INDEX('Retirement Calculator'!K:K,MATCH('Lorri 401b'!N6040,'Retirement Calculator'!A:A,0),0),0)</f>
        <v>0</v>
      </c>
      <c r="K6040" s="444">
        <f t="shared" ca="1" si="198"/>
        <v>-181538348973738.56</v>
      </c>
      <c r="L6040" s="444">
        <f t="shared" ca="1" si="199"/>
        <v>-4.3750742102670992E+16</v>
      </c>
      <c r="M6040" s="460">
        <f t="shared" si="201"/>
        <v>0.05</v>
      </c>
      <c r="N6040" s="464">
        <f t="shared" si="202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00"/>
        <v>-4.3750742102670992E+16</v>
      </c>
      <c r="J6041" s="444">
        <f t="array" ref="J6041">IFERROR(INDEX('Retirement Calculator'!K:K,MATCH('Lorri 401b'!N6041,'Retirement Calculator'!A:A,0),0),0)</f>
        <v>0</v>
      </c>
      <c r="K6041" s="444">
        <f t="shared" ca="1" si="198"/>
        <v>-182294758761129.13</v>
      </c>
      <c r="L6041" s="444">
        <f t="shared" ca="1" si="199"/>
        <v>-4.393303686143212E+16</v>
      </c>
      <c r="M6041" s="460">
        <f t="shared" si="201"/>
        <v>0.05</v>
      </c>
      <c r="N6041" s="464">
        <f t="shared" si="202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00"/>
        <v>-4.393303686143212E+16</v>
      </c>
      <c r="J6042" s="444">
        <f t="array" ref="J6042">IFERROR(INDEX('Retirement Calculator'!K:K,MATCH('Lorri 401b'!N6042,'Retirement Calculator'!A:A,0),0),0)</f>
        <v>0</v>
      </c>
      <c r="K6042" s="444">
        <f t="shared" ca="1" si="198"/>
        <v>-183054320255967.16</v>
      </c>
      <c r="L6042" s="444">
        <f t="shared" ca="1" si="199"/>
        <v>-4.4116091181688088E+16</v>
      </c>
      <c r="M6042" s="460">
        <f t="shared" si="201"/>
        <v>0.05</v>
      </c>
      <c r="N6042" s="464">
        <f t="shared" si="202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00"/>
        <v>-4.4116091181688088E+16</v>
      </c>
      <c r="J6043" s="444">
        <f t="array" ref="J6043">IFERROR(INDEX('Retirement Calculator'!K:K,MATCH('Lorri 401b'!N6043,'Retirement Calculator'!A:A,0),0),0)</f>
        <v>0</v>
      </c>
      <c r="K6043" s="444">
        <f t="shared" ca="1" si="198"/>
        <v>-183817046590367.03</v>
      </c>
      <c r="L6043" s="444">
        <f t="shared" ca="1" si="199"/>
        <v>-4.4299908228278456E+16</v>
      </c>
      <c r="M6043" s="460">
        <f t="shared" si="201"/>
        <v>0.05</v>
      </c>
      <c r="N6043" s="464">
        <f t="shared" si="202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00"/>
        <v>-4.4299908228278456E+16</v>
      </c>
      <c r="J6044" s="444">
        <f t="array" ref="J6044">IFERROR(INDEX('Retirement Calculator'!K:K,MATCH('Lorri 401b'!N6044,'Retirement Calculator'!A:A,0),0),0)</f>
        <v>0</v>
      </c>
      <c r="K6044" s="444">
        <f t="shared" ca="1" si="198"/>
        <v>-184582950951160.22</v>
      </c>
      <c r="L6044" s="444">
        <f t="shared" ca="1" si="199"/>
        <v>-4.4484491179229616E+16</v>
      </c>
      <c r="M6044" s="460">
        <f t="shared" si="201"/>
        <v>0.05</v>
      </c>
      <c r="N6044" s="464">
        <f t="shared" si="202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00"/>
        <v>-4.4484491179229616E+16</v>
      </c>
      <c r="J6045" s="444">
        <f t="array" ref="J6045">IFERROR(INDEX('Retirement Calculator'!K:K,MATCH('Lorri 401b'!N6045,'Retirement Calculator'!A:A,0),0),0)</f>
        <v>0</v>
      </c>
      <c r="K6045" s="444">
        <f t="shared" ca="1" si="198"/>
        <v>-185352046580123.41</v>
      </c>
      <c r="L6045" s="444">
        <f t="shared" ca="1" si="199"/>
        <v>-4.4669843225809736E+16</v>
      </c>
      <c r="M6045" s="460">
        <f t="shared" si="201"/>
        <v>0.05</v>
      </c>
      <c r="N6045" s="464">
        <f t="shared" si="202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00"/>
        <v>-4.4669843225809736E+16</v>
      </c>
      <c r="J6046" s="444">
        <f t="array" ref="J6046">IFERROR(INDEX('Retirement Calculator'!K:K,MATCH('Lorri 401b'!N6046,'Retirement Calculator'!A:A,0),0),0)</f>
        <v>0</v>
      </c>
      <c r="K6046" s="444">
        <f t="shared" ca="1" si="198"/>
        <v>-186124346774207.22</v>
      </c>
      <c r="L6046" s="444">
        <f t="shared" ca="1" si="199"/>
        <v>-4.4855967572583944E+16</v>
      </c>
      <c r="M6046" s="460">
        <f t="shared" si="201"/>
        <v>0.05</v>
      </c>
      <c r="N6046" s="464">
        <f t="shared" si="202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00"/>
        <v>-4.4855967572583944E+16</v>
      </c>
      <c r="J6047" s="444">
        <f t="array" ref="J6047">IFERROR(INDEX('Retirement Calculator'!K:K,MATCH('Lorri 401b'!N6047,'Retirement Calculator'!A:A,0),0),0)</f>
        <v>0</v>
      </c>
      <c r="K6047" s="444">
        <f t="shared" ca="1" si="198"/>
        <v>-186899864885766.44</v>
      </c>
      <c r="L6047" s="444">
        <f t="shared" ca="1" si="199"/>
        <v>-4.5042867437469712E+16</v>
      </c>
      <c r="M6047" s="460">
        <f t="shared" si="201"/>
        <v>0.05</v>
      </c>
      <c r="N6047" s="464">
        <f t="shared" si="202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00"/>
        <v>-4.5042867437469712E+16</v>
      </c>
      <c r="J6048" s="444">
        <f t="array" ref="J6048">IFERROR(INDEX('Retirement Calculator'!K:K,MATCH('Lorri 401b'!N6048,'Retirement Calculator'!A:A,0),0),0)</f>
        <v>0</v>
      </c>
      <c r="K6048" s="444">
        <f t="shared" ca="1" si="198"/>
        <v>-187678614322790.47</v>
      </c>
      <c r="L6048" s="444">
        <f t="shared" ca="1" si="199"/>
        <v>-4.5230546051792504E+16</v>
      </c>
      <c r="M6048" s="460">
        <f t="shared" si="201"/>
        <v>0.05</v>
      </c>
      <c r="N6048" s="464">
        <f t="shared" si="202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00"/>
        <v>-4.5230546051792504E+16</v>
      </c>
      <c r="J6049" s="444">
        <f t="array" ref="J6049">IFERROR(INDEX('Retirement Calculator'!K:K,MATCH('Lorri 401b'!N6049,'Retirement Calculator'!A:A,0),0),0)</f>
        <v>0</v>
      </c>
      <c r="K6049" s="444">
        <f t="shared" ca="1" si="198"/>
        <v>-188460608549135.44</v>
      </c>
      <c r="L6049" s="444">
        <f t="shared" ca="1" si="199"/>
        <v>-4.541900666034164E+16</v>
      </c>
      <c r="M6049" s="460">
        <f t="shared" si="201"/>
        <v>0.05</v>
      </c>
      <c r="N6049" s="464">
        <f t="shared" si="202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00"/>
        <v>-4.541900666034164E+16</v>
      </c>
      <c r="J6050" s="444">
        <f t="array" ref="J6050">IFERROR(INDEX('Retirement Calculator'!K:K,MATCH('Lorri 401b'!N6050,'Retirement Calculator'!A:A,0),0),0)</f>
        <v>0</v>
      </c>
      <c r="K6050" s="444">
        <f t="shared" ca="1" si="198"/>
        <v>-189245861084756.84</v>
      </c>
      <c r="L6050" s="444">
        <f t="shared" ca="1" si="199"/>
        <v>-4.56082525214264E+16</v>
      </c>
      <c r="M6050" s="460">
        <f t="shared" si="201"/>
        <v>0.05</v>
      </c>
      <c r="N6050" s="464">
        <f t="shared" si="202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00"/>
        <v>-4.56082525214264E+16</v>
      </c>
      <c r="J6051" s="444">
        <f t="array" ref="J6051">IFERROR(INDEX('Retirement Calculator'!K:K,MATCH('Lorri 401b'!N6051,'Retirement Calculator'!A:A,0),0),0)</f>
        <v>0</v>
      </c>
      <c r="K6051" s="444">
        <f t="shared" ca="1" si="198"/>
        <v>-190034385505943.34</v>
      </c>
      <c r="L6051" s="444">
        <f t="shared" ca="1" si="199"/>
        <v>-4.5798286906932344E+16</v>
      </c>
      <c r="M6051" s="460">
        <f t="shared" si="201"/>
        <v>0.05</v>
      </c>
      <c r="N6051" s="464">
        <f t="shared" si="202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00"/>
        <v>-4.5798286906932344E+16</v>
      </c>
      <c r="J6052" s="444">
        <f t="array" ref="J6052">IFERROR(INDEX('Retirement Calculator'!K:K,MATCH('Lorri 401b'!N6052,'Retirement Calculator'!A:A,0),0),0)</f>
        <v>0</v>
      </c>
      <c r="K6052" s="444">
        <f t="shared" ca="1" si="198"/>
        <v>-190826195445551.44</v>
      </c>
      <c r="L6052" s="444">
        <f t="shared" ca="1" si="199"/>
        <v>-4.5989113102377896E+16</v>
      </c>
      <c r="M6052" s="460">
        <f t="shared" si="201"/>
        <v>0.05</v>
      </c>
      <c r="N6052" s="464">
        <f t="shared" si="202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00"/>
        <v>-4.5989113102377896E+16</v>
      </c>
      <c r="J6053" s="444">
        <f t="array" ref="J6053">IFERROR(INDEX('Retirement Calculator'!K:K,MATCH('Lorri 401b'!N6053,'Retirement Calculator'!A:A,0),0),0)</f>
        <v>0</v>
      </c>
      <c r="K6053" s="444">
        <f t="shared" ca="1" si="198"/>
        <v>-191621304593241.22</v>
      </c>
      <c r="L6053" s="444">
        <f t="shared" ca="1" si="199"/>
        <v>-4.6180734406971136E+16</v>
      </c>
      <c r="M6053" s="460">
        <f t="shared" si="201"/>
        <v>0.05</v>
      </c>
      <c r="N6053" s="464">
        <f t="shared" si="202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00"/>
        <v>-4.6180734406971136E+16</v>
      </c>
      <c r="J6054" s="444">
        <f t="array" ref="J6054">IFERROR(INDEX('Retirement Calculator'!K:K,MATCH('Lorri 401b'!N6054,'Retirement Calculator'!A:A,0),0),0)</f>
        <v>0</v>
      </c>
      <c r="K6054" s="444">
        <f t="shared" ca="1" si="198"/>
        <v>-192419726695713.06</v>
      </c>
      <c r="L6054" s="444">
        <f t="shared" ca="1" si="199"/>
        <v>-4.6373154133666848E+16</v>
      </c>
      <c r="M6054" s="460">
        <f t="shared" si="201"/>
        <v>0.05</v>
      </c>
      <c r="N6054" s="464">
        <f t="shared" si="202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00"/>
        <v>-4.6373154133666848E+16</v>
      </c>
      <c r="J6055" s="444">
        <f t="array" ref="J6055">IFERROR(INDEX('Retirement Calculator'!K:K,MATCH('Lorri 401b'!N6055,'Retirement Calculator'!A:A,0),0),0)</f>
        <v>0</v>
      </c>
      <c r="K6055" s="444">
        <f t="shared" ca="1" si="198"/>
        <v>-193221475556945.19</v>
      </c>
      <c r="L6055" s="444">
        <f t="shared" ca="1" si="199"/>
        <v>-4.6566375609223792E+16</v>
      </c>
      <c r="M6055" s="460">
        <f t="shared" si="201"/>
        <v>0.05</v>
      </c>
      <c r="N6055" s="464">
        <f t="shared" si="202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00"/>
        <v>-4.6566375609223792E+16</v>
      </c>
      <c r="J6056" s="444">
        <f t="array" ref="J6056">IFERROR(INDEX('Retirement Calculator'!K:K,MATCH('Lorri 401b'!N6056,'Retirement Calculator'!A:A,0),0),0)</f>
        <v>0</v>
      </c>
      <c r="K6056" s="444">
        <f t="shared" ca="1" si="198"/>
        <v>-194026565038432.47</v>
      </c>
      <c r="L6056" s="444">
        <f t="shared" ca="1" si="199"/>
        <v>-4.6760402174262224E+16</v>
      </c>
      <c r="M6056" s="460">
        <f t="shared" si="201"/>
        <v>0.05</v>
      </c>
      <c r="N6056" s="464">
        <f t="shared" si="202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00"/>
        <v>-4.6760402174262224E+16</v>
      </c>
      <c r="J6057" s="444">
        <f t="array" ref="J6057">IFERROR(INDEX('Retirement Calculator'!K:K,MATCH('Lorri 401b'!N6057,'Retirement Calculator'!A:A,0),0),0)</f>
        <v>0</v>
      </c>
      <c r="K6057" s="444">
        <f t="shared" ca="1" si="198"/>
        <v>-194835009059425.94</v>
      </c>
      <c r="L6057" s="444">
        <f t="shared" ca="1" si="199"/>
        <v>-4.6955237183321648E+16</v>
      </c>
      <c r="M6057" s="460">
        <f t="shared" si="201"/>
        <v>0.05</v>
      </c>
      <c r="N6057" s="464">
        <f t="shared" si="202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00"/>
        <v>-4.6955237183321648E+16</v>
      </c>
      <c r="J6058" s="444">
        <f t="array" ref="J6058">IFERROR(INDEX('Retirement Calculator'!K:K,MATCH('Lorri 401b'!N6058,'Retirement Calculator'!A:A,0),0),0)</f>
        <v>0</v>
      </c>
      <c r="K6058" s="444">
        <f t="shared" ca="1" si="198"/>
        <v>-195646821597173.53</v>
      </c>
      <c r="L6058" s="444">
        <f t="shared" ca="1" si="199"/>
        <v>-4.7150884004918824E+16</v>
      </c>
      <c r="M6058" s="460">
        <f t="shared" si="201"/>
        <v>0.05</v>
      </c>
      <c r="N6058" s="464">
        <f t="shared" si="202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00"/>
        <v>-4.7150884004918824E+16</v>
      </c>
      <c r="J6059" s="444">
        <f t="array" ref="J6059">IFERROR(INDEX('Retirement Calculator'!K:K,MATCH('Lorri 401b'!N6059,'Retirement Calculator'!A:A,0),0),0)</f>
        <v>0</v>
      </c>
      <c r="K6059" s="444">
        <f t="shared" ca="1" si="198"/>
        <v>-196462016687161.75</v>
      </c>
      <c r="L6059" s="444">
        <f t="shared" ca="1" si="199"/>
        <v>-4.7347346021605984E+16</v>
      </c>
      <c r="M6059" s="460">
        <f t="shared" si="201"/>
        <v>0.05</v>
      </c>
      <c r="N6059" s="464">
        <f t="shared" si="202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00"/>
        <v>-4.7347346021605984E+16</v>
      </c>
      <c r="J6060" s="444">
        <f t="array" ref="J6060">IFERROR(INDEX('Retirement Calculator'!K:K,MATCH('Lorri 401b'!N6060,'Retirement Calculator'!A:A,0),0),0)</f>
        <v>0</v>
      </c>
      <c r="K6060" s="444">
        <f t="shared" ca="1" si="198"/>
        <v>-197280608423358.25</v>
      </c>
      <c r="L6060" s="444">
        <f t="shared" ca="1" si="199"/>
        <v>-4.7544626630029344E+16</v>
      </c>
      <c r="M6060" s="460">
        <f t="shared" si="201"/>
        <v>0.05</v>
      </c>
      <c r="N6060" s="464">
        <f t="shared" si="202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00"/>
        <v>-4.7544626630029344E+16</v>
      </c>
      <c r="J6061" s="444">
        <f t="array" ref="J6061">IFERROR(INDEX('Retirement Calculator'!K:K,MATCH('Lorri 401b'!N6061,'Retirement Calculator'!A:A,0),0),0)</f>
        <v>0</v>
      </c>
      <c r="K6061" s="444">
        <f t="shared" ca="1" si="198"/>
        <v>-198102610958455.59</v>
      </c>
      <c r="L6061" s="444">
        <f t="shared" ca="1" si="199"/>
        <v>-4.77427292409878E+16</v>
      </c>
      <c r="M6061" s="460">
        <f t="shared" si="201"/>
        <v>0.05</v>
      </c>
      <c r="N6061" s="464">
        <f t="shared" si="202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00"/>
        <v>-4.77427292409878E+16</v>
      </c>
      <c r="J6062" s="444">
        <f t="array" ref="J6062">IFERROR(INDEX('Retirement Calculator'!K:K,MATCH('Lorri 401b'!N6062,'Retirement Calculator'!A:A,0),0),0)</f>
        <v>0</v>
      </c>
      <c r="K6062" s="444">
        <f t="shared" ca="1" si="198"/>
        <v>-198928038504115.84</v>
      </c>
      <c r="L6062" s="444">
        <f t="shared" ca="1" si="199"/>
        <v>-4.7941657279491912E+16</v>
      </c>
      <c r="M6062" s="460">
        <f t="shared" si="201"/>
        <v>0.05</v>
      </c>
      <c r="N6062" s="464">
        <f t="shared" si="202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00"/>
        <v>-4.7941657279491912E+16</v>
      </c>
      <c r="J6063" s="444">
        <f t="array" ref="J6063">IFERROR(INDEX('Retirement Calculator'!K:K,MATCH('Lorri 401b'!N6063,'Retirement Calculator'!A:A,0),0),0)</f>
        <v>0</v>
      </c>
      <c r="K6063" s="444">
        <f t="shared" ca="1" si="198"/>
        <v>-199756905331216.31</v>
      </c>
      <c r="L6063" s="444">
        <f t="shared" ca="1" si="199"/>
        <v>-4.8141414184823128E+16</v>
      </c>
      <c r="M6063" s="460">
        <f t="shared" si="201"/>
        <v>0.05</v>
      </c>
      <c r="N6063" s="464">
        <f t="shared" si="202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00"/>
        <v>-4.8141414184823128E+16</v>
      </c>
      <c r="J6064" s="444">
        <f t="array" ref="J6064">IFERROR(INDEX('Retirement Calculator'!K:K,MATCH('Lorri 401b'!N6064,'Retirement Calculator'!A:A,0),0),0)</f>
        <v>0</v>
      </c>
      <c r="K6064" s="444">
        <f t="shared" ca="1" si="198"/>
        <v>-200589225770096.38</v>
      </c>
      <c r="L6064" s="444">
        <f t="shared" ca="1" si="199"/>
        <v>-4.8342003410593224E+16</v>
      </c>
      <c r="M6064" s="460">
        <f t="shared" si="201"/>
        <v>0.05</v>
      </c>
      <c r="N6064" s="464">
        <f t="shared" si="202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00"/>
        <v>-4.8342003410593224E+16</v>
      </c>
      <c r="J6065" s="444">
        <f t="array" ref="J6065">IFERROR(INDEX('Retirement Calculator'!K:K,MATCH('Lorri 401b'!N6065,'Retirement Calculator'!A:A,0),0),0)</f>
        <v>0</v>
      </c>
      <c r="K6065" s="444">
        <f t="shared" ca="1" si="198"/>
        <v>-201425014210805.09</v>
      </c>
      <c r="L6065" s="444">
        <f t="shared" ca="1" si="199"/>
        <v>-4.8543428424804032E+16</v>
      </c>
      <c r="M6065" s="460">
        <f t="shared" si="201"/>
        <v>0.05</v>
      </c>
      <c r="N6065" s="464">
        <f t="shared" si="202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00"/>
        <v>-4.8543428424804032E+16</v>
      </c>
      <c r="J6066" s="444">
        <f t="array" ref="J6066">IFERROR(INDEX('Retirement Calculator'!K:K,MATCH('Lorri 401b'!N6066,'Retirement Calculator'!A:A,0),0),0)</f>
        <v>0</v>
      </c>
      <c r="K6066" s="444">
        <f t="shared" ca="1" si="198"/>
        <v>-202264285103350.13</v>
      </c>
      <c r="L6066" s="444">
        <f t="shared" ca="1" si="199"/>
        <v>-4.8745692709907384E+16</v>
      </c>
      <c r="M6066" s="460">
        <f t="shared" si="201"/>
        <v>0.05</v>
      </c>
      <c r="N6066" s="464">
        <f t="shared" si="202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00"/>
        <v>-4.8745692709907384E+16</v>
      </c>
      <c r="J6067" s="444">
        <f t="array" ref="J6067">IFERROR(INDEX('Retirement Calculator'!K:K,MATCH('Lorri 401b'!N6067,'Retirement Calculator'!A:A,0),0),0)</f>
        <v>0</v>
      </c>
      <c r="K6067" s="444">
        <f t="shared" ca="1" si="198"/>
        <v>-203107052957947.44</v>
      </c>
      <c r="L6067" s="444">
        <f t="shared" ca="1" si="199"/>
        <v>-4.8948799762865328E+16</v>
      </c>
      <c r="M6067" s="460">
        <f t="shared" si="201"/>
        <v>0.05</v>
      </c>
      <c r="N6067" s="464">
        <f t="shared" si="202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00"/>
        <v>-4.8948799762865328E+16</v>
      </c>
      <c r="J6068" s="444">
        <f t="array" ref="J6068">IFERROR(INDEX('Retirement Calculator'!K:K,MATCH('Lorri 401b'!N6068,'Retirement Calculator'!A:A,0),0),0)</f>
        <v>0</v>
      </c>
      <c r="K6068" s="444">
        <f t="shared" ca="1" si="198"/>
        <v>-203953332345272.19</v>
      </c>
      <c r="L6068" s="444">
        <f t="shared" ca="1" si="199"/>
        <v>-4.91527530952106E+16</v>
      </c>
      <c r="M6068" s="460">
        <f t="shared" si="201"/>
        <v>0.05</v>
      </c>
      <c r="N6068" s="464">
        <f t="shared" si="202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00"/>
        <v>-4.91527530952106E+16</v>
      </c>
      <c r="J6069" s="444">
        <f t="array" ref="J6069">IFERROR(INDEX('Retirement Calculator'!K:K,MATCH('Lorri 401b'!N6069,'Retirement Calculator'!A:A,0),0),0)</f>
        <v>0</v>
      </c>
      <c r="K6069" s="444">
        <f t="shared" ca="1" si="198"/>
        <v>-204803137896710.84</v>
      </c>
      <c r="L6069" s="444">
        <f t="shared" ca="1" si="199"/>
        <v>-4.9357556233107312E+16</v>
      </c>
      <c r="M6069" s="460">
        <f t="shared" si="201"/>
        <v>0.05</v>
      </c>
      <c r="N6069" s="464">
        <f t="shared" si="202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00"/>
        <v>-4.9357556233107312E+16</v>
      </c>
      <c r="J6070" s="444">
        <f t="array" ref="J6070">IFERROR(INDEX('Retirement Calculator'!K:K,MATCH('Lorri 401b'!N6070,'Retirement Calculator'!A:A,0),0),0)</f>
        <v>0</v>
      </c>
      <c r="K6070" s="444">
        <f t="shared" ca="1" si="198"/>
        <v>-205656484304613.81</v>
      </c>
      <c r="L6070" s="444">
        <f t="shared" ca="1" si="199"/>
        <v>-4.9563212717411928E+16</v>
      </c>
      <c r="M6070" s="460">
        <f t="shared" si="201"/>
        <v>0.05</v>
      </c>
      <c r="N6070" s="464">
        <f t="shared" si="202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00"/>
        <v>-4.9563212717411928E+16</v>
      </c>
      <c r="J6071" s="444">
        <f t="array" ref="J6071">IFERROR(INDEX('Retirement Calculator'!K:K,MATCH('Lorri 401b'!N6071,'Retirement Calculator'!A:A,0),0),0)</f>
        <v>0</v>
      </c>
      <c r="K6071" s="444">
        <f t="shared" ca="1" si="198"/>
        <v>-206513386322549.69</v>
      </c>
      <c r="L6071" s="444">
        <f t="shared" ca="1" si="199"/>
        <v>-4.976972610373448E+16</v>
      </c>
      <c r="M6071" s="460">
        <f t="shared" si="201"/>
        <v>0.05</v>
      </c>
      <c r="N6071" s="464">
        <f t="shared" si="202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00"/>
        <v>-4.976972610373448E+16</v>
      </c>
      <c r="J6072" s="444">
        <f t="array" ref="J6072">IFERROR(INDEX('Retirement Calculator'!K:K,MATCH('Lorri 401b'!N6072,'Retirement Calculator'!A:A,0),0),0)</f>
        <v>0</v>
      </c>
      <c r="K6072" s="444">
        <f t="shared" ca="1" si="198"/>
        <v>-207373858765560.34</v>
      </c>
      <c r="L6072" s="444">
        <f t="shared" ca="1" si="199"/>
        <v>-4.997709996250004E+16</v>
      </c>
      <c r="M6072" s="460">
        <f t="shared" si="201"/>
        <v>0.05</v>
      </c>
      <c r="N6072" s="464">
        <f t="shared" si="202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00"/>
        <v>-4.997709996250004E+16</v>
      </c>
      <c r="J6073" s="444">
        <f t="array" ref="J6073">IFERROR(INDEX('Retirement Calculator'!K:K,MATCH('Lorri 401b'!N6073,'Retirement Calculator'!A:A,0),0),0)</f>
        <v>0</v>
      </c>
      <c r="K6073" s="444">
        <f t="shared" ca="1" si="198"/>
        <v>-208237916510416.84</v>
      </c>
      <c r="L6073" s="444">
        <f t="shared" ca="1" si="199"/>
        <v>-5.0185337879010456E+16</v>
      </c>
      <c r="M6073" s="460">
        <f t="shared" si="201"/>
        <v>0.05</v>
      </c>
      <c r="N6073" s="464">
        <f t="shared" si="202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00"/>
        <v>-5.0185337879010456E+16</v>
      </c>
      <c r="J6074" s="444">
        <f t="array" ref="J6074">IFERROR(INDEX('Retirement Calculator'!K:K,MATCH('Lorri 401b'!N6074,'Retirement Calculator'!A:A,0),0),0)</f>
        <v>0</v>
      </c>
      <c r="K6074" s="444">
        <f t="shared" ca="1" si="198"/>
        <v>-209105574495876.91</v>
      </c>
      <c r="L6074" s="444">
        <f t="shared" ca="1" si="199"/>
        <v>-5.0394443453506336E+16</v>
      </c>
      <c r="M6074" s="460">
        <f t="shared" si="201"/>
        <v>0.05</v>
      </c>
      <c r="N6074" s="464">
        <f t="shared" si="202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00"/>
        <v>-5.0394443453506336E+16</v>
      </c>
      <c r="J6075" s="444">
        <f t="array" ref="J6075">IFERROR(INDEX('Retirement Calculator'!K:K,MATCH('Lorri 401b'!N6075,'Retirement Calculator'!A:A,0),0),0)</f>
        <v>0</v>
      </c>
      <c r="K6075" s="444">
        <f t="shared" ca="1" si="198"/>
        <v>-209976847722943.06</v>
      </c>
      <c r="L6075" s="444">
        <f t="shared" ca="1" si="199"/>
        <v>-5.060442030122928E+16</v>
      </c>
      <c r="M6075" s="460">
        <f t="shared" si="201"/>
        <v>0.05</v>
      </c>
      <c r="N6075" s="464">
        <f t="shared" si="202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00"/>
        <v>-5.060442030122928E+16</v>
      </c>
      <c r="J6076" s="444">
        <f t="array" ref="J6076">IFERROR(INDEX('Retirement Calculator'!K:K,MATCH('Lorri 401b'!N6076,'Retirement Calculator'!A:A,0),0),0)</f>
        <v>0</v>
      </c>
      <c r="K6076" s="444">
        <f t="shared" ca="1" si="198"/>
        <v>-210851751255122</v>
      </c>
      <c r="L6076" s="444">
        <f t="shared" ca="1" si="199"/>
        <v>-5.08152720524844E+16</v>
      </c>
      <c r="M6076" s="460">
        <f t="shared" si="201"/>
        <v>0.05</v>
      </c>
      <c r="N6076" s="464">
        <f t="shared" si="202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00"/>
        <v>-5.08152720524844E+16</v>
      </c>
      <c r="J6077" s="444">
        <f t="array" ref="J6077">IFERROR(INDEX('Retirement Calculator'!K:K,MATCH('Lorri 401b'!N6077,'Retirement Calculator'!A:A,0),0),0)</f>
        <v>0</v>
      </c>
      <c r="K6077" s="444">
        <f t="shared" ca="1" si="198"/>
        <v>-211730300218685</v>
      </c>
      <c r="L6077" s="444">
        <f t="shared" ca="1" si="199"/>
        <v>-5.1027002352703088E+16</v>
      </c>
      <c r="M6077" s="460">
        <f t="shared" si="201"/>
        <v>0.05</v>
      </c>
      <c r="N6077" s="464">
        <f t="shared" si="202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00"/>
        <v>-5.1027002352703088E+16</v>
      </c>
      <c r="J6078" s="444">
        <f t="array" ref="J6078">IFERROR(INDEX('Retirement Calculator'!K:K,MATCH('Lorri 401b'!N6078,'Retirement Calculator'!A:A,0),0),0)</f>
        <v>0</v>
      </c>
      <c r="K6078" s="444">
        <f t="shared" ca="1" si="198"/>
        <v>-212612509802929.53</v>
      </c>
      <c r="L6078" s="444">
        <f t="shared" ca="1" si="199"/>
        <v>-5.1239614862506016E+16</v>
      </c>
      <c r="M6078" s="460">
        <f t="shared" si="201"/>
        <v>0.05</v>
      </c>
      <c r="N6078" s="464">
        <f t="shared" si="202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00"/>
        <v>-5.1239614862506016E+16</v>
      </c>
      <c r="J6079" s="444">
        <f t="array" ref="J6079">IFERROR(INDEX('Retirement Calculator'!K:K,MATCH('Lorri 401b'!N6079,'Retirement Calculator'!A:A,0),0),0)</f>
        <v>0</v>
      </c>
      <c r="K6079" s="444">
        <f t="shared" ca="1" si="198"/>
        <v>-213498395260441.72</v>
      </c>
      <c r="L6079" s="444">
        <f t="shared" ca="1" si="199"/>
        <v>-5.1453113257766456E+16</v>
      </c>
      <c r="M6079" s="460">
        <f t="shared" si="201"/>
        <v>0.05</v>
      </c>
      <c r="N6079" s="464">
        <f t="shared" si="202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00"/>
        <v>-5.1453113257766456E+16</v>
      </c>
      <c r="J6080" s="444">
        <f t="array" ref="J6080">IFERROR(INDEX('Retirement Calculator'!K:K,MATCH('Lorri 401b'!N6080,'Retirement Calculator'!A:A,0),0),0)</f>
        <v>0</v>
      </c>
      <c r="K6080" s="444">
        <f t="shared" ca="1" si="198"/>
        <v>-214387971907360.22</v>
      </c>
      <c r="L6080" s="444">
        <f t="shared" ca="1" si="199"/>
        <v>-5.1667501229673816E+16</v>
      </c>
      <c r="M6080" s="460">
        <f t="shared" si="201"/>
        <v>0.05</v>
      </c>
      <c r="N6080" s="464">
        <f t="shared" si="202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00"/>
        <v>-5.1667501229673816E+16</v>
      </c>
      <c r="J6081" s="444">
        <f t="array" ref="J6081">IFERROR(INDEX('Retirement Calculator'!K:K,MATCH('Lorri 401b'!N6081,'Retirement Calculator'!A:A,0),0),0)</f>
        <v>0</v>
      </c>
      <c r="K6081" s="444">
        <f t="shared" ca="1" si="198"/>
        <v>-215281255123640.91</v>
      </c>
      <c r="L6081" s="444">
        <f t="shared" ca="1" si="199"/>
        <v>-5.1882782484797456E+16</v>
      </c>
      <c r="M6081" s="460">
        <f t="shared" si="201"/>
        <v>0.05</v>
      </c>
      <c r="N6081" s="464">
        <f t="shared" si="202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00"/>
        <v>-5.1882782484797456E+16</v>
      </c>
      <c r="J6082" s="444">
        <f t="array" ref="J6082">IFERROR(INDEX('Retirement Calculator'!K:K,MATCH('Lorri 401b'!N6082,'Retirement Calculator'!A:A,0),0),0)</f>
        <v>0</v>
      </c>
      <c r="K6082" s="444">
        <f t="shared" ca="1" si="198"/>
        <v>-216178260353322.72</v>
      </c>
      <c r="L6082" s="444">
        <f t="shared" ca="1" si="199"/>
        <v>-5.2098960745150776E+16</v>
      </c>
      <c r="M6082" s="460">
        <f t="shared" si="201"/>
        <v>0.05</v>
      </c>
      <c r="N6082" s="464">
        <f t="shared" si="202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00"/>
        <v>-5.2098960745150776E+16</v>
      </c>
      <c r="J6083" s="444">
        <f t="array" ref="J6083">IFERROR(INDEX('Retirement Calculator'!K:K,MATCH('Lorri 401b'!N6083,'Retirement Calculator'!A:A,0),0),0)</f>
        <v>0</v>
      </c>
      <c r="K6083" s="444">
        <f t="shared" ca="1" si="198"/>
        <v>-217079003104794.91</v>
      </c>
      <c r="L6083" s="444">
        <f t="shared" ca="1" si="199"/>
        <v>-5.2316039748255568E+16</v>
      </c>
      <c r="M6083" s="460">
        <f t="shared" si="201"/>
        <v>0.05</v>
      </c>
      <c r="N6083" s="464">
        <f t="shared" si="202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00"/>
        <v>-5.2316039748255568E+16</v>
      </c>
      <c r="J6084" s="444">
        <f t="array" ref="J6084">IFERROR(INDEX('Retirement Calculator'!K:K,MATCH('Lorri 401b'!N6084,'Retirement Calculator'!A:A,0),0),0)</f>
        <v>0</v>
      </c>
      <c r="K6084" s="444">
        <f t="shared" ca="1" si="198"/>
        <v>-217983498951064.88</v>
      </c>
      <c r="L6084" s="444">
        <f t="shared" ca="1" si="199"/>
        <v>-5.2534023247206632E+16</v>
      </c>
      <c r="M6084" s="460">
        <f t="shared" si="201"/>
        <v>0.05</v>
      </c>
      <c r="N6084" s="464">
        <f t="shared" si="202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00"/>
        <v>-5.2534023247206632E+16</v>
      </c>
      <c r="J6085" s="444">
        <f t="array" ref="J6085">IFERROR(INDEX('Retirement Calculator'!K:K,MATCH('Lorri 401b'!N6085,'Retirement Calculator'!A:A,0),0),0)</f>
        <v>0</v>
      </c>
      <c r="K6085" s="444">
        <f t="shared" ca="1" si="198"/>
        <v>-218891763530027.63</v>
      </c>
      <c r="L6085" s="444">
        <f t="shared" ca="1" si="199"/>
        <v>-5.2752915010736656E+16</v>
      </c>
      <c r="M6085" s="460">
        <f t="shared" si="201"/>
        <v>0.05</v>
      </c>
      <c r="N6085" s="464">
        <f t="shared" si="202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00"/>
        <v>-5.2752915010736656E+16</v>
      </c>
      <c r="J6086" s="444">
        <f t="array" ref="J6086">IFERROR(INDEX('Retirement Calculator'!K:K,MATCH('Lorri 401b'!N6086,'Retirement Calculator'!A:A,0),0),0)</f>
        <v>0</v>
      </c>
      <c r="K6086" s="444">
        <f t="shared" ca="1" si="198"/>
        <v>-219803812544736.06</v>
      </c>
      <c r="L6086" s="444">
        <f t="shared" ca="1" si="199"/>
        <v>-5.2972718823281392E+16</v>
      </c>
      <c r="M6086" s="460">
        <f t="shared" si="201"/>
        <v>0.05</v>
      </c>
      <c r="N6086" s="464">
        <f t="shared" si="202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00"/>
        <v>-5.2972718823281392E+16</v>
      </c>
      <c r="J6087" s="444">
        <f t="array" ref="J6087">IFERROR(INDEX('Retirement Calculator'!K:K,MATCH('Lorri 401b'!N6087,'Retirement Calculator'!A:A,0),0),0)</f>
        <v>0</v>
      </c>
      <c r="K6087" s="444">
        <f t="shared" ca="1" si="198"/>
        <v>-220719661763672.47</v>
      </c>
      <c r="L6087" s="444">
        <f t="shared" ca="1" si="199"/>
        <v>-5.3193438485045064E+16</v>
      </c>
      <c r="M6087" s="460">
        <f t="shared" si="201"/>
        <v>0.05</v>
      </c>
      <c r="N6087" s="464">
        <f t="shared" si="202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00"/>
        <v>-5.3193438485045064E+16</v>
      </c>
      <c r="J6088" s="444">
        <f t="array" ref="J6088">IFERROR(INDEX('Retirement Calculator'!K:K,MATCH('Lorri 401b'!N6088,'Retirement Calculator'!A:A,0),0),0)</f>
        <v>0</v>
      </c>
      <c r="K6088" s="444">
        <f t="shared" ca="1" si="198"/>
        <v>-221639327021021.09</v>
      </c>
      <c r="L6088" s="444">
        <f t="shared" ca="1" si="199"/>
        <v>-5.3415077812066088E+16</v>
      </c>
      <c r="M6088" s="460">
        <f t="shared" si="201"/>
        <v>0.05</v>
      </c>
      <c r="N6088" s="464">
        <f t="shared" si="202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00"/>
        <v>-5.3415077812066088E+16</v>
      </c>
      <c r="J6089" s="444">
        <f t="array" ref="J6089">IFERROR(INDEX('Retirement Calculator'!K:K,MATCH('Lorri 401b'!N6089,'Retirement Calculator'!A:A,0),0),0)</f>
        <v>0</v>
      </c>
      <c r="K6089" s="444">
        <f t="shared" ca="1" si="198"/>
        <v>-222562824216942.03</v>
      </c>
      <c r="L6089" s="444">
        <f t="shared" ca="1" si="199"/>
        <v>-5.3637640636283032E+16</v>
      </c>
      <c r="M6089" s="460">
        <f t="shared" si="201"/>
        <v>0.05</v>
      </c>
      <c r="N6089" s="464">
        <f t="shared" si="202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00"/>
        <v>-5.3637640636283032E+16</v>
      </c>
      <c r="J6090" s="444">
        <f t="array" ref="J6090">IFERROR(INDEX('Retirement Calculator'!K:K,MATCH('Lorri 401b'!N6090,'Retirement Calculator'!A:A,0),0),0)</f>
        <v>0</v>
      </c>
      <c r="K6090" s="444">
        <f t="shared" ca="1" si="198"/>
        <v>-223490169317845.97</v>
      </c>
      <c r="L6090" s="444">
        <f t="shared" ca="1" si="199"/>
        <v>-5.386113080560088E+16</v>
      </c>
      <c r="M6090" s="460">
        <f t="shared" si="201"/>
        <v>0.05</v>
      </c>
      <c r="N6090" s="464">
        <f t="shared" si="202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00"/>
        <v>-5.386113080560088E+16</v>
      </c>
      <c r="J6091" s="444">
        <f t="array" ref="J6091">IFERROR(INDEX('Retirement Calculator'!K:K,MATCH('Lorri 401b'!N6091,'Retirement Calculator'!A:A,0),0),0)</f>
        <v>0</v>
      </c>
      <c r="K6091" s="444">
        <f t="shared" ca="1" si="198"/>
        <v>-224421378356670.34</v>
      </c>
      <c r="L6091" s="444">
        <f t="shared" ca="1" si="199"/>
        <v>-5.4085552183957552E+16</v>
      </c>
      <c r="M6091" s="460">
        <f t="shared" si="201"/>
        <v>0.05</v>
      </c>
      <c r="N6091" s="464">
        <f t="shared" si="202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00"/>
        <v>-5.4085552183957552E+16</v>
      </c>
      <c r="J6092" s="444">
        <f t="array" ref="J6092">IFERROR(INDEX('Retirement Calculator'!K:K,MATCH('Lorri 401b'!N6092,'Retirement Calculator'!A:A,0),0),0)</f>
        <v>0</v>
      </c>
      <c r="K6092" s="444">
        <f t="shared" ca="1" si="198"/>
        <v>-225356467433156.47</v>
      </c>
      <c r="L6092" s="444">
        <f t="shared" ca="1" si="199"/>
        <v>-5.4310908651390712E+16</v>
      </c>
      <c r="M6092" s="460">
        <f t="shared" si="201"/>
        <v>0.05</v>
      </c>
      <c r="N6092" s="464">
        <f t="shared" si="202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00"/>
        <v>-5.4310908651390712E+16</v>
      </c>
      <c r="J6093" s="444">
        <f t="array" ref="J6093">IFERROR(INDEX('Retirement Calculator'!K:K,MATCH('Lorri 401b'!N6093,'Retirement Calculator'!A:A,0),0),0)</f>
        <v>0</v>
      </c>
      <c r="K6093" s="444">
        <f t="shared" ca="1" si="198"/>
        <v>-226295452714127.97</v>
      </c>
      <c r="L6093" s="444">
        <f t="shared" ca="1" si="199"/>
        <v>-5.453720410410484E+16</v>
      </c>
      <c r="M6093" s="460">
        <f t="shared" si="201"/>
        <v>0.05</v>
      </c>
      <c r="N6093" s="464">
        <f t="shared" si="202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00"/>
        <v>-5.453720410410484E+16</v>
      </c>
      <c r="J6094" s="444">
        <f t="array" ref="J6094">IFERROR(INDEX('Retirement Calculator'!K:K,MATCH('Lorri 401b'!N6094,'Retirement Calculator'!A:A,0),0),0)</f>
        <v>0</v>
      </c>
      <c r="K6094" s="444">
        <f t="shared" ca="1" si="198"/>
        <v>-227238350433770.16</v>
      </c>
      <c r="L6094" s="444">
        <f t="shared" ca="1" si="199"/>
        <v>-5.4764442454538608E+16</v>
      </c>
      <c r="M6094" s="460">
        <f t="shared" si="201"/>
        <v>0.05</v>
      </c>
      <c r="N6094" s="464">
        <f t="shared" si="202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00"/>
        <v>-5.4764442454538608E+16</v>
      </c>
      <c r="J6095" s="444">
        <f t="array" ref="J6095">IFERROR(INDEX('Retirement Calculator'!K:K,MATCH('Lorri 401b'!N6095,'Retirement Calculator'!A:A,0),0),0)</f>
        <v>0</v>
      </c>
      <c r="K6095" s="444">
        <f t="shared" ca="1" si="198"/>
        <v>-228185176893910.88</v>
      </c>
      <c r="L6095" s="444">
        <f t="shared" ca="1" si="199"/>
        <v>-5.499262763143252E+16</v>
      </c>
      <c r="M6095" s="460">
        <f t="shared" si="201"/>
        <v>0.05</v>
      </c>
      <c r="N6095" s="464">
        <f t="shared" si="202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00"/>
        <v>-5.499262763143252E+16</v>
      </c>
      <c r="J6096" s="444">
        <f t="array" ref="J6096">IFERROR(INDEX('Retirement Calculator'!K:K,MATCH('Lorri 401b'!N6096,'Retirement Calculator'!A:A,0),0),0)</f>
        <v>0</v>
      </c>
      <c r="K6096" s="444">
        <f t="shared" ca="1" si="198"/>
        <v>-229135948464302.16</v>
      </c>
      <c r="L6096" s="444">
        <f t="shared" ca="1" si="199"/>
        <v>-5.5221763579896824E+16</v>
      </c>
      <c r="M6096" s="460">
        <f t="shared" si="201"/>
        <v>0.05</v>
      </c>
      <c r="N6096" s="464">
        <f t="shared" si="202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00"/>
        <v>-5.5221763579896824E+16</v>
      </c>
      <c r="J6097" s="444">
        <f t="array" ref="J6097">IFERROR(INDEX('Retirement Calculator'!K:K,MATCH('Lorri 401b'!N6097,'Retirement Calculator'!A:A,0),0),0)</f>
        <v>0</v>
      </c>
      <c r="K6097" s="444">
        <f t="shared" ca="1" si="198"/>
        <v>-230090681582903.44</v>
      </c>
      <c r="L6097" s="444">
        <f t="shared" ca="1" si="199"/>
        <v>-5.5451854261479728E+16</v>
      </c>
      <c r="M6097" s="460">
        <f t="shared" si="201"/>
        <v>0.05</v>
      </c>
      <c r="N6097" s="464">
        <f t="shared" si="202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00"/>
        <v>-5.5451854261479728E+16</v>
      </c>
      <c r="J6098" s="444">
        <f t="array" ref="J6098">IFERROR(INDEX('Retirement Calculator'!K:K,MATCH('Lorri 401b'!N6098,'Retirement Calculator'!A:A,0),0),0)</f>
        <v>0</v>
      </c>
      <c r="K6098" s="444">
        <f t="shared" ca="1" si="198"/>
        <v>-231049392756165.53</v>
      </c>
      <c r="L6098" s="444">
        <f t="shared" ca="1" si="199"/>
        <v>-5.5682903654235896E+16</v>
      </c>
      <c r="M6098" s="460">
        <f t="shared" si="201"/>
        <v>0.05</v>
      </c>
      <c r="N6098" s="464">
        <f t="shared" si="202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00"/>
        <v>-5.5682903654235896E+16</v>
      </c>
      <c r="J6099" s="444">
        <f t="array" ref="J6099">IFERROR(INDEX('Retirement Calculator'!K:K,MATCH('Lorri 401b'!N6099,'Retirement Calculator'!A:A,0),0),0)</f>
        <v>0</v>
      </c>
      <c r="K6099" s="444">
        <f t="shared" ca="1" si="198"/>
        <v>-232012098559316.22</v>
      </c>
      <c r="L6099" s="444">
        <f t="shared" ca="1" si="199"/>
        <v>-5.5914915752795216E+16</v>
      </c>
      <c r="M6099" s="460">
        <f t="shared" si="201"/>
        <v>0.05</v>
      </c>
      <c r="N6099" s="464">
        <f t="shared" si="202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00"/>
        <v>-5.5914915752795216E+16</v>
      </c>
      <c r="J6100" s="444">
        <f t="array" ref="J6100">IFERROR(INDEX('Retirement Calculator'!K:K,MATCH('Lorri 401b'!N6100,'Retirement Calculator'!A:A,0),0),0)</f>
        <v>0</v>
      </c>
      <c r="K6100" s="444">
        <f t="shared" ca="1" si="198"/>
        <v>-232978815636646.72</v>
      </c>
      <c r="L6100" s="444">
        <f t="shared" ca="1" si="199"/>
        <v>-5.6147894568431864E+16</v>
      </c>
      <c r="M6100" s="460">
        <f t="shared" si="201"/>
        <v>0.05</v>
      </c>
      <c r="N6100" s="464">
        <f t="shared" si="202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00"/>
        <v>-5.6147894568431864E+16</v>
      </c>
      <c r="J6101" s="444">
        <f t="array" ref="J6101">IFERROR(INDEX('Retirement Calculator'!K:K,MATCH('Lorri 401b'!N6101,'Retirement Calculator'!A:A,0),0),0)</f>
        <v>0</v>
      </c>
      <c r="K6101" s="444">
        <f t="shared" ca="1" si="198"/>
        <v>-233949560701799.47</v>
      </c>
      <c r="L6101" s="444">
        <f t="shared" ca="1" si="199"/>
        <v>-5.6381844129133664E+16</v>
      </c>
      <c r="M6101" s="460">
        <f t="shared" si="201"/>
        <v>0.05</v>
      </c>
      <c r="N6101" s="464">
        <f t="shared" si="202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00"/>
        <v>-5.6381844129133664E+16</v>
      </c>
      <c r="J6102" s="444">
        <f t="array" ref="J6102">IFERROR(INDEX('Retirement Calculator'!K:K,MATCH('Lorri 401b'!N6102,'Retirement Calculator'!A:A,0),0),0)</f>
        <v>0</v>
      </c>
      <c r="K6102" s="444">
        <f t="shared" ca="1" si="198"/>
        <v>-234924350538056.94</v>
      </c>
      <c r="L6102" s="444">
        <f t="shared" ca="1" si="199"/>
        <v>-5.661676847967172E+16</v>
      </c>
      <c r="M6102" s="460">
        <f t="shared" si="201"/>
        <v>0.05</v>
      </c>
      <c r="N6102" s="464">
        <f t="shared" si="202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00"/>
        <v>-5.661676847967172E+16</v>
      </c>
      <c r="J6103" s="444">
        <f t="array" ref="J6103">IFERROR(INDEX('Retirement Calculator'!K:K,MATCH('Lorri 401b'!N6103,'Retirement Calculator'!A:A,0),0),0)</f>
        <v>0</v>
      </c>
      <c r="K6103" s="444">
        <f t="shared" ca="1" si="198"/>
        <v>-235903201998632.16</v>
      </c>
      <c r="L6103" s="444">
        <f t="shared" ca="1" si="199"/>
        <v>-5.6852671681670352E+16</v>
      </c>
      <c r="M6103" s="460">
        <f t="shared" si="201"/>
        <v>0.05</v>
      </c>
      <c r="N6103" s="464">
        <f t="shared" si="202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00"/>
        <v>-5.6852671681670352E+16</v>
      </c>
      <c r="J6104" s="444">
        <f t="array" ref="J6104">IFERROR(INDEX('Retirement Calculator'!K:K,MATCH('Lorri 401b'!N6104,'Retirement Calculator'!A:A,0),0),0)</f>
        <v>0</v>
      </c>
      <c r="K6104" s="444">
        <f t="shared" ca="1" si="198"/>
        <v>-236886132006959.78</v>
      </c>
      <c r="L6104" s="444">
        <f t="shared" ca="1" si="199"/>
        <v>-5.7089557813677312E+16</v>
      </c>
      <c r="M6104" s="460">
        <f t="shared" si="201"/>
        <v>0.05</v>
      </c>
      <c r="N6104" s="464">
        <f t="shared" si="202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00"/>
        <v>-5.7089557813677312E+16</v>
      </c>
      <c r="J6105" s="444">
        <f t="array" ref="J6105">IFERROR(INDEX('Retirement Calculator'!K:K,MATCH('Lorri 401b'!N6105,'Retirement Calculator'!A:A,0),0),0)</f>
        <v>0</v>
      </c>
      <c r="K6105" s="444">
        <f t="shared" ca="1" si="198"/>
        <v>-237873157556988.75</v>
      </c>
      <c r="L6105" s="444">
        <f t="shared" ca="1" si="199"/>
        <v>-5.7327430971234304E+16</v>
      </c>
      <c r="M6105" s="460">
        <f t="shared" si="201"/>
        <v>0.05</v>
      </c>
      <c r="N6105" s="464">
        <f t="shared" si="202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00"/>
        <v>-5.7327430971234304E+16</v>
      </c>
      <c r="J6106" s="444">
        <f t="array" ref="J6106">IFERROR(INDEX('Retirement Calculator'!K:K,MATCH('Lorri 401b'!N6106,'Retirement Calculator'!A:A,0),0),0)</f>
        <v>0</v>
      </c>
      <c r="K6106" s="444">
        <f t="shared" ca="1" si="198"/>
        <v>-238864295713476.22</v>
      </c>
      <c r="L6106" s="444">
        <f t="shared" ca="1" si="199"/>
        <v>-5.7566295266947784E+16</v>
      </c>
      <c r="M6106" s="460">
        <f t="shared" si="201"/>
        <v>0.05</v>
      </c>
      <c r="N6106" s="464">
        <f t="shared" si="202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00"/>
        <v>-5.7566295266947784E+16</v>
      </c>
      <c r="J6107" s="444">
        <f t="array" ref="J6107">IFERROR(INDEX('Retirement Calculator'!K:K,MATCH('Lorri 401b'!N6107,'Retirement Calculator'!A:A,0),0),0)</f>
        <v>0</v>
      </c>
      <c r="K6107" s="444">
        <f t="shared" ca="1" si="198"/>
        <v>-239859563612282.44</v>
      </c>
      <c r="L6107" s="444">
        <f t="shared" ca="1" si="199"/>
        <v>-5.7806154830560064E+16</v>
      </c>
      <c r="M6107" s="460">
        <f t="shared" si="201"/>
        <v>0.05</v>
      </c>
      <c r="N6107" s="464">
        <f t="shared" si="202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00"/>
        <v>-5.7806154830560064E+16</v>
      </c>
      <c r="J6108" s="444">
        <f t="array" ref="J6108">IFERROR(INDEX('Retirement Calculator'!K:K,MATCH('Lorri 401b'!N6108,'Retirement Calculator'!A:A,0),0),0)</f>
        <v>0</v>
      </c>
      <c r="K6108" s="444">
        <f t="shared" ca="1" si="198"/>
        <v>-240858978460666.94</v>
      </c>
      <c r="L6108" s="444">
        <f t="shared" ca="1" si="199"/>
        <v>-5.8047013809020728E+16</v>
      </c>
      <c r="M6108" s="460">
        <f t="shared" si="201"/>
        <v>0.05</v>
      </c>
      <c r="N6108" s="464">
        <f t="shared" si="202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00"/>
        <v>-5.8047013809020728E+16</v>
      </c>
      <c r="J6109" s="444">
        <f t="array" ref="J6109">IFERROR(INDEX('Retirement Calculator'!K:K,MATCH('Lorri 401b'!N6109,'Retirement Calculator'!A:A,0),0),0)</f>
        <v>0</v>
      </c>
      <c r="K6109" s="444">
        <f t="shared" ca="1" si="198"/>
        <v>-241862557537586.38</v>
      </c>
      <c r="L6109" s="444">
        <f t="shared" ca="1" si="199"/>
        <v>-5.8288876366558312E+16</v>
      </c>
      <c r="M6109" s="460">
        <f t="shared" si="201"/>
        <v>0.05</v>
      </c>
      <c r="N6109" s="464">
        <f t="shared" si="202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00"/>
        <v>-5.8288876366558312E+16</v>
      </c>
      <c r="J6110" s="444">
        <f t="array" ref="J6110">IFERROR(INDEX('Retirement Calculator'!K:K,MATCH('Lorri 401b'!N6110,'Retirement Calculator'!A:A,0),0),0)</f>
        <v>0</v>
      </c>
      <c r="K6110" s="444">
        <f t="shared" ca="1" si="198"/>
        <v>-242870318193992.97</v>
      </c>
      <c r="L6110" s="444">
        <f t="shared" ca="1" si="199"/>
        <v>-5.8531746684752304E+16</v>
      </c>
      <c r="M6110" s="460">
        <f t="shared" si="201"/>
        <v>0.05</v>
      </c>
      <c r="N6110" s="464">
        <f t="shared" si="202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00"/>
        <v>-5.8531746684752304E+16</v>
      </c>
      <c r="J6111" s="444">
        <f t="array" ref="J6111">IFERROR(INDEX('Retirement Calculator'!K:K,MATCH('Lorri 401b'!N6111,'Retirement Calculator'!A:A,0),0),0)</f>
        <v>0</v>
      </c>
      <c r="K6111" s="444">
        <f t="shared" ca="1" si="198"/>
        <v>-243882277853134.63</v>
      </c>
      <c r="L6111" s="444">
        <f t="shared" ca="1" si="199"/>
        <v>-5.877562896260544E+16</v>
      </c>
      <c r="M6111" s="460">
        <f t="shared" si="201"/>
        <v>0.05</v>
      </c>
      <c r="N6111" s="464">
        <f t="shared" si="202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00"/>
        <v>-5.877562896260544E+16</v>
      </c>
      <c r="J6112" s="444">
        <f t="array" ref="J6112">IFERROR(INDEX('Retirement Calculator'!K:K,MATCH('Lorri 401b'!N6112,'Retirement Calculator'!A:A,0),0),0)</f>
        <v>0</v>
      </c>
      <c r="K6112" s="444">
        <f t="shared" ca="1" si="198"/>
        <v>-244898454010856</v>
      </c>
      <c r="L6112" s="444">
        <f t="shared" ca="1" si="199"/>
        <v>-5.9020527416616296E+16</v>
      </c>
      <c r="M6112" s="460">
        <f t="shared" si="201"/>
        <v>0.05</v>
      </c>
      <c r="N6112" s="464">
        <f t="shared" si="202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00"/>
        <v>-5.9020527416616296E+16</v>
      </c>
      <c r="J6113" s="444">
        <f t="array" ref="J6113">IFERROR(INDEX('Retirement Calculator'!K:K,MATCH('Lorri 401b'!N6113,'Retirement Calculator'!A:A,0),0),0)</f>
        <v>0</v>
      </c>
      <c r="K6113" s="444">
        <f t="shared" ca="1" si="198"/>
        <v>-245918864235901.22</v>
      </c>
      <c r="L6113" s="444">
        <f t="shared" ca="1" si="199"/>
        <v>-5.92664462808522E+16</v>
      </c>
      <c r="M6113" s="460">
        <f t="shared" si="201"/>
        <v>0.05</v>
      </c>
      <c r="N6113" s="464">
        <f t="shared" si="202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00"/>
        <v>-5.92664462808522E+16</v>
      </c>
      <c r="J6114" s="444">
        <f t="array" ref="J6114">IFERROR(INDEX('Retirement Calculator'!K:K,MATCH('Lorri 401b'!N6114,'Retirement Calculator'!A:A,0),0),0)</f>
        <v>0</v>
      </c>
      <c r="K6114" s="444">
        <f t="shared" ca="1" si="198"/>
        <v>-246943526170217.5</v>
      </c>
      <c r="L6114" s="444">
        <f t="shared" ca="1" si="199"/>
        <v>-5.9513389807022416E+16</v>
      </c>
      <c r="M6114" s="460">
        <f t="shared" si="201"/>
        <v>0.05</v>
      </c>
      <c r="N6114" s="464">
        <f t="shared" si="202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00"/>
        <v>-5.9513389807022416E+16</v>
      </c>
      <c r="J6115" s="444">
        <f t="array" ref="J6115">IFERROR(INDEX('Retirement Calculator'!K:K,MATCH('Lorri 401b'!N6115,'Retirement Calculator'!A:A,0),0),0)</f>
        <v>0</v>
      </c>
      <c r="K6115" s="444">
        <f t="shared" ca="1" si="198"/>
        <v>-247972457529260.06</v>
      </c>
      <c r="L6115" s="444">
        <f t="shared" ca="1" si="199"/>
        <v>-5.976136226455168E+16</v>
      </c>
      <c r="M6115" s="460">
        <f t="shared" si="201"/>
        <v>0.05</v>
      </c>
      <c r="N6115" s="464">
        <f t="shared" si="202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00"/>
        <v>-5.976136226455168E+16</v>
      </c>
      <c r="J6116" s="444">
        <f t="array" ref="J6116">IFERROR(INDEX('Retirement Calculator'!K:K,MATCH('Lorri 401b'!N6116,'Retirement Calculator'!A:A,0),0),0)</f>
        <v>0</v>
      </c>
      <c r="K6116" s="444">
        <f t="shared" ca="1" si="198"/>
        <v>-249005676102298.69</v>
      </c>
      <c r="L6116" s="444">
        <f t="shared" ca="1" si="199"/>
        <v>-6.0010367940653976E+16</v>
      </c>
      <c r="M6116" s="460">
        <f t="shared" si="201"/>
        <v>0.05</v>
      </c>
      <c r="N6116" s="464">
        <f t="shared" si="202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00"/>
        <v>-6.0010367940653976E+16</v>
      </c>
      <c r="J6117" s="444">
        <f t="array" ref="J6117">IFERROR(INDEX('Retirement Calculator'!K:K,MATCH('Lorri 401b'!N6117,'Retirement Calculator'!A:A,0),0),0)</f>
        <v>0</v>
      </c>
      <c r="K6117" s="444">
        <f t="shared" ca="1" si="198"/>
        <v>-250043199752724.91</v>
      </c>
      <c r="L6117" s="444">
        <f t="shared" ca="1" si="199"/>
        <v>-6.0260411140406704E+16</v>
      </c>
      <c r="M6117" s="460">
        <f t="shared" si="201"/>
        <v>0.05</v>
      </c>
      <c r="N6117" s="464">
        <f t="shared" si="202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00"/>
        <v>-6.0260411140406704E+16</v>
      </c>
      <c r="J6118" s="444">
        <f t="array" ref="J6118">IFERROR(INDEX('Retirement Calculator'!K:K,MATCH('Lorri 401b'!N6118,'Retirement Calculator'!A:A,0),0),0)</f>
        <v>0</v>
      </c>
      <c r="K6118" s="444">
        <f t="shared" ca="1" si="198"/>
        <v>-251085046418361.22</v>
      </c>
      <c r="L6118" s="444">
        <f t="shared" ca="1" si="199"/>
        <v>-6.0511496186825064E+16</v>
      </c>
      <c r="M6118" s="460">
        <f t="shared" si="201"/>
        <v>0.05</v>
      </c>
      <c r="N6118" s="464">
        <f t="shared" si="202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00"/>
        <v>-6.0511496186825064E+16</v>
      </c>
      <c r="J6119" s="444">
        <f t="array" ref="J6119">IFERROR(INDEX('Retirement Calculator'!K:K,MATCH('Lorri 401b'!N6119,'Retirement Calculator'!A:A,0),0),0)</f>
        <v>0</v>
      </c>
      <c r="K6119" s="444">
        <f t="shared" ca="1" si="198"/>
        <v>-252131234111771.09</v>
      </c>
      <c r="L6119" s="444">
        <f t="shared" ca="1" si="199"/>
        <v>-6.0763627420936832E+16</v>
      </c>
      <c r="M6119" s="460">
        <f t="shared" si="201"/>
        <v>0.05</v>
      </c>
      <c r="N6119" s="464">
        <f t="shared" si="202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00"/>
        <v>-6.0763627420936832E+16</v>
      </c>
      <c r="J6120" s="444">
        <f t="array" ref="J6120">IFERROR(INDEX('Retirement Calculator'!K:K,MATCH('Lorri 401b'!N6120,'Retirement Calculator'!A:A,0),0),0)</f>
        <v>0</v>
      </c>
      <c r="K6120" s="444">
        <f t="shared" ca="1" si="198"/>
        <v>-253181780920570.13</v>
      </c>
      <c r="L6120" s="444">
        <f t="shared" ca="1" si="199"/>
        <v>-6.10168092018574E+16</v>
      </c>
      <c r="M6120" s="460">
        <f t="shared" si="201"/>
        <v>0.05</v>
      </c>
      <c r="N6120" s="464">
        <f t="shared" si="202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00"/>
        <v>-6.10168092018574E+16</v>
      </c>
      <c r="J6121" s="444">
        <f t="array" ref="J6121">IFERROR(INDEX('Retirement Calculator'!K:K,MATCH('Lorri 401b'!N6121,'Retirement Calculator'!A:A,0),0),0)</f>
        <v>0</v>
      </c>
      <c r="K6121" s="444">
        <f t="shared" ca="1" si="198"/>
        <v>-254236705007739.16</v>
      </c>
      <c r="L6121" s="444">
        <f t="shared" ca="1" si="199"/>
        <v>-6.1271045906865136E+16</v>
      </c>
      <c r="M6121" s="460">
        <f t="shared" si="201"/>
        <v>0.05</v>
      </c>
      <c r="N6121" s="464">
        <f t="shared" si="202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00"/>
        <v>-6.1271045906865136E+16</v>
      </c>
      <c r="J6122" s="444">
        <f t="array" ref="J6122">IFERROR(INDEX('Retirement Calculator'!K:K,MATCH('Lorri 401b'!N6122,'Retirement Calculator'!A:A,0),0),0)</f>
        <v>0</v>
      </c>
      <c r="K6122" s="444">
        <f t="shared" ca="1" si="198"/>
        <v>-255296024611938.03</v>
      </c>
      <c r="L6122" s="444">
        <f t="shared" ca="1" si="199"/>
        <v>-6.1526341931477072E+16</v>
      </c>
      <c r="M6122" s="460">
        <f t="shared" si="201"/>
        <v>0.05</v>
      </c>
      <c r="N6122" s="464">
        <f t="shared" si="202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00"/>
        <v>-6.1526341931477072E+16</v>
      </c>
      <c r="J6123" s="444">
        <f t="array" ref="J6123">IFERROR(INDEX('Retirement Calculator'!K:K,MATCH('Lorri 401b'!N6123,'Retirement Calculator'!A:A,0),0),0)</f>
        <v>0</v>
      </c>
      <c r="K6123" s="444">
        <f t="shared" ca="1" si="198"/>
        <v>-256359758047821.16</v>
      </c>
      <c r="L6123" s="444">
        <f t="shared" ca="1" si="199"/>
        <v>-6.1782701689524896E+16</v>
      </c>
      <c r="M6123" s="460">
        <f t="shared" si="201"/>
        <v>0.05</v>
      </c>
      <c r="N6123" s="464">
        <f t="shared" si="202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00"/>
        <v>-6.1782701689524896E+16</v>
      </c>
      <c r="J6124" s="444">
        <f t="array" ref="J6124">IFERROR(INDEX('Retirement Calculator'!K:K,MATCH('Lorri 401b'!N6124,'Retirement Calculator'!A:A,0),0),0)</f>
        <v>0</v>
      </c>
      <c r="K6124" s="444">
        <f t="shared" ca="1" si="198"/>
        <v>-257427923706353.72</v>
      </c>
      <c r="L6124" s="444">
        <f t="shared" ca="1" si="199"/>
        <v>-6.2040129613231248E+16</v>
      </c>
      <c r="M6124" s="460">
        <f t="shared" si="201"/>
        <v>0.05</v>
      </c>
      <c r="N6124" s="464">
        <f t="shared" si="202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00"/>
        <v>-6.2040129613231248E+16</v>
      </c>
      <c r="J6125" s="444">
        <f t="array" ref="J6125">IFERROR(INDEX('Retirement Calculator'!K:K,MATCH('Lorri 401b'!N6125,'Retirement Calculator'!A:A,0),0),0)</f>
        <v>0</v>
      </c>
      <c r="K6125" s="444">
        <f t="shared" ca="1" si="198"/>
        <v>-258500540055130.19</v>
      </c>
      <c r="L6125" s="444">
        <f t="shared" ca="1" si="199"/>
        <v>-6.2298630153286376E+16</v>
      </c>
      <c r="M6125" s="460">
        <f t="shared" si="201"/>
        <v>0.05</v>
      </c>
      <c r="N6125" s="464">
        <f t="shared" si="202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00"/>
        <v>-6.2298630153286376E+16</v>
      </c>
      <c r="J6126" s="444">
        <f t="array" ref="J6126">IFERROR(INDEX('Retirement Calculator'!K:K,MATCH('Lorri 401b'!N6126,'Retirement Calculator'!A:A,0),0),0)</f>
        <v>0</v>
      </c>
      <c r="K6126" s="444">
        <f t="shared" ca="1" si="198"/>
        <v>-259577625638693.22</v>
      </c>
      <c r="L6126" s="444">
        <f t="shared" ca="1" si="199"/>
        <v>-6.2558207778925072E+16</v>
      </c>
      <c r="M6126" s="460">
        <f t="shared" si="201"/>
        <v>0.05</v>
      </c>
      <c r="N6126" s="464">
        <f t="shared" si="202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00"/>
        <v>-6.2558207778925072E+16</v>
      </c>
      <c r="J6127" s="444">
        <f t="array" ref="J6127">IFERROR(INDEX('Retirement Calculator'!K:K,MATCH('Lorri 401b'!N6127,'Retirement Calculator'!A:A,0),0),0)</f>
        <v>0</v>
      </c>
      <c r="K6127" s="444">
        <f t="shared" ca="1" si="198"/>
        <v>-260659199078854.47</v>
      </c>
      <c r="L6127" s="444">
        <f t="shared" ca="1" si="199"/>
        <v>-6.2818866978003928E+16</v>
      </c>
      <c r="M6127" s="460">
        <f t="shared" si="201"/>
        <v>0.05</v>
      </c>
      <c r="N6127" s="464">
        <f t="shared" si="202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00"/>
        <v>-6.2818866978003928E+16</v>
      </c>
      <c r="J6128" s="444">
        <f t="array" ref="J6128">IFERROR(INDEX('Retirement Calculator'!K:K,MATCH('Lorri 401b'!N6128,'Retirement Calculator'!A:A,0),0),0)</f>
        <v>0</v>
      </c>
      <c r="K6128" s="444">
        <f t="shared" ref="K6128:K6250" ca="1" si="203">IPMT(M6128/12,1,12,-I6128+J6128,,0)</f>
        <v>-261745279075016.38</v>
      </c>
      <c r="L6128" s="444">
        <f t="shared" ref="L6128:L6250" ca="1" si="204">I6128-J6128+K6128</f>
        <v>-6.3080612257078944E+16</v>
      </c>
      <c r="M6128" s="460">
        <f t="shared" si="201"/>
        <v>0.05</v>
      </c>
      <c r="N6128" s="464">
        <f t="shared" si="202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05">L6128</f>
        <v>-6.3080612257078944E+16</v>
      </c>
      <c r="J6129" s="444">
        <f t="array" ref="J6129">IFERROR(INDEX('Retirement Calculator'!K:K,MATCH('Lorri 401b'!N6129,'Retirement Calculator'!A:A,0),0),0)</f>
        <v>0</v>
      </c>
      <c r="K6129" s="444">
        <f t="shared" ca="1" si="203"/>
        <v>-262835884404495.56</v>
      </c>
      <c r="L6129" s="444">
        <f t="shared" ca="1" si="204"/>
        <v>-6.334344814148344E+16</v>
      </c>
      <c r="M6129" s="460">
        <f t="shared" ref="M6129:M6250" si="206">M6128</f>
        <v>0.05</v>
      </c>
      <c r="N6129" s="464">
        <f t="shared" ref="N6129:N6250" si="207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05"/>
        <v>-6.334344814148344E+16</v>
      </c>
      <c r="J6130" s="444">
        <f t="array" ref="J6130">IFERROR(INDEX('Retirement Calculator'!K:K,MATCH('Lorri 401b'!N6130,'Retirement Calculator'!A:A,0),0),0)</f>
        <v>0</v>
      </c>
      <c r="K6130" s="444">
        <f t="shared" ca="1" si="203"/>
        <v>-263931033922847.63</v>
      </c>
      <c r="L6130" s="444">
        <f t="shared" ca="1" si="204"/>
        <v>-6.3607379175406288E+16</v>
      </c>
      <c r="M6130" s="460">
        <f t="shared" si="206"/>
        <v>0.05</v>
      </c>
      <c r="N6130" s="464">
        <f t="shared" si="207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05"/>
        <v>-6.3607379175406288E+16</v>
      </c>
      <c r="J6131" s="444">
        <f t="array" ref="J6131">IFERROR(INDEX('Retirement Calculator'!K:K,MATCH('Lorri 401b'!N6131,'Retirement Calculator'!A:A,0),0),0)</f>
        <v>0</v>
      </c>
      <c r="K6131" s="444">
        <f t="shared" ca="1" si="203"/>
        <v>-265030746564192.88</v>
      </c>
      <c r="L6131" s="444">
        <f t="shared" ca="1" si="204"/>
        <v>-6.387240992197048E+16</v>
      </c>
      <c r="M6131" s="460">
        <f t="shared" si="206"/>
        <v>0.05</v>
      </c>
      <c r="N6131" s="464">
        <f t="shared" si="207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05"/>
        <v>-6.387240992197048E+16</v>
      </c>
      <c r="J6132" s="444">
        <f t="array" ref="J6132">IFERROR(INDEX('Retirement Calculator'!K:K,MATCH('Lorri 401b'!N6132,'Retirement Calculator'!A:A,0),0),0)</f>
        <v>0</v>
      </c>
      <c r="K6132" s="444">
        <f t="shared" ca="1" si="203"/>
        <v>-266135041341543.66</v>
      </c>
      <c r="L6132" s="444">
        <f t="shared" ca="1" si="204"/>
        <v>-6.4138544963312024E+16</v>
      </c>
      <c r="M6132" s="460">
        <f t="shared" si="206"/>
        <v>0.05</v>
      </c>
      <c r="N6132" s="464">
        <f t="shared" si="207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05"/>
        <v>-6.4138544963312024E+16</v>
      </c>
      <c r="J6133" s="444">
        <f t="array" ref="J6133">IFERROR(INDEX('Retirement Calculator'!K:K,MATCH('Lorri 401b'!N6133,'Retirement Calculator'!A:A,0),0),0)</f>
        <v>0</v>
      </c>
      <c r="K6133" s="444">
        <f t="shared" ca="1" si="203"/>
        <v>-267243937347133.47</v>
      </c>
      <c r="L6133" s="444">
        <f t="shared" ca="1" si="204"/>
        <v>-6.440578890065916E+16</v>
      </c>
      <c r="M6133" s="460">
        <f t="shared" si="206"/>
        <v>0.05</v>
      </c>
      <c r="N6133" s="464">
        <f t="shared" si="207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05"/>
        <v>-6.440578890065916E+16</v>
      </c>
      <c r="J6134" s="444">
        <f t="array" ref="J6134">IFERROR(INDEX('Retirement Calculator'!K:K,MATCH('Lorri 401b'!N6134,'Retirement Calculator'!A:A,0),0),0)</f>
        <v>0</v>
      </c>
      <c r="K6134" s="444">
        <f t="shared" ca="1" si="203"/>
        <v>-268357453752746.53</v>
      </c>
      <c r="L6134" s="444">
        <f t="shared" ca="1" si="204"/>
        <v>-6.4674146354411904E+16</v>
      </c>
      <c r="M6134" s="460">
        <f t="shared" si="206"/>
        <v>0.05</v>
      </c>
      <c r="N6134" s="464">
        <f t="shared" si="207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05"/>
        <v>-6.4674146354411904E+16</v>
      </c>
      <c r="J6135" s="444">
        <f t="array" ref="J6135">IFERROR(INDEX('Retirement Calculator'!K:K,MATCH('Lorri 401b'!N6135,'Retirement Calculator'!A:A,0),0),0)</f>
        <v>0</v>
      </c>
      <c r="K6135" s="444">
        <f t="shared" ca="1" si="203"/>
        <v>-269475609810049.56</v>
      </c>
      <c r="L6135" s="444">
        <f t="shared" ca="1" si="204"/>
        <v>-6.4943621964221952E+16</v>
      </c>
      <c r="M6135" s="460">
        <f t="shared" si="206"/>
        <v>0.05</v>
      </c>
      <c r="N6135" s="464">
        <f t="shared" si="207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05"/>
        <v>-6.4943621964221952E+16</v>
      </c>
      <c r="J6136" s="444">
        <f t="array" ref="J6136">IFERROR(INDEX('Retirement Calculator'!K:K,MATCH('Lorri 401b'!N6136,'Retirement Calculator'!A:A,0),0),0)</f>
        <v>0</v>
      </c>
      <c r="K6136" s="444">
        <f t="shared" ca="1" si="203"/>
        <v>-270598424850924.78</v>
      </c>
      <c r="L6136" s="444">
        <f t="shared" ca="1" si="204"/>
        <v>-6.521422038907288E+16</v>
      </c>
      <c r="M6136" s="460">
        <f t="shared" si="206"/>
        <v>0.05</v>
      </c>
      <c r="N6136" s="464">
        <f t="shared" si="207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05"/>
        <v>-6.521422038907288E+16</v>
      </c>
      <c r="J6137" s="444">
        <f t="array" ref="J6137">IFERROR(INDEX('Retirement Calculator'!K:K,MATCH('Lorri 401b'!N6137,'Retirement Calculator'!A:A,0),0),0)</f>
        <v>0</v>
      </c>
      <c r="K6137" s="444">
        <f t="shared" ca="1" si="203"/>
        <v>-271725918287803.63</v>
      </c>
      <c r="L6137" s="444">
        <f t="shared" ca="1" si="204"/>
        <v>-6.548594630736068E+16</v>
      </c>
      <c r="M6137" s="460">
        <f t="shared" si="206"/>
        <v>0.05</v>
      </c>
      <c r="N6137" s="464">
        <f t="shared" si="207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05"/>
        <v>-6.548594630736068E+16</v>
      </c>
      <c r="J6138" s="444">
        <f t="array" ref="J6138">IFERROR(INDEX('Retirement Calculator'!K:K,MATCH('Lorri 401b'!N6138,'Retirement Calculator'!A:A,0),0),0)</f>
        <v>0</v>
      </c>
      <c r="K6138" s="444">
        <f t="shared" ca="1" si="203"/>
        <v>-272858109614002.84</v>
      </c>
      <c r="L6138" s="444">
        <f t="shared" ca="1" si="204"/>
        <v>-6.575880441697468E+16</v>
      </c>
      <c r="M6138" s="460">
        <f t="shared" si="206"/>
        <v>0.05</v>
      </c>
      <c r="N6138" s="464">
        <f t="shared" si="207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05"/>
        <v>-6.575880441697468E+16</v>
      </c>
      <c r="J6139" s="444">
        <f t="array" ref="J6139">IFERROR(INDEX('Retirement Calculator'!K:K,MATCH('Lorri 401b'!N6139,'Retirement Calculator'!A:A,0),0),0)</f>
        <v>0</v>
      </c>
      <c r="K6139" s="444">
        <f t="shared" ca="1" si="203"/>
        <v>-273995018404061.16</v>
      </c>
      <c r="L6139" s="444">
        <f t="shared" ca="1" si="204"/>
        <v>-6.6032799435378744E+16</v>
      </c>
      <c r="M6139" s="460">
        <f t="shared" si="206"/>
        <v>0.05</v>
      </c>
      <c r="N6139" s="464">
        <f t="shared" si="207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05"/>
        <v>-6.6032799435378744E+16</v>
      </c>
      <c r="J6140" s="444">
        <f t="array" ref="J6140">IFERROR(INDEX('Retirement Calculator'!K:K,MATCH('Lorri 401b'!N6140,'Retirement Calculator'!A:A,0),0),0)</f>
        <v>0</v>
      </c>
      <c r="K6140" s="444">
        <f t="shared" ca="1" si="203"/>
        <v>-275136664314078.09</v>
      </c>
      <c r="L6140" s="444">
        <f t="shared" ca="1" si="204"/>
        <v>-6.6307936099692824E+16</v>
      </c>
      <c r="M6140" s="460">
        <f t="shared" si="206"/>
        <v>0.05</v>
      </c>
      <c r="N6140" s="464">
        <f t="shared" si="207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05"/>
        <v>-6.6307936099692824E+16</v>
      </c>
      <c r="J6141" s="444">
        <f t="array" ref="J6141">IFERROR(INDEX('Retirement Calculator'!K:K,MATCH('Lorri 401b'!N6141,'Retirement Calculator'!A:A,0),0),0)</f>
        <v>0</v>
      </c>
      <c r="K6141" s="444">
        <f t="shared" ca="1" si="203"/>
        <v>-276283067082053.47</v>
      </c>
      <c r="L6141" s="444">
        <f t="shared" ca="1" si="204"/>
        <v>-6.658421916677488E+16</v>
      </c>
      <c r="M6141" s="460">
        <f t="shared" si="206"/>
        <v>0.05</v>
      </c>
      <c r="N6141" s="464">
        <f t="shared" si="207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05"/>
        <v>-6.658421916677488E+16</v>
      </c>
      <c r="J6142" s="444">
        <f t="array" ref="J6142">IFERROR(INDEX('Retirement Calculator'!K:K,MATCH('Lorri 401b'!N6142,'Retirement Calculator'!A:A,0),0),0)</f>
        <v>0</v>
      </c>
      <c r="K6142" s="444">
        <f t="shared" ca="1" si="203"/>
        <v>-277434246528228.66</v>
      </c>
      <c r="L6142" s="444">
        <f t="shared" ca="1" si="204"/>
        <v>-6.6861653413303112E+16</v>
      </c>
      <c r="M6142" s="460">
        <f t="shared" si="206"/>
        <v>0.05</v>
      </c>
      <c r="N6142" s="464">
        <f t="shared" si="207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05"/>
        <v>-6.6861653413303112E+16</v>
      </c>
      <c r="J6143" s="444">
        <f t="array" ref="J6143">IFERROR(INDEX('Retirement Calculator'!K:K,MATCH('Lorri 401b'!N6143,'Retirement Calculator'!A:A,0),0),0)</f>
        <v>0</v>
      </c>
      <c r="K6143" s="444">
        <f t="shared" ca="1" si="203"/>
        <v>-278590222555429.63</v>
      </c>
      <c r="L6143" s="444">
        <f t="shared" ca="1" si="204"/>
        <v>-6.7140243635858544E+16</v>
      </c>
      <c r="M6143" s="460">
        <f t="shared" si="206"/>
        <v>0.05</v>
      </c>
      <c r="N6143" s="464">
        <f t="shared" si="207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05"/>
        <v>-6.7140243635858544E+16</v>
      </c>
      <c r="J6144" s="444">
        <f t="array" ref="J6144">IFERROR(INDEX('Retirement Calculator'!K:K,MATCH('Lorri 401b'!N6144,'Retirement Calculator'!A:A,0),0),0)</f>
        <v>0</v>
      </c>
      <c r="K6144" s="444">
        <f t="shared" ca="1" si="203"/>
        <v>-279751015149410.59</v>
      </c>
      <c r="L6144" s="444">
        <f t="shared" ca="1" si="204"/>
        <v>-6.7419994651007952E+16</v>
      </c>
      <c r="M6144" s="460">
        <f t="shared" si="206"/>
        <v>0.05</v>
      </c>
      <c r="N6144" s="464">
        <f t="shared" si="207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05"/>
        <v>-6.7419994651007952E+16</v>
      </c>
      <c r="J6145" s="444">
        <f t="array" ref="J6145">IFERROR(INDEX('Retirement Calculator'!K:K,MATCH('Lorri 401b'!N6145,'Retirement Calculator'!A:A,0),0),0)</f>
        <v>0</v>
      </c>
      <c r="K6145" s="444">
        <f t="shared" ca="1" si="203"/>
        <v>-280916644379199.78</v>
      </c>
      <c r="L6145" s="444">
        <f t="shared" ca="1" si="204"/>
        <v>-6.7700911295387152E+16</v>
      </c>
      <c r="M6145" s="460">
        <f t="shared" si="206"/>
        <v>0.05</v>
      </c>
      <c r="N6145" s="464">
        <f t="shared" si="207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05"/>
        <v>-6.7700911295387152E+16</v>
      </c>
      <c r="J6146" s="444">
        <f t="array" ref="J6146">IFERROR(INDEX('Retirement Calculator'!K:K,MATCH('Lorri 401b'!N6146,'Retirement Calculator'!A:A,0),0),0)</f>
        <v>0</v>
      </c>
      <c r="K6146" s="444">
        <f t="shared" ca="1" si="203"/>
        <v>-282087130397446.44</v>
      </c>
      <c r="L6146" s="444">
        <f t="shared" ca="1" si="204"/>
        <v>-6.79829984257846E+16</v>
      </c>
      <c r="M6146" s="460">
        <f t="shared" si="206"/>
        <v>0.05</v>
      </c>
      <c r="N6146" s="464">
        <f t="shared" si="207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05"/>
        <v>-6.79829984257846E+16</v>
      </c>
      <c r="J6147" s="444">
        <f t="array" ref="J6147">IFERROR(INDEX('Retirement Calculator'!K:K,MATCH('Lorri 401b'!N6147,'Retirement Calculator'!A:A,0),0),0)</f>
        <v>0</v>
      </c>
      <c r="K6147" s="444">
        <f t="shared" ca="1" si="203"/>
        <v>-283262493440769.19</v>
      </c>
      <c r="L6147" s="444">
        <f t="shared" ca="1" si="204"/>
        <v>-6.8266260919225368E+16</v>
      </c>
      <c r="M6147" s="460">
        <f t="shared" si="206"/>
        <v>0.05</v>
      </c>
      <c r="N6147" s="464">
        <f t="shared" si="207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05"/>
        <v>-6.8266260919225368E+16</v>
      </c>
      <c r="J6148" s="444">
        <f t="array" ref="J6148">IFERROR(INDEX('Retirement Calculator'!K:K,MATCH('Lorri 401b'!N6148,'Retirement Calculator'!A:A,0),0),0)</f>
        <v>0</v>
      </c>
      <c r="K6148" s="444">
        <f t="shared" ca="1" si="203"/>
        <v>-284442753830105.69</v>
      </c>
      <c r="L6148" s="444">
        <f t="shared" ca="1" si="204"/>
        <v>-6.8550703673055472E+16</v>
      </c>
      <c r="M6148" s="460">
        <f t="shared" si="206"/>
        <v>0.05</v>
      </c>
      <c r="N6148" s="464">
        <f t="shared" si="207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05"/>
        <v>-6.8550703673055472E+16</v>
      </c>
      <c r="J6149" s="444">
        <f t="array" ref="J6149">IFERROR(INDEX('Retirement Calculator'!K:K,MATCH('Lorri 401b'!N6149,'Retirement Calculator'!A:A,0),0),0)</f>
        <v>0</v>
      </c>
      <c r="K6149" s="444">
        <f t="shared" ca="1" si="203"/>
        <v>-285627931971064.5</v>
      </c>
      <c r="L6149" s="444">
        <f t="shared" ca="1" si="204"/>
        <v>-6.8836331605026536E+16</v>
      </c>
      <c r="M6149" s="460">
        <f t="shared" si="206"/>
        <v>0.05</v>
      </c>
      <c r="N6149" s="464">
        <f t="shared" si="207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05"/>
        <v>-6.8836331605026536E+16</v>
      </c>
      <c r="J6150" s="444">
        <f t="array" ref="J6150">IFERROR(INDEX('Retirement Calculator'!K:K,MATCH('Lorri 401b'!N6150,'Retirement Calculator'!A:A,0),0),0)</f>
        <v>0</v>
      </c>
      <c r="K6150" s="444">
        <f t="shared" ca="1" si="203"/>
        <v>-286818048354277.19</v>
      </c>
      <c r="L6150" s="444">
        <f t="shared" ca="1" si="204"/>
        <v>-6.9123149653380816E+16</v>
      </c>
      <c r="M6150" s="460">
        <f t="shared" si="206"/>
        <v>0.05</v>
      </c>
      <c r="N6150" s="464">
        <f t="shared" si="207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05"/>
        <v>-6.9123149653380816E+16</v>
      </c>
      <c r="J6151" s="444">
        <f t="array" ref="J6151">IFERROR(INDEX('Retirement Calculator'!K:K,MATCH('Lorri 401b'!N6151,'Retirement Calculator'!A:A,0),0),0)</f>
        <v>0</v>
      </c>
      <c r="K6151" s="444">
        <f t="shared" ca="1" si="203"/>
        <v>-288013123555753.38</v>
      </c>
      <c r="L6151" s="444">
        <f t="shared" ca="1" si="204"/>
        <v>-6.9411162776936568E+16</v>
      </c>
      <c r="M6151" s="460">
        <f t="shared" si="206"/>
        <v>0.05</v>
      </c>
      <c r="N6151" s="464">
        <f t="shared" si="207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05"/>
        <v>-6.9411162776936568E+16</v>
      </c>
      <c r="J6152" s="444">
        <f t="array" ref="J6152">IFERROR(INDEX('Retirement Calculator'!K:K,MATCH('Lorri 401b'!N6152,'Retirement Calculator'!A:A,0),0),0)</f>
        <v>0</v>
      </c>
      <c r="K6152" s="444">
        <f t="shared" ca="1" si="203"/>
        <v>-289213178237235.69</v>
      </c>
      <c r="L6152" s="444">
        <f t="shared" ca="1" si="204"/>
        <v>-6.97003759551738E+16</v>
      </c>
      <c r="M6152" s="460">
        <f t="shared" si="206"/>
        <v>0.05</v>
      </c>
      <c r="N6152" s="464">
        <f t="shared" si="207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05"/>
        <v>-6.97003759551738E+16</v>
      </c>
      <c r="J6153" s="444">
        <f t="array" ref="J6153">IFERROR(INDEX('Retirement Calculator'!K:K,MATCH('Lorri 401b'!N6153,'Retirement Calculator'!A:A,0),0),0)</f>
        <v>0</v>
      </c>
      <c r="K6153" s="444">
        <f t="shared" ca="1" si="203"/>
        <v>-290418233146557.44</v>
      </c>
      <c r="L6153" s="444">
        <f t="shared" ca="1" si="204"/>
        <v>-6.999079418832036E+16</v>
      </c>
      <c r="M6153" s="460">
        <f t="shared" si="206"/>
        <v>0.05</v>
      </c>
      <c r="N6153" s="464">
        <f t="shared" si="207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05"/>
        <v>-6.999079418832036E+16</v>
      </c>
      <c r="J6154" s="444">
        <f t="array" ref="J6154">IFERROR(INDEX('Retirement Calculator'!K:K,MATCH('Lorri 401b'!N6154,'Retirement Calculator'!A:A,0),0),0)</f>
        <v>0</v>
      </c>
      <c r="K6154" s="444">
        <f t="shared" ca="1" si="203"/>
        <v>-291628309118001.5</v>
      </c>
      <c r="L6154" s="444">
        <f t="shared" ca="1" si="204"/>
        <v>-7.028242249743836E+16</v>
      </c>
      <c r="M6154" s="460">
        <f t="shared" si="206"/>
        <v>0.05</v>
      </c>
      <c r="N6154" s="464">
        <f t="shared" si="207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05"/>
        <v>-7.028242249743836E+16</v>
      </c>
      <c r="J6155" s="444">
        <f t="array" ref="J6155">IFERROR(INDEX('Retirement Calculator'!K:K,MATCH('Lorri 401b'!N6155,'Retirement Calculator'!A:A,0),0),0)</f>
        <v>0</v>
      </c>
      <c r="K6155" s="444">
        <f t="shared" ca="1" si="203"/>
        <v>-292843427072659.81</v>
      </c>
      <c r="L6155" s="444">
        <f t="shared" ca="1" si="204"/>
        <v>-7.0575265924511016E+16</v>
      </c>
      <c r="M6155" s="460">
        <f t="shared" si="206"/>
        <v>0.05</v>
      </c>
      <c r="N6155" s="464">
        <f t="shared" si="207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05"/>
        <v>-7.0575265924511016E+16</v>
      </c>
      <c r="J6156" s="444">
        <f t="array" ref="J6156">IFERROR(INDEX('Retirement Calculator'!K:K,MATCH('Lorri 401b'!N6156,'Retirement Calculator'!A:A,0),0),0)</f>
        <v>0</v>
      </c>
      <c r="K6156" s="444">
        <f t="shared" ca="1" si="203"/>
        <v>-294063608018795.88</v>
      </c>
      <c r="L6156" s="444">
        <f t="shared" ca="1" si="204"/>
        <v>-7.0869329532529808E+16</v>
      </c>
      <c r="M6156" s="460">
        <f t="shared" si="206"/>
        <v>0.05</v>
      </c>
      <c r="N6156" s="464">
        <f t="shared" si="207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05"/>
        <v>-7.0869329532529808E+16</v>
      </c>
      <c r="J6157" s="444">
        <f t="array" ref="J6157">IFERROR(INDEX('Retirement Calculator'!K:K,MATCH('Lorri 401b'!N6157,'Retirement Calculator'!A:A,0),0),0)</f>
        <v>0</v>
      </c>
      <c r="K6157" s="444">
        <f t="shared" ca="1" si="203"/>
        <v>-295288873052207.56</v>
      </c>
      <c r="L6157" s="444">
        <f t="shared" ca="1" si="204"/>
        <v>-7.1164618405582016E+16</v>
      </c>
      <c r="M6157" s="460">
        <f t="shared" si="206"/>
        <v>0.05</v>
      </c>
      <c r="N6157" s="464">
        <f t="shared" si="207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05"/>
        <v>-7.1164618405582016E+16</v>
      </c>
      <c r="J6158" s="444">
        <f t="array" ref="J6158">IFERROR(INDEX('Retirement Calculator'!K:K,MATCH('Lorri 401b'!N6158,'Retirement Calculator'!A:A,0),0),0)</f>
        <v>0</v>
      </c>
      <c r="K6158" s="444">
        <f t="shared" ca="1" si="203"/>
        <v>-296519243356591.75</v>
      </c>
      <c r="L6158" s="444">
        <f t="shared" ca="1" si="204"/>
        <v>-7.1461137648938608E+16</v>
      </c>
      <c r="M6158" s="460">
        <f t="shared" si="206"/>
        <v>0.05</v>
      </c>
      <c r="N6158" s="464">
        <f t="shared" si="207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05"/>
        <v>-7.1461137648938608E+16</v>
      </c>
      <c r="J6159" s="444">
        <f t="array" ref="J6159">IFERROR(INDEX('Retirement Calculator'!K:K,MATCH('Lorri 401b'!N6159,'Retirement Calculator'!A:A,0),0),0)</f>
        <v>0</v>
      </c>
      <c r="K6159" s="444">
        <f t="shared" ca="1" si="203"/>
        <v>-297754740203910.88</v>
      </c>
      <c r="L6159" s="444">
        <f t="shared" ca="1" si="204"/>
        <v>-7.175889238914252E+16</v>
      </c>
      <c r="M6159" s="460">
        <f t="shared" si="206"/>
        <v>0.05</v>
      </c>
      <c r="N6159" s="464">
        <f t="shared" si="207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05"/>
        <v>-7.175889238914252E+16</v>
      </c>
      <c r="J6160" s="444">
        <f t="array" ref="J6160">IFERROR(INDEX('Retirement Calculator'!K:K,MATCH('Lorri 401b'!N6160,'Retirement Calculator'!A:A,0),0),0)</f>
        <v>0</v>
      </c>
      <c r="K6160" s="444">
        <f t="shared" ca="1" si="203"/>
        <v>-298995384954760.5</v>
      </c>
      <c r="L6160" s="444">
        <f t="shared" ca="1" si="204"/>
        <v>-7.205788777409728E+16</v>
      </c>
      <c r="M6160" s="460">
        <f t="shared" si="206"/>
        <v>0.05</v>
      </c>
      <c r="N6160" s="464">
        <f t="shared" si="207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05"/>
        <v>-7.205788777409728E+16</v>
      </c>
      <c r="J6161" s="444">
        <f t="array" ref="J6161">IFERROR(INDEX('Retirement Calculator'!K:K,MATCH('Lorri 401b'!N6161,'Retirement Calculator'!A:A,0),0),0)</f>
        <v>0</v>
      </c>
      <c r="K6161" s="444">
        <f t="shared" ca="1" si="203"/>
        <v>-300241199058738.69</v>
      </c>
      <c r="L6161" s="444">
        <f t="shared" ca="1" si="204"/>
        <v>-7.2358128973156016E+16</v>
      </c>
      <c r="M6161" s="460">
        <f t="shared" si="206"/>
        <v>0.05</v>
      </c>
      <c r="N6161" s="464">
        <f t="shared" si="207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05"/>
        <v>-7.2358128973156016E+16</v>
      </c>
      <c r="J6162" s="444">
        <f t="array" ref="J6162">IFERROR(INDEX('Retirement Calculator'!K:K,MATCH('Lorri 401b'!N6162,'Retirement Calculator'!A:A,0),0),0)</f>
        <v>0</v>
      </c>
      <c r="K6162" s="444">
        <f t="shared" ca="1" si="203"/>
        <v>-301492204054816.75</v>
      </c>
      <c r="L6162" s="444">
        <f t="shared" ca="1" si="204"/>
        <v>-7.2659621177210832E+16</v>
      </c>
      <c r="M6162" s="460">
        <f t="shared" si="206"/>
        <v>0.05</v>
      </c>
      <c r="N6162" s="464">
        <f t="shared" si="207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05"/>
        <v>-7.2659621177210832E+16</v>
      </c>
      <c r="J6163" s="444">
        <f t="array" ref="J6163">IFERROR(INDEX('Retirement Calculator'!K:K,MATCH('Lorri 401b'!N6163,'Retirement Calculator'!A:A,0),0),0)</f>
        <v>0</v>
      </c>
      <c r="K6163" s="444">
        <f t="shared" ca="1" si="203"/>
        <v>-302748421571711.81</v>
      </c>
      <c r="L6163" s="444">
        <f t="shared" ca="1" si="204"/>
        <v>-7.2962369598782544E+16</v>
      </c>
      <c r="M6163" s="460">
        <f t="shared" si="206"/>
        <v>0.05</v>
      </c>
      <c r="N6163" s="464">
        <f t="shared" si="207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05"/>
        <v>-7.2962369598782544E+16</v>
      </c>
      <c r="J6164" s="444">
        <f t="array" ref="J6164">IFERROR(INDEX('Retirement Calculator'!K:K,MATCH('Lorri 401b'!N6164,'Retirement Calculator'!A:A,0),0),0)</f>
        <v>0</v>
      </c>
      <c r="K6164" s="444">
        <f t="shared" ca="1" si="203"/>
        <v>-304009873328260.63</v>
      </c>
      <c r="L6164" s="444">
        <f t="shared" ca="1" si="204"/>
        <v>-7.32663794721108E+16</v>
      </c>
      <c r="M6164" s="460">
        <f t="shared" si="206"/>
        <v>0.05</v>
      </c>
      <c r="N6164" s="464">
        <f t="shared" si="207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05"/>
        <v>-7.32663794721108E+16</v>
      </c>
      <c r="J6165" s="444">
        <f t="array" ref="J6165">IFERROR(INDEX('Retirement Calculator'!K:K,MATCH('Lorri 401b'!N6165,'Retirement Calculator'!A:A,0),0),0)</f>
        <v>0</v>
      </c>
      <c r="K6165" s="444">
        <f t="shared" ca="1" si="203"/>
        <v>-305276581133795</v>
      </c>
      <c r="L6165" s="444">
        <f t="shared" ca="1" si="204"/>
        <v>-7.3571656053244592E+16</v>
      </c>
      <c r="M6165" s="460">
        <f t="shared" si="206"/>
        <v>0.05</v>
      </c>
      <c r="N6165" s="464">
        <f t="shared" si="207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05"/>
        <v>-7.3571656053244592E+16</v>
      </c>
      <c r="J6166" s="444">
        <f t="array" ref="J6166">IFERROR(INDEX('Retirement Calculator'!K:K,MATCH('Lorri 401b'!N6166,'Retirement Calculator'!A:A,0),0),0)</f>
        <v>0</v>
      </c>
      <c r="K6166" s="444">
        <f t="shared" ca="1" si="203"/>
        <v>-306548566888519.13</v>
      </c>
      <c r="L6166" s="444">
        <f t="shared" ca="1" si="204"/>
        <v>-7.3878204620133104E+16</v>
      </c>
      <c r="M6166" s="460">
        <f t="shared" si="206"/>
        <v>0.05</v>
      </c>
      <c r="N6166" s="464">
        <f t="shared" si="207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05"/>
        <v>-7.3878204620133104E+16</v>
      </c>
      <c r="J6167" s="444">
        <f t="array" ref="J6167">IFERROR(INDEX('Retirement Calculator'!K:K,MATCH('Lorri 401b'!N6167,'Retirement Calculator'!A:A,0),0),0)</f>
        <v>0</v>
      </c>
      <c r="K6167" s="444">
        <f t="shared" ca="1" si="203"/>
        <v>-307825852583887.94</v>
      </c>
      <c r="L6167" s="444">
        <f t="shared" ca="1" si="204"/>
        <v>-7.4186030472716992E+16</v>
      </c>
      <c r="M6167" s="460">
        <f t="shared" si="206"/>
        <v>0.05</v>
      </c>
      <c r="N6167" s="464">
        <f t="shared" si="207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05"/>
        <v>-7.4186030472716992E+16</v>
      </c>
      <c r="J6168" s="444">
        <f t="array" ref="J6168">IFERROR(INDEX('Retirement Calculator'!K:K,MATCH('Lorri 401b'!N6168,'Retirement Calculator'!A:A,0),0),0)</f>
        <v>0</v>
      </c>
      <c r="K6168" s="444">
        <f t="shared" ca="1" si="203"/>
        <v>-309108460302987.44</v>
      </c>
      <c r="L6168" s="444">
        <f t="shared" ca="1" si="204"/>
        <v>-7.4495138933019984E+16</v>
      </c>
      <c r="M6168" s="460">
        <f t="shared" si="206"/>
        <v>0.05</v>
      </c>
      <c r="N6168" s="464">
        <f t="shared" si="207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05"/>
        <v>-7.4495138933019984E+16</v>
      </c>
      <c r="J6169" s="444">
        <f t="array" ref="J6169">IFERROR(INDEX('Retirement Calculator'!K:K,MATCH('Lorri 401b'!N6169,'Retirement Calculator'!A:A,0),0),0)</f>
        <v>0</v>
      </c>
      <c r="K6169" s="444">
        <f t="shared" ca="1" si="203"/>
        <v>-310396412220916.63</v>
      </c>
      <c r="L6169" s="444">
        <f t="shared" ca="1" si="204"/>
        <v>-7.4805535345240896E+16</v>
      </c>
      <c r="M6169" s="460">
        <f t="shared" si="206"/>
        <v>0.05</v>
      </c>
      <c r="N6169" s="464">
        <f t="shared" si="207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05"/>
        <v>-7.4805535345240896E+16</v>
      </c>
      <c r="J6170" s="444">
        <f t="array" ref="J6170">IFERROR(INDEX('Retirement Calculator'!K:K,MATCH('Lorri 401b'!N6170,'Retirement Calculator'!A:A,0),0),0)</f>
        <v>0</v>
      </c>
      <c r="K6170" s="444">
        <f t="shared" ca="1" si="203"/>
        <v>-311689730605170.38</v>
      </c>
      <c r="L6170" s="444">
        <f t="shared" ca="1" si="204"/>
        <v>-7.5117225075846064E+16</v>
      </c>
      <c r="M6170" s="460">
        <f t="shared" si="206"/>
        <v>0.05</v>
      </c>
      <c r="N6170" s="464">
        <f t="shared" si="207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05"/>
        <v>-7.5117225075846064E+16</v>
      </c>
      <c r="J6171" s="444">
        <f t="array" ref="J6171">IFERROR(INDEX('Retirement Calculator'!K:K,MATCH('Lorri 401b'!N6171,'Retirement Calculator'!A:A,0),0),0)</f>
        <v>0</v>
      </c>
      <c r="K6171" s="444">
        <f t="shared" ca="1" si="203"/>
        <v>-312988437816025.25</v>
      </c>
      <c r="L6171" s="444">
        <f t="shared" ca="1" si="204"/>
        <v>-7.5430213513662096E+16</v>
      </c>
      <c r="M6171" s="460">
        <f t="shared" si="206"/>
        <v>0.05</v>
      </c>
      <c r="N6171" s="464">
        <f t="shared" si="207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05"/>
        <v>-7.5430213513662096E+16</v>
      </c>
      <c r="J6172" s="444">
        <f t="array" ref="J6172">IFERROR(INDEX('Retirement Calculator'!K:K,MATCH('Lorri 401b'!N6172,'Retirement Calculator'!A:A,0),0),0)</f>
        <v>0</v>
      </c>
      <c r="K6172" s="444">
        <f t="shared" ca="1" si="203"/>
        <v>-314292556306925.38</v>
      </c>
      <c r="L6172" s="444">
        <f t="shared" ca="1" si="204"/>
        <v>-7.5744506069969024E+16</v>
      </c>
      <c r="M6172" s="460">
        <f t="shared" si="206"/>
        <v>0.05</v>
      </c>
      <c r="N6172" s="464">
        <f t="shared" si="207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05"/>
        <v>-7.5744506069969024E+16</v>
      </c>
      <c r="J6173" s="444">
        <f t="array" ref="J6173">IFERROR(INDEX('Retirement Calculator'!K:K,MATCH('Lorri 401b'!N6173,'Retirement Calculator'!A:A,0),0),0)</f>
        <v>0</v>
      </c>
      <c r="K6173" s="444">
        <f t="shared" ca="1" si="203"/>
        <v>-315602108624870.94</v>
      </c>
      <c r="L6173" s="444">
        <f t="shared" ca="1" si="204"/>
        <v>-7.6060108178593888E+16</v>
      </c>
      <c r="M6173" s="460">
        <f t="shared" si="206"/>
        <v>0.05</v>
      </c>
      <c r="N6173" s="464">
        <f t="shared" si="207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05"/>
        <v>-7.6060108178593888E+16</v>
      </c>
      <c r="J6174" s="444">
        <f t="array" ref="J6174">IFERROR(INDEX('Retirement Calculator'!K:K,MATCH('Lorri 401b'!N6174,'Retirement Calculator'!A:A,0),0),0)</f>
        <v>0</v>
      </c>
      <c r="K6174" s="444">
        <f t="shared" ca="1" si="203"/>
        <v>-316917117410807.88</v>
      </c>
      <c r="L6174" s="444">
        <f t="shared" ca="1" si="204"/>
        <v>-7.6377025296004688E+16</v>
      </c>
      <c r="M6174" s="460">
        <f t="shared" si="206"/>
        <v>0.05</v>
      </c>
      <c r="N6174" s="464">
        <f t="shared" si="207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05"/>
        <v>-7.6377025296004688E+16</v>
      </c>
      <c r="J6175" s="444">
        <f t="array" ref="J6175">IFERROR(INDEX('Retirement Calculator'!K:K,MATCH('Lorri 401b'!N6175,'Retirement Calculator'!A:A,0),0),0)</f>
        <v>0</v>
      </c>
      <c r="K6175" s="444">
        <f t="shared" ca="1" si="203"/>
        <v>-318237605400019.5</v>
      </c>
      <c r="L6175" s="444">
        <f t="shared" ca="1" si="204"/>
        <v>-7.6695262901404704E+16</v>
      </c>
      <c r="M6175" s="460">
        <f t="shared" si="206"/>
        <v>0.05</v>
      </c>
      <c r="N6175" s="464">
        <f t="shared" si="207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05"/>
        <v>-7.6695262901404704E+16</v>
      </c>
      <c r="J6176" s="444">
        <f t="array" ref="J6176">IFERROR(INDEX('Retirement Calculator'!K:K,MATCH('Lorri 401b'!N6176,'Retirement Calculator'!A:A,0),0),0)</f>
        <v>0</v>
      </c>
      <c r="K6176" s="444">
        <f t="shared" ca="1" si="203"/>
        <v>-319563595422519.63</v>
      </c>
      <c r="L6176" s="444">
        <f t="shared" ca="1" si="204"/>
        <v>-7.7014826496827216E+16</v>
      </c>
      <c r="M6176" s="460">
        <f t="shared" si="206"/>
        <v>0.05</v>
      </c>
      <c r="N6176" s="464">
        <f t="shared" si="207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05"/>
        <v>-7.7014826496827216E+16</v>
      </c>
      <c r="J6177" s="444">
        <f t="array" ref="J6177">IFERROR(INDEX('Retirement Calculator'!K:K,MATCH('Lorri 401b'!N6177,'Retirement Calculator'!A:A,0),0),0)</f>
        <v>0</v>
      </c>
      <c r="K6177" s="444">
        <f t="shared" ca="1" si="203"/>
        <v>-320895110403446.75</v>
      </c>
      <c r="L6177" s="444">
        <f t="shared" ca="1" si="204"/>
        <v>-7.7335721607230656E+16</v>
      </c>
      <c r="M6177" s="460">
        <f t="shared" si="206"/>
        <v>0.05</v>
      </c>
      <c r="N6177" s="464">
        <f t="shared" si="207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05"/>
        <v>-7.7335721607230656E+16</v>
      </c>
      <c r="J6178" s="444">
        <f t="array" ref="J6178">IFERROR(INDEX('Retirement Calculator'!K:K,MATCH('Lorri 401b'!N6178,'Retirement Calculator'!A:A,0),0),0)</f>
        <v>0</v>
      </c>
      <c r="K6178" s="444">
        <f t="shared" ca="1" si="203"/>
        <v>-322232173363461.06</v>
      </c>
      <c r="L6178" s="444">
        <f t="shared" ca="1" si="204"/>
        <v>-7.7657953780594112E+16</v>
      </c>
      <c r="M6178" s="460">
        <f t="shared" si="206"/>
        <v>0.05</v>
      </c>
      <c r="N6178" s="464">
        <f t="shared" si="207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05"/>
        <v>-7.7657953780594112E+16</v>
      </c>
      <c r="J6179" s="444">
        <f t="array" ref="J6179">IFERROR(INDEX('Retirement Calculator'!K:K,MATCH('Lorri 401b'!N6179,'Retirement Calculator'!A:A,0),0),0)</f>
        <v>0</v>
      </c>
      <c r="K6179" s="444">
        <f t="shared" ca="1" si="203"/>
        <v>-323574807419142.13</v>
      </c>
      <c r="L6179" s="444">
        <f t="shared" ca="1" si="204"/>
        <v>-7.7981528588013248E+16</v>
      </c>
      <c r="M6179" s="460">
        <f t="shared" si="206"/>
        <v>0.05</v>
      </c>
      <c r="N6179" s="464">
        <f t="shared" si="207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05"/>
        <v>-7.7981528588013248E+16</v>
      </c>
      <c r="J6180" s="444">
        <f t="array" ref="J6180">IFERROR(INDEX('Retirement Calculator'!K:K,MATCH('Lorri 401b'!N6180,'Retirement Calculator'!A:A,0),0),0)</f>
        <v>0</v>
      </c>
      <c r="K6180" s="444">
        <f t="shared" ca="1" si="203"/>
        <v>-324923035783388.5</v>
      </c>
      <c r="L6180" s="444">
        <f t="shared" ca="1" si="204"/>
        <v>-7.830645162379664E+16</v>
      </c>
      <c r="M6180" s="460">
        <f t="shared" si="206"/>
        <v>0.05</v>
      </c>
      <c r="N6180" s="464">
        <f t="shared" si="207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05"/>
        <v>-7.830645162379664E+16</v>
      </c>
      <c r="J6181" s="444">
        <f t="array" ref="J6181">IFERROR(INDEX('Retirement Calculator'!K:K,MATCH('Lorri 401b'!N6181,'Retirement Calculator'!A:A,0),0),0)</f>
        <v>0</v>
      </c>
      <c r="K6181" s="444">
        <f t="shared" ca="1" si="203"/>
        <v>-326276881765819.31</v>
      </c>
      <c r="L6181" s="444">
        <f t="shared" ca="1" si="204"/>
        <v>-7.8632728505562464E+16</v>
      </c>
      <c r="M6181" s="460">
        <f t="shared" si="206"/>
        <v>0.05</v>
      </c>
      <c r="N6181" s="464">
        <f t="shared" si="207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05"/>
        <v>-7.8632728505562464E+16</v>
      </c>
      <c r="J6182" s="444">
        <f t="array" ref="J6182">IFERROR(INDEX('Retirement Calculator'!K:K,MATCH('Lorri 401b'!N6182,'Retirement Calculator'!A:A,0),0),0)</f>
        <v>0</v>
      </c>
      <c r="K6182" s="444">
        <f t="shared" ca="1" si="203"/>
        <v>-327636368773176.94</v>
      </c>
      <c r="L6182" s="444">
        <f t="shared" ca="1" si="204"/>
        <v>-7.8960364874335648E+16</v>
      </c>
      <c r="M6182" s="460">
        <f t="shared" si="206"/>
        <v>0.05</v>
      </c>
      <c r="N6182" s="464">
        <f t="shared" si="207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05"/>
        <v>-7.8960364874335648E+16</v>
      </c>
      <c r="J6183" s="444">
        <f t="array" ref="J6183">IFERROR(INDEX('Retirement Calculator'!K:K,MATCH('Lorri 401b'!N6183,'Retirement Calculator'!A:A,0),0),0)</f>
        <v>0</v>
      </c>
      <c r="K6183" s="444">
        <f t="shared" ca="1" si="203"/>
        <v>-329001520309731.88</v>
      </c>
      <c r="L6183" s="444">
        <f t="shared" ca="1" si="204"/>
        <v>-7.9289366394645376E+16</v>
      </c>
      <c r="M6183" s="460">
        <f t="shared" si="206"/>
        <v>0.05</v>
      </c>
      <c r="N6183" s="464">
        <f t="shared" si="207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05"/>
        <v>-7.9289366394645376E+16</v>
      </c>
      <c r="J6184" s="444">
        <f t="array" ref="J6184">IFERROR(INDEX('Retirement Calculator'!K:K,MATCH('Lorri 401b'!N6184,'Retirement Calculator'!A:A,0),0),0)</f>
        <v>0</v>
      </c>
      <c r="K6184" s="444">
        <f t="shared" ca="1" si="203"/>
        <v>-330372359977689.06</v>
      </c>
      <c r="L6184" s="444">
        <f t="shared" ca="1" si="204"/>
        <v>-7.9619738754623072E+16</v>
      </c>
      <c r="M6184" s="460">
        <f t="shared" si="206"/>
        <v>0.05</v>
      </c>
      <c r="N6184" s="464">
        <f t="shared" si="207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05"/>
        <v>-7.9619738754623072E+16</v>
      </c>
      <c r="J6185" s="444">
        <f t="array" ref="J6185">IFERROR(INDEX('Retirement Calculator'!K:K,MATCH('Lorri 401b'!N6185,'Retirement Calculator'!A:A,0),0),0)</f>
        <v>0</v>
      </c>
      <c r="K6185" s="444">
        <f t="shared" ca="1" si="203"/>
        <v>-331748911477596.13</v>
      </c>
      <c r="L6185" s="444">
        <f t="shared" ca="1" si="204"/>
        <v>-7.9951487666100672E+16</v>
      </c>
      <c r="M6185" s="460">
        <f t="shared" si="206"/>
        <v>0.05</v>
      </c>
      <c r="N6185" s="464">
        <f t="shared" si="207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05"/>
        <v>-7.9951487666100672E+16</v>
      </c>
      <c r="J6186" s="444">
        <f t="array" ref="J6186">IFERROR(INDEX('Retirement Calculator'!K:K,MATCH('Lorri 401b'!N6186,'Retirement Calculator'!A:A,0),0),0)</f>
        <v>0</v>
      </c>
      <c r="K6186" s="444">
        <f t="shared" ca="1" si="203"/>
        <v>-333131198608752.81</v>
      </c>
      <c r="L6186" s="444">
        <f t="shared" ca="1" si="204"/>
        <v>-8.0284618864709424E+16</v>
      </c>
      <c r="M6186" s="460">
        <f t="shared" si="206"/>
        <v>0.05</v>
      </c>
      <c r="N6186" s="464">
        <f t="shared" si="207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05"/>
        <v>-8.0284618864709424E+16</v>
      </c>
      <c r="J6187" s="444">
        <f t="array" ref="J6187">IFERROR(INDEX('Retirement Calculator'!K:K,MATCH('Lorri 401b'!N6187,'Retirement Calculator'!A:A,0),0),0)</f>
        <v>0</v>
      </c>
      <c r="K6187" s="444">
        <f t="shared" ca="1" si="203"/>
        <v>-334519245269622.63</v>
      </c>
      <c r="L6187" s="444">
        <f t="shared" ca="1" si="204"/>
        <v>-8.061913810997904E+16</v>
      </c>
      <c r="M6187" s="460">
        <f t="shared" si="206"/>
        <v>0.05</v>
      </c>
      <c r="N6187" s="464">
        <f t="shared" si="207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05"/>
        <v>-8.061913810997904E+16</v>
      </c>
      <c r="J6188" s="444">
        <f t="array" ref="J6188">IFERROR(INDEX('Retirement Calculator'!K:K,MATCH('Lorri 401b'!N6188,'Retirement Calculator'!A:A,0),0),0)</f>
        <v>0</v>
      </c>
      <c r="K6188" s="444">
        <f t="shared" ca="1" si="203"/>
        <v>-335913075458246</v>
      </c>
      <c r="L6188" s="444">
        <f t="shared" ca="1" si="204"/>
        <v>-8.095505118543728E+16</v>
      </c>
      <c r="M6188" s="460">
        <f t="shared" si="206"/>
        <v>0.05</v>
      </c>
      <c r="N6188" s="464">
        <f t="shared" si="207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05"/>
        <v>-8.095505118543728E+16</v>
      </c>
      <c r="J6189" s="444">
        <f t="array" ref="J6189">IFERROR(INDEX('Retirement Calculator'!K:K,MATCH('Lorri 401b'!N6189,'Retirement Calculator'!A:A,0),0),0)</f>
        <v>0</v>
      </c>
      <c r="K6189" s="444">
        <f t="shared" ca="1" si="203"/>
        <v>-337312713272655.31</v>
      </c>
      <c r="L6189" s="444">
        <f t="shared" ca="1" si="204"/>
        <v>-8.1292363898709936E+16</v>
      </c>
      <c r="M6189" s="460">
        <f t="shared" si="206"/>
        <v>0.05</v>
      </c>
      <c r="N6189" s="464">
        <f t="shared" si="207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05"/>
        <v>-8.1292363898709936E+16</v>
      </c>
      <c r="J6190" s="444">
        <f t="array" ref="J6190">IFERROR(INDEX('Retirement Calculator'!K:K,MATCH('Lorri 401b'!N6190,'Retirement Calculator'!A:A,0),0),0)</f>
        <v>0</v>
      </c>
      <c r="K6190" s="444">
        <f t="shared" ca="1" si="203"/>
        <v>-338718182911291.38</v>
      </c>
      <c r="L6190" s="444">
        <f t="shared" ca="1" si="204"/>
        <v>-8.1631082081621232E+16</v>
      </c>
      <c r="M6190" s="460">
        <f t="shared" si="206"/>
        <v>0.05</v>
      </c>
      <c r="N6190" s="464">
        <f t="shared" si="207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05"/>
        <v>-8.1631082081621232E+16</v>
      </c>
      <c r="J6191" s="444">
        <f t="array" ref="J6191">IFERROR(INDEX('Retirement Calculator'!K:K,MATCH('Lorri 401b'!N6191,'Retirement Calculator'!A:A,0),0),0)</f>
        <v>0</v>
      </c>
      <c r="K6191" s="444">
        <f t="shared" ca="1" si="203"/>
        <v>-340129508673421.81</v>
      </c>
      <c r="L6191" s="444">
        <f t="shared" ca="1" si="204"/>
        <v>-8.1971211590294656E+16</v>
      </c>
      <c r="M6191" s="460">
        <f t="shared" si="206"/>
        <v>0.05</v>
      </c>
      <c r="N6191" s="464">
        <f t="shared" si="207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05"/>
        <v>-8.1971211590294656E+16</v>
      </c>
      <c r="J6192" s="444">
        <f t="array" ref="J6192">IFERROR(INDEX('Retirement Calculator'!K:K,MATCH('Lorri 401b'!N6192,'Retirement Calculator'!A:A,0),0),0)</f>
        <v>0</v>
      </c>
      <c r="K6192" s="444">
        <f t="shared" ca="1" si="203"/>
        <v>-341546714959561.06</v>
      </c>
      <c r="L6192" s="444">
        <f t="shared" ca="1" si="204"/>
        <v>-8.2312758305254224E+16</v>
      </c>
      <c r="M6192" s="460">
        <f t="shared" si="206"/>
        <v>0.05</v>
      </c>
      <c r="N6192" s="464">
        <f t="shared" si="207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05"/>
        <v>-8.2312758305254224E+16</v>
      </c>
      <c r="J6193" s="444">
        <f t="array" ref="J6193">IFERROR(INDEX('Retirement Calculator'!K:K,MATCH('Lorri 401b'!N6193,'Retirement Calculator'!A:A,0),0),0)</f>
        <v>0</v>
      </c>
      <c r="K6193" s="444">
        <f t="shared" ca="1" si="203"/>
        <v>-342969826271892.63</v>
      </c>
      <c r="L6193" s="444">
        <f t="shared" ca="1" si="204"/>
        <v>-8.2655728131526112E+16</v>
      </c>
      <c r="M6193" s="460">
        <f t="shared" si="206"/>
        <v>0.05</v>
      </c>
      <c r="N6193" s="464">
        <f t="shared" si="207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05"/>
        <v>-8.2655728131526112E+16</v>
      </c>
      <c r="J6194" s="444">
        <f t="array" ref="J6194">IFERROR(INDEX('Retirement Calculator'!K:K,MATCH('Lorri 401b'!N6194,'Retirement Calculator'!A:A,0),0),0)</f>
        <v>0</v>
      </c>
      <c r="K6194" s="444">
        <f t="shared" ca="1" si="203"/>
        <v>-344398867214692.13</v>
      </c>
      <c r="L6194" s="444">
        <f t="shared" ca="1" si="204"/>
        <v>-8.30001269987408E+16</v>
      </c>
      <c r="M6194" s="460">
        <f t="shared" si="206"/>
        <v>0.05</v>
      </c>
      <c r="N6194" s="464">
        <f t="shared" si="207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05"/>
        <v>-8.30001269987408E+16</v>
      </c>
      <c r="J6195" s="444">
        <f t="array" ref="J6195">IFERROR(INDEX('Retirement Calculator'!K:K,MATCH('Lorri 401b'!N6195,'Retirement Calculator'!A:A,0),0),0)</f>
        <v>0</v>
      </c>
      <c r="K6195" s="444">
        <f t="shared" ca="1" si="203"/>
        <v>-345833862494753.31</v>
      </c>
      <c r="L6195" s="444">
        <f t="shared" ca="1" si="204"/>
        <v>-8.3345960861235552E+16</v>
      </c>
      <c r="M6195" s="460">
        <f t="shared" si="206"/>
        <v>0.05</v>
      </c>
      <c r="N6195" s="464">
        <f t="shared" si="207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05"/>
        <v>-8.3345960861235552E+16</v>
      </c>
      <c r="J6196" s="444">
        <f t="array" ref="J6196">IFERROR(INDEX('Retirement Calculator'!K:K,MATCH('Lorri 401b'!N6196,'Retirement Calculator'!A:A,0),0),0)</f>
        <v>0</v>
      </c>
      <c r="K6196" s="444">
        <f t="shared" ca="1" si="203"/>
        <v>-347274836921814.81</v>
      </c>
      <c r="L6196" s="444">
        <f t="shared" ca="1" si="204"/>
        <v>-8.369323569815736E+16</v>
      </c>
      <c r="M6196" s="460">
        <f t="shared" si="206"/>
        <v>0.05</v>
      </c>
      <c r="N6196" s="464">
        <f t="shared" si="207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05"/>
        <v>-8.369323569815736E+16</v>
      </c>
      <c r="J6197" s="444">
        <f t="array" ref="J6197">IFERROR(INDEX('Retirement Calculator'!K:K,MATCH('Lorri 401b'!N6197,'Retirement Calculator'!A:A,0),0),0)</f>
        <v>0</v>
      </c>
      <c r="K6197" s="444">
        <f t="shared" ca="1" si="203"/>
        <v>-348721815408989</v>
      </c>
      <c r="L6197" s="444">
        <f t="shared" ca="1" si="204"/>
        <v>-8.4041957513566352E+16</v>
      </c>
      <c r="M6197" s="460">
        <f t="shared" si="206"/>
        <v>0.05</v>
      </c>
      <c r="N6197" s="464">
        <f t="shared" si="207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05"/>
        <v>-8.4041957513566352E+16</v>
      </c>
      <c r="J6198" s="444">
        <f t="array" ref="J6198">IFERROR(INDEX('Retirement Calculator'!K:K,MATCH('Lorri 401b'!N6198,'Retirement Calculator'!A:A,0),0),0)</f>
        <v>0</v>
      </c>
      <c r="K6198" s="444">
        <f t="shared" ca="1" si="203"/>
        <v>-350174822973193.13</v>
      </c>
      <c r="L6198" s="444">
        <f t="shared" ca="1" si="204"/>
        <v>-8.4392132336539552E+16</v>
      </c>
      <c r="M6198" s="460">
        <f t="shared" si="206"/>
        <v>0.05</v>
      </c>
      <c r="N6198" s="464">
        <f t="shared" si="207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05"/>
        <v>-8.4392132336539552E+16</v>
      </c>
      <c r="J6199" s="444">
        <f t="array" ref="J6199">IFERROR(INDEX('Retirement Calculator'!K:K,MATCH('Lorri 401b'!N6199,'Retirement Calculator'!A:A,0),0),0)</f>
        <v>0</v>
      </c>
      <c r="K6199" s="444">
        <f t="shared" ca="1" si="203"/>
        <v>-351633884735581.44</v>
      </c>
      <c r="L6199" s="444">
        <f t="shared" ca="1" si="204"/>
        <v>-8.4743766221275136E+16</v>
      </c>
      <c r="M6199" s="460">
        <f t="shared" si="206"/>
        <v>0.05</v>
      </c>
      <c r="N6199" s="464">
        <f t="shared" si="207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05"/>
        <v>-8.4743766221275136E+16</v>
      </c>
      <c r="J6200" s="444">
        <f t="array" ref="J6200">IFERROR(INDEX('Retirement Calculator'!K:K,MATCH('Lorri 401b'!N6200,'Retirement Calculator'!A:A,0),0),0)</f>
        <v>0</v>
      </c>
      <c r="K6200" s="444">
        <f t="shared" ca="1" si="203"/>
        <v>-353099025921979.75</v>
      </c>
      <c r="L6200" s="444">
        <f t="shared" ca="1" si="204"/>
        <v>-8.509686524719712E+16</v>
      </c>
      <c r="M6200" s="460">
        <f t="shared" si="206"/>
        <v>0.05</v>
      </c>
      <c r="N6200" s="464">
        <f t="shared" si="207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05"/>
        <v>-8.509686524719712E+16</v>
      </c>
      <c r="J6201" s="444">
        <f t="array" ref="J6201">IFERROR(INDEX('Retirement Calculator'!K:K,MATCH('Lorri 401b'!N6201,'Retirement Calculator'!A:A,0),0),0)</f>
        <v>0</v>
      </c>
      <c r="K6201" s="444">
        <f t="shared" ca="1" si="203"/>
        <v>-354570271863321.31</v>
      </c>
      <c r="L6201" s="444">
        <f t="shared" ca="1" si="204"/>
        <v>-8.5451435519060448E+16</v>
      </c>
      <c r="M6201" s="460">
        <f t="shared" si="206"/>
        <v>0.05</v>
      </c>
      <c r="N6201" s="464">
        <f t="shared" si="207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05"/>
        <v>-8.5451435519060448E+16</v>
      </c>
      <c r="J6202" s="444">
        <f t="array" ref="J6202">IFERROR(INDEX('Retirement Calculator'!K:K,MATCH('Lorri 401b'!N6202,'Retirement Calculator'!A:A,0),0),0)</f>
        <v>0</v>
      </c>
      <c r="K6202" s="444">
        <f t="shared" ca="1" si="203"/>
        <v>-356047647996085.19</v>
      </c>
      <c r="L6202" s="444">
        <f t="shared" ca="1" si="204"/>
        <v>-8.5807483167056528E+16</v>
      </c>
      <c r="M6202" s="460">
        <f t="shared" si="206"/>
        <v>0.05</v>
      </c>
      <c r="N6202" s="464">
        <f t="shared" si="207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05"/>
        <v>-8.5807483167056528E+16</v>
      </c>
      <c r="J6203" s="444">
        <f t="array" ref="J6203">IFERROR(INDEX('Retirement Calculator'!K:K,MATCH('Lorri 401b'!N6203,'Retirement Calculator'!A:A,0),0),0)</f>
        <v>0</v>
      </c>
      <c r="K6203" s="444">
        <f t="shared" ca="1" si="203"/>
        <v>-357531179862735.5</v>
      </c>
      <c r="L6203" s="444">
        <f t="shared" ca="1" si="204"/>
        <v>-8.6165014346919264E+16</v>
      </c>
      <c r="M6203" s="460">
        <f t="shared" si="206"/>
        <v>0.05</v>
      </c>
      <c r="N6203" s="464">
        <f t="shared" si="207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05"/>
        <v>-8.6165014346919264E+16</v>
      </c>
      <c r="J6204" s="444">
        <f t="array" ref="J6204">IFERROR(INDEX('Retirement Calculator'!K:K,MATCH('Lorri 401b'!N6204,'Retirement Calculator'!A:A,0),0),0)</f>
        <v>0</v>
      </c>
      <c r="K6204" s="444">
        <f t="shared" ca="1" si="203"/>
        <v>-359020893112163.63</v>
      </c>
      <c r="L6204" s="444">
        <f t="shared" ca="1" si="204"/>
        <v>-8.6524035240031424E+16</v>
      </c>
      <c r="M6204" s="460">
        <f t="shared" si="206"/>
        <v>0.05</v>
      </c>
      <c r="N6204" s="464">
        <f t="shared" si="207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05"/>
        <v>-8.6524035240031424E+16</v>
      </c>
      <c r="J6205" s="444">
        <f t="array" ref="J6205">IFERROR(INDEX('Retirement Calculator'!K:K,MATCH('Lorri 401b'!N6205,'Retirement Calculator'!A:A,0),0),0)</f>
        <v>0</v>
      </c>
      <c r="K6205" s="444">
        <f t="shared" ca="1" si="203"/>
        <v>-360516813500130.94</v>
      </c>
      <c r="L6205" s="444">
        <f t="shared" ca="1" si="204"/>
        <v>-8.6884552053531552E+16</v>
      </c>
      <c r="M6205" s="460">
        <f t="shared" si="206"/>
        <v>0.05</v>
      </c>
      <c r="N6205" s="464">
        <f t="shared" si="207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05"/>
        <v>-8.6884552053531552E+16</v>
      </c>
      <c r="J6206" s="444">
        <f t="array" ref="J6206">IFERROR(INDEX('Retirement Calculator'!K:K,MATCH('Lorri 401b'!N6206,'Retirement Calculator'!A:A,0),0),0)</f>
        <v>0</v>
      </c>
      <c r="K6206" s="444">
        <f t="shared" ca="1" si="203"/>
        <v>-362018966889714.81</v>
      </c>
      <c r="L6206" s="444">
        <f t="shared" ca="1" si="204"/>
        <v>-8.7246571020421264E+16</v>
      </c>
      <c r="M6206" s="460">
        <f t="shared" si="206"/>
        <v>0.05</v>
      </c>
      <c r="N6206" s="464">
        <f t="shared" si="207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05"/>
        <v>-8.7246571020421264E+16</v>
      </c>
      <c r="J6207" s="444">
        <f t="array" ref="J6207">IFERROR(INDEX('Retirement Calculator'!K:K,MATCH('Lorri 401b'!N6207,'Retirement Calculator'!A:A,0),0),0)</f>
        <v>0</v>
      </c>
      <c r="K6207" s="444">
        <f t="shared" ca="1" si="203"/>
        <v>-363527379251755.25</v>
      </c>
      <c r="L6207" s="444">
        <f t="shared" ca="1" si="204"/>
        <v>-8.7610098399673024E+16</v>
      </c>
      <c r="M6207" s="460">
        <f t="shared" si="206"/>
        <v>0.05</v>
      </c>
      <c r="N6207" s="464">
        <f t="shared" si="207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05"/>
        <v>-8.7610098399673024E+16</v>
      </c>
      <c r="J6208" s="444">
        <f t="array" ref="J6208">IFERROR(INDEX('Retirement Calculator'!K:K,MATCH('Lorri 401b'!N6208,'Retirement Calculator'!A:A,0),0),0)</f>
        <v>0</v>
      </c>
      <c r="K6208" s="444">
        <f t="shared" ca="1" si="203"/>
        <v>-365042076665304.25</v>
      </c>
      <c r="L6208" s="444">
        <f t="shared" ca="1" si="204"/>
        <v>-8.7975140476338336E+16</v>
      </c>
      <c r="M6208" s="460">
        <f t="shared" si="206"/>
        <v>0.05</v>
      </c>
      <c r="N6208" s="464">
        <f t="shared" si="207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05"/>
        <v>-8.7975140476338336E+16</v>
      </c>
      <c r="J6209" s="444">
        <f t="array" ref="J6209">IFERROR(INDEX('Retirement Calculator'!K:K,MATCH('Lorri 401b'!N6209,'Retirement Calculator'!A:A,0),0),0)</f>
        <v>0</v>
      </c>
      <c r="K6209" s="444">
        <f t="shared" ca="1" si="203"/>
        <v>-366563085318076.38</v>
      </c>
      <c r="L6209" s="444">
        <f t="shared" ca="1" si="204"/>
        <v>-8.8341703561656416E+16</v>
      </c>
      <c r="M6209" s="460">
        <f t="shared" si="206"/>
        <v>0.05</v>
      </c>
      <c r="N6209" s="464">
        <f t="shared" si="207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05"/>
        <v>-8.8341703561656416E+16</v>
      </c>
      <c r="J6210" s="444">
        <f t="array" ref="J6210">IFERROR(INDEX('Retirement Calculator'!K:K,MATCH('Lorri 401b'!N6210,'Retirement Calculator'!A:A,0),0),0)</f>
        <v>0</v>
      </c>
      <c r="K6210" s="444">
        <f t="shared" ca="1" si="203"/>
        <v>-368090431506901.75</v>
      </c>
      <c r="L6210" s="444">
        <f t="shared" ca="1" si="204"/>
        <v>-8.8709793993163312E+16</v>
      </c>
      <c r="M6210" s="460">
        <f t="shared" si="206"/>
        <v>0.05</v>
      </c>
      <c r="N6210" s="464">
        <f t="shared" si="207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05"/>
        <v>-8.8709793993163312E+16</v>
      </c>
      <c r="J6211" s="444">
        <f t="array" ref="J6211">IFERROR(INDEX('Retirement Calculator'!K:K,MATCH('Lorri 401b'!N6211,'Retirement Calculator'!A:A,0),0),0)</f>
        <v>0</v>
      </c>
      <c r="K6211" s="444">
        <f t="shared" ca="1" si="203"/>
        <v>-369624141638180.44</v>
      </c>
      <c r="L6211" s="444">
        <f t="shared" ca="1" si="204"/>
        <v>-8.9079418134801488E+16</v>
      </c>
      <c r="M6211" s="460">
        <f t="shared" si="206"/>
        <v>0.05</v>
      </c>
      <c r="N6211" s="464">
        <f t="shared" si="207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05"/>
        <v>-8.9079418134801488E+16</v>
      </c>
      <c r="J6212" s="444">
        <f t="array" ref="J6212">IFERROR(INDEX('Retirement Calculator'!K:K,MATCH('Lorri 401b'!N6212,'Retirement Calculator'!A:A,0),0),0)</f>
        <v>0</v>
      </c>
      <c r="K6212" s="444">
        <f t="shared" ca="1" si="203"/>
        <v>-371164242228339.5</v>
      </c>
      <c r="L6212" s="444">
        <f t="shared" ca="1" si="204"/>
        <v>-8.9450582377029824E+16</v>
      </c>
      <c r="M6212" s="460">
        <f t="shared" si="206"/>
        <v>0.05</v>
      </c>
      <c r="N6212" s="464">
        <f t="shared" si="207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05"/>
        <v>-8.9450582377029824E+16</v>
      </c>
      <c r="J6213" s="444">
        <f t="array" ref="J6213">IFERROR(INDEX('Retirement Calculator'!K:K,MATCH('Lorri 401b'!N6213,'Retirement Calculator'!A:A,0),0),0)</f>
        <v>0</v>
      </c>
      <c r="K6213" s="444">
        <f t="shared" ca="1" si="203"/>
        <v>-372710759904290.94</v>
      </c>
      <c r="L6213" s="444">
        <f t="shared" ca="1" si="204"/>
        <v>-8.9823293136934112E+16</v>
      </c>
      <c r="M6213" s="460">
        <f t="shared" si="206"/>
        <v>0.05</v>
      </c>
      <c r="N6213" s="464">
        <f t="shared" si="207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05"/>
        <v>-8.9823293136934112E+16</v>
      </c>
      <c r="J6214" s="444">
        <f t="array" ref="J6214">IFERROR(INDEX('Retirement Calculator'!K:K,MATCH('Lorri 401b'!N6214,'Retirement Calculator'!A:A,0),0),0)</f>
        <v>0</v>
      </c>
      <c r="K6214" s="444">
        <f t="shared" ca="1" si="203"/>
        <v>-374263721403892.13</v>
      </c>
      <c r="L6214" s="444">
        <f t="shared" ca="1" si="204"/>
        <v>-9.0197556858338E+16</v>
      </c>
      <c r="M6214" s="460">
        <f t="shared" si="206"/>
        <v>0.05</v>
      </c>
      <c r="N6214" s="464">
        <f t="shared" si="207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05"/>
        <v>-9.0197556858338E+16</v>
      </c>
      <c r="J6215" s="444">
        <f t="array" ref="J6215">IFERROR(INDEX('Retirement Calculator'!K:K,MATCH('Lorri 401b'!N6215,'Retirement Calculator'!A:A,0),0),0)</f>
        <v>0</v>
      </c>
      <c r="K6215" s="444">
        <f t="shared" ca="1" si="203"/>
        <v>-375823153576408.31</v>
      </c>
      <c r="L6215" s="444">
        <f t="shared" ca="1" si="204"/>
        <v>-9.0573380011914416E+16</v>
      </c>
      <c r="M6215" s="460">
        <f t="shared" si="206"/>
        <v>0.05</v>
      </c>
      <c r="N6215" s="464">
        <f t="shared" si="207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05"/>
        <v>-9.0573380011914416E+16</v>
      </c>
      <c r="J6216" s="444">
        <f t="array" ref="J6216">IFERROR(INDEX('Retirement Calculator'!K:K,MATCH('Lorri 401b'!N6216,'Retirement Calculator'!A:A,0),0),0)</f>
        <v>0</v>
      </c>
      <c r="K6216" s="444">
        <f t="shared" ca="1" si="203"/>
        <v>-377389083382976.75</v>
      </c>
      <c r="L6216" s="444">
        <f t="shared" ca="1" si="204"/>
        <v>-9.0950769095297392E+16</v>
      </c>
      <c r="M6216" s="460">
        <f t="shared" si="206"/>
        <v>0.05</v>
      </c>
      <c r="N6216" s="464">
        <f t="shared" si="207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05"/>
        <v>-9.0950769095297392E+16</v>
      </c>
      <c r="J6217" s="444">
        <f t="array" ref="J6217">IFERROR(INDEX('Retirement Calculator'!K:K,MATCH('Lorri 401b'!N6217,'Retirement Calculator'!A:A,0),0),0)</f>
        <v>0</v>
      </c>
      <c r="K6217" s="444">
        <f t="shared" ca="1" si="203"/>
        <v>-378961537897072.44</v>
      </c>
      <c r="L6217" s="444">
        <f t="shared" ca="1" si="204"/>
        <v>-9.1329730633194464E+16</v>
      </c>
      <c r="M6217" s="460">
        <f t="shared" si="206"/>
        <v>0.05</v>
      </c>
      <c r="N6217" s="464">
        <f t="shared" si="207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05"/>
        <v>-9.1329730633194464E+16</v>
      </c>
      <c r="J6218" s="444">
        <f t="array" ref="J6218">IFERROR(INDEX('Retirement Calculator'!K:K,MATCH('Lorri 401b'!N6218,'Retirement Calculator'!A:A,0),0),0)</f>
        <v>0</v>
      </c>
      <c r="K6218" s="444">
        <f t="shared" ca="1" si="203"/>
        <v>-380540544304976.94</v>
      </c>
      <c r="L6218" s="444">
        <f t="shared" ca="1" si="204"/>
        <v>-9.171027117749944E+16</v>
      </c>
      <c r="M6218" s="460">
        <f t="shared" si="206"/>
        <v>0.05</v>
      </c>
      <c r="N6218" s="464">
        <f t="shared" si="207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05"/>
        <v>-9.171027117749944E+16</v>
      </c>
      <c r="J6219" s="444">
        <f t="array" ref="J6219">IFERROR(INDEX('Retirement Calculator'!K:K,MATCH('Lorri 401b'!N6219,'Retirement Calculator'!A:A,0),0),0)</f>
        <v>0</v>
      </c>
      <c r="K6219" s="444">
        <f t="shared" ca="1" si="203"/>
        <v>-382126129906247.69</v>
      </c>
      <c r="L6219" s="444">
        <f t="shared" ca="1" si="204"/>
        <v>-9.209239730740568E+16</v>
      </c>
      <c r="M6219" s="460">
        <f t="shared" si="206"/>
        <v>0.05</v>
      </c>
      <c r="N6219" s="464">
        <f t="shared" si="207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05"/>
        <v>-9.209239730740568E+16</v>
      </c>
      <c r="J6220" s="444">
        <f t="array" ref="J6220">IFERROR(INDEX('Retirement Calculator'!K:K,MATCH('Lorri 401b'!N6220,'Retirement Calculator'!A:A,0),0),0)</f>
        <v>0</v>
      </c>
      <c r="K6220" s="444">
        <f t="shared" ca="1" si="203"/>
        <v>-383718322114190.31</v>
      </c>
      <c r="L6220" s="444">
        <f t="shared" ca="1" si="204"/>
        <v>-9.2476115629519872E+16</v>
      </c>
      <c r="M6220" s="460">
        <f t="shared" si="206"/>
        <v>0.05</v>
      </c>
      <c r="N6220" s="464">
        <f t="shared" si="207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05"/>
        <v>-9.2476115629519872E+16</v>
      </c>
      <c r="J6221" s="444">
        <f t="array" ref="J6221">IFERROR(INDEX('Retirement Calculator'!K:K,MATCH('Lorri 401b'!N6221,'Retirement Calculator'!A:A,0),0),0)</f>
        <v>0</v>
      </c>
      <c r="K6221" s="444">
        <f t="shared" ca="1" si="203"/>
        <v>-385317148456332.81</v>
      </c>
      <c r="L6221" s="444">
        <f t="shared" ca="1" si="204"/>
        <v>-9.2861432777976208E+16</v>
      </c>
      <c r="M6221" s="460">
        <f t="shared" si="206"/>
        <v>0.05</v>
      </c>
      <c r="N6221" s="464">
        <f t="shared" si="207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05"/>
        <v>-9.2861432777976208E+16</v>
      </c>
      <c r="J6222" s="444">
        <f t="array" ref="J6222">IFERROR(INDEX('Retirement Calculator'!K:K,MATCH('Lorri 401b'!N6222,'Retirement Calculator'!A:A,0),0),0)</f>
        <v>0</v>
      </c>
      <c r="K6222" s="444">
        <f t="shared" ca="1" si="203"/>
        <v>-386922636574900.88</v>
      </c>
      <c r="L6222" s="444">
        <f t="shared" ca="1" si="204"/>
        <v>-9.3248355414551104E+16</v>
      </c>
      <c r="M6222" s="460">
        <f t="shared" si="206"/>
        <v>0.05</v>
      </c>
      <c r="N6222" s="464">
        <f t="shared" si="207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05"/>
        <v>-9.3248355414551104E+16</v>
      </c>
      <c r="J6223" s="444">
        <f t="array" ref="J6223">IFERROR(INDEX('Retirement Calculator'!K:K,MATCH('Lorri 401b'!N6223,'Retirement Calculator'!A:A,0),0),0)</f>
        <v>0</v>
      </c>
      <c r="K6223" s="444">
        <f t="shared" ca="1" si="203"/>
        <v>-388534814227296.25</v>
      </c>
      <c r="L6223" s="444">
        <f t="shared" ca="1" si="204"/>
        <v>-9.36368902287784E+16</v>
      </c>
      <c r="M6223" s="460">
        <f t="shared" si="206"/>
        <v>0.05</v>
      </c>
      <c r="N6223" s="464">
        <f t="shared" si="207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05"/>
        <v>-9.36368902287784E+16</v>
      </c>
      <c r="J6224" s="444">
        <f t="array" ref="J6224">IFERROR(INDEX('Retirement Calculator'!K:K,MATCH('Lorri 401b'!N6224,'Retirement Calculator'!A:A,0),0),0)</f>
        <v>0</v>
      </c>
      <c r="K6224" s="444">
        <f t="shared" ca="1" si="203"/>
        <v>-390153709286576.69</v>
      </c>
      <c r="L6224" s="444">
        <f t="shared" ca="1" si="204"/>
        <v>-9.4027043938064976E+16</v>
      </c>
      <c r="M6224" s="460">
        <f t="shared" si="206"/>
        <v>0.05</v>
      </c>
      <c r="N6224" s="464">
        <f t="shared" si="207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05"/>
        <v>-9.4027043938064976E+16</v>
      </c>
      <c r="J6225" s="444">
        <f t="array" ref="J6225">IFERROR(INDEX('Retirement Calculator'!K:K,MATCH('Lorri 401b'!N6225,'Retirement Calculator'!A:A,0),0),0)</f>
        <v>0</v>
      </c>
      <c r="K6225" s="444">
        <f t="shared" ca="1" si="203"/>
        <v>-391779349741937.38</v>
      </c>
      <c r="L6225" s="444">
        <f t="shared" ca="1" si="204"/>
        <v>-9.4418823287806912E+16</v>
      </c>
      <c r="M6225" s="460">
        <f t="shared" si="206"/>
        <v>0.05</v>
      </c>
      <c r="N6225" s="464">
        <f t="shared" si="207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05"/>
        <v>-9.4418823287806912E+16</v>
      </c>
      <c r="J6226" s="444">
        <f t="array" ref="J6226">IFERROR(INDEX('Retirement Calculator'!K:K,MATCH('Lorri 401b'!N6226,'Retirement Calculator'!A:A,0),0),0)</f>
        <v>0</v>
      </c>
      <c r="K6226" s="444">
        <f t="shared" ca="1" si="203"/>
        <v>-393411763699195.44</v>
      </c>
      <c r="L6226" s="444">
        <f t="shared" ca="1" si="204"/>
        <v>-9.4812235051506112E+16</v>
      </c>
      <c r="M6226" s="460">
        <f t="shared" si="206"/>
        <v>0.05</v>
      </c>
      <c r="N6226" s="464">
        <f t="shared" si="207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05"/>
        <v>-9.4812235051506112E+16</v>
      </c>
      <c r="J6227" s="444">
        <f t="array" ref="J6227">IFERROR(INDEX('Retirement Calculator'!K:K,MATCH('Lorri 401b'!N6227,'Retirement Calculator'!A:A,0),0),0)</f>
        <v>0</v>
      </c>
      <c r="K6227" s="444">
        <f t="shared" ca="1" si="203"/>
        <v>-395050979381275.44</v>
      </c>
      <c r="L6227" s="444">
        <f t="shared" ca="1" si="204"/>
        <v>-9.5207286030887392E+16</v>
      </c>
      <c r="M6227" s="460">
        <f t="shared" si="206"/>
        <v>0.05</v>
      </c>
      <c r="N6227" s="464">
        <f t="shared" si="207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05"/>
        <v>-9.5207286030887392E+16</v>
      </c>
      <c r="J6228" s="444">
        <f t="array" ref="J6228">IFERROR(INDEX('Retirement Calculator'!K:K,MATCH('Lorri 401b'!N6228,'Retirement Calculator'!A:A,0),0),0)</f>
        <v>0</v>
      </c>
      <c r="K6228" s="444">
        <f t="shared" ca="1" si="203"/>
        <v>-396697025128697.44</v>
      </c>
      <c r="L6228" s="444">
        <f t="shared" ca="1" si="204"/>
        <v>-9.5603983056016096E+16</v>
      </c>
      <c r="M6228" s="460">
        <f t="shared" si="206"/>
        <v>0.05</v>
      </c>
      <c r="N6228" s="464">
        <f t="shared" si="207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05"/>
        <v>-9.5603983056016096E+16</v>
      </c>
      <c r="J6229" s="444">
        <f t="array" ref="J6229">IFERROR(INDEX('Retirement Calculator'!K:K,MATCH('Lorri 401b'!N6229,'Retirement Calculator'!A:A,0),0),0)</f>
        <v>0</v>
      </c>
      <c r="K6229" s="444">
        <f t="shared" ca="1" si="203"/>
        <v>-398349929400067.06</v>
      </c>
      <c r="L6229" s="444">
        <f t="shared" ca="1" si="204"/>
        <v>-9.600233298541616E+16</v>
      </c>
      <c r="M6229" s="460">
        <f t="shared" si="206"/>
        <v>0.05</v>
      </c>
      <c r="N6229" s="464">
        <f t="shared" si="207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05"/>
        <v>-9.600233298541616E+16</v>
      </c>
      <c r="J6230" s="444">
        <f t="array" ref="J6230">IFERROR(INDEX('Retirement Calculator'!K:K,MATCH('Lorri 401b'!N6230,'Retirement Calculator'!A:A,0),0),0)</f>
        <v>0</v>
      </c>
      <c r="K6230" s="444">
        <f t="shared" ca="1" si="203"/>
        <v>-400009720772567.31</v>
      </c>
      <c r="L6230" s="444">
        <f t="shared" ca="1" si="204"/>
        <v>-9.640234270618872E+16</v>
      </c>
      <c r="M6230" s="460">
        <f t="shared" si="206"/>
        <v>0.05</v>
      </c>
      <c r="N6230" s="464">
        <f t="shared" si="207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05"/>
        <v>-9.640234270618872E+16</v>
      </c>
      <c r="J6231" s="444">
        <f t="array" ref="J6231">IFERROR(INDEX('Retirement Calculator'!K:K,MATCH('Lorri 401b'!N6231,'Retirement Calculator'!A:A,0),0),0)</f>
        <v>0</v>
      </c>
      <c r="K6231" s="444">
        <f t="shared" ca="1" si="203"/>
        <v>-401676427942453</v>
      </c>
      <c r="L6231" s="444">
        <f t="shared" ca="1" si="204"/>
        <v>-9.6804019134131168E+16</v>
      </c>
      <c r="M6231" s="460">
        <f t="shared" si="206"/>
        <v>0.05</v>
      </c>
      <c r="N6231" s="464">
        <f t="shared" si="207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05"/>
        <v>-9.6804019134131168E+16</v>
      </c>
      <c r="J6232" s="444">
        <f t="array" ref="J6232">IFERROR(INDEX('Retirement Calculator'!K:K,MATCH('Lorri 401b'!N6232,'Retirement Calculator'!A:A,0),0),0)</f>
        <v>0</v>
      </c>
      <c r="K6232" s="444">
        <f t="shared" ca="1" si="203"/>
        <v>-403350079725546.5</v>
      </c>
      <c r="L6232" s="444">
        <f t="shared" ca="1" si="204"/>
        <v>-9.720736921385672E+16</v>
      </c>
      <c r="M6232" s="460">
        <f t="shared" si="206"/>
        <v>0.05</v>
      </c>
      <c r="N6232" s="464">
        <f t="shared" si="207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05"/>
        <v>-9.720736921385672E+16</v>
      </c>
      <c r="J6233" s="444">
        <f t="array" ref="J6233">IFERROR(INDEX('Retirement Calculator'!K:K,MATCH('Lorri 401b'!N6233,'Retirement Calculator'!A:A,0),0),0)</f>
        <v>0</v>
      </c>
      <c r="K6233" s="444">
        <f t="shared" ca="1" si="203"/>
        <v>-405030705057736.31</v>
      </c>
      <c r="L6233" s="444">
        <f t="shared" ca="1" si="204"/>
        <v>-9.7612399918914464E+16</v>
      </c>
      <c r="M6233" s="460">
        <f t="shared" si="206"/>
        <v>0.05</v>
      </c>
      <c r="N6233" s="464">
        <f t="shared" si="207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05"/>
        <v>-9.7612399918914464E+16</v>
      </c>
      <c r="J6234" s="444">
        <f t="array" ref="J6234">IFERROR(INDEX('Retirement Calculator'!K:K,MATCH('Lorri 401b'!N6234,'Retirement Calculator'!A:A,0),0),0)</f>
        <v>0</v>
      </c>
      <c r="K6234" s="444">
        <f t="shared" ca="1" si="203"/>
        <v>-406718332995476.94</v>
      </c>
      <c r="L6234" s="444">
        <f t="shared" ca="1" si="204"/>
        <v>-9.8019118251909936E+16</v>
      </c>
      <c r="M6234" s="460">
        <f t="shared" si="206"/>
        <v>0.05</v>
      </c>
      <c r="N6234" s="464">
        <f t="shared" si="207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05"/>
        <v>-9.8019118251909936E+16</v>
      </c>
      <c r="J6235" s="444">
        <f t="array" ref="J6235">IFERROR(INDEX('Retirement Calculator'!K:K,MATCH('Lorri 401b'!N6235,'Retirement Calculator'!A:A,0),0),0)</f>
        <v>0</v>
      </c>
      <c r="K6235" s="444">
        <f t="shared" ca="1" si="203"/>
        <v>-408412992716291.38</v>
      </c>
      <c r="L6235" s="444">
        <f t="shared" ca="1" si="204"/>
        <v>-9.8427531244626224E+16</v>
      </c>
      <c r="M6235" s="460">
        <f t="shared" si="206"/>
        <v>0.05</v>
      </c>
      <c r="N6235" s="464">
        <f t="shared" si="207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05"/>
        <v>-9.8427531244626224E+16</v>
      </c>
      <c r="J6236" s="444">
        <f t="array" ref="J6236">IFERROR(INDEX('Retirement Calculator'!K:K,MATCH('Lorri 401b'!N6236,'Retirement Calculator'!A:A,0),0),0)</f>
        <v>0</v>
      </c>
      <c r="K6236" s="444">
        <f t="shared" ca="1" si="203"/>
        <v>-410114713519275.94</v>
      </c>
      <c r="L6236" s="444">
        <f t="shared" ca="1" si="204"/>
        <v>-9.8837645958145504E+16</v>
      </c>
      <c r="M6236" s="460">
        <f t="shared" si="206"/>
        <v>0.05</v>
      </c>
      <c r="N6236" s="464">
        <f t="shared" si="207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05"/>
        <v>-9.8837645958145504E+16</v>
      </c>
      <c r="J6237" s="444">
        <f t="array" ref="J6237">IFERROR(INDEX('Retirement Calculator'!K:K,MATCH('Lorri 401b'!N6237,'Retirement Calculator'!A:A,0),0),0)</f>
        <v>0</v>
      </c>
      <c r="K6237" s="444">
        <f t="shared" ca="1" si="203"/>
        <v>-411823524825606.25</v>
      </c>
      <c r="L6237" s="444">
        <f t="shared" ca="1" si="204"/>
        <v>-9.9249469482971104E+16</v>
      </c>
      <c r="M6237" s="460">
        <f t="shared" si="206"/>
        <v>0.05</v>
      </c>
      <c r="N6237" s="464">
        <f t="shared" si="207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05"/>
        <v>-9.9249469482971104E+16</v>
      </c>
      <c r="J6238" s="444">
        <f t="array" ref="J6238">IFERROR(INDEX('Retirement Calculator'!K:K,MATCH('Lorri 401b'!N6238,'Retirement Calculator'!A:A,0),0),0)</f>
        <v>0</v>
      </c>
      <c r="K6238" s="444">
        <f t="shared" ca="1" si="203"/>
        <v>-413539456179046.25</v>
      </c>
      <c r="L6238" s="444">
        <f t="shared" ca="1" si="204"/>
        <v>-9.9663008939150144E+16</v>
      </c>
      <c r="M6238" s="460">
        <f t="shared" si="206"/>
        <v>0.05</v>
      </c>
      <c r="N6238" s="464">
        <f t="shared" si="207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05"/>
        <v>-9.9663008939150144E+16</v>
      </c>
      <c r="J6239" s="444">
        <f t="array" ref="J6239">IFERROR(INDEX('Retirement Calculator'!K:K,MATCH('Lorri 401b'!N6239,'Retirement Calculator'!A:A,0),0),0)</f>
        <v>0</v>
      </c>
      <c r="K6239" s="444">
        <f t="shared" ca="1" si="203"/>
        <v>-415262537246458.94</v>
      </c>
      <c r="L6239" s="444">
        <f t="shared" ca="1" si="204"/>
        <v>-1.0007827147639661E+17</v>
      </c>
      <c r="M6239" s="460">
        <f t="shared" si="206"/>
        <v>0.05</v>
      </c>
      <c r="N6239" s="464">
        <f t="shared" si="207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05"/>
        <v>-1.0007827147639661E+17</v>
      </c>
      <c r="J6240" s="444">
        <f t="array" ref="J6240">IFERROR(INDEX('Retirement Calculator'!K:K,MATCH('Lorri 401b'!N6240,'Retirement Calculator'!A:A,0),0),0)</f>
        <v>0</v>
      </c>
      <c r="K6240" s="444">
        <f t="shared" ca="1" si="203"/>
        <v>-416992797818319.19</v>
      </c>
      <c r="L6240" s="444">
        <f t="shared" ca="1" si="204"/>
        <v>-1.0049526427421493E+17</v>
      </c>
      <c r="M6240" s="460">
        <f t="shared" si="206"/>
        <v>0.05</v>
      </c>
      <c r="N6240" s="464">
        <f t="shared" si="207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05"/>
        <v>-1.0049526427421493E+17</v>
      </c>
      <c r="J6241" s="444">
        <f t="array" ref="J6241">IFERROR(INDEX('Retirement Calculator'!K:K,MATCH('Lorri 401b'!N6241,'Retirement Calculator'!A:A,0),0),0)</f>
        <v>0</v>
      </c>
      <c r="K6241" s="444">
        <f t="shared" ca="1" si="203"/>
        <v>-418730267809228.88</v>
      </c>
      <c r="L6241" s="444">
        <f t="shared" ca="1" si="204"/>
        <v>-1.0091399454202416E+17</v>
      </c>
      <c r="M6241" s="460">
        <f t="shared" si="206"/>
        <v>0.05</v>
      </c>
      <c r="N6241" s="464">
        <f t="shared" si="207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05"/>
        <v>-1.0091399454202416E+17</v>
      </c>
      <c r="J6242" s="444">
        <f t="array" ref="J6242">IFERROR(INDEX('Retirement Calculator'!K:K,MATCH('Lorri 401b'!N6242,'Retirement Calculator'!A:A,0),0),0)</f>
        <v>0</v>
      </c>
      <c r="K6242" s="444">
        <f t="shared" ca="1" si="203"/>
        <v>-420474977258434</v>
      </c>
      <c r="L6242" s="444">
        <f t="shared" ca="1" si="204"/>
        <v>-1.0133446951928259E+17</v>
      </c>
      <c r="M6242" s="460">
        <f t="shared" si="206"/>
        <v>0.05</v>
      </c>
      <c r="N6242" s="464">
        <f t="shared" si="207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05"/>
        <v>-1.0133446951928259E+17</v>
      </c>
      <c r="J6243" s="444">
        <f t="array" ref="J6243">IFERROR(INDEX('Retirement Calculator'!K:K,MATCH('Lorri 401b'!N6243,'Retirement Calculator'!A:A,0),0),0)</f>
        <v>0</v>
      </c>
      <c r="K6243" s="444">
        <f t="shared" ca="1" si="203"/>
        <v>-422226956330344.13</v>
      </c>
      <c r="L6243" s="444">
        <f t="shared" ca="1" si="204"/>
        <v>-1.0175669647561294E+17</v>
      </c>
      <c r="M6243" s="460">
        <f t="shared" si="206"/>
        <v>0.05</v>
      </c>
      <c r="N6243" s="464">
        <f t="shared" si="207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05"/>
        <v>-1.0175669647561294E+17</v>
      </c>
      <c r="J6244" s="444">
        <f t="array" ref="J6244">IFERROR(INDEX('Retirement Calculator'!K:K,MATCH('Lorri 401b'!N6244,'Retirement Calculator'!A:A,0),0),0)</f>
        <v>0</v>
      </c>
      <c r="K6244" s="444">
        <f t="shared" ca="1" si="203"/>
        <v>-423986235315053.94</v>
      </c>
      <c r="L6244" s="444">
        <f t="shared" ca="1" si="204"/>
        <v>-1.02180682710928E+17</v>
      </c>
      <c r="M6244" s="460">
        <f t="shared" si="206"/>
        <v>0.05</v>
      </c>
      <c r="N6244" s="464">
        <f t="shared" si="207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05"/>
        <v>-1.02180682710928E+17</v>
      </c>
      <c r="J6245" s="444">
        <f t="array" ref="J6245">IFERROR(INDEX('Retirement Calculator'!K:K,MATCH('Lorri 401b'!N6245,'Retirement Calculator'!A:A,0),0),0)</f>
        <v>0</v>
      </c>
      <c r="K6245" s="444">
        <f t="shared" ca="1" si="203"/>
        <v>-425752844628866.69</v>
      </c>
      <c r="L6245" s="444">
        <f t="shared" ca="1" si="204"/>
        <v>-1.0260643555555686E+17</v>
      </c>
      <c r="M6245" s="460">
        <f t="shared" si="206"/>
        <v>0.05</v>
      </c>
      <c r="N6245" s="464">
        <f t="shared" si="207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05"/>
        <v>-1.0260643555555686E+17</v>
      </c>
      <c r="J6246" s="444">
        <f t="array" ref="J6246">IFERROR(INDEX('Retirement Calculator'!K:K,MATCH('Lorri 401b'!N6246,'Retirement Calculator'!A:A,0),0),0)</f>
        <v>0</v>
      </c>
      <c r="K6246" s="444">
        <f t="shared" ca="1" si="203"/>
        <v>-427526814814820.25</v>
      </c>
      <c r="L6246" s="444">
        <f t="shared" ca="1" si="204"/>
        <v>-1.0303396237037168E+17</v>
      </c>
      <c r="M6246" s="460">
        <f t="shared" si="206"/>
        <v>0.05</v>
      </c>
      <c r="N6246" s="464">
        <f t="shared" si="207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05"/>
        <v>-1.0303396237037168E+17</v>
      </c>
      <c r="J6247" s="444">
        <f t="array" ref="J6247">IFERROR(INDEX('Retirement Calculator'!K:K,MATCH('Lorri 401b'!N6247,'Retirement Calculator'!A:A,0),0),0)</f>
        <v>0</v>
      </c>
      <c r="K6247" s="444">
        <f t="shared" ca="1" si="203"/>
        <v>-429308176543215.31</v>
      </c>
      <c r="L6247" s="444">
        <f t="shared" ca="1" si="204"/>
        <v>-1.034632705469149E+17</v>
      </c>
      <c r="M6247" s="460">
        <f t="shared" si="206"/>
        <v>0.05</v>
      </c>
      <c r="N6247" s="464">
        <f t="shared" si="207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05"/>
        <v>-1.034632705469149E+17</v>
      </c>
      <c r="J6248" s="444">
        <f t="array" ref="J6248">IFERROR(INDEX('Retirement Calculator'!K:K,MATCH('Lorri 401b'!N6248,'Retirement Calculator'!A:A,0),0),0)</f>
        <v>0</v>
      </c>
      <c r="K6248" s="444">
        <f t="shared" ca="1" si="203"/>
        <v>-431096960612145.38</v>
      </c>
      <c r="L6248" s="444">
        <f t="shared" ca="1" si="204"/>
        <v>-1.0389436750752704E+17</v>
      </c>
      <c r="M6248" s="460">
        <f t="shared" si="206"/>
        <v>0.05</v>
      </c>
      <c r="N6248" s="464">
        <f t="shared" si="207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05"/>
        <v>-1.0389436750752704E+17</v>
      </c>
      <c r="J6249" s="444">
        <f t="array" ref="J6249">IFERROR(INDEX('Retirement Calculator'!K:K,MATCH('Lorri 401b'!N6249,'Retirement Calculator'!A:A,0),0),0)</f>
        <v>0</v>
      </c>
      <c r="K6249" s="444">
        <f t="shared" ca="1" si="203"/>
        <v>-432893197948029.31</v>
      </c>
      <c r="L6249" s="444">
        <f t="shared" ca="1" si="204"/>
        <v>-1.0432726070547507E+17</v>
      </c>
      <c r="M6249" s="460">
        <f t="shared" si="206"/>
        <v>0.05</v>
      </c>
      <c r="N6249" s="464">
        <f t="shared" si="207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05"/>
        <v>-1.0432726070547507E+17</v>
      </c>
      <c r="J6250" s="444">
        <f t="array" ref="J6250">IFERROR(INDEX('Retirement Calculator'!K:K,MATCH('Lorri 401b'!N6250,'Retirement Calculator'!A:A,0),0),0)</f>
        <v>0</v>
      </c>
      <c r="K6250" s="444">
        <f t="shared" ca="1" si="203"/>
        <v>-434696919606146.13</v>
      </c>
      <c r="L6250" s="444">
        <f t="shared" ca="1" si="204"/>
        <v>-1.0476195762508122E+17</v>
      </c>
      <c r="M6250" s="460">
        <f t="shared" si="206"/>
        <v>0.05</v>
      </c>
      <c r="N6250" s="464">
        <f t="shared" si="207"/>
        <v>241275</v>
      </c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000"/>
  <sheetViews>
    <sheetView workbookViewId="0">
      <selection activeCell="D17" sqref="D17"/>
    </sheetView>
  </sheetViews>
  <sheetFormatPr defaultColWidth="14.44140625" defaultRowHeight="15" customHeight="1" x14ac:dyDescent="0.3"/>
  <cols>
    <col min="1" max="1" width="4" customWidth="1"/>
    <col min="2" max="2" width="5" customWidth="1"/>
    <col min="3" max="3" width="11" customWidth="1"/>
    <col min="4" max="4" width="12" customWidth="1"/>
    <col min="5" max="5" width="11" customWidth="1"/>
    <col min="6" max="6" width="10" customWidth="1"/>
    <col min="7" max="7" width="11" customWidth="1"/>
    <col min="8" max="8" width="10" customWidth="1"/>
    <col min="9" max="11" width="11" customWidth="1"/>
    <col min="12" max="12" width="10" customWidth="1"/>
    <col min="13" max="13" width="12" customWidth="1"/>
  </cols>
  <sheetData>
    <row r="1" spans="1:13" ht="11.25" customHeight="1" x14ac:dyDescent="0.3">
      <c r="A1" s="465"/>
      <c r="B1" s="465"/>
      <c r="C1" s="466" t="s">
        <v>668</v>
      </c>
      <c r="D1" s="466">
        <v>3063</v>
      </c>
      <c r="E1" s="295"/>
      <c r="F1" s="295"/>
      <c r="G1" s="295"/>
      <c r="H1" s="295"/>
      <c r="I1" s="295"/>
      <c r="J1" s="295"/>
      <c r="K1" s="295"/>
      <c r="L1" s="295"/>
      <c r="M1" s="295" t="s">
        <v>669</v>
      </c>
    </row>
    <row r="2" spans="1:13" ht="11.25" customHeight="1" x14ac:dyDescent="0.3">
      <c r="A2" s="465"/>
      <c r="B2" s="465"/>
      <c r="C2" s="466" t="s">
        <v>670</v>
      </c>
      <c r="D2" s="466">
        <v>26</v>
      </c>
      <c r="E2" s="295"/>
      <c r="F2" s="295"/>
      <c r="G2" s="295"/>
      <c r="H2" s="295"/>
      <c r="I2" s="295"/>
      <c r="J2" s="295"/>
      <c r="K2" s="295"/>
      <c r="L2" s="295"/>
      <c r="M2" s="405">
        <v>45442</v>
      </c>
    </row>
    <row r="3" spans="1:13" ht="11.25" customHeight="1" x14ac:dyDescent="0.3">
      <c r="A3" s="465"/>
      <c r="B3" s="465"/>
      <c r="C3" s="466" t="s">
        <v>671</v>
      </c>
      <c r="D3" s="401">
        <f>D1/D2</f>
        <v>117.80769230769231</v>
      </c>
      <c r="E3" s="295"/>
      <c r="F3" s="295"/>
      <c r="G3" s="295"/>
      <c r="H3" s="295"/>
      <c r="I3" s="295"/>
      <c r="J3" s="295"/>
      <c r="K3" s="295"/>
      <c r="L3" s="295"/>
      <c r="M3" s="405"/>
    </row>
    <row r="4" spans="1:13" ht="11.25" customHeight="1" x14ac:dyDescent="0.3">
      <c r="A4" s="465"/>
      <c r="B4" s="465"/>
      <c r="C4" s="466"/>
      <c r="D4" s="295"/>
      <c r="E4" s="295"/>
      <c r="F4" s="295"/>
      <c r="G4" s="295"/>
      <c r="H4" s="295"/>
      <c r="I4" s="295"/>
      <c r="J4" s="295"/>
      <c r="K4" s="295"/>
      <c r="L4" s="295"/>
      <c r="M4" s="295"/>
    </row>
    <row r="5" spans="1:13" ht="11.25" customHeight="1" x14ac:dyDescent="0.3">
      <c r="A5" s="465" t="s">
        <v>647</v>
      </c>
      <c r="B5" s="465" t="s">
        <v>661</v>
      </c>
      <c r="C5" s="466" t="s">
        <v>672</v>
      </c>
      <c r="D5" s="572" t="s">
        <v>673</v>
      </c>
      <c r="E5" s="561"/>
      <c r="F5" s="572" t="s">
        <v>674</v>
      </c>
      <c r="G5" s="561"/>
      <c r="H5" s="572" t="s">
        <v>675</v>
      </c>
      <c r="I5" s="561"/>
      <c r="J5" s="572" t="s">
        <v>676</v>
      </c>
      <c r="K5" s="561"/>
      <c r="L5" s="295"/>
      <c r="M5" s="295"/>
    </row>
    <row r="6" spans="1:13" ht="11.25" customHeight="1" x14ac:dyDescent="0.3">
      <c r="A6" s="465"/>
      <c r="B6" s="465"/>
      <c r="C6" s="466"/>
      <c r="D6" s="188" t="s">
        <v>677</v>
      </c>
      <c r="E6" s="188" t="s">
        <v>162</v>
      </c>
      <c r="F6" s="188" t="s">
        <v>677</v>
      </c>
      <c r="G6" s="188" t="s">
        <v>162</v>
      </c>
      <c r="H6" s="188" t="s">
        <v>677</v>
      </c>
      <c r="I6" s="188" t="s">
        <v>162</v>
      </c>
      <c r="J6" s="188" t="s">
        <v>677</v>
      </c>
      <c r="K6" s="188" t="s">
        <v>162</v>
      </c>
      <c r="L6" s="295"/>
      <c r="M6" s="295"/>
    </row>
    <row r="7" spans="1:13" ht="11.25" customHeight="1" x14ac:dyDescent="0.3">
      <c r="A7" s="465">
        <v>42</v>
      </c>
      <c r="B7" s="465">
        <v>2023</v>
      </c>
      <c r="C7" s="466">
        <v>24</v>
      </c>
      <c r="D7" s="467">
        <v>7111.8</v>
      </c>
      <c r="E7" s="468">
        <f>((((D1/D2)*C7)/360)*0.025)*D7</f>
        <v>1396.3745769230768</v>
      </c>
      <c r="F7" s="467">
        <v>8186.1</v>
      </c>
      <c r="G7" s="468">
        <f>((((D1/D2)*C7)/360)*0.025)*F7</f>
        <v>1607.30925</v>
      </c>
      <c r="H7" s="467">
        <v>9248.7000000000007</v>
      </c>
      <c r="I7" s="468">
        <f>((((D1/D2)*C7)/360)*0.025)*H7</f>
        <v>1815.9466730769232</v>
      </c>
      <c r="J7" s="469">
        <v>10205.700000000001</v>
      </c>
      <c r="K7" s="470">
        <f>((((D1/D2)*C7)/360)*0.025)*J7</f>
        <v>2003.8499423076923</v>
      </c>
      <c r="L7" s="295"/>
      <c r="M7" s="295"/>
    </row>
    <row r="8" spans="1:13" ht="11.25" customHeight="1" x14ac:dyDescent="0.3">
      <c r="A8" s="465">
        <v>43</v>
      </c>
      <c r="B8" s="465">
        <v>2024</v>
      </c>
      <c r="C8" s="466">
        <v>25</v>
      </c>
      <c r="D8" s="467">
        <v>7111.8</v>
      </c>
      <c r="E8" s="468">
        <f>((((D1/D2)*C8)/360)*0.025)*D8</f>
        <v>1454.5568509615384</v>
      </c>
      <c r="F8" s="467">
        <v>8186.1</v>
      </c>
      <c r="G8" s="468">
        <f>((((D1/D2)*C8)/360)*0.025)*F8</f>
        <v>1674.28046875</v>
      </c>
      <c r="H8" s="467">
        <v>9248.7000000000007</v>
      </c>
      <c r="I8" s="468">
        <f>((((D1/D2)*C8)/360)*0.025)*H8</f>
        <v>1891.6111177884616</v>
      </c>
      <c r="J8" s="469">
        <v>10205.700000000001</v>
      </c>
      <c r="K8" s="470">
        <f>((((D1/D2)*C8)/360)*0.025)*J8</f>
        <v>2087.3436899038461</v>
      </c>
      <c r="L8" s="295"/>
      <c r="M8" s="295"/>
    </row>
    <row r="9" spans="1:13" ht="11.25" customHeight="1" x14ac:dyDescent="0.3">
      <c r="A9" s="465">
        <v>44</v>
      </c>
      <c r="B9" s="465">
        <v>2025</v>
      </c>
      <c r="C9" s="466">
        <v>26</v>
      </c>
      <c r="D9" s="467">
        <v>7111.8</v>
      </c>
      <c r="E9" s="468">
        <f>((((D1/D2)*C9)/360)*0.025)*D9</f>
        <v>1512.7391250000001</v>
      </c>
      <c r="F9" s="467">
        <v>8447.1</v>
      </c>
      <c r="G9" s="468">
        <f>((((D1/D2)*C9)/360)*0.025)*F9</f>
        <v>1796.7685625000001</v>
      </c>
      <c r="H9" s="467">
        <v>9629.7000000000007</v>
      </c>
      <c r="I9" s="468">
        <f>((((D1/D2)*C9)/360)*0.025)*H9</f>
        <v>2048.3174375000003</v>
      </c>
      <c r="J9" s="469">
        <v>10597.2</v>
      </c>
      <c r="K9" s="470">
        <f>((((D1/D2)*C9)/360)*0.025)*J9</f>
        <v>2254.1127500000002</v>
      </c>
      <c r="L9" s="295"/>
      <c r="M9" s="295"/>
    </row>
    <row r="10" spans="1:13" ht="11.25" customHeight="1" x14ac:dyDescent="0.3">
      <c r="A10" s="465">
        <v>45</v>
      </c>
      <c r="B10" s="465">
        <v>2026</v>
      </c>
      <c r="C10" s="466">
        <v>27</v>
      </c>
      <c r="D10" s="467">
        <v>7111.8</v>
      </c>
      <c r="E10" s="468">
        <f>((((D1/D2)*C10)/360)*0.025)*D10</f>
        <v>1570.9213990384617</v>
      </c>
      <c r="F10" s="467">
        <v>8447.1</v>
      </c>
      <c r="G10" s="468">
        <f>((((D1/D2)*C10)/360)*0.025)*F10</f>
        <v>1865.875045673077</v>
      </c>
      <c r="H10" s="467">
        <v>9629.7000000000007</v>
      </c>
      <c r="I10" s="468">
        <f>((((D1/D2)*C10)/360)*0.025)*H10</f>
        <v>2127.0988774038465</v>
      </c>
      <c r="J10" s="469">
        <v>10597.2</v>
      </c>
      <c r="K10" s="470">
        <f>((((D1/D2)*C10)/360)*0.025)*J10</f>
        <v>2340.8093942307696</v>
      </c>
      <c r="L10" s="295"/>
      <c r="M10" s="295"/>
    </row>
    <row r="11" spans="1:13" ht="11.25" customHeight="1" x14ac:dyDescent="0.3">
      <c r="A11" s="465">
        <v>46</v>
      </c>
      <c r="B11" s="465">
        <v>2027</v>
      </c>
      <c r="C11" s="466">
        <v>28</v>
      </c>
      <c r="D11" s="467">
        <v>7111.8</v>
      </c>
      <c r="E11" s="468">
        <f>((((D1/D2)*C11)/360)*0.025)*D11</f>
        <v>1629.1036730769231</v>
      </c>
      <c r="F11" s="467">
        <v>8447.1</v>
      </c>
      <c r="G11" s="468">
        <f>((((D1/D2)*C11)/360)*0.025)*F11</f>
        <v>1934.9815288461541</v>
      </c>
      <c r="H11" s="467">
        <v>9629.7000000000007</v>
      </c>
      <c r="I11" s="468">
        <f>((((D1/D2)*C11)/360)*0.025)*H11</f>
        <v>2205.8803173076926</v>
      </c>
      <c r="J11" s="469">
        <v>10597.2</v>
      </c>
      <c r="K11" s="470">
        <f>((((D1/D2)*C11)/360)*0.025)*J11</f>
        <v>2427.5060384615385</v>
      </c>
      <c r="L11" s="295"/>
      <c r="M11" s="295"/>
    </row>
    <row r="12" spans="1:13" ht="11.25" customHeight="1" x14ac:dyDescent="0.3">
      <c r="A12" s="465">
        <v>47</v>
      </c>
      <c r="B12" s="465">
        <v>2028</v>
      </c>
      <c r="C12" s="466">
        <v>29</v>
      </c>
      <c r="D12" s="467">
        <v>7111.8</v>
      </c>
      <c r="E12" s="468">
        <f>((((D1/D2)*C12)/360)*0.025)*D12</f>
        <v>1687.2859471153845</v>
      </c>
      <c r="F12" s="467">
        <v>8447.1</v>
      </c>
      <c r="G12" s="468">
        <f>((((D1/D2)*C12)/360)*0.025)*F12</f>
        <v>2004.0880120192307</v>
      </c>
      <c r="H12" s="467">
        <v>9629.7000000000007</v>
      </c>
      <c r="I12" s="468">
        <f>((((D1/D2)*C12)/360)*0.025)*H12</f>
        <v>2284.6617572115383</v>
      </c>
      <c r="J12" s="469">
        <v>10597.2</v>
      </c>
      <c r="K12" s="470">
        <f>((((D1/D2)*C12)/360)*0.025)*J12</f>
        <v>2514.2026826923079</v>
      </c>
      <c r="L12" s="295"/>
      <c r="M12" s="295"/>
    </row>
    <row r="13" spans="1:13" ht="11.25" customHeight="1" x14ac:dyDescent="0.3">
      <c r="A13" s="465">
        <v>48</v>
      </c>
      <c r="B13" s="465">
        <v>2029</v>
      </c>
      <c r="C13" s="466">
        <v>30</v>
      </c>
      <c r="D13" s="467">
        <v>7111.8</v>
      </c>
      <c r="E13" s="468">
        <f>((((D1/D2)*C13)/360)*0.025)*D13</f>
        <v>1745.4682211538461</v>
      </c>
      <c r="F13" s="467">
        <v>8447.1</v>
      </c>
      <c r="G13" s="468">
        <f>((((D1/D2)*C13)/360)*0.025)*F13</f>
        <v>2073.1944951923078</v>
      </c>
      <c r="H13" s="467">
        <v>9821.7000000000007</v>
      </c>
      <c r="I13" s="468">
        <f>((((D1/D2)*C13)/360)*0.025)*H13</f>
        <v>2410.5662740384614</v>
      </c>
      <c r="J13" s="469">
        <v>11128.2</v>
      </c>
      <c r="K13" s="470">
        <f>((((D1/D2)*C13)/360)*0.025)*J13</f>
        <v>2731.2240865384615</v>
      </c>
      <c r="L13" s="295"/>
      <c r="M13" s="295"/>
    </row>
    <row r="14" spans="1:13" ht="11.25" customHeight="1" x14ac:dyDescent="0.3">
      <c r="A14" s="465">
        <v>49</v>
      </c>
      <c r="B14" s="465">
        <v>2030</v>
      </c>
      <c r="C14" s="466">
        <v>31</v>
      </c>
      <c r="D14" s="467">
        <v>7111.8</v>
      </c>
      <c r="E14" s="468">
        <f>((((D1/D2)*C14)/360)*0.025)*D14</f>
        <v>1803.6504951923077</v>
      </c>
      <c r="F14" s="467">
        <v>8447.1</v>
      </c>
      <c r="G14" s="468">
        <f>((((D1/D2)*C14)/360)*0.025)*F14</f>
        <v>2142.3009783653847</v>
      </c>
      <c r="H14" s="467">
        <v>9821.7000000000007</v>
      </c>
      <c r="I14" s="468">
        <f>((((D1/D2)*C14)/360)*0.025)*H14</f>
        <v>2490.9184831730772</v>
      </c>
      <c r="J14" s="469">
        <v>11128.2</v>
      </c>
      <c r="K14" s="470">
        <f>((((D1/D2)*C14)/360)*0.025)*J14</f>
        <v>2822.264889423077</v>
      </c>
      <c r="L14" s="295"/>
      <c r="M14" s="295"/>
    </row>
    <row r="15" spans="1:13" ht="11.25" customHeight="1" x14ac:dyDescent="0.3">
      <c r="A15" s="465">
        <v>50</v>
      </c>
      <c r="B15" s="465">
        <v>2031</v>
      </c>
      <c r="C15" s="466">
        <v>32</v>
      </c>
      <c r="D15" s="467">
        <v>7111.8</v>
      </c>
      <c r="E15" s="468">
        <f>((((D1/D2)*C15)/360)*0.025)*D15</f>
        <v>1861.8327692307694</v>
      </c>
      <c r="F15" s="467">
        <v>8447.1</v>
      </c>
      <c r="G15" s="468">
        <f>((((D1/D2)*C15)/360)*0.025)*F15</f>
        <v>2211.407461538462</v>
      </c>
      <c r="H15" s="467">
        <v>9821.7000000000007</v>
      </c>
      <c r="I15" s="468">
        <f>((((D1/D2)*C15)/360)*0.025)*H15</f>
        <v>2571.2706923076926</v>
      </c>
      <c r="J15" s="469">
        <v>11128.2</v>
      </c>
      <c r="K15" s="470">
        <f>((((D1/D2)*C15)/360)*0.025)*J15</f>
        <v>2913.3056923076929</v>
      </c>
      <c r="L15" s="295"/>
      <c r="M15" s="295"/>
    </row>
    <row r="16" spans="1:13" ht="11.25" customHeight="1" x14ac:dyDescent="0.3">
      <c r="A16" s="465">
        <v>51</v>
      </c>
      <c r="B16" s="465">
        <v>2032</v>
      </c>
      <c r="C16" s="466">
        <v>33</v>
      </c>
      <c r="D16" s="467">
        <v>7111.8</v>
      </c>
      <c r="E16" s="468">
        <f>((((D1/D2)*C16)/360)*0.025)*D16</f>
        <v>1920.0150432692308</v>
      </c>
      <c r="F16" s="467">
        <v>8447.1</v>
      </c>
      <c r="G16" s="468">
        <f>((((D1/D2)*C16)/360)*0.025)*F16</f>
        <v>2280.5139447115384</v>
      </c>
      <c r="H16" s="467">
        <v>9821.7000000000007</v>
      </c>
      <c r="I16" s="468">
        <f>((((D1/D2)*C16)/360)*0.025)*H16</f>
        <v>2651.6229014423079</v>
      </c>
      <c r="J16" s="469">
        <v>11128.2</v>
      </c>
      <c r="K16" s="470">
        <f>((((D1/D2)*C16)/360)*0.025)*J16</f>
        <v>3004.3464951923079</v>
      </c>
      <c r="L16" s="295"/>
      <c r="M16" s="295"/>
    </row>
    <row r="17" spans="1:11" ht="11.25" customHeight="1" x14ac:dyDescent="0.3">
      <c r="A17" s="465">
        <v>52</v>
      </c>
      <c r="B17" s="465">
        <v>2033</v>
      </c>
      <c r="C17" s="466">
        <v>34</v>
      </c>
      <c r="D17" s="467">
        <v>7111.8</v>
      </c>
      <c r="E17" s="468">
        <f>((((D1/D2)*C17)/360)*0.025)*D17</f>
        <v>1978.1973173076926</v>
      </c>
      <c r="F17" s="467">
        <v>8447.1</v>
      </c>
      <c r="G17" s="468">
        <f>((((D1/D2)*C17)/360)*0.025)*F17</f>
        <v>2349.6204278846158</v>
      </c>
      <c r="H17" s="467">
        <v>9821.7000000000007</v>
      </c>
      <c r="I17" s="468">
        <f>((((D1/D2)*C17)/360)*0.025)*H17</f>
        <v>2731.9751105769237</v>
      </c>
      <c r="J17" s="469">
        <v>11683.5</v>
      </c>
      <c r="K17" s="470">
        <f>((((D1/D2)*C17)/360)*0.025)*J17</f>
        <v>3249.8479086538464</v>
      </c>
    </row>
    <row r="18" spans="1:11" ht="11.25" customHeight="1" x14ac:dyDescent="0.3">
      <c r="A18" s="465">
        <v>53</v>
      </c>
      <c r="B18" s="465">
        <v>2034</v>
      </c>
      <c r="C18" s="466">
        <v>35</v>
      </c>
      <c r="D18" s="467">
        <v>7111.8</v>
      </c>
      <c r="E18" s="468">
        <f>((((D1/D2)*C18)/360)*0.025)*D18</f>
        <v>2036.379591346154</v>
      </c>
      <c r="F18" s="467">
        <v>8447.1</v>
      </c>
      <c r="G18" s="468">
        <f>((((D1/D2)*C18)/360)*0.025)*F18</f>
        <v>2418.7269110576926</v>
      </c>
      <c r="H18" s="467">
        <v>9821.7000000000007</v>
      </c>
      <c r="I18" s="468">
        <f>((((D1/D2)*C18)/360)*0.025)*H18</f>
        <v>2812.3273197115386</v>
      </c>
      <c r="J18" s="469">
        <v>11683.5</v>
      </c>
      <c r="K18" s="470">
        <f>((((D1/D2)*C18)/360)*0.025)*J18</f>
        <v>3345.431670673077</v>
      </c>
    </row>
    <row r="19" spans="1:11" ht="11.25" customHeight="1" x14ac:dyDescent="0.3">
      <c r="A19" s="465">
        <v>54</v>
      </c>
      <c r="B19" s="465">
        <v>2035</v>
      </c>
      <c r="C19" s="466">
        <v>36</v>
      </c>
      <c r="D19" s="467">
        <v>7111.8</v>
      </c>
      <c r="E19" s="468">
        <f>((((D1/D2)*C19)/360)*0.025)*D19</f>
        <v>2094.5618653846154</v>
      </c>
      <c r="F19" s="467">
        <v>8447.1</v>
      </c>
      <c r="G19" s="468">
        <f>((((D1/D2)*C19)/360)*0.025)*F19</f>
        <v>2487.833394230769</v>
      </c>
      <c r="H19" s="467">
        <v>9821.7000000000007</v>
      </c>
      <c r="I19" s="468">
        <f>((((D1/D2)*C19)/360)*0.025)*H19</f>
        <v>2892.679528846154</v>
      </c>
      <c r="J19" s="469">
        <v>11683.5</v>
      </c>
      <c r="K19" s="470">
        <f>((((D1/D2)*C19)/360)*0.025)*J19</f>
        <v>3441.0154326923075</v>
      </c>
    </row>
    <row r="20" spans="1:11" ht="11.25" customHeight="1" x14ac:dyDescent="0.3">
      <c r="A20" s="465">
        <v>55</v>
      </c>
      <c r="B20" s="465">
        <v>2036</v>
      </c>
      <c r="C20" s="466">
        <v>37</v>
      </c>
      <c r="D20" s="467">
        <v>7111.8</v>
      </c>
      <c r="E20" s="468">
        <f>((((D1/D2)*C20)/360)*0.025)*D20</f>
        <v>2152.7441394230773</v>
      </c>
      <c r="F20" s="467">
        <v>8447.1</v>
      </c>
      <c r="G20" s="468">
        <f>((((D1/D2)*C20)/360)*0.025)*F20</f>
        <v>2556.9398774038464</v>
      </c>
      <c r="H20" s="467">
        <v>9821.7000000000007</v>
      </c>
      <c r="I20" s="468">
        <f>((((D1/D2)*C20)/360)*0.025)*H20</f>
        <v>2973.0317379807698</v>
      </c>
      <c r="J20" s="469">
        <v>11683.5</v>
      </c>
      <c r="K20" s="470">
        <f>((((D1/D2)*C20)/360)*0.025)*J20</f>
        <v>3536.5991947115385</v>
      </c>
    </row>
    <row r="21" spans="1:11" ht="11.25" customHeight="1" x14ac:dyDescent="0.3">
      <c r="A21" s="465">
        <v>56</v>
      </c>
      <c r="B21" s="465">
        <v>2037</v>
      </c>
      <c r="C21" s="466">
        <v>38</v>
      </c>
      <c r="D21" s="467">
        <v>7111.8</v>
      </c>
      <c r="E21" s="468">
        <f>((((D1/D2)*C21)/360)*0.025)*D21</f>
        <v>2210.9264134615387</v>
      </c>
      <c r="F21" s="467">
        <v>8447.1</v>
      </c>
      <c r="G21" s="468">
        <f>((((D1/D2)*C21)/360)*0.025)*F21</f>
        <v>2626.0463605769237</v>
      </c>
      <c r="H21" s="467">
        <v>9821.7000000000007</v>
      </c>
      <c r="I21" s="468">
        <f>((((D1/D2)*C21)/360)*0.025)*H21</f>
        <v>3053.3839471153851</v>
      </c>
      <c r="J21" s="469">
        <v>12269.1</v>
      </c>
      <c r="K21" s="470">
        <f>((((D1/D2)*C21)/360)*0.025)*J21</f>
        <v>3814.2351105769239</v>
      </c>
    </row>
    <row r="22" spans="1:11" ht="11.25" customHeight="1" x14ac:dyDescent="0.3">
      <c r="A22" s="465">
        <v>57</v>
      </c>
      <c r="B22" s="465">
        <v>2038</v>
      </c>
      <c r="C22" s="466">
        <v>39</v>
      </c>
      <c r="D22" s="467">
        <v>7111.8</v>
      </c>
      <c r="E22" s="468">
        <f>((((D1/D2)*C22)/360)*0.025)*D22</f>
        <v>2269.1086875000001</v>
      </c>
      <c r="F22" s="467">
        <v>8447.1</v>
      </c>
      <c r="G22" s="468">
        <f>((((D1/D2)*C22)/360)*0.025)*F22</f>
        <v>2695.1528437500006</v>
      </c>
      <c r="H22" s="467">
        <v>9821.7000000000007</v>
      </c>
      <c r="I22" s="468">
        <f>((((D1/D2)*C22)/360)*0.025)*H22</f>
        <v>3133.7361562500005</v>
      </c>
      <c r="J22" s="469">
        <v>12269.1</v>
      </c>
      <c r="K22" s="470">
        <f>((((D1/D2)*C22)/360)*0.025)*J22</f>
        <v>3914.6097187500004</v>
      </c>
    </row>
    <row r="23" spans="1:11" ht="11.25" customHeight="1" x14ac:dyDescent="0.3">
      <c r="A23" s="465">
        <v>58</v>
      </c>
      <c r="B23" s="465">
        <v>2039</v>
      </c>
      <c r="C23" s="466">
        <v>40</v>
      </c>
      <c r="D23" s="467">
        <v>7111.8</v>
      </c>
      <c r="E23" s="471">
        <f>((((D1/D2)*C23)/360)*0.025)*D23</f>
        <v>2327.2909615384615</v>
      </c>
      <c r="F23" s="467">
        <v>8447.1</v>
      </c>
      <c r="G23" s="471">
        <f>((((D1/D2)*C23)/360)*0.025)*F23</f>
        <v>2764.259326923077</v>
      </c>
      <c r="H23" s="467">
        <v>9821.7000000000007</v>
      </c>
      <c r="I23" s="471">
        <f>((((D1/D2)*C23)/360)*0.025)*H23</f>
        <v>3214.0883653846158</v>
      </c>
      <c r="J23" s="469">
        <v>12269.1</v>
      </c>
      <c r="K23" s="472">
        <f>((((D1/D2)*C23)/360)*0.025)*J23</f>
        <v>4014.9843269230769</v>
      </c>
    </row>
    <row r="24" spans="1:11" ht="11.25" customHeight="1" x14ac:dyDescent="0.3">
      <c r="A24" s="465">
        <v>59</v>
      </c>
      <c r="B24" s="465">
        <v>2040</v>
      </c>
      <c r="C24" s="466">
        <v>41</v>
      </c>
      <c r="D24" s="467">
        <v>7111.8</v>
      </c>
      <c r="E24" s="471">
        <f>((((D1/D2)*C24)/360)*0.025)*D24</f>
        <v>2385.4732355769233</v>
      </c>
      <c r="F24" s="467">
        <v>8447.1</v>
      </c>
      <c r="G24" s="471">
        <f>((((D1/D2)*C24)/360)*0.025)*F24</f>
        <v>2833.3658100961543</v>
      </c>
      <c r="H24" s="467">
        <v>9821.7000000000007</v>
      </c>
      <c r="I24" s="471">
        <f>((((D1/D2)*C24)/360)*0.025)*H24</f>
        <v>3294.4405745192312</v>
      </c>
      <c r="J24" s="469">
        <v>12269.1</v>
      </c>
      <c r="K24" s="472">
        <f>((((D1/D2)*C24)/360)*0.025)*J24</f>
        <v>4115.3589350961547</v>
      </c>
    </row>
    <row r="25" spans="1:11" ht="11.25" customHeight="1" x14ac:dyDescent="0.3">
      <c r="A25" s="465">
        <v>60</v>
      </c>
      <c r="B25" s="465">
        <v>2041</v>
      </c>
      <c r="C25" s="466">
        <v>42</v>
      </c>
      <c r="D25" s="467">
        <v>7111.8</v>
      </c>
      <c r="E25" s="468">
        <f>((((D1/D2)*C25)/360)*0.025)*D25</f>
        <v>2443.6555096153847</v>
      </c>
      <c r="F25" s="467">
        <v>8447.1</v>
      </c>
      <c r="G25" s="468">
        <f>((((D1/D2)*C25)/360)*0.025)*F25</f>
        <v>2902.4722932692312</v>
      </c>
      <c r="H25" s="467">
        <v>9821.7000000000007</v>
      </c>
      <c r="I25" s="468">
        <f>((((D1/D2)*C25)/360)*0.025)*H25</f>
        <v>3374.7927836538465</v>
      </c>
      <c r="J25" s="469">
        <v>12269.1</v>
      </c>
      <c r="K25" s="470">
        <f>((((D1/D2)*C25)/360)*0.025)*J25</f>
        <v>4215.7335432692307</v>
      </c>
    </row>
    <row r="26" spans="1:11" ht="11.25" customHeight="1" x14ac:dyDescent="0.3">
      <c r="A26" s="465">
        <v>61</v>
      </c>
      <c r="B26" s="465">
        <v>2042</v>
      </c>
      <c r="C26" s="466">
        <v>43</v>
      </c>
      <c r="D26" s="467">
        <v>7111.8</v>
      </c>
      <c r="E26" s="468">
        <f>((((D1/D2)*C26)/360)*0.025)*D26</f>
        <v>2501.8377836538466</v>
      </c>
      <c r="F26" s="467">
        <v>8447.1</v>
      </c>
      <c r="G26" s="468">
        <f>((((D1/D2)*C26)/360)*0.025)*F26</f>
        <v>2971.578776442308</v>
      </c>
      <c r="H26" s="467">
        <v>9821.7000000000007</v>
      </c>
      <c r="I26" s="468">
        <f>((((D1/D2)*C26)/360)*0.025)*H26</f>
        <v>3455.1449927884623</v>
      </c>
      <c r="J26" s="469">
        <v>12269.1</v>
      </c>
      <c r="K26" s="470">
        <f>((((D1/D2)*C26)/360)*0.025)*J26</f>
        <v>4316.1081514423086</v>
      </c>
    </row>
    <row r="27" spans="1:11" ht="11.25" customHeight="1" x14ac:dyDescent="0.3">
      <c r="A27" s="465">
        <v>62</v>
      </c>
      <c r="B27" s="465">
        <v>2043</v>
      </c>
      <c r="C27" s="466">
        <v>44</v>
      </c>
      <c r="D27" s="467">
        <v>7111.8</v>
      </c>
      <c r="E27" s="468">
        <f>((((D1/D2)*C27)/360)*0.025)*D27</f>
        <v>2560.0200576923085</v>
      </c>
      <c r="F27" s="467">
        <v>8447.1</v>
      </c>
      <c r="G27" s="468">
        <f>((((D1/D2)*C27)/360)*0.025)*F27</f>
        <v>3040.6852596153853</v>
      </c>
      <c r="H27" s="467">
        <v>9821.7000000000007</v>
      </c>
      <c r="I27" s="468">
        <f>((((D1/D2)*C27)/360)*0.025)*H27</f>
        <v>3535.4972019230781</v>
      </c>
      <c r="J27" s="469">
        <v>12269.1</v>
      </c>
      <c r="K27" s="470">
        <f>((((D1/D2)*C27)/360)*0.025)*J27</f>
        <v>4416.4827596153855</v>
      </c>
    </row>
    <row r="28" spans="1:11" ht="15.75" customHeight="1" x14ac:dyDescent="0.3"/>
    <row r="29" spans="1:11" ht="15.75" customHeight="1" x14ac:dyDescent="0.3"/>
    <row r="30" spans="1:11" ht="15.75" customHeight="1" x14ac:dyDescent="0.3"/>
    <row r="31" spans="1:11" ht="15.75" customHeight="1" x14ac:dyDescent="0.3"/>
    <row r="32" spans="1:11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D5:E5"/>
    <mergeCell ref="F5:G5"/>
    <mergeCell ref="H5:I5"/>
    <mergeCell ref="J5:K5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000"/>
  <sheetViews>
    <sheetView workbookViewId="0">
      <selection activeCell="H21" sqref="H21"/>
    </sheetView>
  </sheetViews>
  <sheetFormatPr defaultColWidth="14.44140625" defaultRowHeight="15" customHeight="1" x14ac:dyDescent="0.3"/>
  <cols>
    <col min="1" max="1" width="25.5546875" customWidth="1"/>
    <col min="2" max="2" width="26.5546875" customWidth="1"/>
    <col min="3" max="3" width="18.33203125" customWidth="1"/>
    <col min="4" max="4" width="5" customWidth="1"/>
    <col min="5" max="5" width="65.88671875" customWidth="1"/>
    <col min="6" max="6" width="13.109375" customWidth="1"/>
    <col min="7" max="7" width="8" customWidth="1"/>
    <col min="8" max="8" width="9.109375" customWidth="1"/>
  </cols>
  <sheetData>
    <row r="1" spans="1:8" ht="11.25" customHeight="1" x14ac:dyDescent="0.3">
      <c r="A1" s="473"/>
      <c r="B1" s="473" t="s">
        <v>678</v>
      </c>
      <c r="C1" s="473" t="s">
        <v>679</v>
      </c>
      <c r="D1" s="473" t="s">
        <v>680</v>
      </c>
      <c r="E1" s="473" t="s">
        <v>681</v>
      </c>
      <c r="F1" s="473" t="s">
        <v>682</v>
      </c>
      <c r="G1" s="473"/>
      <c r="H1" s="473"/>
    </row>
    <row r="2" spans="1:8" ht="11.25" customHeight="1" x14ac:dyDescent="0.3">
      <c r="A2" s="473" t="s">
        <v>683</v>
      </c>
      <c r="B2" s="295" t="s">
        <v>684</v>
      </c>
      <c r="C2" s="473" t="s">
        <v>685</v>
      </c>
      <c r="D2" s="473"/>
      <c r="E2" s="473" t="s">
        <v>686</v>
      </c>
      <c r="F2" s="473"/>
      <c r="G2" s="473"/>
      <c r="H2" s="473"/>
    </row>
    <row r="3" spans="1:8" ht="11.25" customHeight="1" x14ac:dyDescent="0.3">
      <c r="A3" s="473" t="s">
        <v>687</v>
      </c>
      <c r="B3" s="473" t="s">
        <v>688</v>
      </c>
      <c r="C3" s="473" t="s">
        <v>689</v>
      </c>
      <c r="D3" s="473"/>
      <c r="E3" s="473"/>
      <c r="F3" s="473"/>
      <c r="G3" s="473"/>
      <c r="H3" s="473"/>
    </row>
    <row r="4" spans="1:8" ht="11.25" customHeight="1" x14ac:dyDescent="0.3">
      <c r="A4" s="473" t="s">
        <v>690</v>
      </c>
      <c r="B4" s="474" t="s">
        <v>691</v>
      </c>
      <c r="C4" s="473" t="s">
        <v>692</v>
      </c>
      <c r="D4" s="473"/>
      <c r="E4" s="473" t="s">
        <v>693</v>
      </c>
      <c r="F4" s="473"/>
      <c r="G4" s="473"/>
      <c r="H4" s="473"/>
    </row>
    <row r="5" spans="1:8" ht="11.25" customHeight="1" x14ac:dyDescent="0.3">
      <c r="A5" s="473" t="s">
        <v>690</v>
      </c>
      <c r="B5" s="473" t="s">
        <v>694</v>
      </c>
      <c r="C5" s="473" t="s">
        <v>695</v>
      </c>
      <c r="D5" s="473"/>
      <c r="E5" s="473" t="s">
        <v>693</v>
      </c>
      <c r="F5" s="473"/>
      <c r="G5" s="473"/>
      <c r="H5" s="473"/>
    </row>
    <row r="6" spans="1:8" ht="11.25" customHeight="1" x14ac:dyDescent="0.3">
      <c r="A6" s="473" t="s">
        <v>624</v>
      </c>
      <c r="B6" s="473" t="s">
        <v>696</v>
      </c>
      <c r="C6" s="473" t="s">
        <v>697</v>
      </c>
      <c r="D6" s="473"/>
      <c r="E6" s="295" t="s">
        <v>698</v>
      </c>
      <c r="F6" s="473"/>
      <c r="G6" s="473"/>
      <c r="H6" s="473"/>
    </row>
    <row r="7" spans="1:8" ht="11.25" customHeight="1" x14ac:dyDescent="0.3">
      <c r="A7" s="473" t="s">
        <v>185</v>
      </c>
      <c r="B7" s="473" t="s">
        <v>699</v>
      </c>
      <c r="C7" s="473" t="s">
        <v>700</v>
      </c>
      <c r="D7" s="473"/>
      <c r="E7" s="473" t="s">
        <v>701</v>
      </c>
      <c r="F7" s="473"/>
      <c r="G7" s="473"/>
      <c r="H7" s="473"/>
    </row>
    <row r="8" spans="1:8" ht="11.25" customHeight="1" x14ac:dyDescent="0.3">
      <c r="A8" s="473" t="s">
        <v>185</v>
      </c>
      <c r="B8" s="473" t="s">
        <v>691</v>
      </c>
      <c r="C8" s="473" t="s">
        <v>702</v>
      </c>
      <c r="D8" s="473"/>
      <c r="E8" s="473"/>
      <c r="F8" s="473"/>
      <c r="G8" s="473"/>
      <c r="H8" s="473"/>
    </row>
    <row r="9" spans="1:8" ht="11.25" customHeight="1" x14ac:dyDescent="0.3">
      <c r="A9" s="473" t="s">
        <v>703</v>
      </c>
      <c r="B9" s="295" t="s">
        <v>704</v>
      </c>
      <c r="C9" s="473" t="s">
        <v>702</v>
      </c>
      <c r="D9" s="473"/>
      <c r="E9" s="473" t="s">
        <v>705</v>
      </c>
      <c r="F9" s="473"/>
      <c r="G9" s="473"/>
      <c r="H9" s="473"/>
    </row>
    <row r="10" spans="1:8" ht="11.25" customHeight="1" x14ac:dyDescent="0.3">
      <c r="A10" s="473" t="s">
        <v>706</v>
      </c>
      <c r="B10" s="473" t="s">
        <v>695</v>
      </c>
      <c r="C10" s="475" t="s">
        <v>707</v>
      </c>
      <c r="D10" s="475"/>
      <c r="E10" s="295" t="s">
        <v>708</v>
      </c>
      <c r="F10" s="473"/>
      <c r="G10" s="473"/>
      <c r="H10" s="473"/>
    </row>
    <row r="11" spans="1:8" ht="11.25" customHeight="1" x14ac:dyDescent="0.3">
      <c r="A11" s="473" t="s">
        <v>709</v>
      </c>
      <c r="B11" s="474" t="s">
        <v>710</v>
      </c>
      <c r="C11" s="473" t="s">
        <v>711</v>
      </c>
      <c r="D11" s="473"/>
      <c r="E11" s="476" t="s">
        <v>712</v>
      </c>
      <c r="F11" s="473"/>
      <c r="G11" s="473" t="s">
        <v>713</v>
      </c>
      <c r="H11" s="473" t="s">
        <v>714</v>
      </c>
    </row>
    <row r="12" spans="1:8" ht="11.25" customHeight="1" x14ac:dyDescent="0.3">
      <c r="A12" s="473" t="s">
        <v>715</v>
      </c>
      <c r="B12" s="473" t="s">
        <v>716</v>
      </c>
      <c r="C12" s="473" t="s">
        <v>717</v>
      </c>
      <c r="D12" s="473"/>
      <c r="E12" s="473" t="s">
        <v>718</v>
      </c>
      <c r="F12" s="473"/>
      <c r="G12" s="473"/>
      <c r="H12" s="473"/>
    </row>
    <row r="13" spans="1:8" ht="11.25" customHeight="1" x14ac:dyDescent="0.3">
      <c r="A13" s="473" t="s">
        <v>352</v>
      </c>
      <c r="B13" s="295" t="s">
        <v>684</v>
      </c>
      <c r="C13" s="473" t="s">
        <v>714</v>
      </c>
      <c r="D13" s="473"/>
      <c r="E13" s="474" t="s">
        <v>719</v>
      </c>
      <c r="F13" s="473"/>
      <c r="G13" s="473"/>
      <c r="H13" s="473"/>
    </row>
    <row r="14" spans="1:8" ht="11.25" customHeight="1" x14ac:dyDescent="0.3">
      <c r="A14" s="473" t="s">
        <v>720</v>
      </c>
      <c r="B14" s="473" t="s">
        <v>691</v>
      </c>
      <c r="C14" s="473" t="s">
        <v>692</v>
      </c>
      <c r="D14" s="473"/>
      <c r="E14" s="477" t="s">
        <v>721</v>
      </c>
      <c r="F14" s="473"/>
      <c r="G14" s="473"/>
      <c r="H14" s="473"/>
    </row>
    <row r="15" spans="1:8" ht="11.25" customHeight="1" x14ac:dyDescent="0.3">
      <c r="A15" s="473" t="s">
        <v>722</v>
      </c>
      <c r="B15" s="473" t="s">
        <v>723</v>
      </c>
      <c r="C15" s="473" t="s">
        <v>724</v>
      </c>
      <c r="D15" s="473"/>
      <c r="E15" s="295" t="s">
        <v>725</v>
      </c>
      <c r="F15" s="473"/>
      <c r="G15" s="473"/>
      <c r="H15" s="473"/>
    </row>
    <row r="16" spans="1:8" ht="11.25" customHeight="1" x14ac:dyDescent="0.3">
      <c r="A16" s="473" t="s">
        <v>726</v>
      </c>
      <c r="B16" s="295" t="s">
        <v>684</v>
      </c>
      <c r="C16" s="473" t="s">
        <v>700</v>
      </c>
      <c r="D16" s="473"/>
      <c r="E16" s="473"/>
      <c r="F16" s="473"/>
      <c r="G16" s="473"/>
      <c r="H16" s="473"/>
    </row>
    <row r="17" spans="1:8" ht="11.25" customHeight="1" x14ac:dyDescent="0.3">
      <c r="A17" s="473" t="s">
        <v>727</v>
      </c>
      <c r="B17" s="474" t="s">
        <v>728</v>
      </c>
      <c r="C17" s="473" t="s">
        <v>700</v>
      </c>
      <c r="D17" s="473"/>
      <c r="E17" s="473"/>
      <c r="F17" s="473"/>
      <c r="G17" s="473"/>
      <c r="H17" s="473"/>
    </row>
    <row r="18" spans="1:8" ht="11.25" customHeight="1" x14ac:dyDescent="0.3">
      <c r="A18" s="473" t="s">
        <v>729</v>
      </c>
      <c r="B18" s="473" t="s">
        <v>691</v>
      </c>
      <c r="C18" s="473" t="s">
        <v>730</v>
      </c>
      <c r="D18" s="473"/>
      <c r="E18" s="473" t="s">
        <v>731</v>
      </c>
      <c r="F18" s="473"/>
      <c r="G18" s="473"/>
      <c r="H18" s="473"/>
    </row>
    <row r="19" spans="1:8" ht="11.25" customHeight="1" x14ac:dyDescent="0.3">
      <c r="A19" s="473" t="s">
        <v>732</v>
      </c>
      <c r="B19" s="474" t="s">
        <v>688</v>
      </c>
      <c r="C19" s="473" t="s">
        <v>733</v>
      </c>
      <c r="D19" s="473"/>
      <c r="E19" s="476" t="s">
        <v>734</v>
      </c>
      <c r="F19" s="473"/>
      <c r="G19" s="473"/>
      <c r="H19" s="473"/>
    </row>
    <row r="20" spans="1:8" ht="11.25" customHeight="1" x14ac:dyDescent="0.3">
      <c r="A20" s="473" t="s">
        <v>735</v>
      </c>
      <c r="B20" s="473" t="s">
        <v>691</v>
      </c>
      <c r="C20" s="473" t="s">
        <v>733</v>
      </c>
      <c r="D20" s="473"/>
      <c r="E20" s="473" t="s">
        <v>734</v>
      </c>
      <c r="F20" s="473"/>
      <c r="G20" s="473"/>
      <c r="H20" s="473"/>
    </row>
    <row r="21" spans="1:8" ht="11.25" customHeight="1" x14ac:dyDescent="0.3">
      <c r="A21" s="473" t="s">
        <v>736</v>
      </c>
      <c r="B21" s="474" t="s">
        <v>688</v>
      </c>
      <c r="C21" s="473" t="s">
        <v>737</v>
      </c>
      <c r="D21" s="473" t="s">
        <v>738</v>
      </c>
      <c r="E21" s="473"/>
      <c r="F21" s="473"/>
      <c r="G21" s="473"/>
      <c r="H21" s="473"/>
    </row>
    <row r="22" spans="1:8" ht="11.25" customHeight="1" x14ac:dyDescent="0.3">
      <c r="A22" s="473" t="s">
        <v>736</v>
      </c>
      <c r="B22" s="473" t="s">
        <v>739</v>
      </c>
      <c r="C22" s="473" t="s">
        <v>740</v>
      </c>
      <c r="D22" s="473" t="s">
        <v>741</v>
      </c>
      <c r="E22" s="473"/>
      <c r="F22" s="473"/>
      <c r="G22" s="473"/>
      <c r="H22" s="473"/>
    </row>
    <row r="23" spans="1:8" ht="11.25" customHeight="1" x14ac:dyDescent="0.3">
      <c r="A23" s="473" t="s">
        <v>742</v>
      </c>
      <c r="B23" s="473" t="s">
        <v>688</v>
      </c>
      <c r="C23" s="473" t="s">
        <v>700</v>
      </c>
      <c r="D23" s="473"/>
      <c r="E23" s="473"/>
      <c r="F23" s="473"/>
      <c r="G23" s="473"/>
      <c r="H23" s="473"/>
    </row>
    <row r="24" spans="1:8" ht="11.25" customHeight="1" x14ac:dyDescent="0.3">
      <c r="A24" s="473" t="s">
        <v>743</v>
      </c>
      <c r="B24" s="473" t="s">
        <v>744</v>
      </c>
      <c r="C24" s="473" t="s">
        <v>692</v>
      </c>
      <c r="D24" s="473"/>
      <c r="E24" s="295" t="s">
        <v>745</v>
      </c>
      <c r="F24" s="473"/>
      <c r="G24" s="473"/>
      <c r="H24" s="473"/>
    </row>
    <row r="25" spans="1:8" ht="11.25" customHeight="1" x14ac:dyDescent="0.3">
      <c r="A25" s="473" t="s">
        <v>97</v>
      </c>
      <c r="B25" s="473" t="s">
        <v>716</v>
      </c>
      <c r="C25" s="473" t="s">
        <v>746</v>
      </c>
      <c r="D25" s="473"/>
      <c r="E25" s="473" t="s">
        <v>747</v>
      </c>
      <c r="F25" s="473"/>
      <c r="G25" s="473"/>
      <c r="H25" s="473"/>
    </row>
    <row r="26" spans="1:8" ht="11.25" customHeight="1" x14ac:dyDescent="0.3">
      <c r="A26" s="473" t="s">
        <v>748</v>
      </c>
      <c r="B26" s="473" t="s">
        <v>691</v>
      </c>
      <c r="C26" s="473" t="s">
        <v>714</v>
      </c>
      <c r="D26" s="473"/>
      <c r="E26" s="473"/>
      <c r="F26" s="473" t="s">
        <v>749</v>
      </c>
      <c r="G26" s="473" t="s">
        <v>750</v>
      </c>
      <c r="H26" s="473"/>
    </row>
    <row r="27" spans="1:8" ht="11.25" customHeight="1" x14ac:dyDescent="0.3">
      <c r="A27" s="473" t="s">
        <v>751</v>
      </c>
      <c r="B27" s="473" t="s">
        <v>691</v>
      </c>
      <c r="C27" s="473" t="s">
        <v>692</v>
      </c>
      <c r="D27" s="475">
        <v>1116</v>
      </c>
      <c r="E27" s="295" t="s">
        <v>752</v>
      </c>
      <c r="F27" s="473"/>
      <c r="G27" s="473"/>
      <c r="H27" s="473"/>
    </row>
    <row r="28" spans="1:8" ht="11.25" customHeight="1" x14ac:dyDescent="0.3">
      <c r="A28" s="473" t="s">
        <v>753</v>
      </c>
      <c r="B28" s="475">
        <v>4403872289</v>
      </c>
      <c r="C28" s="473" t="s">
        <v>692</v>
      </c>
      <c r="D28" s="473"/>
      <c r="E28" s="473" t="s">
        <v>754</v>
      </c>
      <c r="F28" s="473"/>
      <c r="G28" s="473"/>
      <c r="H28" s="473"/>
    </row>
    <row r="29" spans="1:8" ht="11.25" customHeight="1" x14ac:dyDescent="0.3">
      <c r="A29" s="473" t="s">
        <v>755</v>
      </c>
      <c r="B29" s="295" t="s">
        <v>684</v>
      </c>
      <c r="C29" s="473" t="s">
        <v>700</v>
      </c>
      <c r="D29" s="473"/>
      <c r="E29" s="295" t="s">
        <v>756</v>
      </c>
      <c r="F29" s="473" t="s">
        <v>757</v>
      </c>
      <c r="G29" s="473" t="s">
        <v>758</v>
      </c>
      <c r="H29" s="473"/>
    </row>
    <row r="30" spans="1:8" ht="11.25" customHeight="1" x14ac:dyDescent="0.3">
      <c r="A30" s="473" t="s">
        <v>759</v>
      </c>
      <c r="B30" s="473" t="s">
        <v>716</v>
      </c>
      <c r="C30" s="473" t="s">
        <v>760</v>
      </c>
      <c r="D30" s="473"/>
      <c r="E30" s="473"/>
      <c r="F30" s="473"/>
      <c r="G30" s="473"/>
      <c r="H30" s="473"/>
    </row>
    <row r="31" spans="1:8" ht="11.25" customHeight="1" x14ac:dyDescent="0.3">
      <c r="A31" s="473" t="s">
        <v>761</v>
      </c>
      <c r="B31" s="473" t="s">
        <v>691</v>
      </c>
      <c r="C31" s="473" t="s">
        <v>692</v>
      </c>
      <c r="D31" s="473"/>
      <c r="E31" s="473"/>
      <c r="F31" s="473"/>
      <c r="G31" s="473"/>
      <c r="H31" s="473"/>
    </row>
    <row r="32" spans="1:8" ht="11.25" customHeight="1" x14ac:dyDescent="0.3">
      <c r="A32" s="473" t="s">
        <v>762</v>
      </c>
      <c r="B32" s="473" t="s">
        <v>691</v>
      </c>
      <c r="C32" s="473" t="s">
        <v>714</v>
      </c>
      <c r="D32" s="473"/>
      <c r="E32" s="473"/>
      <c r="F32" s="473"/>
      <c r="G32" s="473"/>
      <c r="H32" s="473"/>
    </row>
    <row r="33" spans="1:8" ht="11.25" customHeight="1" x14ac:dyDescent="0.3">
      <c r="A33" s="473" t="s">
        <v>763</v>
      </c>
      <c r="B33" s="476" t="s">
        <v>764</v>
      </c>
      <c r="C33" s="473" t="s">
        <v>714</v>
      </c>
      <c r="D33" s="473"/>
      <c r="E33" s="473"/>
      <c r="F33" s="473"/>
      <c r="G33" s="473"/>
      <c r="H33" s="473"/>
    </row>
    <row r="34" spans="1:8" ht="11.25" customHeight="1" x14ac:dyDescent="0.3">
      <c r="A34" s="473" t="s">
        <v>765</v>
      </c>
      <c r="B34" s="473" t="s">
        <v>766</v>
      </c>
      <c r="C34" s="473"/>
      <c r="D34" s="473"/>
      <c r="E34" s="473"/>
      <c r="F34" s="473"/>
      <c r="G34" s="473"/>
      <c r="H34" s="473"/>
    </row>
    <row r="35" spans="1:8" ht="11.25" customHeight="1" x14ac:dyDescent="0.3">
      <c r="A35" s="473"/>
      <c r="B35" s="473"/>
      <c r="C35" s="473"/>
      <c r="D35" s="473"/>
      <c r="E35" s="473"/>
      <c r="F35" s="473"/>
      <c r="G35" s="473"/>
      <c r="H35" s="473"/>
    </row>
    <row r="36" spans="1:8" ht="11.25" customHeight="1" x14ac:dyDescent="0.3">
      <c r="A36" s="473"/>
      <c r="B36" s="473"/>
      <c r="C36" s="473"/>
      <c r="D36" s="473"/>
      <c r="E36" s="473"/>
      <c r="F36" s="473" t="s">
        <v>767</v>
      </c>
      <c r="G36" s="473"/>
      <c r="H36" s="473"/>
    </row>
    <row r="37" spans="1:8" ht="15.75" customHeight="1" x14ac:dyDescent="0.3"/>
    <row r="38" spans="1:8" ht="15.75" customHeight="1" x14ac:dyDescent="0.3"/>
    <row r="39" spans="1:8" ht="15.75" customHeight="1" x14ac:dyDescent="0.3"/>
    <row r="40" spans="1:8" ht="15.75" customHeight="1" x14ac:dyDescent="0.3"/>
    <row r="41" spans="1:8" ht="15.75" customHeight="1" x14ac:dyDescent="0.3"/>
    <row r="42" spans="1:8" ht="15.75" customHeight="1" x14ac:dyDescent="0.3"/>
    <row r="43" spans="1:8" ht="15.75" customHeight="1" x14ac:dyDescent="0.3"/>
    <row r="44" spans="1:8" ht="15.75" customHeight="1" x14ac:dyDescent="0.3"/>
    <row r="45" spans="1:8" ht="15.75" customHeight="1" x14ac:dyDescent="0.3"/>
    <row r="46" spans="1:8" ht="15.75" customHeight="1" x14ac:dyDescent="0.3"/>
    <row r="47" spans="1:8" ht="15.75" customHeight="1" x14ac:dyDescent="0.3"/>
    <row r="48" spans="1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B4" r:id="rId1" xr:uid="{00000000-0004-0000-0F00-000000000000}"/>
    <hyperlink ref="B11" r:id="rId2" xr:uid="{00000000-0004-0000-0F00-000001000000}"/>
    <hyperlink ref="E11" r:id="rId3" xr:uid="{00000000-0004-0000-0F00-000002000000}"/>
    <hyperlink ref="E13" r:id="rId4" xr:uid="{00000000-0004-0000-0F00-000003000000}"/>
    <hyperlink ref="E14" r:id="rId5" xr:uid="{00000000-0004-0000-0F00-000004000000}"/>
    <hyperlink ref="B17" r:id="rId6" xr:uid="{00000000-0004-0000-0F00-000005000000}"/>
    <hyperlink ref="B19" r:id="rId7" xr:uid="{00000000-0004-0000-0F00-000006000000}"/>
    <hyperlink ref="E19" r:id="rId8" xr:uid="{00000000-0004-0000-0F00-000007000000}"/>
    <hyperlink ref="B21" r:id="rId9" xr:uid="{00000000-0004-0000-0F00-000008000000}"/>
    <hyperlink ref="B33" r:id="rId10" xr:uid="{00000000-0004-0000-0F00-000009000000}"/>
  </hyperlink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000"/>
  <sheetViews>
    <sheetView workbookViewId="0">
      <selection activeCell="H25" sqref="H25"/>
    </sheetView>
  </sheetViews>
  <sheetFormatPr defaultColWidth="14.44140625" defaultRowHeight="15" customHeight="1" x14ac:dyDescent="0.3"/>
  <cols>
    <col min="1" max="1" width="8.6640625" customWidth="1"/>
    <col min="2" max="2" width="13.109375" customWidth="1"/>
    <col min="3" max="3" width="24.109375" customWidth="1"/>
    <col min="4" max="4" width="16.33203125" customWidth="1"/>
    <col min="5" max="5" width="10.33203125" customWidth="1"/>
    <col min="6" max="6" width="8.6640625" customWidth="1"/>
    <col min="7" max="7" width="11.33203125" customWidth="1"/>
    <col min="8" max="8" width="8.6640625" customWidth="1"/>
    <col min="9" max="9" width="11.33203125" customWidth="1"/>
    <col min="10" max="26" width="8.6640625" customWidth="1"/>
  </cols>
  <sheetData>
    <row r="1" spans="1:10" ht="14.25" customHeight="1" x14ac:dyDescent="0.3">
      <c r="B1" s="478"/>
      <c r="C1" s="479"/>
      <c r="E1" s="480"/>
      <c r="G1" s="65"/>
    </row>
    <row r="2" spans="1:10" ht="14.25" customHeight="1" x14ac:dyDescent="0.3">
      <c r="B2" s="478"/>
      <c r="C2" s="479"/>
      <c r="E2" s="480" t="s">
        <v>768</v>
      </c>
      <c r="G2" s="65"/>
      <c r="I2" s="92" t="s">
        <v>769</v>
      </c>
    </row>
    <row r="3" spans="1:10" ht="14.25" customHeight="1" x14ac:dyDescent="0.3">
      <c r="A3" s="92" t="s">
        <v>770</v>
      </c>
      <c r="B3" s="478"/>
      <c r="C3" s="479"/>
      <c r="E3" s="480" t="s">
        <v>771</v>
      </c>
      <c r="F3" s="92" t="s">
        <v>772</v>
      </c>
      <c r="G3" s="65"/>
      <c r="I3" s="481">
        <v>0.46899999999999997</v>
      </c>
      <c r="J3" s="92" t="s">
        <v>773</v>
      </c>
    </row>
    <row r="4" spans="1:10" ht="14.25" customHeight="1" x14ac:dyDescent="0.3">
      <c r="B4" s="478"/>
      <c r="C4" s="479"/>
      <c r="E4" s="480"/>
      <c r="G4" s="65"/>
    </row>
    <row r="5" spans="1:10" ht="14.25" customHeight="1" x14ac:dyDescent="0.3">
      <c r="B5" s="478"/>
      <c r="C5" s="479"/>
      <c r="E5" s="480"/>
      <c r="G5" s="65"/>
    </row>
    <row r="6" spans="1:10" ht="14.25" customHeight="1" x14ac:dyDescent="0.3">
      <c r="A6" s="92" t="s">
        <v>774</v>
      </c>
      <c r="B6" s="478"/>
      <c r="C6" s="479"/>
      <c r="E6" s="480" t="s">
        <v>775</v>
      </c>
      <c r="F6" s="92" t="s">
        <v>720</v>
      </c>
      <c r="G6" s="65"/>
      <c r="I6" s="482">
        <v>0.46899999999999997</v>
      </c>
      <c r="J6" s="92" t="s">
        <v>773</v>
      </c>
    </row>
    <row r="7" spans="1:10" ht="14.25" customHeight="1" x14ac:dyDescent="0.3">
      <c r="B7" s="478"/>
      <c r="C7" s="479"/>
      <c r="E7" s="480"/>
      <c r="G7" s="65"/>
    </row>
    <row r="8" spans="1:10" ht="14.25" customHeight="1" x14ac:dyDescent="0.3">
      <c r="B8" s="478"/>
      <c r="C8" s="479"/>
      <c r="E8" s="480"/>
      <c r="G8" s="65"/>
    </row>
    <row r="9" spans="1:10" ht="14.25" customHeight="1" x14ac:dyDescent="0.3">
      <c r="B9" s="478"/>
      <c r="C9" s="479"/>
      <c r="E9" s="480"/>
      <c r="G9" s="65"/>
    </row>
    <row r="10" spans="1:10" ht="14.25" customHeight="1" x14ac:dyDescent="0.3">
      <c r="B10" s="478"/>
      <c r="C10" s="479"/>
      <c r="E10" s="480"/>
      <c r="G10" s="65"/>
    </row>
    <row r="11" spans="1:10" ht="14.25" customHeight="1" x14ac:dyDescent="0.3">
      <c r="B11" s="478" t="s">
        <v>776</v>
      </c>
      <c r="C11" s="479" t="s">
        <v>777</v>
      </c>
      <c r="D11" s="86" t="s">
        <v>778</v>
      </c>
      <c r="E11" s="480" t="s">
        <v>779</v>
      </c>
      <c r="F11" s="86" t="s">
        <v>780</v>
      </c>
      <c r="G11" s="65" t="s">
        <v>781</v>
      </c>
      <c r="H11" s="86" t="s">
        <v>782</v>
      </c>
    </row>
    <row r="12" spans="1:10" ht="14.25" customHeight="1" x14ac:dyDescent="0.3">
      <c r="A12" s="86" t="s">
        <v>783</v>
      </c>
      <c r="B12" s="478">
        <v>110059119914</v>
      </c>
      <c r="C12" s="483" t="s">
        <v>784</v>
      </c>
      <c r="D12" s="86" t="s">
        <v>772</v>
      </c>
      <c r="E12" s="480">
        <v>8.2900000000000001E-2</v>
      </c>
      <c r="F12" s="86" t="s">
        <v>785</v>
      </c>
      <c r="G12" s="65">
        <v>45878</v>
      </c>
    </row>
    <row r="13" spans="1:10" ht="14.25" customHeight="1" x14ac:dyDescent="0.3">
      <c r="A13" s="86" t="s">
        <v>149</v>
      </c>
      <c r="B13" s="478">
        <v>110154325473</v>
      </c>
      <c r="C13" s="479" t="s">
        <v>786</v>
      </c>
      <c r="D13" s="86" t="s">
        <v>772</v>
      </c>
      <c r="E13" s="480">
        <v>8.2900000000000001E-2</v>
      </c>
      <c r="F13" s="86" t="s">
        <v>785</v>
      </c>
      <c r="G13" s="65">
        <v>45878</v>
      </c>
    </row>
    <row r="14" spans="1:10" ht="14.25" customHeight="1" x14ac:dyDescent="0.3">
      <c r="B14" s="478"/>
      <c r="C14" s="479"/>
      <c r="E14" s="480"/>
      <c r="G14" s="65"/>
    </row>
    <row r="15" spans="1:10" ht="14.25" customHeight="1" x14ac:dyDescent="0.3">
      <c r="B15" s="478"/>
      <c r="C15" s="479"/>
      <c r="E15" s="480"/>
      <c r="G15" s="65"/>
    </row>
    <row r="16" spans="1:10" ht="14.25" customHeight="1" x14ac:dyDescent="0.3">
      <c r="B16" s="478"/>
      <c r="C16" s="479"/>
      <c r="E16" s="480"/>
      <c r="G16" s="65"/>
    </row>
    <row r="17" spans="2:7" ht="14.25" customHeight="1" x14ac:dyDescent="0.3">
      <c r="B17" s="478"/>
      <c r="C17" s="479"/>
      <c r="E17" s="480"/>
      <c r="G17" s="65"/>
    </row>
    <row r="18" spans="2:7" ht="14.25" customHeight="1" x14ac:dyDescent="0.3">
      <c r="B18" s="478"/>
      <c r="C18" s="479"/>
      <c r="E18" s="480"/>
      <c r="G18" s="65"/>
    </row>
    <row r="19" spans="2:7" ht="14.25" customHeight="1" x14ac:dyDescent="0.3">
      <c r="B19" s="478"/>
      <c r="C19" s="479"/>
      <c r="E19" s="480"/>
      <c r="G19" s="65"/>
    </row>
    <row r="20" spans="2:7" ht="14.25" customHeight="1" x14ac:dyDescent="0.3">
      <c r="B20" s="478"/>
      <c r="C20" s="479"/>
      <c r="E20" s="480"/>
      <c r="G20" s="65"/>
    </row>
    <row r="21" spans="2:7" ht="14.25" customHeight="1" x14ac:dyDescent="0.3">
      <c r="B21" s="478"/>
      <c r="C21" s="479"/>
      <c r="E21" s="480"/>
      <c r="G21" s="65"/>
    </row>
    <row r="22" spans="2:7" ht="14.25" customHeight="1" x14ac:dyDescent="0.3">
      <c r="B22" s="478"/>
      <c r="C22" s="479"/>
      <c r="E22" s="480"/>
      <c r="G22" s="65"/>
    </row>
    <row r="23" spans="2:7" ht="14.25" customHeight="1" x14ac:dyDescent="0.3">
      <c r="B23" s="478"/>
      <c r="C23" s="479"/>
      <c r="E23" s="480"/>
      <c r="G23" s="65"/>
    </row>
    <row r="24" spans="2:7" ht="14.25" customHeight="1" x14ac:dyDescent="0.3">
      <c r="B24" s="478"/>
      <c r="C24" s="479"/>
      <c r="E24" s="480"/>
      <c r="G24" s="65"/>
    </row>
    <row r="25" spans="2:7" ht="14.25" customHeight="1" x14ac:dyDescent="0.3">
      <c r="B25" s="478"/>
      <c r="C25" s="479"/>
      <c r="E25" s="480"/>
      <c r="G25" s="65"/>
    </row>
    <row r="26" spans="2:7" ht="14.25" customHeight="1" x14ac:dyDescent="0.3">
      <c r="B26" s="478"/>
      <c r="C26" s="479"/>
      <c r="E26" s="480"/>
      <c r="G26" s="65"/>
    </row>
    <row r="27" spans="2:7" ht="14.25" customHeight="1" x14ac:dyDescent="0.3">
      <c r="B27" s="478"/>
      <c r="C27" s="479"/>
      <c r="E27" s="480"/>
      <c r="G27" s="65"/>
    </row>
    <row r="28" spans="2:7" ht="14.25" customHeight="1" x14ac:dyDescent="0.3">
      <c r="B28" s="478"/>
      <c r="C28" s="479"/>
      <c r="E28" s="480"/>
      <c r="G28" s="65"/>
    </row>
    <row r="29" spans="2:7" ht="14.25" customHeight="1" x14ac:dyDescent="0.3">
      <c r="B29" s="478"/>
      <c r="C29" s="479"/>
      <c r="E29" s="480"/>
      <c r="G29" s="65"/>
    </row>
    <row r="30" spans="2:7" ht="14.25" customHeight="1" x14ac:dyDescent="0.3">
      <c r="B30" s="478"/>
      <c r="C30" s="479"/>
      <c r="E30" s="480"/>
      <c r="G30" s="65"/>
    </row>
    <row r="31" spans="2:7" ht="14.25" customHeight="1" x14ac:dyDescent="0.3">
      <c r="B31" s="478"/>
      <c r="C31" s="479"/>
      <c r="E31" s="480"/>
      <c r="G31" s="65"/>
    </row>
    <row r="32" spans="2:7" ht="14.25" customHeight="1" x14ac:dyDescent="0.3">
      <c r="B32" s="478"/>
      <c r="C32" s="479"/>
      <c r="E32" s="480"/>
      <c r="G32" s="65"/>
    </row>
    <row r="33" spans="2:7" ht="14.25" customHeight="1" x14ac:dyDescent="0.3">
      <c r="B33" s="478"/>
      <c r="C33" s="479"/>
      <c r="E33" s="480"/>
      <c r="G33" s="65"/>
    </row>
    <row r="34" spans="2:7" ht="14.25" customHeight="1" x14ac:dyDescent="0.3">
      <c r="B34" s="478"/>
      <c r="C34" s="479"/>
      <c r="E34" s="480"/>
      <c r="G34" s="65"/>
    </row>
    <row r="35" spans="2:7" ht="14.25" customHeight="1" x14ac:dyDescent="0.3">
      <c r="B35" s="478"/>
      <c r="C35" s="479"/>
      <c r="E35" s="480"/>
      <c r="G35" s="65"/>
    </row>
    <row r="36" spans="2:7" ht="14.25" customHeight="1" x14ac:dyDescent="0.3">
      <c r="B36" s="478"/>
      <c r="C36" s="479"/>
      <c r="E36" s="480"/>
      <c r="G36" s="65"/>
    </row>
    <row r="37" spans="2:7" ht="14.25" customHeight="1" x14ac:dyDescent="0.3">
      <c r="B37" s="478"/>
      <c r="C37" s="479"/>
      <c r="E37" s="480"/>
      <c r="G37" s="65"/>
    </row>
    <row r="38" spans="2:7" ht="14.25" customHeight="1" x14ac:dyDescent="0.3">
      <c r="B38" s="478"/>
      <c r="C38" s="479"/>
      <c r="E38" s="480"/>
      <c r="G38" s="65"/>
    </row>
    <row r="39" spans="2:7" ht="14.25" customHeight="1" x14ac:dyDescent="0.3">
      <c r="B39" s="478"/>
      <c r="C39" s="479"/>
      <c r="E39" s="480"/>
      <c r="G39" s="65"/>
    </row>
    <row r="40" spans="2:7" ht="14.25" customHeight="1" x14ac:dyDescent="0.3">
      <c r="B40" s="478"/>
      <c r="C40" s="479"/>
      <c r="E40" s="480"/>
      <c r="G40" s="65"/>
    </row>
    <row r="41" spans="2:7" ht="14.25" customHeight="1" x14ac:dyDescent="0.3">
      <c r="B41" s="478"/>
      <c r="C41" s="479"/>
      <c r="E41" s="480"/>
      <c r="G41" s="65"/>
    </row>
    <row r="42" spans="2:7" ht="14.25" customHeight="1" x14ac:dyDescent="0.3">
      <c r="B42" s="478"/>
      <c r="C42" s="479"/>
      <c r="E42" s="480"/>
      <c r="G42" s="65"/>
    </row>
    <row r="43" spans="2:7" ht="14.25" customHeight="1" x14ac:dyDescent="0.3">
      <c r="B43" s="478"/>
      <c r="C43" s="479"/>
      <c r="E43" s="480"/>
      <c r="G43" s="65"/>
    </row>
    <row r="44" spans="2:7" ht="14.25" customHeight="1" x14ac:dyDescent="0.3">
      <c r="B44" s="478"/>
      <c r="C44" s="479"/>
      <c r="E44" s="480"/>
      <c r="G44" s="65"/>
    </row>
    <row r="45" spans="2:7" ht="14.25" customHeight="1" x14ac:dyDescent="0.3">
      <c r="B45" s="478"/>
      <c r="C45" s="479"/>
      <c r="E45" s="480"/>
      <c r="G45" s="65"/>
    </row>
    <row r="46" spans="2:7" ht="14.25" customHeight="1" x14ac:dyDescent="0.3">
      <c r="B46" s="478"/>
      <c r="C46" s="479"/>
      <c r="E46" s="480"/>
      <c r="G46" s="65"/>
    </row>
    <row r="47" spans="2:7" ht="14.25" customHeight="1" x14ac:dyDescent="0.3">
      <c r="B47" s="478"/>
      <c r="C47" s="479"/>
      <c r="E47" s="480"/>
      <c r="G47" s="65"/>
    </row>
    <row r="48" spans="2:7" ht="14.25" customHeight="1" x14ac:dyDescent="0.3">
      <c r="B48" s="478"/>
      <c r="C48" s="479"/>
      <c r="E48" s="480"/>
      <c r="G48" s="65"/>
    </row>
    <row r="49" spans="2:7" ht="14.25" customHeight="1" x14ac:dyDescent="0.3">
      <c r="B49" s="478"/>
      <c r="C49" s="479"/>
      <c r="E49" s="480"/>
      <c r="G49" s="65"/>
    </row>
    <row r="50" spans="2:7" ht="14.25" customHeight="1" x14ac:dyDescent="0.3">
      <c r="B50" s="478"/>
      <c r="C50" s="479"/>
      <c r="E50" s="480"/>
      <c r="G50" s="65"/>
    </row>
    <row r="51" spans="2:7" ht="14.25" customHeight="1" x14ac:dyDescent="0.3">
      <c r="B51" s="478"/>
      <c r="C51" s="479"/>
      <c r="E51" s="480"/>
      <c r="G51" s="65"/>
    </row>
    <row r="52" spans="2:7" ht="14.25" customHeight="1" x14ac:dyDescent="0.3">
      <c r="B52" s="478"/>
      <c r="C52" s="479"/>
      <c r="E52" s="480"/>
      <c r="G52" s="65"/>
    </row>
    <row r="53" spans="2:7" ht="14.25" customHeight="1" x14ac:dyDescent="0.3">
      <c r="B53" s="478"/>
      <c r="C53" s="479"/>
      <c r="E53" s="480"/>
      <c r="G53" s="65"/>
    </row>
    <row r="54" spans="2:7" ht="14.25" customHeight="1" x14ac:dyDescent="0.3">
      <c r="B54" s="478"/>
      <c r="C54" s="479"/>
      <c r="E54" s="480"/>
      <c r="G54" s="65"/>
    </row>
    <row r="55" spans="2:7" ht="14.25" customHeight="1" x14ac:dyDescent="0.3">
      <c r="B55" s="478"/>
      <c r="C55" s="479"/>
      <c r="E55" s="480"/>
      <c r="G55" s="65"/>
    </row>
    <row r="56" spans="2:7" ht="14.25" customHeight="1" x14ac:dyDescent="0.3">
      <c r="B56" s="478"/>
      <c r="C56" s="479"/>
      <c r="E56" s="480"/>
      <c r="G56" s="65"/>
    </row>
    <row r="57" spans="2:7" ht="14.25" customHeight="1" x14ac:dyDescent="0.3">
      <c r="B57" s="478"/>
      <c r="C57" s="479"/>
      <c r="E57" s="480"/>
      <c r="G57" s="65"/>
    </row>
    <row r="58" spans="2:7" ht="14.25" customHeight="1" x14ac:dyDescent="0.3">
      <c r="B58" s="478"/>
      <c r="C58" s="479"/>
      <c r="E58" s="480"/>
      <c r="G58" s="65"/>
    </row>
    <row r="59" spans="2:7" ht="14.25" customHeight="1" x14ac:dyDescent="0.3">
      <c r="B59" s="478"/>
      <c r="C59" s="479"/>
      <c r="E59" s="480"/>
      <c r="G59" s="65"/>
    </row>
    <row r="60" spans="2:7" ht="14.25" customHeight="1" x14ac:dyDescent="0.3">
      <c r="B60" s="478"/>
      <c r="C60" s="479"/>
      <c r="E60" s="480"/>
      <c r="G60" s="65"/>
    </row>
    <row r="61" spans="2:7" ht="14.25" customHeight="1" x14ac:dyDescent="0.3">
      <c r="B61" s="478"/>
      <c r="C61" s="479"/>
      <c r="E61" s="480"/>
      <c r="G61" s="65"/>
    </row>
    <row r="62" spans="2:7" ht="14.25" customHeight="1" x14ac:dyDescent="0.3">
      <c r="B62" s="478"/>
      <c r="C62" s="479"/>
      <c r="E62" s="480"/>
      <c r="G62" s="65"/>
    </row>
    <row r="63" spans="2:7" ht="14.25" customHeight="1" x14ac:dyDescent="0.3">
      <c r="B63" s="478"/>
      <c r="C63" s="479"/>
      <c r="E63" s="480"/>
      <c r="G63" s="65"/>
    </row>
    <row r="64" spans="2:7" ht="14.25" customHeight="1" x14ac:dyDescent="0.3">
      <c r="B64" s="478"/>
      <c r="C64" s="479"/>
      <c r="E64" s="480"/>
      <c r="G64" s="65"/>
    </row>
    <row r="65" spans="2:7" ht="14.25" customHeight="1" x14ac:dyDescent="0.3">
      <c r="B65" s="478"/>
      <c r="C65" s="479"/>
      <c r="E65" s="480"/>
      <c r="G65" s="65"/>
    </row>
    <row r="66" spans="2:7" ht="14.25" customHeight="1" x14ac:dyDescent="0.3">
      <c r="B66" s="478"/>
      <c r="C66" s="479"/>
      <c r="E66" s="480"/>
      <c r="G66" s="65"/>
    </row>
    <row r="67" spans="2:7" ht="14.25" customHeight="1" x14ac:dyDescent="0.3">
      <c r="B67" s="478"/>
      <c r="C67" s="479"/>
      <c r="E67" s="480"/>
      <c r="G67" s="65"/>
    </row>
    <row r="68" spans="2:7" ht="14.25" customHeight="1" x14ac:dyDescent="0.3">
      <c r="B68" s="478"/>
      <c r="C68" s="479"/>
      <c r="E68" s="480"/>
      <c r="G68" s="65"/>
    </row>
    <row r="69" spans="2:7" ht="14.25" customHeight="1" x14ac:dyDescent="0.3">
      <c r="B69" s="478"/>
      <c r="C69" s="479"/>
      <c r="E69" s="480"/>
      <c r="G69" s="65"/>
    </row>
    <row r="70" spans="2:7" ht="14.25" customHeight="1" x14ac:dyDescent="0.3">
      <c r="B70" s="478"/>
      <c r="C70" s="479"/>
      <c r="E70" s="480"/>
      <c r="G70" s="65"/>
    </row>
    <row r="71" spans="2:7" ht="14.25" customHeight="1" x14ac:dyDescent="0.3">
      <c r="B71" s="478"/>
      <c r="C71" s="479"/>
      <c r="E71" s="480"/>
      <c r="G71" s="65"/>
    </row>
    <row r="72" spans="2:7" ht="14.25" customHeight="1" x14ac:dyDescent="0.3">
      <c r="B72" s="478"/>
      <c r="C72" s="479"/>
      <c r="E72" s="480"/>
      <c r="G72" s="65"/>
    </row>
    <row r="73" spans="2:7" ht="14.25" customHeight="1" x14ac:dyDescent="0.3">
      <c r="B73" s="478"/>
      <c r="C73" s="479"/>
      <c r="E73" s="480"/>
      <c r="G73" s="65"/>
    </row>
    <row r="74" spans="2:7" ht="14.25" customHeight="1" x14ac:dyDescent="0.3">
      <c r="B74" s="478"/>
      <c r="C74" s="479"/>
      <c r="E74" s="480"/>
      <c r="G74" s="65"/>
    </row>
    <row r="75" spans="2:7" ht="14.25" customHeight="1" x14ac:dyDescent="0.3">
      <c r="B75" s="478"/>
      <c r="C75" s="479"/>
      <c r="E75" s="480"/>
      <c r="G75" s="65"/>
    </row>
    <row r="76" spans="2:7" ht="14.25" customHeight="1" x14ac:dyDescent="0.3">
      <c r="B76" s="478"/>
      <c r="C76" s="479"/>
      <c r="E76" s="480"/>
      <c r="G76" s="65"/>
    </row>
    <row r="77" spans="2:7" ht="14.25" customHeight="1" x14ac:dyDescent="0.3">
      <c r="B77" s="478"/>
      <c r="C77" s="479"/>
      <c r="E77" s="480"/>
      <c r="G77" s="65"/>
    </row>
    <row r="78" spans="2:7" ht="14.25" customHeight="1" x14ac:dyDescent="0.3">
      <c r="B78" s="478"/>
      <c r="C78" s="479"/>
      <c r="E78" s="480"/>
      <c r="G78" s="65"/>
    </row>
    <row r="79" spans="2:7" ht="14.25" customHeight="1" x14ac:dyDescent="0.3">
      <c r="B79" s="478"/>
      <c r="C79" s="479"/>
      <c r="E79" s="480"/>
      <c r="G79" s="65"/>
    </row>
    <row r="80" spans="2:7" ht="14.25" customHeight="1" x14ac:dyDescent="0.3">
      <c r="B80" s="478"/>
      <c r="C80" s="479"/>
      <c r="E80" s="480"/>
      <c r="G80" s="65"/>
    </row>
    <row r="81" spans="2:7" ht="14.25" customHeight="1" x14ac:dyDescent="0.3">
      <c r="B81" s="478"/>
      <c r="C81" s="479"/>
      <c r="E81" s="480"/>
      <c r="G81" s="65"/>
    </row>
    <row r="82" spans="2:7" ht="14.25" customHeight="1" x14ac:dyDescent="0.3">
      <c r="B82" s="478"/>
      <c r="C82" s="479"/>
      <c r="E82" s="480"/>
      <c r="G82" s="65"/>
    </row>
    <row r="83" spans="2:7" ht="14.25" customHeight="1" x14ac:dyDescent="0.3">
      <c r="B83" s="478"/>
      <c r="C83" s="479"/>
      <c r="E83" s="480"/>
      <c r="G83" s="65"/>
    </row>
    <row r="84" spans="2:7" ht="14.25" customHeight="1" x14ac:dyDescent="0.3">
      <c r="B84" s="478"/>
      <c r="C84" s="479"/>
      <c r="E84" s="480"/>
      <c r="G84" s="65"/>
    </row>
    <row r="85" spans="2:7" ht="14.25" customHeight="1" x14ac:dyDescent="0.3">
      <c r="B85" s="478"/>
      <c r="C85" s="479"/>
      <c r="E85" s="480"/>
      <c r="G85" s="65"/>
    </row>
    <row r="86" spans="2:7" ht="14.25" customHeight="1" x14ac:dyDescent="0.3">
      <c r="B86" s="478"/>
      <c r="C86" s="479"/>
      <c r="E86" s="480"/>
      <c r="G86" s="65"/>
    </row>
    <row r="87" spans="2:7" ht="14.25" customHeight="1" x14ac:dyDescent="0.3">
      <c r="B87" s="478"/>
      <c r="C87" s="479"/>
      <c r="E87" s="480"/>
      <c r="G87" s="65"/>
    </row>
    <row r="88" spans="2:7" ht="14.25" customHeight="1" x14ac:dyDescent="0.3">
      <c r="B88" s="478"/>
      <c r="C88" s="479"/>
      <c r="E88" s="480"/>
      <c r="G88" s="65"/>
    </row>
    <row r="89" spans="2:7" ht="14.25" customHeight="1" x14ac:dyDescent="0.3">
      <c r="B89" s="478"/>
      <c r="C89" s="479"/>
      <c r="E89" s="480"/>
      <c r="G89" s="65"/>
    </row>
    <row r="90" spans="2:7" ht="14.25" customHeight="1" x14ac:dyDescent="0.3">
      <c r="B90" s="478"/>
      <c r="C90" s="479"/>
      <c r="E90" s="480"/>
      <c r="G90" s="65"/>
    </row>
    <row r="91" spans="2:7" ht="14.25" customHeight="1" x14ac:dyDescent="0.3">
      <c r="B91" s="478"/>
      <c r="C91" s="479"/>
      <c r="E91" s="480"/>
      <c r="G91" s="65"/>
    </row>
    <row r="92" spans="2:7" ht="14.25" customHeight="1" x14ac:dyDescent="0.3">
      <c r="B92" s="478"/>
      <c r="C92" s="479"/>
      <c r="E92" s="480"/>
      <c r="G92" s="65"/>
    </row>
    <row r="93" spans="2:7" ht="14.25" customHeight="1" x14ac:dyDescent="0.3">
      <c r="B93" s="478"/>
      <c r="C93" s="479"/>
      <c r="E93" s="480"/>
      <c r="G93" s="65"/>
    </row>
    <row r="94" spans="2:7" ht="14.25" customHeight="1" x14ac:dyDescent="0.3">
      <c r="B94" s="478"/>
      <c r="C94" s="479"/>
      <c r="E94" s="480"/>
      <c r="G94" s="65"/>
    </row>
    <row r="95" spans="2:7" ht="14.25" customHeight="1" x14ac:dyDescent="0.3">
      <c r="B95" s="478"/>
      <c r="C95" s="479"/>
      <c r="E95" s="480"/>
      <c r="G95" s="65"/>
    </row>
    <row r="96" spans="2:7" ht="14.25" customHeight="1" x14ac:dyDescent="0.3">
      <c r="B96" s="478"/>
      <c r="C96" s="479"/>
      <c r="E96" s="480"/>
      <c r="G96" s="65"/>
    </row>
    <row r="97" spans="2:7" ht="14.25" customHeight="1" x14ac:dyDescent="0.3">
      <c r="B97" s="478"/>
      <c r="C97" s="479"/>
      <c r="E97" s="480"/>
      <c r="G97" s="65"/>
    </row>
    <row r="98" spans="2:7" ht="14.25" customHeight="1" x14ac:dyDescent="0.3">
      <c r="B98" s="478"/>
      <c r="C98" s="479"/>
      <c r="E98" s="480"/>
      <c r="G98" s="65"/>
    </row>
    <row r="99" spans="2:7" ht="14.25" customHeight="1" x14ac:dyDescent="0.3">
      <c r="B99" s="478"/>
      <c r="C99" s="479"/>
      <c r="E99" s="480"/>
      <c r="G99" s="65"/>
    </row>
    <row r="100" spans="2:7" ht="14.25" customHeight="1" x14ac:dyDescent="0.3">
      <c r="B100" s="478"/>
      <c r="C100" s="479"/>
      <c r="E100" s="480"/>
      <c r="G100" s="65"/>
    </row>
    <row r="101" spans="2:7" ht="14.25" customHeight="1" x14ac:dyDescent="0.3">
      <c r="B101" s="478"/>
      <c r="C101" s="479"/>
      <c r="E101" s="480"/>
      <c r="G101" s="65"/>
    </row>
    <row r="102" spans="2:7" ht="14.25" customHeight="1" x14ac:dyDescent="0.3">
      <c r="B102" s="478"/>
      <c r="C102" s="479"/>
      <c r="E102" s="480"/>
      <c r="G102" s="65"/>
    </row>
    <row r="103" spans="2:7" ht="14.25" customHeight="1" x14ac:dyDescent="0.3">
      <c r="B103" s="478"/>
      <c r="C103" s="479"/>
      <c r="E103" s="480"/>
      <c r="G103" s="65"/>
    </row>
    <row r="104" spans="2:7" ht="14.25" customHeight="1" x14ac:dyDescent="0.3">
      <c r="B104" s="478"/>
      <c r="C104" s="479"/>
      <c r="E104" s="480"/>
      <c r="G104" s="65"/>
    </row>
    <row r="105" spans="2:7" ht="14.25" customHeight="1" x14ac:dyDescent="0.3">
      <c r="B105" s="478"/>
      <c r="C105" s="479"/>
      <c r="E105" s="480"/>
      <c r="G105" s="65"/>
    </row>
    <row r="106" spans="2:7" ht="14.25" customHeight="1" x14ac:dyDescent="0.3">
      <c r="B106" s="478"/>
      <c r="C106" s="479"/>
      <c r="E106" s="480"/>
      <c r="G106" s="65"/>
    </row>
    <row r="107" spans="2:7" ht="14.25" customHeight="1" x14ac:dyDescent="0.3">
      <c r="B107" s="478"/>
      <c r="C107" s="479"/>
      <c r="E107" s="480"/>
      <c r="G107" s="65"/>
    </row>
    <row r="108" spans="2:7" ht="14.25" customHeight="1" x14ac:dyDescent="0.3">
      <c r="B108" s="478"/>
      <c r="C108" s="479"/>
      <c r="E108" s="480"/>
      <c r="G108" s="65"/>
    </row>
    <row r="109" spans="2:7" ht="14.25" customHeight="1" x14ac:dyDescent="0.3">
      <c r="B109" s="478"/>
      <c r="C109" s="479"/>
      <c r="E109" s="480"/>
      <c r="G109" s="65"/>
    </row>
    <row r="110" spans="2:7" ht="14.25" customHeight="1" x14ac:dyDescent="0.3">
      <c r="B110" s="478"/>
      <c r="C110" s="479"/>
      <c r="E110" s="480"/>
      <c r="G110" s="65"/>
    </row>
    <row r="111" spans="2:7" ht="14.25" customHeight="1" x14ac:dyDescent="0.3">
      <c r="B111" s="478"/>
      <c r="C111" s="479"/>
      <c r="E111" s="480"/>
      <c r="G111" s="65"/>
    </row>
    <row r="112" spans="2:7" ht="14.25" customHeight="1" x14ac:dyDescent="0.3">
      <c r="B112" s="478"/>
      <c r="C112" s="479"/>
      <c r="E112" s="480"/>
      <c r="G112" s="65"/>
    </row>
    <row r="113" spans="2:7" ht="14.25" customHeight="1" x14ac:dyDescent="0.3">
      <c r="B113" s="478"/>
      <c r="C113" s="479"/>
      <c r="E113" s="480"/>
      <c r="G113" s="65"/>
    </row>
    <row r="114" spans="2:7" ht="14.25" customHeight="1" x14ac:dyDescent="0.3">
      <c r="B114" s="478"/>
      <c r="C114" s="479"/>
      <c r="E114" s="480"/>
      <c r="G114" s="65"/>
    </row>
    <row r="115" spans="2:7" ht="14.25" customHeight="1" x14ac:dyDescent="0.3">
      <c r="B115" s="478"/>
      <c r="C115" s="479"/>
      <c r="E115" s="480"/>
      <c r="G115" s="65"/>
    </row>
    <row r="116" spans="2:7" ht="14.25" customHeight="1" x14ac:dyDescent="0.3">
      <c r="B116" s="478"/>
      <c r="C116" s="479"/>
      <c r="E116" s="480"/>
      <c r="G116" s="65"/>
    </row>
    <row r="117" spans="2:7" ht="14.25" customHeight="1" x14ac:dyDescent="0.3">
      <c r="B117" s="478"/>
      <c r="C117" s="479"/>
      <c r="E117" s="480"/>
      <c r="G117" s="65"/>
    </row>
    <row r="118" spans="2:7" ht="14.25" customHeight="1" x14ac:dyDescent="0.3">
      <c r="B118" s="478"/>
      <c r="C118" s="479"/>
      <c r="E118" s="480"/>
      <c r="G118" s="65"/>
    </row>
    <row r="119" spans="2:7" ht="14.25" customHeight="1" x14ac:dyDescent="0.3">
      <c r="B119" s="478"/>
      <c r="C119" s="479"/>
      <c r="E119" s="480"/>
      <c r="G119" s="65"/>
    </row>
    <row r="120" spans="2:7" ht="14.25" customHeight="1" x14ac:dyDescent="0.3">
      <c r="B120" s="478"/>
      <c r="C120" s="479"/>
      <c r="E120" s="480"/>
      <c r="G120" s="65"/>
    </row>
    <row r="121" spans="2:7" ht="14.25" customHeight="1" x14ac:dyDescent="0.3">
      <c r="B121" s="478"/>
      <c r="C121" s="479"/>
      <c r="E121" s="480"/>
      <c r="G121" s="65"/>
    </row>
    <row r="122" spans="2:7" ht="14.25" customHeight="1" x14ac:dyDescent="0.3">
      <c r="B122" s="478"/>
      <c r="C122" s="479"/>
      <c r="E122" s="480"/>
      <c r="G122" s="65"/>
    </row>
    <row r="123" spans="2:7" ht="14.25" customHeight="1" x14ac:dyDescent="0.3">
      <c r="B123" s="478"/>
      <c r="C123" s="479"/>
      <c r="E123" s="480"/>
      <c r="G123" s="65"/>
    </row>
    <row r="124" spans="2:7" ht="14.25" customHeight="1" x14ac:dyDescent="0.3">
      <c r="B124" s="478"/>
      <c r="C124" s="479"/>
      <c r="E124" s="480"/>
      <c r="G124" s="65"/>
    </row>
    <row r="125" spans="2:7" ht="14.25" customHeight="1" x14ac:dyDescent="0.3">
      <c r="B125" s="478"/>
      <c r="C125" s="479"/>
      <c r="E125" s="480"/>
      <c r="G125" s="65"/>
    </row>
    <row r="126" spans="2:7" ht="14.25" customHeight="1" x14ac:dyDescent="0.3">
      <c r="B126" s="478"/>
      <c r="C126" s="479"/>
      <c r="E126" s="480"/>
      <c r="G126" s="65"/>
    </row>
    <row r="127" spans="2:7" ht="14.25" customHeight="1" x14ac:dyDescent="0.3">
      <c r="B127" s="478"/>
      <c r="C127" s="479"/>
      <c r="E127" s="480"/>
      <c r="G127" s="65"/>
    </row>
    <row r="128" spans="2:7" ht="14.25" customHeight="1" x14ac:dyDescent="0.3">
      <c r="B128" s="478"/>
      <c r="C128" s="479"/>
      <c r="E128" s="480"/>
      <c r="G128" s="65"/>
    </row>
    <row r="129" spans="2:7" ht="14.25" customHeight="1" x14ac:dyDescent="0.3">
      <c r="B129" s="478"/>
      <c r="C129" s="479"/>
      <c r="E129" s="480"/>
      <c r="G129" s="65"/>
    </row>
    <row r="130" spans="2:7" ht="14.25" customHeight="1" x14ac:dyDescent="0.3">
      <c r="B130" s="478"/>
      <c r="C130" s="479"/>
      <c r="E130" s="480"/>
      <c r="G130" s="65"/>
    </row>
    <row r="131" spans="2:7" ht="14.25" customHeight="1" x14ac:dyDescent="0.3">
      <c r="B131" s="478"/>
      <c r="C131" s="479"/>
      <c r="E131" s="480"/>
      <c r="G131" s="65"/>
    </row>
    <row r="132" spans="2:7" ht="14.25" customHeight="1" x14ac:dyDescent="0.3">
      <c r="B132" s="478"/>
      <c r="C132" s="479"/>
      <c r="E132" s="480"/>
      <c r="G132" s="65"/>
    </row>
    <row r="133" spans="2:7" ht="14.25" customHeight="1" x14ac:dyDescent="0.3">
      <c r="B133" s="478"/>
      <c r="C133" s="479"/>
      <c r="E133" s="480"/>
      <c r="G133" s="65"/>
    </row>
    <row r="134" spans="2:7" ht="14.25" customHeight="1" x14ac:dyDescent="0.3">
      <c r="B134" s="478"/>
      <c r="C134" s="479"/>
      <c r="E134" s="480"/>
      <c r="G134" s="65"/>
    </row>
    <row r="135" spans="2:7" ht="14.25" customHeight="1" x14ac:dyDescent="0.3">
      <c r="B135" s="478"/>
      <c r="C135" s="479"/>
      <c r="E135" s="480"/>
      <c r="G135" s="65"/>
    </row>
    <row r="136" spans="2:7" ht="14.25" customHeight="1" x14ac:dyDescent="0.3">
      <c r="B136" s="478"/>
      <c r="C136" s="479"/>
      <c r="E136" s="480"/>
      <c r="G136" s="65"/>
    </row>
    <row r="137" spans="2:7" ht="14.25" customHeight="1" x14ac:dyDescent="0.3">
      <c r="B137" s="478"/>
      <c r="C137" s="479"/>
      <c r="E137" s="480"/>
      <c r="G137" s="65"/>
    </row>
    <row r="138" spans="2:7" ht="14.25" customHeight="1" x14ac:dyDescent="0.3">
      <c r="B138" s="478"/>
      <c r="C138" s="479"/>
      <c r="E138" s="480"/>
      <c r="G138" s="65"/>
    </row>
    <row r="139" spans="2:7" ht="14.25" customHeight="1" x14ac:dyDescent="0.3">
      <c r="B139" s="478"/>
      <c r="C139" s="479"/>
      <c r="E139" s="480"/>
      <c r="G139" s="65"/>
    </row>
    <row r="140" spans="2:7" ht="14.25" customHeight="1" x14ac:dyDescent="0.3">
      <c r="B140" s="478"/>
      <c r="C140" s="479"/>
      <c r="E140" s="480"/>
      <c r="G140" s="65"/>
    </row>
    <row r="141" spans="2:7" ht="14.25" customHeight="1" x14ac:dyDescent="0.3">
      <c r="B141" s="478"/>
      <c r="C141" s="479"/>
      <c r="E141" s="480"/>
      <c r="G141" s="65"/>
    </row>
    <row r="142" spans="2:7" ht="14.25" customHeight="1" x14ac:dyDescent="0.3">
      <c r="B142" s="478"/>
      <c r="C142" s="479"/>
      <c r="E142" s="480"/>
      <c r="G142" s="65"/>
    </row>
    <row r="143" spans="2:7" ht="14.25" customHeight="1" x14ac:dyDescent="0.3">
      <c r="B143" s="478"/>
      <c r="C143" s="479"/>
      <c r="E143" s="480"/>
      <c r="G143" s="65"/>
    </row>
    <row r="144" spans="2:7" ht="14.25" customHeight="1" x14ac:dyDescent="0.3">
      <c r="B144" s="478"/>
      <c r="C144" s="479"/>
      <c r="E144" s="480"/>
      <c r="G144" s="65"/>
    </row>
    <row r="145" spans="2:7" ht="14.25" customHeight="1" x14ac:dyDescent="0.3">
      <c r="B145" s="478"/>
      <c r="C145" s="479"/>
      <c r="E145" s="480"/>
      <c r="G145" s="65"/>
    </row>
    <row r="146" spans="2:7" ht="14.25" customHeight="1" x14ac:dyDescent="0.3">
      <c r="B146" s="478"/>
      <c r="C146" s="479"/>
      <c r="E146" s="480"/>
      <c r="G146" s="65"/>
    </row>
    <row r="147" spans="2:7" ht="14.25" customHeight="1" x14ac:dyDescent="0.3">
      <c r="B147" s="478"/>
      <c r="C147" s="479"/>
      <c r="E147" s="480"/>
      <c r="G147" s="65"/>
    </row>
    <row r="148" spans="2:7" ht="14.25" customHeight="1" x14ac:dyDescent="0.3">
      <c r="B148" s="478"/>
      <c r="C148" s="479"/>
      <c r="E148" s="480"/>
      <c r="G148" s="65"/>
    </row>
    <row r="149" spans="2:7" ht="14.25" customHeight="1" x14ac:dyDescent="0.3">
      <c r="B149" s="478"/>
      <c r="C149" s="479"/>
      <c r="E149" s="480"/>
      <c r="G149" s="65"/>
    </row>
    <row r="150" spans="2:7" ht="14.25" customHeight="1" x14ac:dyDescent="0.3">
      <c r="B150" s="478"/>
      <c r="C150" s="479"/>
      <c r="E150" s="480"/>
      <c r="G150" s="65"/>
    </row>
    <row r="151" spans="2:7" ht="14.25" customHeight="1" x14ac:dyDescent="0.3">
      <c r="B151" s="478"/>
      <c r="C151" s="479"/>
      <c r="E151" s="480"/>
      <c r="G151" s="65"/>
    </row>
    <row r="152" spans="2:7" ht="14.25" customHeight="1" x14ac:dyDescent="0.3">
      <c r="B152" s="478"/>
      <c r="C152" s="479"/>
      <c r="E152" s="480"/>
      <c r="G152" s="65"/>
    </row>
    <row r="153" spans="2:7" ht="14.25" customHeight="1" x14ac:dyDescent="0.3">
      <c r="B153" s="478"/>
      <c r="C153" s="479"/>
      <c r="E153" s="480"/>
      <c r="G153" s="65"/>
    </row>
    <row r="154" spans="2:7" ht="14.25" customHeight="1" x14ac:dyDescent="0.3">
      <c r="B154" s="478"/>
      <c r="C154" s="479"/>
      <c r="E154" s="480"/>
      <c r="G154" s="65"/>
    </row>
    <row r="155" spans="2:7" ht="14.25" customHeight="1" x14ac:dyDescent="0.3">
      <c r="B155" s="478"/>
      <c r="C155" s="479"/>
      <c r="E155" s="480"/>
      <c r="G155" s="65"/>
    </row>
    <row r="156" spans="2:7" ht="14.25" customHeight="1" x14ac:dyDescent="0.3">
      <c r="B156" s="478"/>
      <c r="C156" s="479"/>
      <c r="E156" s="480"/>
      <c r="G156" s="65"/>
    </row>
    <row r="157" spans="2:7" ht="14.25" customHeight="1" x14ac:dyDescent="0.3">
      <c r="B157" s="478"/>
      <c r="C157" s="479"/>
      <c r="E157" s="480"/>
      <c r="G157" s="65"/>
    </row>
    <row r="158" spans="2:7" ht="14.25" customHeight="1" x14ac:dyDescent="0.3">
      <c r="B158" s="478"/>
      <c r="C158" s="479"/>
      <c r="E158" s="480"/>
      <c r="G158" s="65"/>
    </row>
    <row r="159" spans="2:7" ht="14.25" customHeight="1" x14ac:dyDescent="0.3">
      <c r="B159" s="478"/>
      <c r="C159" s="479"/>
      <c r="E159" s="480"/>
      <c r="G159" s="65"/>
    </row>
    <row r="160" spans="2:7" ht="14.25" customHeight="1" x14ac:dyDescent="0.3">
      <c r="B160" s="478"/>
      <c r="C160" s="479"/>
      <c r="E160" s="480"/>
      <c r="G160" s="65"/>
    </row>
    <row r="161" spans="2:7" ht="14.25" customHeight="1" x14ac:dyDescent="0.3">
      <c r="B161" s="478"/>
      <c r="C161" s="479"/>
      <c r="E161" s="480"/>
      <c r="G161" s="65"/>
    </row>
    <row r="162" spans="2:7" ht="14.25" customHeight="1" x14ac:dyDescent="0.3">
      <c r="B162" s="478"/>
      <c r="C162" s="479"/>
      <c r="E162" s="480"/>
      <c r="G162" s="65"/>
    </row>
    <row r="163" spans="2:7" ht="14.25" customHeight="1" x14ac:dyDescent="0.3">
      <c r="B163" s="478"/>
      <c r="C163" s="479"/>
      <c r="E163" s="480"/>
      <c r="G163" s="65"/>
    </row>
    <row r="164" spans="2:7" ht="14.25" customHeight="1" x14ac:dyDescent="0.3">
      <c r="B164" s="478"/>
      <c r="C164" s="479"/>
      <c r="E164" s="480"/>
      <c r="G164" s="65"/>
    </row>
    <row r="165" spans="2:7" ht="14.25" customHeight="1" x14ac:dyDescent="0.3">
      <c r="B165" s="478"/>
      <c r="C165" s="479"/>
      <c r="E165" s="480"/>
      <c r="G165" s="65"/>
    </row>
    <row r="166" spans="2:7" ht="14.25" customHeight="1" x14ac:dyDescent="0.3">
      <c r="B166" s="478"/>
      <c r="C166" s="479"/>
      <c r="E166" s="480"/>
      <c r="G166" s="65"/>
    </row>
    <row r="167" spans="2:7" ht="14.25" customHeight="1" x14ac:dyDescent="0.3">
      <c r="B167" s="478"/>
      <c r="C167" s="479"/>
      <c r="E167" s="480"/>
      <c r="G167" s="65"/>
    </row>
    <row r="168" spans="2:7" ht="14.25" customHeight="1" x14ac:dyDescent="0.3">
      <c r="B168" s="478"/>
      <c r="C168" s="479"/>
      <c r="E168" s="480"/>
      <c r="G168" s="65"/>
    </row>
    <row r="169" spans="2:7" ht="14.25" customHeight="1" x14ac:dyDescent="0.3">
      <c r="B169" s="478"/>
      <c r="C169" s="479"/>
      <c r="E169" s="480"/>
      <c r="G169" s="65"/>
    </row>
    <row r="170" spans="2:7" ht="14.25" customHeight="1" x14ac:dyDescent="0.3">
      <c r="B170" s="478"/>
      <c r="C170" s="479"/>
      <c r="E170" s="480"/>
      <c r="G170" s="65"/>
    </row>
    <row r="171" spans="2:7" ht="14.25" customHeight="1" x14ac:dyDescent="0.3">
      <c r="B171" s="478"/>
      <c r="C171" s="479"/>
      <c r="E171" s="480"/>
      <c r="G171" s="65"/>
    </row>
    <row r="172" spans="2:7" ht="14.25" customHeight="1" x14ac:dyDescent="0.3">
      <c r="B172" s="478"/>
      <c r="C172" s="479"/>
      <c r="E172" s="480"/>
      <c r="G172" s="65"/>
    </row>
    <row r="173" spans="2:7" ht="14.25" customHeight="1" x14ac:dyDescent="0.3">
      <c r="B173" s="478"/>
      <c r="C173" s="479"/>
      <c r="E173" s="480"/>
      <c r="G173" s="65"/>
    </row>
    <row r="174" spans="2:7" ht="14.25" customHeight="1" x14ac:dyDescent="0.3">
      <c r="B174" s="478"/>
      <c r="C174" s="479"/>
      <c r="E174" s="480"/>
      <c r="G174" s="65"/>
    </row>
    <row r="175" spans="2:7" ht="14.25" customHeight="1" x14ac:dyDescent="0.3">
      <c r="B175" s="478"/>
      <c r="C175" s="479"/>
      <c r="E175" s="480"/>
      <c r="G175" s="65"/>
    </row>
    <row r="176" spans="2:7" ht="14.25" customHeight="1" x14ac:dyDescent="0.3">
      <c r="B176" s="478"/>
      <c r="C176" s="479"/>
      <c r="E176" s="480"/>
      <c r="G176" s="65"/>
    </row>
    <row r="177" spans="2:7" ht="14.25" customHeight="1" x14ac:dyDescent="0.3">
      <c r="B177" s="478"/>
      <c r="C177" s="479"/>
      <c r="E177" s="480"/>
      <c r="G177" s="65"/>
    </row>
    <row r="178" spans="2:7" ht="14.25" customHeight="1" x14ac:dyDescent="0.3">
      <c r="B178" s="478"/>
      <c r="C178" s="479"/>
      <c r="E178" s="480"/>
      <c r="G178" s="65"/>
    </row>
    <row r="179" spans="2:7" ht="14.25" customHeight="1" x14ac:dyDescent="0.3">
      <c r="B179" s="478"/>
      <c r="C179" s="479"/>
      <c r="E179" s="480"/>
      <c r="G179" s="65"/>
    </row>
    <row r="180" spans="2:7" ht="14.25" customHeight="1" x14ac:dyDescent="0.3">
      <c r="B180" s="478"/>
      <c r="C180" s="479"/>
      <c r="E180" s="480"/>
      <c r="G180" s="65"/>
    </row>
    <row r="181" spans="2:7" ht="14.25" customHeight="1" x14ac:dyDescent="0.3">
      <c r="B181" s="478"/>
      <c r="C181" s="479"/>
      <c r="E181" s="480"/>
      <c r="G181" s="65"/>
    </row>
    <row r="182" spans="2:7" ht="14.25" customHeight="1" x14ac:dyDescent="0.3">
      <c r="B182" s="478"/>
      <c r="C182" s="479"/>
      <c r="E182" s="480"/>
      <c r="G182" s="65"/>
    </row>
    <row r="183" spans="2:7" ht="14.25" customHeight="1" x14ac:dyDescent="0.3">
      <c r="B183" s="478"/>
      <c r="C183" s="479"/>
      <c r="E183" s="480"/>
      <c r="G183" s="65"/>
    </row>
    <row r="184" spans="2:7" ht="14.25" customHeight="1" x14ac:dyDescent="0.3">
      <c r="B184" s="478"/>
      <c r="C184" s="479"/>
      <c r="E184" s="480"/>
      <c r="G184" s="65"/>
    </row>
    <row r="185" spans="2:7" ht="14.25" customHeight="1" x14ac:dyDescent="0.3">
      <c r="B185" s="478"/>
      <c r="C185" s="479"/>
      <c r="E185" s="480"/>
      <c r="G185" s="65"/>
    </row>
    <row r="186" spans="2:7" ht="14.25" customHeight="1" x14ac:dyDescent="0.3">
      <c r="B186" s="478"/>
      <c r="C186" s="479"/>
      <c r="E186" s="480"/>
      <c r="G186" s="65"/>
    </row>
    <row r="187" spans="2:7" ht="14.25" customHeight="1" x14ac:dyDescent="0.3">
      <c r="B187" s="478"/>
      <c r="C187" s="479"/>
      <c r="E187" s="480"/>
      <c r="G187" s="65"/>
    </row>
    <row r="188" spans="2:7" ht="14.25" customHeight="1" x14ac:dyDescent="0.3">
      <c r="B188" s="478"/>
      <c r="C188" s="479"/>
      <c r="E188" s="480"/>
      <c r="G188" s="65"/>
    </row>
    <row r="189" spans="2:7" ht="14.25" customHeight="1" x14ac:dyDescent="0.3">
      <c r="B189" s="478"/>
      <c r="C189" s="479"/>
      <c r="E189" s="480"/>
      <c r="G189" s="65"/>
    </row>
    <row r="190" spans="2:7" ht="14.25" customHeight="1" x14ac:dyDescent="0.3">
      <c r="B190" s="478"/>
      <c r="C190" s="479"/>
      <c r="E190" s="480"/>
      <c r="G190" s="65"/>
    </row>
    <row r="191" spans="2:7" ht="14.25" customHeight="1" x14ac:dyDescent="0.3">
      <c r="B191" s="478"/>
      <c r="C191" s="479"/>
      <c r="E191" s="480"/>
      <c r="G191" s="65"/>
    </row>
    <row r="192" spans="2:7" ht="14.25" customHeight="1" x14ac:dyDescent="0.3">
      <c r="B192" s="478"/>
      <c r="C192" s="479"/>
      <c r="E192" s="480"/>
      <c r="G192" s="65"/>
    </row>
    <row r="193" spans="2:7" ht="14.25" customHeight="1" x14ac:dyDescent="0.3">
      <c r="B193" s="478"/>
      <c r="C193" s="479"/>
      <c r="E193" s="480"/>
      <c r="G193" s="65"/>
    </row>
    <row r="194" spans="2:7" ht="14.25" customHeight="1" x14ac:dyDescent="0.3">
      <c r="B194" s="478"/>
      <c r="C194" s="479"/>
      <c r="E194" s="480"/>
      <c r="G194" s="65"/>
    </row>
    <row r="195" spans="2:7" ht="14.25" customHeight="1" x14ac:dyDescent="0.3">
      <c r="B195" s="478"/>
      <c r="C195" s="479"/>
      <c r="E195" s="480"/>
      <c r="G195" s="65"/>
    </row>
    <row r="196" spans="2:7" ht="14.25" customHeight="1" x14ac:dyDescent="0.3">
      <c r="B196" s="478"/>
      <c r="C196" s="479"/>
      <c r="E196" s="480"/>
      <c r="G196" s="65"/>
    </row>
    <row r="197" spans="2:7" ht="14.25" customHeight="1" x14ac:dyDescent="0.3">
      <c r="B197" s="478"/>
      <c r="C197" s="479"/>
      <c r="E197" s="480"/>
      <c r="G197" s="65"/>
    </row>
    <row r="198" spans="2:7" ht="14.25" customHeight="1" x14ac:dyDescent="0.3">
      <c r="B198" s="478"/>
      <c r="C198" s="479"/>
      <c r="E198" s="480"/>
      <c r="G198" s="65"/>
    </row>
    <row r="199" spans="2:7" ht="14.25" customHeight="1" x14ac:dyDescent="0.3">
      <c r="B199" s="478"/>
      <c r="C199" s="479"/>
      <c r="E199" s="480"/>
      <c r="G199" s="65"/>
    </row>
    <row r="200" spans="2:7" ht="14.25" customHeight="1" x14ac:dyDescent="0.3">
      <c r="B200" s="478"/>
      <c r="C200" s="479"/>
      <c r="E200" s="480"/>
      <c r="G200" s="65"/>
    </row>
    <row r="201" spans="2:7" ht="14.25" customHeight="1" x14ac:dyDescent="0.3">
      <c r="B201" s="478"/>
      <c r="C201" s="479"/>
      <c r="E201" s="480"/>
      <c r="G201" s="65"/>
    </row>
    <row r="202" spans="2:7" ht="14.25" customHeight="1" x14ac:dyDescent="0.3">
      <c r="B202" s="478"/>
      <c r="C202" s="479"/>
      <c r="E202" s="480"/>
      <c r="G202" s="65"/>
    </row>
    <row r="203" spans="2:7" ht="14.25" customHeight="1" x14ac:dyDescent="0.3">
      <c r="B203" s="478"/>
      <c r="C203" s="479"/>
      <c r="E203" s="480"/>
      <c r="G203" s="65"/>
    </row>
    <row r="204" spans="2:7" ht="14.25" customHeight="1" x14ac:dyDescent="0.3">
      <c r="B204" s="478"/>
      <c r="C204" s="479"/>
      <c r="E204" s="480"/>
      <c r="G204" s="65"/>
    </row>
    <row r="205" spans="2:7" ht="14.25" customHeight="1" x14ac:dyDescent="0.3">
      <c r="B205" s="478"/>
      <c r="C205" s="479"/>
      <c r="E205" s="480"/>
      <c r="G205" s="65"/>
    </row>
    <row r="206" spans="2:7" ht="14.25" customHeight="1" x14ac:dyDescent="0.3">
      <c r="B206" s="478"/>
      <c r="C206" s="479"/>
      <c r="E206" s="480"/>
      <c r="G206" s="65"/>
    </row>
    <row r="207" spans="2:7" ht="14.25" customHeight="1" x14ac:dyDescent="0.3">
      <c r="B207" s="478"/>
      <c r="C207" s="479"/>
      <c r="E207" s="480"/>
      <c r="G207" s="65"/>
    </row>
    <row r="208" spans="2:7" ht="14.25" customHeight="1" x14ac:dyDescent="0.3">
      <c r="B208" s="478"/>
      <c r="C208" s="479"/>
      <c r="E208" s="480"/>
      <c r="G208" s="65"/>
    </row>
    <row r="209" spans="2:7" ht="14.25" customHeight="1" x14ac:dyDescent="0.3">
      <c r="B209" s="478"/>
      <c r="C209" s="479"/>
      <c r="E209" s="480"/>
      <c r="G209" s="65"/>
    </row>
    <row r="210" spans="2:7" ht="14.25" customHeight="1" x14ac:dyDescent="0.3">
      <c r="B210" s="478"/>
      <c r="C210" s="479"/>
      <c r="E210" s="480"/>
      <c r="G210" s="65"/>
    </row>
    <row r="211" spans="2:7" ht="14.25" customHeight="1" x14ac:dyDescent="0.3">
      <c r="B211" s="478"/>
      <c r="C211" s="479"/>
      <c r="E211" s="480"/>
      <c r="G211" s="65"/>
    </row>
    <row r="212" spans="2:7" ht="14.25" customHeight="1" x14ac:dyDescent="0.3">
      <c r="B212" s="478"/>
      <c r="C212" s="479"/>
      <c r="E212" s="480"/>
      <c r="G212" s="65"/>
    </row>
    <row r="213" spans="2:7" ht="14.25" customHeight="1" x14ac:dyDescent="0.3">
      <c r="B213" s="478"/>
      <c r="C213" s="479"/>
      <c r="E213" s="480"/>
      <c r="G213" s="65"/>
    </row>
    <row r="214" spans="2:7" ht="14.25" customHeight="1" x14ac:dyDescent="0.3">
      <c r="B214" s="478"/>
      <c r="C214" s="479"/>
      <c r="E214" s="480"/>
      <c r="G214" s="65"/>
    </row>
    <row r="215" spans="2:7" ht="14.25" customHeight="1" x14ac:dyDescent="0.3">
      <c r="B215" s="478"/>
      <c r="C215" s="479"/>
      <c r="E215" s="480"/>
      <c r="G215" s="65"/>
    </row>
    <row r="216" spans="2:7" ht="14.25" customHeight="1" x14ac:dyDescent="0.3">
      <c r="B216" s="478"/>
      <c r="C216" s="479"/>
      <c r="E216" s="480"/>
      <c r="G216" s="65"/>
    </row>
    <row r="217" spans="2:7" ht="14.25" customHeight="1" x14ac:dyDescent="0.3">
      <c r="B217" s="478"/>
      <c r="C217" s="479"/>
      <c r="E217" s="480"/>
      <c r="G217" s="65"/>
    </row>
    <row r="218" spans="2:7" ht="14.25" customHeight="1" x14ac:dyDescent="0.3">
      <c r="B218" s="478"/>
      <c r="C218" s="479"/>
      <c r="E218" s="480"/>
      <c r="G218" s="65"/>
    </row>
    <row r="219" spans="2:7" ht="14.25" customHeight="1" x14ac:dyDescent="0.3">
      <c r="B219" s="478"/>
      <c r="C219" s="479"/>
      <c r="E219" s="480"/>
      <c r="G219" s="65"/>
    </row>
    <row r="220" spans="2:7" ht="14.25" customHeight="1" x14ac:dyDescent="0.3">
      <c r="B220" s="478"/>
      <c r="C220" s="479"/>
      <c r="E220" s="480"/>
      <c r="G220" s="65"/>
    </row>
    <row r="221" spans="2:7" ht="14.25" customHeight="1" x14ac:dyDescent="0.3">
      <c r="B221" s="478"/>
      <c r="C221" s="479"/>
      <c r="E221" s="480"/>
      <c r="G221" s="65"/>
    </row>
    <row r="222" spans="2:7" ht="14.25" customHeight="1" x14ac:dyDescent="0.3">
      <c r="B222" s="478"/>
      <c r="C222" s="479"/>
      <c r="E222" s="480"/>
      <c r="G222" s="65"/>
    </row>
    <row r="223" spans="2:7" ht="14.25" customHeight="1" x14ac:dyDescent="0.3">
      <c r="B223" s="478"/>
      <c r="C223" s="479"/>
      <c r="E223" s="480"/>
      <c r="G223" s="65"/>
    </row>
    <row r="224" spans="2:7" ht="14.25" customHeight="1" x14ac:dyDescent="0.3">
      <c r="B224" s="478"/>
      <c r="C224" s="479"/>
      <c r="E224" s="480"/>
      <c r="G224" s="65"/>
    </row>
    <row r="225" spans="2:7" ht="14.25" customHeight="1" x14ac:dyDescent="0.3">
      <c r="B225" s="478"/>
      <c r="C225" s="479"/>
      <c r="E225" s="480"/>
      <c r="G225" s="65"/>
    </row>
    <row r="226" spans="2:7" ht="14.25" customHeight="1" x14ac:dyDescent="0.3">
      <c r="B226" s="478"/>
      <c r="C226" s="479"/>
      <c r="E226" s="480"/>
      <c r="G226" s="65"/>
    </row>
    <row r="227" spans="2:7" ht="14.25" customHeight="1" x14ac:dyDescent="0.3">
      <c r="B227" s="478"/>
      <c r="C227" s="479"/>
      <c r="E227" s="480"/>
      <c r="G227" s="65"/>
    </row>
    <row r="228" spans="2:7" ht="14.25" customHeight="1" x14ac:dyDescent="0.3">
      <c r="B228" s="478"/>
      <c r="C228" s="479"/>
      <c r="E228" s="480"/>
      <c r="G228" s="65"/>
    </row>
    <row r="229" spans="2:7" ht="14.25" customHeight="1" x14ac:dyDescent="0.3">
      <c r="B229" s="478"/>
      <c r="C229" s="479"/>
      <c r="E229" s="480"/>
      <c r="G229" s="65"/>
    </row>
    <row r="230" spans="2:7" ht="14.25" customHeight="1" x14ac:dyDescent="0.3">
      <c r="B230" s="478"/>
      <c r="C230" s="479"/>
      <c r="E230" s="480"/>
      <c r="G230" s="65"/>
    </row>
    <row r="231" spans="2:7" ht="14.25" customHeight="1" x14ac:dyDescent="0.3">
      <c r="B231" s="478"/>
      <c r="C231" s="479"/>
      <c r="E231" s="480"/>
      <c r="G231" s="65"/>
    </row>
    <row r="232" spans="2:7" ht="14.25" customHeight="1" x14ac:dyDescent="0.3">
      <c r="B232" s="478"/>
      <c r="C232" s="479"/>
      <c r="E232" s="480"/>
      <c r="G232" s="65"/>
    </row>
    <row r="233" spans="2:7" ht="14.25" customHeight="1" x14ac:dyDescent="0.3">
      <c r="B233" s="478"/>
      <c r="C233" s="479"/>
      <c r="E233" s="480"/>
      <c r="G233" s="65"/>
    </row>
    <row r="234" spans="2:7" ht="14.25" customHeight="1" x14ac:dyDescent="0.3">
      <c r="B234" s="478"/>
      <c r="C234" s="479"/>
      <c r="E234" s="480"/>
      <c r="G234" s="65"/>
    </row>
    <row r="235" spans="2:7" ht="14.25" customHeight="1" x14ac:dyDescent="0.3">
      <c r="B235" s="478"/>
      <c r="C235" s="479"/>
      <c r="E235" s="480"/>
      <c r="G235" s="65"/>
    </row>
    <row r="236" spans="2:7" ht="14.25" customHeight="1" x14ac:dyDescent="0.3">
      <c r="B236" s="478"/>
      <c r="C236" s="479"/>
      <c r="E236" s="480"/>
      <c r="G236" s="65"/>
    </row>
    <row r="237" spans="2:7" ht="14.25" customHeight="1" x14ac:dyDescent="0.3">
      <c r="B237" s="478"/>
      <c r="C237" s="479"/>
      <c r="E237" s="480"/>
      <c r="G237" s="65"/>
    </row>
    <row r="238" spans="2:7" ht="14.25" customHeight="1" x14ac:dyDescent="0.3">
      <c r="B238" s="478"/>
      <c r="C238" s="479"/>
      <c r="E238" s="480"/>
      <c r="G238" s="65"/>
    </row>
    <row r="239" spans="2:7" ht="14.25" customHeight="1" x14ac:dyDescent="0.3">
      <c r="B239" s="478"/>
      <c r="C239" s="479"/>
      <c r="E239" s="480"/>
      <c r="G239" s="65"/>
    </row>
    <row r="240" spans="2:7" ht="14.25" customHeight="1" x14ac:dyDescent="0.3">
      <c r="B240" s="478"/>
      <c r="C240" s="479"/>
      <c r="E240" s="480"/>
      <c r="G240" s="65"/>
    </row>
    <row r="241" spans="2:7" ht="14.25" customHeight="1" x14ac:dyDescent="0.3">
      <c r="B241" s="478"/>
      <c r="C241" s="479"/>
      <c r="E241" s="480"/>
      <c r="G241" s="65"/>
    </row>
    <row r="242" spans="2:7" ht="14.25" customHeight="1" x14ac:dyDescent="0.3">
      <c r="B242" s="478"/>
      <c r="C242" s="479"/>
      <c r="E242" s="480"/>
      <c r="G242" s="65"/>
    </row>
    <row r="243" spans="2:7" ht="14.25" customHeight="1" x14ac:dyDescent="0.3">
      <c r="B243" s="478"/>
      <c r="C243" s="479"/>
      <c r="E243" s="480"/>
      <c r="G243" s="65"/>
    </row>
    <row r="244" spans="2:7" ht="14.25" customHeight="1" x14ac:dyDescent="0.3">
      <c r="B244" s="478"/>
      <c r="C244" s="479"/>
      <c r="E244" s="480"/>
      <c r="G244" s="65"/>
    </row>
    <row r="245" spans="2:7" ht="14.25" customHeight="1" x14ac:dyDescent="0.3">
      <c r="B245" s="478"/>
      <c r="C245" s="479"/>
      <c r="E245" s="480"/>
      <c r="G245" s="65"/>
    </row>
    <row r="246" spans="2:7" ht="14.25" customHeight="1" x14ac:dyDescent="0.3">
      <c r="B246" s="478"/>
      <c r="C246" s="479"/>
      <c r="E246" s="480"/>
      <c r="G246" s="65"/>
    </row>
    <row r="247" spans="2:7" ht="14.25" customHeight="1" x14ac:dyDescent="0.3">
      <c r="B247" s="478"/>
      <c r="C247" s="479"/>
      <c r="E247" s="480"/>
      <c r="G247" s="65"/>
    </row>
    <row r="248" spans="2:7" ht="14.25" customHeight="1" x14ac:dyDescent="0.3">
      <c r="B248" s="478"/>
      <c r="C248" s="479"/>
      <c r="E248" s="480"/>
      <c r="G248" s="65"/>
    </row>
    <row r="249" spans="2:7" ht="14.25" customHeight="1" x14ac:dyDescent="0.3">
      <c r="B249" s="478"/>
      <c r="C249" s="479"/>
      <c r="E249" s="480"/>
      <c r="G249" s="65"/>
    </row>
    <row r="250" spans="2:7" ht="14.25" customHeight="1" x14ac:dyDescent="0.3">
      <c r="B250" s="478"/>
      <c r="C250" s="479"/>
      <c r="E250" s="480"/>
      <c r="G250" s="65"/>
    </row>
    <row r="251" spans="2:7" ht="14.25" customHeight="1" x14ac:dyDescent="0.3">
      <c r="B251" s="478"/>
      <c r="C251" s="479"/>
      <c r="E251" s="480"/>
      <c r="G251" s="65"/>
    </row>
    <row r="252" spans="2:7" ht="14.25" customHeight="1" x14ac:dyDescent="0.3">
      <c r="B252" s="478"/>
      <c r="C252" s="479"/>
      <c r="E252" s="480"/>
      <c r="G252" s="65"/>
    </row>
    <row r="253" spans="2:7" ht="14.25" customHeight="1" x14ac:dyDescent="0.3">
      <c r="B253" s="478"/>
      <c r="C253" s="479"/>
      <c r="E253" s="480"/>
      <c r="G253" s="65"/>
    </row>
    <row r="254" spans="2:7" ht="14.25" customHeight="1" x14ac:dyDescent="0.3">
      <c r="B254" s="478"/>
      <c r="C254" s="479"/>
      <c r="E254" s="480"/>
      <c r="G254" s="65"/>
    </row>
    <row r="255" spans="2:7" ht="14.25" customHeight="1" x14ac:dyDescent="0.3">
      <c r="B255" s="478"/>
      <c r="C255" s="479"/>
      <c r="E255" s="480"/>
      <c r="G255" s="65"/>
    </row>
    <row r="256" spans="2:7" ht="14.25" customHeight="1" x14ac:dyDescent="0.3">
      <c r="B256" s="478"/>
      <c r="C256" s="479"/>
      <c r="E256" s="480"/>
      <c r="G256" s="65"/>
    </row>
    <row r="257" spans="2:7" ht="14.25" customHeight="1" x14ac:dyDescent="0.3">
      <c r="B257" s="478"/>
      <c r="C257" s="479"/>
      <c r="E257" s="480"/>
      <c r="G257" s="65"/>
    </row>
    <row r="258" spans="2:7" ht="14.25" customHeight="1" x14ac:dyDescent="0.3">
      <c r="B258" s="478"/>
      <c r="C258" s="479"/>
      <c r="E258" s="480"/>
      <c r="G258" s="65"/>
    </row>
    <row r="259" spans="2:7" ht="14.25" customHeight="1" x14ac:dyDescent="0.3">
      <c r="B259" s="478"/>
      <c r="C259" s="479"/>
      <c r="E259" s="480"/>
      <c r="G259" s="65"/>
    </row>
    <row r="260" spans="2:7" ht="14.25" customHeight="1" x14ac:dyDescent="0.3">
      <c r="B260" s="478"/>
      <c r="C260" s="479"/>
      <c r="E260" s="480"/>
      <c r="G260" s="65"/>
    </row>
    <row r="261" spans="2:7" ht="14.25" customHeight="1" x14ac:dyDescent="0.3">
      <c r="B261" s="478"/>
      <c r="C261" s="479"/>
      <c r="E261" s="480"/>
      <c r="G261" s="65"/>
    </row>
    <row r="262" spans="2:7" ht="14.25" customHeight="1" x14ac:dyDescent="0.3">
      <c r="B262" s="478"/>
      <c r="C262" s="479"/>
      <c r="E262" s="480"/>
      <c r="G262" s="65"/>
    </row>
    <row r="263" spans="2:7" ht="14.25" customHeight="1" x14ac:dyDescent="0.3">
      <c r="B263" s="478"/>
      <c r="C263" s="479"/>
      <c r="E263" s="480"/>
      <c r="G263" s="65"/>
    </row>
    <row r="264" spans="2:7" ht="14.25" customHeight="1" x14ac:dyDescent="0.3">
      <c r="B264" s="478"/>
      <c r="C264" s="479"/>
      <c r="E264" s="480"/>
      <c r="G264" s="65"/>
    </row>
    <row r="265" spans="2:7" ht="14.25" customHeight="1" x14ac:dyDescent="0.3">
      <c r="B265" s="478"/>
      <c r="C265" s="479"/>
      <c r="E265" s="480"/>
      <c r="G265" s="65"/>
    </row>
    <row r="266" spans="2:7" ht="14.25" customHeight="1" x14ac:dyDescent="0.3">
      <c r="B266" s="478"/>
      <c r="C266" s="479"/>
      <c r="E266" s="480"/>
      <c r="G266" s="65"/>
    </row>
    <row r="267" spans="2:7" ht="14.25" customHeight="1" x14ac:dyDescent="0.3">
      <c r="B267" s="478"/>
      <c r="C267" s="479"/>
      <c r="E267" s="480"/>
      <c r="G267" s="65"/>
    </row>
    <row r="268" spans="2:7" ht="14.25" customHeight="1" x14ac:dyDescent="0.3">
      <c r="B268" s="478"/>
      <c r="C268" s="479"/>
      <c r="E268" s="480"/>
      <c r="G268" s="65"/>
    </row>
    <row r="269" spans="2:7" ht="14.25" customHeight="1" x14ac:dyDescent="0.3">
      <c r="B269" s="478"/>
      <c r="C269" s="479"/>
      <c r="E269" s="480"/>
      <c r="G269" s="65"/>
    </row>
    <row r="270" spans="2:7" ht="14.25" customHeight="1" x14ac:dyDescent="0.3">
      <c r="B270" s="478"/>
      <c r="C270" s="479"/>
      <c r="E270" s="480"/>
      <c r="G270" s="65"/>
    </row>
    <row r="271" spans="2:7" ht="14.25" customHeight="1" x14ac:dyDescent="0.3">
      <c r="B271" s="478"/>
      <c r="C271" s="479"/>
      <c r="E271" s="480"/>
      <c r="G271" s="65"/>
    </row>
    <row r="272" spans="2:7" ht="14.25" customHeight="1" x14ac:dyDescent="0.3">
      <c r="B272" s="478"/>
      <c r="C272" s="479"/>
      <c r="E272" s="480"/>
      <c r="G272" s="65"/>
    </row>
    <row r="273" spans="2:7" ht="14.25" customHeight="1" x14ac:dyDescent="0.3">
      <c r="B273" s="478"/>
      <c r="C273" s="479"/>
      <c r="E273" s="480"/>
      <c r="G273" s="65"/>
    </row>
    <row r="274" spans="2:7" ht="14.25" customHeight="1" x14ac:dyDescent="0.3">
      <c r="B274" s="478"/>
      <c r="C274" s="479"/>
      <c r="E274" s="480"/>
      <c r="G274" s="65"/>
    </row>
    <row r="275" spans="2:7" ht="14.25" customHeight="1" x14ac:dyDescent="0.3">
      <c r="B275" s="478"/>
      <c r="C275" s="479"/>
      <c r="E275" s="480"/>
      <c r="G275" s="65"/>
    </row>
    <row r="276" spans="2:7" ht="14.25" customHeight="1" x14ac:dyDescent="0.3">
      <c r="B276" s="478"/>
      <c r="C276" s="479"/>
      <c r="E276" s="480"/>
      <c r="G276" s="65"/>
    </row>
    <row r="277" spans="2:7" ht="14.25" customHeight="1" x14ac:dyDescent="0.3">
      <c r="B277" s="478"/>
      <c r="C277" s="479"/>
      <c r="E277" s="480"/>
      <c r="G277" s="65"/>
    </row>
    <row r="278" spans="2:7" ht="14.25" customHeight="1" x14ac:dyDescent="0.3">
      <c r="B278" s="478"/>
      <c r="C278" s="479"/>
      <c r="E278" s="480"/>
      <c r="G278" s="65"/>
    </row>
    <row r="279" spans="2:7" ht="14.25" customHeight="1" x14ac:dyDescent="0.3">
      <c r="B279" s="478"/>
      <c r="C279" s="479"/>
      <c r="E279" s="480"/>
      <c r="G279" s="65"/>
    </row>
    <row r="280" spans="2:7" ht="14.25" customHeight="1" x14ac:dyDescent="0.3">
      <c r="B280" s="478"/>
      <c r="C280" s="479"/>
      <c r="E280" s="480"/>
      <c r="G280" s="65"/>
    </row>
    <row r="281" spans="2:7" ht="14.25" customHeight="1" x14ac:dyDescent="0.3">
      <c r="B281" s="478"/>
      <c r="C281" s="479"/>
      <c r="E281" s="480"/>
      <c r="G281" s="65"/>
    </row>
    <row r="282" spans="2:7" ht="14.25" customHeight="1" x14ac:dyDescent="0.3">
      <c r="B282" s="478"/>
      <c r="C282" s="479"/>
      <c r="E282" s="480"/>
      <c r="G282" s="65"/>
    </row>
    <row r="283" spans="2:7" ht="14.25" customHeight="1" x14ac:dyDescent="0.3">
      <c r="B283" s="478"/>
      <c r="C283" s="479"/>
      <c r="E283" s="480"/>
      <c r="G283" s="65"/>
    </row>
    <row r="284" spans="2:7" ht="14.25" customHeight="1" x14ac:dyDescent="0.3">
      <c r="B284" s="478"/>
      <c r="C284" s="479"/>
      <c r="E284" s="480"/>
      <c r="G284" s="65"/>
    </row>
    <row r="285" spans="2:7" ht="14.25" customHeight="1" x14ac:dyDescent="0.3">
      <c r="B285" s="478"/>
      <c r="C285" s="479"/>
      <c r="E285" s="480"/>
      <c r="G285" s="65"/>
    </row>
    <row r="286" spans="2:7" ht="14.25" customHeight="1" x14ac:dyDescent="0.3">
      <c r="B286" s="478"/>
      <c r="C286" s="479"/>
      <c r="E286" s="480"/>
      <c r="G286" s="65"/>
    </row>
    <row r="287" spans="2:7" ht="14.25" customHeight="1" x14ac:dyDescent="0.3">
      <c r="B287" s="478"/>
      <c r="C287" s="479"/>
      <c r="E287" s="480"/>
      <c r="G287" s="65"/>
    </row>
    <row r="288" spans="2:7" ht="14.25" customHeight="1" x14ac:dyDescent="0.3">
      <c r="B288" s="478"/>
      <c r="C288" s="479"/>
      <c r="E288" s="480"/>
      <c r="G288" s="65"/>
    </row>
    <row r="289" spans="2:7" ht="14.25" customHeight="1" x14ac:dyDescent="0.3">
      <c r="B289" s="478"/>
      <c r="C289" s="479"/>
      <c r="E289" s="480"/>
      <c r="G289" s="65"/>
    </row>
    <row r="290" spans="2:7" ht="14.25" customHeight="1" x14ac:dyDescent="0.3">
      <c r="B290" s="478"/>
      <c r="C290" s="479"/>
      <c r="E290" s="480"/>
      <c r="G290" s="65"/>
    </row>
    <row r="291" spans="2:7" ht="14.25" customHeight="1" x14ac:dyDescent="0.3">
      <c r="B291" s="478"/>
      <c r="C291" s="479"/>
      <c r="E291" s="480"/>
      <c r="G291" s="65"/>
    </row>
    <row r="292" spans="2:7" ht="14.25" customHeight="1" x14ac:dyDescent="0.3">
      <c r="B292" s="478"/>
      <c r="C292" s="479"/>
      <c r="E292" s="480"/>
      <c r="G292" s="65"/>
    </row>
    <row r="293" spans="2:7" ht="14.25" customHeight="1" x14ac:dyDescent="0.3">
      <c r="B293" s="478"/>
      <c r="C293" s="479"/>
      <c r="E293" s="480"/>
      <c r="G293" s="65"/>
    </row>
    <row r="294" spans="2:7" ht="14.25" customHeight="1" x14ac:dyDescent="0.3">
      <c r="B294" s="478"/>
      <c r="C294" s="479"/>
      <c r="E294" s="480"/>
      <c r="G294" s="65"/>
    </row>
    <row r="295" spans="2:7" ht="14.25" customHeight="1" x14ac:dyDescent="0.3">
      <c r="B295" s="478"/>
      <c r="C295" s="479"/>
      <c r="E295" s="480"/>
      <c r="G295" s="65"/>
    </row>
    <row r="296" spans="2:7" ht="14.25" customHeight="1" x14ac:dyDescent="0.3">
      <c r="B296" s="478"/>
      <c r="C296" s="479"/>
      <c r="E296" s="480"/>
      <c r="G296" s="65"/>
    </row>
    <row r="297" spans="2:7" ht="14.25" customHeight="1" x14ac:dyDescent="0.3">
      <c r="B297" s="478"/>
      <c r="C297" s="479"/>
      <c r="E297" s="480"/>
      <c r="G297" s="65"/>
    </row>
    <row r="298" spans="2:7" ht="14.25" customHeight="1" x14ac:dyDescent="0.3">
      <c r="B298" s="478"/>
      <c r="C298" s="479"/>
      <c r="E298" s="480"/>
      <c r="G298" s="65"/>
    </row>
    <row r="299" spans="2:7" ht="14.25" customHeight="1" x14ac:dyDescent="0.3">
      <c r="B299" s="478"/>
      <c r="C299" s="479"/>
      <c r="E299" s="480"/>
      <c r="G299" s="65"/>
    </row>
    <row r="300" spans="2:7" ht="14.25" customHeight="1" x14ac:dyDescent="0.3">
      <c r="B300" s="478"/>
      <c r="C300" s="479"/>
      <c r="E300" s="480"/>
      <c r="G300" s="65"/>
    </row>
    <row r="301" spans="2:7" ht="14.25" customHeight="1" x14ac:dyDescent="0.3">
      <c r="B301" s="478"/>
      <c r="C301" s="479"/>
      <c r="E301" s="480"/>
      <c r="G301" s="65"/>
    </row>
    <row r="302" spans="2:7" ht="14.25" customHeight="1" x14ac:dyDescent="0.3">
      <c r="B302" s="478"/>
      <c r="C302" s="479"/>
      <c r="E302" s="480"/>
      <c r="G302" s="65"/>
    </row>
    <row r="303" spans="2:7" ht="14.25" customHeight="1" x14ac:dyDescent="0.3">
      <c r="B303" s="478"/>
      <c r="C303" s="479"/>
      <c r="E303" s="480"/>
      <c r="G303" s="65"/>
    </row>
    <row r="304" spans="2:7" ht="14.25" customHeight="1" x14ac:dyDescent="0.3">
      <c r="B304" s="478"/>
      <c r="C304" s="479"/>
      <c r="E304" s="480"/>
      <c r="G304" s="65"/>
    </row>
    <row r="305" spans="2:7" ht="14.25" customHeight="1" x14ac:dyDescent="0.3">
      <c r="B305" s="478"/>
      <c r="C305" s="479"/>
      <c r="E305" s="480"/>
      <c r="G305" s="65"/>
    </row>
    <row r="306" spans="2:7" ht="14.25" customHeight="1" x14ac:dyDescent="0.3">
      <c r="B306" s="478"/>
      <c r="C306" s="479"/>
      <c r="E306" s="480"/>
      <c r="G306" s="65"/>
    </row>
    <row r="307" spans="2:7" ht="14.25" customHeight="1" x14ac:dyDescent="0.3">
      <c r="B307" s="478"/>
      <c r="C307" s="479"/>
      <c r="E307" s="480"/>
      <c r="G307" s="65"/>
    </row>
    <row r="308" spans="2:7" ht="14.25" customHeight="1" x14ac:dyDescent="0.3">
      <c r="B308" s="478"/>
      <c r="C308" s="479"/>
      <c r="E308" s="480"/>
      <c r="G308" s="65"/>
    </row>
    <row r="309" spans="2:7" ht="14.25" customHeight="1" x14ac:dyDescent="0.3">
      <c r="B309" s="478"/>
      <c r="C309" s="479"/>
      <c r="E309" s="480"/>
      <c r="G309" s="65"/>
    </row>
    <row r="310" spans="2:7" ht="14.25" customHeight="1" x14ac:dyDescent="0.3">
      <c r="B310" s="478"/>
      <c r="C310" s="479"/>
      <c r="E310" s="480"/>
      <c r="G310" s="65"/>
    </row>
    <row r="311" spans="2:7" ht="14.25" customHeight="1" x14ac:dyDescent="0.3">
      <c r="B311" s="478"/>
      <c r="C311" s="479"/>
      <c r="E311" s="480"/>
      <c r="G311" s="65"/>
    </row>
    <row r="312" spans="2:7" ht="14.25" customHeight="1" x14ac:dyDescent="0.3">
      <c r="B312" s="478"/>
      <c r="C312" s="479"/>
      <c r="E312" s="480"/>
      <c r="G312" s="65"/>
    </row>
    <row r="313" spans="2:7" ht="14.25" customHeight="1" x14ac:dyDescent="0.3">
      <c r="B313" s="478"/>
      <c r="C313" s="479"/>
      <c r="E313" s="480"/>
      <c r="G313" s="65"/>
    </row>
    <row r="314" spans="2:7" ht="14.25" customHeight="1" x14ac:dyDescent="0.3">
      <c r="B314" s="478"/>
      <c r="C314" s="479"/>
      <c r="E314" s="480"/>
      <c r="G314" s="65"/>
    </row>
    <row r="315" spans="2:7" ht="14.25" customHeight="1" x14ac:dyDescent="0.3">
      <c r="B315" s="478"/>
      <c r="C315" s="479"/>
      <c r="E315" s="480"/>
      <c r="G315" s="65"/>
    </row>
    <row r="316" spans="2:7" ht="14.25" customHeight="1" x14ac:dyDescent="0.3">
      <c r="B316" s="478"/>
      <c r="C316" s="479"/>
      <c r="E316" s="480"/>
      <c r="G316" s="65"/>
    </row>
    <row r="317" spans="2:7" ht="14.25" customHeight="1" x14ac:dyDescent="0.3">
      <c r="B317" s="478"/>
      <c r="C317" s="479"/>
      <c r="E317" s="480"/>
      <c r="G317" s="65"/>
    </row>
    <row r="318" spans="2:7" ht="14.25" customHeight="1" x14ac:dyDescent="0.3">
      <c r="B318" s="478"/>
      <c r="C318" s="479"/>
      <c r="E318" s="480"/>
      <c r="G318" s="65"/>
    </row>
    <row r="319" spans="2:7" ht="14.25" customHeight="1" x14ac:dyDescent="0.3">
      <c r="B319" s="478"/>
      <c r="C319" s="479"/>
      <c r="E319" s="480"/>
      <c r="G319" s="65"/>
    </row>
    <row r="320" spans="2:7" ht="14.25" customHeight="1" x14ac:dyDescent="0.3">
      <c r="B320" s="478"/>
      <c r="C320" s="479"/>
      <c r="E320" s="480"/>
      <c r="G320" s="65"/>
    </row>
    <row r="321" spans="2:7" ht="14.25" customHeight="1" x14ac:dyDescent="0.3">
      <c r="B321" s="478"/>
      <c r="C321" s="479"/>
      <c r="E321" s="480"/>
      <c r="G321" s="65"/>
    </row>
    <row r="322" spans="2:7" ht="14.25" customHeight="1" x14ac:dyDescent="0.3">
      <c r="B322" s="478"/>
      <c r="C322" s="479"/>
      <c r="E322" s="480"/>
      <c r="G322" s="65"/>
    </row>
    <row r="323" spans="2:7" ht="14.25" customHeight="1" x14ac:dyDescent="0.3">
      <c r="B323" s="478"/>
      <c r="C323" s="479"/>
      <c r="E323" s="480"/>
      <c r="G323" s="65"/>
    </row>
    <row r="324" spans="2:7" ht="14.25" customHeight="1" x14ac:dyDescent="0.3">
      <c r="B324" s="478"/>
      <c r="C324" s="479"/>
      <c r="E324" s="480"/>
      <c r="G324" s="65"/>
    </row>
    <row r="325" spans="2:7" ht="14.25" customHeight="1" x14ac:dyDescent="0.3">
      <c r="B325" s="478"/>
      <c r="C325" s="479"/>
      <c r="E325" s="480"/>
      <c r="G325" s="65"/>
    </row>
    <row r="326" spans="2:7" ht="14.25" customHeight="1" x14ac:dyDescent="0.3">
      <c r="B326" s="478"/>
      <c r="C326" s="479"/>
      <c r="E326" s="480"/>
      <c r="G326" s="65"/>
    </row>
    <row r="327" spans="2:7" ht="14.25" customHeight="1" x14ac:dyDescent="0.3">
      <c r="B327" s="478"/>
      <c r="C327" s="479"/>
      <c r="E327" s="480"/>
      <c r="G327" s="65"/>
    </row>
    <row r="328" spans="2:7" ht="14.25" customHeight="1" x14ac:dyDescent="0.3">
      <c r="B328" s="478"/>
      <c r="C328" s="479"/>
      <c r="E328" s="480"/>
      <c r="G328" s="65"/>
    </row>
    <row r="329" spans="2:7" ht="14.25" customHeight="1" x14ac:dyDescent="0.3">
      <c r="B329" s="478"/>
      <c r="C329" s="479"/>
      <c r="E329" s="480"/>
      <c r="G329" s="65"/>
    </row>
    <row r="330" spans="2:7" ht="14.25" customHeight="1" x14ac:dyDescent="0.3">
      <c r="B330" s="478"/>
      <c r="C330" s="479"/>
      <c r="E330" s="480"/>
      <c r="G330" s="65"/>
    </row>
    <row r="331" spans="2:7" ht="14.25" customHeight="1" x14ac:dyDescent="0.3">
      <c r="B331" s="478"/>
      <c r="C331" s="479"/>
      <c r="E331" s="480"/>
      <c r="G331" s="65"/>
    </row>
    <row r="332" spans="2:7" ht="14.25" customHeight="1" x14ac:dyDescent="0.3">
      <c r="B332" s="478"/>
      <c r="C332" s="479"/>
      <c r="E332" s="480"/>
      <c r="G332" s="65"/>
    </row>
    <row r="333" spans="2:7" ht="14.25" customHeight="1" x14ac:dyDescent="0.3">
      <c r="B333" s="478"/>
      <c r="C333" s="479"/>
      <c r="E333" s="480"/>
      <c r="G333" s="65"/>
    </row>
    <row r="334" spans="2:7" ht="14.25" customHeight="1" x14ac:dyDescent="0.3">
      <c r="B334" s="478"/>
      <c r="C334" s="479"/>
      <c r="E334" s="480"/>
      <c r="G334" s="65"/>
    </row>
    <row r="335" spans="2:7" ht="14.25" customHeight="1" x14ac:dyDescent="0.3">
      <c r="B335" s="478"/>
      <c r="C335" s="479"/>
      <c r="E335" s="480"/>
      <c r="G335" s="65"/>
    </row>
    <row r="336" spans="2:7" ht="14.25" customHeight="1" x14ac:dyDescent="0.3">
      <c r="B336" s="478"/>
      <c r="C336" s="479"/>
      <c r="E336" s="480"/>
      <c r="G336" s="65"/>
    </row>
    <row r="337" spans="2:7" ht="14.25" customHeight="1" x14ac:dyDescent="0.3">
      <c r="B337" s="478"/>
      <c r="C337" s="479"/>
      <c r="E337" s="480"/>
      <c r="G337" s="65"/>
    </row>
    <row r="338" spans="2:7" ht="14.25" customHeight="1" x14ac:dyDescent="0.3">
      <c r="B338" s="478"/>
      <c r="C338" s="479"/>
      <c r="E338" s="480"/>
      <c r="G338" s="65"/>
    </row>
    <row r="339" spans="2:7" ht="14.25" customHeight="1" x14ac:dyDescent="0.3">
      <c r="B339" s="478"/>
      <c r="C339" s="479"/>
      <c r="E339" s="480"/>
      <c r="G339" s="65"/>
    </row>
    <row r="340" spans="2:7" ht="14.25" customHeight="1" x14ac:dyDescent="0.3">
      <c r="B340" s="478"/>
      <c r="C340" s="479"/>
      <c r="E340" s="480"/>
      <c r="G340" s="65"/>
    </row>
    <row r="341" spans="2:7" ht="14.25" customHeight="1" x14ac:dyDescent="0.3">
      <c r="B341" s="478"/>
      <c r="C341" s="479"/>
      <c r="E341" s="480"/>
      <c r="G341" s="65"/>
    </row>
    <row r="342" spans="2:7" ht="14.25" customHeight="1" x14ac:dyDescent="0.3">
      <c r="B342" s="478"/>
      <c r="C342" s="479"/>
      <c r="E342" s="480"/>
      <c r="G342" s="65"/>
    </row>
    <row r="343" spans="2:7" ht="14.25" customHeight="1" x14ac:dyDescent="0.3">
      <c r="B343" s="478"/>
      <c r="C343" s="479"/>
      <c r="E343" s="480"/>
      <c r="G343" s="65"/>
    </row>
    <row r="344" spans="2:7" ht="14.25" customHeight="1" x14ac:dyDescent="0.3">
      <c r="B344" s="478"/>
      <c r="C344" s="479"/>
      <c r="E344" s="480"/>
      <c r="G344" s="65"/>
    </row>
    <row r="345" spans="2:7" ht="14.25" customHeight="1" x14ac:dyDescent="0.3">
      <c r="B345" s="478"/>
      <c r="C345" s="479"/>
      <c r="E345" s="480"/>
      <c r="G345" s="65"/>
    </row>
    <row r="346" spans="2:7" ht="14.25" customHeight="1" x14ac:dyDescent="0.3">
      <c r="B346" s="478"/>
      <c r="C346" s="479"/>
      <c r="E346" s="480"/>
      <c r="G346" s="65"/>
    </row>
    <row r="347" spans="2:7" ht="14.25" customHeight="1" x14ac:dyDescent="0.3">
      <c r="B347" s="478"/>
      <c r="C347" s="479"/>
      <c r="E347" s="480"/>
      <c r="G347" s="65"/>
    </row>
    <row r="348" spans="2:7" ht="14.25" customHeight="1" x14ac:dyDescent="0.3">
      <c r="B348" s="478"/>
      <c r="C348" s="479"/>
      <c r="E348" s="480"/>
      <c r="G348" s="65"/>
    </row>
    <row r="349" spans="2:7" ht="14.25" customHeight="1" x14ac:dyDescent="0.3">
      <c r="B349" s="478"/>
      <c r="C349" s="479"/>
      <c r="E349" s="480"/>
      <c r="G349" s="65"/>
    </row>
    <row r="350" spans="2:7" ht="14.25" customHeight="1" x14ac:dyDescent="0.3">
      <c r="B350" s="478"/>
      <c r="C350" s="479"/>
      <c r="E350" s="480"/>
      <c r="G350" s="65"/>
    </row>
    <row r="351" spans="2:7" ht="14.25" customHeight="1" x14ac:dyDescent="0.3">
      <c r="B351" s="478"/>
      <c r="C351" s="479"/>
      <c r="E351" s="480"/>
      <c r="G351" s="65"/>
    </row>
    <row r="352" spans="2:7" ht="14.25" customHeight="1" x14ac:dyDescent="0.3">
      <c r="B352" s="478"/>
      <c r="C352" s="479"/>
      <c r="E352" s="480"/>
      <c r="G352" s="65"/>
    </row>
    <row r="353" spans="2:7" ht="14.25" customHeight="1" x14ac:dyDescent="0.3">
      <c r="B353" s="478"/>
      <c r="C353" s="479"/>
      <c r="E353" s="480"/>
      <c r="G353" s="65"/>
    </row>
    <row r="354" spans="2:7" ht="14.25" customHeight="1" x14ac:dyDescent="0.3">
      <c r="B354" s="478"/>
      <c r="C354" s="479"/>
      <c r="E354" s="480"/>
      <c r="G354" s="65"/>
    </row>
    <row r="355" spans="2:7" ht="14.25" customHeight="1" x14ac:dyDescent="0.3">
      <c r="B355" s="478"/>
      <c r="C355" s="479"/>
      <c r="E355" s="480"/>
      <c r="G355" s="65"/>
    </row>
    <row r="356" spans="2:7" ht="14.25" customHeight="1" x14ac:dyDescent="0.3">
      <c r="B356" s="478"/>
      <c r="C356" s="479"/>
      <c r="E356" s="480"/>
      <c r="G356" s="65"/>
    </row>
    <row r="357" spans="2:7" ht="14.25" customHeight="1" x14ac:dyDescent="0.3">
      <c r="B357" s="478"/>
      <c r="C357" s="479"/>
      <c r="E357" s="480"/>
      <c r="G357" s="65"/>
    </row>
    <row r="358" spans="2:7" ht="14.25" customHeight="1" x14ac:dyDescent="0.3">
      <c r="B358" s="478"/>
      <c r="C358" s="479"/>
      <c r="E358" s="480"/>
      <c r="G358" s="65"/>
    </row>
    <row r="359" spans="2:7" ht="14.25" customHeight="1" x14ac:dyDescent="0.3">
      <c r="B359" s="478"/>
      <c r="C359" s="479"/>
      <c r="E359" s="480"/>
      <c r="G359" s="65"/>
    </row>
    <row r="360" spans="2:7" ht="14.25" customHeight="1" x14ac:dyDescent="0.3">
      <c r="B360" s="478"/>
      <c r="C360" s="479"/>
      <c r="E360" s="480"/>
      <c r="G360" s="65"/>
    </row>
    <row r="361" spans="2:7" ht="14.25" customHeight="1" x14ac:dyDescent="0.3">
      <c r="B361" s="478"/>
      <c r="C361" s="479"/>
      <c r="E361" s="480"/>
      <c r="G361" s="65"/>
    </row>
    <row r="362" spans="2:7" ht="14.25" customHeight="1" x14ac:dyDescent="0.3">
      <c r="B362" s="478"/>
      <c r="C362" s="479"/>
      <c r="E362" s="480"/>
      <c r="G362" s="65"/>
    </row>
    <row r="363" spans="2:7" ht="14.25" customHeight="1" x14ac:dyDescent="0.3">
      <c r="B363" s="478"/>
      <c r="C363" s="479"/>
      <c r="E363" s="480"/>
      <c r="G363" s="65"/>
    </row>
    <row r="364" spans="2:7" ht="14.25" customHeight="1" x14ac:dyDescent="0.3">
      <c r="B364" s="478"/>
      <c r="C364" s="479"/>
      <c r="E364" s="480"/>
      <c r="G364" s="65"/>
    </row>
    <row r="365" spans="2:7" ht="14.25" customHeight="1" x14ac:dyDescent="0.3">
      <c r="B365" s="478"/>
      <c r="C365" s="479"/>
      <c r="E365" s="480"/>
      <c r="G365" s="65"/>
    </row>
    <row r="366" spans="2:7" ht="14.25" customHeight="1" x14ac:dyDescent="0.3">
      <c r="B366" s="478"/>
      <c r="C366" s="479"/>
      <c r="E366" s="480"/>
      <c r="G366" s="65"/>
    </row>
    <row r="367" spans="2:7" ht="14.25" customHeight="1" x14ac:dyDescent="0.3">
      <c r="B367" s="478"/>
      <c r="C367" s="479"/>
      <c r="E367" s="480"/>
      <c r="G367" s="65"/>
    </row>
    <row r="368" spans="2:7" ht="14.25" customHeight="1" x14ac:dyDescent="0.3">
      <c r="B368" s="478"/>
      <c r="C368" s="479"/>
      <c r="E368" s="480"/>
      <c r="G368" s="65"/>
    </row>
    <row r="369" spans="2:7" ht="14.25" customHeight="1" x14ac:dyDescent="0.3">
      <c r="B369" s="478"/>
      <c r="C369" s="479"/>
      <c r="E369" s="480"/>
      <c r="G369" s="65"/>
    </row>
    <row r="370" spans="2:7" ht="14.25" customHeight="1" x14ac:dyDescent="0.3">
      <c r="B370" s="478"/>
      <c r="C370" s="479"/>
      <c r="E370" s="480"/>
      <c r="G370" s="65"/>
    </row>
    <row r="371" spans="2:7" ht="14.25" customHeight="1" x14ac:dyDescent="0.3">
      <c r="B371" s="478"/>
      <c r="C371" s="479"/>
      <c r="E371" s="480"/>
      <c r="G371" s="65"/>
    </row>
    <row r="372" spans="2:7" ht="14.25" customHeight="1" x14ac:dyDescent="0.3">
      <c r="B372" s="478"/>
      <c r="C372" s="479"/>
      <c r="E372" s="480"/>
      <c r="G372" s="65"/>
    </row>
    <row r="373" spans="2:7" ht="14.25" customHeight="1" x14ac:dyDescent="0.3">
      <c r="B373" s="478"/>
      <c r="C373" s="479"/>
      <c r="E373" s="480"/>
      <c r="G373" s="65"/>
    </row>
    <row r="374" spans="2:7" ht="14.25" customHeight="1" x14ac:dyDescent="0.3">
      <c r="B374" s="478"/>
      <c r="C374" s="479"/>
      <c r="E374" s="480"/>
      <c r="G374" s="65"/>
    </row>
    <row r="375" spans="2:7" ht="14.25" customHeight="1" x14ac:dyDescent="0.3">
      <c r="B375" s="478"/>
      <c r="C375" s="479"/>
      <c r="E375" s="480"/>
      <c r="G375" s="65"/>
    </row>
    <row r="376" spans="2:7" ht="14.25" customHeight="1" x14ac:dyDescent="0.3">
      <c r="B376" s="478"/>
      <c r="C376" s="479"/>
      <c r="E376" s="480"/>
      <c r="G376" s="65"/>
    </row>
    <row r="377" spans="2:7" ht="14.25" customHeight="1" x14ac:dyDescent="0.3">
      <c r="B377" s="478"/>
      <c r="C377" s="479"/>
      <c r="E377" s="480"/>
      <c r="G377" s="65"/>
    </row>
    <row r="378" spans="2:7" ht="14.25" customHeight="1" x14ac:dyDescent="0.3">
      <c r="B378" s="478"/>
      <c r="C378" s="479"/>
      <c r="E378" s="480"/>
      <c r="G378" s="65"/>
    </row>
    <row r="379" spans="2:7" ht="14.25" customHeight="1" x14ac:dyDescent="0.3">
      <c r="B379" s="478"/>
      <c r="C379" s="479"/>
      <c r="E379" s="480"/>
      <c r="G379" s="65"/>
    </row>
    <row r="380" spans="2:7" ht="14.25" customHeight="1" x14ac:dyDescent="0.3">
      <c r="B380" s="478"/>
      <c r="C380" s="479"/>
      <c r="E380" s="480"/>
      <c r="G380" s="65"/>
    </row>
    <row r="381" spans="2:7" ht="14.25" customHeight="1" x14ac:dyDescent="0.3">
      <c r="B381" s="478"/>
      <c r="C381" s="479"/>
      <c r="E381" s="480"/>
      <c r="G381" s="65"/>
    </row>
    <row r="382" spans="2:7" ht="14.25" customHeight="1" x14ac:dyDescent="0.3">
      <c r="B382" s="478"/>
      <c r="C382" s="479"/>
      <c r="E382" s="480"/>
      <c r="G382" s="65"/>
    </row>
    <row r="383" spans="2:7" ht="14.25" customHeight="1" x14ac:dyDescent="0.3">
      <c r="B383" s="478"/>
      <c r="C383" s="479"/>
      <c r="E383" s="480"/>
      <c r="G383" s="65"/>
    </row>
    <row r="384" spans="2:7" ht="14.25" customHeight="1" x14ac:dyDescent="0.3">
      <c r="B384" s="478"/>
      <c r="C384" s="479"/>
      <c r="E384" s="480"/>
      <c r="G384" s="65"/>
    </row>
    <row r="385" spans="2:7" ht="14.25" customHeight="1" x14ac:dyDescent="0.3">
      <c r="B385" s="478"/>
      <c r="C385" s="479"/>
      <c r="E385" s="480"/>
      <c r="G385" s="65"/>
    </row>
    <row r="386" spans="2:7" ht="14.25" customHeight="1" x14ac:dyDescent="0.3">
      <c r="B386" s="478"/>
      <c r="C386" s="479"/>
      <c r="E386" s="480"/>
      <c r="G386" s="65"/>
    </row>
    <row r="387" spans="2:7" ht="14.25" customHeight="1" x14ac:dyDescent="0.3">
      <c r="B387" s="478"/>
      <c r="C387" s="479"/>
      <c r="E387" s="480"/>
      <c r="G387" s="65"/>
    </row>
    <row r="388" spans="2:7" ht="14.25" customHeight="1" x14ac:dyDescent="0.3">
      <c r="B388" s="478"/>
      <c r="C388" s="479"/>
      <c r="E388" s="480"/>
      <c r="G388" s="65"/>
    </row>
    <row r="389" spans="2:7" ht="14.25" customHeight="1" x14ac:dyDescent="0.3">
      <c r="B389" s="478"/>
      <c r="C389" s="479"/>
      <c r="E389" s="480"/>
      <c r="G389" s="65"/>
    </row>
    <row r="390" spans="2:7" ht="14.25" customHeight="1" x14ac:dyDescent="0.3">
      <c r="B390" s="478"/>
      <c r="C390" s="479"/>
      <c r="E390" s="480"/>
      <c r="G390" s="65"/>
    </row>
    <row r="391" spans="2:7" ht="14.25" customHeight="1" x14ac:dyDescent="0.3">
      <c r="B391" s="478"/>
      <c r="C391" s="479"/>
      <c r="E391" s="480"/>
      <c r="G391" s="65"/>
    </row>
    <row r="392" spans="2:7" ht="14.25" customHeight="1" x14ac:dyDescent="0.3">
      <c r="B392" s="478"/>
      <c r="C392" s="479"/>
      <c r="E392" s="480"/>
      <c r="G392" s="65"/>
    </row>
    <row r="393" spans="2:7" ht="14.25" customHeight="1" x14ac:dyDescent="0.3">
      <c r="B393" s="478"/>
      <c r="C393" s="479"/>
      <c r="E393" s="480"/>
      <c r="G393" s="65"/>
    </row>
    <row r="394" spans="2:7" ht="14.25" customHeight="1" x14ac:dyDescent="0.3">
      <c r="B394" s="478"/>
      <c r="C394" s="479"/>
      <c r="E394" s="480"/>
      <c r="G394" s="65"/>
    </row>
    <row r="395" spans="2:7" ht="14.25" customHeight="1" x14ac:dyDescent="0.3">
      <c r="B395" s="478"/>
      <c r="C395" s="479"/>
      <c r="E395" s="480"/>
      <c r="G395" s="65"/>
    </row>
    <row r="396" spans="2:7" ht="14.25" customHeight="1" x14ac:dyDescent="0.3">
      <c r="B396" s="478"/>
      <c r="C396" s="479"/>
      <c r="E396" s="480"/>
      <c r="G396" s="65"/>
    </row>
    <row r="397" spans="2:7" ht="14.25" customHeight="1" x14ac:dyDescent="0.3">
      <c r="B397" s="478"/>
      <c r="C397" s="479"/>
      <c r="E397" s="480"/>
      <c r="G397" s="65"/>
    </row>
    <row r="398" spans="2:7" ht="14.25" customHeight="1" x14ac:dyDescent="0.3">
      <c r="B398" s="478"/>
      <c r="C398" s="479"/>
      <c r="E398" s="480"/>
      <c r="G398" s="65"/>
    </row>
    <row r="399" spans="2:7" ht="14.25" customHeight="1" x14ac:dyDescent="0.3">
      <c r="B399" s="478"/>
      <c r="C399" s="479"/>
      <c r="E399" s="480"/>
      <c r="G399" s="65"/>
    </row>
    <row r="400" spans="2:7" ht="14.25" customHeight="1" x14ac:dyDescent="0.3">
      <c r="B400" s="478"/>
      <c r="C400" s="479"/>
      <c r="E400" s="480"/>
      <c r="G400" s="65"/>
    </row>
    <row r="401" spans="2:7" ht="14.25" customHeight="1" x14ac:dyDescent="0.3">
      <c r="B401" s="478"/>
      <c r="C401" s="479"/>
      <c r="E401" s="480"/>
      <c r="G401" s="65"/>
    </row>
    <row r="402" spans="2:7" ht="14.25" customHeight="1" x14ac:dyDescent="0.3">
      <c r="B402" s="478"/>
      <c r="C402" s="479"/>
      <c r="E402" s="480"/>
      <c r="G402" s="65"/>
    </row>
    <row r="403" spans="2:7" ht="14.25" customHeight="1" x14ac:dyDescent="0.3">
      <c r="B403" s="478"/>
      <c r="C403" s="479"/>
      <c r="E403" s="480"/>
      <c r="G403" s="65"/>
    </row>
    <row r="404" spans="2:7" ht="14.25" customHeight="1" x14ac:dyDescent="0.3">
      <c r="B404" s="478"/>
      <c r="C404" s="479"/>
      <c r="E404" s="480"/>
      <c r="G404" s="65"/>
    </row>
    <row r="405" spans="2:7" ht="14.25" customHeight="1" x14ac:dyDescent="0.3">
      <c r="B405" s="478"/>
      <c r="C405" s="479"/>
      <c r="E405" s="480"/>
      <c r="G405" s="65"/>
    </row>
    <row r="406" spans="2:7" ht="14.25" customHeight="1" x14ac:dyDescent="0.3">
      <c r="B406" s="478"/>
      <c r="C406" s="479"/>
      <c r="E406" s="480"/>
      <c r="G406" s="65"/>
    </row>
    <row r="407" spans="2:7" ht="14.25" customHeight="1" x14ac:dyDescent="0.3">
      <c r="B407" s="478"/>
      <c r="C407" s="479"/>
      <c r="E407" s="480"/>
      <c r="G407" s="65"/>
    </row>
    <row r="408" spans="2:7" ht="14.25" customHeight="1" x14ac:dyDescent="0.3">
      <c r="B408" s="478"/>
      <c r="C408" s="479"/>
      <c r="E408" s="480"/>
      <c r="G408" s="65"/>
    </row>
    <row r="409" spans="2:7" ht="14.25" customHeight="1" x14ac:dyDescent="0.3">
      <c r="B409" s="478"/>
      <c r="C409" s="479"/>
      <c r="E409" s="480"/>
      <c r="G409" s="65"/>
    </row>
    <row r="410" spans="2:7" ht="14.25" customHeight="1" x14ac:dyDescent="0.3">
      <c r="B410" s="478"/>
      <c r="C410" s="479"/>
      <c r="E410" s="480"/>
      <c r="G410" s="65"/>
    </row>
    <row r="411" spans="2:7" ht="14.25" customHeight="1" x14ac:dyDescent="0.3">
      <c r="B411" s="478"/>
      <c r="C411" s="479"/>
      <c r="E411" s="480"/>
      <c r="G411" s="65"/>
    </row>
    <row r="412" spans="2:7" ht="14.25" customHeight="1" x14ac:dyDescent="0.3">
      <c r="B412" s="478"/>
      <c r="C412" s="479"/>
      <c r="E412" s="480"/>
      <c r="G412" s="65"/>
    </row>
    <row r="413" spans="2:7" ht="14.25" customHeight="1" x14ac:dyDescent="0.3">
      <c r="B413" s="478"/>
      <c r="C413" s="479"/>
      <c r="E413" s="480"/>
      <c r="G413" s="65"/>
    </row>
    <row r="414" spans="2:7" ht="14.25" customHeight="1" x14ac:dyDescent="0.3">
      <c r="B414" s="478"/>
      <c r="C414" s="479"/>
      <c r="E414" s="480"/>
      <c r="G414" s="65"/>
    </row>
    <row r="415" spans="2:7" ht="14.25" customHeight="1" x14ac:dyDescent="0.3">
      <c r="B415" s="478"/>
      <c r="C415" s="479"/>
      <c r="E415" s="480"/>
      <c r="G415" s="65"/>
    </row>
    <row r="416" spans="2:7" ht="14.25" customHeight="1" x14ac:dyDescent="0.3">
      <c r="B416" s="478"/>
      <c r="C416" s="479"/>
      <c r="E416" s="480"/>
      <c r="G416" s="65"/>
    </row>
    <row r="417" spans="2:7" ht="14.25" customHeight="1" x14ac:dyDescent="0.3">
      <c r="B417" s="478"/>
      <c r="C417" s="479"/>
      <c r="E417" s="480"/>
      <c r="G417" s="65"/>
    </row>
    <row r="418" spans="2:7" ht="14.25" customHeight="1" x14ac:dyDescent="0.3">
      <c r="B418" s="478"/>
      <c r="C418" s="479"/>
      <c r="E418" s="480"/>
      <c r="G418" s="65"/>
    </row>
    <row r="419" spans="2:7" ht="14.25" customHeight="1" x14ac:dyDescent="0.3">
      <c r="B419" s="478"/>
      <c r="C419" s="479"/>
      <c r="E419" s="480"/>
      <c r="G419" s="65"/>
    </row>
    <row r="420" spans="2:7" ht="14.25" customHeight="1" x14ac:dyDescent="0.3">
      <c r="B420" s="478"/>
      <c r="C420" s="479"/>
      <c r="E420" s="480"/>
      <c r="G420" s="65"/>
    </row>
    <row r="421" spans="2:7" ht="14.25" customHeight="1" x14ac:dyDescent="0.3">
      <c r="B421" s="478"/>
      <c r="C421" s="479"/>
      <c r="E421" s="480"/>
      <c r="G421" s="65"/>
    </row>
    <row r="422" spans="2:7" ht="14.25" customHeight="1" x14ac:dyDescent="0.3">
      <c r="B422" s="478"/>
      <c r="C422" s="479"/>
      <c r="E422" s="480"/>
      <c r="G422" s="65"/>
    </row>
    <row r="423" spans="2:7" ht="14.25" customHeight="1" x14ac:dyDescent="0.3">
      <c r="B423" s="478"/>
      <c r="C423" s="479"/>
      <c r="E423" s="480"/>
      <c r="G423" s="65"/>
    </row>
    <row r="424" spans="2:7" ht="14.25" customHeight="1" x14ac:dyDescent="0.3">
      <c r="B424" s="478"/>
      <c r="C424" s="479"/>
      <c r="E424" s="480"/>
      <c r="G424" s="65"/>
    </row>
    <row r="425" spans="2:7" ht="14.25" customHeight="1" x14ac:dyDescent="0.3">
      <c r="B425" s="478"/>
      <c r="C425" s="479"/>
      <c r="E425" s="480"/>
      <c r="G425" s="65"/>
    </row>
    <row r="426" spans="2:7" ht="14.25" customHeight="1" x14ac:dyDescent="0.3">
      <c r="B426" s="478"/>
      <c r="C426" s="479"/>
      <c r="E426" s="480"/>
      <c r="G426" s="65"/>
    </row>
    <row r="427" spans="2:7" ht="14.25" customHeight="1" x14ac:dyDescent="0.3">
      <c r="B427" s="478"/>
      <c r="C427" s="479"/>
      <c r="E427" s="480"/>
      <c r="G427" s="65"/>
    </row>
    <row r="428" spans="2:7" ht="14.25" customHeight="1" x14ac:dyDescent="0.3">
      <c r="B428" s="478"/>
      <c r="C428" s="479"/>
      <c r="E428" s="480"/>
      <c r="G428" s="65"/>
    </row>
    <row r="429" spans="2:7" ht="14.25" customHeight="1" x14ac:dyDescent="0.3">
      <c r="B429" s="478"/>
      <c r="C429" s="479"/>
      <c r="E429" s="480"/>
      <c r="G429" s="65"/>
    </row>
    <row r="430" spans="2:7" ht="14.25" customHeight="1" x14ac:dyDescent="0.3">
      <c r="B430" s="478"/>
      <c r="C430" s="479"/>
      <c r="E430" s="480"/>
      <c r="G430" s="65"/>
    </row>
    <row r="431" spans="2:7" ht="14.25" customHeight="1" x14ac:dyDescent="0.3">
      <c r="B431" s="478"/>
      <c r="C431" s="479"/>
      <c r="E431" s="480"/>
      <c r="G431" s="65"/>
    </row>
    <row r="432" spans="2:7" ht="14.25" customHeight="1" x14ac:dyDescent="0.3">
      <c r="B432" s="478"/>
      <c r="C432" s="479"/>
      <c r="E432" s="480"/>
      <c r="G432" s="65"/>
    </row>
    <row r="433" spans="2:7" ht="14.25" customHeight="1" x14ac:dyDescent="0.3">
      <c r="B433" s="478"/>
      <c r="C433" s="479"/>
      <c r="E433" s="480"/>
      <c r="G433" s="65"/>
    </row>
    <row r="434" spans="2:7" ht="14.25" customHeight="1" x14ac:dyDescent="0.3">
      <c r="B434" s="478"/>
      <c r="C434" s="479"/>
      <c r="E434" s="480"/>
      <c r="G434" s="65"/>
    </row>
    <row r="435" spans="2:7" ht="14.25" customHeight="1" x14ac:dyDescent="0.3">
      <c r="B435" s="478"/>
      <c r="C435" s="479"/>
      <c r="E435" s="480"/>
      <c r="G435" s="65"/>
    </row>
    <row r="436" spans="2:7" ht="14.25" customHeight="1" x14ac:dyDescent="0.3">
      <c r="B436" s="478"/>
      <c r="C436" s="479"/>
      <c r="E436" s="480"/>
      <c r="G436" s="65"/>
    </row>
    <row r="437" spans="2:7" ht="14.25" customHeight="1" x14ac:dyDescent="0.3">
      <c r="B437" s="478"/>
      <c r="C437" s="479"/>
      <c r="E437" s="480"/>
      <c r="G437" s="65"/>
    </row>
    <row r="438" spans="2:7" ht="14.25" customHeight="1" x14ac:dyDescent="0.3">
      <c r="B438" s="478"/>
      <c r="C438" s="479"/>
      <c r="E438" s="480"/>
      <c r="G438" s="65"/>
    </row>
    <row r="439" spans="2:7" ht="14.25" customHeight="1" x14ac:dyDescent="0.3">
      <c r="B439" s="478"/>
      <c r="C439" s="479"/>
      <c r="E439" s="480"/>
      <c r="G439" s="65"/>
    </row>
    <row r="440" spans="2:7" ht="14.25" customHeight="1" x14ac:dyDescent="0.3">
      <c r="B440" s="478"/>
      <c r="C440" s="479"/>
      <c r="E440" s="480"/>
      <c r="G440" s="65"/>
    </row>
    <row r="441" spans="2:7" ht="14.25" customHeight="1" x14ac:dyDescent="0.3">
      <c r="B441" s="478"/>
      <c r="C441" s="479"/>
      <c r="E441" s="480"/>
      <c r="G441" s="65"/>
    </row>
    <row r="442" spans="2:7" ht="14.25" customHeight="1" x14ac:dyDescent="0.3">
      <c r="B442" s="478"/>
      <c r="C442" s="479"/>
      <c r="E442" s="480"/>
      <c r="G442" s="65"/>
    </row>
    <row r="443" spans="2:7" ht="14.25" customHeight="1" x14ac:dyDescent="0.3">
      <c r="B443" s="478"/>
      <c r="C443" s="479"/>
      <c r="E443" s="480"/>
      <c r="G443" s="65"/>
    </row>
    <row r="444" spans="2:7" ht="14.25" customHeight="1" x14ac:dyDescent="0.3">
      <c r="B444" s="478"/>
      <c r="C444" s="479"/>
      <c r="E444" s="480"/>
      <c r="G444" s="65"/>
    </row>
    <row r="445" spans="2:7" ht="14.25" customHeight="1" x14ac:dyDescent="0.3">
      <c r="B445" s="478"/>
      <c r="C445" s="479"/>
      <c r="E445" s="480"/>
      <c r="G445" s="65"/>
    </row>
    <row r="446" spans="2:7" ht="14.25" customHeight="1" x14ac:dyDescent="0.3">
      <c r="B446" s="478"/>
      <c r="C446" s="479"/>
      <c r="E446" s="480"/>
      <c r="G446" s="65"/>
    </row>
    <row r="447" spans="2:7" ht="14.25" customHeight="1" x14ac:dyDescent="0.3">
      <c r="B447" s="478"/>
      <c r="C447" s="479"/>
      <c r="E447" s="480"/>
      <c r="G447" s="65"/>
    </row>
    <row r="448" spans="2:7" ht="14.25" customHeight="1" x14ac:dyDescent="0.3">
      <c r="B448" s="478"/>
      <c r="C448" s="479"/>
      <c r="E448" s="480"/>
      <c r="G448" s="65"/>
    </row>
    <row r="449" spans="2:7" ht="14.25" customHeight="1" x14ac:dyDescent="0.3">
      <c r="B449" s="478"/>
      <c r="C449" s="479"/>
      <c r="E449" s="480"/>
      <c r="G449" s="65"/>
    </row>
    <row r="450" spans="2:7" ht="14.25" customHeight="1" x14ac:dyDescent="0.3">
      <c r="B450" s="478"/>
      <c r="C450" s="479"/>
      <c r="E450" s="480"/>
      <c r="G450" s="65"/>
    </row>
    <row r="451" spans="2:7" ht="14.25" customHeight="1" x14ac:dyDescent="0.3">
      <c r="B451" s="478"/>
      <c r="C451" s="479"/>
      <c r="E451" s="480"/>
      <c r="G451" s="65"/>
    </row>
    <row r="452" spans="2:7" ht="14.25" customHeight="1" x14ac:dyDescent="0.3">
      <c r="B452" s="478"/>
      <c r="C452" s="479"/>
      <c r="E452" s="480"/>
      <c r="G452" s="65"/>
    </row>
    <row r="453" spans="2:7" ht="14.25" customHeight="1" x14ac:dyDescent="0.3">
      <c r="B453" s="478"/>
      <c r="C453" s="479"/>
      <c r="E453" s="480"/>
      <c r="G453" s="65"/>
    </row>
    <row r="454" spans="2:7" ht="14.25" customHeight="1" x14ac:dyDescent="0.3">
      <c r="B454" s="478"/>
      <c r="C454" s="479"/>
      <c r="E454" s="480"/>
      <c r="G454" s="65"/>
    </row>
    <row r="455" spans="2:7" ht="14.25" customHeight="1" x14ac:dyDescent="0.3">
      <c r="B455" s="478"/>
      <c r="C455" s="479"/>
      <c r="E455" s="480"/>
      <c r="G455" s="65"/>
    </row>
    <row r="456" spans="2:7" ht="14.25" customHeight="1" x14ac:dyDescent="0.3">
      <c r="B456" s="478"/>
      <c r="C456" s="479"/>
      <c r="E456" s="480"/>
      <c r="G456" s="65"/>
    </row>
    <row r="457" spans="2:7" ht="14.25" customHeight="1" x14ac:dyDescent="0.3">
      <c r="B457" s="478"/>
      <c r="C457" s="479"/>
      <c r="E457" s="480"/>
      <c r="G457" s="65"/>
    </row>
    <row r="458" spans="2:7" ht="14.25" customHeight="1" x14ac:dyDescent="0.3">
      <c r="B458" s="478"/>
      <c r="C458" s="479"/>
      <c r="E458" s="480"/>
      <c r="G458" s="65"/>
    </row>
    <row r="459" spans="2:7" ht="14.25" customHeight="1" x14ac:dyDescent="0.3">
      <c r="B459" s="478"/>
      <c r="C459" s="479"/>
      <c r="E459" s="480"/>
      <c r="G459" s="65"/>
    </row>
    <row r="460" spans="2:7" ht="14.25" customHeight="1" x14ac:dyDescent="0.3">
      <c r="B460" s="478"/>
      <c r="C460" s="479"/>
      <c r="E460" s="480"/>
      <c r="G460" s="65"/>
    </row>
    <row r="461" spans="2:7" ht="14.25" customHeight="1" x14ac:dyDescent="0.3">
      <c r="B461" s="478"/>
      <c r="C461" s="479"/>
      <c r="E461" s="480"/>
      <c r="G461" s="65"/>
    </row>
    <row r="462" spans="2:7" ht="14.25" customHeight="1" x14ac:dyDescent="0.3">
      <c r="B462" s="478"/>
      <c r="C462" s="479"/>
      <c r="E462" s="480"/>
      <c r="G462" s="65"/>
    </row>
    <row r="463" spans="2:7" ht="14.25" customHeight="1" x14ac:dyDescent="0.3">
      <c r="B463" s="478"/>
      <c r="C463" s="479"/>
      <c r="E463" s="480"/>
      <c r="G463" s="65"/>
    </row>
    <row r="464" spans="2:7" ht="14.25" customHeight="1" x14ac:dyDescent="0.3">
      <c r="B464" s="478"/>
      <c r="C464" s="479"/>
      <c r="E464" s="480"/>
      <c r="G464" s="65"/>
    </row>
    <row r="465" spans="2:7" ht="14.25" customHeight="1" x14ac:dyDescent="0.3">
      <c r="B465" s="478"/>
      <c r="C465" s="479"/>
      <c r="E465" s="480"/>
      <c r="G465" s="65"/>
    </row>
    <row r="466" spans="2:7" ht="14.25" customHeight="1" x14ac:dyDescent="0.3">
      <c r="B466" s="478"/>
      <c r="C466" s="479"/>
      <c r="E466" s="480"/>
      <c r="G466" s="65"/>
    </row>
    <row r="467" spans="2:7" ht="14.25" customHeight="1" x14ac:dyDescent="0.3">
      <c r="B467" s="478"/>
      <c r="C467" s="479"/>
      <c r="E467" s="480"/>
      <c r="G467" s="65"/>
    </row>
    <row r="468" spans="2:7" ht="14.25" customHeight="1" x14ac:dyDescent="0.3">
      <c r="B468" s="478"/>
      <c r="C468" s="479"/>
      <c r="E468" s="480"/>
      <c r="G468" s="65"/>
    </row>
    <row r="469" spans="2:7" ht="14.25" customHeight="1" x14ac:dyDescent="0.3">
      <c r="B469" s="478"/>
      <c r="C469" s="479"/>
      <c r="E469" s="480"/>
      <c r="G469" s="65"/>
    </row>
    <row r="470" spans="2:7" ht="14.25" customHeight="1" x14ac:dyDescent="0.3">
      <c r="B470" s="478"/>
      <c r="C470" s="479"/>
      <c r="E470" s="480"/>
      <c r="G470" s="65"/>
    </row>
    <row r="471" spans="2:7" ht="14.25" customHeight="1" x14ac:dyDescent="0.3">
      <c r="B471" s="478"/>
      <c r="C471" s="479"/>
      <c r="E471" s="480"/>
      <c r="G471" s="65"/>
    </row>
    <row r="472" spans="2:7" ht="14.25" customHeight="1" x14ac:dyDescent="0.3">
      <c r="B472" s="478"/>
      <c r="C472" s="479"/>
      <c r="E472" s="480"/>
      <c r="G472" s="65"/>
    </row>
    <row r="473" spans="2:7" ht="14.25" customHeight="1" x14ac:dyDescent="0.3">
      <c r="B473" s="478"/>
      <c r="C473" s="479"/>
      <c r="E473" s="480"/>
      <c r="G473" s="65"/>
    </row>
    <row r="474" spans="2:7" ht="14.25" customHeight="1" x14ac:dyDescent="0.3">
      <c r="B474" s="478"/>
      <c r="C474" s="479"/>
      <c r="E474" s="480"/>
      <c r="G474" s="65"/>
    </row>
    <row r="475" spans="2:7" ht="14.25" customHeight="1" x14ac:dyDescent="0.3">
      <c r="B475" s="478"/>
      <c r="C475" s="479"/>
      <c r="E475" s="480"/>
      <c r="G475" s="65"/>
    </row>
    <row r="476" spans="2:7" ht="14.25" customHeight="1" x14ac:dyDescent="0.3">
      <c r="B476" s="478"/>
      <c r="C476" s="479"/>
      <c r="E476" s="480"/>
      <c r="G476" s="65"/>
    </row>
    <row r="477" spans="2:7" ht="14.25" customHeight="1" x14ac:dyDescent="0.3">
      <c r="B477" s="478"/>
      <c r="C477" s="479"/>
      <c r="E477" s="480"/>
      <c r="G477" s="65"/>
    </row>
    <row r="478" spans="2:7" ht="14.25" customHeight="1" x14ac:dyDescent="0.3">
      <c r="B478" s="478"/>
      <c r="C478" s="479"/>
      <c r="E478" s="480"/>
      <c r="G478" s="65"/>
    </row>
    <row r="479" spans="2:7" ht="14.25" customHeight="1" x14ac:dyDescent="0.3">
      <c r="B479" s="478"/>
      <c r="C479" s="479"/>
      <c r="E479" s="480"/>
      <c r="G479" s="65"/>
    </row>
    <row r="480" spans="2:7" ht="14.25" customHeight="1" x14ac:dyDescent="0.3">
      <c r="B480" s="478"/>
      <c r="C480" s="479"/>
      <c r="E480" s="480"/>
      <c r="G480" s="65"/>
    </row>
    <row r="481" spans="2:7" ht="14.25" customHeight="1" x14ac:dyDescent="0.3">
      <c r="B481" s="478"/>
      <c r="C481" s="479"/>
      <c r="E481" s="480"/>
      <c r="G481" s="65"/>
    </row>
    <row r="482" spans="2:7" ht="14.25" customHeight="1" x14ac:dyDescent="0.3">
      <c r="B482" s="478"/>
      <c r="C482" s="479"/>
      <c r="E482" s="480"/>
      <c r="G482" s="65"/>
    </row>
    <row r="483" spans="2:7" ht="14.25" customHeight="1" x14ac:dyDescent="0.3">
      <c r="B483" s="478"/>
      <c r="C483" s="479"/>
      <c r="E483" s="480"/>
      <c r="G483" s="65"/>
    </row>
    <row r="484" spans="2:7" ht="14.25" customHeight="1" x14ac:dyDescent="0.3">
      <c r="B484" s="478"/>
      <c r="C484" s="479"/>
      <c r="E484" s="480"/>
      <c r="G484" s="65"/>
    </row>
    <row r="485" spans="2:7" ht="14.25" customHeight="1" x14ac:dyDescent="0.3">
      <c r="B485" s="478"/>
      <c r="C485" s="479"/>
      <c r="E485" s="480"/>
      <c r="G485" s="65"/>
    </row>
    <row r="486" spans="2:7" ht="14.25" customHeight="1" x14ac:dyDescent="0.3">
      <c r="B486" s="478"/>
      <c r="C486" s="479"/>
      <c r="E486" s="480"/>
      <c r="G486" s="65"/>
    </row>
    <row r="487" spans="2:7" ht="14.25" customHeight="1" x14ac:dyDescent="0.3">
      <c r="B487" s="478"/>
      <c r="C487" s="479"/>
      <c r="E487" s="480"/>
      <c r="G487" s="65"/>
    </row>
    <row r="488" spans="2:7" ht="14.25" customHeight="1" x14ac:dyDescent="0.3">
      <c r="B488" s="478"/>
      <c r="C488" s="479"/>
      <c r="E488" s="480"/>
      <c r="G488" s="65"/>
    </row>
    <row r="489" spans="2:7" ht="14.25" customHeight="1" x14ac:dyDescent="0.3">
      <c r="B489" s="478"/>
      <c r="C489" s="479"/>
      <c r="E489" s="480"/>
      <c r="G489" s="65"/>
    </row>
    <row r="490" spans="2:7" ht="14.25" customHeight="1" x14ac:dyDescent="0.3">
      <c r="B490" s="478"/>
      <c r="C490" s="479"/>
      <c r="E490" s="480"/>
      <c r="G490" s="65"/>
    </row>
    <row r="491" spans="2:7" ht="14.25" customHeight="1" x14ac:dyDescent="0.3">
      <c r="B491" s="478"/>
      <c r="C491" s="479"/>
      <c r="E491" s="480"/>
      <c r="G491" s="65"/>
    </row>
    <row r="492" spans="2:7" ht="14.25" customHeight="1" x14ac:dyDescent="0.3">
      <c r="B492" s="478"/>
      <c r="C492" s="479"/>
      <c r="E492" s="480"/>
      <c r="G492" s="65"/>
    </row>
    <row r="493" spans="2:7" ht="14.25" customHeight="1" x14ac:dyDescent="0.3">
      <c r="B493" s="478"/>
      <c r="C493" s="479"/>
      <c r="E493" s="480"/>
      <c r="G493" s="65"/>
    </row>
    <row r="494" spans="2:7" ht="14.25" customHeight="1" x14ac:dyDescent="0.3">
      <c r="B494" s="478"/>
      <c r="C494" s="479"/>
      <c r="E494" s="480"/>
      <c r="G494" s="65"/>
    </row>
    <row r="495" spans="2:7" ht="14.25" customHeight="1" x14ac:dyDescent="0.3">
      <c r="B495" s="478"/>
      <c r="C495" s="479"/>
      <c r="E495" s="480"/>
      <c r="G495" s="65"/>
    </row>
    <row r="496" spans="2:7" ht="14.25" customHeight="1" x14ac:dyDescent="0.3">
      <c r="B496" s="478"/>
      <c r="C496" s="479"/>
      <c r="E496" s="480"/>
      <c r="G496" s="65"/>
    </row>
    <row r="497" spans="2:7" ht="14.25" customHeight="1" x14ac:dyDescent="0.3">
      <c r="B497" s="478"/>
      <c r="C497" s="479"/>
      <c r="E497" s="480"/>
      <c r="G497" s="65"/>
    </row>
    <row r="498" spans="2:7" ht="14.25" customHeight="1" x14ac:dyDescent="0.3">
      <c r="B498" s="478"/>
      <c r="C498" s="479"/>
      <c r="E498" s="480"/>
      <c r="G498" s="65"/>
    </row>
    <row r="499" spans="2:7" ht="14.25" customHeight="1" x14ac:dyDescent="0.3">
      <c r="B499" s="478"/>
      <c r="C499" s="479"/>
      <c r="E499" s="480"/>
      <c r="G499" s="65"/>
    </row>
    <row r="500" spans="2:7" ht="14.25" customHeight="1" x14ac:dyDescent="0.3">
      <c r="B500" s="478"/>
      <c r="C500" s="479"/>
      <c r="E500" s="480"/>
      <c r="G500" s="65"/>
    </row>
    <row r="501" spans="2:7" ht="14.25" customHeight="1" x14ac:dyDescent="0.3">
      <c r="B501" s="478"/>
      <c r="C501" s="479"/>
      <c r="E501" s="480"/>
      <c r="G501" s="65"/>
    </row>
    <row r="502" spans="2:7" ht="14.25" customHeight="1" x14ac:dyDescent="0.3">
      <c r="B502" s="478"/>
      <c r="C502" s="479"/>
      <c r="E502" s="480"/>
      <c r="G502" s="65"/>
    </row>
    <row r="503" spans="2:7" ht="14.25" customHeight="1" x14ac:dyDescent="0.3">
      <c r="B503" s="478"/>
      <c r="C503" s="479"/>
      <c r="E503" s="480"/>
      <c r="G503" s="65"/>
    </row>
    <row r="504" spans="2:7" ht="14.25" customHeight="1" x14ac:dyDescent="0.3">
      <c r="B504" s="478"/>
      <c r="C504" s="479"/>
      <c r="E504" s="480"/>
      <c r="G504" s="65"/>
    </row>
    <row r="505" spans="2:7" ht="14.25" customHeight="1" x14ac:dyDescent="0.3">
      <c r="B505" s="478"/>
      <c r="C505" s="479"/>
      <c r="E505" s="480"/>
      <c r="G505" s="65"/>
    </row>
    <row r="506" spans="2:7" ht="14.25" customHeight="1" x14ac:dyDescent="0.3">
      <c r="B506" s="478"/>
      <c r="C506" s="479"/>
      <c r="E506" s="480"/>
      <c r="G506" s="65"/>
    </row>
    <row r="507" spans="2:7" ht="14.25" customHeight="1" x14ac:dyDescent="0.3">
      <c r="B507" s="478"/>
      <c r="C507" s="479"/>
      <c r="E507" s="480"/>
      <c r="G507" s="65"/>
    </row>
    <row r="508" spans="2:7" ht="14.25" customHeight="1" x14ac:dyDescent="0.3">
      <c r="B508" s="478"/>
      <c r="C508" s="479"/>
      <c r="E508" s="480"/>
      <c r="G508" s="65"/>
    </row>
    <row r="509" spans="2:7" ht="14.25" customHeight="1" x14ac:dyDescent="0.3">
      <c r="B509" s="478"/>
      <c r="C509" s="479"/>
      <c r="E509" s="480"/>
      <c r="G509" s="65"/>
    </row>
    <row r="510" spans="2:7" ht="14.25" customHeight="1" x14ac:dyDescent="0.3">
      <c r="B510" s="478"/>
      <c r="C510" s="479"/>
      <c r="E510" s="480"/>
      <c r="G510" s="65"/>
    </row>
    <row r="511" spans="2:7" ht="14.25" customHeight="1" x14ac:dyDescent="0.3">
      <c r="B511" s="478"/>
      <c r="C511" s="479"/>
      <c r="E511" s="480"/>
      <c r="G511" s="65"/>
    </row>
    <row r="512" spans="2:7" ht="14.25" customHeight="1" x14ac:dyDescent="0.3">
      <c r="B512" s="478"/>
      <c r="C512" s="479"/>
      <c r="E512" s="480"/>
      <c r="G512" s="65"/>
    </row>
    <row r="513" spans="2:7" ht="14.25" customHeight="1" x14ac:dyDescent="0.3">
      <c r="B513" s="478"/>
      <c r="C513" s="479"/>
      <c r="E513" s="480"/>
      <c r="G513" s="65"/>
    </row>
    <row r="514" spans="2:7" ht="14.25" customHeight="1" x14ac:dyDescent="0.3">
      <c r="B514" s="478"/>
      <c r="C514" s="479"/>
      <c r="E514" s="480"/>
      <c r="G514" s="65"/>
    </row>
    <row r="515" spans="2:7" ht="14.25" customHeight="1" x14ac:dyDescent="0.3">
      <c r="B515" s="478"/>
      <c r="C515" s="479"/>
      <c r="E515" s="480"/>
      <c r="G515" s="65"/>
    </row>
    <row r="516" spans="2:7" ht="14.25" customHeight="1" x14ac:dyDescent="0.3">
      <c r="B516" s="478"/>
      <c r="C516" s="479"/>
      <c r="E516" s="480"/>
      <c r="G516" s="65"/>
    </row>
    <row r="517" spans="2:7" ht="14.25" customHeight="1" x14ac:dyDescent="0.3">
      <c r="B517" s="478"/>
      <c r="C517" s="479"/>
      <c r="E517" s="480"/>
      <c r="G517" s="65"/>
    </row>
    <row r="518" spans="2:7" ht="14.25" customHeight="1" x14ac:dyDescent="0.3">
      <c r="B518" s="478"/>
      <c r="C518" s="479"/>
      <c r="E518" s="480"/>
      <c r="G518" s="65"/>
    </row>
    <row r="519" spans="2:7" ht="14.25" customHeight="1" x14ac:dyDescent="0.3">
      <c r="B519" s="478"/>
      <c r="C519" s="479"/>
      <c r="E519" s="480"/>
      <c r="G519" s="65"/>
    </row>
    <row r="520" spans="2:7" ht="14.25" customHeight="1" x14ac:dyDescent="0.3">
      <c r="B520" s="478"/>
      <c r="C520" s="479"/>
      <c r="E520" s="480"/>
      <c r="G520" s="65"/>
    </row>
    <row r="521" spans="2:7" ht="14.25" customHeight="1" x14ac:dyDescent="0.3">
      <c r="B521" s="478"/>
      <c r="C521" s="479"/>
      <c r="E521" s="480"/>
      <c r="G521" s="65"/>
    </row>
    <row r="522" spans="2:7" ht="14.25" customHeight="1" x14ac:dyDescent="0.3">
      <c r="B522" s="478"/>
      <c r="C522" s="479"/>
      <c r="E522" s="480"/>
      <c r="G522" s="65"/>
    </row>
    <row r="523" spans="2:7" ht="14.25" customHeight="1" x14ac:dyDescent="0.3">
      <c r="B523" s="478"/>
      <c r="C523" s="479"/>
      <c r="E523" s="480"/>
      <c r="G523" s="65"/>
    </row>
    <row r="524" spans="2:7" ht="14.25" customHeight="1" x14ac:dyDescent="0.3">
      <c r="B524" s="478"/>
      <c r="C524" s="479"/>
      <c r="E524" s="480"/>
      <c r="G524" s="65"/>
    </row>
    <row r="525" spans="2:7" ht="14.25" customHeight="1" x14ac:dyDescent="0.3">
      <c r="B525" s="478"/>
      <c r="C525" s="479"/>
      <c r="E525" s="480"/>
      <c r="G525" s="65"/>
    </row>
    <row r="526" spans="2:7" ht="14.25" customHeight="1" x14ac:dyDescent="0.3">
      <c r="B526" s="478"/>
      <c r="C526" s="479"/>
      <c r="E526" s="480"/>
      <c r="G526" s="65"/>
    </row>
    <row r="527" spans="2:7" ht="14.25" customHeight="1" x14ac:dyDescent="0.3">
      <c r="B527" s="478"/>
      <c r="C527" s="479"/>
      <c r="E527" s="480"/>
      <c r="G527" s="65"/>
    </row>
    <row r="528" spans="2:7" ht="14.25" customHeight="1" x14ac:dyDescent="0.3">
      <c r="B528" s="478"/>
      <c r="C528" s="479"/>
      <c r="E528" s="480"/>
      <c r="G528" s="65"/>
    </row>
    <row r="529" spans="2:7" ht="14.25" customHeight="1" x14ac:dyDescent="0.3">
      <c r="B529" s="478"/>
      <c r="C529" s="479"/>
      <c r="E529" s="480"/>
      <c r="G529" s="65"/>
    </row>
    <row r="530" spans="2:7" ht="14.25" customHeight="1" x14ac:dyDescent="0.3">
      <c r="B530" s="478"/>
      <c r="C530" s="479"/>
      <c r="E530" s="480"/>
      <c r="G530" s="65"/>
    </row>
    <row r="531" spans="2:7" ht="14.25" customHeight="1" x14ac:dyDescent="0.3">
      <c r="B531" s="478"/>
      <c r="C531" s="479"/>
      <c r="E531" s="480"/>
      <c r="G531" s="65"/>
    </row>
    <row r="532" spans="2:7" ht="14.25" customHeight="1" x14ac:dyDescent="0.3">
      <c r="B532" s="478"/>
      <c r="C532" s="479"/>
      <c r="E532" s="480"/>
      <c r="G532" s="65"/>
    </row>
    <row r="533" spans="2:7" ht="14.25" customHeight="1" x14ac:dyDescent="0.3">
      <c r="B533" s="478"/>
      <c r="C533" s="479"/>
      <c r="E533" s="480"/>
      <c r="G533" s="65"/>
    </row>
    <row r="534" spans="2:7" ht="14.25" customHeight="1" x14ac:dyDescent="0.3">
      <c r="B534" s="478"/>
      <c r="C534" s="479"/>
      <c r="E534" s="480"/>
      <c r="G534" s="65"/>
    </row>
    <row r="535" spans="2:7" ht="14.25" customHeight="1" x14ac:dyDescent="0.3">
      <c r="B535" s="478"/>
      <c r="C535" s="479"/>
      <c r="E535" s="480"/>
      <c r="G535" s="65"/>
    </row>
    <row r="536" spans="2:7" ht="14.25" customHeight="1" x14ac:dyDescent="0.3">
      <c r="B536" s="478"/>
      <c r="C536" s="479"/>
      <c r="E536" s="480"/>
      <c r="G536" s="65"/>
    </row>
    <row r="537" spans="2:7" ht="14.25" customHeight="1" x14ac:dyDescent="0.3">
      <c r="B537" s="478"/>
      <c r="C537" s="479"/>
      <c r="E537" s="480"/>
      <c r="G537" s="65"/>
    </row>
    <row r="538" spans="2:7" ht="14.25" customHeight="1" x14ac:dyDescent="0.3">
      <c r="B538" s="478"/>
      <c r="C538" s="479"/>
      <c r="E538" s="480"/>
      <c r="G538" s="65"/>
    </row>
    <row r="539" spans="2:7" ht="14.25" customHeight="1" x14ac:dyDescent="0.3">
      <c r="B539" s="478"/>
      <c r="C539" s="479"/>
      <c r="E539" s="480"/>
      <c r="G539" s="65"/>
    </row>
    <row r="540" spans="2:7" ht="14.25" customHeight="1" x14ac:dyDescent="0.3">
      <c r="B540" s="478"/>
      <c r="C540" s="479"/>
      <c r="E540" s="480"/>
      <c r="G540" s="65"/>
    </row>
    <row r="541" spans="2:7" ht="14.25" customHeight="1" x14ac:dyDescent="0.3">
      <c r="B541" s="478"/>
      <c r="C541" s="479"/>
      <c r="E541" s="480"/>
      <c r="G541" s="65"/>
    </row>
    <row r="542" spans="2:7" ht="14.25" customHeight="1" x14ac:dyDescent="0.3">
      <c r="B542" s="478"/>
      <c r="C542" s="479"/>
      <c r="E542" s="480"/>
      <c r="G542" s="65"/>
    </row>
    <row r="543" spans="2:7" ht="14.25" customHeight="1" x14ac:dyDescent="0.3">
      <c r="B543" s="478"/>
      <c r="C543" s="479"/>
      <c r="E543" s="480"/>
      <c r="G543" s="65"/>
    </row>
    <row r="544" spans="2:7" ht="14.25" customHeight="1" x14ac:dyDescent="0.3">
      <c r="B544" s="478"/>
      <c r="C544" s="479"/>
      <c r="E544" s="480"/>
      <c r="G544" s="65"/>
    </row>
    <row r="545" spans="2:7" ht="14.25" customHeight="1" x14ac:dyDescent="0.3">
      <c r="B545" s="478"/>
      <c r="C545" s="479"/>
      <c r="E545" s="480"/>
      <c r="G545" s="65"/>
    </row>
    <row r="546" spans="2:7" ht="14.25" customHeight="1" x14ac:dyDescent="0.3">
      <c r="B546" s="478"/>
      <c r="C546" s="479"/>
      <c r="E546" s="480"/>
      <c r="G546" s="65"/>
    </row>
    <row r="547" spans="2:7" ht="14.25" customHeight="1" x14ac:dyDescent="0.3">
      <c r="B547" s="478"/>
      <c r="C547" s="479"/>
      <c r="E547" s="480"/>
      <c r="G547" s="65"/>
    </row>
    <row r="548" spans="2:7" ht="14.25" customHeight="1" x14ac:dyDescent="0.3">
      <c r="B548" s="478"/>
      <c r="C548" s="479"/>
      <c r="E548" s="480"/>
      <c r="G548" s="65"/>
    </row>
    <row r="549" spans="2:7" ht="14.25" customHeight="1" x14ac:dyDescent="0.3">
      <c r="B549" s="478"/>
      <c r="C549" s="479"/>
      <c r="E549" s="480"/>
      <c r="G549" s="65"/>
    </row>
    <row r="550" spans="2:7" ht="14.25" customHeight="1" x14ac:dyDescent="0.3">
      <c r="B550" s="478"/>
      <c r="C550" s="479"/>
      <c r="E550" s="480"/>
      <c r="G550" s="65"/>
    </row>
    <row r="551" spans="2:7" ht="14.25" customHeight="1" x14ac:dyDescent="0.3">
      <c r="B551" s="478"/>
      <c r="C551" s="479"/>
      <c r="E551" s="480"/>
      <c r="G551" s="65"/>
    </row>
    <row r="552" spans="2:7" ht="14.25" customHeight="1" x14ac:dyDescent="0.3">
      <c r="B552" s="478"/>
      <c r="C552" s="479"/>
      <c r="E552" s="480"/>
      <c r="G552" s="65"/>
    </row>
    <row r="553" spans="2:7" ht="14.25" customHeight="1" x14ac:dyDescent="0.3">
      <c r="B553" s="478"/>
      <c r="C553" s="479"/>
      <c r="E553" s="480"/>
      <c r="G553" s="65"/>
    </row>
    <row r="554" spans="2:7" ht="14.25" customHeight="1" x14ac:dyDescent="0.3">
      <c r="B554" s="478"/>
      <c r="C554" s="479"/>
      <c r="E554" s="480"/>
      <c r="G554" s="65"/>
    </row>
    <row r="555" spans="2:7" ht="14.25" customHeight="1" x14ac:dyDescent="0.3">
      <c r="B555" s="478"/>
      <c r="C555" s="479"/>
      <c r="E555" s="480"/>
      <c r="G555" s="65"/>
    </row>
    <row r="556" spans="2:7" ht="14.25" customHeight="1" x14ac:dyDescent="0.3">
      <c r="B556" s="478"/>
      <c r="C556" s="479"/>
      <c r="E556" s="480"/>
      <c r="G556" s="65"/>
    </row>
    <row r="557" spans="2:7" ht="14.25" customHeight="1" x14ac:dyDescent="0.3">
      <c r="B557" s="478"/>
      <c r="C557" s="479"/>
      <c r="E557" s="480"/>
      <c r="G557" s="65"/>
    </row>
    <row r="558" spans="2:7" ht="14.25" customHeight="1" x14ac:dyDescent="0.3">
      <c r="B558" s="478"/>
      <c r="C558" s="479"/>
      <c r="E558" s="480"/>
      <c r="G558" s="65"/>
    </row>
    <row r="559" spans="2:7" ht="14.25" customHeight="1" x14ac:dyDescent="0.3">
      <c r="B559" s="478"/>
      <c r="C559" s="479"/>
      <c r="E559" s="480"/>
      <c r="G559" s="65"/>
    </row>
    <row r="560" spans="2:7" ht="14.25" customHeight="1" x14ac:dyDescent="0.3">
      <c r="B560" s="478"/>
      <c r="C560" s="479"/>
      <c r="E560" s="480"/>
      <c r="G560" s="65"/>
    </row>
    <row r="561" spans="2:7" ht="14.25" customHeight="1" x14ac:dyDescent="0.3">
      <c r="B561" s="478"/>
      <c r="C561" s="479"/>
      <c r="E561" s="480"/>
      <c r="G561" s="65"/>
    </row>
    <row r="562" spans="2:7" ht="14.25" customHeight="1" x14ac:dyDescent="0.3">
      <c r="B562" s="478"/>
      <c r="C562" s="479"/>
      <c r="E562" s="480"/>
      <c r="G562" s="65"/>
    </row>
    <row r="563" spans="2:7" ht="14.25" customHeight="1" x14ac:dyDescent="0.3">
      <c r="B563" s="478"/>
      <c r="C563" s="479"/>
      <c r="E563" s="480"/>
      <c r="G563" s="65"/>
    </row>
    <row r="564" spans="2:7" ht="14.25" customHeight="1" x14ac:dyDescent="0.3">
      <c r="B564" s="478"/>
      <c r="C564" s="479"/>
      <c r="E564" s="480"/>
      <c r="G564" s="65"/>
    </row>
    <row r="565" spans="2:7" ht="14.25" customHeight="1" x14ac:dyDescent="0.3">
      <c r="B565" s="478"/>
      <c r="C565" s="479"/>
      <c r="E565" s="480"/>
      <c r="G565" s="65"/>
    </row>
    <row r="566" spans="2:7" ht="14.25" customHeight="1" x14ac:dyDescent="0.3">
      <c r="B566" s="478"/>
      <c r="C566" s="479"/>
      <c r="E566" s="480"/>
      <c r="G566" s="65"/>
    </row>
    <row r="567" spans="2:7" ht="14.25" customHeight="1" x14ac:dyDescent="0.3">
      <c r="B567" s="478"/>
      <c r="C567" s="479"/>
      <c r="E567" s="480"/>
      <c r="G567" s="65"/>
    </row>
    <row r="568" spans="2:7" ht="14.25" customHeight="1" x14ac:dyDescent="0.3">
      <c r="B568" s="478"/>
      <c r="C568" s="479"/>
      <c r="E568" s="480"/>
      <c r="G568" s="65"/>
    </row>
    <row r="569" spans="2:7" ht="14.25" customHeight="1" x14ac:dyDescent="0.3">
      <c r="B569" s="478"/>
      <c r="C569" s="479"/>
      <c r="E569" s="480"/>
      <c r="G569" s="65"/>
    </row>
    <row r="570" spans="2:7" ht="14.25" customHeight="1" x14ac:dyDescent="0.3">
      <c r="B570" s="478"/>
      <c r="C570" s="479"/>
      <c r="E570" s="480"/>
      <c r="G570" s="65"/>
    </row>
    <row r="571" spans="2:7" ht="14.25" customHeight="1" x14ac:dyDescent="0.3">
      <c r="B571" s="478"/>
      <c r="C571" s="479"/>
      <c r="E571" s="480"/>
      <c r="G571" s="65"/>
    </row>
    <row r="572" spans="2:7" ht="14.25" customHeight="1" x14ac:dyDescent="0.3">
      <c r="B572" s="478"/>
      <c r="C572" s="479"/>
      <c r="E572" s="480"/>
      <c r="G572" s="65"/>
    </row>
    <row r="573" spans="2:7" ht="14.25" customHeight="1" x14ac:dyDescent="0.3">
      <c r="B573" s="478"/>
      <c r="C573" s="479"/>
      <c r="E573" s="480"/>
      <c r="G573" s="65"/>
    </row>
    <row r="574" spans="2:7" ht="14.25" customHeight="1" x14ac:dyDescent="0.3">
      <c r="B574" s="478"/>
      <c r="C574" s="479"/>
      <c r="E574" s="480"/>
      <c r="G574" s="65"/>
    </row>
    <row r="575" spans="2:7" ht="14.25" customHeight="1" x14ac:dyDescent="0.3">
      <c r="B575" s="478"/>
      <c r="C575" s="479"/>
      <c r="E575" s="480"/>
      <c r="G575" s="65"/>
    </row>
    <row r="576" spans="2:7" ht="14.25" customHeight="1" x14ac:dyDescent="0.3">
      <c r="B576" s="478"/>
      <c r="C576" s="479"/>
      <c r="E576" s="480"/>
      <c r="G576" s="65"/>
    </row>
    <row r="577" spans="2:7" ht="14.25" customHeight="1" x14ac:dyDescent="0.3">
      <c r="B577" s="478"/>
      <c r="C577" s="479"/>
      <c r="E577" s="480"/>
      <c r="G577" s="65"/>
    </row>
    <row r="578" spans="2:7" ht="14.25" customHeight="1" x14ac:dyDescent="0.3">
      <c r="B578" s="478"/>
      <c r="C578" s="479"/>
      <c r="E578" s="480"/>
      <c r="G578" s="65"/>
    </row>
    <row r="579" spans="2:7" ht="14.25" customHeight="1" x14ac:dyDescent="0.3">
      <c r="B579" s="478"/>
      <c r="C579" s="479"/>
      <c r="E579" s="480"/>
      <c r="G579" s="65"/>
    </row>
    <row r="580" spans="2:7" ht="14.25" customHeight="1" x14ac:dyDescent="0.3">
      <c r="B580" s="478"/>
      <c r="C580" s="479"/>
      <c r="E580" s="480"/>
      <c r="G580" s="65"/>
    </row>
    <row r="581" spans="2:7" ht="14.25" customHeight="1" x14ac:dyDescent="0.3">
      <c r="B581" s="478"/>
      <c r="C581" s="479"/>
      <c r="E581" s="480"/>
      <c r="G581" s="65"/>
    </row>
    <row r="582" spans="2:7" ht="14.25" customHeight="1" x14ac:dyDescent="0.3">
      <c r="B582" s="478"/>
      <c r="C582" s="479"/>
      <c r="E582" s="480"/>
      <c r="G582" s="65"/>
    </row>
    <row r="583" spans="2:7" ht="14.25" customHeight="1" x14ac:dyDescent="0.3">
      <c r="B583" s="478"/>
      <c r="C583" s="479"/>
      <c r="E583" s="480"/>
      <c r="G583" s="65"/>
    </row>
    <row r="584" spans="2:7" ht="14.25" customHeight="1" x14ac:dyDescent="0.3">
      <c r="B584" s="478"/>
      <c r="C584" s="479"/>
      <c r="E584" s="480"/>
      <c r="G584" s="65"/>
    </row>
    <row r="585" spans="2:7" ht="14.25" customHeight="1" x14ac:dyDescent="0.3">
      <c r="B585" s="478"/>
      <c r="C585" s="479"/>
      <c r="E585" s="480"/>
      <c r="G585" s="65"/>
    </row>
    <row r="586" spans="2:7" ht="14.25" customHeight="1" x14ac:dyDescent="0.3">
      <c r="B586" s="478"/>
      <c r="C586" s="479"/>
      <c r="E586" s="480"/>
      <c r="G586" s="65"/>
    </row>
    <row r="587" spans="2:7" ht="14.25" customHeight="1" x14ac:dyDescent="0.3">
      <c r="B587" s="478"/>
      <c r="C587" s="479"/>
      <c r="E587" s="480"/>
      <c r="G587" s="65"/>
    </row>
    <row r="588" spans="2:7" ht="14.25" customHeight="1" x14ac:dyDescent="0.3">
      <c r="B588" s="478"/>
      <c r="C588" s="479"/>
      <c r="E588" s="480"/>
      <c r="G588" s="65"/>
    </row>
    <row r="589" spans="2:7" ht="14.25" customHeight="1" x14ac:dyDescent="0.3">
      <c r="B589" s="478"/>
      <c r="C589" s="479"/>
      <c r="E589" s="480"/>
      <c r="G589" s="65"/>
    </row>
    <row r="590" spans="2:7" ht="14.25" customHeight="1" x14ac:dyDescent="0.3">
      <c r="B590" s="478"/>
      <c r="C590" s="479"/>
      <c r="E590" s="480"/>
      <c r="G590" s="65"/>
    </row>
    <row r="591" spans="2:7" ht="14.25" customHeight="1" x14ac:dyDescent="0.3">
      <c r="B591" s="478"/>
      <c r="C591" s="479"/>
      <c r="E591" s="480"/>
      <c r="G591" s="65"/>
    </row>
    <row r="592" spans="2:7" ht="14.25" customHeight="1" x14ac:dyDescent="0.3">
      <c r="B592" s="478"/>
      <c r="C592" s="479"/>
      <c r="E592" s="480"/>
      <c r="G592" s="65"/>
    </row>
    <row r="593" spans="2:7" ht="14.25" customHeight="1" x14ac:dyDescent="0.3">
      <c r="B593" s="478"/>
      <c r="C593" s="479"/>
      <c r="E593" s="480"/>
      <c r="G593" s="65"/>
    </row>
    <row r="594" spans="2:7" ht="14.25" customHeight="1" x14ac:dyDescent="0.3">
      <c r="B594" s="478"/>
      <c r="C594" s="479"/>
      <c r="E594" s="480"/>
      <c r="G594" s="65"/>
    </row>
    <row r="595" spans="2:7" ht="14.25" customHeight="1" x14ac:dyDescent="0.3">
      <c r="B595" s="478"/>
      <c r="C595" s="479"/>
      <c r="E595" s="480"/>
      <c r="G595" s="65"/>
    </row>
    <row r="596" spans="2:7" ht="14.25" customHeight="1" x14ac:dyDescent="0.3">
      <c r="B596" s="478"/>
      <c r="C596" s="479"/>
      <c r="E596" s="480"/>
      <c r="G596" s="65"/>
    </row>
    <row r="597" spans="2:7" ht="14.25" customHeight="1" x14ac:dyDescent="0.3">
      <c r="B597" s="478"/>
      <c r="C597" s="479"/>
      <c r="E597" s="480"/>
      <c r="G597" s="65"/>
    </row>
    <row r="598" spans="2:7" ht="14.25" customHeight="1" x14ac:dyDescent="0.3">
      <c r="B598" s="478"/>
      <c r="C598" s="479"/>
      <c r="E598" s="480"/>
      <c r="G598" s="65"/>
    </row>
    <row r="599" spans="2:7" ht="14.25" customHeight="1" x14ac:dyDescent="0.3">
      <c r="B599" s="478"/>
      <c r="C599" s="479"/>
      <c r="E599" s="480"/>
      <c r="G599" s="65"/>
    </row>
    <row r="600" spans="2:7" ht="14.25" customHeight="1" x14ac:dyDescent="0.3">
      <c r="B600" s="478"/>
      <c r="C600" s="479"/>
      <c r="E600" s="480"/>
      <c r="G600" s="65"/>
    </row>
    <row r="601" spans="2:7" ht="14.25" customHeight="1" x14ac:dyDescent="0.3">
      <c r="B601" s="478"/>
      <c r="C601" s="479"/>
      <c r="E601" s="480"/>
      <c r="G601" s="65"/>
    </row>
    <row r="602" spans="2:7" ht="14.25" customHeight="1" x14ac:dyDescent="0.3">
      <c r="B602" s="478"/>
      <c r="C602" s="479"/>
      <c r="E602" s="480"/>
      <c r="G602" s="65"/>
    </row>
    <row r="603" spans="2:7" ht="14.25" customHeight="1" x14ac:dyDescent="0.3">
      <c r="B603" s="478"/>
      <c r="C603" s="479"/>
      <c r="E603" s="480"/>
      <c r="G603" s="65"/>
    </row>
    <row r="604" spans="2:7" ht="14.25" customHeight="1" x14ac:dyDescent="0.3">
      <c r="B604" s="478"/>
      <c r="C604" s="479"/>
      <c r="E604" s="480"/>
      <c r="G604" s="65"/>
    </row>
    <row r="605" spans="2:7" ht="14.25" customHeight="1" x14ac:dyDescent="0.3">
      <c r="B605" s="478"/>
      <c r="C605" s="479"/>
      <c r="E605" s="480"/>
      <c r="G605" s="65"/>
    </row>
    <row r="606" spans="2:7" ht="14.25" customHeight="1" x14ac:dyDescent="0.3">
      <c r="B606" s="478"/>
      <c r="C606" s="479"/>
      <c r="E606" s="480"/>
      <c r="G606" s="65"/>
    </row>
    <row r="607" spans="2:7" ht="14.25" customHeight="1" x14ac:dyDescent="0.3">
      <c r="B607" s="478"/>
      <c r="C607" s="479"/>
      <c r="E607" s="480"/>
      <c r="G607" s="65"/>
    </row>
    <row r="608" spans="2:7" ht="14.25" customHeight="1" x14ac:dyDescent="0.3">
      <c r="B608" s="478"/>
      <c r="C608" s="479"/>
      <c r="E608" s="480"/>
      <c r="G608" s="65"/>
    </row>
    <row r="609" spans="2:7" ht="14.25" customHeight="1" x14ac:dyDescent="0.3">
      <c r="B609" s="478"/>
      <c r="C609" s="479"/>
      <c r="E609" s="480"/>
      <c r="G609" s="65"/>
    </row>
    <row r="610" spans="2:7" ht="14.25" customHeight="1" x14ac:dyDescent="0.3">
      <c r="B610" s="478"/>
      <c r="C610" s="479"/>
      <c r="E610" s="480"/>
      <c r="G610" s="65"/>
    </row>
    <row r="611" spans="2:7" ht="14.25" customHeight="1" x14ac:dyDescent="0.3">
      <c r="B611" s="478"/>
      <c r="C611" s="479"/>
      <c r="E611" s="480"/>
      <c r="G611" s="65"/>
    </row>
    <row r="612" spans="2:7" ht="14.25" customHeight="1" x14ac:dyDescent="0.3">
      <c r="B612" s="478"/>
      <c r="C612" s="479"/>
      <c r="E612" s="480"/>
      <c r="G612" s="65"/>
    </row>
    <row r="613" spans="2:7" ht="14.25" customHeight="1" x14ac:dyDescent="0.3">
      <c r="B613" s="478"/>
      <c r="C613" s="479"/>
      <c r="E613" s="480"/>
      <c r="G613" s="65"/>
    </row>
    <row r="614" spans="2:7" ht="14.25" customHeight="1" x14ac:dyDescent="0.3">
      <c r="B614" s="478"/>
      <c r="C614" s="479"/>
      <c r="E614" s="480"/>
      <c r="G614" s="65"/>
    </row>
    <row r="615" spans="2:7" ht="14.25" customHeight="1" x14ac:dyDescent="0.3">
      <c r="B615" s="478"/>
      <c r="C615" s="479"/>
      <c r="E615" s="480"/>
      <c r="G615" s="65"/>
    </row>
    <row r="616" spans="2:7" ht="14.25" customHeight="1" x14ac:dyDescent="0.3">
      <c r="B616" s="478"/>
      <c r="C616" s="479"/>
      <c r="E616" s="480"/>
      <c r="G616" s="65"/>
    </row>
    <row r="617" spans="2:7" ht="14.25" customHeight="1" x14ac:dyDescent="0.3">
      <c r="B617" s="478"/>
      <c r="C617" s="479"/>
      <c r="E617" s="480"/>
      <c r="G617" s="65"/>
    </row>
    <row r="618" spans="2:7" ht="14.25" customHeight="1" x14ac:dyDescent="0.3">
      <c r="B618" s="478"/>
      <c r="C618" s="479"/>
      <c r="E618" s="480"/>
      <c r="G618" s="65"/>
    </row>
    <row r="619" spans="2:7" ht="14.25" customHeight="1" x14ac:dyDescent="0.3">
      <c r="B619" s="478"/>
      <c r="C619" s="479"/>
      <c r="E619" s="480"/>
      <c r="G619" s="65"/>
    </row>
    <row r="620" spans="2:7" ht="14.25" customHeight="1" x14ac:dyDescent="0.3">
      <c r="B620" s="478"/>
      <c r="C620" s="479"/>
      <c r="E620" s="480"/>
      <c r="G620" s="65"/>
    </row>
    <row r="621" spans="2:7" ht="14.25" customHeight="1" x14ac:dyDescent="0.3">
      <c r="B621" s="478"/>
      <c r="C621" s="479"/>
      <c r="E621" s="480"/>
      <c r="G621" s="65"/>
    </row>
    <row r="622" spans="2:7" ht="14.25" customHeight="1" x14ac:dyDescent="0.3">
      <c r="B622" s="478"/>
      <c r="C622" s="479"/>
      <c r="E622" s="480"/>
      <c r="G622" s="65"/>
    </row>
    <row r="623" spans="2:7" ht="14.25" customHeight="1" x14ac:dyDescent="0.3">
      <c r="B623" s="478"/>
      <c r="C623" s="479"/>
      <c r="E623" s="480"/>
      <c r="G623" s="65"/>
    </row>
    <row r="624" spans="2:7" ht="14.25" customHeight="1" x14ac:dyDescent="0.3">
      <c r="B624" s="478"/>
      <c r="C624" s="479"/>
      <c r="E624" s="480"/>
      <c r="G624" s="65"/>
    </row>
    <row r="625" spans="2:7" ht="14.25" customHeight="1" x14ac:dyDescent="0.3">
      <c r="B625" s="478"/>
      <c r="C625" s="479"/>
      <c r="E625" s="480"/>
      <c r="G625" s="65"/>
    </row>
    <row r="626" spans="2:7" ht="14.25" customHeight="1" x14ac:dyDescent="0.3">
      <c r="B626" s="478"/>
      <c r="C626" s="479"/>
      <c r="E626" s="480"/>
      <c r="G626" s="65"/>
    </row>
    <row r="627" spans="2:7" ht="14.25" customHeight="1" x14ac:dyDescent="0.3">
      <c r="B627" s="478"/>
      <c r="C627" s="479"/>
      <c r="E627" s="480"/>
      <c r="G627" s="65"/>
    </row>
    <row r="628" spans="2:7" ht="14.25" customHeight="1" x14ac:dyDescent="0.3">
      <c r="B628" s="478"/>
      <c r="C628" s="479"/>
      <c r="E628" s="480"/>
      <c r="G628" s="65"/>
    </row>
    <row r="629" spans="2:7" ht="14.25" customHeight="1" x14ac:dyDescent="0.3">
      <c r="B629" s="478"/>
      <c r="C629" s="479"/>
      <c r="E629" s="480"/>
      <c r="G629" s="65"/>
    </row>
    <row r="630" spans="2:7" ht="14.25" customHeight="1" x14ac:dyDescent="0.3">
      <c r="B630" s="478"/>
      <c r="C630" s="479"/>
      <c r="E630" s="480"/>
      <c r="G630" s="65"/>
    </row>
    <row r="631" spans="2:7" ht="14.25" customHeight="1" x14ac:dyDescent="0.3">
      <c r="B631" s="478"/>
      <c r="C631" s="479"/>
      <c r="E631" s="480"/>
      <c r="G631" s="65"/>
    </row>
    <row r="632" spans="2:7" ht="14.25" customHeight="1" x14ac:dyDescent="0.3">
      <c r="B632" s="478"/>
      <c r="C632" s="479"/>
      <c r="E632" s="480"/>
      <c r="G632" s="65"/>
    </row>
    <row r="633" spans="2:7" ht="14.25" customHeight="1" x14ac:dyDescent="0.3">
      <c r="B633" s="478"/>
      <c r="C633" s="479"/>
      <c r="E633" s="480"/>
      <c r="G633" s="65"/>
    </row>
    <row r="634" spans="2:7" ht="14.25" customHeight="1" x14ac:dyDescent="0.3">
      <c r="B634" s="478"/>
      <c r="C634" s="479"/>
      <c r="E634" s="480"/>
      <c r="G634" s="65"/>
    </row>
    <row r="635" spans="2:7" ht="14.25" customHeight="1" x14ac:dyDescent="0.3">
      <c r="B635" s="478"/>
      <c r="C635" s="479"/>
      <c r="E635" s="480"/>
      <c r="G635" s="65"/>
    </row>
    <row r="636" spans="2:7" ht="14.25" customHeight="1" x14ac:dyDescent="0.3">
      <c r="B636" s="478"/>
      <c r="C636" s="479"/>
      <c r="E636" s="480"/>
      <c r="G636" s="65"/>
    </row>
    <row r="637" spans="2:7" ht="14.25" customHeight="1" x14ac:dyDescent="0.3">
      <c r="B637" s="478"/>
      <c r="C637" s="479"/>
      <c r="E637" s="480"/>
      <c r="G637" s="65"/>
    </row>
    <row r="638" spans="2:7" ht="14.25" customHeight="1" x14ac:dyDescent="0.3">
      <c r="B638" s="478"/>
      <c r="C638" s="479"/>
      <c r="E638" s="480"/>
      <c r="G638" s="65"/>
    </row>
    <row r="639" spans="2:7" ht="14.25" customHeight="1" x14ac:dyDescent="0.3">
      <c r="B639" s="478"/>
      <c r="C639" s="479"/>
      <c r="E639" s="480"/>
      <c r="G639" s="65"/>
    </row>
    <row r="640" spans="2:7" ht="14.25" customHeight="1" x14ac:dyDescent="0.3">
      <c r="B640" s="478"/>
      <c r="C640" s="479"/>
      <c r="E640" s="480"/>
      <c r="G640" s="65"/>
    </row>
    <row r="641" spans="2:7" ht="14.25" customHeight="1" x14ac:dyDescent="0.3">
      <c r="B641" s="478"/>
      <c r="C641" s="479"/>
      <c r="E641" s="480"/>
      <c r="G641" s="65"/>
    </row>
    <row r="642" spans="2:7" ht="14.25" customHeight="1" x14ac:dyDescent="0.3">
      <c r="B642" s="478"/>
      <c r="C642" s="479"/>
      <c r="E642" s="480"/>
      <c r="G642" s="65"/>
    </row>
    <row r="643" spans="2:7" ht="14.25" customHeight="1" x14ac:dyDescent="0.3">
      <c r="B643" s="478"/>
      <c r="C643" s="479"/>
      <c r="E643" s="480"/>
      <c r="G643" s="65"/>
    </row>
    <row r="644" spans="2:7" ht="14.25" customHeight="1" x14ac:dyDescent="0.3">
      <c r="B644" s="478"/>
      <c r="C644" s="479"/>
      <c r="E644" s="480"/>
      <c r="G644" s="65"/>
    </row>
    <row r="645" spans="2:7" ht="14.25" customHeight="1" x14ac:dyDescent="0.3">
      <c r="B645" s="478"/>
      <c r="C645" s="479"/>
      <c r="E645" s="480"/>
      <c r="G645" s="65"/>
    </row>
    <row r="646" spans="2:7" ht="14.25" customHeight="1" x14ac:dyDescent="0.3">
      <c r="B646" s="478"/>
      <c r="C646" s="479"/>
      <c r="E646" s="480"/>
      <c r="G646" s="65"/>
    </row>
    <row r="647" spans="2:7" ht="14.25" customHeight="1" x14ac:dyDescent="0.3">
      <c r="B647" s="478"/>
      <c r="C647" s="479"/>
      <c r="E647" s="480"/>
      <c r="G647" s="65"/>
    </row>
    <row r="648" spans="2:7" ht="14.25" customHeight="1" x14ac:dyDescent="0.3">
      <c r="B648" s="478"/>
      <c r="C648" s="479"/>
      <c r="E648" s="480"/>
      <c r="G648" s="65"/>
    </row>
    <row r="649" spans="2:7" ht="14.25" customHeight="1" x14ac:dyDescent="0.3">
      <c r="B649" s="478"/>
      <c r="C649" s="479"/>
      <c r="E649" s="480"/>
      <c r="G649" s="65"/>
    </row>
    <row r="650" spans="2:7" ht="14.25" customHeight="1" x14ac:dyDescent="0.3">
      <c r="B650" s="478"/>
      <c r="C650" s="479"/>
      <c r="E650" s="480"/>
      <c r="G650" s="65"/>
    </row>
    <row r="651" spans="2:7" ht="14.25" customHeight="1" x14ac:dyDescent="0.3">
      <c r="B651" s="478"/>
      <c r="C651" s="479"/>
      <c r="E651" s="480"/>
      <c r="G651" s="65"/>
    </row>
    <row r="652" spans="2:7" ht="14.25" customHeight="1" x14ac:dyDescent="0.3">
      <c r="B652" s="478"/>
      <c r="C652" s="479"/>
      <c r="E652" s="480"/>
      <c r="G652" s="65"/>
    </row>
    <row r="653" spans="2:7" ht="14.25" customHeight="1" x14ac:dyDescent="0.3">
      <c r="B653" s="478"/>
      <c r="C653" s="479"/>
      <c r="E653" s="480"/>
      <c r="G653" s="65"/>
    </row>
    <row r="654" spans="2:7" ht="14.25" customHeight="1" x14ac:dyDescent="0.3">
      <c r="B654" s="478"/>
      <c r="C654" s="479"/>
      <c r="E654" s="480"/>
      <c r="G654" s="65"/>
    </row>
    <row r="655" spans="2:7" ht="14.25" customHeight="1" x14ac:dyDescent="0.3">
      <c r="B655" s="478"/>
      <c r="C655" s="479"/>
      <c r="E655" s="480"/>
      <c r="G655" s="65"/>
    </row>
    <row r="656" spans="2:7" ht="14.25" customHeight="1" x14ac:dyDescent="0.3">
      <c r="B656" s="478"/>
      <c r="C656" s="479"/>
      <c r="E656" s="480"/>
      <c r="G656" s="65"/>
    </row>
    <row r="657" spans="2:7" ht="14.25" customHeight="1" x14ac:dyDescent="0.3">
      <c r="B657" s="478"/>
      <c r="C657" s="479"/>
      <c r="E657" s="480"/>
      <c r="G657" s="65"/>
    </row>
    <row r="658" spans="2:7" ht="14.25" customHeight="1" x14ac:dyDescent="0.3">
      <c r="B658" s="478"/>
      <c r="C658" s="479"/>
      <c r="E658" s="480"/>
      <c r="G658" s="65"/>
    </row>
    <row r="659" spans="2:7" ht="14.25" customHeight="1" x14ac:dyDescent="0.3">
      <c r="B659" s="478"/>
      <c r="C659" s="479"/>
      <c r="E659" s="480"/>
      <c r="G659" s="65"/>
    </row>
    <row r="660" spans="2:7" ht="14.25" customHeight="1" x14ac:dyDescent="0.3">
      <c r="B660" s="478"/>
      <c r="C660" s="479"/>
      <c r="E660" s="480"/>
      <c r="G660" s="65"/>
    </row>
    <row r="661" spans="2:7" ht="14.25" customHeight="1" x14ac:dyDescent="0.3">
      <c r="B661" s="478"/>
      <c r="C661" s="479"/>
      <c r="E661" s="480"/>
      <c r="G661" s="65"/>
    </row>
    <row r="662" spans="2:7" ht="14.25" customHeight="1" x14ac:dyDescent="0.3">
      <c r="B662" s="478"/>
      <c r="C662" s="479"/>
      <c r="E662" s="480"/>
      <c r="G662" s="65"/>
    </row>
    <row r="663" spans="2:7" ht="14.25" customHeight="1" x14ac:dyDescent="0.3">
      <c r="B663" s="478"/>
      <c r="C663" s="479"/>
      <c r="E663" s="480"/>
      <c r="G663" s="65"/>
    </row>
    <row r="664" spans="2:7" ht="14.25" customHeight="1" x14ac:dyDescent="0.3">
      <c r="B664" s="478"/>
      <c r="C664" s="479"/>
      <c r="E664" s="480"/>
      <c r="G664" s="65"/>
    </row>
    <row r="665" spans="2:7" ht="14.25" customHeight="1" x14ac:dyDescent="0.3">
      <c r="B665" s="478"/>
      <c r="C665" s="479"/>
      <c r="E665" s="480"/>
      <c r="G665" s="65"/>
    </row>
    <row r="666" spans="2:7" ht="14.25" customHeight="1" x14ac:dyDescent="0.3">
      <c r="B666" s="478"/>
      <c r="C666" s="479"/>
      <c r="E666" s="480"/>
      <c r="G666" s="65"/>
    </row>
    <row r="667" spans="2:7" ht="14.25" customHeight="1" x14ac:dyDescent="0.3">
      <c r="B667" s="478"/>
      <c r="C667" s="479"/>
      <c r="E667" s="480"/>
      <c r="G667" s="65"/>
    </row>
    <row r="668" spans="2:7" ht="14.25" customHeight="1" x14ac:dyDescent="0.3">
      <c r="B668" s="478"/>
      <c r="C668" s="479"/>
      <c r="E668" s="480"/>
      <c r="G668" s="65"/>
    </row>
    <row r="669" spans="2:7" ht="14.25" customHeight="1" x14ac:dyDescent="0.3">
      <c r="B669" s="478"/>
      <c r="C669" s="479"/>
      <c r="E669" s="480"/>
      <c r="G669" s="65"/>
    </row>
    <row r="670" spans="2:7" ht="14.25" customHeight="1" x14ac:dyDescent="0.3">
      <c r="B670" s="478"/>
      <c r="C670" s="479"/>
      <c r="E670" s="480"/>
      <c r="G670" s="65"/>
    </row>
    <row r="671" spans="2:7" ht="14.25" customHeight="1" x14ac:dyDescent="0.3">
      <c r="B671" s="478"/>
      <c r="C671" s="479"/>
      <c r="E671" s="480"/>
      <c r="G671" s="65"/>
    </row>
    <row r="672" spans="2:7" ht="14.25" customHeight="1" x14ac:dyDescent="0.3">
      <c r="B672" s="478"/>
      <c r="C672" s="479"/>
      <c r="E672" s="480"/>
      <c r="G672" s="65"/>
    </row>
    <row r="673" spans="2:7" ht="14.25" customHeight="1" x14ac:dyDescent="0.3">
      <c r="B673" s="478"/>
      <c r="C673" s="479"/>
      <c r="E673" s="480"/>
      <c r="G673" s="65"/>
    </row>
    <row r="674" spans="2:7" ht="14.25" customHeight="1" x14ac:dyDescent="0.3">
      <c r="B674" s="478"/>
      <c r="C674" s="479"/>
      <c r="E674" s="480"/>
      <c r="G674" s="65"/>
    </row>
    <row r="675" spans="2:7" ht="14.25" customHeight="1" x14ac:dyDescent="0.3">
      <c r="B675" s="478"/>
      <c r="C675" s="479"/>
      <c r="E675" s="480"/>
      <c r="G675" s="65"/>
    </row>
    <row r="676" spans="2:7" ht="14.25" customHeight="1" x14ac:dyDescent="0.3">
      <c r="B676" s="478"/>
      <c r="C676" s="479"/>
      <c r="E676" s="480"/>
      <c r="G676" s="65"/>
    </row>
    <row r="677" spans="2:7" ht="14.25" customHeight="1" x14ac:dyDescent="0.3">
      <c r="B677" s="478"/>
      <c r="C677" s="479"/>
      <c r="E677" s="480"/>
      <c r="G677" s="65"/>
    </row>
    <row r="678" spans="2:7" ht="14.25" customHeight="1" x14ac:dyDescent="0.3">
      <c r="B678" s="478"/>
      <c r="C678" s="479"/>
      <c r="E678" s="480"/>
      <c r="G678" s="65"/>
    </row>
    <row r="679" spans="2:7" ht="14.25" customHeight="1" x14ac:dyDescent="0.3">
      <c r="B679" s="478"/>
      <c r="C679" s="479"/>
      <c r="E679" s="480"/>
      <c r="G679" s="65"/>
    </row>
    <row r="680" spans="2:7" ht="14.25" customHeight="1" x14ac:dyDescent="0.3">
      <c r="B680" s="478"/>
      <c r="C680" s="479"/>
      <c r="E680" s="480"/>
      <c r="G680" s="65"/>
    </row>
    <row r="681" spans="2:7" ht="14.25" customHeight="1" x14ac:dyDescent="0.3">
      <c r="B681" s="478"/>
      <c r="C681" s="479"/>
      <c r="E681" s="480"/>
      <c r="G681" s="65"/>
    </row>
    <row r="682" spans="2:7" ht="14.25" customHeight="1" x14ac:dyDescent="0.3">
      <c r="B682" s="478"/>
      <c r="C682" s="479"/>
      <c r="E682" s="480"/>
      <c r="G682" s="65"/>
    </row>
    <row r="683" spans="2:7" ht="14.25" customHeight="1" x14ac:dyDescent="0.3">
      <c r="B683" s="478"/>
      <c r="C683" s="479"/>
      <c r="E683" s="480"/>
      <c r="G683" s="65"/>
    </row>
    <row r="684" spans="2:7" ht="14.25" customHeight="1" x14ac:dyDescent="0.3">
      <c r="B684" s="478"/>
      <c r="C684" s="479"/>
      <c r="E684" s="480"/>
      <c r="G684" s="65"/>
    </row>
    <row r="685" spans="2:7" ht="14.25" customHeight="1" x14ac:dyDescent="0.3">
      <c r="B685" s="478"/>
      <c r="C685" s="479"/>
      <c r="E685" s="480"/>
      <c r="G685" s="65"/>
    </row>
    <row r="686" spans="2:7" ht="14.25" customHeight="1" x14ac:dyDescent="0.3">
      <c r="B686" s="478"/>
      <c r="C686" s="479"/>
      <c r="E686" s="480"/>
      <c r="G686" s="65"/>
    </row>
    <row r="687" spans="2:7" ht="14.25" customHeight="1" x14ac:dyDescent="0.3">
      <c r="B687" s="478"/>
      <c r="C687" s="479"/>
      <c r="E687" s="480"/>
      <c r="G687" s="65"/>
    </row>
    <row r="688" spans="2:7" ht="14.25" customHeight="1" x14ac:dyDescent="0.3">
      <c r="B688" s="478"/>
      <c r="C688" s="479"/>
      <c r="E688" s="480"/>
      <c r="G688" s="65"/>
    </row>
    <row r="689" spans="2:7" ht="14.25" customHeight="1" x14ac:dyDescent="0.3">
      <c r="B689" s="478"/>
      <c r="C689" s="479"/>
      <c r="E689" s="480"/>
      <c r="G689" s="65"/>
    </row>
    <row r="690" spans="2:7" ht="14.25" customHeight="1" x14ac:dyDescent="0.3">
      <c r="B690" s="478"/>
      <c r="C690" s="479"/>
      <c r="E690" s="480"/>
      <c r="G690" s="65"/>
    </row>
    <row r="691" spans="2:7" ht="14.25" customHeight="1" x14ac:dyDescent="0.3">
      <c r="B691" s="478"/>
      <c r="C691" s="479"/>
      <c r="E691" s="480"/>
      <c r="G691" s="65"/>
    </row>
    <row r="692" spans="2:7" ht="14.25" customHeight="1" x14ac:dyDescent="0.3">
      <c r="B692" s="478"/>
      <c r="C692" s="479"/>
      <c r="E692" s="480"/>
      <c r="G692" s="65"/>
    </row>
    <row r="693" spans="2:7" ht="14.25" customHeight="1" x14ac:dyDescent="0.3">
      <c r="B693" s="478"/>
      <c r="C693" s="479"/>
      <c r="E693" s="480"/>
      <c r="G693" s="65"/>
    </row>
    <row r="694" spans="2:7" ht="14.25" customHeight="1" x14ac:dyDescent="0.3">
      <c r="B694" s="478"/>
      <c r="C694" s="479"/>
      <c r="E694" s="480"/>
      <c r="G694" s="65"/>
    </row>
    <row r="695" spans="2:7" ht="14.25" customHeight="1" x14ac:dyDescent="0.3">
      <c r="B695" s="478"/>
      <c r="C695" s="479"/>
      <c r="E695" s="480"/>
      <c r="G695" s="65"/>
    </row>
    <row r="696" spans="2:7" ht="14.25" customHeight="1" x14ac:dyDescent="0.3">
      <c r="B696" s="478"/>
      <c r="C696" s="479"/>
      <c r="E696" s="480"/>
      <c r="G696" s="65"/>
    </row>
    <row r="697" spans="2:7" ht="14.25" customHeight="1" x14ac:dyDescent="0.3">
      <c r="B697" s="478"/>
      <c r="C697" s="479"/>
      <c r="E697" s="480"/>
      <c r="G697" s="65"/>
    </row>
    <row r="698" spans="2:7" ht="14.25" customHeight="1" x14ac:dyDescent="0.3">
      <c r="B698" s="478"/>
      <c r="C698" s="479"/>
      <c r="E698" s="480"/>
      <c r="G698" s="65"/>
    </row>
    <row r="699" spans="2:7" ht="14.25" customHeight="1" x14ac:dyDescent="0.3">
      <c r="B699" s="478"/>
      <c r="C699" s="479"/>
      <c r="E699" s="480"/>
      <c r="G699" s="65"/>
    </row>
    <row r="700" spans="2:7" ht="14.25" customHeight="1" x14ac:dyDescent="0.3">
      <c r="B700" s="478"/>
      <c r="C700" s="479"/>
      <c r="E700" s="480"/>
      <c r="G700" s="65"/>
    </row>
    <row r="701" spans="2:7" ht="14.25" customHeight="1" x14ac:dyDescent="0.3">
      <c r="B701" s="478"/>
      <c r="C701" s="479"/>
      <c r="E701" s="480"/>
      <c r="G701" s="65"/>
    </row>
    <row r="702" spans="2:7" ht="14.25" customHeight="1" x14ac:dyDescent="0.3">
      <c r="B702" s="478"/>
      <c r="C702" s="479"/>
      <c r="E702" s="480"/>
      <c r="G702" s="65"/>
    </row>
    <row r="703" spans="2:7" ht="14.25" customHeight="1" x14ac:dyDescent="0.3">
      <c r="B703" s="478"/>
      <c r="C703" s="479"/>
      <c r="E703" s="480"/>
      <c r="G703" s="65"/>
    </row>
    <row r="704" spans="2:7" ht="14.25" customHeight="1" x14ac:dyDescent="0.3">
      <c r="B704" s="478"/>
      <c r="C704" s="479"/>
      <c r="E704" s="480"/>
      <c r="G704" s="65"/>
    </row>
    <row r="705" spans="2:7" ht="14.25" customHeight="1" x14ac:dyDescent="0.3">
      <c r="B705" s="478"/>
      <c r="C705" s="479"/>
      <c r="E705" s="480"/>
      <c r="G705" s="65"/>
    </row>
    <row r="706" spans="2:7" ht="14.25" customHeight="1" x14ac:dyDescent="0.3">
      <c r="B706" s="478"/>
      <c r="C706" s="479"/>
      <c r="E706" s="480"/>
      <c r="G706" s="65"/>
    </row>
    <row r="707" spans="2:7" ht="14.25" customHeight="1" x14ac:dyDescent="0.3">
      <c r="B707" s="478"/>
      <c r="C707" s="479"/>
      <c r="E707" s="480"/>
      <c r="G707" s="65"/>
    </row>
    <row r="708" spans="2:7" ht="14.25" customHeight="1" x14ac:dyDescent="0.3">
      <c r="B708" s="478"/>
      <c r="C708" s="479"/>
      <c r="E708" s="480"/>
      <c r="G708" s="65"/>
    </row>
    <row r="709" spans="2:7" ht="14.25" customHeight="1" x14ac:dyDescent="0.3">
      <c r="B709" s="478"/>
      <c r="C709" s="479"/>
      <c r="E709" s="480"/>
      <c r="G709" s="65"/>
    </row>
    <row r="710" spans="2:7" ht="14.25" customHeight="1" x14ac:dyDescent="0.3">
      <c r="B710" s="478"/>
      <c r="C710" s="479"/>
      <c r="E710" s="480"/>
      <c r="G710" s="65"/>
    </row>
    <row r="711" spans="2:7" ht="14.25" customHeight="1" x14ac:dyDescent="0.3">
      <c r="B711" s="478"/>
      <c r="C711" s="479"/>
      <c r="E711" s="480"/>
      <c r="G711" s="65"/>
    </row>
    <row r="712" spans="2:7" ht="14.25" customHeight="1" x14ac:dyDescent="0.3">
      <c r="B712" s="478"/>
      <c r="C712" s="479"/>
      <c r="E712" s="480"/>
      <c r="G712" s="65"/>
    </row>
    <row r="713" spans="2:7" ht="14.25" customHeight="1" x14ac:dyDescent="0.3">
      <c r="B713" s="478"/>
      <c r="C713" s="479"/>
      <c r="E713" s="480"/>
      <c r="G713" s="65"/>
    </row>
    <row r="714" spans="2:7" ht="14.25" customHeight="1" x14ac:dyDescent="0.3">
      <c r="B714" s="478"/>
      <c r="C714" s="479"/>
      <c r="E714" s="480"/>
      <c r="G714" s="65"/>
    </row>
    <row r="715" spans="2:7" ht="14.25" customHeight="1" x14ac:dyDescent="0.3">
      <c r="B715" s="478"/>
      <c r="C715" s="479"/>
      <c r="E715" s="480"/>
      <c r="G715" s="65"/>
    </row>
    <row r="716" spans="2:7" ht="14.25" customHeight="1" x14ac:dyDescent="0.3">
      <c r="B716" s="478"/>
      <c r="C716" s="479"/>
      <c r="E716" s="480"/>
      <c r="G716" s="65"/>
    </row>
    <row r="717" spans="2:7" ht="14.25" customHeight="1" x14ac:dyDescent="0.3">
      <c r="B717" s="478"/>
      <c r="C717" s="479"/>
      <c r="E717" s="480"/>
      <c r="G717" s="65"/>
    </row>
    <row r="718" spans="2:7" ht="14.25" customHeight="1" x14ac:dyDescent="0.3">
      <c r="B718" s="478"/>
      <c r="C718" s="479"/>
      <c r="E718" s="480"/>
      <c r="G718" s="65"/>
    </row>
    <row r="719" spans="2:7" ht="14.25" customHeight="1" x14ac:dyDescent="0.3">
      <c r="B719" s="478"/>
      <c r="C719" s="479"/>
      <c r="E719" s="480"/>
      <c r="G719" s="65"/>
    </row>
    <row r="720" spans="2:7" ht="14.25" customHeight="1" x14ac:dyDescent="0.3">
      <c r="B720" s="478"/>
      <c r="C720" s="479"/>
      <c r="E720" s="480"/>
      <c r="G720" s="65"/>
    </row>
    <row r="721" spans="2:7" ht="14.25" customHeight="1" x14ac:dyDescent="0.3">
      <c r="B721" s="478"/>
      <c r="C721" s="479"/>
      <c r="E721" s="480"/>
      <c r="G721" s="65"/>
    </row>
    <row r="722" spans="2:7" ht="14.25" customHeight="1" x14ac:dyDescent="0.3">
      <c r="B722" s="478"/>
      <c r="C722" s="479"/>
      <c r="E722" s="480"/>
      <c r="G722" s="65"/>
    </row>
    <row r="723" spans="2:7" ht="14.25" customHeight="1" x14ac:dyDescent="0.3">
      <c r="B723" s="478"/>
      <c r="C723" s="479"/>
      <c r="E723" s="480"/>
      <c r="G723" s="65"/>
    </row>
    <row r="724" spans="2:7" ht="14.25" customHeight="1" x14ac:dyDescent="0.3">
      <c r="B724" s="478"/>
      <c r="C724" s="479"/>
      <c r="E724" s="480"/>
      <c r="G724" s="65"/>
    </row>
    <row r="725" spans="2:7" ht="14.25" customHeight="1" x14ac:dyDescent="0.3">
      <c r="B725" s="478"/>
      <c r="C725" s="479"/>
      <c r="E725" s="480"/>
      <c r="G725" s="65"/>
    </row>
    <row r="726" spans="2:7" ht="14.25" customHeight="1" x14ac:dyDescent="0.3">
      <c r="B726" s="478"/>
      <c r="C726" s="479"/>
      <c r="E726" s="480"/>
      <c r="G726" s="65"/>
    </row>
    <row r="727" spans="2:7" ht="14.25" customHeight="1" x14ac:dyDescent="0.3">
      <c r="B727" s="478"/>
      <c r="C727" s="479"/>
      <c r="E727" s="480"/>
      <c r="G727" s="65"/>
    </row>
    <row r="728" spans="2:7" ht="14.25" customHeight="1" x14ac:dyDescent="0.3">
      <c r="B728" s="478"/>
      <c r="C728" s="479"/>
      <c r="E728" s="480"/>
      <c r="G728" s="65"/>
    </row>
    <row r="729" spans="2:7" ht="14.25" customHeight="1" x14ac:dyDescent="0.3">
      <c r="B729" s="478"/>
      <c r="C729" s="479"/>
      <c r="E729" s="480"/>
      <c r="G729" s="65"/>
    </row>
    <row r="730" spans="2:7" ht="14.25" customHeight="1" x14ac:dyDescent="0.3">
      <c r="B730" s="478"/>
      <c r="C730" s="479"/>
      <c r="E730" s="480"/>
      <c r="G730" s="65"/>
    </row>
    <row r="731" spans="2:7" ht="14.25" customHeight="1" x14ac:dyDescent="0.3">
      <c r="B731" s="478"/>
      <c r="C731" s="479"/>
      <c r="E731" s="480"/>
      <c r="G731" s="65"/>
    </row>
    <row r="732" spans="2:7" ht="14.25" customHeight="1" x14ac:dyDescent="0.3">
      <c r="B732" s="478"/>
      <c r="C732" s="479"/>
      <c r="E732" s="480"/>
      <c r="G732" s="65"/>
    </row>
    <row r="733" spans="2:7" ht="14.25" customHeight="1" x14ac:dyDescent="0.3">
      <c r="B733" s="478"/>
      <c r="C733" s="479"/>
      <c r="E733" s="480"/>
      <c r="G733" s="65"/>
    </row>
    <row r="734" spans="2:7" ht="14.25" customHeight="1" x14ac:dyDescent="0.3">
      <c r="B734" s="478"/>
      <c r="C734" s="479"/>
      <c r="E734" s="480"/>
      <c r="G734" s="65"/>
    </row>
    <row r="735" spans="2:7" ht="14.25" customHeight="1" x14ac:dyDescent="0.3">
      <c r="B735" s="478"/>
      <c r="C735" s="479"/>
      <c r="E735" s="480"/>
      <c r="G735" s="65"/>
    </row>
    <row r="736" spans="2:7" ht="14.25" customHeight="1" x14ac:dyDescent="0.3">
      <c r="B736" s="478"/>
      <c r="C736" s="479"/>
      <c r="E736" s="480"/>
      <c r="G736" s="65"/>
    </row>
    <row r="737" spans="2:7" ht="14.25" customHeight="1" x14ac:dyDescent="0.3">
      <c r="B737" s="478"/>
      <c r="C737" s="479"/>
      <c r="E737" s="480"/>
      <c r="G737" s="65"/>
    </row>
    <row r="738" spans="2:7" ht="14.25" customHeight="1" x14ac:dyDescent="0.3">
      <c r="B738" s="478"/>
      <c r="C738" s="479"/>
      <c r="E738" s="480"/>
      <c r="G738" s="65"/>
    </row>
    <row r="739" spans="2:7" ht="14.25" customHeight="1" x14ac:dyDescent="0.3">
      <c r="B739" s="478"/>
      <c r="C739" s="479"/>
      <c r="E739" s="480"/>
      <c r="G739" s="65"/>
    </row>
    <row r="740" spans="2:7" ht="14.25" customHeight="1" x14ac:dyDescent="0.3">
      <c r="B740" s="478"/>
      <c r="C740" s="479"/>
      <c r="E740" s="480"/>
      <c r="G740" s="65"/>
    </row>
    <row r="741" spans="2:7" ht="14.25" customHeight="1" x14ac:dyDescent="0.3">
      <c r="B741" s="478"/>
      <c r="C741" s="479"/>
      <c r="E741" s="480"/>
      <c r="G741" s="65"/>
    </row>
    <row r="742" spans="2:7" ht="14.25" customHeight="1" x14ac:dyDescent="0.3">
      <c r="B742" s="478"/>
      <c r="C742" s="479"/>
      <c r="E742" s="480"/>
      <c r="G742" s="65"/>
    </row>
    <row r="743" spans="2:7" ht="14.25" customHeight="1" x14ac:dyDescent="0.3">
      <c r="B743" s="478"/>
      <c r="C743" s="479"/>
      <c r="E743" s="480"/>
      <c r="G743" s="65"/>
    </row>
    <row r="744" spans="2:7" ht="14.25" customHeight="1" x14ac:dyDescent="0.3">
      <c r="B744" s="478"/>
      <c r="C744" s="479"/>
      <c r="E744" s="480"/>
      <c r="G744" s="65"/>
    </row>
    <row r="745" spans="2:7" ht="14.25" customHeight="1" x14ac:dyDescent="0.3">
      <c r="B745" s="478"/>
      <c r="C745" s="479"/>
      <c r="E745" s="480"/>
      <c r="G745" s="65"/>
    </row>
    <row r="746" spans="2:7" ht="14.25" customHeight="1" x14ac:dyDescent="0.3">
      <c r="B746" s="478"/>
      <c r="C746" s="479"/>
      <c r="E746" s="480"/>
      <c r="G746" s="65"/>
    </row>
    <row r="747" spans="2:7" ht="14.25" customHeight="1" x14ac:dyDescent="0.3">
      <c r="B747" s="478"/>
      <c r="C747" s="479"/>
      <c r="E747" s="480"/>
      <c r="G747" s="65"/>
    </row>
    <row r="748" spans="2:7" ht="14.25" customHeight="1" x14ac:dyDescent="0.3">
      <c r="B748" s="478"/>
      <c r="C748" s="479"/>
      <c r="E748" s="480"/>
      <c r="G748" s="65"/>
    </row>
    <row r="749" spans="2:7" ht="14.25" customHeight="1" x14ac:dyDescent="0.3">
      <c r="B749" s="478"/>
      <c r="C749" s="479"/>
      <c r="E749" s="480"/>
      <c r="G749" s="65"/>
    </row>
    <row r="750" spans="2:7" ht="14.25" customHeight="1" x14ac:dyDescent="0.3">
      <c r="B750" s="478"/>
      <c r="C750" s="479"/>
      <c r="E750" s="480"/>
      <c r="G750" s="65"/>
    </row>
    <row r="751" spans="2:7" ht="14.25" customHeight="1" x14ac:dyDescent="0.3">
      <c r="B751" s="478"/>
      <c r="C751" s="479"/>
      <c r="E751" s="480"/>
      <c r="G751" s="65"/>
    </row>
    <row r="752" spans="2:7" ht="14.25" customHeight="1" x14ac:dyDescent="0.3">
      <c r="B752" s="478"/>
      <c r="C752" s="479"/>
      <c r="E752" s="480"/>
      <c r="G752" s="65"/>
    </row>
    <row r="753" spans="2:7" ht="14.25" customHeight="1" x14ac:dyDescent="0.3">
      <c r="B753" s="478"/>
      <c r="C753" s="479"/>
      <c r="E753" s="480"/>
      <c r="G753" s="65"/>
    </row>
    <row r="754" spans="2:7" ht="14.25" customHeight="1" x14ac:dyDescent="0.3">
      <c r="B754" s="478"/>
      <c r="C754" s="479"/>
      <c r="E754" s="480"/>
      <c r="G754" s="65"/>
    </row>
    <row r="755" spans="2:7" ht="14.25" customHeight="1" x14ac:dyDescent="0.3">
      <c r="B755" s="478"/>
      <c r="C755" s="479"/>
      <c r="E755" s="480"/>
      <c r="G755" s="65"/>
    </row>
    <row r="756" spans="2:7" ht="14.25" customHeight="1" x14ac:dyDescent="0.3">
      <c r="B756" s="478"/>
      <c r="C756" s="479"/>
      <c r="E756" s="480"/>
      <c r="G756" s="65"/>
    </row>
    <row r="757" spans="2:7" ht="14.25" customHeight="1" x14ac:dyDescent="0.3">
      <c r="B757" s="478"/>
      <c r="C757" s="479"/>
      <c r="E757" s="480"/>
      <c r="G757" s="65"/>
    </row>
    <row r="758" spans="2:7" ht="14.25" customHeight="1" x14ac:dyDescent="0.3">
      <c r="B758" s="478"/>
      <c r="C758" s="479"/>
      <c r="E758" s="480"/>
      <c r="G758" s="65"/>
    </row>
    <row r="759" spans="2:7" ht="14.25" customHeight="1" x14ac:dyDescent="0.3">
      <c r="B759" s="478"/>
      <c r="C759" s="479"/>
      <c r="E759" s="480"/>
      <c r="G759" s="65"/>
    </row>
    <row r="760" spans="2:7" ht="14.25" customHeight="1" x14ac:dyDescent="0.3">
      <c r="B760" s="478"/>
      <c r="C760" s="479"/>
      <c r="E760" s="480"/>
      <c r="G760" s="65"/>
    </row>
    <row r="761" spans="2:7" ht="14.25" customHeight="1" x14ac:dyDescent="0.3">
      <c r="B761" s="478"/>
      <c r="C761" s="479"/>
      <c r="E761" s="480"/>
      <c r="G761" s="65"/>
    </row>
    <row r="762" spans="2:7" ht="14.25" customHeight="1" x14ac:dyDescent="0.3">
      <c r="B762" s="478"/>
      <c r="C762" s="479"/>
      <c r="E762" s="480"/>
      <c r="G762" s="65"/>
    </row>
    <row r="763" spans="2:7" ht="14.25" customHeight="1" x14ac:dyDescent="0.3">
      <c r="B763" s="478"/>
      <c r="C763" s="479"/>
      <c r="E763" s="480"/>
      <c r="G763" s="65"/>
    </row>
    <row r="764" spans="2:7" ht="14.25" customHeight="1" x14ac:dyDescent="0.3">
      <c r="B764" s="478"/>
      <c r="C764" s="479"/>
      <c r="E764" s="480"/>
      <c r="G764" s="65"/>
    </row>
    <row r="765" spans="2:7" ht="14.25" customHeight="1" x14ac:dyDescent="0.3">
      <c r="B765" s="478"/>
      <c r="C765" s="479"/>
      <c r="E765" s="480"/>
      <c r="G765" s="65"/>
    </row>
    <row r="766" spans="2:7" ht="14.25" customHeight="1" x14ac:dyDescent="0.3">
      <c r="B766" s="478"/>
      <c r="C766" s="479"/>
      <c r="E766" s="480"/>
      <c r="G766" s="65"/>
    </row>
    <row r="767" spans="2:7" ht="14.25" customHeight="1" x14ac:dyDescent="0.3">
      <c r="B767" s="478"/>
      <c r="C767" s="479"/>
      <c r="E767" s="480"/>
      <c r="G767" s="65"/>
    </row>
    <row r="768" spans="2:7" ht="14.25" customHeight="1" x14ac:dyDescent="0.3">
      <c r="B768" s="478"/>
      <c r="C768" s="479"/>
      <c r="E768" s="480"/>
      <c r="G768" s="65"/>
    </row>
    <row r="769" spans="2:7" ht="14.25" customHeight="1" x14ac:dyDescent="0.3">
      <c r="B769" s="478"/>
      <c r="C769" s="479"/>
      <c r="E769" s="480"/>
      <c r="G769" s="65"/>
    </row>
    <row r="770" spans="2:7" ht="14.25" customHeight="1" x14ac:dyDescent="0.3">
      <c r="B770" s="478"/>
      <c r="C770" s="479"/>
      <c r="E770" s="480"/>
      <c r="G770" s="65"/>
    </row>
    <row r="771" spans="2:7" ht="14.25" customHeight="1" x14ac:dyDescent="0.3">
      <c r="B771" s="478"/>
      <c r="C771" s="479"/>
      <c r="E771" s="480"/>
      <c r="G771" s="65"/>
    </row>
    <row r="772" spans="2:7" ht="14.25" customHeight="1" x14ac:dyDescent="0.3">
      <c r="B772" s="478"/>
      <c r="C772" s="479"/>
      <c r="E772" s="480"/>
      <c r="G772" s="65"/>
    </row>
    <row r="773" spans="2:7" ht="14.25" customHeight="1" x14ac:dyDescent="0.3">
      <c r="B773" s="478"/>
      <c r="C773" s="479"/>
      <c r="E773" s="480"/>
      <c r="G773" s="65"/>
    </row>
    <row r="774" spans="2:7" ht="14.25" customHeight="1" x14ac:dyDescent="0.3">
      <c r="B774" s="478"/>
      <c r="C774" s="479"/>
      <c r="E774" s="480"/>
      <c r="G774" s="65"/>
    </row>
    <row r="775" spans="2:7" ht="14.25" customHeight="1" x14ac:dyDescent="0.3">
      <c r="B775" s="478"/>
      <c r="C775" s="479"/>
      <c r="E775" s="480"/>
      <c r="G775" s="65"/>
    </row>
    <row r="776" spans="2:7" ht="14.25" customHeight="1" x14ac:dyDescent="0.3">
      <c r="B776" s="478"/>
      <c r="C776" s="479"/>
      <c r="E776" s="480"/>
      <c r="G776" s="65"/>
    </row>
    <row r="777" spans="2:7" ht="14.25" customHeight="1" x14ac:dyDescent="0.3">
      <c r="B777" s="478"/>
      <c r="C777" s="479"/>
      <c r="E777" s="480"/>
      <c r="G777" s="65"/>
    </row>
    <row r="778" spans="2:7" ht="14.25" customHeight="1" x14ac:dyDescent="0.3">
      <c r="B778" s="478"/>
      <c r="C778" s="479"/>
      <c r="E778" s="480"/>
      <c r="G778" s="65"/>
    </row>
    <row r="779" spans="2:7" ht="14.25" customHeight="1" x14ac:dyDescent="0.3">
      <c r="B779" s="478"/>
      <c r="C779" s="479"/>
      <c r="E779" s="480"/>
      <c r="G779" s="65"/>
    </row>
    <row r="780" spans="2:7" ht="14.25" customHeight="1" x14ac:dyDescent="0.3">
      <c r="B780" s="478"/>
      <c r="C780" s="479"/>
      <c r="E780" s="480"/>
      <c r="G780" s="65"/>
    </row>
    <row r="781" spans="2:7" ht="14.25" customHeight="1" x14ac:dyDescent="0.3">
      <c r="B781" s="478"/>
      <c r="C781" s="479"/>
      <c r="E781" s="480"/>
      <c r="G781" s="65"/>
    </row>
    <row r="782" spans="2:7" ht="14.25" customHeight="1" x14ac:dyDescent="0.3">
      <c r="B782" s="478"/>
      <c r="C782" s="479"/>
      <c r="E782" s="480"/>
      <c r="G782" s="65"/>
    </row>
    <row r="783" spans="2:7" ht="14.25" customHeight="1" x14ac:dyDescent="0.3">
      <c r="B783" s="478"/>
      <c r="C783" s="479"/>
      <c r="E783" s="480"/>
      <c r="G783" s="65"/>
    </row>
    <row r="784" spans="2:7" ht="14.25" customHeight="1" x14ac:dyDescent="0.3">
      <c r="B784" s="478"/>
      <c r="C784" s="479"/>
      <c r="E784" s="480"/>
      <c r="G784" s="65"/>
    </row>
    <row r="785" spans="2:7" ht="14.25" customHeight="1" x14ac:dyDescent="0.3">
      <c r="B785" s="478"/>
      <c r="C785" s="479"/>
      <c r="E785" s="480"/>
      <c r="G785" s="65"/>
    </row>
    <row r="786" spans="2:7" ht="14.25" customHeight="1" x14ac:dyDescent="0.3">
      <c r="B786" s="478"/>
      <c r="C786" s="479"/>
      <c r="E786" s="480"/>
      <c r="G786" s="65"/>
    </row>
    <row r="787" spans="2:7" ht="14.25" customHeight="1" x14ac:dyDescent="0.3">
      <c r="B787" s="478"/>
      <c r="C787" s="479"/>
      <c r="E787" s="480"/>
      <c r="G787" s="65"/>
    </row>
    <row r="788" spans="2:7" ht="14.25" customHeight="1" x14ac:dyDescent="0.3">
      <c r="B788" s="478"/>
      <c r="C788" s="479"/>
      <c r="E788" s="480"/>
      <c r="G788" s="65"/>
    </row>
    <row r="789" spans="2:7" ht="14.25" customHeight="1" x14ac:dyDescent="0.3">
      <c r="B789" s="478"/>
      <c r="C789" s="479"/>
      <c r="E789" s="480"/>
      <c r="G789" s="65"/>
    </row>
    <row r="790" spans="2:7" ht="14.25" customHeight="1" x14ac:dyDescent="0.3">
      <c r="B790" s="478"/>
      <c r="C790" s="479"/>
      <c r="E790" s="480"/>
      <c r="G790" s="65"/>
    </row>
    <row r="791" spans="2:7" ht="14.25" customHeight="1" x14ac:dyDescent="0.3">
      <c r="B791" s="478"/>
      <c r="C791" s="479"/>
      <c r="E791" s="480"/>
      <c r="G791" s="65"/>
    </row>
    <row r="792" spans="2:7" ht="14.25" customHeight="1" x14ac:dyDescent="0.3">
      <c r="B792" s="478"/>
      <c r="C792" s="479"/>
      <c r="E792" s="480"/>
      <c r="G792" s="65"/>
    </row>
    <row r="793" spans="2:7" ht="14.25" customHeight="1" x14ac:dyDescent="0.3">
      <c r="B793" s="478"/>
      <c r="C793" s="479"/>
      <c r="E793" s="480"/>
      <c r="G793" s="65"/>
    </row>
    <row r="794" spans="2:7" ht="14.25" customHeight="1" x14ac:dyDescent="0.3">
      <c r="B794" s="478"/>
      <c r="C794" s="479"/>
      <c r="E794" s="480"/>
      <c r="G794" s="65"/>
    </row>
    <row r="795" spans="2:7" ht="14.25" customHeight="1" x14ac:dyDescent="0.3">
      <c r="B795" s="478"/>
      <c r="C795" s="479"/>
      <c r="E795" s="480"/>
      <c r="G795" s="65"/>
    </row>
    <row r="796" spans="2:7" ht="14.25" customHeight="1" x14ac:dyDescent="0.3">
      <c r="B796" s="478"/>
      <c r="C796" s="479"/>
      <c r="E796" s="480"/>
      <c r="G796" s="65"/>
    </row>
    <row r="797" spans="2:7" ht="14.25" customHeight="1" x14ac:dyDescent="0.3">
      <c r="B797" s="478"/>
      <c r="C797" s="479"/>
      <c r="E797" s="480"/>
      <c r="G797" s="65"/>
    </row>
    <row r="798" spans="2:7" ht="14.25" customHeight="1" x14ac:dyDescent="0.3">
      <c r="B798" s="478"/>
      <c r="C798" s="479"/>
      <c r="E798" s="480"/>
      <c r="G798" s="65"/>
    </row>
    <row r="799" spans="2:7" ht="14.25" customHeight="1" x14ac:dyDescent="0.3">
      <c r="B799" s="478"/>
      <c r="C799" s="479"/>
      <c r="E799" s="480"/>
      <c r="G799" s="65"/>
    </row>
    <row r="800" spans="2:7" ht="14.25" customHeight="1" x14ac:dyDescent="0.3">
      <c r="B800" s="478"/>
      <c r="C800" s="479"/>
      <c r="E800" s="480"/>
      <c r="G800" s="65"/>
    </row>
    <row r="801" spans="2:7" ht="14.25" customHeight="1" x14ac:dyDescent="0.3">
      <c r="B801" s="478"/>
      <c r="C801" s="479"/>
      <c r="E801" s="480"/>
      <c r="G801" s="65"/>
    </row>
    <row r="802" spans="2:7" ht="14.25" customHeight="1" x14ac:dyDescent="0.3">
      <c r="B802" s="478"/>
      <c r="C802" s="479"/>
      <c r="E802" s="480"/>
      <c r="G802" s="65"/>
    </row>
    <row r="803" spans="2:7" ht="14.25" customHeight="1" x14ac:dyDescent="0.3">
      <c r="B803" s="478"/>
      <c r="C803" s="479"/>
      <c r="E803" s="480"/>
      <c r="G803" s="65"/>
    </row>
    <row r="804" spans="2:7" ht="14.25" customHeight="1" x14ac:dyDescent="0.3">
      <c r="B804" s="478"/>
      <c r="C804" s="479"/>
      <c r="E804" s="480"/>
      <c r="G804" s="65"/>
    </row>
    <row r="805" spans="2:7" ht="14.25" customHeight="1" x14ac:dyDescent="0.3">
      <c r="B805" s="478"/>
      <c r="C805" s="479"/>
      <c r="E805" s="480"/>
      <c r="G805" s="65"/>
    </row>
    <row r="806" spans="2:7" ht="14.25" customHeight="1" x14ac:dyDescent="0.3">
      <c r="B806" s="478"/>
      <c r="C806" s="479"/>
      <c r="E806" s="480"/>
      <c r="G806" s="65"/>
    </row>
    <row r="807" spans="2:7" ht="14.25" customHeight="1" x14ac:dyDescent="0.3">
      <c r="B807" s="478"/>
      <c r="C807" s="479"/>
      <c r="E807" s="480"/>
      <c r="G807" s="65"/>
    </row>
    <row r="808" spans="2:7" ht="14.25" customHeight="1" x14ac:dyDescent="0.3">
      <c r="B808" s="478"/>
      <c r="C808" s="479"/>
      <c r="E808" s="480"/>
      <c r="G808" s="65"/>
    </row>
    <row r="809" spans="2:7" ht="14.25" customHeight="1" x14ac:dyDescent="0.3">
      <c r="B809" s="478"/>
      <c r="C809" s="479"/>
      <c r="E809" s="480"/>
      <c r="G809" s="65"/>
    </row>
    <row r="810" spans="2:7" ht="14.25" customHeight="1" x14ac:dyDescent="0.3">
      <c r="B810" s="478"/>
      <c r="C810" s="479"/>
      <c r="E810" s="480"/>
      <c r="G810" s="65"/>
    </row>
    <row r="811" spans="2:7" ht="14.25" customHeight="1" x14ac:dyDescent="0.3">
      <c r="B811" s="478"/>
      <c r="C811" s="479"/>
      <c r="E811" s="480"/>
      <c r="G811" s="65"/>
    </row>
    <row r="812" spans="2:7" ht="14.25" customHeight="1" x14ac:dyDescent="0.3">
      <c r="B812" s="478"/>
      <c r="C812" s="479"/>
      <c r="E812" s="480"/>
      <c r="G812" s="65"/>
    </row>
    <row r="813" spans="2:7" ht="14.25" customHeight="1" x14ac:dyDescent="0.3">
      <c r="B813" s="478"/>
      <c r="C813" s="479"/>
      <c r="E813" s="480"/>
      <c r="G813" s="65"/>
    </row>
    <row r="814" spans="2:7" ht="14.25" customHeight="1" x14ac:dyDescent="0.3">
      <c r="B814" s="478"/>
      <c r="C814" s="479"/>
      <c r="E814" s="480"/>
      <c r="G814" s="65"/>
    </row>
    <row r="815" spans="2:7" ht="14.25" customHeight="1" x14ac:dyDescent="0.3">
      <c r="B815" s="478"/>
      <c r="C815" s="479"/>
      <c r="E815" s="480"/>
      <c r="G815" s="65"/>
    </row>
    <row r="816" spans="2:7" ht="14.25" customHeight="1" x14ac:dyDescent="0.3">
      <c r="B816" s="478"/>
      <c r="C816" s="479"/>
      <c r="E816" s="480"/>
      <c r="G816" s="65"/>
    </row>
    <row r="817" spans="2:7" ht="14.25" customHeight="1" x14ac:dyDescent="0.3">
      <c r="B817" s="478"/>
      <c r="C817" s="479"/>
      <c r="E817" s="480"/>
      <c r="G817" s="65"/>
    </row>
    <row r="818" spans="2:7" ht="14.25" customHeight="1" x14ac:dyDescent="0.3">
      <c r="B818" s="478"/>
      <c r="C818" s="479"/>
      <c r="E818" s="480"/>
      <c r="G818" s="65"/>
    </row>
    <row r="819" spans="2:7" ht="14.25" customHeight="1" x14ac:dyDescent="0.3">
      <c r="B819" s="478"/>
      <c r="C819" s="479"/>
      <c r="E819" s="480"/>
      <c r="G819" s="65"/>
    </row>
    <row r="820" spans="2:7" ht="14.25" customHeight="1" x14ac:dyDescent="0.3">
      <c r="B820" s="478"/>
      <c r="C820" s="479"/>
      <c r="E820" s="480"/>
      <c r="G820" s="65"/>
    </row>
    <row r="821" spans="2:7" ht="14.25" customHeight="1" x14ac:dyDescent="0.3">
      <c r="B821" s="478"/>
      <c r="C821" s="479"/>
      <c r="E821" s="480"/>
      <c r="G821" s="65"/>
    </row>
    <row r="822" spans="2:7" ht="14.25" customHeight="1" x14ac:dyDescent="0.3">
      <c r="B822" s="478"/>
      <c r="C822" s="479"/>
      <c r="E822" s="480"/>
      <c r="G822" s="65"/>
    </row>
    <row r="823" spans="2:7" ht="14.25" customHeight="1" x14ac:dyDescent="0.3">
      <c r="B823" s="478"/>
      <c r="C823" s="479"/>
      <c r="E823" s="480"/>
      <c r="G823" s="65"/>
    </row>
    <row r="824" spans="2:7" ht="14.25" customHeight="1" x14ac:dyDescent="0.3">
      <c r="B824" s="478"/>
      <c r="C824" s="479"/>
      <c r="E824" s="480"/>
      <c r="G824" s="65"/>
    </row>
    <row r="825" spans="2:7" ht="14.25" customHeight="1" x14ac:dyDescent="0.3">
      <c r="B825" s="478"/>
      <c r="C825" s="479"/>
      <c r="E825" s="480"/>
      <c r="G825" s="65"/>
    </row>
    <row r="826" spans="2:7" ht="14.25" customHeight="1" x14ac:dyDescent="0.3">
      <c r="B826" s="478"/>
      <c r="C826" s="479"/>
      <c r="E826" s="480"/>
      <c r="G826" s="65"/>
    </row>
    <row r="827" spans="2:7" ht="14.25" customHeight="1" x14ac:dyDescent="0.3">
      <c r="B827" s="478"/>
      <c r="C827" s="479"/>
      <c r="E827" s="480"/>
      <c r="G827" s="65"/>
    </row>
    <row r="828" spans="2:7" ht="14.25" customHeight="1" x14ac:dyDescent="0.3">
      <c r="B828" s="478"/>
      <c r="C828" s="479"/>
      <c r="E828" s="480"/>
      <c r="G828" s="65"/>
    </row>
    <row r="829" spans="2:7" ht="14.25" customHeight="1" x14ac:dyDescent="0.3">
      <c r="B829" s="478"/>
      <c r="C829" s="479"/>
      <c r="E829" s="480"/>
      <c r="G829" s="65"/>
    </row>
    <row r="830" spans="2:7" ht="14.25" customHeight="1" x14ac:dyDescent="0.3">
      <c r="B830" s="478"/>
      <c r="C830" s="479"/>
      <c r="E830" s="480"/>
      <c r="G830" s="65"/>
    </row>
    <row r="831" spans="2:7" ht="14.25" customHeight="1" x14ac:dyDescent="0.3">
      <c r="B831" s="478"/>
      <c r="C831" s="479"/>
      <c r="E831" s="480"/>
      <c r="G831" s="65"/>
    </row>
    <row r="832" spans="2:7" ht="14.25" customHeight="1" x14ac:dyDescent="0.3">
      <c r="B832" s="478"/>
      <c r="C832" s="479"/>
      <c r="E832" s="480"/>
      <c r="G832" s="65"/>
    </row>
    <row r="833" spans="2:7" ht="14.25" customHeight="1" x14ac:dyDescent="0.3">
      <c r="B833" s="478"/>
      <c r="C833" s="479"/>
      <c r="E833" s="480"/>
      <c r="G833" s="65"/>
    </row>
    <row r="834" spans="2:7" ht="14.25" customHeight="1" x14ac:dyDescent="0.3">
      <c r="B834" s="478"/>
      <c r="C834" s="479"/>
      <c r="E834" s="480"/>
      <c r="G834" s="65"/>
    </row>
    <row r="835" spans="2:7" ht="14.25" customHeight="1" x14ac:dyDescent="0.3">
      <c r="B835" s="478"/>
      <c r="C835" s="479"/>
      <c r="E835" s="480"/>
      <c r="G835" s="65"/>
    </row>
    <row r="836" spans="2:7" ht="14.25" customHeight="1" x14ac:dyDescent="0.3">
      <c r="B836" s="478"/>
      <c r="C836" s="479"/>
      <c r="E836" s="480"/>
      <c r="G836" s="65"/>
    </row>
    <row r="837" spans="2:7" ht="14.25" customHeight="1" x14ac:dyDescent="0.3">
      <c r="B837" s="478"/>
      <c r="C837" s="479"/>
      <c r="E837" s="480"/>
      <c r="G837" s="65"/>
    </row>
    <row r="838" spans="2:7" ht="14.25" customHeight="1" x14ac:dyDescent="0.3">
      <c r="B838" s="478"/>
      <c r="C838" s="479"/>
      <c r="E838" s="480"/>
      <c r="G838" s="65"/>
    </row>
    <row r="839" spans="2:7" ht="14.25" customHeight="1" x14ac:dyDescent="0.3">
      <c r="B839" s="478"/>
      <c r="C839" s="479"/>
      <c r="E839" s="480"/>
      <c r="G839" s="65"/>
    </row>
    <row r="840" spans="2:7" ht="14.25" customHeight="1" x14ac:dyDescent="0.3">
      <c r="B840" s="478"/>
      <c r="C840" s="479"/>
      <c r="E840" s="480"/>
      <c r="G840" s="65"/>
    </row>
    <row r="841" spans="2:7" ht="14.25" customHeight="1" x14ac:dyDescent="0.3">
      <c r="B841" s="478"/>
      <c r="C841" s="479"/>
      <c r="E841" s="480"/>
      <c r="G841" s="65"/>
    </row>
    <row r="842" spans="2:7" ht="14.25" customHeight="1" x14ac:dyDescent="0.3">
      <c r="B842" s="478"/>
      <c r="C842" s="479"/>
      <c r="E842" s="480"/>
      <c r="G842" s="65"/>
    </row>
    <row r="843" spans="2:7" ht="14.25" customHeight="1" x14ac:dyDescent="0.3">
      <c r="B843" s="478"/>
      <c r="C843" s="479"/>
      <c r="E843" s="480"/>
      <c r="G843" s="65"/>
    </row>
    <row r="844" spans="2:7" ht="14.25" customHeight="1" x14ac:dyDescent="0.3">
      <c r="B844" s="478"/>
      <c r="C844" s="479"/>
      <c r="E844" s="480"/>
      <c r="G844" s="65"/>
    </row>
    <row r="845" spans="2:7" ht="14.25" customHeight="1" x14ac:dyDescent="0.3">
      <c r="B845" s="478"/>
      <c r="C845" s="479"/>
      <c r="E845" s="480"/>
      <c r="G845" s="65"/>
    </row>
    <row r="846" spans="2:7" ht="14.25" customHeight="1" x14ac:dyDescent="0.3">
      <c r="B846" s="478"/>
      <c r="C846" s="479"/>
      <c r="E846" s="480"/>
      <c r="G846" s="65"/>
    </row>
    <row r="847" spans="2:7" ht="14.25" customHeight="1" x14ac:dyDescent="0.3">
      <c r="B847" s="478"/>
      <c r="C847" s="479"/>
      <c r="E847" s="480"/>
      <c r="G847" s="65"/>
    </row>
    <row r="848" spans="2:7" ht="14.25" customHeight="1" x14ac:dyDescent="0.3">
      <c r="B848" s="478"/>
      <c r="C848" s="479"/>
      <c r="E848" s="480"/>
      <c r="G848" s="65"/>
    </row>
    <row r="849" spans="2:7" ht="14.25" customHeight="1" x14ac:dyDescent="0.3">
      <c r="B849" s="478"/>
      <c r="C849" s="479"/>
      <c r="E849" s="480"/>
      <c r="G849" s="65"/>
    </row>
    <row r="850" spans="2:7" ht="14.25" customHeight="1" x14ac:dyDescent="0.3">
      <c r="B850" s="478"/>
      <c r="C850" s="479"/>
      <c r="E850" s="480"/>
      <c r="G850" s="65"/>
    </row>
    <row r="851" spans="2:7" ht="14.25" customHeight="1" x14ac:dyDescent="0.3">
      <c r="B851" s="478"/>
      <c r="C851" s="479"/>
      <c r="E851" s="480"/>
      <c r="G851" s="65"/>
    </row>
    <row r="852" spans="2:7" ht="14.25" customHeight="1" x14ac:dyDescent="0.3">
      <c r="B852" s="478"/>
      <c r="C852" s="479"/>
      <c r="E852" s="480"/>
      <c r="G852" s="65"/>
    </row>
    <row r="853" spans="2:7" ht="14.25" customHeight="1" x14ac:dyDescent="0.3">
      <c r="B853" s="478"/>
      <c r="C853" s="479"/>
      <c r="E853" s="480"/>
      <c r="G853" s="65"/>
    </row>
    <row r="854" spans="2:7" ht="14.25" customHeight="1" x14ac:dyDescent="0.3">
      <c r="B854" s="478"/>
      <c r="C854" s="479"/>
      <c r="E854" s="480"/>
      <c r="G854" s="65"/>
    </row>
    <row r="855" spans="2:7" ht="14.25" customHeight="1" x14ac:dyDescent="0.3">
      <c r="B855" s="478"/>
      <c r="C855" s="479"/>
      <c r="E855" s="480"/>
      <c r="G855" s="65"/>
    </row>
    <row r="856" spans="2:7" ht="14.25" customHeight="1" x14ac:dyDescent="0.3">
      <c r="B856" s="478"/>
      <c r="C856" s="479"/>
      <c r="E856" s="480"/>
      <c r="G856" s="65"/>
    </row>
    <row r="857" spans="2:7" ht="14.25" customHeight="1" x14ac:dyDescent="0.3">
      <c r="B857" s="478"/>
      <c r="C857" s="479"/>
      <c r="E857" s="480"/>
      <c r="G857" s="65"/>
    </row>
    <row r="858" spans="2:7" ht="14.25" customHeight="1" x14ac:dyDescent="0.3">
      <c r="B858" s="478"/>
      <c r="C858" s="479"/>
      <c r="E858" s="480"/>
      <c r="G858" s="65"/>
    </row>
    <row r="859" spans="2:7" ht="14.25" customHeight="1" x14ac:dyDescent="0.3">
      <c r="B859" s="478"/>
      <c r="C859" s="479"/>
      <c r="E859" s="480"/>
      <c r="G859" s="65"/>
    </row>
    <row r="860" spans="2:7" ht="14.25" customHeight="1" x14ac:dyDescent="0.3">
      <c r="B860" s="478"/>
      <c r="C860" s="479"/>
      <c r="E860" s="480"/>
      <c r="G860" s="65"/>
    </row>
    <row r="861" spans="2:7" ht="14.25" customHeight="1" x14ac:dyDescent="0.3">
      <c r="B861" s="478"/>
      <c r="C861" s="479"/>
      <c r="E861" s="480"/>
      <c r="G861" s="65"/>
    </row>
    <row r="862" spans="2:7" ht="14.25" customHeight="1" x14ac:dyDescent="0.3">
      <c r="B862" s="478"/>
      <c r="C862" s="479"/>
      <c r="E862" s="480"/>
      <c r="G862" s="65"/>
    </row>
    <row r="863" spans="2:7" ht="14.25" customHeight="1" x14ac:dyDescent="0.3">
      <c r="B863" s="478"/>
      <c r="C863" s="479"/>
      <c r="E863" s="480"/>
      <c r="G863" s="65"/>
    </row>
    <row r="864" spans="2:7" ht="14.25" customHeight="1" x14ac:dyDescent="0.3">
      <c r="B864" s="478"/>
      <c r="C864" s="479"/>
      <c r="E864" s="480"/>
      <c r="G864" s="65"/>
    </row>
    <row r="865" spans="2:7" ht="14.25" customHeight="1" x14ac:dyDescent="0.3">
      <c r="B865" s="478"/>
      <c r="C865" s="479"/>
      <c r="E865" s="480"/>
      <c r="G865" s="65"/>
    </row>
    <row r="866" spans="2:7" ht="14.25" customHeight="1" x14ac:dyDescent="0.3">
      <c r="B866" s="478"/>
      <c r="C866" s="479"/>
      <c r="E866" s="480"/>
      <c r="G866" s="65"/>
    </row>
    <row r="867" spans="2:7" ht="14.25" customHeight="1" x14ac:dyDescent="0.3">
      <c r="B867" s="478"/>
      <c r="C867" s="479"/>
      <c r="E867" s="480"/>
      <c r="G867" s="65"/>
    </row>
    <row r="868" spans="2:7" ht="14.25" customHeight="1" x14ac:dyDescent="0.3">
      <c r="B868" s="478"/>
      <c r="C868" s="479"/>
      <c r="E868" s="480"/>
      <c r="G868" s="65"/>
    </row>
    <row r="869" spans="2:7" ht="14.25" customHeight="1" x14ac:dyDescent="0.3">
      <c r="B869" s="478"/>
      <c r="C869" s="479"/>
      <c r="E869" s="480"/>
      <c r="G869" s="65"/>
    </row>
    <row r="870" spans="2:7" ht="14.25" customHeight="1" x14ac:dyDescent="0.3">
      <c r="B870" s="478"/>
      <c r="C870" s="479"/>
      <c r="E870" s="480"/>
      <c r="G870" s="65"/>
    </row>
    <row r="871" spans="2:7" ht="14.25" customHeight="1" x14ac:dyDescent="0.3">
      <c r="B871" s="478"/>
      <c r="C871" s="479"/>
      <c r="E871" s="480"/>
      <c r="G871" s="65"/>
    </row>
    <row r="872" spans="2:7" ht="14.25" customHeight="1" x14ac:dyDescent="0.3">
      <c r="B872" s="478"/>
      <c r="C872" s="479"/>
      <c r="E872" s="480"/>
      <c r="G872" s="65"/>
    </row>
    <row r="873" spans="2:7" ht="14.25" customHeight="1" x14ac:dyDescent="0.3">
      <c r="B873" s="478"/>
      <c r="C873" s="479"/>
      <c r="E873" s="480"/>
      <c r="G873" s="65"/>
    </row>
    <row r="874" spans="2:7" ht="14.25" customHeight="1" x14ac:dyDescent="0.3">
      <c r="B874" s="478"/>
      <c r="C874" s="479"/>
      <c r="E874" s="480"/>
      <c r="G874" s="65"/>
    </row>
    <row r="875" spans="2:7" ht="14.25" customHeight="1" x14ac:dyDescent="0.3">
      <c r="B875" s="478"/>
      <c r="C875" s="479"/>
      <c r="E875" s="480"/>
      <c r="G875" s="65"/>
    </row>
    <row r="876" spans="2:7" ht="14.25" customHeight="1" x14ac:dyDescent="0.3">
      <c r="B876" s="478"/>
      <c r="C876" s="479"/>
      <c r="E876" s="480"/>
      <c r="G876" s="65"/>
    </row>
    <row r="877" spans="2:7" ht="14.25" customHeight="1" x14ac:dyDescent="0.3">
      <c r="B877" s="478"/>
      <c r="C877" s="479"/>
      <c r="E877" s="480"/>
      <c r="G877" s="65"/>
    </row>
    <row r="878" spans="2:7" ht="14.25" customHeight="1" x14ac:dyDescent="0.3">
      <c r="B878" s="478"/>
      <c r="C878" s="479"/>
      <c r="E878" s="480"/>
      <c r="G878" s="65"/>
    </row>
    <row r="879" spans="2:7" ht="14.25" customHeight="1" x14ac:dyDescent="0.3">
      <c r="B879" s="478"/>
      <c r="C879" s="479"/>
      <c r="E879" s="480"/>
      <c r="G879" s="65"/>
    </row>
    <row r="880" spans="2:7" ht="14.25" customHeight="1" x14ac:dyDescent="0.3">
      <c r="B880" s="478"/>
      <c r="C880" s="479"/>
      <c r="E880" s="480"/>
      <c r="G880" s="65"/>
    </row>
    <row r="881" spans="2:7" ht="14.25" customHeight="1" x14ac:dyDescent="0.3">
      <c r="B881" s="478"/>
      <c r="C881" s="479"/>
      <c r="E881" s="480"/>
      <c r="G881" s="65"/>
    </row>
    <row r="882" spans="2:7" ht="14.25" customHeight="1" x14ac:dyDescent="0.3">
      <c r="B882" s="478"/>
      <c r="C882" s="479"/>
      <c r="E882" s="480"/>
      <c r="G882" s="65"/>
    </row>
    <row r="883" spans="2:7" ht="14.25" customHeight="1" x14ac:dyDescent="0.3">
      <c r="B883" s="478"/>
      <c r="C883" s="479"/>
      <c r="E883" s="480"/>
      <c r="G883" s="65"/>
    </row>
    <row r="884" spans="2:7" ht="14.25" customHeight="1" x14ac:dyDescent="0.3">
      <c r="B884" s="478"/>
      <c r="C884" s="479"/>
      <c r="E884" s="480"/>
      <c r="G884" s="65"/>
    </row>
    <row r="885" spans="2:7" ht="14.25" customHeight="1" x14ac:dyDescent="0.3">
      <c r="B885" s="478"/>
      <c r="C885" s="479"/>
      <c r="E885" s="480"/>
      <c r="G885" s="65"/>
    </row>
    <row r="886" spans="2:7" ht="14.25" customHeight="1" x14ac:dyDescent="0.3">
      <c r="B886" s="478"/>
      <c r="C886" s="479"/>
      <c r="E886" s="480"/>
      <c r="G886" s="65"/>
    </row>
    <row r="887" spans="2:7" ht="14.25" customHeight="1" x14ac:dyDescent="0.3">
      <c r="B887" s="478"/>
      <c r="C887" s="479"/>
      <c r="E887" s="480"/>
      <c r="G887" s="65"/>
    </row>
    <row r="888" spans="2:7" ht="14.25" customHeight="1" x14ac:dyDescent="0.3">
      <c r="B888" s="478"/>
      <c r="C888" s="479"/>
      <c r="E888" s="480"/>
      <c r="G888" s="65"/>
    </row>
    <row r="889" spans="2:7" ht="14.25" customHeight="1" x14ac:dyDescent="0.3">
      <c r="B889" s="478"/>
      <c r="C889" s="479"/>
      <c r="E889" s="480"/>
      <c r="G889" s="65"/>
    </row>
    <row r="890" spans="2:7" ht="14.25" customHeight="1" x14ac:dyDescent="0.3">
      <c r="B890" s="478"/>
      <c r="C890" s="479"/>
      <c r="E890" s="480"/>
      <c r="G890" s="65"/>
    </row>
    <row r="891" spans="2:7" ht="14.25" customHeight="1" x14ac:dyDescent="0.3">
      <c r="B891" s="478"/>
      <c r="C891" s="479"/>
      <c r="E891" s="480"/>
      <c r="G891" s="65"/>
    </row>
    <row r="892" spans="2:7" ht="14.25" customHeight="1" x14ac:dyDescent="0.3">
      <c r="B892" s="478"/>
      <c r="C892" s="479"/>
      <c r="E892" s="480"/>
      <c r="G892" s="65"/>
    </row>
    <row r="893" spans="2:7" ht="14.25" customHeight="1" x14ac:dyDescent="0.3">
      <c r="B893" s="478"/>
      <c r="C893" s="479"/>
      <c r="E893" s="480"/>
      <c r="G893" s="65"/>
    </row>
    <row r="894" spans="2:7" ht="14.25" customHeight="1" x14ac:dyDescent="0.3">
      <c r="B894" s="478"/>
      <c r="C894" s="479"/>
      <c r="E894" s="480"/>
      <c r="G894" s="65"/>
    </row>
    <row r="895" spans="2:7" ht="14.25" customHeight="1" x14ac:dyDescent="0.3">
      <c r="B895" s="478"/>
      <c r="C895" s="479"/>
      <c r="E895" s="480"/>
      <c r="G895" s="65"/>
    </row>
    <row r="896" spans="2:7" ht="14.25" customHeight="1" x14ac:dyDescent="0.3">
      <c r="B896" s="478"/>
      <c r="C896" s="479"/>
      <c r="E896" s="480"/>
      <c r="G896" s="65"/>
    </row>
    <row r="897" spans="2:7" ht="14.25" customHeight="1" x14ac:dyDescent="0.3">
      <c r="B897" s="478"/>
      <c r="C897" s="479"/>
      <c r="E897" s="480"/>
      <c r="G897" s="65"/>
    </row>
    <row r="898" spans="2:7" ht="14.25" customHeight="1" x14ac:dyDescent="0.3">
      <c r="B898" s="478"/>
      <c r="C898" s="479"/>
      <c r="E898" s="480"/>
      <c r="G898" s="65"/>
    </row>
    <row r="899" spans="2:7" ht="14.25" customHeight="1" x14ac:dyDescent="0.3">
      <c r="B899" s="478"/>
      <c r="C899" s="479"/>
      <c r="E899" s="480"/>
      <c r="G899" s="65"/>
    </row>
    <row r="900" spans="2:7" ht="14.25" customHeight="1" x14ac:dyDescent="0.3">
      <c r="B900" s="478"/>
      <c r="C900" s="479"/>
      <c r="E900" s="480"/>
      <c r="G900" s="65"/>
    </row>
    <row r="901" spans="2:7" ht="14.25" customHeight="1" x14ac:dyDescent="0.3">
      <c r="B901" s="478"/>
      <c r="C901" s="479"/>
      <c r="E901" s="480"/>
      <c r="G901" s="65"/>
    </row>
    <row r="902" spans="2:7" ht="14.25" customHeight="1" x14ac:dyDescent="0.3">
      <c r="B902" s="478"/>
      <c r="C902" s="479"/>
      <c r="E902" s="480"/>
      <c r="G902" s="65"/>
    </row>
    <row r="903" spans="2:7" ht="14.25" customHeight="1" x14ac:dyDescent="0.3">
      <c r="B903" s="478"/>
      <c r="C903" s="479"/>
      <c r="E903" s="480"/>
      <c r="G903" s="65"/>
    </row>
    <row r="904" spans="2:7" ht="14.25" customHeight="1" x14ac:dyDescent="0.3">
      <c r="B904" s="478"/>
      <c r="C904" s="479"/>
      <c r="E904" s="480"/>
      <c r="G904" s="65"/>
    </row>
    <row r="905" spans="2:7" ht="14.25" customHeight="1" x14ac:dyDescent="0.3">
      <c r="B905" s="478"/>
      <c r="C905" s="479"/>
      <c r="E905" s="480"/>
      <c r="G905" s="65"/>
    </row>
    <row r="906" spans="2:7" ht="14.25" customHeight="1" x14ac:dyDescent="0.3">
      <c r="B906" s="478"/>
      <c r="C906" s="479"/>
      <c r="E906" s="480"/>
      <c r="G906" s="65"/>
    </row>
    <row r="907" spans="2:7" ht="14.25" customHeight="1" x14ac:dyDescent="0.3">
      <c r="B907" s="478"/>
      <c r="C907" s="479"/>
      <c r="E907" s="480"/>
      <c r="G907" s="65"/>
    </row>
    <row r="908" spans="2:7" ht="14.25" customHeight="1" x14ac:dyDescent="0.3">
      <c r="B908" s="478"/>
      <c r="C908" s="479"/>
      <c r="E908" s="480"/>
      <c r="G908" s="65"/>
    </row>
    <row r="909" spans="2:7" ht="14.25" customHeight="1" x14ac:dyDescent="0.3">
      <c r="B909" s="478"/>
      <c r="C909" s="479"/>
      <c r="E909" s="480"/>
      <c r="G909" s="65"/>
    </row>
    <row r="910" spans="2:7" ht="14.25" customHeight="1" x14ac:dyDescent="0.3">
      <c r="B910" s="478"/>
      <c r="C910" s="479"/>
      <c r="E910" s="480"/>
      <c r="G910" s="65"/>
    </row>
    <row r="911" spans="2:7" ht="14.25" customHeight="1" x14ac:dyDescent="0.3">
      <c r="B911" s="478"/>
      <c r="C911" s="479"/>
      <c r="E911" s="480"/>
      <c r="G911" s="65"/>
    </row>
    <row r="912" spans="2:7" ht="14.25" customHeight="1" x14ac:dyDescent="0.3">
      <c r="B912" s="478"/>
      <c r="C912" s="479"/>
      <c r="E912" s="480"/>
      <c r="G912" s="65"/>
    </row>
    <row r="913" spans="2:7" ht="14.25" customHeight="1" x14ac:dyDescent="0.3">
      <c r="B913" s="478"/>
      <c r="C913" s="479"/>
      <c r="E913" s="480"/>
      <c r="G913" s="65"/>
    </row>
    <row r="914" spans="2:7" ht="14.25" customHeight="1" x14ac:dyDescent="0.3">
      <c r="B914" s="478"/>
      <c r="C914" s="479"/>
      <c r="E914" s="480"/>
      <c r="G914" s="65"/>
    </row>
    <row r="915" spans="2:7" ht="14.25" customHeight="1" x14ac:dyDescent="0.3">
      <c r="B915" s="478"/>
      <c r="C915" s="479"/>
      <c r="E915" s="480"/>
      <c r="G915" s="65"/>
    </row>
    <row r="916" spans="2:7" ht="14.25" customHeight="1" x14ac:dyDescent="0.3">
      <c r="B916" s="478"/>
      <c r="C916" s="479"/>
      <c r="E916" s="480"/>
      <c r="G916" s="65"/>
    </row>
    <row r="917" spans="2:7" ht="14.25" customHeight="1" x14ac:dyDescent="0.3">
      <c r="B917" s="478"/>
      <c r="C917" s="479"/>
      <c r="E917" s="480"/>
      <c r="G917" s="65"/>
    </row>
    <row r="918" spans="2:7" ht="14.25" customHeight="1" x14ac:dyDescent="0.3">
      <c r="B918" s="478"/>
      <c r="C918" s="479"/>
      <c r="E918" s="480"/>
      <c r="G918" s="65"/>
    </row>
    <row r="919" spans="2:7" ht="14.25" customHeight="1" x14ac:dyDescent="0.3">
      <c r="B919" s="478"/>
      <c r="C919" s="479"/>
      <c r="E919" s="480"/>
      <c r="G919" s="65"/>
    </row>
    <row r="920" spans="2:7" ht="14.25" customHeight="1" x14ac:dyDescent="0.3">
      <c r="B920" s="478"/>
      <c r="C920" s="479"/>
      <c r="E920" s="480"/>
      <c r="G920" s="65"/>
    </row>
    <row r="921" spans="2:7" ht="14.25" customHeight="1" x14ac:dyDescent="0.3">
      <c r="B921" s="478"/>
      <c r="C921" s="479"/>
      <c r="E921" s="480"/>
      <c r="G921" s="65"/>
    </row>
    <row r="922" spans="2:7" ht="14.25" customHeight="1" x14ac:dyDescent="0.3">
      <c r="B922" s="478"/>
      <c r="C922" s="479"/>
      <c r="E922" s="480"/>
      <c r="G922" s="65"/>
    </row>
    <row r="923" spans="2:7" ht="14.25" customHeight="1" x14ac:dyDescent="0.3">
      <c r="B923" s="478"/>
      <c r="C923" s="479"/>
      <c r="E923" s="480"/>
      <c r="G923" s="65"/>
    </row>
    <row r="924" spans="2:7" ht="14.25" customHeight="1" x14ac:dyDescent="0.3">
      <c r="B924" s="478"/>
      <c r="C924" s="479"/>
      <c r="E924" s="480"/>
      <c r="G924" s="65"/>
    </row>
    <row r="925" spans="2:7" ht="14.25" customHeight="1" x14ac:dyDescent="0.3">
      <c r="B925" s="478"/>
      <c r="C925" s="479"/>
      <c r="E925" s="480"/>
      <c r="G925" s="65"/>
    </row>
    <row r="926" spans="2:7" ht="14.25" customHeight="1" x14ac:dyDescent="0.3">
      <c r="B926" s="478"/>
      <c r="C926" s="479"/>
      <c r="E926" s="480"/>
      <c r="G926" s="65"/>
    </row>
    <row r="927" spans="2:7" ht="14.25" customHeight="1" x14ac:dyDescent="0.3">
      <c r="B927" s="478"/>
      <c r="C927" s="479"/>
      <c r="E927" s="480"/>
      <c r="G927" s="65"/>
    </row>
    <row r="928" spans="2:7" ht="14.25" customHeight="1" x14ac:dyDescent="0.3">
      <c r="B928" s="478"/>
      <c r="C928" s="479"/>
      <c r="E928" s="480"/>
      <c r="G928" s="65"/>
    </row>
    <row r="929" spans="2:7" ht="14.25" customHeight="1" x14ac:dyDescent="0.3">
      <c r="B929" s="478"/>
      <c r="C929" s="479"/>
      <c r="E929" s="480"/>
      <c r="G929" s="65"/>
    </row>
    <row r="930" spans="2:7" ht="14.25" customHeight="1" x14ac:dyDescent="0.3">
      <c r="B930" s="478"/>
      <c r="C930" s="479"/>
      <c r="E930" s="480"/>
      <c r="G930" s="65"/>
    </row>
    <row r="931" spans="2:7" ht="14.25" customHeight="1" x14ac:dyDescent="0.3">
      <c r="B931" s="478"/>
      <c r="C931" s="479"/>
      <c r="E931" s="480"/>
      <c r="G931" s="65"/>
    </row>
    <row r="932" spans="2:7" ht="14.25" customHeight="1" x14ac:dyDescent="0.3">
      <c r="B932" s="478"/>
      <c r="C932" s="479"/>
      <c r="E932" s="480"/>
      <c r="G932" s="65"/>
    </row>
    <row r="933" spans="2:7" ht="14.25" customHeight="1" x14ac:dyDescent="0.3">
      <c r="B933" s="478"/>
      <c r="C933" s="479"/>
      <c r="E933" s="480"/>
      <c r="G933" s="65"/>
    </row>
    <row r="934" spans="2:7" ht="14.25" customHeight="1" x14ac:dyDescent="0.3">
      <c r="B934" s="478"/>
      <c r="C934" s="479"/>
      <c r="E934" s="480"/>
      <c r="G934" s="65"/>
    </row>
    <row r="935" spans="2:7" ht="14.25" customHeight="1" x14ac:dyDescent="0.3">
      <c r="B935" s="478"/>
      <c r="C935" s="479"/>
      <c r="E935" s="480"/>
      <c r="G935" s="65"/>
    </row>
    <row r="936" spans="2:7" ht="14.25" customHeight="1" x14ac:dyDescent="0.3">
      <c r="B936" s="478"/>
      <c r="C936" s="479"/>
      <c r="E936" s="480"/>
      <c r="G936" s="65"/>
    </row>
    <row r="937" spans="2:7" ht="14.25" customHeight="1" x14ac:dyDescent="0.3">
      <c r="B937" s="478"/>
      <c r="C937" s="479"/>
      <c r="E937" s="480"/>
      <c r="G937" s="65"/>
    </row>
    <row r="938" spans="2:7" ht="14.25" customHeight="1" x14ac:dyDescent="0.3">
      <c r="B938" s="478"/>
      <c r="C938" s="479"/>
      <c r="E938" s="480"/>
      <c r="G938" s="65"/>
    </row>
    <row r="939" spans="2:7" ht="14.25" customHeight="1" x14ac:dyDescent="0.3">
      <c r="B939" s="478"/>
      <c r="C939" s="479"/>
      <c r="E939" s="480"/>
      <c r="G939" s="65"/>
    </row>
    <row r="940" spans="2:7" ht="14.25" customHeight="1" x14ac:dyDescent="0.3">
      <c r="B940" s="478"/>
      <c r="C940" s="479"/>
      <c r="E940" s="480"/>
      <c r="G940" s="65"/>
    </row>
    <row r="941" spans="2:7" ht="14.25" customHeight="1" x14ac:dyDescent="0.3">
      <c r="B941" s="478"/>
      <c r="C941" s="479"/>
      <c r="E941" s="480"/>
      <c r="G941" s="65"/>
    </row>
    <row r="942" spans="2:7" ht="14.25" customHeight="1" x14ac:dyDescent="0.3">
      <c r="B942" s="478"/>
      <c r="C942" s="479"/>
      <c r="E942" s="480"/>
      <c r="G942" s="65"/>
    </row>
    <row r="943" spans="2:7" ht="14.25" customHeight="1" x14ac:dyDescent="0.3">
      <c r="B943" s="478"/>
      <c r="C943" s="479"/>
      <c r="E943" s="480"/>
      <c r="G943" s="65"/>
    </row>
    <row r="944" spans="2:7" ht="14.25" customHeight="1" x14ac:dyDescent="0.3">
      <c r="B944" s="478"/>
      <c r="C944" s="479"/>
      <c r="E944" s="480"/>
      <c r="G944" s="65"/>
    </row>
    <row r="945" spans="2:7" ht="14.25" customHeight="1" x14ac:dyDescent="0.3">
      <c r="B945" s="478"/>
      <c r="C945" s="479"/>
      <c r="E945" s="480"/>
      <c r="G945" s="65"/>
    </row>
    <row r="946" spans="2:7" ht="14.25" customHeight="1" x14ac:dyDescent="0.3">
      <c r="B946" s="478"/>
      <c r="C946" s="479"/>
      <c r="E946" s="480"/>
      <c r="G946" s="65"/>
    </row>
    <row r="947" spans="2:7" ht="14.25" customHeight="1" x14ac:dyDescent="0.3">
      <c r="B947" s="478"/>
      <c r="C947" s="479"/>
      <c r="E947" s="480"/>
      <c r="G947" s="65"/>
    </row>
    <row r="948" spans="2:7" ht="14.25" customHeight="1" x14ac:dyDescent="0.3">
      <c r="B948" s="478"/>
      <c r="C948" s="479"/>
      <c r="E948" s="480"/>
      <c r="G948" s="65"/>
    </row>
    <row r="949" spans="2:7" ht="14.25" customHeight="1" x14ac:dyDescent="0.3">
      <c r="B949" s="478"/>
      <c r="C949" s="479"/>
      <c r="E949" s="480"/>
      <c r="G949" s="65"/>
    </row>
    <row r="950" spans="2:7" ht="14.25" customHeight="1" x14ac:dyDescent="0.3">
      <c r="B950" s="478"/>
      <c r="C950" s="479"/>
      <c r="E950" s="480"/>
      <c r="G950" s="65"/>
    </row>
    <row r="951" spans="2:7" ht="14.25" customHeight="1" x14ac:dyDescent="0.3">
      <c r="B951" s="478"/>
      <c r="C951" s="479"/>
      <c r="E951" s="480"/>
      <c r="G951" s="65"/>
    </row>
    <row r="952" spans="2:7" ht="14.25" customHeight="1" x14ac:dyDescent="0.3">
      <c r="B952" s="478"/>
      <c r="C952" s="479"/>
      <c r="E952" s="480"/>
      <c r="G952" s="65"/>
    </row>
    <row r="953" spans="2:7" ht="14.25" customHeight="1" x14ac:dyDescent="0.3">
      <c r="B953" s="478"/>
      <c r="C953" s="479"/>
      <c r="E953" s="480"/>
      <c r="G953" s="65"/>
    </row>
    <row r="954" spans="2:7" ht="14.25" customHeight="1" x14ac:dyDescent="0.3">
      <c r="B954" s="478"/>
      <c r="C954" s="479"/>
      <c r="E954" s="480"/>
      <c r="G954" s="65"/>
    </row>
    <row r="955" spans="2:7" ht="14.25" customHeight="1" x14ac:dyDescent="0.3">
      <c r="B955" s="478"/>
      <c r="C955" s="479"/>
      <c r="E955" s="480"/>
      <c r="G955" s="65"/>
    </row>
    <row r="956" spans="2:7" ht="14.25" customHeight="1" x14ac:dyDescent="0.3">
      <c r="B956" s="478"/>
      <c r="C956" s="479"/>
      <c r="E956" s="480"/>
      <c r="G956" s="65"/>
    </row>
    <row r="957" spans="2:7" ht="14.25" customHeight="1" x14ac:dyDescent="0.3">
      <c r="B957" s="478"/>
      <c r="C957" s="479"/>
      <c r="E957" s="480"/>
      <c r="G957" s="65"/>
    </row>
    <row r="958" spans="2:7" ht="14.25" customHeight="1" x14ac:dyDescent="0.3">
      <c r="B958" s="478"/>
      <c r="C958" s="479"/>
      <c r="E958" s="480"/>
      <c r="G958" s="65"/>
    </row>
    <row r="959" spans="2:7" ht="14.25" customHeight="1" x14ac:dyDescent="0.3">
      <c r="B959" s="478"/>
      <c r="C959" s="479"/>
      <c r="E959" s="480"/>
      <c r="G959" s="65"/>
    </row>
    <row r="960" spans="2:7" ht="14.25" customHeight="1" x14ac:dyDescent="0.3">
      <c r="B960" s="478"/>
      <c r="C960" s="479"/>
      <c r="E960" s="480"/>
      <c r="G960" s="65"/>
    </row>
    <row r="961" spans="2:7" ht="14.25" customHeight="1" x14ac:dyDescent="0.3">
      <c r="B961" s="478"/>
      <c r="C961" s="479"/>
      <c r="E961" s="480"/>
      <c r="G961" s="65"/>
    </row>
    <row r="962" spans="2:7" ht="14.25" customHeight="1" x14ac:dyDescent="0.3">
      <c r="B962" s="478"/>
      <c r="C962" s="479"/>
      <c r="E962" s="480"/>
      <c r="G962" s="65"/>
    </row>
    <row r="963" spans="2:7" ht="14.25" customHeight="1" x14ac:dyDescent="0.3">
      <c r="B963" s="478"/>
      <c r="C963" s="479"/>
      <c r="E963" s="480"/>
      <c r="G963" s="65"/>
    </row>
    <row r="964" spans="2:7" ht="14.25" customHeight="1" x14ac:dyDescent="0.3">
      <c r="B964" s="478"/>
      <c r="C964" s="479"/>
      <c r="E964" s="480"/>
      <c r="G964" s="65"/>
    </row>
    <row r="965" spans="2:7" ht="14.25" customHeight="1" x14ac:dyDescent="0.3">
      <c r="B965" s="478"/>
      <c r="C965" s="479"/>
      <c r="E965" s="480"/>
      <c r="G965" s="65"/>
    </row>
    <row r="966" spans="2:7" ht="14.25" customHeight="1" x14ac:dyDescent="0.3">
      <c r="B966" s="478"/>
      <c r="C966" s="479"/>
      <c r="E966" s="480"/>
      <c r="G966" s="65"/>
    </row>
    <row r="967" spans="2:7" ht="14.25" customHeight="1" x14ac:dyDescent="0.3">
      <c r="B967" s="478"/>
      <c r="C967" s="479"/>
      <c r="E967" s="480"/>
      <c r="G967" s="65"/>
    </row>
    <row r="968" spans="2:7" ht="14.25" customHeight="1" x14ac:dyDescent="0.3">
      <c r="B968" s="478"/>
      <c r="C968" s="479"/>
      <c r="E968" s="480"/>
      <c r="G968" s="65"/>
    </row>
    <row r="969" spans="2:7" ht="14.25" customHeight="1" x14ac:dyDescent="0.3">
      <c r="B969" s="478"/>
      <c r="C969" s="479"/>
      <c r="E969" s="480"/>
      <c r="G969" s="65"/>
    </row>
    <row r="970" spans="2:7" ht="14.25" customHeight="1" x14ac:dyDescent="0.3">
      <c r="B970" s="478"/>
      <c r="C970" s="479"/>
      <c r="E970" s="480"/>
      <c r="G970" s="65"/>
    </row>
    <row r="971" spans="2:7" ht="14.25" customHeight="1" x14ac:dyDescent="0.3">
      <c r="B971" s="478"/>
      <c r="C971" s="479"/>
      <c r="E971" s="480"/>
      <c r="G971" s="65"/>
    </row>
    <row r="972" spans="2:7" ht="14.25" customHeight="1" x14ac:dyDescent="0.3">
      <c r="B972" s="478"/>
      <c r="C972" s="479"/>
      <c r="E972" s="480"/>
      <c r="G972" s="65"/>
    </row>
    <row r="973" spans="2:7" ht="14.25" customHeight="1" x14ac:dyDescent="0.3">
      <c r="B973" s="478"/>
      <c r="C973" s="479"/>
      <c r="E973" s="480"/>
      <c r="G973" s="65"/>
    </row>
    <row r="974" spans="2:7" ht="14.25" customHeight="1" x14ac:dyDescent="0.3">
      <c r="B974" s="478"/>
      <c r="C974" s="479"/>
      <c r="E974" s="480"/>
      <c r="G974" s="65"/>
    </row>
    <row r="975" spans="2:7" ht="14.25" customHeight="1" x14ac:dyDescent="0.3">
      <c r="B975" s="478"/>
      <c r="C975" s="479"/>
      <c r="E975" s="480"/>
      <c r="G975" s="65"/>
    </row>
    <row r="976" spans="2:7" ht="14.25" customHeight="1" x14ac:dyDescent="0.3">
      <c r="B976" s="478"/>
      <c r="C976" s="479"/>
      <c r="E976" s="480"/>
      <c r="G976" s="65"/>
    </row>
    <row r="977" spans="2:7" ht="14.25" customHeight="1" x14ac:dyDescent="0.3">
      <c r="B977" s="478"/>
      <c r="C977" s="479"/>
      <c r="E977" s="480"/>
      <c r="G977" s="65"/>
    </row>
    <row r="978" spans="2:7" ht="14.25" customHeight="1" x14ac:dyDescent="0.3">
      <c r="B978" s="478"/>
      <c r="C978" s="479"/>
      <c r="E978" s="480"/>
      <c r="G978" s="65"/>
    </row>
    <row r="979" spans="2:7" ht="14.25" customHeight="1" x14ac:dyDescent="0.3">
      <c r="B979" s="478"/>
      <c r="C979" s="479"/>
      <c r="E979" s="480"/>
      <c r="G979" s="65"/>
    </row>
    <row r="980" spans="2:7" ht="14.25" customHeight="1" x14ac:dyDescent="0.3">
      <c r="B980" s="478"/>
      <c r="C980" s="479"/>
      <c r="E980" s="480"/>
      <c r="G980" s="65"/>
    </row>
    <row r="981" spans="2:7" ht="14.25" customHeight="1" x14ac:dyDescent="0.3">
      <c r="B981" s="478"/>
      <c r="C981" s="479"/>
      <c r="E981" s="480"/>
      <c r="G981" s="65"/>
    </row>
    <row r="982" spans="2:7" ht="14.25" customHeight="1" x14ac:dyDescent="0.3">
      <c r="B982" s="478"/>
      <c r="C982" s="479"/>
      <c r="E982" s="480"/>
      <c r="G982" s="65"/>
    </row>
    <row r="983" spans="2:7" ht="14.25" customHeight="1" x14ac:dyDescent="0.3">
      <c r="B983" s="478"/>
      <c r="C983" s="479"/>
      <c r="E983" s="480"/>
      <c r="G983" s="65"/>
    </row>
    <row r="984" spans="2:7" ht="14.25" customHeight="1" x14ac:dyDescent="0.3">
      <c r="B984" s="478"/>
      <c r="C984" s="479"/>
      <c r="E984" s="480"/>
      <c r="G984" s="65"/>
    </row>
    <row r="985" spans="2:7" ht="14.25" customHeight="1" x14ac:dyDescent="0.3">
      <c r="B985" s="478"/>
      <c r="C985" s="479"/>
      <c r="E985" s="480"/>
      <c r="G985" s="65"/>
    </row>
    <row r="986" spans="2:7" ht="14.25" customHeight="1" x14ac:dyDescent="0.3">
      <c r="B986" s="478"/>
      <c r="C986" s="479"/>
      <c r="E986" s="480"/>
      <c r="G986" s="65"/>
    </row>
    <row r="987" spans="2:7" ht="14.25" customHeight="1" x14ac:dyDescent="0.3">
      <c r="B987" s="478"/>
      <c r="C987" s="479"/>
      <c r="E987" s="480"/>
      <c r="G987" s="65"/>
    </row>
    <row r="988" spans="2:7" ht="14.25" customHeight="1" x14ac:dyDescent="0.3">
      <c r="B988" s="478"/>
      <c r="C988" s="479"/>
      <c r="E988" s="480"/>
      <c r="G988" s="65"/>
    </row>
    <row r="989" spans="2:7" ht="14.25" customHeight="1" x14ac:dyDescent="0.3">
      <c r="B989" s="478"/>
      <c r="C989" s="479"/>
      <c r="E989" s="480"/>
      <c r="G989" s="65"/>
    </row>
    <row r="990" spans="2:7" ht="14.25" customHeight="1" x14ac:dyDescent="0.3">
      <c r="B990" s="478"/>
      <c r="C990" s="479"/>
      <c r="E990" s="480"/>
      <c r="G990" s="65"/>
    </row>
    <row r="991" spans="2:7" ht="14.25" customHeight="1" x14ac:dyDescent="0.3">
      <c r="B991" s="478"/>
      <c r="C991" s="479"/>
      <c r="E991" s="480"/>
      <c r="G991" s="65"/>
    </row>
    <row r="992" spans="2:7" ht="14.25" customHeight="1" x14ac:dyDescent="0.3">
      <c r="B992" s="478"/>
      <c r="C992" s="479"/>
      <c r="E992" s="480"/>
      <c r="G992" s="65"/>
    </row>
    <row r="993" spans="2:7" ht="14.25" customHeight="1" x14ac:dyDescent="0.3">
      <c r="B993" s="478"/>
      <c r="C993" s="479"/>
      <c r="E993" s="480"/>
      <c r="G993" s="65"/>
    </row>
    <row r="994" spans="2:7" ht="14.25" customHeight="1" x14ac:dyDescent="0.3">
      <c r="B994" s="478"/>
      <c r="C994" s="479"/>
      <c r="E994" s="480"/>
      <c r="G994" s="65"/>
    </row>
    <row r="995" spans="2:7" ht="14.25" customHeight="1" x14ac:dyDescent="0.3">
      <c r="B995" s="478"/>
      <c r="C995" s="479"/>
      <c r="E995" s="480"/>
      <c r="G995" s="65"/>
    </row>
    <row r="996" spans="2:7" ht="14.25" customHeight="1" x14ac:dyDescent="0.3">
      <c r="B996" s="478"/>
      <c r="C996" s="479"/>
      <c r="E996" s="480"/>
      <c r="G996" s="65"/>
    </row>
    <row r="997" spans="2:7" ht="14.25" customHeight="1" x14ac:dyDescent="0.3">
      <c r="B997" s="478"/>
      <c r="C997" s="479"/>
      <c r="E997" s="480"/>
      <c r="G997" s="65"/>
    </row>
    <row r="998" spans="2:7" ht="14.25" customHeight="1" x14ac:dyDescent="0.3">
      <c r="B998" s="478"/>
      <c r="C998" s="479"/>
      <c r="E998" s="480"/>
      <c r="G998" s="65"/>
    </row>
    <row r="999" spans="2:7" ht="14.25" customHeight="1" x14ac:dyDescent="0.3">
      <c r="B999" s="478"/>
      <c r="C999" s="479"/>
      <c r="E999" s="480"/>
      <c r="G999" s="65"/>
    </row>
    <row r="1000" spans="2:7" ht="14.25" customHeight="1" x14ac:dyDescent="0.3">
      <c r="B1000" s="478"/>
      <c r="C1000" s="479"/>
      <c r="E1000" s="480"/>
      <c r="G1000" s="65"/>
    </row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/>
  </sheetViews>
  <sheetFormatPr defaultColWidth="14.44140625" defaultRowHeight="15" customHeight="1" x14ac:dyDescent="0.3"/>
  <cols>
    <col min="1" max="1" width="5" customWidth="1"/>
    <col min="2" max="2" width="12.6640625" customWidth="1"/>
    <col min="3" max="3" width="23.33203125" customWidth="1"/>
    <col min="4" max="4" width="17.5546875" customWidth="1"/>
    <col min="5" max="5" width="29" customWidth="1"/>
    <col min="6" max="6" width="24.88671875" customWidth="1"/>
    <col min="7" max="7" width="22" customWidth="1"/>
    <col min="8" max="8" width="15.5546875" customWidth="1"/>
    <col min="9" max="9" width="19.5546875" customWidth="1"/>
    <col min="10" max="10" width="20.109375" customWidth="1"/>
    <col min="11" max="11" width="16.6640625" customWidth="1"/>
    <col min="12" max="12" width="15.33203125" customWidth="1"/>
    <col min="13" max="13" width="19" customWidth="1"/>
    <col min="14" max="14" width="19.5546875" customWidth="1"/>
    <col min="15" max="15" width="16.6640625" customWidth="1"/>
    <col min="16" max="16" width="15.33203125" customWidth="1"/>
    <col min="17" max="17" width="8.6640625" customWidth="1"/>
    <col min="18" max="18" width="14.6640625" customWidth="1"/>
    <col min="19" max="19" width="11.88671875" customWidth="1"/>
    <col min="20" max="20" width="10.5546875" customWidth="1"/>
    <col min="21" max="21" width="9.109375" customWidth="1"/>
    <col min="22" max="26" width="8.6640625" customWidth="1"/>
  </cols>
  <sheetData>
    <row r="1" spans="1:26" ht="14.25" customHeight="1" x14ac:dyDescent="0.3">
      <c r="A1" s="484"/>
      <c r="C1" s="573" t="s">
        <v>787</v>
      </c>
      <c r="D1" s="574"/>
      <c r="E1" s="574"/>
      <c r="F1" s="574"/>
      <c r="G1" s="574"/>
      <c r="H1" s="575"/>
      <c r="I1" s="485"/>
      <c r="J1" s="485"/>
      <c r="K1" s="485"/>
      <c r="L1" s="485"/>
      <c r="M1" s="486"/>
      <c r="N1" s="486"/>
      <c r="O1" s="486"/>
      <c r="P1" s="486"/>
      <c r="R1" s="23"/>
      <c r="U1" s="11"/>
    </row>
    <row r="2" spans="1:26" ht="14.25" customHeight="1" x14ac:dyDescent="0.3">
      <c r="A2" s="487" t="s">
        <v>661</v>
      </c>
      <c r="B2" s="488" t="s">
        <v>776</v>
      </c>
      <c r="C2" s="489" t="s">
        <v>788</v>
      </c>
      <c r="D2" s="489" t="s">
        <v>789</v>
      </c>
      <c r="E2" s="489" t="s">
        <v>790</v>
      </c>
      <c r="F2" s="489" t="s">
        <v>791</v>
      </c>
      <c r="G2" s="489" t="s">
        <v>792</v>
      </c>
      <c r="H2" s="489" t="s">
        <v>793</v>
      </c>
      <c r="I2" s="490" t="s">
        <v>794</v>
      </c>
      <c r="J2" s="490" t="s">
        <v>795</v>
      </c>
      <c r="K2" s="490" t="s">
        <v>796</v>
      </c>
      <c r="L2" s="490" t="s">
        <v>797</v>
      </c>
      <c r="M2" s="491" t="s">
        <v>798</v>
      </c>
      <c r="N2" s="491" t="s">
        <v>799</v>
      </c>
      <c r="O2" s="491" t="s">
        <v>796</v>
      </c>
      <c r="P2" s="491" t="s">
        <v>797</v>
      </c>
      <c r="Q2" s="492"/>
      <c r="R2" s="493" t="s">
        <v>800</v>
      </c>
      <c r="S2" s="492"/>
      <c r="T2" s="492"/>
      <c r="U2" s="494"/>
      <c r="V2" s="492"/>
      <c r="W2" s="492"/>
      <c r="X2" s="492"/>
      <c r="Y2" s="492"/>
      <c r="Z2" s="492"/>
    </row>
    <row r="3" spans="1:26" ht="14.25" customHeight="1" x14ac:dyDescent="0.3">
      <c r="A3" s="495">
        <v>2020</v>
      </c>
      <c r="B3" s="496" t="s">
        <v>801</v>
      </c>
      <c r="C3" s="497">
        <v>19.149999999999999</v>
      </c>
      <c r="D3" s="497"/>
      <c r="E3" s="497"/>
      <c r="F3" s="497"/>
      <c r="G3" s="497"/>
      <c r="H3" s="497">
        <v>0</v>
      </c>
      <c r="I3" s="498">
        <v>12452.14</v>
      </c>
      <c r="J3" s="498">
        <v>12025.27</v>
      </c>
      <c r="K3" s="498">
        <v>45.04</v>
      </c>
      <c r="L3" s="498">
        <v>471.91</v>
      </c>
      <c r="M3" s="499">
        <v>0</v>
      </c>
      <c r="N3" s="499">
        <v>0</v>
      </c>
      <c r="O3" s="499">
        <v>0</v>
      </c>
      <c r="P3" s="500">
        <v>0</v>
      </c>
      <c r="R3" s="23"/>
      <c r="U3" s="11"/>
    </row>
    <row r="4" spans="1:26" ht="14.25" customHeight="1" x14ac:dyDescent="0.3">
      <c r="A4" s="501">
        <v>2020</v>
      </c>
      <c r="B4" s="47" t="s">
        <v>802</v>
      </c>
      <c r="C4" s="502">
        <v>0</v>
      </c>
      <c r="D4" s="502"/>
      <c r="E4" s="502"/>
      <c r="F4" s="502"/>
      <c r="G4" s="502"/>
      <c r="H4" s="502">
        <v>0</v>
      </c>
      <c r="I4" s="503">
        <v>3102.37</v>
      </c>
      <c r="J4" s="503">
        <v>2996.68</v>
      </c>
      <c r="K4" s="503">
        <v>4.3</v>
      </c>
      <c r="L4" s="503">
        <v>109.99</v>
      </c>
      <c r="M4" s="504">
        <v>0</v>
      </c>
      <c r="N4" s="504">
        <v>0</v>
      </c>
      <c r="O4" s="504">
        <v>0</v>
      </c>
      <c r="P4" s="505">
        <v>0</v>
      </c>
      <c r="R4" s="23"/>
      <c r="U4" s="11"/>
    </row>
    <row r="5" spans="1:26" ht="14.25" customHeight="1" x14ac:dyDescent="0.3">
      <c r="A5" s="501">
        <v>2020</v>
      </c>
      <c r="B5" s="47" t="s">
        <v>803</v>
      </c>
      <c r="C5" s="502">
        <v>0</v>
      </c>
      <c r="D5" s="502"/>
      <c r="E5" s="502"/>
      <c r="F5" s="502"/>
      <c r="G5" s="502"/>
      <c r="H5" s="502">
        <v>0</v>
      </c>
      <c r="I5" s="503">
        <v>6554.06</v>
      </c>
      <c r="J5" s="503">
        <v>6488.57</v>
      </c>
      <c r="K5" s="503">
        <v>2.2799999999999998</v>
      </c>
      <c r="L5" s="503">
        <v>67.77</v>
      </c>
      <c r="M5" s="504">
        <v>0</v>
      </c>
      <c r="N5" s="504">
        <v>0</v>
      </c>
      <c r="O5" s="504">
        <v>0</v>
      </c>
      <c r="P5" s="505">
        <v>0</v>
      </c>
      <c r="R5" s="23"/>
      <c r="U5" s="11"/>
    </row>
    <row r="6" spans="1:26" ht="14.25" customHeight="1" x14ac:dyDescent="0.3">
      <c r="A6" s="506">
        <v>2020</v>
      </c>
      <c r="B6" s="507" t="s">
        <v>68</v>
      </c>
      <c r="C6" s="508">
        <f t="shared" ref="C6:F6" si="0">SUM(C2:C5)</f>
        <v>19.149999999999999</v>
      </c>
      <c r="D6" s="508">
        <f t="shared" si="0"/>
        <v>0</v>
      </c>
      <c r="E6" s="508">
        <f t="shared" si="0"/>
        <v>0</v>
      </c>
      <c r="F6" s="508">
        <f t="shared" si="0"/>
        <v>0</v>
      </c>
      <c r="G6" s="508"/>
      <c r="H6" s="508">
        <f t="shared" ref="H6:P6" si="1">SUM(H2:H5)</f>
        <v>0</v>
      </c>
      <c r="I6" s="509">
        <f t="shared" si="1"/>
        <v>22108.57</v>
      </c>
      <c r="J6" s="509">
        <f t="shared" si="1"/>
        <v>21510.52</v>
      </c>
      <c r="K6" s="509">
        <f t="shared" si="1"/>
        <v>51.62</v>
      </c>
      <c r="L6" s="509">
        <f t="shared" si="1"/>
        <v>649.66999999999996</v>
      </c>
      <c r="M6" s="510">
        <f t="shared" si="1"/>
        <v>0</v>
      </c>
      <c r="N6" s="510">
        <f t="shared" si="1"/>
        <v>0</v>
      </c>
      <c r="O6" s="510">
        <f t="shared" si="1"/>
        <v>0</v>
      </c>
      <c r="P6" s="511">
        <f t="shared" si="1"/>
        <v>0</v>
      </c>
      <c r="Q6" s="492"/>
      <c r="R6" s="512">
        <f>L6+P6</f>
        <v>649.66999999999996</v>
      </c>
      <c r="S6" s="492"/>
      <c r="T6" s="492"/>
      <c r="U6" s="494"/>
      <c r="V6" s="492"/>
      <c r="W6" s="492"/>
      <c r="X6" s="492"/>
      <c r="Y6" s="492"/>
      <c r="Z6" s="492"/>
    </row>
    <row r="7" spans="1:26" ht="14.25" customHeight="1" x14ac:dyDescent="0.3">
      <c r="A7" s="484"/>
      <c r="C7" s="513"/>
      <c r="D7" s="513"/>
      <c r="E7" s="513"/>
      <c r="F7" s="513"/>
      <c r="G7" s="513"/>
      <c r="H7" s="513"/>
      <c r="I7" s="485"/>
      <c r="J7" s="485"/>
      <c r="K7" s="485"/>
      <c r="L7" s="485"/>
      <c r="M7" s="486"/>
      <c r="N7" s="486"/>
      <c r="O7" s="486"/>
      <c r="P7" s="486"/>
      <c r="R7" s="23"/>
      <c r="U7" s="11"/>
    </row>
    <row r="8" spans="1:26" ht="14.25" customHeight="1" x14ac:dyDescent="0.3">
      <c r="A8" s="495">
        <v>2021</v>
      </c>
      <c r="B8" s="496" t="s">
        <v>804</v>
      </c>
      <c r="C8" s="497">
        <v>45.14</v>
      </c>
      <c r="D8" s="497"/>
      <c r="E8" s="497"/>
      <c r="F8" s="497"/>
      <c r="G8" s="497"/>
      <c r="H8" s="497">
        <v>0.94</v>
      </c>
      <c r="I8" s="498">
        <v>75774.039999999994</v>
      </c>
      <c r="J8" s="498">
        <v>72656.539999999994</v>
      </c>
      <c r="K8" s="498">
        <v>395.57</v>
      </c>
      <c r="L8" s="498">
        <v>3513.07</v>
      </c>
      <c r="M8" s="499">
        <v>1617.32</v>
      </c>
      <c r="N8" s="499">
        <v>1052.6500000000001</v>
      </c>
      <c r="O8" s="499">
        <v>0</v>
      </c>
      <c r="P8" s="500">
        <v>564.66999999999996</v>
      </c>
      <c r="R8" s="23"/>
      <c r="U8" s="11"/>
    </row>
    <row r="9" spans="1:26" ht="14.25" customHeight="1" x14ac:dyDescent="0.3">
      <c r="A9" s="501">
        <v>2021</v>
      </c>
      <c r="B9" s="47" t="s">
        <v>802</v>
      </c>
      <c r="C9" s="502">
        <v>0</v>
      </c>
      <c r="D9" s="502"/>
      <c r="E9" s="502"/>
      <c r="F9" s="502"/>
      <c r="G9" s="502"/>
      <c r="H9" s="502">
        <v>0</v>
      </c>
      <c r="I9" s="503">
        <v>15051.2</v>
      </c>
      <c r="J9" s="503">
        <v>14175.95</v>
      </c>
      <c r="K9" s="503">
        <v>13.41</v>
      </c>
      <c r="L9" s="503">
        <v>888.66</v>
      </c>
      <c r="M9" s="504">
        <v>570.67999999999995</v>
      </c>
      <c r="N9" s="504">
        <v>339.23</v>
      </c>
      <c r="O9" s="504">
        <v>0</v>
      </c>
      <c r="P9" s="505">
        <v>231.45</v>
      </c>
      <c r="R9" s="23"/>
      <c r="U9" s="11"/>
    </row>
    <row r="10" spans="1:26" ht="14.25" customHeight="1" x14ac:dyDescent="0.3">
      <c r="A10" s="501">
        <v>2021</v>
      </c>
      <c r="B10" s="47" t="s">
        <v>803</v>
      </c>
      <c r="C10" s="502">
        <v>0</v>
      </c>
      <c r="D10" s="502"/>
      <c r="E10" s="502"/>
      <c r="F10" s="502"/>
      <c r="G10" s="502"/>
      <c r="H10" s="502">
        <v>0</v>
      </c>
      <c r="I10" s="503">
        <v>11202.69</v>
      </c>
      <c r="J10" s="503">
        <v>10564.64</v>
      </c>
      <c r="K10" s="503">
        <v>15.33</v>
      </c>
      <c r="L10" s="503">
        <v>653.38</v>
      </c>
      <c r="M10" s="504">
        <v>426.17</v>
      </c>
      <c r="N10" s="504">
        <v>253.66</v>
      </c>
      <c r="O10" s="504">
        <v>0</v>
      </c>
      <c r="P10" s="505">
        <v>172.51</v>
      </c>
      <c r="R10" s="23"/>
      <c r="U10" s="11"/>
    </row>
    <row r="11" spans="1:26" ht="14.25" customHeight="1" x14ac:dyDescent="0.3">
      <c r="A11" s="506">
        <v>2021</v>
      </c>
      <c r="B11" s="507" t="s">
        <v>68</v>
      </c>
      <c r="C11" s="508">
        <f t="shared" ref="C11:P11" si="2">SUM(C8:C10)</f>
        <v>45.14</v>
      </c>
      <c r="D11" s="508">
        <f t="shared" si="2"/>
        <v>0</v>
      </c>
      <c r="E11" s="508">
        <f t="shared" si="2"/>
        <v>0</v>
      </c>
      <c r="F11" s="508">
        <f t="shared" si="2"/>
        <v>0</v>
      </c>
      <c r="G11" s="508">
        <f t="shared" si="2"/>
        <v>0</v>
      </c>
      <c r="H11" s="508">
        <f t="shared" si="2"/>
        <v>0.94</v>
      </c>
      <c r="I11" s="509">
        <f t="shared" si="2"/>
        <v>102027.93</v>
      </c>
      <c r="J11" s="509">
        <f t="shared" si="2"/>
        <v>97397.12999999999</v>
      </c>
      <c r="K11" s="509">
        <f t="shared" si="2"/>
        <v>424.31</v>
      </c>
      <c r="L11" s="509">
        <f t="shared" si="2"/>
        <v>5055.1100000000006</v>
      </c>
      <c r="M11" s="510">
        <f t="shared" si="2"/>
        <v>2614.17</v>
      </c>
      <c r="N11" s="510">
        <f t="shared" si="2"/>
        <v>1645.5400000000002</v>
      </c>
      <c r="O11" s="510">
        <f t="shared" si="2"/>
        <v>0</v>
      </c>
      <c r="P11" s="511">
        <f t="shared" si="2"/>
        <v>968.62999999999988</v>
      </c>
      <c r="Q11" s="492"/>
      <c r="R11" s="512">
        <f>L11+P11</f>
        <v>6023.7400000000007</v>
      </c>
      <c r="S11" s="492"/>
      <c r="T11" s="492"/>
      <c r="U11" s="494"/>
      <c r="V11" s="492"/>
      <c r="W11" s="492"/>
      <c r="X11" s="492"/>
      <c r="Y11" s="492"/>
      <c r="Z11" s="492"/>
    </row>
    <row r="12" spans="1:26" ht="14.25" customHeight="1" x14ac:dyDescent="0.3">
      <c r="A12" s="484"/>
      <c r="C12" s="513"/>
      <c r="D12" s="513"/>
      <c r="E12" s="513"/>
      <c r="F12" s="513"/>
      <c r="G12" s="513"/>
      <c r="H12" s="513"/>
      <c r="I12" s="485"/>
      <c r="J12" s="485"/>
      <c r="K12" s="485"/>
      <c r="L12" s="485"/>
      <c r="M12" s="486"/>
      <c r="N12" s="486"/>
      <c r="O12" s="486"/>
      <c r="P12" s="486"/>
      <c r="R12" s="23"/>
      <c r="U12" s="11"/>
    </row>
    <row r="13" spans="1:26" ht="14.25" customHeight="1" x14ac:dyDescent="0.3">
      <c r="A13" s="495">
        <v>2022</v>
      </c>
      <c r="B13" s="496" t="s">
        <v>801</v>
      </c>
      <c r="C13" s="497">
        <v>220.65</v>
      </c>
      <c r="D13" s="497"/>
      <c r="E13" s="497"/>
      <c r="F13" s="497">
        <v>12.93</v>
      </c>
      <c r="G13" s="497">
        <v>0.32</v>
      </c>
      <c r="H13" s="497">
        <v>0</v>
      </c>
      <c r="I13" s="498">
        <v>94983.37</v>
      </c>
      <c r="J13" s="498">
        <v>112827.17</v>
      </c>
      <c r="K13" s="498">
        <v>1902.03</v>
      </c>
      <c r="L13" s="498">
        <v>-15941.77</v>
      </c>
      <c r="M13" s="499">
        <v>22406.02</v>
      </c>
      <c r="N13" s="499">
        <v>29089.68</v>
      </c>
      <c r="O13" s="499">
        <v>2107.16</v>
      </c>
      <c r="P13" s="500">
        <v>-4576.5</v>
      </c>
      <c r="R13" s="23"/>
      <c r="U13" s="11"/>
    </row>
    <row r="14" spans="1:26" ht="14.25" customHeight="1" x14ac:dyDescent="0.3">
      <c r="A14" s="501">
        <v>2022</v>
      </c>
      <c r="B14" s="47" t="s">
        <v>802</v>
      </c>
      <c r="C14" s="502">
        <v>22.14</v>
      </c>
      <c r="D14" s="502"/>
      <c r="E14" s="502"/>
      <c r="F14" s="502">
        <v>1.2</v>
      </c>
      <c r="G14" s="502">
        <v>0.03</v>
      </c>
      <c r="H14" s="502">
        <v>0</v>
      </c>
      <c r="I14" s="503">
        <v>10363.58</v>
      </c>
      <c r="J14" s="503">
        <v>12096.94</v>
      </c>
      <c r="K14" s="503">
        <v>194.48</v>
      </c>
      <c r="L14" s="503">
        <v>-1538.88</v>
      </c>
      <c r="M14" s="504">
        <v>2634.85</v>
      </c>
      <c r="N14" s="504">
        <v>3549.22</v>
      </c>
      <c r="O14" s="504">
        <v>228.25</v>
      </c>
      <c r="P14" s="505">
        <v>-686.12</v>
      </c>
      <c r="R14" s="23"/>
      <c r="U14" s="11"/>
    </row>
    <row r="15" spans="1:26" ht="14.25" customHeight="1" x14ac:dyDescent="0.3">
      <c r="A15" s="501">
        <v>2022</v>
      </c>
      <c r="B15" s="47" t="s">
        <v>803</v>
      </c>
      <c r="C15" s="502">
        <v>22.04</v>
      </c>
      <c r="D15" s="502"/>
      <c r="E15" s="502"/>
      <c r="F15" s="502">
        <v>1.23</v>
      </c>
      <c r="G15" s="502">
        <v>0.03</v>
      </c>
      <c r="H15" s="502">
        <v>0</v>
      </c>
      <c r="I15" s="503">
        <v>9690.0300000000007</v>
      </c>
      <c r="J15" s="503">
        <v>11200.65</v>
      </c>
      <c r="K15" s="503">
        <v>164.55</v>
      </c>
      <c r="L15" s="503">
        <v>-1346.07</v>
      </c>
      <c r="M15" s="504">
        <v>2439.35</v>
      </c>
      <c r="N15" s="504">
        <v>3222.21</v>
      </c>
      <c r="O15" s="504">
        <v>231.38</v>
      </c>
      <c r="P15" s="505">
        <v>-551.48</v>
      </c>
      <c r="R15" s="23"/>
      <c r="S15" s="484">
        <v>2022</v>
      </c>
      <c r="T15" s="484">
        <v>2023</v>
      </c>
      <c r="U15" s="484">
        <v>2024</v>
      </c>
    </row>
    <row r="16" spans="1:26" ht="14.25" customHeight="1" x14ac:dyDescent="0.3">
      <c r="A16" s="506">
        <v>2022</v>
      </c>
      <c r="B16" s="507" t="s">
        <v>68</v>
      </c>
      <c r="C16" s="508">
        <f t="shared" ref="C16:P16" si="3">SUM(C13:C15)</f>
        <v>264.83000000000004</v>
      </c>
      <c r="D16" s="508">
        <f t="shared" si="3"/>
        <v>0</v>
      </c>
      <c r="E16" s="508">
        <f t="shared" si="3"/>
        <v>0</v>
      </c>
      <c r="F16" s="508">
        <f t="shared" si="3"/>
        <v>15.36</v>
      </c>
      <c r="G16" s="508">
        <f t="shared" si="3"/>
        <v>0.38</v>
      </c>
      <c r="H16" s="508">
        <f t="shared" si="3"/>
        <v>0</v>
      </c>
      <c r="I16" s="509">
        <f t="shared" si="3"/>
        <v>115036.98</v>
      </c>
      <c r="J16" s="509">
        <f t="shared" si="3"/>
        <v>136124.76</v>
      </c>
      <c r="K16" s="509">
        <f t="shared" si="3"/>
        <v>2261.06</v>
      </c>
      <c r="L16" s="509">
        <f t="shared" si="3"/>
        <v>-18826.72</v>
      </c>
      <c r="M16" s="510">
        <f t="shared" si="3"/>
        <v>27480.219999999998</v>
      </c>
      <c r="N16" s="510">
        <f t="shared" si="3"/>
        <v>35861.11</v>
      </c>
      <c r="O16" s="510">
        <f t="shared" si="3"/>
        <v>2566.79</v>
      </c>
      <c r="P16" s="511">
        <f t="shared" si="3"/>
        <v>-5814.1</v>
      </c>
      <c r="Q16" s="492"/>
      <c r="R16" s="493">
        <f>L16+P16</f>
        <v>-24640.82</v>
      </c>
      <c r="S16" s="493">
        <v>3000</v>
      </c>
      <c r="T16" s="493">
        <v>1200.55</v>
      </c>
      <c r="U16" s="514">
        <v>3000</v>
      </c>
      <c r="V16" s="492"/>
      <c r="W16" s="492"/>
      <c r="X16" s="492"/>
      <c r="Y16" s="492"/>
      <c r="Z16" s="492"/>
    </row>
    <row r="17" spans="1:26" ht="14.25" customHeight="1" x14ac:dyDescent="0.3">
      <c r="A17" s="484"/>
      <c r="C17" s="513"/>
      <c r="D17" s="513"/>
      <c r="E17" s="513"/>
      <c r="F17" s="513"/>
      <c r="G17" s="513"/>
      <c r="H17" s="513"/>
      <c r="I17" s="485"/>
      <c r="J17" s="485"/>
      <c r="K17" s="485"/>
      <c r="L17" s="485"/>
      <c r="M17" s="486"/>
      <c r="N17" s="486"/>
      <c r="O17" s="486"/>
      <c r="P17" s="486"/>
      <c r="R17" s="23"/>
      <c r="U17" s="11"/>
    </row>
    <row r="18" spans="1:26" ht="14.25" customHeight="1" x14ac:dyDescent="0.3">
      <c r="A18" s="495">
        <v>2023</v>
      </c>
      <c r="B18" s="496" t="s">
        <v>801</v>
      </c>
      <c r="C18" s="497">
        <v>531.49</v>
      </c>
      <c r="D18" s="497"/>
      <c r="E18" s="497">
        <v>1.08</v>
      </c>
      <c r="F18" s="497">
        <v>1.38</v>
      </c>
      <c r="G18" s="497">
        <v>7.34</v>
      </c>
      <c r="H18" s="497">
        <v>1.65</v>
      </c>
      <c r="I18" s="498">
        <v>30169.67</v>
      </c>
      <c r="J18" s="498">
        <v>31517.34</v>
      </c>
      <c r="K18" s="498">
        <v>680.55</v>
      </c>
      <c r="L18" s="498">
        <v>-667.12</v>
      </c>
      <c r="M18" s="499">
        <v>4072.37</v>
      </c>
      <c r="N18" s="499">
        <v>5526.03</v>
      </c>
      <c r="O18" s="499">
        <v>451.77</v>
      </c>
      <c r="P18" s="500">
        <v>-1001.89</v>
      </c>
      <c r="R18" s="23"/>
      <c r="U18" s="11"/>
    </row>
    <row r="19" spans="1:26" ht="14.25" customHeight="1" x14ac:dyDescent="0.3">
      <c r="A19" s="501">
        <v>2023</v>
      </c>
      <c r="B19" s="47" t="s">
        <v>805</v>
      </c>
      <c r="C19" s="502">
        <v>366.19</v>
      </c>
      <c r="D19" s="502"/>
      <c r="E19" s="502"/>
      <c r="F19" s="502"/>
      <c r="G19" s="502">
        <v>3.11</v>
      </c>
      <c r="H19" s="502">
        <v>3.66</v>
      </c>
      <c r="I19" s="503">
        <v>3673.22</v>
      </c>
      <c r="J19" s="503">
        <v>3685.42</v>
      </c>
      <c r="K19" s="503">
        <v>10.91</v>
      </c>
      <c r="L19" s="503">
        <v>-1.29</v>
      </c>
      <c r="M19" s="504">
        <v>610.11</v>
      </c>
      <c r="N19" s="504">
        <v>701.93</v>
      </c>
      <c r="O19" s="504">
        <v>1.48</v>
      </c>
      <c r="P19" s="505">
        <v>-90.34</v>
      </c>
      <c r="R19" s="23"/>
      <c r="U19" s="11"/>
    </row>
    <row r="20" spans="1:26" ht="14.25" customHeight="1" x14ac:dyDescent="0.3">
      <c r="A20" s="501">
        <v>2023</v>
      </c>
      <c r="B20" s="47" t="s">
        <v>802</v>
      </c>
      <c r="C20" s="502">
        <v>36.15</v>
      </c>
      <c r="D20" s="502"/>
      <c r="E20" s="502">
        <v>0.1</v>
      </c>
      <c r="F20" s="502">
        <v>0.13</v>
      </c>
      <c r="G20" s="502">
        <v>0.64</v>
      </c>
      <c r="H20" s="502">
        <v>0.09</v>
      </c>
      <c r="I20" s="503">
        <v>6803.5</v>
      </c>
      <c r="J20" s="503">
        <v>6582.31</v>
      </c>
      <c r="K20" s="503">
        <v>50.59</v>
      </c>
      <c r="L20" s="503">
        <v>271.77999999999997</v>
      </c>
      <c r="M20" s="504">
        <v>830.72</v>
      </c>
      <c r="N20" s="504">
        <v>1041.3599999999999</v>
      </c>
      <c r="O20" s="504">
        <v>60.19</v>
      </c>
      <c r="P20" s="505">
        <v>-150.44999999999999</v>
      </c>
      <c r="R20" s="23"/>
      <c r="U20" s="11"/>
    </row>
    <row r="21" spans="1:26" ht="14.25" customHeight="1" x14ac:dyDescent="0.3">
      <c r="A21" s="501">
        <v>2023</v>
      </c>
      <c r="B21" s="47" t="s">
        <v>803</v>
      </c>
      <c r="C21" s="502">
        <v>56.85</v>
      </c>
      <c r="D21" s="502"/>
      <c r="E21" s="502">
        <v>0.11</v>
      </c>
      <c r="F21" s="502">
        <v>0.15</v>
      </c>
      <c r="G21" s="502">
        <v>0.77</v>
      </c>
      <c r="H21" s="502">
        <v>0.18</v>
      </c>
      <c r="I21" s="503">
        <v>2976.71</v>
      </c>
      <c r="J21" s="503">
        <v>3097.87</v>
      </c>
      <c r="K21" s="503">
        <v>58.34</v>
      </c>
      <c r="L21" s="503">
        <v>-62.82</v>
      </c>
      <c r="M21" s="504">
        <v>441.52</v>
      </c>
      <c r="N21" s="504">
        <v>587.78</v>
      </c>
      <c r="O21" s="504">
        <v>48.94</v>
      </c>
      <c r="P21" s="505">
        <v>-97.32</v>
      </c>
      <c r="R21" s="23"/>
      <c r="S21" s="484">
        <v>2023</v>
      </c>
      <c r="U21" s="11"/>
    </row>
    <row r="22" spans="1:26" ht="14.25" customHeight="1" x14ac:dyDescent="0.3">
      <c r="A22" s="506">
        <v>2023</v>
      </c>
      <c r="B22" s="507" t="s">
        <v>68</v>
      </c>
      <c r="C22" s="508">
        <f>SUM(C18:C21)</f>
        <v>990.68000000000006</v>
      </c>
      <c r="D22" s="508"/>
      <c r="E22" s="508">
        <f t="shared" ref="E22:P22" si="4">SUM(E18:E21)</f>
        <v>1.2900000000000003</v>
      </c>
      <c r="F22" s="508">
        <f t="shared" si="4"/>
        <v>1.6599999999999997</v>
      </c>
      <c r="G22" s="508">
        <f t="shared" si="4"/>
        <v>11.86</v>
      </c>
      <c r="H22" s="508">
        <f t="shared" si="4"/>
        <v>5.58</v>
      </c>
      <c r="I22" s="509">
        <f t="shared" si="4"/>
        <v>43623.1</v>
      </c>
      <c r="J22" s="509">
        <f t="shared" si="4"/>
        <v>44882.94</v>
      </c>
      <c r="K22" s="509">
        <f t="shared" si="4"/>
        <v>800.39</v>
      </c>
      <c r="L22" s="509">
        <f t="shared" si="4"/>
        <v>-459.45</v>
      </c>
      <c r="M22" s="510">
        <f t="shared" si="4"/>
        <v>5954.7199999999993</v>
      </c>
      <c r="N22" s="510">
        <f t="shared" si="4"/>
        <v>7857.0999999999995</v>
      </c>
      <c r="O22" s="510">
        <f t="shared" si="4"/>
        <v>562.38000000000011</v>
      </c>
      <c r="P22" s="511">
        <f t="shared" si="4"/>
        <v>-1340</v>
      </c>
      <c r="Q22" s="492"/>
      <c r="R22" s="512">
        <f>L22+P22</f>
        <v>-1799.45</v>
      </c>
      <c r="S22" s="512">
        <v>1799.45</v>
      </c>
      <c r="T22" s="492"/>
      <c r="U22" s="494"/>
      <c r="V22" s="492"/>
      <c r="W22" s="492"/>
      <c r="X22" s="492"/>
      <c r="Y22" s="492"/>
      <c r="Z22" s="492"/>
    </row>
    <row r="23" spans="1:26" ht="14.25" customHeight="1" x14ac:dyDescent="0.3">
      <c r="A23" s="484"/>
      <c r="C23" s="513"/>
      <c r="D23" s="513"/>
      <c r="E23" s="513"/>
      <c r="F23" s="513"/>
      <c r="G23" s="513"/>
      <c r="H23" s="513"/>
      <c r="I23" s="485"/>
      <c r="J23" s="485"/>
      <c r="K23" s="485"/>
      <c r="L23" s="485"/>
      <c r="M23" s="486"/>
      <c r="N23" s="486"/>
      <c r="O23" s="486"/>
      <c r="P23" s="486"/>
      <c r="R23" s="23"/>
      <c r="U23" s="11"/>
    </row>
    <row r="24" spans="1:26" ht="14.25" customHeight="1" x14ac:dyDescent="0.3">
      <c r="A24" s="515">
        <v>2024</v>
      </c>
      <c r="B24" s="516">
        <v>255006</v>
      </c>
      <c r="C24" s="517">
        <v>1017.8</v>
      </c>
      <c r="D24" s="517">
        <v>0.73</v>
      </c>
      <c r="E24" s="517">
        <v>0</v>
      </c>
      <c r="F24" s="517">
        <v>0</v>
      </c>
      <c r="G24" s="517">
        <v>15.21</v>
      </c>
      <c r="H24" s="517">
        <v>0.88</v>
      </c>
      <c r="I24" s="518">
        <v>14079.67</v>
      </c>
      <c r="J24" s="518">
        <v>13840.06</v>
      </c>
      <c r="K24" s="518">
        <v>106.57</v>
      </c>
      <c r="L24" s="518">
        <v>346.18</v>
      </c>
      <c r="M24" s="519">
        <v>31521.56</v>
      </c>
      <c r="N24" s="519">
        <v>25753.85</v>
      </c>
      <c r="O24" s="519">
        <v>4.93</v>
      </c>
      <c r="P24" s="520">
        <v>5772.64</v>
      </c>
      <c r="Q24" s="492"/>
      <c r="R24" s="493">
        <f>L24+P24</f>
        <v>6118.8200000000006</v>
      </c>
      <c r="S24" s="492"/>
      <c r="T24" s="492"/>
      <c r="U24" s="494"/>
      <c r="V24" s="492"/>
      <c r="W24" s="492"/>
      <c r="X24" s="492"/>
      <c r="Y24" s="492"/>
      <c r="Z24" s="492"/>
    </row>
    <row r="25" spans="1:26" ht="14.25" customHeight="1" x14ac:dyDescent="0.3">
      <c r="A25" s="484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R25" s="23"/>
      <c r="U25" s="11"/>
    </row>
    <row r="26" spans="1:26" ht="14.25" customHeight="1" x14ac:dyDescent="0.3">
      <c r="A26" s="48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R26" s="23"/>
      <c r="U26" s="11"/>
    </row>
    <row r="27" spans="1:26" ht="14.25" customHeight="1" x14ac:dyDescent="0.3">
      <c r="A27" s="484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R27" s="23"/>
      <c r="U27" s="11"/>
    </row>
    <row r="28" spans="1:26" ht="14.25" customHeight="1" x14ac:dyDescent="0.3">
      <c r="A28" s="48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R28" s="23"/>
      <c r="U28" s="11"/>
    </row>
    <row r="29" spans="1:26" ht="14.25" customHeight="1" x14ac:dyDescent="0.3">
      <c r="A29" s="484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R29" s="23"/>
      <c r="U29" s="11"/>
    </row>
    <row r="30" spans="1:26" ht="14.25" customHeight="1" x14ac:dyDescent="0.3">
      <c r="A30" s="48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R30" s="23"/>
      <c r="U30" s="11"/>
    </row>
    <row r="31" spans="1:26" ht="14.25" customHeight="1" x14ac:dyDescent="0.3">
      <c r="A31" s="484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R31" s="23"/>
      <c r="U31" s="11"/>
    </row>
    <row r="32" spans="1:26" ht="14.25" customHeight="1" x14ac:dyDescent="0.3">
      <c r="A32" s="48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R32" s="23"/>
      <c r="U32" s="11"/>
    </row>
    <row r="33" spans="1:21" ht="14.25" customHeight="1" x14ac:dyDescent="0.3">
      <c r="A33" s="484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R33" s="23"/>
      <c r="U33" s="11"/>
    </row>
    <row r="34" spans="1:21" ht="14.25" customHeight="1" x14ac:dyDescent="0.3">
      <c r="A34" s="48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R34" s="23"/>
      <c r="U34" s="11"/>
    </row>
    <row r="35" spans="1:21" ht="14.25" customHeight="1" x14ac:dyDescent="0.3">
      <c r="A35" s="484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R35" s="23"/>
      <c r="U35" s="11"/>
    </row>
    <row r="36" spans="1:21" ht="14.25" customHeight="1" x14ac:dyDescent="0.3">
      <c r="A36" s="48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R36" s="23"/>
      <c r="U36" s="11"/>
    </row>
    <row r="37" spans="1:21" ht="14.25" customHeight="1" x14ac:dyDescent="0.3">
      <c r="A37" s="484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R37" s="23"/>
      <c r="U37" s="11"/>
    </row>
    <row r="38" spans="1:21" ht="14.25" customHeight="1" x14ac:dyDescent="0.3">
      <c r="A38" s="48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R38" s="23"/>
      <c r="U38" s="11"/>
    </row>
    <row r="39" spans="1:21" ht="14.25" customHeight="1" x14ac:dyDescent="0.3">
      <c r="A39" s="484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R39" s="23"/>
      <c r="U39" s="11"/>
    </row>
    <row r="40" spans="1:21" ht="14.25" customHeight="1" x14ac:dyDescent="0.3">
      <c r="A40" s="48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R40" s="23"/>
      <c r="U40" s="11"/>
    </row>
    <row r="41" spans="1:21" ht="14.25" customHeight="1" x14ac:dyDescent="0.3">
      <c r="A41" s="484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R41" s="23"/>
      <c r="U41" s="11"/>
    </row>
    <row r="42" spans="1:21" ht="14.25" customHeight="1" x14ac:dyDescent="0.3">
      <c r="A42" s="48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R42" s="23"/>
      <c r="U42" s="11"/>
    </row>
    <row r="43" spans="1:21" ht="14.25" customHeight="1" x14ac:dyDescent="0.3">
      <c r="A43" s="484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R43" s="23"/>
      <c r="U43" s="11"/>
    </row>
    <row r="44" spans="1:21" ht="14.25" customHeight="1" x14ac:dyDescent="0.3">
      <c r="A44" s="48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R44" s="23"/>
      <c r="U44" s="11"/>
    </row>
    <row r="45" spans="1:21" ht="14.25" customHeight="1" x14ac:dyDescent="0.3">
      <c r="A45" s="484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R45" s="23"/>
      <c r="U45" s="11"/>
    </row>
    <row r="46" spans="1:21" ht="14.25" customHeight="1" x14ac:dyDescent="0.3">
      <c r="A46" s="48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R46" s="23"/>
      <c r="U46" s="11"/>
    </row>
    <row r="47" spans="1:21" ht="14.25" customHeight="1" x14ac:dyDescent="0.3">
      <c r="A47" s="484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R47" s="23"/>
      <c r="U47" s="11"/>
    </row>
    <row r="48" spans="1:21" ht="14.25" customHeight="1" x14ac:dyDescent="0.3">
      <c r="A48" s="48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R48" s="23"/>
      <c r="U48" s="11"/>
    </row>
    <row r="49" spans="1:21" ht="14.25" customHeight="1" x14ac:dyDescent="0.3">
      <c r="A49" s="484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R49" s="23"/>
      <c r="U49" s="11"/>
    </row>
    <row r="50" spans="1:21" ht="14.25" customHeight="1" x14ac:dyDescent="0.3">
      <c r="A50" s="484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R50" s="23"/>
      <c r="U50" s="11"/>
    </row>
    <row r="51" spans="1:21" ht="14.25" customHeight="1" x14ac:dyDescent="0.3">
      <c r="A51" s="484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R51" s="23"/>
      <c r="U51" s="11"/>
    </row>
    <row r="52" spans="1:21" ht="14.25" customHeight="1" x14ac:dyDescent="0.3">
      <c r="A52" s="484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R52" s="23"/>
      <c r="U52" s="11"/>
    </row>
    <row r="53" spans="1:21" ht="14.25" customHeight="1" x14ac:dyDescent="0.3">
      <c r="A53" s="484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R53" s="23"/>
      <c r="U53" s="11"/>
    </row>
    <row r="54" spans="1:21" ht="14.25" customHeight="1" x14ac:dyDescent="0.3">
      <c r="A54" s="484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R54" s="23"/>
      <c r="U54" s="11"/>
    </row>
    <row r="55" spans="1:21" ht="14.25" customHeight="1" x14ac:dyDescent="0.3">
      <c r="A55" s="484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R55" s="23"/>
      <c r="U55" s="11"/>
    </row>
    <row r="56" spans="1:21" ht="14.25" customHeight="1" x14ac:dyDescent="0.3">
      <c r="A56" s="484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R56" s="23"/>
      <c r="U56" s="11"/>
    </row>
    <row r="57" spans="1:21" ht="14.25" customHeight="1" x14ac:dyDescent="0.3">
      <c r="A57" s="484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R57" s="23"/>
      <c r="U57" s="11"/>
    </row>
    <row r="58" spans="1:21" ht="14.25" customHeight="1" x14ac:dyDescent="0.3">
      <c r="A58" s="484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R58" s="23"/>
      <c r="U58" s="11"/>
    </row>
    <row r="59" spans="1:21" ht="14.25" customHeight="1" x14ac:dyDescent="0.3">
      <c r="A59" s="484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R59" s="23"/>
      <c r="U59" s="11"/>
    </row>
    <row r="60" spans="1:21" ht="14.25" customHeight="1" x14ac:dyDescent="0.3">
      <c r="A60" s="484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R60" s="23"/>
      <c r="U60" s="11"/>
    </row>
    <row r="61" spans="1:21" ht="14.25" customHeight="1" x14ac:dyDescent="0.3">
      <c r="A61" s="484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R61" s="23"/>
      <c r="U61" s="11"/>
    </row>
    <row r="62" spans="1:21" ht="14.25" customHeight="1" x14ac:dyDescent="0.3">
      <c r="A62" s="484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R62" s="23"/>
      <c r="U62" s="11"/>
    </row>
    <row r="63" spans="1:21" ht="14.25" customHeight="1" x14ac:dyDescent="0.3">
      <c r="A63" s="484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R63" s="23"/>
      <c r="U63" s="11"/>
    </row>
    <row r="64" spans="1:21" ht="14.25" customHeight="1" x14ac:dyDescent="0.3">
      <c r="A64" s="484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R64" s="23"/>
      <c r="U64" s="11"/>
    </row>
    <row r="65" spans="1:21" ht="14.25" customHeight="1" x14ac:dyDescent="0.3">
      <c r="A65" s="484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R65" s="23"/>
      <c r="U65" s="11"/>
    </row>
    <row r="66" spans="1:21" ht="14.25" customHeight="1" x14ac:dyDescent="0.3">
      <c r="A66" s="484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R66" s="23"/>
      <c r="U66" s="11"/>
    </row>
    <row r="67" spans="1:21" ht="14.25" customHeight="1" x14ac:dyDescent="0.3">
      <c r="A67" s="484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R67" s="23"/>
      <c r="U67" s="11"/>
    </row>
    <row r="68" spans="1:21" ht="14.25" customHeight="1" x14ac:dyDescent="0.3">
      <c r="A68" s="484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R68" s="23"/>
      <c r="U68" s="11"/>
    </row>
    <row r="69" spans="1:21" ht="14.25" customHeight="1" x14ac:dyDescent="0.3">
      <c r="A69" s="484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R69" s="23"/>
      <c r="U69" s="11"/>
    </row>
    <row r="70" spans="1:21" ht="14.25" customHeight="1" x14ac:dyDescent="0.3">
      <c r="A70" s="484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R70" s="23"/>
      <c r="U70" s="11"/>
    </row>
    <row r="71" spans="1:21" ht="14.25" customHeight="1" x14ac:dyDescent="0.3">
      <c r="A71" s="484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R71" s="23"/>
      <c r="U71" s="11"/>
    </row>
    <row r="72" spans="1:21" ht="14.25" customHeight="1" x14ac:dyDescent="0.3">
      <c r="A72" s="484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R72" s="23"/>
      <c r="U72" s="11"/>
    </row>
    <row r="73" spans="1:21" ht="14.25" customHeight="1" x14ac:dyDescent="0.3">
      <c r="A73" s="484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R73" s="23"/>
      <c r="U73" s="11"/>
    </row>
    <row r="74" spans="1:21" ht="14.25" customHeight="1" x14ac:dyDescent="0.3">
      <c r="A74" s="484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R74" s="23"/>
      <c r="U74" s="11"/>
    </row>
    <row r="75" spans="1:21" ht="14.25" customHeight="1" x14ac:dyDescent="0.3">
      <c r="A75" s="484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R75" s="23"/>
      <c r="U75" s="11"/>
    </row>
    <row r="76" spans="1:21" ht="14.25" customHeight="1" x14ac:dyDescent="0.3">
      <c r="A76" s="484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R76" s="23"/>
      <c r="U76" s="11"/>
    </row>
    <row r="77" spans="1:21" ht="14.25" customHeight="1" x14ac:dyDescent="0.3">
      <c r="A77" s="484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R77" s="23"/>
      <c r="U77" s="11"/>
    </row>
    <row r="78" spans="1:21" ht="14.25" customHeight="1" x14ac:dyDescent="0.3">
      <c r="A78" s="484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R78" s="23"/>
      <c r="U78" s="11"/>
    </row>
    <row r="79" spans="1:21" ht="14.25" customHeight="1" x14ac:dyDescent="0.3">
      <c r="A79" s="484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R79" s="23"/>
      <c r="U79" s="11"/>
    </row>
    <row r="80" spans="1:21" ht="14.25" customHeight="1" x14ac:dyDescent="0.3">
      <c r="A80" s="484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R80" s="23"/>
      <c r="U80" s="11"/>
    </row>
    <row r="81" spans="1:21" ht="14.25" customHeight="1" x14ac:dyDescent="0.3">
      <c r="A81" s="484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R81" s="23"/>
      <c r="U81" s="11"/>
    </row>
    <row r="82" spans="1:21" ht="14.25" customHeight="1" x14ac:dyDescent="0.3">
      <c r="A82" s="484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R82" s="23"/>
      <c r="U82" s="11"/>
    </row>
    <row r="83" spans="1:21" ht="14.25" customHeight="1" x14ac:dyDescent="0.3">
      <c r="A83" s="484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R83" s="23"/>
      <c r="U83" s="11"/>
    </row>
    <row r="84" spans="1:21" ht="14.25" customHeight="1" x14ac:dyDescent="0.3">
      <c r="A84" s="484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R84" s="23"/>
      <c r="U84" s="11"/>
    </row>
    <row r="85" spans="1:21" ht="14.25" customHeight="1" x14ac:dyDescent="0.3">
      <c r="A85" s="484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R85" s="23"/>
      <c r="U85" s="11"/>
    </row>
    <row r="86" spans="1:21" ht="14.25" customHeight="1" x14ac:dyDescent="0.3">
      <c r="A86" s="484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R86" s="23"/>
      <c r="U86" s="11"/>
    </row>
    <row r="87" spans="1:21" ht="14.25" customHeight="1" x14ac:dyDescent="0.3">
      <c r="A87" s="484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R87" s="23"/>
      <c r="U87" s="11"/>
    </row>
    <row r="88" spans="1:21" ht="14.25" customHeight="1" x14ac:dyDescent="0.3">
      <c r="A88" s="484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R88" s="23"/>
      <c r="U88" s="11"/>
    </row>
    <row r="89" spans="1:21" ht="14.25" customHeight="1" x14ac:dyDescent="0.3">
      <c r="A89" s="484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R89" s="23"/>
      <c r="U89" s="11"/>
    </row>
    <row r="90" spans="1:21" ht="14.25" customHeight="1" x14ac:dyDescent="0.3">
      <c r="A90" s="484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R90" s="23"/>
      <c r="U90" s="11"/>
    </row>
    <row r="91" spans="1:21" ht="14.25" customHeight="1" x14ac:dyDescent="0.3">
      <c r="A91" s="484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R91" s="23"/>
      <c r="U91" s="11"/>
    </row>
    <row r="92" spans="1:21" ht="14.25" customHeight="1" x14ac:dyDescent="0.3">
      <c r="A92" s="484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R92" s="23"/>
      <c r="U92" s="11"/>
    </row>
    <row r="93" spans="1:21" ht="14.25" customHeight="1" x14ac:dyDescent="0.3">
      <c r="A93" s="484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R93" s="23"/>
      <c r="U93" s="11"/>
    </row>
    <row r="94" spans="1:21" ht="14.25" customHeight="1" x14ac:dyDescent="0.3">
      <c r="A94" s="484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R94" s="23"/>
      <c r="U94" s="11"/>
    </row>
    <row r="95" spans="1:21" ht="14.25" customHeight="1" x14ac:dyDescent="0.3">
      <c r="A95" s="484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R95" s="23"/>
      <c r="U95" s="11"/>
    </row>
    <row r="96" spans="1:21" ht="14.25" customHeight="1" x14ac:dyDescent="0.3">
      <c r="A96" s="484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R96" s="23"/>
      <c r="U96" s="11"/>
    </row>
    <row r="97" spans="1:21" ht="14.25" customHeight="1" x14ac:dyDescent="0.3">
      <c r="A97" s="484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R97" s="23"/>
      <c r="U97" s="11"/>
    </row>
    <row r="98" spans="1:21" ht="14.25" customHeight="1" x14ac:dyDescent="0.3">
      <c r="A98" s="484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R98" s="23"/>
      <c r="U98" s="11"/>
    </row>
    <row r="99" spans="1:21" ht="14.25" customHeight="1" x14ac:dyDescent="0.3">
      <c r="A99" s="484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R99" s="23"/>
      <c r="U99" s="11"/>
    </row>
    <row r="100" spans="1:21" ht="14.25" customHeight="1" x14ac:dyDescent="0.3">
      <c r="A100" s="484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R100" s="23"/>
      <c r="U100" s="11"/>
    </row>
    <row r="101" spans="1:21" ht="14.25" customHeight="1" x14ac:dyDescent="0.3">
      <c r="A101" s="484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R101" s="23"/>
      <c r="U101" s="11"/>
    </row>
    <row r="102" spans="1:21" ht="14.25" customHeight="1" x14ac:dyDescent="0.3">
      <c r="A102" s="484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R102" s="23"/>
      <c r="U102" s="11"/>
    </row>
    <row r="103" spans="1:21" ht="14.25" customHeight="1" x14ac:dyDescent="0.3">
      <c r="A103" s="484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R103" s="23"/>
      <c r="U103" s="11"/>
    </row>
    <row r="104" spans="1:21" ht="14.25" customHeight="1" x14ac:dyDescent="0.3">
      <c r="A104" s="484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R104" s="23"/>
      <c r="U104" s="11"/>
    </row>
    <row r="105" spans="1:21" ht="14.25" customHeight="1" x14ac:dyDescent="0.3">
      <c r="A105" s="484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R105" s="23"/>
      <c r="U105" s="11"/>
    </row>
    <row r="106" spans="1:21" ht="14.25" customHeight="1" x14ac:dyDescent="0.3">
      <c r="A106" s="484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R106" s="23"/>
      <c r="U106" s="11"/>
    </row>
    <row r="107" spans="1:21" ht="14.25" customHeight="1" x14ac:dyDescent="0.3">
      <c r="A107" s="484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R107" s="23"/>
      <c r="U107" s="11"/>
    </row>
    <row r="108" spans="1:21" ht="14.25" customHeight="1" x14ac:dyDescent="0.3">
      <c r="A108" s="484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R108" s="23"/>
      <c r="U108" s="11"/>
    </row>
    <row r="109" spans="1:21" ht="14.25" customHeight="1" x14ac:dyDescent="0.3">
      <c r="A109" s="484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R109" s="23"/>
      <c r="U109" s="11"/>
    </row>
    <row r="110" spans="1:21" ht="14.25" customHeight="1" x14ac:dyDescent="0.3">
      <c r="A110" s="484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R110" s="23"/>
      <c r="U110" s="11"/>
    </row>
    <row r="111" spans="1:21" ht="14.25" customHeight="1" x14ac:dyDescent="0.3">
      <c r="A111" s="484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R111" s="23"/>
      <c r="U111" s="11"/>
    </row>
    <row r="112" spans="1:21" ht="14.25" customHeight="1" x14ac:dyDescent="0.3">
      <c r="A112" s="484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R112" s="23"/>
      <c r="U112" s="11"/>
    </row>
    <row r="113" spans="1:21" ht="14.25" customHeight="1" x14ac:dyDescent="0.3">
      <c r="A113" s="484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R113" s="23"/>
      <c r="U113" s="11"/>
    </row>
    <row r="114" spans="1:21" ht="14.25" customHeight="1" x14ac:dyDescent="0.3">
      <c r="A114" s="484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R114" s="23"/>
      <c r="U114" s="11"/>
    </row>
    <row r="115" spans="1:21" ht="14.25" customHeight="1" x14ac:dyDescent="0.3">
      <c r="A115" s="484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R115" s="23"/>
      <c r="U115" s="11"/>
    </row>
    <row r="116" spans="1:21" ht="14.25" customHeight="1" x14ac:dyDescent="0.3">
      <c r="A116" s="484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R116" s="23"/>
      <c r="U116" s="11"/>
    </row>
    <row r="117" spans="1:21" ht="14.25" customHeight="1" x14ac:dyDescent="0.3">
      <c r="A117" s="484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R117" s="23"/>
      <c r="U117" s="11"/>
    </row>
    <row r="118" spans="1:21" ht="14.25" customHeight="1" x14ac:dyDescent="0.3">
      <c r="A118" s="484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R118" s="23"/>
      <c r="U118" s="11"/>
    </row>
    <row r="119" spans="1:21" ht="14.25" customHeight="1" x14ac:dyDescent="0.3">
      <c r="A119" s="484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R119" s="23"/>
      <c r="U119" s="11"/>
    </row>
    <row r="120" spans="1:21" ht="14.25" customHeight="1" x14ac:dyDescent="0.3">
      <c r="A120" s="484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R120" s="23"/>
      <c r="U120" s="11"/>
    </row>
    <row r="121" spans="1:21" ht="14.25" customHeight="1" x14ac:dyDescent="0.3">
      <c r="A121" s="484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R121" s="23"/>
      <c r="U121" s="11"/>
    </row>
    <row r="122" spans="1:21" ht="14.25" customHeight="1" x14ac:dyDescent="0.3">
      <c r="A122" s="484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R122" s="23"/>
      <c r="U122" s="11"/>
    </row>
    <row r="123" spans="1:21" ht="14.25" customHeight="1" x14ac:dyDescent="0.3">
      <c r="A123" s="484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R123" s="23"/>
      <c r="U123" s="11"/>
    </row>
    <row r="124" spans="1:21" ht="14.25" customHeight="1" x14ac:dyDescent="0.3">
      <c r="A124" s="484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R124" s="23"/>
      <c r="U124" s="11"/>
    </row>
    <row r="125" spans="1:21" ht="14.25" customHeight="1" x14ac:dyDescent="0.3">
      <c r="A125" s="484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R125" s="23"/>
      <c r="U125" s="11"/>
    </row>
    <row r="126" spans="1:21" ht="14.25" customHeight="1" x14ac:dyDescent="0.3">
      <c r="A126" s="484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R126" s="23"/>
      <c r="U126" s="11"/>
    </row>
    <row r="127" spans="1:21" ht="14.25" customHeight="1" x14ac:dyDescent="0.3">
      <c r="A127" s="484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R127" s="23"/>
      <c r="U127" s="11"/>
    </row>
    <row r="128" spans="1:21" ht="14.25" customHeight="1" x14ac:dyDescent="0.3">
      <c r="A128" s="484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R128" s="23"/>
      <c r="U128" s="11"/>
    </row>
    <row r="129" spans="1:21" ht="14.25" customHeight="1" x14ac:dyDescent="0.3">
      <c r="A129" s="484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R129" s="23"/>
      <c r="U129" s="11"/>
    </row>
    <row r="130" spans="1:21" ht="14.25" customHeight="1" x14ac:dyDescent="0.3">
      <c r="A130" s="484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R130" s="23"/>
      <c r="U130" s="11"/>
    </row>
    <row r="131" spans="1:21" ht="14.25" customHeight="1" x14ac:dyDescent="0.3">
      <c r="A131" s="484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R131" s="23"/>
      <c r="U131" s="11"/>
    </row>
    <row r="132" spans="1:21" ht="14.25" customHeight="1" x14ac:dyDescent="0.3">
      <c r="A132" s="484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R132" s="23"/>
      <c r="U132" s="11"/>
    </row>
    <row r="133" spans="1:21" ht="14.25" customHeight="1" x14ac:dyDescent="0.3">
      <c r="A133" s="484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R133" s="23"/>
      <c r="U133" s="11"/>
    </row>
    <row r="134" spans="1:21" ht="14.25" customHeight="1" x14ac:dyDescent="0.3">
      <c r="A134" s="484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R134" s="23"/>
      <c r="U134" s="11"/>
    </row>
    <row r="135" spans="1:21" ht="14.25" customHeight="1" x14ac:dyDescent="0.3">
      <c r="A135" s="484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R135" s="23"/>
      <c r="U135" s="11"/>
    </row>
    <row r="136" spans="1:21" ht="14.25" customHeight="1" x14ac:dyDescent="0.3">
      <c r="A136" s="484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R136" s="23"/>
      <c r="U136" s="11"/>
    </row>
    <row r="137" spans="1:21" ht="14.25" customHeight="1" x14ac:dyDescent="0.3">
      <c r="A137" s="484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R137" s="23"/>
      <c r="U137" s="11"/>
    </row>
    <row r="138" spans="1:21" ht="14.25" customHeight="1" x14ac:dyDescent="0.3">
      <c r="A138" s="484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R138" s="23"/>
      <c r="U138" s="11"/>
    </row>
    <row r="139" spans="1:21" ht="14.25" customHeight="1" x14ac:dyDescent="0.3">
      <c r="A139" s="484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R139" s="23"/>
      <c r="U139" s="11"/>
    </row>
    <row r="140" spans="1:21" ht="14.25" customHeight="1" x14ac:dyDescent="0.3">
      <c r="A140" s="484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R140" s="23"/>
      <c r="U140" s="11"/>
    </row>
    <row r="141" spans="1:21" ht="14.25" customHeight="1" x14ac:dyDescent="0.3">
      <c r="A141" s="484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R141" s="23"/>
      <c r="U141" s="11"/>
    </row>
    <row r="142" spans="1:21" ht="14.25" customHeight="1" x14ac:dyDescent="0.3">
      <c r="A142" s="484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R142" s="23"/>
      <c r="U142" s="11"/>
    </row>
    <row r="143" spans="1:21" ht="14.25" customHeight="1" x14ac:dyDescent="0.3">
      <c r="A143" s="484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R143" s="23"/>
      <c r="U143" s="11"/>
    </row>
    <row r="144" spans="1:21" ht="14.25" customHeight="1" x14ac:dyDescent="0.3">
      <c r="A144" s="484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R144" s="23"/>
      <c r="U144" s="11"/>
    </row>
    <row r="145" spans="1:21" ht="14.25" customHeight="1" x14ac:dyDescent="0.3">
      <c r="A145" s="484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R145" s="23"/>
      <c r="U145" s="11"/>
    </row>
    <row r="146" spans="1:21" ht="14.25" customHeight="1" x14ac:dyDescent="0.3">
      <c r="A146" s="484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R146" s="23"/>
      <c r="U146" s="11"/>
    </row>
    <row r="147" spans="1:21" ht="14.25" customHeight="1" x14ac:dyDescent="0.3">
      <c r="A147" s="484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R147" s="23"/>
      <c r="U147" s="11"/>
    </row>
    <row r="148" spans="1:21" ht="14.25" customHeight="1" x14ac:dyDescent="0.3">
      <c r="A148" s="484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R148" s="23"/>
      <c r="U148" s="11"/>
    </row>
    <row r="149" spans="1:21" ht="14.25" customHeight="1" x14ac:dyDescent="0.3">
      <c r="A149" s="484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R149" s="23"/>
      <c r="U149" s="11"/>
    </row>
    <row r="150" spans="1:21" ht="14.25" customHeight="1" x14ac:dyDescent="0.3">
      <c r="A150" s="484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R150" s="23"/>
      <c r="U150" s="11"/>
    </row>
    <row r="151" spans="1:21" ht="14.25" customHeight="1" x14ac:dyDescent="0.3">
      <c r="A151" s="484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R151" s="23"/>
      <c r="U151" s="11"/>
    </row>
    <row r="152" spans="1:21" ht="14.25" customHeight="1" x14ac:dyDescent="0.3">
      <c r="A152" s="484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R152" s="23"/>
      <c r="U152" s="11"/>
    </row>
    <row r="153" spans="1:21" ht="14.25" customHeight="1" x14ac:dyDescent="0.3">
      <c r="A153" s="484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R153" s="23"/>
      <c r="U153" s="11"/>
    </row>
    <row r="154" spans="1:21" ht="14.25" customHeight="1" x14ac:dyDescent="0.3">
      <c r="A154" s="484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R154" s="23"/>
      <c r="U154" s="11"/>
    </row>
    <row r="155" spans="1:21" ht="14.25" customHeight="1" x14ac:dyDescent="0.3">
      <c r="A155" s="484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R155" s="23"/>
      <c r="U155" s="11"/>
    </row>
    <row r="156" spans="1:21" ht="14.25" customHeight="1" x14ac:dyDescent="0.3">
      <c r="A156" s="484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R156" s="23"/>
      <c r="U156" s="11"/>
    </row>
    <row r="157" spans="1:21" ht="14.25" customHeight="1" x14ac:dyDescent="0.3">
      <c r="A157" s="484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R157" s="23"/>
      <c r="U157" s="11"/>
    </row>
    <row r="158" spans="1:21" ht="14.25" customHeight="1" x14ac:dyDescent="0.3">
      <c r="A158" s="484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R158" s="23"/>
      <c r="U158" s="11"/>
    </row>
    <row r="159" spans="1:21" ht="14.25" customHeight="1" x14ac:dyDescent="0.3">
      <c r="A159" s="484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R159" s="23"/>
      <c r="U159" s="11"/>
    </row>
    <row r="160" spans="1:21" ht="14.25" customHeight="1" x14ac:dyDescent="0.3">
      <c r="A160" s="484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R160" s="23"/>
      <c r="U160" s="11"/>
    </row>
    <row r="161" spans="1:21" ht="14.25" customHeight="1" x14ac:dyDescent="0.3">
      <c r="A161" s="484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R161" s="23"/>
      <c r="U161" s="11"/>
    </row>
    <row r="162" spans="1:21" ht="14.25" customHeight="1" x14ac:dyDescent="0.3">
      <c r="A162" s="484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R162" s="23"/>
      <c r="U162" s="11"/>
    </row>
    <row r="163" spans="1:21" ht="14.25" customHeight="1" x14ac:dyDescent="0.3">
      <c r="A163" s="484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R163" s="23"/>
      <c r="U163" s="11"/>
    </row>
    <row r="164" spans="1:21" ht="14.25" customHeight="1" x14ac:dyDescent="0.3">
      <c r="A164" s="484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R164" s="23"/>
      <c r="U164" s="11"/>
    </row>
    <row r="165" spans="1:21" ht="14.25" customHeight="1" x14ac:dyDescent="0.3">
      <c r="A165" s="484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R165" s="23"/>
      <c r="U165" s="11"/>
    </row>
    <row r="166" spans="1:21" ht="14.25" customHeight="1" x14ac:dyDescent="0.3">
      <c r="A166" s="484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R166" s="23"/>
      <c r="U166" s="11"/>
    </row>
    <row r="167" spans="1:21" ht="14.25" customHeight="1" x14ac:dyDescent="0.3">
      <c r="A167" s="484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R167" s="23"/>
      <c r="U167" s="11"/>
    </row>
    <row r="168" spans="1:21" ht="14.25" customHeight="1" x14ac:dyDescent="0.3">
      <c r="A168" s="484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R168" s="23"/>
      <c r="U168" s="11"/>
    </row>
    <row r="169" spans="1:21" ht="14.25" customHeight="1" x14ac:dyDescent="0.3">
      <c r="A169" s="484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R169" s="23"/>
      <c r="U169" s="11"/>
    </row>
    <row r="170" spans="1:21" ht="14.25" customHeight="1" x14ac:dyDescent="0.3">
      <c r="A170" s="484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R170" s="23"/>
      <c r="U170" s="11"/>
    </row>
    <row r="171" spans="1:21" ht="14.25" customHeight="1" x14ac:dyDescent="0.3">
      <c r="A171" s="484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R171" s="23"/>
      <c r="U171" s="11"/>
    </row>
    <row r="172" spans="1:21" ht="14.25" customHeight="1" x14ac:dyDescent="0.3">
      <c r="A172" s="484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R172" s="23"/>
      <c r="U172" s="11"/>
    </row>
    <row r="173" spans="1:21" ht="14.25" customHeight="1" x14ac:dyDescent="0.3">
      <c r="A173" s="484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R173" s="23"/>
      <c r="U173" s="11"/>
    </row>
    <row r="174" spans="1:21" ht="14.25" customHeight="1" x14ac:dyDescent="0.3">
      <c r="A174" s="484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R174" s="23"/>
      <c r="U174" s="11"/>
    </row>
    <row r="175" spans="1:21" ht="14.25" customHeight="1" x14ac:dyDescent="0.3">
      <c r="A175" s="484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R175" s="23"/>
      <c r="U175" s="11"/>
    </row>
    <row r="176" spans="1:21" ht="14.25" customHeight="1" x14ac:dyDescent="0.3">
      <c r="A176" s="484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R176" s="23"/>
      <c r="U176" s="11"/>
    </row>
    <row r="177" spans="1:21" ht="14.25" customHeight="1" x14ac:dyDescent="0.3">
      <c r="A177" s="484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R177" s="23"/>
      <c r="U177" s="11"/>
    </row>
    <row r="178" spans="1:21" ht="14.25" customHeight="1" x14ac:dyDescent="0.3">
      <c r="A178" s="484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R178" s="23"/>
      <c r="U178" s="11"/>
    </row>
    <row r="179" spans="1:21" ht="14.25" customHeight="1" x14ac:dyDescent="0.3">
      <c r="A179" s="484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R179" s="23"/>
      <c r="U179" s="11"/>
    </row>
    <row r="180" spans="1:21" ht="14.25" customHeight="1" x14ac:dyDescent="0.3">
      <c r="A180" s="484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R180" s="23"/>
      <c r="U180" s="11"/>
    </row>
    <row r="181" spans="1:21" ht="14.25" customHeight="1" x14ac:dyDescent="0.3">
      <c r="A181" s="484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R181" s="23"/>
      <c r="U181" s="11"/>
    </row>
    <row r="182" spans="1:21" ht="14.25" customHeight="1" x14ac:dyDescent="0.3">
      <c r="A182" s="484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R182" s="23"/>
      <c r="U182" s="11"/>
    </row>
    <row r="183" spans="1:21" ht="14.25" customHeight="1" x14ac:dyDescent="0.3">
      <c r="A183" s="484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R183" s="23"/>
      <c r="U183" s="11"/>
    </row>
    <row r="184" spans="1:21" ht="14.25" customHeight="1" x14ac:dyDescent="0.3">
      <c r="A184" s="484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R184" s="23"/>
      <c r="U184" s="11"/>
    </row>
    <row r="185" spans="1:21" ht="14.25" customHeight="1" x14ac:dyDescent="0.3">
      <c r="A185" s="484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R185" s="23"/>
      <c r="U185" s="11"/>
    </row>
    <row r="186" spans="1:21" ht="14.25" customHeight="1" x14ac:dyDescent="0.3">
      <c r="A186" s="484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R186" s="23"/>
      <c r="U186" s="11"/>
    </row>
    <row r="187" spans="1:21" ht="14.25" customHeight="1" x14ac:dyDescent="0.3">
      <c r="A187" s="484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R187" s="23"/>
      <c r="U187" s="11"/>
    </row>
    <row r="188" spans="1:21" ht="14.25" customHeight="1" x14ac:dyDescent="0.3">
      <c r="A188" s="484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R188" s="23"/>
      <c r="U188" s="11"/>
    </row>
    <row r="189" spans="1:21" ht="14.25" customHeight="1" x14ac:dyDescent="0.3">
      <c r="A189" s="484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R189" s="23"/>
      <c r="U189" s="11"/>
    </row>
    <row r="190" spans="1:21" ht="14.25" customHeight="1" x14ac:dyDescent="0.3">
      <c r="A190" s="484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R190" s="23"/>
      <c r="U190" s="11"/>
    </row>
    <row r="191" spans="1:21" ht="14.25" customHeight="1" x14ac:dyDescent="0.3">
      <c r="A191" s="484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R191" s="23"/>
      <c r="U191" s="11"/>
    </row>
    <row r="192" spans="1:21" ht="14.25" customHeight="1" x14ac:dyDescent="0.3">
      <c r="A192" s="484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R192" s="23"/>
      <c r="U192" s="11"/>
    </row>
    <row r="193" spans="1:21" ht="14.25" customHeight="1" x14ac:dyDescent="0.3">
      <c r="A193" s="484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R193" s="23"/>
      <c r="U193" s="11"/>
    </row>
    <row r="194" spans="1:21" ht="14.25" customHeight="1" x14ac:dyDescent="0.3">
      <c r="A194" s="484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R194" s="23"/>
      <c r="U194" s="11"/>
    </row>
    <row r="195" spans="1:21" ht="14.25" customHeight="1" x14ac:dyDescent="0.3">
      <c r="A195" s="484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R195" s="23"/>
      <c r="U195" s="11"/>
    </row>
    <row r="196" spans="1:21" ht="14.25" customHeight="1" x14ac:dyDescent="0.3">
      <c r="A196" s="484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R196" s="23"/>
      <c r="U196" s="11"/>
    </row>
    <row r="197" spans="1:21" ht="14.25" customHeight="1" x14ac:dyDescent="0.3">
      <c r="A197" s="484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R197" s="23"/>
      <c r="U197" s="11"/>
    </row>
    <row r="198" spans="1:21" ht="14.25" customHeight="1" x14ac:dyDescent="0.3">
      <c r="A198" s="484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R198" s="23"/>
      <c r="U198" s="11"/>
    </row>
    <row r="199" spans="1:21" ht="14.25" customHeight="1" x14ac:dyDescent="0.3">
      <c r="A199" s="484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R199" s="23"/>
      <c r="U199" s="11"/>
    </row>
    <row r="200" spans="1:21" ht="14.25" customHeight="1" x14ac:dyDescent="0.3">
      <c r="A200" s="484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R200" s="23"/>
      <c r="U200" s="11"/>
    </row>
    <row r="201" spans="1:21" ht="14.25" customHeight="1" x14ac:dyDescent="0.3">
      <c r="A201" s="484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R201" s="23"/>
      <c r="U201" s="11"/>
    </row>
    <row r="202" spans="1:21" ht="14.25" customHeight="1" x14ac:dyDescent="0.3">
      <c r="A202" s="484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R202" s="23"/>
      <c r="U202" s="11"/>
    </row>
    <row r="203" spans="1:21" ht="14.25" customHeight="1" x14ac:dyDescent="0.3">
      <c r="A203" s="484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R203" s="23"/>
      <c r="U203" s="11"/>
    </row>
    <row r="204" spans="1:21" ht="14.25" customHeight="1" x14ac:dyDescent="0.3">
      <c r="A204" s="484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R204" s="23"/>
      <c r="U204" s="11"/>
    </row>
    <row r="205" spans="1:21" ht="14.25" customHeight="1" x14ac:dyDescent="0.3">
      <c r="A205" s="484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R205" s="23"/>
      <c r="U205" s="11"/>
    </row>
    <row r="206" spans="1:21" ht="14.25" customHeight="1" x14ac:dyDescent="0.3">
      <c r="A206" s="484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R206" s="23"/>
      <c r="U206" s="11"/>
    </row>
    <row r="207" spans="1:21" ht="14.25" customHeight="1" x14ac:dyDescent="0.3">
      <c r="A207" s="484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R207" s="23"/>
      <c r="U207" s="11"/>
    </row>
    <row r="208" spans="1:21" ht="14.25" customHeight="1" x14ac:dyDescent="0.3">
      <c r="A208" s="484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R208" s="23"/>
      <c r="U208" s="11"/>
    </row>
    <row r="209" spans="1:21" ht="14.25" customHeight="1" x14ac:dyDescent="0.3">
      <c r="A209" s="484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R209" s="23"/>
      <c r="U209" s="11"/>
    </row>
    <row r="210" spans="1:21" ht="14.25" customHeight="1" x14ac:dyDescent="0.3">
      <c r="A210" s="484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R210" s="23"/>
      <c r="U210" s="11"/>
    </row>
    <row r="211" spans="1:21" ht="14.25" customHeight="1" x14ac:dyDescent="0.3">
      <c r="A211" s="484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R211" s="23"/>
      <c r="U211" s="11"/>
    </row>
    <row r="212" spans="1:21" ht="14.25" customHeight="1" x14ac:dyDescent="0.3">
      <c r="A212" s="484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R212" s="23"/>
      <c r="U212" s="11"/>
    </row>
    <row r="213" spans="1:21" ht="14.25" customHeight="1" x14ac:dyDescent="0.3">
      <c r="A213" s="484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R213" s="23"/>
      <c r="U213" s="11"/>
    </row>
    <row r="214" spans="1:21" ht="14.25" customHeight="1" x14ac:dyDescent="0.3">
      <c r="A214" s="484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R214" s="23"/>
      <c r="U214" s="11"/>
    </row>
    <row r="215" spans="1:21" ht="14.25" customHeight="1" x14ac:dyDescent="0.3">
      <c r="A215" s="484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R215" s="23"/>
      <c r="U215" s="11"/>
    </row>
    <row r="216" spans="1:21" ht="14.25" customHeight="1" x14ac:dyDescent="0.3">
      <c r="A216" s="484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R216" s="23"/>
      <c r="U216" s="11"/>
    </row>
    <row r="217" spans="1:21" ht="14.25" customHeight="1" x14ac:dyDescent="0.3">
      <c r="A217" s="484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R217" s="23"/>
      <c r="U217" s="11"/>
    </row>
    <row r="218" spans="1:21" ht="14.25" customHeight="1" x14ac:dyDescent="0.3">
      <c r="A218" s="484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R218" s="23"/>
      <c r="U218" s="11"/>
    </row>
    <row r="219" spans="1:21" ht="14.25" customHeight="1" x14ac:dyDescent="0.3">
      <c r="A219" s="484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R219" s="23"/>
      <c r="U219" s="11"/>
    </row>
    <row r="220" spans="1:21" ht="14.25" customHeight="1" x14ac:dyDescent="0.3">
      <c r="A220" s="484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R220" s="23"/>
      <c r="U220" s="11"/>
    </row>
    <row r="221" spans="1:21" ht="14.25" customHeight="1" x14ac:dyDescent="0.3">
      <c r="A221" s="484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R221" s="23"/>
      <c r="U221" s="11"/>
    </row>
    <row r="222" spans="1:21" ht="14.25" customHeight="1" x14ac:dyDescent="0.3">
      <c r="A222" s="484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R222" s="23"/>
      <c r="U222" s="11"/>
    </row>
    <row r="223" spans="1:21" ht="14.25" customHeight="1" x14ac:dyDescent="0.3">
      <c r="A223" s="484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R223" s="23"/>
      <c r="U223" s="11"/>
    </row>
    <row r="224" spans="1:21" ht="14.25" customHeight="1" x14ac:dyDescent="0.3">
      <c r="A224" s="484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R224" s="23"/>
      <c r="U224" s="11"/>
    </row>
    <row r="225" spans="1:21" ht="14.25" customHeight="1" x14ac:dyDescent="0.3">
      <c r="A225" s="484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R225" s="23"/>
      <c r="U225" s="11"/>
    </row>
    <row r="226" spans="1:21" ht="14.25" customHeight="1" x14ac:dyDescent="0.3">
      <c r="A226" s="484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R226" s="23"/>
      <c r="U226" s="11"/>
    </row>
    <row r="227" spans="1:21" ht="14.25" customHeight="1" x14ac:dyDescent="0.3">
      <c r="A227" s="484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R227" s="23"/>
      <c r="U227" s="11"/>
    </row>
    <row r="228" spans="1:21" ht="14.25" customHeight="1" x14ac:dyDescent="0.3">
      <c r="A228" s="484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R228" s="23"/>
      <c r="U228" s="11"/>
    </row>
    <row r="229" spans="1:21" ht="14.25" customHeight="1" x14ac:dyDescent="0.3">
      <c r="A229" s="484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R229" s="23"/>
      <c r="U229" s="11"/>
    </row>
    <row r="230" spans="1:21" ht="14.25" customHeight="1" x14ac:dyDescent="0.3">
      <c r="A230" s="484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R230" s="23"/>
      <c r="U230" s="11"/>
    </row>
    <row r="231" spans="1:21" ht="14.25" customHeight="1" x14ac:dyDescent="0.3">
      <c r="A231" s="484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R231" s="23"/>
      <c r="U231" s="11"/>
    </row>
    <row r="232" spans="1:21" ht="14.25" customHeight="1" x14ac:dyDescent="0.3">
      <c r="A232" s="484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R232" s="23"/>
      <c r="U232" s="11"/>
    </row>
    <row r="233" spans="1:21" ht="14.25" customHeight="1" x14ac:dyDescent="0.3">
      <c r="A233" s="484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R233" s="23"/>
      <c r="U233" s="11"/>
    </row>
    <row r="234" spans="1:21" ht="14.25" customHeight="1" x14ac:dyDescent="0.3">
      <c r="A234" s="484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R234" s="23"/>
      <c r="U234" s="11"/>
    </row>
    <row r="235" spans="1:21" ht="14.25" customHeight="1" x14ac:dyDescent="0.3">
      <c r="A235" s="484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R235" s="23"/>
      <c r="U235" s="11"/>
    </row>
    <row r="236" spans="1:21" ht="14.25" customHeight="1" x14ac:dyDescent="0.3">
      <c r="A236" s="484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R236" s="23"/>
      <c r="U236" s="11"/>
    </row>
    <row r="237" spans="1:21" ht="14.25" customHeight="1" x14ac:dyDescent="0.3">
      <c r="A237" s="484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R237" s="23"/>
      <c r="U237" s="11"/>
    </row>
    <row r="238" spans="1:21" ht="14.25" customHeight="1" x14ac:dyDescent="0.3">
      <c r="A238" s="484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R238" s="23"/>
      <c r="U238" s="11"/>
    </row>
    <row r="239" spans="1:21" ht="14.25" customHeight="1" x14ac:dyDescent="0.3">
      <c r="A239" s="484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R239" s="23"/>
      <c r="U239" s="11"/>
    </row>
    <row r="240" spans="1:21" ht="14.25" customHeight="1" x14ac:dyDescent="0.3">
      <c r="A240" s="484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R240" s="23"/>
      <c r="U240" s="11"/>
    </row>
    <row r="241" spans="1:21" ht="14.25" customHeight="1" x14ac:dyDescent="0.3">
      <c r="A241" s="484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R241" s="23"/>
      <c r="U241" s="11"/>
    </row>
    <row r="242" spans="1:21" ht="14.25" customHeight="1" x14ac:dyDescent="0.3">
      <c r="A242" s="484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R242" s="23"/>
      <c r="U242" s="11"/>
    </row>
    <row r="243" spans="1:21" ht="14.25" customHeight="1" x14ac:dyDescent="0.3">
      <c r="A243" s="484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R243" s="23"/>
      <c r="U243" s="11"/>
    </row>
    <row r="244" spans="1:21" ht="14.25" customHeight="1" x14ac:dyDescent="0.3">
      <c r="A244" s="484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R244" s="23"/>
      <c r="U244" s="11"/>
    </row>
    <row r="245" spans="1:21" ht="14.25" customHeight="1" x14ac:dyDescent="0.3">
      <c r="A245" s="484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R245" s="23"/>
      <c r="U245" s="11"/>
    </row>
    <row r="246" spans="1:21" ht="14.25" customHeight="1" x14ac:dyDescent="0.3">
      <c r="A246" s="484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R246" s="23"/>
      <c r="U246" s="11"/>
    </row>
    <row r="247" spans="1:21" ht="14.25" customHeight="1" x14ac:dyDescent="0.3">
      <c r="A247" s="484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R247" s="23"/>
      <c r="U247" s="11"/>
    </row>
    <row r="248" spans="1:21" ht="14.25" customHeight="1" x14ac:dyDescent="0.3">
      <c r="A248" s="484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R248" s="23"/>
      <c r="U248" s="11"/>
    </row>
    <row r="249" spans="1:21" ht="14.25" customHeight="1" x14ac:dyDescent="0.3">
      <c r="A249" s="484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R249" s="23"/>
      <c r="U249" s="11"/>
    </row>
    <row r="250" spans="1:21" ht="14.25" customHeight="1" x14ac:dyDescent="0.3">
      <c r="A250" s="484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R250" s="23"/>
      <c r="U250" s="11"/>
    </row>
    <row r="251" spans="1:21" ht="14.25" customHeight="1" x14ac:dyDescent="0.3">
      <c r="A251" s="484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R251" s="23"/>
      <c r="U251" s="11"/>
    </row>
    <row r="252" spans="1:21" ht="14.25" customHeight="1" x14ac:dyDescent="0.3">
      <c r="A252" s="484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R252" s="23"/>
      <c r="U252" s="11"/>
    </row>
    <row r="253" spans="1:21" ht="14.25" customHeight="1" x14ac:dyDescent="0.3">
      <c r="A253" s="484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R253" s="23"/>
      <c r="U253" s="11"/>
    </row>
    <row r="254" spans="1:21" ht="14.25" customHeight="1" x14ac:dyDescent="0.3">
      <c r="A254" s="484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R254" s="23"/>
      <c r="U254" s="11"/>
    </row>
    <row r="255" spans="1:21" ht="14.25" customHeight="1" x14ac:dyDescent="0.3">
      <c r="A255" s="484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R255" s="23"/>
      <c r="U255" s="11"/>
    </row>
    <row r="256" spans="1:21" ht="14.25" customHeight="1" x14ac:dyDescent="0.3">
      <c r="A256" s="484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R256" s="23"/>
      <c r="U256" s="11"/>
    </row>
    <row r="257" spans="1:21" ht="14.25" customHeight="1" x14ac:dyDescent="0.3">
      <c r="A257" s="484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R257" s="23"/>
      <c r="U257" s="11"/>
    </row>
    <row r="258" spans="1:21" ht="14.25" customHeight="1" x14ac:dyDescent="0.3">
      <c r="A258" s="484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R258" s="23"/>
      <c r="U258" s="11"/>
    </row>
    <row r="259" spans="1:21" ht="14.25" customHeight="1" x14ac:dyDescent="0.3">
      <c r="A259" s="484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R259" s="23"/>
      <c r="U259" s="11"/>
    </row>
    <row r="260" spans="1:21" ht="14.25" customHeight="1" x14ac:dyDescent="0.3">
      <c r="A260" s="484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R260" s="23"/>
      <c r="U260" s="11"/>
    </row>
    <row r="261" spans="1:21" ht="14.25" customHeight="1" x14ac:dyDescent="0.3">
      <c r="A261" s="484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R261" s="23"/>
      <c r="U261" s="11"/>
    </row>
    <row r="262" spans="1:21" ht="14.25" customHeight="1" x14ac:dyDescent="0.3">
      <c r="A262" s="484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R262" s="23"/>
      <c r="U262" s="11"/>
    </row>
    <row r="263" spans="1:21" ht="14.25" customHeight="1" x14ac:dyDescent="0.3">
      <c r="A263" s="484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R263" s="23"/>
      <c r="U263" s="11"/>
    </row>
    <row r="264" spans="1:21" ht="14.25" customHeight="1" x14ac:dyDescent="0.3">
      <c r="A264" s="484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R264" s="23"/>
      <c r="U264" s="11"/>
    </row>
    <row r="265" spans="1:21" ht="14.25" customHeight="1" x14ac:dyDescent="0.3">
      <c r="A265" s="484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R265" s="23"/>
      <c r="U265" s="11"/>
    </row>
    <row r="266" spans="1:21" ht="14.25" customHeight="1" x14ac:dyDescent="0.3">
      <c r="A266" s="484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R266" s="23"/>
      <c r="U266" s="11"/>
    </row>
    <row r="267" spans="1:21" ht="14.25" customHeight="1" x14ac:dyDescent="0.3">
      <c r="A267" s="484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R267" s="23"/>
      <c r="U267" s="11"/>
    </row>
    <row r="268" spans="1:21" ht="14.25" customHeight="1" x14ac:dyDescent="0.3">
      <c r="A268" s="484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R268" s="23"/>
      <c r="U268" s="11"/>
    </row>
    <row r="269" spans="1:21" ht="14.25" customHeight="1" x14ac:dyDescent="0.3">
      <c r="A269" s="484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R269" s="23"/>
      <c r="U269" s="11"/>
    </row>
    <row r="270" spans="1:21" ht="14.25" customHeight="1" x14ac:dyDescent="0.3">
      <c r="A270" s="484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R270" s="23"/>
      <c r="U270" s="11"/>
    </row>
    <row r="271" spans="1:21" ht="14.25" customHeight="1" x14ac:dyDescent="0.3">
      <c r="A271" s="484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R271" s="23"/>
      <c r="U271" s="11"/>
    </row>
    <row r="272" spans="1:21" ht="14.25" customHeight="1" x14ac:dyDescent="0.3">
      <c r="A272" s="484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R272" s="23"/>
      <c r="U272" s="11"/>
    </row>
    <row r="273" spans="1:21" ht="14.25" customHeight="1" x14ac:dyDescent="0.3">
      <c r="A273" s="484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R273" s="23"/>
      <c r="U273" s="11"/>
    </row>
    <row r="274" spans="1:21" ht="14.25" customHeight="1" x14ac:dyDescent="0.3">
      <c r="A274" s="484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R274" s="23"/>
      <c r="U274" s="11"/>
    </row>
    <row r="275" spans="1:21" ht="14.25" customHeight="1" x14ac:dyDescent="0.3">
      <c r="A275" s="484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R275" s="23"/>
      <c r="U275" s="11"/>
    </row>
    <row r="276" spans="1:21" ht="14.25" customHeight="1" x14ac:dyDescent="0.3">
      <c r="A276" s="484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R276" s="23"/>
      <c r="U276" s="11"/>
    </row>
    <row r="277" spans="1:21" ht="14.25" customHeight="1" x14ac:dyDescent="0.3">
      <c r="A277" s="484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R277" s="23"/>
      <c r="U277" s="11"/>
    </row>
    <row r="278" spans="1:21" ht="14.25" customHeight="1" x14ac:dyDescent="0.3">
      <c r="A278" s="484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R278" s="23"/>
      <c r="U278" s="11"/>
    </row>
    <row r="279" spans="1:21" ht="14.25" customHeight="1" x14ac:dyDescent="0.3">
      <c r="A279" s="484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R279" s="23"/>
      <c r="U279" s="11"/>
    </row>
    <row r="280" spans="1:21" ht="14.25" customHeight="1" x14ac:dyDescent="0.3">
      <c r="A280" s="484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R280" s="23"/>
      <c r="U280" s="11"/>
    </row>
    <row r="281" spans="1:21" ht="14.25" customHeight="1" x14ac:dyDescent="0.3">
      <c r="A281" s="484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R281" s="23"/>
      <c r="U281" s="11"/>
    </row>
    <row r="282" spans="1:21" ht="14.25" customHeight="1" x14ac:dyDescent="0.3">
      <c r="A282" s="484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R282" s="23"/>
      <c r="U282" s="11"/>
    </row>
    <row r="283" spans="1:21" ht="14.25" customHeight="1" x14ac:dyDescent="0.3">
      <c r="A283" s="484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R283" s="23"/>
      <c r="U283" s="11"/>
    </row>
    <row r="284" spans="1:21" ht="14.25" customHeight="1" x14ac:dyDescent="0.3">
      <c r="A284" s="484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R284" s="23"/>
      <c r="U284" s="11"/>
    </row>
    <row r="285" spans="1:21" ht="14.25" customHeight="1" x14ac:dyDescent="0.3">
      <c r="A285" s="484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R285" s="23"/>
      <c r="U285" s="11"/>
    </row>
    <row r="286" spans="1:21" ht="14.25" customHeight="1" x14ac:dyDescent="0.3">
      <c r="A286" s="484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R286" s="23"/>
      <c r="U286" s="11"/>
    </row>
    <row r="287" spans="1:21" ht="14.25" customHeight="1" x14ac:dyDescent="0.3">
      <c r="A287" s="484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R287" s="23"/>
      <c r="U287" s="11"/>
    </row>
    <row r="288" spans="1:21" ht="14.25" customHeight="1" x14ac:dyDescent="0.3">
      <c r="A288" s="484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R288" s="23"/>
      <c r="U288" s="11"/>
    </row>
    <row r="289" spans="1:21" ht="14.25" customHeight="1" x14ac:dyDescent="0.3">
      <c r="A289" s="484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R289" s="23"/>
      <c r="U289" s="11"/>
    </row>
    <row r="290" spans="1:21" ht="14.25" customHeight="1" x14ac:dyDescent="0.3">
      <c r="A290" s="484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R290" s="23"/>
      <c r="U290" s="11"/>
    </row>
    <row r="291" spans="1:21" ht="14.25" customHeight="1" x14ac:dyDescent="0.3">
      <c r="A291" s="484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R291" s="23"/>
      <c r="U291" s="11"/>
    </row>
    <row r="292" spans="1:21" ht="14.25" customHeight="1" x14ac:dyDescent="0.3">
      <c r="A292" s="484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R292" s="23"/>
      <c r="U292" s="11"/>
    </row>
    <row r="293" spans="1:21" ht="14.25" customHeight="1" x14ac:dyDescent="0.3">
      <c r="A293" s="484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R293" s="23"/>
      <c r="U293" s="11"/>
    </row>
    <row r="294" spans="1:21" ht="14.25" customHeight="1" x14ac:dyDescent="0.3">
      <c r="A294" s="484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R294" s="23"/>
      <c r="U294" s="11"/>
    </row>
    <row r="295" spans="1:21" ht="14.25" customHeight="1" x14ac:dyDescent="0.3">
      <c r="A295" s="484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R295" s="23"/>
      <c r="U295" s="11"/>
    </row>
    <row r="296" spans="1:21" ht="14.25" customHeight="1" x14ac:dyDescent="0.3">
      <c r="A296" s="484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R296" s="23"/>
      <c r="U296" s="11"/>
    </row>
    <row r="297" spans="1:21" ht="14.25" customHeight="1" x14ac:dyDescent="0.3">
      <c r="A297" s="484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R297" s="23"/>
      <c r="U297" s="11"/>
    </row>
    <row r="298" spans="1:21" ht="14.25" customHeight="1" x14ac:dyDescent="0.3">
      <c r="A298" s="484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R298" s="23"/>
      <c r="U298" s="11"/>
    </row>
    <row r="299" spans="1:21" ht="14.25" customHeight="1" x14ac:dyDescent="0.3">
      <c r="A299" s="484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R299" s="23"/>
      <c r="U299" s="11"/>
    </row>
    <row r="300" spans="1:21" ht="14.25" customHeight="1" x14ac:dyDescent="0.3">
      <c r="A300" s="484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R300" s="23"/>
      <c r="U300" s="11"/>
    </row>
    <row r="301" spans="1:21" ht="14.25" customHeight="1" x14ac:dyDescent="0.3">
      <c r="A301" s="484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R301" s="23"/>
      <c r="U301" s="11"/>
    </row>
    <row r="302" spans="1:21" ht="14.25" customHeight="1" x14ac:dyDescent="0.3">
      <c r="A302" s="484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R302" s="23"/>
      <c r="U302" s="11"/>
    </row>
    <row r="303" spans="1:21" ht="14.25" customHeight="1" x14ac:dyDescent="0.3">
      <c r="A303" s="484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R303" s="23"/>
      <c r="U303" s="11"/>
    </row>
    <row r="304" spans="1:21" ht="14.25" customHeight="1" x14ac:dyDescent="0.3">
      <c r="A304" s="484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R304" s="23"/>
      <c r="U304" s="11"/>
    </row>
    <row r="305" spans="1:21" ht="14.25" customHeight="1" x14ac:dyDescent="0.3">
      <c r="A305" s="484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R305" s="23"/>
      <c r="U305" s="11"/>
    </row>
    <row r="306" spans="1:21" ht="14.25" customHeight="1" x14ac:dyDescent="0.3">
      <c r="A306" s="484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R306" s="23"/>
      <c r="U306" s="11"/>
    </row>
    <row r="307" spans="1:21" ht="14.25" customHeight="1" x14ac:dyDescent="0.3">
      <c r="A307" s="484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R307" s="23"/>
      <c r="U307" s="11"/>
    </row>
    <row r="308" spans="1:21" ht="14.25" customHeight="1" x14ac:dyDescent="0.3">
      <c r="A308" s="484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R308" s="23"/>
      <c r="U308" s="11"/>
    </row>
    <row r="309" spans="1:21" ht="14.25" customHeight="1" x14ac:dyDescent="0.3">
      <c r="A309" s="484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R309" s="23"/>
      <c r="U309" s="11"/>
    </row>
    <row r="310" spans="1:21" ht="14.25" customHeight="1" x14ac:dyDescent="0.3">
      <c r="A310" s="484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R310" s="23"/>
      <c r="U310" s="11"/>
    </row>
    <row r="311" spans="1:21" ht="14.25" customHeight="1" x14ac:dyDescent="0.3">
      <c r="A311" s="484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R311" s="23"/>
      <c r="U311" s="11"/>
    </row>
    <row r="312" spans="1:21" ht="14.25" customHeight="1" x14ac:dyDescent="0.3">
      <c r="A312" s="484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R312" s="23"/>
      <c r="U312" s="11"/>
    </row>
    <row r="313" spans="1:21" ht="14.25" customHeight="1" x14ac:dyDescent="0.3">
      <c r="A313" s="484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R313" s="23"/>
      <c r="U313" s="11"/>
    </row>
    <row r="314" spans="1:21" ht="14.25" customHeight="1" x14ac:dyDescent="0.3">
      <c r="A314" s="484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R314" s="23"/>
      <c r="U314" s="11"/>
    </row>
    <row r="315" spans="1:21" ht="14.25" customHeight="1" x14ac:dyDescent="0.3">
      <c r="A315" s="484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R315" s="23"/>
      <c r="U315" s="11"/>
    </row>
    <row r="316" spans="1:21" ht="14.25" customHeight="1" x14ac:dyDescent="0.3">
      <c r="A316" s="484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R316" s="23"/>
      <c r="U316" s="11"/>
    </row>
    <row r="317" spans="1:21" ht="14.25" customHeight="1" x14ac:dyDescent="0.3">
      <c r="A317" s="484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R317" s="23"/>
      <c r="U317" s="11"/>
    </row>
    <row r="318" spans="1:21" ht="14.25" customHeight="1" x14ac:dyDescent="0.3">
      <c r="A318" s="484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R318" s="23"/>
      <c r="U318" s="11"/>
    </row>
    <row r="319" spans="1:21" ht="14.25" customHeight="1" x14ac:dyDescent="0.3">
      <c r="A319" s="484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R319" s="23"/>
      <c r="U319" s="11"/>
    </row>
    <row r="320" spans="1:21" ht="14.25" customHeight="1" x14ac:dyDescent="0.3">
      <c r="A320" s="484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R320" s="23"/>
      <c r="U320" s="11"/>
    </row>
    <row r="321" spans="1:21" ht="14.25" customHeight="1" x14ac:dyDescent="0.3">
      <c r="A321" s="484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R321" s="23"/>
      <c r="U321" s="11"/>
    </row>
    <row r="322" spans="1:21" ht="14.25" customHeight="1" x14ac:dyDescent="0.3">
      <c r="A322" s="484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R322" s="23"/>
      <c r="U322" s="11"/>
    </row>
    <row r="323" spans="1:21" ht="14.25" customHeight="1" x14ac:dyDescent="0.3">
      <c r="A323" s="484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R323" s="23"/>
      <c r="U323" s="11"/>
    </row>
    <row r="324" spans="1:21" ht="14.25" customHeight="1" x14ac:dyDescent="0.3">
      <c r="A324" s="484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R324" s="23"/>
      <c r="U324" s="11"/>
    </row>
    <row r="325" spans="1:21" ht="14.25" customHeight="1" x14ac:dyDescent="0.3">
      <c r="A325" s="484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R325" s="23"/>
      <c r="U325" s="11"/>
    </row>
    <row r="326" spans="1:21" ht="14.25" customHeight="1" x14ac:dyDescent="0.3">
      <c r="A326" s="484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R326" s="23"/>
      <c r="U326" s="11"/>
    </row>
    <row r="327" spans="1:21" ht="14.25" customHeight="1" x14ac:dyDescent="0.3">
      <c r="A327" s="484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R327" s="23"/>
      <c r="U327" s="11"/>
    </row>
    <row r="328" spans="1:21" ht="14.25" customHeight="1" x14ac:dyDescent="0.3">
      <c r="A328" s="484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R328" s="23"/>
      <c r="U328" s="11"/>
    </row>
    <row r="329" spans="1:21" ht="14.25" customHeight="1" x14ac:dyDescent="0.3">
      <c r="A329" s="484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R329" s="23"/>
      <c r="U329" s="11"/>
    </row>
    <row r="330" spans="1:21" ht="14.25" customHeight="1" x14ac:dyDescent="0.3">
      <c r="A330" s="484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R330" s="23"/>
      <c r="U330" s="11"/>
    </row>
    <row r="331" spans="1:21" ht="14.25" customHeight="1" x14ac:dyDescent="0.3">
      <c r="A331" s="484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R331" s="23"/>
      <c r="U331" s="11"/>
    </row>
    <row r="332" spans="1:21" ht="14.25" customHeight="1" x14ac:dyDescent="0.3">
      <c r="A332" s="484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R332" s="23"/>
      <c r="U332" s="11"/>
    </row>
    <row r="333" spans="1:21" ht="14.25" customHeight="1" x14ac:dyDescent="0.3">
      <c r="A333" s="484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R333" s="23"/>
      <c r="U333" s="11"/>
    </row>
    <row r="334" spans="1:21" ht="14.25" customHeight="1" x14ac:dyDescent="0.3">
      <c r="A334" s="484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R334" s="23"/>
      <c r="U334" s="11"/>
    </row>
    <row r="335" spans="1:21" ht="14.25" customHeight="1" x14ac:dyDescent="0.3">
      <c r="A335" s="484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R335" s="23"/>
      <c r="U335" s="11"/>
    </row>
    <row r="336" spans="1:21" ht="14.25" customHeight="1" x14ac:dyDescent="0.3">
      <c r="A336" s="484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R336" s="23"/>
      <c r="U336" s="11"/>
    </row>
    <row r="337" spans="1:21" ht="14.25" customHeight="1" x14ac:dyDescent="0.3">
      <c r="A337" s="484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R337" s="23"/>
      <c r="U337" s="11"/>
    </row>
    <row r="338" spans="1:21" ht="14.25" customHeight="1" x14ac:dyDescent="0.3">
      <c r="A338" s="484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R338" s="23"/>
      <c r="U338" s="11"/>
    </row>
    <row r="339" spans="1:21" ht="14.25" customHeight="1" x14ac:dyDescent="0.3">
      <c r="A339" s="484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R339" s="23"/>
      <c r="U339" s="11"/>
    </row>
    <row r="340" spans="1:21" ht="14.25" customHeight="1" x14ac:dyDescent="0.3">
      <c r="A340" s="484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R340" s="23"/>
      <c r="U340" s="11"/>
    </row>
    <row r="341" spans="1:21" ht="14.25" customHeight="1" x14ac:dyDescent="0.3">
      <c r="A341" s="484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R341" s="23"/>
      <c r="U341" s="11"/>
    </row>
    <row r="342" spans="1:21" ht="14.25" customHeight="1" x14ac:dyDescent="0.3">
      <c r="A342" s="484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R342" s="23"/>
      <c r="U342" s="11"/>
    </row>
    <row r="343" spans="1:21" ht="14.25" customHeight="1" x14ac:dyDescent="0.3">
      <c r="A343" s="484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R343" s="23"/>
      <c r="U343" s="11"/>
    </row>
    <row r="344" spans="1:21" ht="14.25" customHeight="1" x14ac:dyDescent="0.3">
      <c r="A344" s="484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R344" s="23"/>
      <c r="U344" s="11"/>
    </row>
    <row r="345" spans="1:21" ht="14.25" customHeight="1" x14ac:dyDescent="0.3">
      <c r="A345" s="484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R345" s="23"/>
      <c r="U345" s="11"/>
    </row>
    <row r="346" spans="1:21" ht="14.25" customHeight="1" x14ac:dyDescent="0.3">
      <c r="A346" s="484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R346" s="23"/>
      <c r="U346" s="11"/>
    </row>
    <row r="347" spans="1:21" ht="14.25" customHeight="1" x14ac:dyDescent="0.3">
      <c r="A347" s="484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R347" s="23"/>
      <c r="U347" s="11"/>
    </row>
    <row r="348" spans="1:21" ht="14.25" customHeight="1" x14ac:dyDescent="0.3">
      <c r="A348" s="484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R348" s="23"/>
      <c r="U348" s="11"/>
    </row>
    <row r="349" spans="1:21" ht="14.25" customHeight="1" x14ac:dyDescent="0.3">
      <c r="A349" s="484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R349" s="23"/>
      <c r="U349" s="11"/>
    </row>
    <row r="350" spans="1:21" ht="14.25" customHeight="1" x14ac:dyDescent="0.3">
      <c r="A350" s="484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R350" s="23"/>
      <c r="U350" s="11"/>
    </row>
    <row r="351" spans="1:21" ht="14.25" customHeight="1" x14ac:dyDescent="0.3">
      <c r="A351" s="484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R351" s="23"/>
      <c r="U351" s="11"/>
    </row>
    <row r="352" spans="1:21" ht="14.25" customHeight="1" x14ac:dyDescent="0.3">
      <c r="A352" s="484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R352" s="23"/>
      <c r="U352" s="11"/>
    </row>
    <row r="353" spans="1:21" ht="14.25" customHeight="1" x14ac:dyDescent="0.3">
      <c r="A353" s="484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R353" s="23"/>
      <c r="U353" s="11"/>
    </row>
    <row r="354" spans="1:21" ht="14.25" customHeight="1" x14ac:dyDescent="0.3">
      <c r="A354" s="484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R354" s="23"/>
      <c r="U354" s="11"/>
    </row>
    <row r="355" spans="1:21" ht="14.25" customHeight="1" x14ac:dyDescent="0.3">
      <c r="A355" s="484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R355" s="23"/>
      <c r="U355" s="11"/>
    </row>
    <row r="356" spans="1:21" ht="14.25" customHeight="1" x14ac:dyDescent="0.3">
      <c r="A356" s="484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R356" s="23"/>
      <c r="U356" s="11"/>
    </row>
    <row r="357" spans="1:21" ht="14.25" customHeight="1" x14ac:dyDescent="0.3">
      <c r="A357" s="484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R357" s="23"/>
      <c r="U357" s="11"/>
    </row>
    <row r="358" spans="1:21" ht="14.25" customHeight="1" x14ac:dyDescent="0.3">
      <c r="A358" s="484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R358" s="23"/>
      <c r="U358" s="11"/>
    </row>
    <row r="359" spans="1:21" ht="14.25" customHeight="1" x14ac:dyDescent="0.3">
      <c r="A359" s="484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R359" s="23"/>
      <c r="U359" s="11"/>
    </row>
    <row r="360" spans="1:21" ht="14.25" customHeight="1" x14ac:dyDescent="0.3">
      <c r="A360" s="484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R360" s="23"/>
      <c r="U360" s="11"/>
    </row>
    <row r="361" spans="1:21" ht="14.25" customHeight="1" x14ac:dyDescent="0.3">
      <c r="A361" s="484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R361" s="23"/>
      <c r="U361" s="11"/>
    </row>
    <row r="362" spans="1:21" ht="14.25" customHeight="1" x14ac:dyDescent="0.3">
      <c r="A362" s="484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R362" s="23"/>
      <c r="U362" s="11"/>
    </row>
    <row r="363" spans="1:21" ht="14.25" customHeight="1" x14ac:dyDescent="0.3">
      <c r="A363" s="484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R363" s="23"/>
      <c r="U363" s="11"/>
    </row>
    <row r="364" spans="1:21" ht="14.25" customHeight="1" x14ac:dyDescent="0.3">
      <c r="A364" s="484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R364" s="23"/>
      <c r="U364" s="11"/>
    </row>
    <row r="365" spans="1:21" ht="14.25" customHeight="1" x14ac:dyDescent="0.3">
      <c r="A365" s="484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R365" s="23"/>
      <c r="U365" s="11"/>
    </row>
    <row r="366" spans="1:21" ht="14.25" customHeight="1" x14ac:dyDescent="0.3">
      <c r="A366" s="484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R366" s="23"/>
      <c r="U366" s="11"/>
    </row>
    <row r="367" spans="1:21" ht="14.25" customHeight="1" x14ac:dyDescent="0.3">
      <c r="A367" s="484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R367" s="23"/>
      <c r="U367" s="11"/>
    </row>
    <row r="368" spans="1:21" ht="14.25" customHeight="1" x14ac:dyDescent="0.3">
      <c r="A368" s="484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R368" s="23"/>
      <c r="U368" s="11"/>
    </row>
    <row r="369" spans="1:21" ht="14.25" customHeight="1" x14ac:dyDescent="0.3">
      <c r="A369" s="484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R369" s="23"/>
      <c r="U369" s="11"/>
    </row>
    <row r="370" spans="1:21" ht="14.25" customHeight="1" x14ac:dyDescent="0.3">
      <c r="A370" s="484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R370" s="23"/>
      <c r="U370" s="11"/>
    </row>
    <row r="371" spans="1:21" ht="14.25" customHeight="1" x14ac:dyDescent="0.3">
      <c r="A371" s="484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R371" s="23"/>
      <c r="U371" s="11"/>
    </row>
    <row r="372" spans="1:21" ht="14.25" customHeight="1" x14ac:dyDescent="0.3">
      <c r="A372" s="484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R372" s="23"/>
      <c r="U372" s="11"/>
    </row>
    <row r="373" spans="1:21" ht="14.25" customHeight="1" x14ac:dyDescent="0.3">
      <c r="A373" s="484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R373" s="23"/>
      <c r="U373" s="11"/>
    </row>
    <row r="374" spans="1:21" ht="14.25" customHeight="1" x14ac:dyDescent="0.3">
      <c r="A374" s="484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R374" s="23"/>
      <c r="U374" s="11"/>
    </row>
    <row r="375" spans="1:21" ht="14.25" customHeight="1" x14ac:dyDescent="0.3">
      <c r="A375" s="484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R375" s="23"/>
      <c r="U375" s="11"/>
    </row>
    <row r="376" spans="1:21" ht="14.25" customHeight="1" x14ac:dyDescent="0.3">
      <c r="A376" s="484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R376" s="23"/>
      <c r="U376" s="11"/>
    </row>
    <row r="377" spans="1:21" ht="14.25" customHeight="1" x14ac:dyDescent="0.3">
      <c r="A377" s="484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R377" s="23"/>
      <c r="U377" s="11"/>
    </row>
    <row r="378" spans="1:21" ht="14.25" customHeight="1" x14ac:dyDescent="0.3">
      <c r="A378" s="484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R378" s="23"/>
      <c r="U378" s="11"/>
    </row>
    <row r="379" spans="1:21" ht="14.25" customHeight="1" x14ac:dyDescent="0.3">
      <c r="A379" s="484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R379" s="23"/>
      <c r="U379" s="11"/>
    </row>
    <row r="380" spans="1:21" ht="14.25" customHeight="1" x14ac:dyDescent="0.3">
      <c r="A380" s="484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R380" s="23"/>
      <c r="U380" s="11"/>
    </row>
    <row r="381" spans="1:21" ht="14.25" customHeight="1" x14ac:dyDescent="0.3">
      <c r="A381" s="484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R381" s="23"/>
      <c r="U381" s="11"/>
    </row>
    <row r="382" spans="1:21" ht="14.25" customHeight="1" x14ac:dyDescent="0.3">
      <c r="A382" s="484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R382" s="23"/>
      <c r="U382" s="11"/>
    </row>
    <row r="383" spans="1:21" ht="14.25" customHeight="1" x14ac:dyDescent="0.3">
      <c r="A383" s="484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R383" s="23"/>
      <c r="U383" s="11"/>
    </row>
    <row r="384" spans="1:21" ht="14.25" customHeight="1" x14ac:dyDescent="0.3">
      <c r="A384" s="484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R384" s="23"/>
      <c r="U384" s="11"/>
    </row>
    <row r="385" spans="1:21" ht="14.25" customHeight="1" x14ac:dyDescent="0.3">
      <c r="A385" s="484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R385" s="23"/>
      <c r="U385" s="11"/>
    </row>
    <row r="386" spans="1:21" ht="14.25" customHeight="1" x14ac:dyDescent="0.3">
      <c r="A386" s="484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R386" s="23"/>
      <c r="U386" s="11"/>
    </row>
    <row r="387" spans="1:21" ht="14.25" customHeight="1" x14ac:dyDescent="0.3">
      <c r="A387" s="484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R387" s="23"/>
      <c r="U387" s="11"/>
    </row>
    <row r="388" spans="1:21" ht="14.25" customHeight="1" x14ac:dyDescent="0.3">
      <c r="A388" s="484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R388" s="23"/>
      <c r="U388" s="11"/>
    </row>
    <row r="389" spans="1:21" ht="14.25" customHeight="1" x14ac:dyDescent="0.3">
      <c r="A389" s="484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R389" s="23"/>
      <c r="U389" s="11"/>
    </row>
    <row r="390" spans="1:21" ht="14.25" customHeight="1" x14ac:dyDescent="0.3">
      <c r="A390" s="484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R390" s="23"/>
      <c r="U390" s="11"/>
    </row>
    <row r="391" spans="1:21" ht="14.25" customHeight="1" x14ac:dyDescent="0.3">
      <c r="A391" s="484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R391" s="23"/>
      <c r="U391" s="11"/>
    </row>
    <row r="392" spans="1:21" ht="14.25" customHeight="1" x14ac:dyDescent="0.3">
      <c r="A392" s="484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R392" s="23"/>
      <c r="U392" s="11"/>
    </row>
    <row r="393" spans="1:21" ht="14.25" customHeight="1" x14ac:dyDescent="0.3">
      <c r="A393" s="484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R393" s="23"/>
      <c r="U393" s="11"/>
    </row>
    <row r="394" spans="1:21" ht="14.25" customHeight="1" x14ac:dyDescent="0.3">
      <c r="A394" s="484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R394" s="23"/>
      <c r="U394" s="11"/>
    </row>
    <row r="395" spans="1:21" ht="14.25" customHeight="1" x14ac:dyDescent="0.3">
      <c r="A395" s="484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R395" s="23"/>
      <c r="U395" s="11"/>
    </row>
    <row r="396" spans="1:21" ht="14.25" customHeight="1" x14ac:dyDescent="0.3">
      <c r="A396" s="484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R396" s="23"/>
      <c r="U396" s="11"/>
    </row>
    <row r="397" spans="1:21" ht="14.25" customHeight="1" x14ac:dyDescent="0.3">
      <c r="A397" s="484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R397" s="23"/>
      <c r="U397" s="11"/>
    </row>
    <row r="398" spans="1:21" ht="14.25" customHeight="1" x14ac:dyDescent="0.3">
      <c r="A398" s="484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R398" s="23"/>
      <c r="U398" s="11"/>
    </row>
    <row r="399" spans="1:21" ht="14.25" customHeight="1" x14ac:dyDescent="0.3">
      <c r="A399" s="484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R399" s="23"/>
      <c r="U399" s="11"/>
    </row>
    <row r="400" spans="1:21" ht="14.25" customHeight="1" x14ac:dyDescent="0.3">
      <c r="A400" s="484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R400" s="23"/>
      <c r="U400" s="11"/>
    </row>
    <row r="401" spans="1:21" ht="14.25" customHeight="1" x14ac:dyDescent="0.3">
      <c r="A401" s="484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R401" s="23"/>
      <c r="U401" s="11"/>
    </row>
    <row r="402" spans="1:21" ht="14.25" customHeight="1" x14ac:dyDescent="0.3">
      <c r="A402" s="484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R402" s="23"/>
      <c r="U402" s="11"/>
    </row>
    <row r="403" spans="1:21" ht="14.25" customHeight="1" x14ac:dyDescent="0.3">
      <c r="A403" s="484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R403" s="23"/>
      <c r="U403" s="11"/>
    </row>
    <row r="404" spans="1:21" ht="14.25" customHeight="1" x14ac:dyDescent="0.3">
      <c r="A404" s="484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R404" s="23"/>
      <c r="U404" s="11"/>
    </row>
    <row r="405" spans="1:21" ht="14.25" customHeight="1" x14ac:dyDescent="0.3">
      <c r="A405" s="484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R405" s="23"/>
      <c r="U405" s="11"/>
    </row>
    <row r="406" spans="1:21" ht="14.25" customHeight="1" x14ac:dyDescent="0.3">
      <c r="A406" s="484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R406" s="23"/>
      <c r="U406" s="11"/>
    </row>
    <row r="407" spans="1:21" ht="14.25" customHeight="1" x14ac:dyDescent="0.3">
      <c r="A407" s="484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R407" s="23"/>
      <c r="U407" s="11"/>
    </row>
    <row r="408" spans="1:21" ht="14.25" customHeight="1" x14ac:dyDescent="0.3">
      <c r="A408" s="484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R408" s="23"/>
      <c r="U408" s="11"/>
    </row>
    <row r="409" spans="1:21" ht="14.25" customHeight="1" x14ac:dyDescent="0.3">
      <c r="A409" s="484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R409" s="23"/>
      <c r="U409" s="11"/>
    </row>
    <row r="410" spans="1:21" ht="14.25" customHeight="1" x14ac:dyDescent="0.3">
      <c r="A410" s="484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R410" s="23"/>
      <c r="U410" s="11"/>
    </row>
    <row r="411" spans="1:21" ht="14.25" customHeight="1" x14ac:dyDescent="0.3">
      <c r="A411" s="484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R411" s="23"/>
      <c r="U411" s="11"/>
    </row>
    <row r="412" spans="1:21" ht="14.25" customHeight="1" x14ac:dyDescent="0.3">
      <c r="A412" s="484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R412" s="23"/>
      <c r="U412" s="11"/>
    </row>
    <row r="413" spans="1:21" ht="14.25" customHeight="1" x14ac:dyDescent="0.3">
      <c r="A413" s="484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R413" s="23"/>
      <c r="U413" s="11"/>
    </row>
    <row r="414" spans="1:21" ht="14.25" customHeight="1" x14ac:dyDescent="0.3">
      <c r="A414" s="484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R414" s="23"/>
      <c r="U414" s="11"/>
    </row>
    <row r="415" spans="1:21" ht="14.25" customHeight="1" x14ac:dyDescent="0.3">
      <c r="A415" s="484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R415" s="23"/>
      <c r="U415" s="11"/>
    </row>
    <row r="416" spans="1:21" ht="14.25" customHeight="1" x14ac:dyDescent="0.3">
      <c r="A416" s="484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R416" s="23"/>
      <c r="U416" s="11"/>
    </row>
    <row r="417" spans="1:21" ht="14.25" customHeight="1" x14ac:dyDescent="0.3">
      <c r="A417" s="484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R417" s="23"/>
      <c r="U417" s="11"/>
    </row>
    <row r="418" spans="1:21" ht="14.25" customHeight="1" x14ac:dyDescent="0.3">
      <c r="A418" s="484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R418" s="23"/>
      <c r="U418" s="11"/>
    </row>
    <row r="419" spans="1:21" ht="14.25" customHeight="1" x14ac:dyDescent="0.3">
      <c r="A419" s="484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R419" s="23"/>
      <c r="U419" s="11"/>
    </row>
    <row r="420" spans="1:21" ht="14.25" customHeight="1" x14ac:dyDescent="0.3">
      <c r="A420" s="484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R420" s="23"/>
      <c r="U420" s="11"/>
    </row>
    <row r="421" spans="1:21" ht="14.25" customHeight="1" x14ac:dyDescent="0.3">
      <c r="A421" s="484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R421" s="23"/>
      <c r="U421" s="11"/>
    </row>
    <row r="422" spans="1:21" ht="14.25" customHeight="1" x14ac:dyDescent="0.3">
      <c r="A422" s="484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R422" s="23"/>
      <c r="U422" s="11"/>
    </row>
    <row r="423" spans="1:21" ht="14.25" customHeight="1" x14ac:dyDescent="0.3">
      <c r="A423" s="484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R423" s="23"/>
      <c r="U423" s="11"/>
    </row>
    <row r="424" spans="1:21" ht="14.25" customHeight="1" x14ac:dyDescent="0.3">
      <c r="A424" s="484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R424" s="23"/>
      <c r="U424" s="11"/>
    </row>
    <row r="425" spans="1:21" ht="14.25" customHeight="1" x14ac:dyDescent="0.3">
      <c r="A425" s="484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R425" s="23"/>
      <c r="U425" s="11"/>
    </row>
    <row r="426" spans="1:21" ht="14.25" customHeight="1" x14ac:dyDescent="0.3">
      <c r="A426" s="484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R426" s="23"/>
      <c r="U426" s="11"/>
    </row>
    <row r="427" spans="1:21" ht="14.25" customHeight="1" x14ac:dyDescent="0.3">
      <c r="A427" s="484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R427" s="23"/>
      <c r="U427" s="11"/>
    </row>
    <row r="428" spans="1:21" ht="14.25" customHeight="1" x14ac:dyDescent="0.3">
      <c r="A428" s="484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R428" s="23"/>
      <c r="U428" s="11"/>
    </row>
    <row r="429" spans="1:21" ht="14.25" customHeight="1" x14ac:dyDescent="0.3">
      <c r="A429" s="484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R429" s="23"/>
      <c r="U429" s="11"/>
    </row>
    <row r="430" spans="1:21" ht="14.25" customHeight="1" x14ac:dyDescent="0.3">
      <c r="A430" s="484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R430" s="23"/>
      <c r="U430" s="11"/>
    </row>
    <row r="431" spans="1:21" ht="14.25" customHeight="1" x14ac:dyDescent="0.3">
      <c r="A431" s="484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R431" s="23"/>
      <c r="U431" s="11"/>
    </row>
    <row r="432" spans="1:21" ht="14.25" customHeight="1" x14ac:dyDescent="0.3">
      <c r="A432" s="484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R432" s="23"/>
      <c r="U432" s="11"/>
    </row>
    <row r="433" spans="1:21" ht="14.25" customHeight="1" x14ac:dyDescent="0.3">
      <c r="A433" s="484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R433" s="23"/>
      <c r="U433" s="11"/>
    </row>
    <row r="434" spans="1:21" ht="14.25" customHeight="1" x14ac:dyDescent="0.3">
      <c r="A434" s="484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R434" s="23"/>
      <c r="U434" s="11"/>
    </row>
    <row r="435" spans="1:21" ht="14.25" customHeight="1" x14ac:dyDescent="0.3">
      <c r="A435" s="484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R435" s="23"/>
      <c r="U435" s="11"/>
    </row>
    <row r="436" spans="1:21" ht="14.25" customHeight="1" x14ac:dyDescent="0.3">
      <c r="A436" s="484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R436" s="23"/>
      <c r="U436" s="11"/>
    </row>
    <row r="437" spans="1:21" ht="14.25" customHeight="1" x14ac:dyDescent="0.3">
      <c r="A437" s="484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R437" s="23"/>
      <c r="U437" s="11"/>
    </row>
    <row r="438" spans="1:21" ht="14.25" customHeight="1" x14ac:dyDescent="0.3">
      <c r="A438" s="484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R438" s="23"/>
      <c r="U438" s="11"/>
    </row>
    <row r="439" spans="1:21" ht="14.25" customHeight="1" x14ac:dyDescent="0.3">
      <c r="A439" s="484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R439" s="23"/>
      <c r="U439" s="11"/>
    </row>
    <row r="440" spans="1:21" ht="14.25" customHeight="1" x14ac:dyDescent="0.3">
      <c r="A440" s="484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R440" s="23"/>
      <c r="U440" s="11"/>
    </row>
    <row r="441" spans="1:21" ht="14.25" customHeight="1" x14ac:dyDescent="0.3">
      <c r="A441" s="484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R441" s="23"/>
      <c r="U441" s="11"/>
    </row>
    <row r="442" spans="1:21" ht="14.25" customHeight="1" x14ac:dyDescent="0.3">
      <c r="A442" s="484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R442" s="23"/>
      <c r="U442" s="11"/>
    </row>
    <row r="443" spans="1:21" ht="14.25" customHeight="1" x14ac:dyDescent="0.3">
      <c r="A443" s="484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R443" s="23"/>
      <c r="U443" s="11"/>
    </row>
    <row r="444" spans="1:21" ht="14.25" customHeight="1" x14ac:dyDescent="0.3">
      <c r="A444" s="484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R444" s="23"/>
      <c r="U444" s="11"/>
    </row>
    <row r="445" spans="1:21" ht="14.25" customHeight="1" x14ac:dyDescent="0.3">
      <c r="A445" s="484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R445" s="23"/>
      <c r="U445" s="11"/>
    </row>
    <row r="446" spans="1:21" ht="14.25" customHeight="1" x14ac:dyDescent="0.3">
      <c r="A446" s="484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R446" s="23"/>
      <c r="U446" s="11"/>
    </row>
    <row r="447" spans="1:21" ht="14.25" customHeight="1" x14ac:dyDescent="0.3">
      <c r="A447" s="484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R447" s="23"/>
      <c r="U447" s="11"/>
    </row>
    <row r="448" spans="1:21" ht="14.25" customHeight="1" x14ac:dyDescent="0.3">
      <c r="A448" s="484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R448" s="23"/>
      <c r="U448" s="11"/>
    </row>
    <row r="449" spans="1:21" ht="14.25" customHeight="1" x14ac:dyDescent="0.3">
      <c r="A449" s="484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R449" s="23"/>
      <c r="U449" s="11"/>
    </row>
    <row r="450" spans="1:21" ht="14.25" customHeight="1" x14ac:dyDescent="0.3">
      <c r="A450" s="484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R450" s="23"/>
      <c r="U450" s="11"/>
    </row>
    <row r="451" spans="1:21" ht="14.25" customHeight="1" x14ac:dyDescent="0.3">
      <c r="A451" s="484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R451" s="23"/>
      <c r="U451" s="11"/>
    </row>
    <row r="452" spans="1:21" ht="14.25" customHeight="1" x14ac:dyDescent="0.3">
      <c r="A452" s="484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R452" s="23"/>
      <c r="U452" s="11"/>
    </row>
    <row r="453" spans="1:21" ht="14.25" customHeight="1" x14ac:dyDescent="0.3">
      <c r="A453" s="484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R453" s="23"/>
      <c r="U453" s="11"/>
    </row>
    <row r="454" spans="1:21" ht="14.25" customHeight="1" x14ac:dyDescent="0.3">
      <c r="A454" s="484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R454" s="23"/>
      <c r="U454" s="11"/>
    </row>
    <row r="455" spans="1:21" ht="14.25" customHeight="1" x14ac:dyDescent="0.3">
      <c r="A455" s="484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R455" s="23"/>
      <c r="U455" s="11"/>
    </row>
    <row r="456" spans="1:21" ht="14.25" customHeight="1" x14ac:dyDescent="0.3">
      <c r="A456" s="484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R456" s="23"/>
      <c r="U456" s="11"/>
    </row>
    <row r="457" spans="1:21" ht="14.25" customHeight="1" x14ac:dyDescent="0.3">
      <c r="A457" s="484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R457" s="23"/>
      <c r="U457" s="11"/>
    </row>
    <row r="458" spans="1:21" ht="14.25" customHeight="1" x14ac:dyDescent="0.3">
      <c r="A458" s="484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R458" s="23"/>
      <c r="U458" s="11"/>
    </row>
    <row r="459" spans="1:21" ht="14.25" customHeight="1" x14ac:dyDescent="0.3">
      <c r="A459" s="484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R459" s="23"/>
      <c r="U459" s="11"/>
    </row>
    <row r="460" spans="1:21" ht="14.25" customHeight="1" x14ac:dyDescent="0.3">
      <c r="A460" s="484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R460" s="23"/>
      <c r="U460" s="11"/>
    </row>
    <row r="461" spans="1:21" ht="14.25" customHeight="1" x14ac:dyDescent="0.3">
      <c r="A461" s="484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R461" s="23"/>
      <c r="U461" s="11"/>
    </row>
    <row r="462" spans="1:21" ht="14.25" customHeight="1" x14ac:dyDescent="0.3">
      <c r="A462" s="484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R462" s="23"/>
      <c r="U462" s="11"/>
    </row>
    <row r="463" spans="1:21" ht="14.25" customHeight="1" x14ac:dyDescent="0.3">
      <c r="A463" s="484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R463" s="23"/>
      <c r="U463" s="11"/>
    </row>
    <row r="464" spans="1:21" ht="14.25" customHeight="1" x14ac:dyDescent="0.3">
      <c r="A464" s="484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R464" s="23"/>
      <c r="U464" s="11"/>
    </row>
    <row r="465" spans="1:21" ht="14.25" customHeight="1" x14ac:dyDescent="0.3">
      <c r="A465" s="484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R465" s="23"/>
      <c r="U465" s="11"/>
    </row>
    <row r="466" spans="1:21" ht="14.25" customHeight="1" x14ac:dyDescent="0.3">
      <c r="A466" s="484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R466" s="23"/>
      <c r="U466" s="11"/>
    </row>
    <row r="467" spans="1:21" ht="14.25" customHeight="1" x14ac:dyDescent="0.3">
      <c r="A467" s="484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R467" s="23"/>
      <c r="U467" s="11"/>
    </row>
    <row r="468" spans="1:21" ht="14.25" customHeight="1" x14ac:dyDescent="0.3">
      <c r="A468" s="484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R468" s="23"/>
      <c r="U468" s="11"/>
    </row>
    <row r="469" spans="1:21" ht="14.25" customHeight="1" x14ac:dyDescent="0.3">
      <c r="A469" s="484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R469" s="23"/>
      <c r="U469" s="11"/>
    </row>
    <row r="470" spans="1:21" ht="14.25" customHeight="1" x14ac:dyDescent="0.3">
      <c r="A470" s="484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R470" s="23"/>
      <c r="U470" s="11"/>
    </row>
    <row r="471" spans="1:21" ht="14.25" customHeight="1" x14ac:dyDescent="0.3">
      <c r="A471" s="484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R471" s="23"/>
      <c r="U471" s="11"/>
    </row>
    <row r="472" spans="1:21" ht="14.25" customHeight="1" x14ac:dyDescent="0.3">
      <c r="A472" s="484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R472" s="23"/>
      <c r="U472" s="11"/>
    </row>
    <row r="473" spans="1:21" ht="14.25" customHeight="1" x14ac:dyDescent="0.3">
      <c r="A473" s="484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R473" s="23"/>
      <c r="U473" s="11"/>
    </row>
    <row r="474" spans="1:21" ht="14.25" customHeight="1" x14ac:dyDescent="0.3">
      <c r="A474" s="484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R474" s="23"/>
      <c r="U474" s="11"/>
    </row>
    <row r="475" spans="1:21" ht="14.25" customHeight="1" x14ac:dyDescent="0.3">
      <c r="A475" s="484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R475" s="23"/>
      <c r="U475" s="11"/>
    </row>
    <row r="476" spans="1:21" ht="14.25" customHeight="1" x14ac:dyDescent="0.3">
      <c r="A476" s="484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R476" s="23"/>
      <c r="U476" s="11"/>
    </row>
    <row r="477" spans="1:21" ht="14.25" customHeight="1" x14ac:dyDescent="0.3">
      <c r="A477" s="484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R477" s="23"/>
      <c r="U477" s="11"/>
    </row>
    <row r="478" spans="1:21" ht="14.25" customHeight="1" x14ac:dyDescent="0.3">
      <c r="A478" s="484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R478" s="23"/>
      <c r="U478" s="11"/>
    </row>
    <row r="479" spans="1:21" ht="14.25" customHeight="1" x14ac:dyDescent="0.3">
      <c r="A479" s="484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R479" s="23"/>
      <c r="U479" s="11"/>
    </row>
    <row r="480" spans="1:21" ht="14.25" customHeight="1" x14ac:dyDescent="0.3">
      <c r="A480" s="484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R480" s="23"/>
      <c r="U480" s="11"/>
    </row>
    <row r="481" spans="1:21" ht="14.25" customHeight="1" x14ac:dyDescent="0.3">
      <c r="A481" s="484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R481" s="23"/>
      <c r="U481" s="11"/>
    </row>
    <row r="482" spans="1:21" ht="14.25" customHeight="1" x14ac:dyDescent="0.3">
      <c r="A482" s="484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R482" s="23"/>
      <c r="U482" s="11"/>
    </row>
    <row r="483" spans="1:21" ht="14.25" customHeight="1" x14ac:dyDescent="0.3">
      <c r="A483" s="484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R483" s="23"/>
      <c r="U483" s="11"/>
    </row>
    <row r="484" spans="1:21" ht="14.25" customHeight="1" x14ac:dyDescent="0.3">
      <c r="A484" s="484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R484" s="23"/>
      <c r="U484" s="11"/>
    </row>
    <row r="485" spans="1:21" ht="14.25" customHeight="1" x14ac:dyDescent="0.3">
      <c r="A485" s="484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R485" s="23"/>
      <c r="U485" s="11"/>
    </row>
    <row r="486" spans="1:21" ht="14.25" customHeight="1" x14ac:dyDescent="0.3">
      <c r="A486" s="484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R486" s="23"/>
      <c r="U486" s="11"/>
    </row>
    <row r="487" spans="1:21" ht="14.25" customHeight="1" x14ac:dyDescent="0.3">
      <c r="A487" s="484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R487" s="23"/>
      <c r="U487" s="11"/>
    </row>
    <row r="488" spans="1:21" ht="14.25" customHeight="1" x14ac:dyDescent="0.3">
      <c r="A488" s="484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R488" s="23"/>
      <c r="U488" s="11"/>
    </row>
    <row r="489" spans="1:21" ht="14.25" customHeight="1" x14ac:dyDescent="0.3">
      <c r="A489" s="484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R489" s="23"/>
      <c r="U489" s="11"/>
    </row>
    <row r="490" spans="1:21" ht="14.25" customHeight="1" x14ac:dyDescent="0.3">
      <c r="A490" s="484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R490" s="23"/>
      <c r="U490" s="11"/>
    </row>
    <row r="491" spans="1:21" ht="14.25" customHeight="1" x14ac:dyDescent="0.3">
      <c r="A491" s="484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R491" s="23"/>
      <c r="U491" s="11"/>
    </row>
    <row r="492" spans="1:21" ht="14.25" customHeight="1" x14ac:dyDescent="0.3">
      <c r="A492" s="484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R492" s="23"/>
      <c r="U492" s="11"/>
    </row>
    <row r="493" spans="1:21" ht="14.25" customHeight="1" x14ac:dyDescent="0.3">
      <c r="A493" s="484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R493" s="23"/>
      <c r="U493" s="11"/>
    </row>
    <row r="494" spans="1:21" ht="14.25" customHeight="1" x14ac:dyDescent="0.3">
      <c r="A494" s="484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R494" s="23"/>
      <c r="U494" s="11"/>
    </row>
    <row r="495" spans="1:21" ht="14.25" customHeight="1" x14ac:dyDescent="0.3">
      <c r="A495" s="484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R495" s="23"/>
      <c r="U495" s="11"/>
    </row>
    <row r="496" spans="1:21" ht="14.25" customHeight="1" x14ac:dyDescent="0.3">
      <c r="A496" s="484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R496" s="23"/>
      <c r="U496" s="11"/>
    </row>
    <row r="497" spans="1:21" ht="14.25" customHeight="1" x14ac:dyDescent="0.3">
      <c r="A497" s="484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R497" s="23"/>
      <c r="U497" s="11"/>
    </row>
    <row r="498" spans="1:21" ht="14.25" customHeight="1" x14ac:dyDescent="0.3">
      <c r="A498" s="484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R498" s="23"/>
      <c r="U498" s="11"/>
    </row>
    <row r="499" spans="1:21" ht="14.25" customHeight="1" x14ac:dyDescent="0.3">
      <c r="A499" s="484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R499" s="23"/>
      <c r="U499" s="11"/>
    </row>
    <row r="500" spans="1:21" ht="14.25" customHeight="1" x14ac:dyDescent="0.3">
      <c r="A500" s="484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R500" s="23"/>
      <c r="U500" s="11"/>
    </row>
    <row r="501" spans="1:21" ht="14.25" customHeight="1" x14ac:dyDescent="0.3">
      <c r="A501" s="484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R501" s="23"/>
      <c r="U501" s="11"/>
    </row>
    <row r="502" spans="1:21" ht="14.25" customHeight="1" x14ac:dyDescent="0.3">
      <c r="A502" s="484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R502" s="23"/>
      <c r="U502" s="11"/>
    </row>
    <row r="503" spans="1:21" ht="14.25" customHeight="1" x14ac:dyDescent="0.3">
      <c r="A503" s="484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R503" s="23"/>
      <c r="U503" s="11"/>
    </row>
    <row r="504" spans="1:21" ht="14.25" customHeight="1" x14ac:dyDescent="0.3">
      <c r="A504" s="484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R504" s="23"/>
      <c r="U504" s="11"/>
    </row>
    <row r="505" spans="1:21" ht="14.25" customHeight="1" x14ac:dyDescent="0.3">
      <c r="A505" s="484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R505" s="23"/>
      <c r="U505" s="11"/>
    </row>
    <row r="506" spans="1:21" ht="14.25" customHeight="1" x14ac:dyDescent="0.3">
      <c r="A506" s="484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R506" s="23"/>
      <c r="U506" s="11"/>
    </row>
    <row r="507" spans="1:21" ht="14.25" customHeight="1" x14ac:dyDescent="0.3">
      <c r="A507" s="484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R507" s="23"/>
      <c r="U507" s="11"/>
    </row>
    <row r="508" spans="1:21" ht="14.25" customHeight="1" x14ac:dyDescent="0.3">
      <c r="A508" s="484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R508" s="23"/>
      <c r="U508" s="11"/>
    </row>
    <row r="509" spans="1:21" ht="14.25" customHeight="1" x14ac:dyDescent="0.3">
      <c r="A509" s="484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R509" s="23"/>
      <c r="U509" s="11"/>
    </row>
    <row r="510" spans="1:21" ht="14.25" customHeight="1" x14ac:dyDescent="0.3">
      <c r="A510" s="484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R510" s="23"/>
      <c r="U510" s="11"/>
    </row>
    <row r="511" spans="1:21" ht="14.25" customHeight="1" x14ac:dyDescent="0.3">
      <c r="A511" s="484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R511" s="23"/>
      <c r="U511" s="11"/>
    </row>
    <row r="512" spans="1:21" ht="14.25" customHeight="1" x14ac:dyDescent="0.3">
      <c r="A512" s="484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R512" s="23"/>
      <c r="U512" s="11"/>
    </row>
    <row r="513" spans="1:21" ht="14.25" customHeight="1" x14ac:dyDescent="0.3">
      <c r="A513" s="484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R513" s="23"/>
      <c r="U513" s="11"/>
    </row>
    <row r="514" spans="1:21" ht="14.25" customHeight="1" x14ac:dyDescent="0.3">
      <c r="A514" s="484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R514" s="23"/>
      <c r="U514" s="11"/>
    </row>
    <row r="515" spans="1:21" ht="14.25" customHeight="1" x14ac:dyDescent="0.3">
      <c r="A515" s="484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R515" s="23"/>
      <c r="U515" s="11"/>
    </row>
    <row r="516" spans="1:21" ht="14.25" customHeight="1" x14ac:dyDescent="0.3">
      <c r="A516" s="484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R516" s="23"/>
      <c r="U516" s="11"/>
    </row>
    <row r="517" spans="1:21" ht="14.25" customHeight="1" x14ac:dyDescent="0.3">
      <c r="A517" s="484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R517" s="23"/>
      <c r="U517" s="11"/>
    </row>
    <row r="518" spans="1:21" ht="14.25" customHeight="1" x14ac:dyDescent="0.3">
      <c r="A518" s="484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R518" s="23"/>
      <c r="U518" s="11"/>
    </row>
    <row r="519" spans="1:21" ht="14.25" customHeight="1" x14ac:dyDescent="0.3">
      <c r="A519" s="484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R519" s="23"/>
      <c r="U519" s="11"/>
    </row>
    <row r="520" spans="1:21" ht="14.25" customHeight="1" x14ac:dyDescent="0.3">
      <c r="A520" s="484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R520" s="23"/>
      <c r="U520" s="11"/>
    </row>
    <row r="521" spans="1:21" ht="14.25" customHeight="1" x14ac:dyDescent="0.3">
      <c r="A521" s="484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R521" s="23"/>
      <c r="U521" s="11"/>
    </row>
    <row r="522" spans="1:21" ht="14.25" customHeight="1" x14ac:dyDescent="0.3">
      <c r="A522" s="484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R522" s="23"/>
      <c r="U522" s="11"/>
    </row>
    <row r="523" spans="1:21" ht="14.25" customHeight="1" x14ac:dyDescent="0.3">
      <c r="A523" s="484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R523" s="23"/>
      <c r="U523" s="11"/>
    </row>
    <row r="524" spans="1:21" ht="14.25" customHeight="1" x14ac:dyDescent="0.3">
      <c r="A524" s="484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R524" s="23"/>
      <c r="U524" s="11"/>
    </row>
    <row r="525" spans="1:21" ht="14.25" customHeight="1" x14ac:dyDescent="0.3">
      <c r="A525" s="484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R525" s="23"/>
      <c r="U525" s="11"/>
    </row>
    <row r="526" spans="1:21" ht="14.25" customHeight="1" x14ac:dyDescent="0.3">
      <c r="A526" s="484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R526" s="23"/>
      <c r="U526" s="11"/>
    </row>
    <row r="527" spans="1:21" ht="14.25" customHeight="1" x14ac:dyDescent="0.3">
      <c r="A527" s="484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R527" s="23"/>
      <c r="U527" s="11"/>
    </row>
    <row r="528" spans="1:21" ht="14.25" customHeight="1" x14ac:dyDescent="0.3">
      <c r="A528" s="484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R528" s="23"/>
      <c r="U528" s="11"/>
    </row>
    <row r="529" spans="1:21" ht="14.25" customHeight="1" x14ac:dyDescent="0.3">
      <c r="A529" s="484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R529" s="23"/>
      <c r="U529" s="11"/>
    </row>
    <row r="530" spans="1:21" ht="14.25" customHeight="1" x14ac:dyDescent="0.3">
      <c r="A530" s="484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R530" s="23"/>
      <c r="U530" s="11"/>
    </row>
    <row r="531" spans="1:21" ht="14.25" customHeight="1" x14ac:dyDescent="0.3">
      <c r="A531" s="484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R531" s="23"/>
      <c r="U531" s="11"/>
    </row>
    <row r="532" spans="1:21" ht="14.25" customHeight="1" x14ac:dyDescent="0.3">
      <c r="A532" s="484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R532" s="23"/>
      <c r="U532" s="11"/>
    </row>
    <row r="533" spans="1:21" ht="14.25" customHeight="1" x14ac:dyDescent="0.3">
      <c r="A533" s="484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R533" s="23"/>
      <c r="U533" s="11"/>
    </row>
    <row r="534" spans="1:21" ht="14.25" customHeight="1" x14ac:dyDescent="0.3">
      <c r="A534" s="484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R534" s="23"/>
      <c r="U534" s="11"/>
    </row>
    <row r="535" spans="1:21" ht="14.25" customHeight="1" x14ac:dyDescent="0.3">
      <c r="A535" s="484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R535" s="23"/>
      <c r="U535" s="11"/>
    </row>
    <row r="536" spans="1:21" ht="14.25" customHeight="1" x14ac:dyDescent="0.3">
      <c r="A536" s="484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R536" s="23"/>
      <c r="U536" s="11"/>
    </row>
    <row r="537" spans="1:21" ht="14.25" customHeight="1" x14ac:dyDescent="0.3">
      <c r="A537" s="484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R537" s="23"/>
      <c r="U537" s="11"/>
    </row>
    <row r="538" spans="1:21" ht="14.25" customHeight="1" x14ac:dyDescent="0.3">
      <c r="A538" s="484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R538" s="23"/>
      <c r="U538" s="11"/>
    </row>
    <row r="539" spans="1:21" ht="14.25" customHeight="1" x14ac:dyDescent="0.3">
      <c r="A539" s="484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R539" s="23"/>
      <c r="U539" s="11"/>
    </row>
    <row r="540" spans="1:21" ht="14.25" customHeight="1" x14ac:dyDescent="0.3">
      <c r="A540" s="484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R540" s="23"/>
      <c r="U540" s="11"/>
    </row>
    <row r="541" spans="1:21" ht="14.25" customHeight="1" x14ac:dyDescent="0.3">
      <c r="A541" s="484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R541" s="23"/>
      <c r="U541" s="11"/>
    </row>
    <row r="542" spans="1:21" ht="14.25" customHeight="1" x14ac:dyDescent="0.3">
      <c r="A542" s="484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R542" s="23"/>
      <c r="U542" s="11"/>
    </row>
    <row r="543" spans="1:21" ht="14.25" customHeight="1" x14ac:dyDescent="0.3">
      <c r="A543" s="484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R543" s="23"/>
      <c r="U543" s="11"/>
    </row>
    <row r="544" spans="1:21" ht="14.25" customHeight="1" x14ac:dyDescent="0.3">
      <c r="A544" s="484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R544" s="23"/>
      <c r="U544" s="11"/>
    </row>
    <row r="545" spans="1:21" ht="14.25" customHeight="1" x14ac:dyDescent="0.3">
      <c r="A545" s="484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R545" s="23"/>
      <c r="U545" s="11"/>
    </row>
    <row r="546" spans="1:21" ht="14.25" customHeight="1" x14ac:dyDescent="0.3">
      <c r="A546" s="484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R546" s="23"/>
      <c r="U546" s="11"/>
    </row>
    <row r="547" spans="1:21" ht="14.25" customHeight="1" x14ac:dyDescent="0.3">
      <c r="A547" s="484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R547" s="23"/>
      <c r="U547" s="11"/>
    </row>
    <row r="548" spans="1:21" ht="14.25" customHeight="1" x14ac:dyDescent="0.3">
      <c r="A548" s="484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R548" s="23"/>
      <c r="U548" s="11"/>
    </row>
    <row r="549" spans="1:21" ht="14.25" customHeight="1" x14ac:dyDescent="0.3">
      <c r="A549" s="484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R549" s="23"/>
      <c r="U549" s="11"/>
    </row>
    <row r="550" spans="1:21" ht="14.25" customHeight="1" x14ac:dyDescent="0.3">
      <c r="A550" s="484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R550" s="23"/>
      <c r="U550" s="11"/>
    </row>
    <row r="551" spans="1:21" ht="14.25" customHeight="1" x14ac:dyDescent="0.3">
      <c r="A551" s="484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R551" s="23"/>
      <c r="U551" s="11"/>
    </row>
    <row r="552" spans="1:21" ht="14.25" customHeight="1" x14ac:dyDescent="0.3">
      <c r="A552" s="484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R552" s="23"/>
      <c r="U552" s="11"/>
    </row>
    <row r="553" spans="1:21" ht="14.25" customHeight="1" x14ac:dyDescent="0.3">
      <c r="A553" s="484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R553" s="23"/>
      <c r="U553" s="11"/>
    </row>
    <row r="554" spans="1:21" ht="14.25" customHeight="1" x14ac:dyDescent="0.3">
      <c r="A554" s="484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R554" s="23"/>
      <c r="U554" s="11"/>
    </row>
    <row r="555" spans="1:21" ht="14.25" customHeight="1" x14ac:dyDescent="0.3">
      <c r="A555" s="484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R555" s="23"/>
      <c r="U555" s="11"/>
    </row>
    <row r="556" spans="1:21" ht="14.25" customHeight="1" x14ac:dyDescent="0.3">
      <c r="A556" s="484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R556" s="23"/>
      <c r="U556" s="11"/>
    </row>
    <row r="557" spans="1:21" ht="14.25" customHeight="1" x14ac:dyDescent="0.3">
      <c r="A557" s="484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R557" s="23"/>
      <c r="U557" s="11"/>
    </row>
    <row r="558" spans="1:21" ht="14.25" customHeight="1" x14ac:dyDescent="0.3">
      <c r="A558" s="484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R558" s="23"/>
      <c r="U558" s="11"/>
    </row>
    <row r="559" spans="1:21" ht="14.25" customHeight="1" x14ac:dyDescent="0.3">
      <c r="A559" s="484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R559" s="23"/>
      <c r="U559" s="11"/>
    </row>
    <row r="560" spans="1:21" ht="14.25" customHeight="1" x14ac:dyDescent="0.3">
      <c r="A560" s="484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R560" s="23"/>
      <c r="U560" s="11"/>
    </row>
    <row r="561" spans="1:21" ht="14.25" customHeight="1" x14ac:dyDescent="0.3">
      <c r="A561" s="484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R561" s="23"/>
      <c r="U561" s="11"/>
    </row>
    <row r="562" spans="1:21" ht="14.25" customHeight="1" x14ac:dyDescent="0.3">
      <c r="A562" s="484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R562" s="23"/>
      <c r="U562" s="11"/>
    </row>
    <row r="563" spans="1:21" ht="14.25" customHeight="1" x14ac:dyDescent="0.3">
      <c r="A563" s="484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R563" s="23"/>
      <c r="U563" s="11"/>
    </row>
    <row r="564" spans="1:21" ht="14.25" customHeight="1" x14ac:dyDescent="0.3">
      <c r="A564" s="484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R564" s="23"/>
      <c r="U564" s="11"/>
    </row>
    <row r="565" spans="1:21" ht="14.25" customHeight="1" x14ac:dyDescent="0.3">
      <c r="A565" s="484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R565" s="23"/>
      <c r="U565" s="11"/>
    </row>
    <row r="566" spans="1:21" ht="14.25" customHeight="1" x14ac:dyDescent="0.3">
      <c r="A566" s="484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R566" s="23"/>
      <c r="U566" s="11"/>
    </row>
    <row r="567" spans="1:21" ht="14.25" customHeight="1" x14ac:dyDescent="0.3">
      <c r="A567" s="484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R567" s="23"/>
      <c r="U567" s="11"/>
    </row>
    <row r="568" spans="1:21" ht="14.25" customHeight="1" x14ac:dyDescent="0.3">
      <c r="A568" s="484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R568" s="23"/>
      <c r="U568" s="11"/>
    </row>
    <row r="569" spans="1:21" ht="14.25" customHeight="1" x14ac:dyDescent="0.3">
      <c r="A569" s="484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R569" s="23"/>
      <c r="U569" s="11"/>
    </row>
    <row r="570" spans="1:21" ht="14.25" customHeight="1" x14ac:dyDescent="0.3">
      <c r="A570" s="484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R570" s="23"/>
      <c r="U570" s="11"/>
    </row>
    <row r="571" spans="1:21" ht="14.25" customHeight="1" x14ac:dyDescent="0.3">
      <c r="A571" s="484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R571" s="23"/>
      <c r="U571" s="11"/>
    </row>
    <row r="572" spans="1:21" ht="14.25" customHeight="1" x14ac:dyDescent="0.3">
      <c r="A572" s="484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R572" s="23"/>
      <c r="U572" s="11"/>
    </row>
    <row r="573" spans="1:21" ht="14.25" customHeight="1" x14ac:dyDescent="0.3">
      <c r="A573" s="484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R573" s="23"/>
      <c r="U573" s="11"/>
    </row>
    <row r="574" spans="1:21" ht="14.25" customHeight="1" x14ac:dyDescent="0.3">
      <c r="A574" s="484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R574" s="23"/>
      <c r="U574" s="11"/>
    </row>
    <row r="575" spans="1:21" ht="14.25" customHeight="1" x14ac:dyDescent="0.3">
      <c r="A575" s="484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R575" s="23"/>
      <c r="U575" s="11"/>
    </row>
    <row r="576" spans="1:21" ht="14.25" customHeight="1" x14ac:dyDescent="0.3">
      <c r="A576" s="484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R576" s="23"/>
      <c r="U576" s="11"/>
    </row>
    <row r="577" spans="1:21" ht="14.25" customHeight="1" x14ac:dyDescent="0.3">
      <c r="A577" s="484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R577" s="23"/>
      <c r="U577" s="11"/>
    </row>
    <row r="578" spans="1:21" ht="14.25" customHeight="1" x14ac:dyDescent="0.3">
      <c r="A578" s="484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R578" s="23"/>
      <c r="U578" s="11"/>
    </row>
    <row r="579" spans="1:21" ht="14.25" customHeight="1" x14ac:dyDescent="0.3">
      <c r="A579" s="484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R579" s="23"/>
      <c r="U579" s="11"/>
    </row>
    <row r="580" spans="1:21" ht="14.25" customHeight="1" x14ac:dyDescent="0.3">
      <c r="A580" s="484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R580" s="23"/>
      <c r="U580" s="11"/>
    </row>
    <row r="581" spans="1:21" ht="14.25" customHeight="1" x14ac:dyDescent="0.3">
      <c r="A581" s="484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R581" s="23"/>
      <c r="U581" s="11"/>
    </row>
    <row r="582" spans="1:21" ht="14.25" customHeight="1" x14ac:dyDescent="0.3">
      <c r="A582" s="484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R582" s="23"/>
      <c r="U582" s="11"/>
    </row>
    <row r="583" spans="1:21" ht="14.25" customHeight="1" x14ac:dyDescent="0.3">
      <c r="A583" s="484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R583" s="23"/>
      <c r="U583" s="11"/>
    </row>
    <row r="584" spans="1:21" ht="14.25" customHeight="1" x14ac:dyDescent="0.3">
      <c r="A584" s="484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R584" s="23"/>
      <c r="U584" s="11"/>
    </row>
    <row r="585" spans="1:21" ht="14.25" customHeight="1" x14ac:dyDescent="0.3">
      <c r="A585" s="484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R585" s="23"/>
      <c r="U585" s="11"/>
    </row>
    <row r="586" spans="1:21" ht="14.25" customHeight="1" x14ac:dyDescent="0.3">
      <c r="A586" s="484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R586" s="23"/>
      <c r="U586" s="11"/>
    </row>
    <row r="587" spans="1:21" ht="14.25" customHeight="1" x14ac:dyDescent="0.3">
      <c r="A587" s="484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R587" s="23"/>
      <c r="U587" s="11"/>
    </row>
    <row r="588" spans="1:21" ht="14.25" customHeight="1" x14ac:dyDescent="0.3">
      <c r="A588" s="484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R588" s="23"/>
      <c r="U588" s="11"/>
    </row>
    <row r="589" spans="1:21" ht="14.25" customHeight="1" x14ac:dyDescent="0.3">
      <c r="A589" s="484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R589" s="23"/>
      <c r="U589" s="11"/>
    </row>
    <row r="590" spans="1:21" ht="14.25" customHeight="1" x14ac:dyDescent="0.3">
      <c r="A590" s="484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R590" s="23"/>
      <c r="U590" s="11"/>
    </row>
    <row r="591" spans="1:21" ht="14.25" customHeight="1" x14ac:dyDescent="0.3">
      <c r="A591" s="484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R591" s="23"/>
      <c r="U591" s="11"/>
    </row>
    <row r="592" spans="1:21" ht="14.25" customHeight="1" x14ac:dyDescent="0.3">
      <c r="A592" s="484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R592" s="23"/>
      <c r="U592" s="11"/>
    </row>
    <row r="593" spans="1:21" ht="14.25" customHeight="1" x14ac:dyDescent="0.3">
      <c r="A593" s="484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R593" s="23"/>
      <c r="U593" s="11"/>
    </row>
    <row r="594" spans="1:21" ht="14.25" customHeight="1" x14ac:dyDescent="0.3">
      <c r="A594" s="484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R594" s="23"/>
      <c r="U594" s="11"/>
    </row>
    <row r="595" spans="1:21" ht="14.25" customHeight="1" x14ac:dyDescent="0.3">
      <c r="A595" s="484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R595" s="23"/>
      <c r="U595" s="11"/>
    </row>
    <row r="596" spans="1:21" ht="14.25" customHeight="1" x14ac:dyDescent="0.3">
      <c r="A596" s="484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R596" s="23"/>
      <c r="U596" s="11"/>
    </row>
    <row r="597" spans="1:21" ht="14.25" customHeight="1" x14ac:dyDescent="0.3">
      <c r="A597" s="484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R597" s="23"/>
      <c r="U597" s="11"/>
    </row>
    <row r="598" spans="1:21" ht="14.25" customHeight="1" x14ac:dyDescent="0.3">
      <c r="A598" s="484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R598" s="23"/>
      <c r="U598" s="11"/>
    </row>
    <row r="599" spans="1:21" ht="14.25" customHeight="1" x14ac:dyDescent="0.3">
      <c r="A599" s="484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R599" s="23"/>
      <c r="U599" s="11"/>
    </row>
    <row r="600" spans="1:21" ht="14.25" customHeight="1" x14ac:dyDescent="0.3">
      <c r="A600" s="484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R600" s="23"/>
      <c r="U600" s="11"/>
    </row>
    <row r="601" spans="1:21" ht="14.25" customHeight="1" x14ac:dyDescent="0.3">
      <c r="A601" s="484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R601" s="23"/>
      <c r="U601" s="11"/>
    </row>
    <row r="602" spans="1:21" ht="14.25" customHeight="1" x14ac:dyDescent="0.3">
      <c r="A602" s="484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R602" s="23"/>
      <c r="U602" s="11"/>
    </row>
    <row r="603" spans="1:21" ht="14.25" customHeight="1" x14ac:dyDescent="0.3">
      <c r="A603" s="484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R603" s="23"/>
      <c r="U603" s="11"/>
    </row>
    <row r="604" spans="1:21" ht="14.25" customHeight="1" x14ac:dyDescent="0.3">
      <c r="A604" s="484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R604" s="23"/>
      <c r="U604" s="11"/>
    </row>
    <row r="605" spans="1:21" ht="14.25" customHeight="1" x14ac:dyDescent="0.3">
      <c r="A605" s="484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R605" s="23"/>
      <c r="U605" s="11"/>
    </row>
    <row r="606" spans="1:21" ht="14.25" customHeight="1" x14ac:dyDescent="0.3">
      <c r="A606" s="484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R606" s="23"/>
      <c r="U606" s="11"/>
    </row>
    <row r="607" spans="1:21" ht="14.25" customHeight="1" x14ac:dyDescent="0.3">
      <c r="A607" s="484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R607" s="23"/>
      <c r="U607" s="11"/>
    </row>
    <row r="608" spans="1:21" ht="14.25" customHeight="1" x14ac:dyDescent="0.3">
      <c r="A608" s="484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R608" s="23"/>
      <c r="U608" s="11"/>
    </row>
    <row r="609" spans="1:21" ht="14.25" customHeight="1" x14ac:dyDescent="0.3">
      <c r="A609" s="484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R609" s="23"/>
      <c r="U609" s="11"/>
    </row>
    <row r="610" spans="1:21" ht="14.25" customHeight="1" x14ac:dyDescent="0.3">
      <c r="A610" s="484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R610" s="23"/>
      <c r="U610" s="11"/>
    </row>
    <row r="611" spans="1:21" ht="14.25" customHeight="1" x14ac:dyDescent="0.3">
      <c r="A611" s="484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R611" s="23"/>
      <c r="U611" s="11"/>
    </row>
    <row r="612" spans="1:21" ht="14.25" customHeight="1" x14ac:dyDescent="0.3">
      <c r="A612" s="484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R612" s="23"/>
      <c r="U612" s="11"/>
    </row>
    <row r="613" spans="1:21" ht="14.25" customHeight="1" x14ac:dyDescent="0.3">
      <c r="A613" s="484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R613" s="23"/>
      <c r="U613" s="11"/>
    </row>
    <row r="614" spans="1:21" ht="14.25" customHeight="1" x14ac:dyDescent="0.3">
      <c r="A614" s="484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R614" s="23"/>
      <c r="U614" s="11"/>
    </row>
    <row r="615" spans="1:21" ht="14.25" customHeight="1" x14ac:dyDescent="0.3">
      <c r="A615" s="484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R615" s="23"/>
      <c r="U615" s="11"/>
    </row>
    <row r="616" spans="1:21" ht="14.25" customHeight="1" x14ac:dyDescent="0.3">
      <c r="A616" s="484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R616" s="23"/>
      <c r="U616" s="11"/>
    </row>
    <row r="617" spans="1:21" ht="14.25" customHeight="1" x14ac:dyDescent="0.3">
      <c r="A617" s="484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R617" s="23"/>
      <c r="U617" s="11"/>
    </row>
    <row r="618" spans="1:21" ht="14.25" customHeight="1" x14ac:dyDescent="0.3">
      <c r="A618" s="484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R618" s="23"/>
      <c r="U618" s="11"/>
    </row>
    <row r="619" spans="1:21" ht="14.25" customHeight="1" x14ac:dyDescent="0.3">
      <c r="A619" s="484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R619" s="23"/>
      <c r="U619" s="11"/>
    </row>
    <row r="620" spans="1:21" ht="14.25" customHeight="1" x14ac:dyDescent="0.3">
      <c r="A620" s="484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R620" s="23"/>
      <c r="U620" s="11"/>
    </row>
    <row r="621" spans="1:21" ht="14.25" customHeight="1" x14ac:dyDescent="0.3">
      <c r="A621" s="484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R621" s="23"/>
      <c r="U621" s="11"/>
    </row>
    <row r="622" spans="1:21" ht="14.25" customHeight="1" x14ac:dyDescent="0.3">
      <c r="A622" s="484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R622" s="23"/>
      <c r="U622" s="11"/>
    </row>
    <row r="623" spans="1:21" ht="14.25" customHeight="1" x14ac:dyDescent="0.3">
      <c r="A623" s="484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R623" s="23"/>
      <c r="U623" s="11"/>
    </row>
    <row r="624" spans="1:21" ht="14.25" customHeight="1" x14ac:dyDescent="0.3">
      <c r="A624" s="484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R624" s="23"/>
      <c r="U624" s="11"/>
    </row>
    <row r="625" spans="1:21" ht="14.25" customHeight="1" x14ac:dyDescent="0.3">
      <c r="A625" s="484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R625" s="23"/>
      <c r="U625" s="11"/>
    </row>
    <row r="626" spans="1:21" ht="14.25" customHeight="1" x14ac:dyDescent="0.3">
      <c r="A626" s="484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R626" s="23"/>
      <c r="U626" s="11"/>
    </row>
    <row r="627" spans="1:21" ht="14.25" customHeight="1" x14ac:dyDescent="0.3">
      <c r="A627" s="484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R627" s="23"/>
      <c r="U627" s="11"/>
    </row>
    <row r="628" spans="1:21" ht="14.25" customHeight="1" x14ac:dyDescent="0.3">
      <c r="A628" s="484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R628" s="23"/>
      <c r="U628" s="11"/>
    </row>
    <row r="629" spans="1:21" ht="14.25" customHeight="1" x14ac:dyDescent="0.3">
      <c r="A629" s="484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R629" s="23"/>
      <c r="U629" s="11"/>
    </row>
    <row r="630" spans="1:21" ht="14.25" customHeight="1" x14ac:dyDescent="0.3">
      <c r="A630" s="484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R630" s="23"/>
      <c r="U630" s="11"/>
    </row>
    <row r="631" spans="1:21" ht="14.25" customHeight="1" x14ac:dyDescent="0.3">
      <c r="A631" s="484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R631" s="23"/>
      <c r="U631" s="11"/>
    </row>
    <row r="632" spans="1:21" ht="14.25" customHeight="1" x14ac:dyDescent="0.3">
      <c r="A632" s="484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R632" s="23"/>
      <c r="U632" s="11"/>
    </row>
    <row r="633" spans="1:21" ht="14.25" customHeight="1" x14ac:dyDescent="0.3">
      <c r="A633" s="484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R633" s="23"/>
      <c r="U633" s="11"/>
    </row>
    <row r="634" spans="1:21" ht="14.25" customHeight="1" x14ac:dyDescent="0.3">
      <c r="A634" s="484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R634" s="23"/>
      <c r="U634" s="11"/>
    </row>
    <row r="635" spans="1:21" ht="14.25" customHeight="1" x14ac:dyDescent="0.3">
      <c r="A635" s="484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R635" s="23"/>
      <c r="U635" s="11"/>
    </row>
    <row r="636" spans="1:21" ht="14.25" customHeight="1" x14ac:dyDescent="0.3">
      <c r="A636" s="484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R636" s="23"/>
      <c r="U636" s="11"/>
    </row>
    <row r="637" spans="1:21" ht="14.25" customHeight="1" x14ac:dyDescent="0.3">
      <c r="A637" s="484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R637" s="23"/>
      <c r="U637" s="11"/>
    </row>
    <row r="638" spans="1:21" ht="14.25" customHeight="1" x14ac:dyDescent="0.3">
      <c r="A638" s="484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R638" s="23"/>
      <c r="U638" s="11"/>
    </row>
    <row r="639" spans="1:21" ht="14.25" customHeight="1" x14ac:dyDescent="0.3">
      <c r="A639" s="484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R639" s="23"/>
      <c r="U639" s="11"/>
    </row>
    <row r="640" spans="1:21" ht="14.25" customHeight="1" x14ac:dyDescent="0.3">
      <c r="A640" s="484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R640" s="23"/>
      <c r="U640" s="11"/>
    </row>
    <row r="641" spans="1:21" ht="14.25" customHeight="1" x14ac:dyDescent="0.3">
      <c r="A641" s="484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R641" s="23"/>
      <c r="U641" s="11"/>
    </row>
    <row r="642" spans="1:21" ht="14.25" customHeight="1" x14ac:dyDescent="0.3">
      <c r="A642" s="484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R642" s="23"/>
      <c r="U642" s="11"/>
    </row>
    <row r="643" spans="1:21" ht="14.25" customHeight="1" x14ac:dyDescent="0.3">
      <c r="A643" s="484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R643" s="23"/>
      <c r="U643" s="11"/>
    </row>
    <row r="644" spans="1:21" ht="14.25" customHeight="1" x14ac:dyDescent="0.3">
      <c r="A644" s="484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R644" s="23"/>
      <c r="U644" s="11"/>
    </row>
    <row r="645" spans="1:21" ht="14.25" customHeight="1" x14ac:dyDescent="0.3">
      <c r="A645" s="484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R645" s="23"/>
      <c r="U645" s="11"/>
    </row>
    <row r="646" spans="1:21" ht="14.25" customHeight="1" x14ac:dyDescent="0.3">
      <c r="A646" s="484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R646" s="23"/>
      <c r="U646" s="11"/>
    </row>
    <row r="647" spans="1:21" ht="14.25" customHeight="1" x14ac:dyDescent="0.3">
      <c r="A647" s="484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R647" s="23"/>
      <c r="U647" s="11"/>
    </row>
    <row r="648" spans="1:21" ht="14.25" customHeight="1" x14ac:dyDescent="0.3">
      <c r="A648" s="484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R648" s="23"/>
      <c r="U648" s="11"/>
    </row>
    <row r="649" spans="1:21" ht="14.25" customHeight="1" x14ac:dyDescent="0.3">
      <c r="A649" s="484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R649" s="23"/>
      <c r="U649" s="11"/>
    </row>
    <row r="650" spans="1:21" ht="14.25" customHeight="1" x14ac:dyDescent="0.3">
      <c r="A650" s="484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R650" s="23"/>
      <c r="U650" s="11"/>
    </row>
    <row r="651" spans="1:21" ht="14.25" customHeight="1" x14ac:dyDescent="0.3">
      <c r="A651" s="484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R651" s="23"/>
      <c r="U651" s="11"/>
    </row>
    <row r="652" spans="1:21" ht="14.25" customHeight="1" x14ac:dyDescent="0.3">
      <c r="A652" s="484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R652" s="23"/>
      <c r="U652" s="11"/>
    </row>
    <row r="653" spans="1:21" ht="14.25" customHeight="1" x14ac:dyDescent="0.3">
      <c r="A653" s="484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R653" s="23"/>
      <c r="U653" s="11"/>
    </row>
    <row r="654" spans="1:21" ht="14.25" customHeight="1" x14ac:dyDescent="0.3">
      <c r="A654" s="484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R654" s="23"/>
      <c r="U654" s="11"/>
    </row>
    <row r="655" spans="1:21" ht="14.25" customHeight="1" x14ac:dyDescent="0.3">
      <c r="A655" s="484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R655" s="23"/>
      <c r="U655" s="11"/>
    </row>
    <row r="656" spans="1:21" ht="14.25" customHeight="1" x14ac:dyDescent="0.3">
      <c r="A656" s="484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R656" s="23"/>
      <c r="U656" s="11"/>
    </row>
    <row r="657" spans="1:21" ht="14.25" customHeight="1" x14ac:dyDescent="0.3">
      <c r="A657" s="484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R657" s="23"/>
      <c r="U657" s="11"/>
    </row>
    <row r="658" spans="1:21" ht="14.25" customHeight="1" x14ac:dyDescent="0.3">
      <c r="A658" s="484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R658" s="23"/>
      <c r="U658" s="11"/>
    </row>
    <row r="659" spans="1:21" ht="14.25" customHeight="1" x14ac:dyDescent="0.3">
      <c r="A659" s="484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R659" s="23"/>
      <c r="U659" s="11"/>
    </row>
    <row r="660" spans="1:21" ht="14.25" customHeight="1" x14ac:dyDescent="0.3">
      <c r="A660" s="484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R660" s="23"/>
      <c r="U660" s="11"/>
    </row>
    <row r="661" spans="1:21" ht="14.25" customHeight="1" x14ac:dyDescent="0.3">
      <c r="A661" s="484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R661" s="23"/>
      <c r="U661" s="11"/>
    </row>
    <row r="662" spans="1:21" ht="14.25" customHeight="1" x14ac:dyDescent="0.3">
      <c r="A662" s="484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R662" s="23"/>
      <c r="U662" s="11"/>
    </row>
    <row r="663" spans="1:21" ht="14.25" customHeight="1" x14ac:dyDescent="0.3">
      <c r="A663" s="484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R663" s="23"/>
      <c r="U663" s="11"/>
    </row>
    <row r="664" spans="1:21" ht="14.25" customHeight="1" x14ac:dyDescent="0.3">
      <c r="A664" s="484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R664" s="23"/>
      <c r="U664" s="11"/>
    </row>
    <row r="665" spans="1:21" ht="14.25" customHeight="1" x14ac:dyDescent="0.3">
      <c r="A665" s="484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R665" s="23"/>
      <c r="U665" s="11"/>
    </row>
    <row r="666" spans="1:21" ht="14.25" customHeight="1" x14ac:dyDescent="0.3">
      <c r="A666" s="484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R666" s="23"/>
      <c r="U666" s="11"/>
    </row>
    <row r="667" spans="1:21" ht="14.25" customHeight="1" x14ac:dyDescent="0.3">
      <c r="A667" s="484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R667" s="23"/>
      <c r="U667" s="11"/>
    </row>
    <row r="668" spans="1:21" ht="14.25" customHeight="1" x14ac:dyDescent="0.3">
      <c r="A668" s="484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R668" s="23"/>
      <c r="U668" s="11"/>
    </row>
    <row r="669" spans="1:21" ht="14.25" customHeight="1" x14ac:dyDescent="0.3">
      <c r="A669" s="484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R669" s="23"/>
      <c r="U669" s="11"/>
    </row>
    <row r="670" spans="1:21" ht="14.25" customHeight="1" x14ac:dyDescent="0.3">
      <c r="A670" s="484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R670" s="23"/>
      <c r="U670" s="11"/>
    </row>
    <row r="671" spans="1:21" ht="14.25" customHeight="1" x14ac:dyDescent="0.3">
      <c r="A671" s="484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R671" s="23"/>
      <c r="U671" s="11"/>
    </row>
    <row r="672" spans="1:21" ht="14.25" customHeight="1" x14ac:dyDescent="0.3">
      <c r="A672" s="484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R672" s="23"/>
      <c r="U672" s="11"/>
    </row>
    <row r="673" spans="1:21" ht="14.25" customHeight="1" x14ac:dyDescent="0.3">
      <c r="A673" s="484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R673" s="23"/>
      <c r="U673" s="11"/>
    </row>
    <row r="674" spans="1:21" ht="14.25" customHeight="1" x14ac:dyDescent="0.3">
      <c r="A674" s="484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R674" s="23"/>
      <c r="U674" s="11"/>
    </row>
    <row r="675" spans="1:21" ht="14.25" customHeight="1" x14ac:dyDescent="0.3">
      <c r="A675" s="484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R675" s="23"/>
      <c r="U675" s="11"/>
    </row>
    <row r="676" spans="1:21" ht="14.25" customHeight="1" x14ac:dyDescent="0.3">
      <c r="A676" s="484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R676" s="23"/>
      <c r="U676" s="11"/>
    </row>
    <row r="677" spans="1:21" ht="14.25" customHeight="1" x14ac:dyDescent="0.3">
      <c r="A677" s="484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R677" s="23"/>
      <c r="U677" s="11"/>
    </row>
    <row r="678" spans="1:21" ht="14.25" customHeight="1" x14ac:dyDescent="0.3">
      <c r="A678" s="484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R678" s="23"/>
      <c r="U678" s="11"/>
    </row>
    <row r="679" spans="1:21" ht="14.25" customHeight="1" x14ac:dyDescent="0.3">
      <c r="A679" s="484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R679" s="23"/>
      <c r="U679" s="11"/>
    </row>
    <row r="680" spans="1:21" ht="14.25" customHeight="1" x14ac:dyDescent="0.3">
      <c r="A680" s="484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R680" s="23"/>
      <c r="U680" s="11"/>
    </row>
    <row r="681" spans="1:21" ht="14.25" customHeight="1" x14ac:dyDescent="0.3">
      <c r="A681" s="484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R681" s="23"/>
      <c r="U681" s="11"/>
    </row>
    <row r="682" spans="1:21" ht="14.25" customHeight="1" x14ac:dyDescent="0.3">
      <c r="A682" s="484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R682" s="23"/>
      <c r="U682" s="11"/>
    </row>
    <row r="683" spans="1:21" ht="14.25" customHeight="1" x14ac:dyDescent="0.3">
      <c r="A683" s="484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R683" s="23"/>
      <c r="U683" s="11"/>
    </row>
    <row r="684" spans="1:21" ht="14.25" customHeight="1" x14ac:dyDescent="0.3">
      <c r="A684" s="484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R684" s="23"/>
      <c r="U684" s="11"/>
    </row>
    <row r="685" spans="1:21" ht="14.25" customHeight="1" x14ac:dyDescent="0.3">
      <c r="A685" s="484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R685" s="23"/>
      <c r="U685" s="11"/>
    </row>
    <row r="686" spans="1:21" ht="14.25" customHeight="1" x14ac:dyDescent="0.3">
      <c r="A686" s="484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R686" s="23"/>
      <c r="U686" s="11"/>
    </row>
    <row r="687" spans="1:21" ht="14.25" customHeight="1" x14ac:dyDescent="0.3">
      <c r="A687" s="484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R687" s="23"/>
      <c r="U687" s="11"/>
    </row>
    <row r="688" spans="1:21" ht="14.25" customHeight="1" x14ac:dyDescent="0.3">
      <c r="A688" s="484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R688" s="23"/>
      <c r="U688" s="11"/>
    </row>
    <row r="689" spans="1:21" ht="14.25" customHeight="1" x14ac:dyDescent="0.3">
      <c r="A689" s="484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R689" s="23"/>
      <c r="U689" s="11"/>
    </row>
    <row r="690" spans="1:21" ht="14.25" customHeight="1" x14ac:dyDescent="0.3">
      <c r="A690" s="484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R690" s="23"/>
      <c r="U690" s="11"/>
    </row>
    <row r="691" spans="1:21" ht="14.25" customHeight="1" x14ac:dyDescent="0.3">
      <c r="A691" s="484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R691" s="23"/>
      <c r="U691" s="11"/>
    </row>
    <row r="692" spans="1:21" ht="14.25" customHeight="1" x14ac:dyDescent="0.3">
      <c r="A692" s="484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R692" s="23"/>
      <c r="U692" s="11"/>
    </row>
    <row r="693" spans="1:21" ht="14.25" customHeight="1" x14ac:dyDescent="0.3">
      <c r="A693" s="484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R693" s="23"/>
      <c r="U693" s="11"/>
    </row>
    <row r="694" spans="1:21" ht="14.25" customHeight="1" x14ac:dyDescent="0.3">
      <c r="A694" s="484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R694" s="23"/>
      <c r="U694" s="11"/>
    </row>
    <row r="695" spans="1:21" ht="14.25" customHeight="1" x14ac:dyDescent="0.3">
      <c r="A695" s="484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R695" s="23"/>
      <c r="U695" s="11"/>
    </row>
    <row r="696" spans="1:21" ht="14.25" customHeight="1" x14ac:dyDescent="0.3">
      <c r="A696" s="484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R696" s="23"/>
      <c r="U696" s="11"/>
    </row>
    <row r="697" spans="1:21" ht="14.25" customHeight="1" x14ac:dyDescent="0.3">
      <c r="A697" s="484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R697" s="23"/>
      <c r="U697" s="11"/>
    </row>
    <row r="698" spans="1:21" ht="14.25" customHeight="1" x14ac:dyDescent="0.3">
      <c r="A698" s="484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R698" s="23"/>
      <c r="U698" s="11"/>
    </row>
    <row r="699" spans="1:21" ht="14.25" customHeight="1" x14ac:dyDescent="0.3">
      <c r="A699" s="484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R699" s="23"/>
      <c r="U699" s="11"/>
    </row>
    <row r="700" spans="1:21" ht="14.25" customHeight="1" x14ac:dyDescent="0.3">
      <c r="A700" s="484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R700" s="23"/>
      <c r="U700" s="11"/>
    </row>
    <row r="701" spans="1:21" ht="14.25" customHeight="1" x14ac:dyDescent="0.3">
      <c r="A701" s="484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R701" s="23"/>
      <c r="U701" s="11"/>
    </row>
    <row r="702" spans="1:21" ht="14.25" customHeight="1" x14ac:dyDescent="0.3">
      <c r="A702" s="484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R702" s="23"/>
      <c r="U702" s="11"/>
    </row>
    <row r="703" spans="1:21" ht="14.25" customHeight="1" x14ac:dyDescent="0.3">
      <c r="A703" s="484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R703" s="23"/>
      <c r="U703" s="11"/>
    </row>
    <row r="704" spans="1:21" ht="14.25" customHeight="1" x14ac:dyDescent="0.3">
      <c r="A704" s="484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R704" s="23"/>
      <c r="U704" s="11"/>
    </row>
    <row r="705" spans="1:21" ht="14.25" customHeight="1" x14ac:dyDescent="0.3">
      <c r="A705" s="484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R705" s="23"/>
      <c r="U705" s="11"/>
    </row>
    <row r="706" spans="1:21" ht="14.25" customHeight="1" x14ac:dyDescent="0.3">
      <c r="A706" s="484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R706" s="23"/>
      <c r="U706" s="11"/>
    </row>
    <row r="707" spans="1:21" ht="14.25" customHeight="1" x14ac:dyDescent="0.3">
      <c r="A707" s="484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R707" s="23"/>
      <c r="U707" s="11"/>
    </row>
    <row r="708" spans="1:21" ht="14.25" customHeight="1" x14ac:dyDescent="0.3">
      <c r="A708" s="484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R708" s="23"/>
      <c r="U708" s="11"/>
    </row>
    <row r="709" spans="1:21" ht="14.25" customHeight="1" x14ac:dyDescent="0.3">
      <c r="A709" s="484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R709" s="23"/>
      <c r="U709" s="11"/>
    </row>
    <row r="710" spans="1:21" ht="14.25" customHeight="1" x14ac:dyDescent="0.3">
      <c r="A710" s="484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R710" s="23"/>
      <c r="U710" s="11"/>
    </row>
    <row r="711" spans="1:21" ht="14.25" customHeight="1" x14ac:dyDescent="0.3">
      <c r="A711" s="484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R711" s="23"/>
      <c r="U711" s="11"/>
    </row>
    <row r="712" spans="1:21" ht="14.25" customHeight="1" x14ac:dyDescent="0.3">
      <c r="A712" s="484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R712" s="23"/>
      <c r="U712" s="11"/>
    </row>
    <row r="713" spans="1:21" ht="14.25" customHeight="1" x14ac:dyDescent="0.3">
      <c r="A713" s="484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R713" s="23"/>
      <c r="U713" s="11"/>
    </row>
    <row r="714" spans="1:21" ht="14.25" customHeight="1" x14ac:dyDescent="0.3">
      <c r="A714" s="484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R714" s="23"/>
      <c r="U714" s="11"/>
    </row>
    <row r="715" spans="1:21" ht="14.25" customHeight="1" x14ac:dyDescent="0.3">
      <c r="A715" s="484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R715" s="23"/>
      <c r="U715" s="11"/>
    </row>
    <row r="716" spans="1:21" ht="14.25" customHeight="1" x14ac:dyDescent="0.3">
      <c r="A716" s="484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R716" s="23"/>
      <c r="U716" s="11"/>
    </row>
    <row r="717" spans="1:21" ht="14.25" customHeight="1" x14ac:dyDescent="0.3">
      <c r="A717" s="484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R717" s="23"/>
      <c r="U717" s="11"/>
    </row>
    <row r="718" spans="1:21" ht="14.25" customHeight="1" x14ac:dyDescent="0.3">
      <c r="A718" s="484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R718" s="23"/>
      <c r="U718" s="11"/>
    </row>
    <row r="719" spans="1:21" ht="14.25" customHeight="1" x14ac:dyDescent="0.3">
      <c r="A719" s="484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R719" s="23"/>
      <c r="U719" s="11"/>
    </row>
    <row r="720" spans="1:21" ht="14.25" customHeight="1" x14ac:dyDescent="0.3">
      <c r="A720" s="484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R720" s="23"/>
      <c r="U720" s="11"/>
    </row>
    <row r="721" spans="1:21" ht="14.25" customHeight="1" x14ac:dyDescent="0.3">
      <c r="A721" s="484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R721" s="23"/>
      <c r="U721" s="11"/>
    </row>
    <row r="722" spans="1:21" ht="14.25" customHeight="1" x14ac:dyDescent="0.3">
      <c r="A722" s="484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R722" s="23"/>
      <c r="U722" s="11"/>
    </row>
    <row r="723" spans="1:21" ht="14.25" customHeight="1" x14ac:dyDescent="0.3">
      <c r="A723" s="484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R723" s="23"/>
      <c r="U723" s="11"/>
    </row>
    <row r="724" spans="1:21" ht="14.25" customHeight="1" x14ac:dyDescent="0.3">
      <c r="A724" s="484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R724" s="23"/>
      <c r="U724" s="11"/>
    </row>
    <row r="725" spans="1:21" ht="14.25" customHeight="1" x14ac:dyDescent="0.3">
      <c r="A725" s="484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R725" s="23"/>
      <c r="U725" s="11"/>
    </row>
    <row r="726" spans="1:21" ht="14.25" customHeight="1" x14ac:dyDescent="0.3">
      <c r="A726" s="484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R726" s="23"/>
      <c r="U726" s="11"/>
    </row>
    <row r="727" spans="1:21" ht="14.25" customHeight="1" x14ac:dyDescent="0.3">
      <c r="A727" s="484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R727" s="23"/>
      <c r="U727" s="11"/>
    </row>
    <row r="728" spans="1:21" ht="14.25" customHeight="1" x14ac:dyDescent="0.3">
      <c r="A728" s="484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R728" s="23"/>
      <c r="U728" s="11"/>
    </row>
    <row r="729" spans="1:21" ht="14.25" customHeight="1" x14ac:dyDescent="0.3">
      <c r="A729" s="484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R729" s="23"/>
      <c r="U729" s="11"/>
    </row>
    <row r="730" spans="1:21" ht="14.25" customHeight="1" x14ac:dyDescent="0.3">
      <c r="A730" s="484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R730" s="23"/>
      <c r="U730" s="11"/>
    </row>
    <row r="731" spans="1:21" ht="14.25" customHeight="1" x14ac:dyDescent="0.3">
      <c r="A731" s="484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R731" s="23"/>
      <c r="U731" s="11"/>
    </row>
    <row r="732" spans="1:21" ht="14.25" customHeight="1" x14ac:dyDescent="0.3">
      <c r="A732" s="484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R732" s="23"/>
      <c r="U732" s="11"/>
    </row>
    <row r="733" spans="1:21" ht="14.25" customHeight="1" x14ac:dyDescent="0.3">
      <c r="A733" s="484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R733" s="23"/>
      <c r="U733" s="11"/>
    </row>
    <row r="734" spans="1:21" ht="14.25" customHeight="1" x14ac:dyDescent="0.3">
      <c r="A734" s="484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R734" s="23"/>
      <c r="U734" s="11"/>
    </row>
    <row r="735" spans="1:21" ht="14.25" customHeight="1" x14ac:dyDescent="0.3">
      <c r="A735" s="484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R735" s="23"/>
      <c r="U735" s="11"/>
    </row>
    <row r="736" spans="1:21" ht="14.25" customHeight="1" x14ac:dyDescent="0.3">
      <c r="A736" s="484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R736" s="23"/>
      <c r="U736" s="11"/>
    </row>
    <row r="737" spans="1:21" ht="14.25" customHeight="1" x14ac:dyDescent="0.3">
      <c r="A737" s="484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R737" s="23"/>
      <c r="U737" s="11"/>
    </row>
    <row r="738" spans="1:21" ht="14.25" customHeight="1" x14ac:dyDescent="0.3">
      <c r="A738" s="484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R738" s="23"/>
      <c r="U738" s="11"/>
    </row>
    <row r="739" spans="1:21" ht="14.25" customHeight="1" x14ac:dyDescent="0.3">
      <c r="A739" s="484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R739" s="23"/>
      <c r="U739" s="11"/>
    </row>
    <row r="740" spans="1:21" ht="14.25" customHeight="1" x14ac:dyDescent="0.3">
      <c r="A740" s="484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R740" s="23"/>
      <c r="U740" s="11"/>
    </row>
    <row r="741" spans="1:21" ht="14.25" customHeight="1" x14ac:dyDescent="0.3">
      <c r="A741" s="484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R741" s="23"/>
      <c r="U741" s="11"/>
    </row>
    <row r="742" spans="1:21" ht="14.25" customHeight="1" x14ac:dyDescent="0.3">
      <c r="A742" s="484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R742" s="23"/>
      <c r="U742" s="11"/>
    </row>
    <row r="743" spans="1:21" ht="14.25" customHeight="1" x14ac:dyDescent="0.3">
      <c r="A743" s="484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R743" s="23"/>
      <c r="U743" s="11"/>
    </row>
    <row r="744" spans="1:21" ht="14.25" customHeight="1" x14ac:dyDescent="0.3">
      <c r="A744" s="484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R744" s="23"/>
      <c r="U744" s="11"/>
    </row>
    <row r="745" spans="1:21" ht="14.25" customHeight="1" x14ac:dyDescent="0.3">
      <c r="A745" s="484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R745" s="23"/>
      <c r="U745" s="11"/>
    </row>
    <row r="746" spans="1:21" ht="14.25" customHeight="1" x14ac:dyDescent="0.3">
      <c r="A746" s="484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R746" s="23"/>
      <c r="U746" s="11"/>
    </row>
    <row r="747" spans="1:21" ht="14.25" customHeight="1" x14ac:dyDescent="0.3">
      <c r="A747" s="484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R747" s="23"/>
      <c r="U747" s="11"/>
    </row>
    <row r="748" spans="1:21" ht="14.25" customHeight="1" x14ac:dyDescent="0.3">
      <c r="A748" s="484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R748" s="23"/>
      <c r="U748" s="11"/>
    </row>
    <row r="749" spans="1:21" ht="14.25" customHeight="1" x14ac:dyDescent="0.3">
      <c r="A749" s="484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R749" s="23"/>
      <c r="U749" s="11"/>
    </row>
    <row r="750" spans="1:21" ht="14.25" customHeight="1" x14ac:dyDescent="0.3">
      <c r="A750" s="484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R750" s="23"/>
      <c r="U750" s="11"/>
    </row>
    <row r="751" spans="1:21" ht="14.25" customHeight="1" x14ac:dyDescent="0.3">
      <c r="A751" s="484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R751" s="23"/>
      <c r="U751" s="11"/>
    </row>
    <row r="752" spans="1:21" ht="14.25" customHeight="1" x14ac:dyDescent="0.3">
      <c r="A752" s="484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R752" s="23"/>
      <c r="U752" s="11"/>
    </row>
    <row r="753" spans="1:21" ht="14.25" customHeight="1" x14ac:dyDescent="0.3">
      <c r="A753" s="484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R753" s="23"/>
      <c r="U753" s="11"/>
    </row>
    <row r="754" spans="1:21" ht="14.25" customHeight="1" x14ac:dyDescent="0.3">
      <c r="A754" s="484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R754" s="23"/>
      <c r="U754" s="11"/>
    </row>
    <row r="755" spans="1:21" ht="14.25" customHeight="1" x14ac:dyDescent="0.3">
      <c r="A755" s="484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R755" s="23"/>
      <c r="U755" s="11"/>
    </row>
    <row r="756" spans="1:21" ht="14.25" customHeight="1" x14ac:dyDescent="0.3">
      <c r="A756" s="484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R756" s="23"/>
      <c r="U756" s="11"/>
    </row>
    <row r="757" spans="1:21" ht="14.25" customHeight="1" x14ac:dyDescent="0.3">
      <c r="A757" s="484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R757" s="23"/>
      <c r="U757" s="11"/>
    </row>
    <row r="758" spans="1:21" ht="14.25" customHeight="1" x14ac:dyDescent="0.3">
      <c r="A758" s="484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R758" s="23"/>
      <c r="U758" s="11"/>
    </row>
    <row r="759" spans="1:21" ht="14.25" customHeight="1" x14ac:dyDescent="0.3">
      <c r="A759" s="484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R759" s="23"/>
      <c r="U759" s="11"/>
    </row>
    <row r="760" spans="1:21" ht="14.25" customHeight="1" x14ac:dyDescent="0.3">
      <c r="A760" s="484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R760" s="23"/>
      <c r="U760" s="11"/>
    </row>
    <row r="761" spans="1:21" ht="14.25" customHeight="1" x14ac:dyDescent="0.3">
      <c r="A761" s="484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R761" s="23"/>
      <c r="U761" s="11"/>
    </row>
    <row r="762" spans="1:21" ht="14.25" customHeight="1" x14ac:dyDescent="0.3">
      <c r="A762" s="484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R762" s="23"/>
      <c r="U762" s="11"/>
    </row>
    <row r="763" spans="1:21" ht="14.25" customHeight="1" x14ac:dyDescent="0.3">
      <c r="A763" s="484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R763" s="23"/>
      <c r="U763" s="11"/>
    </row>
    <row r="764" spans="1:21" ht="14.25" customHeight="1" x14ac:dyDescent="0.3">
      <c r="A764" s="484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R764" s="23"/>
      <c r="U764" s="11"/>
    </row>
    <row r="765" spans="1:21" ht="14.25" customHeight="1" x14ac:dyDescent="0.3">
      <c r="A765" s="484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R765" s="23"/>
      <c r="U765" s="11"/>
    </row>
    <row r="766" spans="1:21" ht="14.25" customHeight="1" x14ac:dyDescent="0.3">
      <c r="A766" s="484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R766" s="23"/>
      <c r="U766" s="11"/>
    </row>
    <row r="767" spans="1:21" ht="14.25" customHeight="1" x14ac:dyDescent="0.3">
      <c r="A767" s="484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R767" s="23"/>
      <c r="U767" s="11"/>
    </row>
    <row r="768" spans="1:21" ht="14.25" customHeight="1" x14ac:dyDescent="0.3">
      <c r="A768" s="484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R768" s="23"/>
      <c r="U768" s="11"/>
    </row>
    <row r="769" spans="1:21" ht="14.25" customHeight="1" x14ac:dyDescent="0.3">
      <c r="A769" s="484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R769" s="23"/>
      <c r="U769" s="11"/>
    </row>
    <row r="770" spans="1:21" ht="14.25" customHeight="1" x14ac:dyDescent="0.3">
      <c r="A770" s="484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R770" s="23"/>
      <c r="U770" s="11"/>
    </row>
    <row r="771" spans="1:21" ht="14.25" customHeight="1" x14ac:dyDescent="0.3">
      <c r="A771" s="484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R771" s="23"/>
      <c r="U771" s="11"/>
    </row>
    <row r="772" spans="1:21" ht="14.25" customHeight="1" x14ac:dyDescent="0.3">
      <c r="A772" s="484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R772" s="23"/>
      <c r="U772" s="11"/>
    </row>
    <row r="773" spans="1:21" ht="14.25" customHeight="1" x14ac:dyDescent="0.3">
      <c r="A773" s="484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R773" s="23"/>
      <c r="U773" s="11"/>
    </row>
    <row r="774" spans="1:21" ht="14.25" customHeight="1" x14ac:dyDescent="0.3">
      <c r="A774" s="484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R774" s="23"/>
      <c r="U774" s="11"/>
    </row>
    <row r="775" spans="1:21" ht="14.25" customHeight="1" x14ac:dyDescent="0.3">
      <c r="A775" s="484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R775" s="23"/>
      <c r="U775" s="11"/>
    </row>
    <row r="776" spans="1:21" ht="14.25" customHeight="1" x14ac:dyDescent="0.3">
      <c r="A776" s="484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R776" s="23"/>
      <c r="U776" s="11"/>
    </row>
    <row r="777" spans="1:21" ht="14.25" customHeight="1" x14ac:dyDescent="0.3">
      <c r="A777" s="484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R777" s="23"/>
      <c r="U777" s="11"/>
    </row>
    <row r="778" spans="1:21" ht="14.25" customHeight="1" x14ac:dyDescent="0.3">
      <c r="A778" s="484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R778" s="23"/>
      <c r="U778" s="11"/>
    </row>
    <row r="779" spans="1:21" ht="14.25" customHeight="1" x14ac:dyDescent="0.3">
      <c r="A779" s="484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R779" s="23"/>
      <c r="U779" s="11"/>
    </row>
    <row r="780" spans="1:21" ht="14.25" customHeight="1" x14ac:dyDescent="0.3">
      <c r="A780" s="484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R780" s="23"/>
      <c r="U780" s="11"/>
    </row>
    <row r="781" spans="1:21" ht="14.25" customHeight="1" x14ac:dyDescent="0.3">
      <c r="A781" s="484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R781" s="23"/>
      <c r="U781" s="11"/>
    </row>
    <row r="782" spans="1:21" ht="14.25" customHeight="1" x14ac:dyDescent="0.3">
      <c r="A782" s="484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R782" s="23"/>
      <c r="U782" s="11"/>
    </row>
    <row r="783" spans="1:21" ht="14.25" customHeight="1" x14ac:dyDescent="0.3">
      <c r="A783" s="484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R783" s="23"/>
      <c r="U783" s="11"/>
    </row>
    <row r="784" spans="1:21" ht="14.25" customHeight="1" x14ac:dyDescent="0.3">
      <c r="A784" s="484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R784" s="23"/>
      <c r="U784" s="11"/>
    </row>
    <row r="785" spans="1:21" ht="14.25" customHeight="1" x14ac:dyDescent="0.3">
      <c r="A785" s="484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R785" s="23"/>
      <c r="U785" s="11"/>
    </row>
    <row r="786" spans="1:21" ht="14.25" customHeight="1" x14ac:dyDescent="0.3">
      <c r="A786" s="484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R786" s="23"/>
      <c r="U786" s="11"/>
    </row>
    <row r="787" spans="1:21" ht="14.25" customHeight="1" x14ac:dyDescent="0.3">
      <c r="A787" s="484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R787" s="23"/>
      <c r="U787" s="11"/>
    </row>
    <row r="788" spans="1:21" ht="14.25" customHeight="1" x14ac:dyDescent="0.3">
      <c r="A788" s="484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R788" s="23"/>
      <c r="U788" s="11"/>
    </row>
    <row r="789" spans="1:21" ht="14.25" customHeight="1" x14ac:dyDescent="0.3">
      <c r="A789" s="484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R789" s="23"/>
      <c r="U789" s="11"/>
    </row>
    <row r="790" spans="1:21" ht="14.25" customHeight="1" x14ac:dyDescent="0.3">
      <c r="A790" s="484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R790" s="23"/>
      <c r="U790" s="11"/>
    </row>
    <row r="791" spans="1:21" ht="14.25" customHeight="1" x14ac:dyDescent="0.3">
      <c r="A791" s="484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R791" s="23"/>
      <c r="U791" s="11"/>
    </row>
    <row r="792" spans="1:21" ht="14.25" customHeight="1" x14ac:dyDescent="0.3">
      <c r="A792" s="484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R792" s="23"/>
      <c r="U792" s="11"/>
    </row>
    <row r="793" spans="1:21" ht="14.25" customHeight="1" x14ac:dyDescent="0.3">
      <c r="A793" s="484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R793" s="23"/>
      <c r="U793" s="11"/>
    </row>
    <row r="794" spans="1:21" ht="14.25" customHeight="1" x14ac:dyDescent="0.3">
      <c r="A794" s="484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R794" s="23"/>
      <c r="U794" s="11"/>
    </row>
    <row r="795" spans="1:21" ht="14.25" customHeight="1" x14ac:dyDescent="0.3">
      <c r="A795" s="484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R795" s="23"/>
      <c r="U795" s="11"/>
    </row>
    <row r="796" spans="1:21" ht="14.25" customHeight="1" x14ac:dyDescent="0.3">
      <c r="A796" s="484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R796" s="23"/>
      <c r="U796" s="11"/>
    </row>
    <row r="797" spans="1:21" ht="14.25" customHeight="1" x14ac:dyDescent="0.3">
      <c r="A797" s="484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R797" s="23"/>
      <c r="U797" s="11"/>
    </row>
    <row r="798" spans="1:21" ht="14.25" customHeight="1" x14ac:dyDescent="0.3">
      <c r="A798" s="484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R798" s="23"/>
      <c r="U798" s="11"/>
    </row>
    <row r="799" spans="1:21" ht="14.25" customHeight="1" x14ac:dyDescent="0.3">
      <c r="A799" s="484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R799" s="23"/>
      <c r="U799" s="11"/>
    </row>
    <row r="800" spans="1:21" ht="14.25" customHeight="1" x14ac:dyDescent="0.3">
      <c r="A800" s="484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R800" s="23"/>
      <c r="U800" s="11"/>
    </row>
    <row r="801" spans="1:21" ht="14.25" customHeight="1" x14ac:dyDescent="0.3">
      <c r="A801" s="484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R801" s="23"/>
      <c r="U801" s="11"/>
    </row>
    <row r="802" spans="1:21" ht="14.25" customHeight="1" x14ac:dyDescent="0.3">
      <c r="A802" s="484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R802" s="23"/>
      <c r="U802" s="11"/>
    </row>
    <row r="803" spans="1:21" ht="14.25" customHeight="1" x14ac:dyDescent="0.3">
      <c r="A803" s="484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R803" s="23"/>
      <c r="U803" s="11"/>
    </row>
    <row r="804" spans="1:21" ht="14.25" customHeight="1" x14ac:dyDescent="0.3">
      <c r="A804" s="484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R804" s="23"/>
      <c r="U804" s="11"/>
    </row>
    <row r="805" spans="1:21" ht="14.25" customHeight="1" x14ac:dyDescent="0.3">
      <c r="A805" s="484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R805" s="23"/>
      <c r="U805" s="11"/>
    </row>
    <row r="806" spans="1:21" ht="14.25" customHeight="1" x14ac:dyDescent="0.3">
      <c r="A806" s="484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R806" s="23"/>
      <c r="U806" s="11"/>
    </row>
    <row r="807" spans="1:21" ht="14.25" customHeight="1" x14ac:dyDescent="0.3">
      <c r="A807" s="484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R807" s="23"/>
      <c r="U807" s="11"/>
    </row>
    <row r="808" spans="1:21" ht="14.25" customHeight="1" x14ac:dyDescent="0.3">
      <c r="A808" s="484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R808" s="23"/>
      <c r="U808" s="11"/>
    </row>
    <row r="809" spans="1:21" ht="14.25" customHeight="1" x14ac:dyDescent="0.3">
      <c r="A809" s="484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R809" s="23"/>
      <c r="U809" s="11"/>
    </row>
    <row r="810" spans="1:21" ht="14.25" customHeight="1" x14ac:dyDescent="0.3">
      <c r="A810" s="484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R810" s="23"/>
      <c r="U810" s="11"/>
    </row>
    <row r="811" spans="1:21" ht="14.25" customHeight="1" x14ac:dyDescent="0.3">
      <c r="A811" s="484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R811" s="23"/>
      <c r="U811" s="11"/>
    </row>
    <row r="812" spans="1:21" ht="14.25" customHeight="1" x14ac:dyDescent="0.3">
      <c r="A812" s="484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R812" s="23"/>
      <c r="U812" s="11"/>
    </row>
    <row r="813" spans="1:21" ht="14.25" customHeight="1" x14ac:dyDescent="0.3">
      <c r="A813" s="484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R813" s="23"/>
      <c r="U813" s="11"/>
    </row>
    <row r="814" spans="1:21" ht="14.25" customHeight="1" x14ac:dyDescent="0.3">
      <c r="A814" s="484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R814" s="23"/>
      <c r="U814" s="11"/>
    </row>
    <row r="815" spans="1:21" ht="14.25" customHeight="1" x14ac:dyDescent="0.3">
      <c r="A815" s="484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R815" s="23"/>
      <c r="U815" s="11"/>
    </row>
    <row r="816" spans="1:21" ht="14.25" customHeight="1" x14ac:dyDescent="0.3">
      <c r="A816" s="484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R816" s="23"/>
      <c r="U816" s="11"/>
    </row>
    <row r="817" spans="1:21" ht="14.25" customHeight="1" x14ac:dyDescent="0.3">
      <c r="A817" s="484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R817" s="23"/>
      <c r="U817" s="11"/>
    </row>
    <row r="818" spans="1:21" ht="14.25" customHeight="1" x14ac:dyDescent="0.3">
      <c r="A818" s="484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R818" s="23"/>
      <c r="U818" s="11"/>
    </row>
    <row r="819" spans="1:21" ht="14.25" customHeight="1" x14ac:dyDescent="0.3">
      <c r="A819" s="484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R819" s="23"/>
      <c r="U819" s="11"/>
    </row>
    <row r="820" spans="1:21" ht="14.25" customHeight="1" x14ac:dyDescent="0.3">
      <c r="A820" s="484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R820" s="23"/>
      <c r="U820" s="11"/>
    </row>
    <row r="821" spans="1:21" ht="14.25" customHeight="1" x14ac:dyDescent="0.3">
      <c r="A821" s="484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R821" s="23"/>
      <c r="U821" s="11"/>
    </row>
    <row r="822" spans="1:21" ht="14.25" customHeight="1" x14ac:dyDescent="0.3">
      <c r="A822" s="484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R822" s="23"/>
      <c r="U822" s="11"/>
    </row>
    <row r="823" spans="1:21" ht="14.25" customHeight="1" x14ac:dyDescent="0.3">
      <c r="A823" s="484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R823" s="23"/>
      <c r="U823" s="11"/>
    </row>
    <row r="824" spans="1:21" ht="14.25" customHeight="1" x14ac:dyDescent="0.3">
      <c r="A824" s="484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R824" s="23"/>
      <c r="U824" s="11"/>
    </row>
    <row r="825" spans="1:21" ht="14.25" customHeight="1" x14ac:dyDescent="0.3">
      <c r="A825" s="484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R825" s="23"/>
      <c r="U825" s="11"/>
    </row>
    <row r="826" spans="1:21" ht="14.25" customHeight="1" x14ac:dyDescent="0.3">
      <c r="A826" s="484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R826" s="23"/>
      <c r="U826" s="11"/>
    </row>
    <row r="827" spans="1:21" ht="14.25" customHeight="1" x14ac:dyDescent="0.3">
      <c r="A827" s="484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R827" s="23"/>
      <c r="U827" s="11"/>
    </row>
    <row r="828" spans="1:21" ht="14.25" customHeight="1" x14ac:dyDescent="0.3">
      <c r="A828" s="484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R828" s="23"/>
      <c r="U828" s="11"/>
    </row>
    <row r="829" spans="1:21" ht="14.25" customHeight="1" x14ac:dyDescent="0.3">
      <c r="A829" s="484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R829" s="23"/>
      <c r="U829" s="11"/>
    </row>
    <row r="830" spans="1:21" ht="14.25" customHeight="1" x14ac:dyDescent="0.3">
      <c r="A830" s="484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R830" s="23"/>
      <c r="U830" s="11"/>
    </row>
    <row r="831" spans="1:21" ht="14.25" customHeight="1" x14ac:dyDescent="0.3">
      <c r="A831" s="484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R831" s="23"/>
      <c r="U831" s="11"/>
    </row>
    <row r="832" spans="1:21" ht="14.25" customHeight="1" x14ac:dyDescent="0.3">
      <c r="A832" s="484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R832" s="23"/>
      <c r="U832" s="11"/>
    </row>
    <row r="833" spans="1:21" ht="14.25" customHeight="1" x14ac:dyDescent="0.3">
      <c r="A833" s="484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R833" s="23"/>
      <c r="U833" s="11"/>
    </row>
    <row r="834" spans="1:21" ht="14.25" customHeight="1" x14ac:dyDescent="0.3">
      <c r="A834" s="484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R834" s="23"/>
      <c r="U834" s="11"/>
    </row>
    <row r="835" spans="1:21" ht="14.25" customHeight="1" x14ac:dyDescent="0.3">
      <c r="A835" s="484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R835" s="23"/>
      <c r="U835" s="11"/>
    </row>
    <row r="836" spans="1:21" ht="14.25" customHeight="1" x14ac:dyDescent="0.3">
      <c r="A836" s="484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R836" s="23"/>
      <c r="U836" s="11"/>
    </row>
    <row r="837" spans="1:21" ht="14.25" customHeight="1" x14ac:dyDescent="0.3">
      <c r="A837" s="484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R837" s="23"/>
      <c r="U837" s="11"/>
    </row>
    <row r="838" spans="1:21" ht="14.25" customHeight="1" x14ac:dyDescent="0.3">
      <c r="A838" s="484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R838" s="23"/>
      <c r="U838" s="11"/>
    </row>
    <row r="839" spans="1:21" ht="14.25" customHeight="1" x14ac:dyDescent="0.3">
      <c r="A839" s="484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R839" s="23"/>
      <c r="U839" s="11"/>
    </row>
    <row r="840" spans="1:21" ht="14.25" customHeight="1" x14ac:dyDescent="0.3">
      <c r="A840" s="484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R840" s="23"/>
      <c r="U840" s="11"/>
    </row>
    <row r="841" spans="1:21" ht="14.25" customHeight="1" x14ac:dyDescent="0.3">
      <c r="A841" s="484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R841" s="23"/>
      <c r="U841" s="11"/>
    </row>
    <row r="842" spans="1:21" ht="14.25" customHeight="1" x14ac:dyDescent="0.3">
      <c r="A842" s="484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R842" s="23"/>
      <c r="U842" s="11"/>
    </row>
    <row r="843" spans="1:21" ht="14.25" customHeight="1" x14ac:dyDescent="0.3">
      <c r="A843" s="484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R843" s="23"/>
      <c r="U843" s="11"/>
    </row>
    <row r="844" spans="1:21" ht="14.25" customHeight="1" x14ac:dyDescent="0.3">
      <c r="A844" s="484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R844" s="23"/>
      <c r="U844" s="11"/>
    </row>
    <row r="845" spans="1:21" ht="14.25" customHeight="1" x14ac:dyDescent="0.3">
      <c r="A845" s="484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R845" s="23"/>
      <c r="U845" s="11"/>
    </row>
    <row r="846" spans="1:21" ht="14.25" customHeight="1" x14ac:dyDescent="0.3">
      <c r="A846" s="484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R846" s="23"/>
      <c r="U846" s="11"/>
    </row>
    <row r="847" spans="1:21" ht="14.25" customHeight="1" x14ac:dyDescent="0.3">
      <c r="A847" s="484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R847" s="23"/>
      <c r="U847" s="11"/>
    </row>
    <row r="848" spans="1:21" ht="14.25" customHeight="1" x14ac:dyDescent="0.3">
      <c r="A848" s="484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R848" s="23"/>
      <c r="U848" s="11"/>
    </row>
    <row r="849" spans="1:21" ht="14.25" customHeight="1" x14ac:dyDescent="0.3">
      <c r="A849" s="484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R849" s="23"/>
      <c r="U849" s="11"/>
    </row>
    <row r="850" spans="1:21" ht="14.25" customHeight="1" x14ac:dyDescent="0.3">
      <c r="A850" s="484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R850" s="23"/>
      <c r="U850" s="11"/>
    </row>
    <row r="851" spans="1:21" ht="14.25" customHeight="1" x14ac:dyDescent="0.3">
      <c r="A851" s="484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R851" s="23"/>
      <c r="U851" s="11"/>
    </row>
    <row r="852" spans="1:21" ht="14.25" customHeight="1" x14ac:dyDescent="0.3">
      <c r="A852" s="484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R852" s="23"/>
      <c r="U852" s="11"/>
    </row>
    <row r="853" spans="1:21" ht="14.25" customHeight="1" x14ac:dyDescent="0.3">
      <c r="A853" s="484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R853" s="23"/>
      <c r="U853" s="11"/>
    </row>
    <row r="854" spans="1:21" ht="14.25" customHeight="1" x14ac:dyDescent="0.3">
      <c r="A854" s="484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R854" s="23"/>
      <c r="U854" s="11"/>
    </row>
    <row r="855" spans="1:21" ht="14.25" customHeight="1" x14ac:dyDescent="0.3">
      <c r="A855" s="484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R855" s="23"/>
      <c r="U855" s="11"/>
    </row>
    <row r="856" spans="1:21" ht="14.25" customHeight="1" x14ac:dyDescent="0.3">
      <c r="A856" s="484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R856" s="23"/>
      <c r="U856" s="11"/>
    </row>
    <row r="857" spans="1:21" ht="14.25" customHeight="1" x14ac:dyDescent="0.3">
      <c r="A857" s="484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R857" s="23"/>
      <c r="U857" s="11"/>
    </row>
    <row r="858" spans="1:21" ht="14.25" customHeight="1" x14ac:dyDescent="0.3">
      <c r="A858" s="484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R858" s="23"/>
      <c r="U858" s="11"/>
    </row>
    <row r="859" spans="1:21" ht="14.25" customHeight="1" x14ac:dyDescent="0.3">
      <c r="A859" s="484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R859" s="23"/>
      <c r="U859" s="11"/>
    </row>
    <row r="860" spans="1:21" ht="14.25" customHeight="1" x14ac:dyDescent="0.3">
      <c r="A860" s="484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R860" s="23"/>
      <c r="U860" s="11"/>
    </row>
    <row r="861" spans="1:21" ht="14.25" customHeight="1" x14ac:dyDescent="0.3">
      <c r="A861" s="484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R861" s="23"/>
      <c r="U861" s="11"/>
    </row>
    <row r="862" spans="1:21" ht="14.25" customHeight="1" x14ac:dyDescent="0.3">
      <c r="A862" s="484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R862" s="23"/>
      <c r="U862" s="11"/>
    </row>
    <row r="863" spans="1:21" ht="14.25" customHeight="1" x14ac:dyDescent="0.3">
      <c r="A863" s="484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R863" s="23"/>
      <c r="U863" s="11"/>
    </row>
    <row r="864" spans="1:21" ht="14.25" customHeight="1" x14ac:dyDescent="0.3">
      <c r="A864" s="484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R864" s="23"/>
      <c r="U864" s="11"/>
    </row>
    <row r="865" spans="1:21" ht="14.25" customHeight="1" x14ac:dyDescent="0.3">
      <c r="A865" s="484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R865" s="23"/>
      <c r="U865" s="11"/>
    </row>
    <row r="866" spans="1:21" ht="14.25" customHeight="1" x14ac:dyDescent="0.3">
      <c r="A866" s="484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R866" s="23"/>
      <c r="U866" s="11"/>
    </row>
    <row r="867" spans="1:21" ht="14.25" customHeight="1" x14ac:dyDescent="0.3">
      <c r="A867" s="484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R867" s="23"/>
      <c r="U867" s="11"/>
    </row>
    <row r="868" spans="1:21" ht="14.25" customHeight="1" x14ac:dyDescent="0.3">
      <c r="A868" s="484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R868" s="23"/>
      <c r="U868" s="11"/>
    </row>
    <row r="869" spans="1:21" ht="14.25" customHeight="1" x14ac:dyDescent="0.3">
      <c r="A869" s="484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R869" s="23"/>
      <c r="U869" s="11"/>
    </row>
    <row r="870" spans="1:21" ht="14.25" customHeight="1" x14ac:dyDescent="0.3">
      <c r="A870" s="484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R870" s="23"/>
      <c r="U870" s="11"/>
    </row>
    <row r="871" spans="1:21" ht="14.25" customHeight="1" x14ac:dyDescent="0.3">
      <c r="A871" s="484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R871" s="23"/>
      <c r="U871" s="11"/>
    </row>
    <row r="872" spans="1:21" ht="14.25" customHeight="1" x14ac:dyDescent="0.3">
      <c r="A872" s="484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R872" s="23"/>
      <c r="U872" s="11"/>
    </row>
    <row r="873" spans="1:21" ht="14.25" customHeight="1" x14ac:dyDescent="0.3">
      <c r="A873" s="484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R873" s="23"/>
      <c r="U873" s="11"/>
    </row>
    <row r="874" spans="1:21" ht="14.25" customHeight="1" x14ac:dyDescent="0.3">
      <c r="A874" s="484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R874" s="23"/>
      <c r="U874" s="11"/>
    </row>
    <row r="875" spans="1:21" ht="14.25" customHeight="1" x14ac:dyDescent="0.3">
      <c r="A875" s="484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R875" s="23"/>
      <c r="U875" s="11"/>
    </row>
    <row r="876" spans="1:21" ht="14.25" customHeight="1" x14ac:dyDescent="0.3">
      <c r="A876" s="484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R876" s="23"/>
      <c r="U876" s="11"/>
    </row>
    <row r="877" spans="1:21" ht="14.25" customHeight="1" x14ac:dyDescent="0.3">
      <c r="A877" s="484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R877" s="23"/>
      <c r="U877" s="11"/>
    </row>
    <row r="878" spans="1:21" ht="14.25" customHeight="1" x14ac:dyDescent="0.3">
      <c r="A878" s="484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R878" s="23"/>
      <c r="U878" s="11"/>
    </row>
    <row r="879" spans="1:21" ht="14.25" customHeight="1" x14ac:dyDescent="0.3">
      <c r="A879" s="484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R879" s="23"/>
      <c r="U879" s="11"/>
    </row>
    <row r="880" spans="1:21" ht="14.25" customHeight="1" x14ac:dyDescent="0.3">
      <c r="A880" s="484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R880" s="23"/>
      <c r="U880" s="11"/>
    </row>
    <row r="881" spans="1:21" ht="14.25" customHeight="1" x14ac:dyDescent="0.3">
      <c r="A881" s="484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R881" s="23"/>
      <c r="U881" s="11"/>
    </row>
    <row r="882" spans="1:21" ht="14.25" customHeight="1" x14ac:dyDescent="0.3">
      <c r="A882" s="484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R882" s="23"/>
      <c r="U882" s="11"/>
    </row>
    <row r="883" spans="1:21" ht="14.25" customHeight="1" x14ac:dyDescent="0.3">
      <c r="A883" s="484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R883" s="23"/>
      <c r="U883" s="11"/>
    </row>
    <row r="884" spans="1:21" ht="14.25" customHeight="1" x14ac:dyDescent="0.3">
      <c r="A884" s="484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R884" s="23"/>
      <c r="U884" s="11"/>
    </row>
    <row r="885" spans="1:21" ht="14.25" customHeight="1" x14ac:dyDescent="0.3">
      <c r="A885" s="484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R885" s="23"/>
      <c r="U885" s="11"/>
    </row>
    <row r="886" spans="1:21" ht="14.25" customHeight="1" x14ac:dyDescent="0.3">
      <c r="A886" s="484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R886" s="23"/>
      <c r="U886" s="11"/>
    </row>
    <row r="887" spans="1:21" ht="14.25" customHeight="1" x14ac:dyDescent="0.3">
      <c r="A887" s="484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R887" s="23"/>
      <c r="U887" s="11"/>
    </row>
    <row r="888" spans="1:21" ht="14.25" customHeight="1" x14ac:dyDescent="0.3">
      <c r="A888" s="484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R888" s="23"/>
      <c r="U888" s="11"/>
    </row>
    <row r="889" spans="1:21" ht="14.25" customHeight="1" x14ac:dyDescent="0.3">
      <c r="A889" s="484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R889" s="23"/>
      <c r="U889" s="11"/>
    </row>
    <row r="890" spans="1:21" ht="14.25" customHeight="1" x14ac:dyDescent="0.3">
      <c r="A890" s="484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R890" s="23"/>
      <c r="U890" s="11"/>
    </row>
    <row r="891" spans="1:21" ht="14.25" customHeight="1" x14ac:dyDescent="0.3">
      <c r="A891" s="484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R891" s="23"/>
      <c r="U891" s="11"/>
    </row>
    <row r="892" spans="1:21" ht="14.25" customHeight="1" x14ac:dyDescent="0.3">
      <c r="A892" s="484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R892" s="23"/>
      <c r="U892" s="11"/>
    </row>
    <row r="893" spans="1:21" ht="14.25" customHeight="1" x14ac:dyDescent="0.3">
      <c r="A893" s="484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R893" s="23"/>
      <c r="U893" s="11"/>
    </row>
    <row r="894" spans="1:21" ht="14.25" customHeight="1" x14ac:dyDescent="0.3">
      <c r="A894" s="484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R894" s="23"/>
      <c r="U894" s="11"/>
    </row>
    <row r="895" spans="1:21" ht="14.25" customHeight="1" x14ac:dyDescent="0.3">
      <c r="A895" s="484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R895" s="23"/>
      <c r="U895" s="11"/>
    </row>
    <row r="896" spans="1:21" ht="14.25" customHeight="1" x14ac:dyDescent="0.3">
      <c r="A896" s="484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R896" s="23"/>
      <c r="U896" s="11"/>
    </row>
    <row r="897" spans="1:21" ht="14.25" customHeight="1" x14ac:dyDescent="0.3">
      <c r="A897" s="484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R897" s="23"/>
      <c r="U897" s="11"/>
    </row>
    <row r="898" spans="1:21" ht="14.25" customHeight="1" x14ac:dyDescent="0.3">
      <c r="A898" s="484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R898" s="23"/>
      <c r="U898" s="11"/>
    </row>
    <row r="899" spans="1:21" ht="14.25" customHeight="1" x14ac:dyDescent="0.3">
      <c r="A899" s="484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R899" s="23"/>
      <c r="U899" s="11"/>
    </row>
    <row r="900" spans="1:21" ht="14.25" customHeight="1" x14ac:dyDescent="0.3">
      <c r="A900" s="484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R900" s="23"/>
      <c r="U900" s="11"/>
    </row>
    <row r="901" spans="1:21" ht="14.25" customHeight="1" x14ac:dyDescent="0.3">
      <c r="A901" s="484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R901" s="23"/>
      <c r="U901" s="11"/>
    </row>
    <row r="902" spans="1:21" ht="14.25" customHeight="1" x14ac:dyDescent="0.3">
      <c r="A902" s="484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R902" s="23"/>
      <c r="U902" s="11"/>
    </row>
    <row r="903" spans="1:21" ht="14.25" customHeight="1" x14ac:dyDescent="0.3">
      <c r="A903" s="484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R903" s="23"/>
      <c r="U903" s="11"/>
    </row>
    <row r="904" spans="1:21" ht="14.25" customHeight="1" x14ac:dyDescent="0.3">
      <c r="A904" s="484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R904" s="23"/>
      <c r="U904" s="11"/>
    </row>
    <row r="905" spans="1:21" ht="14.25" customHeight="1" x14ac:dyDescent="0.3">
      <c r="A905" s="484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R905" s="23"/>
      <c r="U905" s="11"/>
    </row>
    <row r="906" spans="1:21" ht="14.25" customHeight="1" x14ac:dyDescent="0.3">
      <c r="A906" s="484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R906" s="23"/>
      <c r="U906" s="11"/>
    </row>
    <row r="907" spans="1:21" ht="14.25" customHeight="1" x14ac:dyDescent="0.3">
      <c r="A907" s="484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R907" s="23"/>
      <c r="U907" s="11"/>
    </row>
    <row r="908" spans="1:21" ht="14.25" customHeight="1" x14ac:dyDescent="0.3">
      <c r="A908" s="484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R908" s="23"/>
      <c r="U908" s="11"/>
    </row>
    <row r="909" spans="1:21" ht="14.25" customHeight="1" x14ac:dyDescent="0.3">
      <c r="A909" s="484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R909" s="23"/>
      <c r="U909" s="11"/>
    </row>
    <row r="910" spans="1:21" ht="14.25" customHeight="1" x14ac:dyDescent="0.3">
      <c r="A910" s="484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R910" s="23"/>
      <c r="U910" s="11"/>
    </row>
    <row r="911" spans="1:21" ht="14.25" customHeight="1" x14ac:dyDescent="0.3">
      <c r="A911" s="484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R911" s="23"/>
      <c r="U911" s="11"/>
    </row>
    <row r="912" spans="1:21" ht="14.25" customHeight="1" x14ac:dyDescent="0.3">
      <c r="A912" s="484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R912" s="23"/>
      <c r="U912" s="11"/>
    </row>
    <row r="913" spans="1:21" ht="14.25" customHeight="1" x14ac:dyDescent="0.3">
      <c r="A913" s="484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R913" s="23"/>
      <c r="U913" s="11"/>
    </row>
    <row r="914" spans="1:21" ht="14.25" customHeight="1" x14ac:dyDescent="0.3">
      <c r="A914" s="484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R914" s="23"/>
      <c r="U914" s="11"/>
    </row>
    <row r="915" spans="1:21" ht="14.25" customHeight="1" x14ac:dyDescent="0.3">
      <c r="A915" s="484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R915" s="23"/>
      <c r="U915" s="11"/>
    </row>
    <row r="916" spans="1:21" ht="14.25" customHeight="1" x14ac:dyDescent="0.3">
      <c r="A916" s="484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R916" s="23"/>
      <c r="U916" s="11"/>
    </row>
    <row r="917" spans="1:21" ht="14.25" customHeight="1" x14ac:dyDescent="0.3">
      <c r="A917" s="484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R917" s="23"/>
      <c r="U917" s="11"/>
    </row>
    <row r="918" spans="1:21" ht="14.25" customHeight="1" x14ac:dyDescent="0.3">
      <c r="A918" s="484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R918" s="23"/>
      <c r="U918" s="11"/>
    </row>
    <row r="919" spans="1:21" ht="14.25" customHeight="1" x14ac:dyDescent="0.3">
      <c r="A919" s="484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R919" s="23"/>
      <c r="U919" s="11"/>
    </row>
    <row r="920" spans="1:21" ht="14.25" customHeight="1" x14ac:dyDescent="0.3">
      <c r="A920" s="484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R920" s="23"/>
      <c r="U920" s="11"/>
    </row>
    <row r="921" spans="1:21" ht="14.25" customHeight="1" x14ac:dyDescent="0.3">
      <c r="A921" s="484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R921" s="23"/>
      <c r="U921" s="11"/>
    </row>
    <row r="922" spans="1:21" ht="14.25" customHeight="1" x14ac:dyDescent="0.3">
      <c r="A922" s="484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R922" s="23"/>
      <c r="U922" s="11"/>
    </row>
    <row r="923" spans="1:21" ht="14.25" customHeight="1" x14ac:dyDescent="0.3">
      <c r="A923" s="484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R923" s="23"/>
      <c r="U923" s="11"/>
    </row>
    <row r="924" spans="1:21" ht="14.25" customHeight="1" x14ac:dyDescent="0.3">
      <c r="A924" s="484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R924" s="23"/>
      <c r="U924" s="11"/>
    </row>
    <row r="925" spans="1:21" ht="14.25" customHeight="1" x14ac:dyDescent="0.3">
      <c r="A925" s="484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R925" s="23"/>
      <c r="U925" s="11"/>
    </row>
    <row r="926" spans="1:21" ht="14.25" customHeight="1" x14ac:dyDescent="0.3">
      <c r="A926" s="484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R926" s="23"/>
      <c r="U926" s="11"/>
    </row>
    <row r="927" spans="1:21" ht="14.25" customHeight="1" x14ac:dyDescent="0.3">
      <c r="A927" s="484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R927" s="23"/>
      <c r="U927" s="11"/>
    </row>
    <row r="928" spans="1:21" ht="14.25" customHeight="1" x14ac:dyDescent="0.3">
      <c r="A928" s="484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R928" s="23"/>
      <c r="U928" s="11"/>
    </row>
    <row r="929" spans="1:21" ht="14.25" customHeight="1" x14ac:dyDescent="0.3">
      <c r="A929" s="484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R929" s="23"/>
      <c r="U929" s="11"/>
    </row>
    <row r="930" spans="1:21" ht="14.25" customHeight="1" x14ac:dyDescent="0.3">
      <c r="A930" s="484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R930" s="23"/>
      <c r="U930" s="11"/>
    </row>
    <row r="931" spans="1:21" ht="14.25" customHeight="1" x14ac:dyDescent="0.3">
      <c r="A931" s="484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R931" s="23"/>
      <c r="U931" s="11"/>
    </row>
    <row r="932" spans="1:21" ht="14.25" customHeight="1" x14ac:dyDescent="0.3">
      <c r="A932" s="484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R932" s="23"/>
      <c r="U932" s="11"/>
    </row>
    <row r="933" spans="1:21" ht="14.25" customHeight="1" x14ac:dyDescent="0.3">
      <c r="A933" s="484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R933" s="23"/>
      <c r="U933" s="11"/>
    </row>
    <row r="934" spans="1:21" ht="14.25" customHeight="1" x14ac:dyDescent="0.3">
      <c r="A934" s="484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R934" s="23"/>
      <c r="U934" s="11"/>
    </row>
    <row r="935" spans="1:21" ht="14.25" customHeight="1" x14ac:dyDescent="0.3">
      <c r="A935" s="484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R935" s="23"/>
      <c r="U935" s="11"/>
    </row>
    <row r="936" spans="1:21" ht="14.25" customHeight="1" x14ac:dyDescent="0.3">
      <c r="A936" s="484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R936" s="23"/>
      <c r="U936" s="11"/>
    </row>
    <row r="937" spans="1:21" ht="14.25" customHeight="1" x14ac:dyDescent="0.3">
      <c r="A937" s="484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R937" s="23"/>
      <c r="U937" s="11"/>
    </row>
    <row r="938" spans="1:21" ht="14.25" customHeight="1" x14ac:dyDescent="0.3">
      <c r="A938" s="484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R938" s="23"/>
      <c r="U938" s="11"/>
    </row>
    <row r="939" spans="1:21" ht="14.25" customHeight="1" x14ac:dyDescent="0.3">
      <c r="A939" s="484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R939" s="23"/>
      <c r="U939" s="11"/>
    </row>
    <row r="940" spans="1:21" ht="14.25" customHeight="1" x14ac:dyDescent="0.3">
      <c r="A940" s="484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R940" s="23"/>
      <c r="U940" s="11"/>
    </row>
    <row r="941" spans="1:21" ht="14.25" customHeight="1" x14ac:dyDescent="0.3">
      <c r="A941" s="484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R941" s="23"/>
      <c r="U941" s="11"/>
    </row>
    <row r="942" spans="1:21" ht="14.25" customHeight="1" x14ac:dyDescent="0.3">
      <c r="A942" s="484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R942" s="23"/>
      <c r="U942" s="11"/>
    </row>
    <row r="943" spans="1:21" ht="14.25" customHeight="1" x14ac:dyDescent="0.3">
      <c r="A943" s="484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R943" s="23"/>
      <c r="U943" s="11"/>
    </row>
    <row r="944" spans="1:21" ht="14.25" customHeight="1" x14ac:dyDescent="0.3">
      <c r="A944" s="484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R944" s="23"/>
      <c r="U944" s="11"/>
    </row>
    <row r="945" spans="1:21" ht="14.25" customHeight="1" x14ac:dyDescent="0.3">
      <c r="A945" s="484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R945" s="23"/>
      <c r="U945" s="11"/>
    </row>
    <row r="946" spans="1:21" ht="14.25" customHeight="1" x14ac:dyDescent="0.3">
      <c r="A946" s="484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R946" s="23"/>
      <c r="U946" s="11"/>
    </row>
    <row r="947" spans="1:21" ht="14.25" customHeight="1" x14ac:dyDescent="0.3">
      <c r="A947" s="484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R947" s="23"/>
      <c r="U947" s="11"/>
    </row>
    <row r="948" spans="1:21" ht="14.25" customHeight="1" x14ac:dyDescent="0.3">
      <c r="A948" s="484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R948" s="23"/>
      <c r="U948" s="11"/>
    </row>
    <row r="949" spans="1:21" ht="14.25" customHeight="1" x14ac:dyDescent="0.3">
      <c r="A949" s="484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R949" s="23"/>
      <c r="U949" s="11"/>
    </row>
    <row r="950" spans="1:21" ht="14.25" customHeight="1" x14ac:dyDescent="0.3">
      <c r="A950" s="484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R950" s="23"/>
      <c r="U950" s="11"/>
    </row>
    <row r="951" spans="1:21" ht="14.25" customHeight="1" x14ac:dyDescent="0.3">
      <c r="A951" s="484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R951" s="23"/>
      <c r="U951" s="11"/>
    </row>
    <row r="952" spans="1:21" ht="14.25" customHeight="1" x14ac:dyDescent="0.3">
      <c r="A952" s="484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R952" s="23"/>
      <c r="U952" s="11"/>
    </row>
    <row r="953" spans="1:21" ht="14.25" customHeight="1" x14ac:dyDescent="0.3">
      <c r="A953" s="484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R953" s="23"/>
      <c r="U953" s="11"/>
    </row>
    <row r="954" spans="1:21" ht="14.25" customHeight="1" x14ac:dyDescent="0.3">
      <c r="A954" s="484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R954" s="23"/>
      <c r="U954" s="11"/>
    </row>
    <row r="955" spans="1:21" ht="14.25" customHeight="1" x14ac:dyDescent="0.3">
      <c r="A955" s="484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R955" s="23"/>
      <c r="U955" s="11"/>
    </row>
    <row r="956" spans="1:21" ht="14.25" customHeight="1" x14ac:dyDescent="0.3">
      <c r="A956" s="484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R956" s="23"/>
      <c r="U956" s="11"/>
    </row>
    <row r="957" spans="1:21" ht="14.25" customHeight="1" x14ac:dyDescent="0.3">
      <c r="A957" s="484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R957" s="23"/>
      <c r="U957" s="11"/>
    </row>
    <row r="958" spans="1:21" ht="14.25" customHeight="1" x14ac:dyDescent="0.3">
      <c r="A958" s="484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R958" s="23"/>
      <c r="U958" s="11"/>
    </row>
    <row r="959" spans="1:21" ht="14.25" customHeight="1" x14ac:dyDescent="0.3">
      <c r="A959" s="484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R959" s="23"/>
      <c r="U959" s="11"/>
    </row>
    <row r="960" spans="1:21" ht="14.25" customHeight="1" x14ac:dyDescent="0.3">
      <c r="A960" s="484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R960" s="23"/>
      <c r="U960" s="11"/>
    </row>
    <row r="961" spans="1:21" ht="14.25" customHeight="1" x14ac:dyDescent="0.3">
      <c r="A961" s="484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R961" s="23"/>
      <c r="U961" s="11"/>
    </row>
    <row r="962" spans="1:21" ht="14.25" customHeight="1" x14ac:dyDescent="0.3">
      <c r="A962" s="484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R962" s="23"/>
      <c r="U962" s="11"/>
    </row>
    <row r="963" spans="1:21" ht="14.25" customHeight="1" x14ac:dyDescent="0.3">
      <c r="A963" s="484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R963" s="23"/>
      <c r="U963" s="11"/>
    </row>
    <row r="964" spans="1:21" ht="14.25" customHeight="1" x14ac:dyDescent="0.3">
      <c r="A964" s="484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R964" s="23"/>
      <c r="U964" s="11"/>
    </row>
    <row r="965" spans="1:21" ht="14.25" customHeight="1" x14ac:dyDescent="0.3">
      <c r="A965" s="484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R965" s="23"/>
      <c r="U965" s="11"/>
    </row>
    <row r="966" spans="1:21" ht="14.25" customHeight="1" x14ac:dyDescent="0.3">
      <c r="A966" s="484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R966" s="23"/>
      <c r="U966" s="11"/>
    </row>
    <row r="967" spans="1:21" ht="14.25" customHeight="1" x14ac:dyDescent="0.3">
      <c r="A967" s="484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R967" s="23"/>
      <c r="U967" s="11"/>
    </row>
    <row r="968" spans="1:21" ht="14.25" customHeight="1" x14ac:dyDescent="0.3">
      <c r="A968" s="484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R968" s="23"/>
      <c r="U968" s="11"/>
    </row>
    <row r="969" spans="1:21" ht="14.25" customHeight="1" x14ac:dyDescent="0.3">
      <c r="A969" s="484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R969" s="23"/>
      <c r="U969" s="11"/>
    </row>
    <row r="970" spans="1:21" ht="14.25" customHeight="1" x14ac:dyDescent="0.3">
      <c r="A970" s="484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R970" s="23"/>
      <c r="U970" s="11"/>
    </row>
    <row r="971" spans="1:21" ht="14.25" customHeight="1" x14ac:dyDescent="0.3">
      <c r="A971" s="484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R971" s="23"/>
      <c r="U971" s="11"/>
    </row>
    <row r="972" spans="1:21" ht="14.25" customHeight="1" x14ac:dyDescent="0.3">
      <c r="A972" s="484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R972" s="23"/>
      <c r="U972" s="11"/>
    </row>
    <row r="973" spans="1:21" ht="14.25" customHeight="1" x14ac:dyDescent="0.3">
      <c r="A973" s="484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R973" s="23"/>
      <c r="U973" s="11"/>
    </row>
    <row r="974" spans="1:21" ht="14.25" customHeight="1" x14ac:dyDescent="0.3">
      <c r="A974" s="484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R974" s="23"/>
      <c r="U974" s="11"/>
    </row>
    <row r="975" spans="1:21" ht="14.25" customHeight="1" x14ac:dyDescent="0.3">
      <c r="A975" s="484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R975" s="23"/>
      <c r="U975" s="11"/>
    </row>
    <row r="976" spans="1:21" ht="14.25" customHeight="1" x14ac:dyDescent="0.3">
      <c r="A976" s="484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R976" s="23"/>
      <c r="U976" s="11"/>
    </row>
    <row r="977" spans="1:21" ht="14.25" customHeight="1" x14ac:dyDescent="0.3">
      <c r="A977" s="484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R977" s="23"/>
      <c r="U977" s="11"/>
    </row>
    <row r="978" spans="1:21" ht="14.25" customHeight="1" x14ac:dyDescent="0.3">
      <c r="A978" s="484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R978" s="23"/>
      <c r="U978" s="11"/>
    </row>
    <row r="979" spans="1:21" ht="14.25" customHeight="1" x14ac:dyDescent="0.3">
      <c r="A979" s="484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R979" s="23"/>
      <c r="U979" s="11"/>
    </row>
    <row r="980" spans="1:21" ht="14.25" customHeight="1" x14ac:dyDescent="0.3">
      <c r="A980" s="484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R980" s="23"/>
      <c r="U980" s="11"/>
    </row>
    <row r="981" spans="1:21" ht="14.25" customHeight="1" x14ac:dyDescent="0.3">
      <c r="A981" s="484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R981" s="23"/>
      <c r="U981" s="11"/>
    </row>
    <row r="982" spans="1:21" ht="14.25" customHeight="1" x14ac:dyDescent="0.3">
      <c r="A982" s="484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R982" s="23"/>
      <c r="U982" s="11"/>
    </row>
    <row r="983" spans="1:21" ht="14.25" customHeight="1" x14ac:dyDescent="0.3">
      <c r="A983" s="484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R983" s="23"/>
      <c r="U983" s="11"/>
    </row>
    <row r="984" spans="1:21" ht="14.25" customHeight="1" x14ac:dyDescent="0.3">
      <c r="A984" s="484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R984" s="23"/>
      <c r="U984" s="11"/>
    </row>
    <row r="985" spans="1:21" ht="14.25" customHeight="1" x14ac:dyDescent="0.3">
      <c r="A985" s="484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R985" s="23"/>
      <c r="U985" s="11"/>
    </row>
    <row r="986" spans="1:21" ht="14.25" customHeight="1" x14ac:dyDescent="0.3">
      <c r="A986" s="484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R986" s="23"/>
      <c r="U986" s="11"/>
    </row>
    <row r="987" spans="1:21" ht="14.25" customHeight="1" x14ac:dyDescent="0.3">
      <c r="A987" s="484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R987" s="23"/>
      <c r="U987" s="11"/>
    </row>
    <row r="988" spans="1:21" ht="14.25" customHeight="1" x14ac:dyDescent="0.3">
      <c r="A988" s="484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R988" s="23"/>
      <c r="U988" s="11"/>
    </row>
    <row r="989" spans="1:21" ht="14.25" customHeight="1" x14ac:dyDescent="0.3">
      <c r="A989" s="484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R989" s="23"/>
      <c r="U989" s="11"/>
    </row>
    <row r="990" spans="1:21" ht="14.25" customHeight="1" x14ac:dyDescent="0.3">
      <c r="A990" s="484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R990" s="23"/>
      <c r="U990" s="11"/>
    </row>
    <row r="991" spans="1:21" ht="14.25" customHeight="1" x14ac:dyDescent="0.3">
      <c r="A991" s="484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R991" s="23"/>
      <c r="U991" s="11"/>
    </row>
    <row r="992" spans="1:21" ht="14.25" customHeight="1" x14ac:dyDescent="0.3">
      <c r="A992" s="484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R992" s="23"/>
      <c r="U992" s="11"/>
    </row>
    <row r="993" spans="1:21" ht="14.25" customHeight="1" x14ac:dyDescent="0.3">
      <c r="A993" s="484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R993" s="23"/>
      <c r="U993" s="11"/>
    </row>
    <row r="994" spans="1:21" ht="14.25" customHeight="1" x14ac:dyDescent="0.3">
      <c r="A994" s="484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R994" s="23"/>
      <c r="U994" s="11"/>
    </row>
    <row r="995" spans="1:21" ht="14.25" customHeight="1" x14ac:dyDescent="0.3">
      <c r="A995" s="484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R995" s="23"/>
      <c r="U995" s="11"/>
    </row>
    <row r="996" spans="1:21" ht="14.25" customHeight="1" x14ac:dyDescent="0.3">
      <c r="A996" s="484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R996" s="23"/>
      <c r="U996" s="11"/>
    </row>
    <row r="997" spans="1:21" ht="14.25" customHeight="1" x14ac:dyDescent="0.3">
      <c r="A997" s="484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R997" s="23"/>
      <c r="U997" s="11"/>
    </row>
    <row r="998" spans="1:21" ht="14.25" customHeight="1" x14ac:dyDescent="0.3">
      <c r="A998" s="484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R998" s="23"/>
      <c r="U998" s="11"/>
    </row>
    <row r="999" spans="1:21" ht="14.25" customHeight="1" x14ac:dyDescent="0.3">
      <c r="A999" s="484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R999" s="23"/>
      <c r="U999" s="11"/>
    </row>
    <row r="1000" spans="1:21" ht="14.25" customHeight="1" x14ac:dyDescent="0.3">
      <c r="A1000" s="484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R1000" s="23"/>
      <c r="U1000" s="11"/>
    </row>
  </sheetData>
  <mergeCells count="1">
    <mergeCell ref="C1:H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Sheet1</vt:lpstr>
      <vt:lpstr>Share Count</vt:lpstr>
      <vt:lpstr>Net Worth</vt:lpstr>
      <vt:lpstr>50-30-20</vt:lpstr>
      <vt:lpstr>Proposed Budget</vt:lpstr>
      <vt:lpstr>Monthly Breakdown</vt:lpstr>
      <vt:lpstr>Budget Breakdown</vt:lpstr>
      <vt:lpstr>Checking Transaction Log</vt:lpstr>
      <vt:lpstr>Savings Transaction Log</vt:lpstr>
      <vt:lpstr>Rental Breakdown</vt:lpstr>
      <vt:lpstr>Retirement Calculator</vt:lpstr>
      <vt:lpstr>TSP-401K</vt:lpstr>
      <vt:lpstr>Combined Retirement</vt:lpstr>
      <vt:lpstr>Isaac 401k</vt:lpstr>
      <vt:lpstr>Lorri 401b</vt:lpstr>
      <vt:lpstr>Guard Ret Calc</vt:lpstr>
      <vt:lpstr>Accounts</vt:lpstr>
      <vt:lpstr>Electric-Gas</vt:lpstr>
      <vt:lpstr>Investment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isaac.martin</dc:creator>
  <cp:lastModifiedBy>Isaac Martin</cp:lastModifiedBy>
  <dcterms:created xsi:type="dcterms:W3CDTF">2010-12-01T13:47:18Z</dcterms:created>
  <dcterms:modified xsi:type="dcterms:W3CDTF">2026-08-06T08:15:39Z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68ff4326-c609-4f4a-9628-f2d96af0a99d</vt:lpwstr>
  </property>
</Properties>
</file>